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Ex1.xml" ContentType="application/vnd.ms-office.chartex+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harts/chart3.xml" ContentType="application/vnd.openxmlformats-officedocument.drawingml.chart+xml"/>
  <Override PartName="/xl/theme/themeOverride4.xml" ContentType="application/vnd.openxmlformats-officedocument.themeOverride+xml"/>
  <Override PartName="/xl/charts/chart4.xml" ContentType="application/vnd.openxmlformats-officedocument.drawingml.chart+xml"/>
  <Override PartName="/xl/theme/themeOverride5.xml" ContentType="application/vnd.openxmlformats-officedocument.themeOverride+xml"/>
  <Override PartName="/xl/charts/chart5.xml" ContentType="application/vnd.openxmlformats-officedocument.drawingml.chart+xml"/>
  <Override PartName="/xl/theme/themeOverride6.xml" ContentType="application/vnd.openxmlformats-officedocument.themeOverrid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theme/themeOverride7.xml" ContentType="application/vnd.openxmlformats-officedocument.themeOverride+xml"/>
  <Override PartName="/xl/charts/chart7.xml" ContentType="application/vnd.openxmlformats-officedocument.drawingml.chart+xml"/>
  <Override PartName="/xl/theme/themeOverride8.xml" ContentType="application/vnd.openxmlformats-officedocument.themeOverride+xml"/>
  <Override PartName="/xl/charts/chart8.xml" ContentType="application/vnd.openxmlformats-officedocument.drawingml.chart+xml"/>
  <Override PartName="/xl/theme/themeOverride9.xml" ContentType="application/vnd.openxmlformats-officedocument.themeOverride+xml"/>
  <Override PartName="/xl/drawings/drawing3.xml" ContentType="application/vnd.openxmlformats-officedocument.drawing+xml"/>
  <Override PartName="/xl/slicers/slicer3.xml" ContentType="application/vnd.ms-excel.slicer+xml"/>
  <Override PartName="/xl/charts/chart9.xml" ContentType="application/vnd.openxmlformats-officedocument.drawingml.chart+xml"/>
  <Override PartName="/xl/theme/themeOverride10.xml" ContentType="application/vnd.openxmlformats-officedocument.themeOverride+xml"/>
  <Override PartName="/xl/charts/chart10.xml" ContentType="application/vnd.openxmlformats-officedocument.drawingml.chart+xml"/>
  <Override PartName="/xl/theme/themeOverride11.xml" ContentType="application/vnd.openxmlformats-officedocument.themeOverride+xml"/>
  <Override PartName="/xl/charts/chart11.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12.xml" ContentType="application/vnd.openxmlformats-officedocument.themeOverride+xml"/>
  <Override PartName="/xl/charts/chart12.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13.xml" ContentType="application/vnd.openxmlformats-officedocument.themeOverride+xml"/>
  <Override PartName="/xl/charts/chart13.xml" ContentType="application/vnd.openxmlformats-officedocument.drawingml.chart+xml"/>
  <Override PartName="/xl/theme/themeOverride14.xml" ContentType="application/vnd.openxmlformats-officedocument.themeOverride+xml"/>
  <Override PartName="/xl/drawings/drawing4.xml" ContentType="application/vnd.openxmlformats-officedocument.drawing+xml"/>
  <Override PartName="/xl/slicers/slicer4.xml" ContentType="application/vnd.ms-excel.slicer+xml"/>
  <Override PartName="/xl/charts/chart14.xml" ContentType="application/vnd.openxmlformats-officedocument.drawingml.chart+xml"/>
  <Override PartName="/xl/theme/themeOverride15.xml" ContentType="application/vnd.openxmlformats-officedocument.themeOverride+xml"/>
  <Override PartName="/xl/charts/chart15.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16.xml" ContentType="application/vnd.openxmlformats-officedocument.themeOverride+xml"/>
  <Override PartName="/xl/charts/chart16.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17.xml" ContentType="application/vnd.openxmlformats-officedocument.themeOverride+xml"/>
  <Override PartName="/xl/charts/chart17.xml" ContentType="application/vnd.openxmlformats-officedocument.drawingml.chart+xml"/>
  <Override PartName="/xl/theme/themeOverride18.xml" ContentType="application/vnd.openxmlformats-officedocument.themeOverride+xml"/>
  <Override PartName="/xl/charts/chart1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19.xml" ContentType="application/vnd.openxmlformats-officedocument.themeOverride+xml"/>
  <Override PartName="/xl/drawings/drawing5.xml" ContentType="application/vnd.openxmlformats-officedocument.drawing+xml"/>
  <Override PartName="/xl/slicers/slicer5.xml" ContentType="application/vnd.ms-excel.slicer+xml"/>
  <Override PartName="/xl/charts/chart19.xml" ContentType="application/vnd.openxmlformats-officedocument.drawingml.chart+xml"/>
  <Override PartName="/xl/theme/themeOverride20.xml" ContentType="application/vnd.openxmlformats-officedocument.themeOverride+xml"/>
  <Override PartName="/xl/charts/chart20.xml" ContentType="application/vnd.openxmlformats-officedocument.drawingml.chart+xml"/>
  <Override PartName="/xl/theme/themeOverride21.xml" ContentType="application/vnd.openxmlformats-officedocument.themeOverride+xml"/>
  <Override PartName="/xl/charts/chart21.xml" ContentType="application/vnd.openxmlformats-officedocument.drawingml.chart+xml"/>
  <Override PartName="/xl/theme/themeOverride22.xml" ContentType="application/vnd.openxmlformats-officedocument.themeOverride+xml"/>
  <Override PartName="/xl/charts/chart22.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23.xml" ContentType="application/vnd.openxmlformats-officedocument.themeOverride+xml"/>
  <Override PartName="/xl/drawings/drawing6.xml" ContentType="application/vnd.openxmlformats-officedocument.drawing+xml"/>
  <Override PartName="/xl/slicers/slicer6.xml" ContentType="application/vnd.ms-excel.slicer+xml"/>
  <Override PartName="/xl/charts/chart23.xml" ContentType="application/vnd.openxmlformats-officedocument.drawingml.chart+xml"/>
  <Override PartName="/xl/theme/themeOverride24.xml" ContentType="application/vnd.openxmlformats-officedocument.themeOverride+xml"/>
  <Override PartName="/xl/charts/chart24.xml" ContentType="application/vnd.openxmlformats-officedocument.drawingml.chart+xml"/>
  <Override PartName="/xl/theme/themeOverride25.xml" ContentType="application/vnd.openxmlformats-officedocument.themeOverride+xml"/>
  <Override PartName="/xl/charts/chart25.xml" ContentType="application/vnd.openxmlformats-officedocument.drawingml.chart+xml"/>
  <Override PartName="/xl/theme/themeOverride26.xml" ContentType="application/vnd.openxmlformats-officedocument.themeOverride+xml"/>
  <Override PartName="/xl/charts/chart26.xml" ContentType="application/vnd.openxmlformats-officedocument.drawingml.chart+xml"/>
  <Override PartName="/xl/theme/themeOverride27.xml" ContentType="application/vnd.openxmlformats-officedocument.themeOverride+xml"/>
  <Override PartName="/xl/drawings/drawing7.xml" ContentType="application/vnd.openxmlformats-officedocument.drawing+xml"/>
  <Override PartName="/xl/slicers/slicer7.xml" ContentType="application/vnd.ms-excel.slicer+xml"/>
  <Override PartName="/xl/charts/chart27.xml" ContentType="application/vnd.openxmlformats-officedocument.drawingml.chart+xml"/>
  <Override PartName="/xl/theme/themeOverride28.xml" ContentType="application/vnd.openxmlformats-officedocument.themeOverride+xml"/>
  <Override PartName="/xl/charts/chart28.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29.xml" ContentType="application/vnd.openxmlformats-officedocument.themeOverride+xml"/>
  <Override PartName="/xl/charts/chart29.xml" ContentType="application/vnd.openxmlformats-officedocument.drawingml.chart+xml"/>
  <Override PartName="/xl/theme/themeOverride30.xml" ContentType="application/vnd.openxmlformats-officedocument.themeOverride+xml"/>
  <Override PartName="/xl/charts/chart30.xml" ContentType="application/vnd.openxmlformats-officedocument.drawingml.chart+xml"/>
  <Override PartName="/xl/charts/style11.xml" ContentType="application/vnd.ms-office.chartstyle+xml"/>
  <Override PartName="/xl/charts/colors11.xml" ContentType="application/vnd.ms-office.chartcolorstyle+xml"/>
  <Override PartName="/xl/theme/themeOverride31.xml" ContentType="application/vnd.openxmlformats-officedocument.themeOverride+xml"/>
  <Override PartName="/xl/charts/chart31.xml" ContentType="application/vnd.openxmlformats-officedocument.drawingml.chart+xml"/>
  <Override PartName="/xl/charts/style12.xml" ContentType="application/vnd.ms-office.chartstyle+xml"/>
  <Override PartName="/xl/charts/colors12.xml" ContentType="application/vnd.ms-office.chartcolorstyle+xml"/>
  <Override PartName="/xl/theme/themeOverride32.xml" ContentType="application/vnd.openxmlformats-officedocument.themeOverride+xml"/>
  <Override PartName="/xl/drawings/drawing8.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9.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0.xml" ContentType="application/vnd.openxmlformats-officedocument.drawing+xml"/>
  <Override PartName="/xl/slicers/slicer8.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C:\Users\XXXX\Desktop\"/>
    </mc:Choice>
  </mc:AlternateContent>
  <xr:revisionPtr revIDLastSave="0" documentId="13_ncr:1_{97A5C175-1565-421E-BC00-04F09755FDE5}" xr6:coauthVersionLast="47" xr6:coauthVersionMax="47" xr10:uidLastSave="{00000000-0000-0000-0000-000000000000}"/>
  <bookViews>
    <workbookView xWindow="-110" yWindow="-110" windowWidth="19420" windowHeight="11020" activeTab="7" xr2:uid="{F69F8572-ABF4-3046-99A7-497FBD056C25}"/>
  </bookViews>
  <sheets>
    <sheet name="Dashboard" sheetId="2" r:id="rId1"/>
    <sheet name="Budgeting" sheetId="6" r:id="rId2"/>
    <sheet name="Income" sheetId="7" r:id="rId3"/>
    <sheet name="Expenses" sheetId="8" r:id="rId4"/>
    <sheet name="Investments" sheetId="9" r:id="rId5"/>
    <sheet name="Debts" sheetId="10" r:id="rId6"/>
    <sheet name="Financial Goals" sheetId="11" r:id="rId7"/>
    <sheet name="Data" sheetId="13" r:id="rId8"/>
    <sheet name="Processing" sheetId="3" r:id="rId9"/>
    <sheet name="Pivot" sheetId="4" r:id="rId10"/>
  </sheets>
  <externalReferences>
    <externalReference r:id="rId11"/>
  </externalReferences>
  <definedNames>
    <definedName name="_xlchart.v1.0" hidden="1">Processing!$O$3</definedName>
    <definedName name="_xlchart.v1.1" hidden="1">Processing!$O$4</definedName>
    <definedName name="_xlchart.v1.2" hidden="1">Processing!$O$5</definedName>
    <definedName name="_xlchart.v1.3" hidden="1">Processing!$S$2:$X$2</definedName>
    <definedName name="_xlchart.v1.4" hidden="1">Processing!$S$3:$X$3</definedName>
    <definedName name="_xlchart.v1.5" hidden="1">Processing!$S$4:$X$4</definedName>
    <definedName name="_xlchart.v1.6" hidden="1">Processing!$S$5:$X$5</definedName>
    <definedName name="dateLog">'[1]Trade Log'!$D$15:$D$20100</definedName>
    <definedName name="profitLoss">'[1]Trade Log'!$Z$15:$Z$20100</definedName>
    <definedName name="Slicer_Anno">#N/A</definedName>
    <definedName name="Slicer_Giorno">#N/A</definedName>
    <definedName name="Slicer_Mese1">#N/A</definedName>
    <definedName name="stats">'[1]Trade Log'!$AN$15:$AN$20100</definedName>
  </definedNames>
  <calcPr calcId="191029" calcMode="autoNoTable" iterate="1"/>
  <pivotCaches>
    <pivotCache cacheId="0" r:id="rId12"/>
  </pivotCaches>
  <extLst>
    <ext xmlns:x14="http://schemas.microsoft.com/office/spreadsheetml/2009/9/main" uri="{BBE1A952-AA13-448e-AADC-164F8A28A991}">
      <x14:slicerCaches>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94" i="13" l="1"/>
  <c r="K294" i="13" s="1"/>
  <c r="J294" i="13"/>
  <c r="L294" i="13"/>
  <c r="M294" i="13"/>
  <c r="O294" i="13"/>
  <c r="Q294" i="13"/>
  <c r="S294" i="13"/>
  <c r="I295" i="13"/>
  <c r="O295" i="13" s="1"/>
  <c r="J295" i="13"/>
  <c r="M295" i="13"/>
  <c r="Q295" i="13"/>
  <c r="S295" i="13"/>
  <c r="I296" i="13"/>
  <c r="M296" i="13" s="1"/>
  <c r="J296" i="13"/>
  <c r="K296" i="13"/>
  <c r="Q296" i="13"/>
  <c r="S296" i="13"/>
  <c r="I297" i="13"/>
  <c r="J297" i="13"/>
  <c r="Q297" i="13"/>
  <c r="S297" i="13"/>
  <c r="I298" i="13"/>
  <c r="L298" i="13" s="1"/>
  <c r="J298" i="13"/>
  <c r="K298" i="13"/>
  <c r="M298" i="13"/>
  <c r="O298" i="13"/>
  <c r="Q298" i="13"/>
  <c r="S298" i="13"/>
  <c r="I299" i="13"/>
  <c r="O299" i="13" s="1"/>
  <c r="J299" i="13"/>
  <c r="M299" i="13"/>
  <c r="Q299" i="13"/>
  <c r="S299" i="13"/>
  <c r="I300" i="13"/>
  <c r="M300" i="13" s="1"/>
  <c r="J300" i="13"/>
  <c r="K300" i="13"/>
  <c r="Q300" i="13"/>
  <c r="S300" i="13"/>
  <c r="I301" i="13"/>
  <c r="J301" i="13"/>
  <c r="Q301" i="13"/>
  <c r="S301" i="13"/>
  <c r="I302" i="13"/>
  <c r="L302" i="13" s="1"/>
  <c r="J302" i="13"/>
  <c r="K302" i="13"/>
  <c r="M302" i="13"/>
  <c r="O302" i="13"/>
  <c r="Q302" i="13"/>
  <c r="S302" i="13"/>
  <c r="I303" i="13"/>
  <c r="O303" i="13" s="1"/>
  <c r="J303" i="13"/>
  <c r="M303" i="13"/>
  <c r="Q303" i="13"/>
  <c r="S303" i="13"/>
  <c r="I304" i="13"/>
  <c r="M304" i="13" s="1"/>
  <c r="J304" i="13"/>
  <c r="K304" i="13"/>
  <c r="Q304" i="13"/>
  <c r="S304" i="13"/>
  <c r="I305" i="13"/>
  <c r="J305" i="13"/>
  <c r="Q305" i="13"/>
  <c r="S305" i="13"/>
  <c r="I306" i="13"/>
  <c r="L306" i="13" s="1"/>
  <c r="J306" i="13"/>
  <c r="K306" i="13"/>
  <c r="M306" i="13"/>
  <c r="O306" i="13"/>
  <c r="Q306" i="13"/>
  <c r="S306" i="13"/>
  <c r="I307" i="13"/>
  <c r="O307" i="13" s="1"/>
  <c r="J307" i="13"/>
  <c r="M307" i="13"/>
  <c r="Q307" i="13"/>
  <c r="S307" i="13"/>
  <c r="I308" i="13"/>
  <c r="M308" i="13" s="1"/>
  <c r="J308" i="13"/>
  <c r="K308" i="13"/>
  <c r="Q308" i="13"/>
  <c r="S308" i="13"/>
  <c r="I309" i="13"/>
  <c r="J309" i="13"/>
  <c r="Q309" i="13"/>
  <c r="S309" i="13"/>
  <c r="I310" i="13"/>
  <c r="L310" i="13" s="1"/>
  <c r="J310" i="13"/>
  <c r="K310" i="13"/>
  <c r="M310" i="13"/>
  <c r="O310" i="13"/>
  <c r="Q310" i="13"/>
  <c r="S310" i="13"/>
  <c r="I311" i="13"/>
  <c r="O311" i="13" s="1"/>
  <c r="J311" i="13"/>
  <c r="M311" i="13"/>
  <c r="Q311" i="13"/>
  <c r="S311" i="13"/>
  <c r="I312" i="13"/>
  <c r="M312" i="13" s="1"/>
  <c r="J312" i="13"/>
  <c r="K312" i="13"/>
  <c r="O312" i="13"/>
  <c r="Q312" i="13"/>
  <c r="S312" i="13"/>
  <c r="I313" i="13"/>
  <c r="J313" i="13"/>
  <c r="Q313" i="13"/>
  <c r="S313" i="13"/>
  <c r="I314" i="13"/>
  <c r="L314" i="13" s="1"/>
  <c r="J314" i="13"/>
  <c r="K314" i="13"/>
  <c r="M314" i="13"/>
  <c r="O314" i="13"/>
  <c r="Q314" i="13"/>
  <c r="S314" i="13"/>
  <c r="I315" i="13"/>
  <c r="K315" i="13" s="1"/>
  <c r="J315" i="13"/>
  <c r="O315" i="13"/>
  <c r="Q315" i="13"/>
  <c r="S315" i="13"/>
  <c r="I316" i="13"/>
  <c r="K316" i="13" s="1"/>
  <c r="J316" i="13"/>
  <c r="O316" i="13"/>
  <c r="Q316" i="13"/>
  <c r="S316" i="13"/>
  <c r="I317" i="13"/>
  <c r="M317" i="13" s="1"/>
  <c r="J317" i="13"/>
  <c r="K317" i="13"/>
  <c r="Q317" i="13"/>
  <c r="S317" i="13"/>
  <c r="I318" i="13"/>
  <c r="K318" i="13" s="1"/>
  <c r="J318" i="13"/>
  <c r="M318" i="13"/>
  <c r="Q318" i="13"/>
  <c r="S318" i="13"/>
  <c r="I319" i="13"/>
  <c r="J319" i="13"/>
  <c r="Q319" i="13"/>
  <c r="S319" i="13"/>
  <c r="I320" i="13"/>
  <c r="J320" i="13"/>
  <c r="Q320" i="13"/>
  <c r="S320" i="13"/>
  <c r="I321" i="13"/>
  <c r="J321" i="13"/>
  <c r="K321" i="13"/>
  <c r="Q321" i="13"/>
  <c r="S321" i="13"/>
  <c r="I322" i="13"/>
  <c r="J322" i="13"/>
  <c r="K322" i="13"/>
  <c r="M322" i="13"/>
  <c r="O322" i="13"/>
  <c r="Q322" i="13"/>
  <c r="S322" i="13"/>
  <c r="I323" i="13"/>
  <c r="K323" i="13" s="1"/>
  <c r="J323" i="13"/>
  <c r="O323" i="13"/>
  <c r="Q323" i="13"/>
  <c r="S323" i="13"/>
  <c r="I324" i="13"/>
  <c r="K324" i="13" s="1"/>
  <c r="J324" i="13"/>
  <c r="O324" i="13"/>
  <c r="Q324" i="13"/>
  <c r="S324" i="13"/>
  <c r="I325" i="13"/>
  <c r="M325" i="13" s="1"/>
  <c r="J325" i="13"/>
  <c r="K325" i="13"/>
  <c r="Q325" i="13"/>
  <c r="S325" i="13"/>
  <c r="I326" i="13"/>
  <c r="O326" i="13" s="1"/>
  <c r="J326" i="13"/>
  <c r="K326" i="13"/>
  <c r="M326" i="13"/>
  <c r="Q326" i="13"/>
  <c r="S326" i="13"/>
  <c r="I327" i="13"/>
  <c r="J327" i="13"/>
  <c r="Q327" i="13"/>
  <c r="S327" i="13"/>
  <c r="I328" i="13"/>
  <c r="J328" i="13"/>
  <c r="Q328" i="13"/>
  <c r="S328" i="13"/>
  <c r="I329" i="13"/>
  <c r="J329" i="13"/>
  <c r="K329" i="13"/>
  <c r="Q329" i="13"/>
  <c r="S329" i="13"/>
  <c r="I330" i="13"/>
  <c r="J330" i="13"/>
  <c r="K330" i="13"/>
  <c r="M330" i="13"/>
  <c r="O330" i="13"/>
  <c r="Q330" i="13"/>
  <c r="S330" i="13"/>
  <c r="I331" i="13"/>
  <c r="K331" i="13" s="1"/>
  <c r="J331" i="13"/>
  <c r="O331" i="13"/>
  <c r="Q331" i="13"/>
  <c r="S331" i="13"/>
  <c r="I332" i="13"/>
  <c r="K332" i="13" s="1"/>
  <c r="J332" i="13"/>
  <c r="O332" i="13"/>
  <c r="Q332" i="13"/>
  <c r="S332" i="13"/>
  <c r="I333" i="13"/>
  <c r="M333" i="13" s="1"/>
  <c r="J333" i="13"/>
  <c r="K333" i="13"/>
  <c r="Q333" i="13"/>
  <c r="S333" i="13"/>
  <c r="I334" i="13"/>
  <c r="O334" i="13" s="1"/>
  <c r="J334" i="13"/>
  <c r="K334" i="13"/>
  <c r="M334" i="13"/>
  <c r="Q334" i="13"/>
  <c r="S334" i="13"/>
  <c r="I335" i="13"/>
  <c r="J335" i="13"/>
  <c r="Q335" i="13"/>
  <c r="S335" i="13"/>
  <c r="I336" i="13"/>
  <c r="J336" i="13"/>
  <c r="Q336" i="13"/>
  <c r="S336" i="13"/>
  <c r="I337" i="13"/>
  <c r="J337" i="13"/>
  <c r="K337" i="13"/>
  <c r="Q337" i="13"/>
  <c r="S337" i="13"/>
  <c r="I338" i="13"/>
  <c r="J338" i="13"/>
  <c r="K338" i="13"/>
  <c r="M338" i="13"/>
  <c r="O338" i="13"/>
  <c r="Q338" i="13"/>
  <c r="S338" i="13"/>
  <c r="I339" i="13"/>
  <c r="K339" i="13" s="1"/>
  <c r="J339" i="13"/>
  <c r="O339" i="13"/>
  <c r="Q339" i="13"/>
  <c r="S339" i="13"/>
  <c r="I340" i="13"/>
  <c r="K340" i="13" s="1"/>
  <c r="J340" i="13"/>
  <c r="O340" i="13"/>
  <c r="Q340" i="13"/>
  <c r="S340" i="13"/>
  <c r="I341" i="13"/>
  <c r="M341" i="13" s="1"/>
  <c r="J341" i="13"/>
  <c r="K341" i="13"/>
  <c r="Q341" i="13"/>
  <c r="S341" i="13"/>
  <c r="I342" i="13"/>
  <c r="O342" i="13" s="1"/>
  <c r="J342" i="13"/>
  <c r="K342" i="13"/>
  <c r="M342" i="13"/>
  <c r="Q342" i="13"/>
  <c r="S342" i="13"/>
  <c r="I343" i="13"/>
  <c r="J343" i="13"/>
  <c r="Q343" i="13"/>
  <c r="S343" i="13"/>
  <c r="I344" i="13"/>
  <c r="J344" i="13"/>
  <c r="Q344" i="13"/>
  <c r="S344" i="13"/>
  <c r="I345" i="13"/>
  <c r="J345" i="13"/>
  <c r="K345" i="13"/>
  <c r="Q345" i="13"/>
  <c r="S345" i="13"/>
  <c r="I346" i="13"/>
  <c r="J346" i="13"/>
  <c r="K346" i="13"/>
  <c r="M346" i="13"/>
  <c r="O346" i="13"/>
  <c r="Q346" i="13"/>
  <c r="S346" i="13"/>
  <c r="I347" i="13"/>
  <c r="K347" i="13" s="1"/>
  <c r="J347" i="13"/>
  <c r="O347" i="13"/>
  <c r="Q347" i="13"/>
  <c r="S347" i="13"/>
  <c r="I348" i="13"/>
  <c r="K348" i="13" s="1"/>
  <c r="J348" i="13"/>
  <c r="O348" i="13"/>
  <c r="Q348" i="13"/>
  <c r="S348" i="13"/>
  <c r="I349" i="13"/>
  <c r="M349" i="13" s="1"/>
  <c r="J349" i="13"/>
  <c r="K349" i="13"/>
  <c r="Q349" i="13"/>
  <c r="S349" i="13"/>
  <c r="I350" i="13"/>
  <c r="O350" i="13" s="1"/>
  <c r="J350" i="13"/>
  <c r="K350" i="13"/>
  <c r="M350" i="13"/>
  <c r="Q350" i="13"/>
  <c r="S350" i="13"/>
  <c r="I351" i="13"/>
  <c r="J351" i="13"/>
  <c r="Q351" i="13"/>
  <c r="S351" i="13"/>
  <c r="I352" i="13"/>
  <c r="J352" i="13"/>
  <c r="Q352" i="13"/>
  <c r="S352" i="13"/>
  <c r="I353" i="13"/>
  <c r="J353" i="13"/>
  <c r="K353" i="13"/>
  <c r="O353" i="13"/>
  <c r="Q353" i="13"/>
  <c r="S353" i="13"/>
  <c r="I354" i="13"/>
  <c r="J354" i="13"/>
  <c r="K354" i="13"/>
  <c r="M354" i="13"/>
  <c r="O354" i="13"/>
  <c r="Q354" i="13"/>
  <c r="S354" i="13"/>
  <c r="I355" i="13"/>
  <c r="K355" i="13" s="1"/>
  <c r="J355" i="13"/>
  <c r="O355" i="13"/>
  <c r="Q355" i="13"/>
  <c r="S355" i="13"/>
  <c r="I356" i="13"/>
  <c r="K356" i="13" s="1"/>
  <c r="J356" i="13"/>
  <c r="O356" i="13"/>
  <c r="Q356" i="13"/>
  <c r="S356" i="13"/>
  <c r="I357" i="13"/>
  <c r="M357" i="13" s="1"/>
  <c r="J357" i="13"/>
  <c r="K357" i="13"/>
  <c r="Q357" i="13"/>
  <c r="S357" i="13"/>
  <c r="I358" i="13"/>
  <c r="O358" i="13" s="1"/>
  <c r="J358" i="13"/>
  <c r="K358" i="13"/>
  <c r="M358" i="13"/>
  <c r="Q358" i="13"/>
  <c r="S358" i="13"/>
  <c r="I359" i="13"/>
  <c r="J359" i="13"/>
  <c r="Q359" i="13"/>
  <c r="S359" i="13"/>
  <c r="I360" i="13"/>
  <c r="J360" i="13"/>
  <c r="Q360" i="13"/>
  <c r="S360" i="13"/>
  <c r="I361" i="13"/>
  <c r="J361" i="13"/>
  <c r="K361" i="13"/>
  <c r="O361" i="13"/>
  <c r="Q361" i="13"/>
  <c r="S361" i="13"/>
  <c r="I362" i="13"/>
  <c r="J362" i="13"/>
  <c r="K362" i="13"/>
  <c r="M362" i="13"/>
  <c r="O362" i="13"/>
  <c r="Q362" i="13"/>
  <c r="S362" i="13"/>
  <c r="I363" i="13"/>
  <c r="K363" i="13" s="1"/>
  <c r="J363" i="13"/>
  <c r="O363" i="13"/>
  <c r="Q363" i="13"/>
  <c r="S363" i="13"/>
  <c r="I364" i="13"/>
  <c r="K364" i="13" s="1"/>
  <c r="J364" i="13"/>
  <c r="O364" i="13"/>
  <c r="Q364" i="13"/>
  <c r="S364" i="13"/>
  <c r="I365" i="13"/>
  <c r="M365" i="13" s="1"/>
  <c r="J365" i="13"/>
  <c r="K365" i="13"/>
  <c r="Q365" i="13"/>
  <c r="S365" i="13"/>
  <c r="I366" i="13"/>
  <c r="O366" i="13" s="1"/>
  <c r="J366" i="13"/>
  <c r="K366" i="13"/>
  <c r="M366" i="13"/>
  <c r="Q366" i="13"/>
  <c r="S366" i="13"/>
  <c r="I367" i="13"/>
  <c r="J367" i="13"/>
  <c r="Q367" i="13"/>
  <c r="S367" i="13"/>
  <c r="I368" i="13"/>
  <c r="J368" i="13"/>
  <c r="Q368" i="13"/>
  <c r="S368" i="13"/>
  <c r="I369" i="13"/>
  <c r="J369" i="13"/>
  <c r="K369" i="13"/>
  <c r="O369" i="13"/>
  <c r="Q369" i="13"/>
  <c r="S369" i="13"/>
  <c r="I370" i="13"/>
  <c r="J370" i="13"/>
  <c r="K370" i="13"/>
  <c r="M370" i="13"/>
  <c r="O370" i="13"/>
  <c r="Q370" i="13"/>
  <c r="S370" i="13"/>
  <c r="I371" i="13"/>
  <c r="K371" i="13" s="1"/>
  <c r="J371" i="13"/>
  <c r="O371" i="13"/>
  <c r="Q371" i="13"/>
  <c r="S371" i="13"/>
  <c r="I372" i="13"/>
  <c r="K372" i="13" s="1"/>
  <c r="J372" i="13"/>
  <c r="O372" i="13"/>
  <c r="Q372" i="13"/>
  <c r="S372" i="13"/>
  <c r="I373" i="13"/>
  <c r="M373" i="13" s="1"/>
  <c r="J373" i="13"/>
  <c r="K373" i="13"/>
  <c r="Q373" i="13"/>
  <c r="S373" i="13"/>
  <c r="I374" i="13"/>
  <c r="O374" i="13" s="1"/>
  <c r="J374" i="13"/>
  <c r="K374" i="13"/>
  <c r="M374" i="13"/>
  <c r="Q374" i="13"/>
  <c r="S374" i="13"/>
  <c r="I375" i="13"/>
  <c r="J375" i="13"/>
  <c r="Q375" i="13"/>
  <c r="S375" i="13"/>
  <c r="I376" i="13"/>
  <c r="J376" i="13"/>
  <c r="Q376" i="13"/>
  <c r="S376" i="13"/>
  <c r="I377" i="13"/>
  <c r="J377" i="13"/>
  <c r="K377" i="13"/>
  <c r="O377" i="13"/>
  <c r="Q377" i="13"/>
  <c r="S377" i="13"/>
  <c r="I378" i="13"/>
  <c r="J378" i="13"/>
  <c r="K378" i="13"/>
  <c r="M378" i="13"/>
  <c r="O378" i="13"/>
  <c r="Q378" i="13"/>
  <c r="S378" i="13"/>
  <c r="I379" i="13"/>
  <c r="J379" i="13"/>
  <c r="O379" i="13"/>
  <c r="Q379" i="13"/>
  <c r="S379" i="13"/>
  <c r="I380" i="13"/>
  <c r="K380" i="13" s="1"/>
  <c r="J380" i="13"/>
  <c r="O380" i="13"/>
  <c r="P380" i="13"/>
  <c r="Q380" i="13"/>
  <c r="S380" i="13"/>
  <c r="I381" i="13"/>
  <c r="K381" i="13" s="1"/>
  <c r="J381" i="13"/>
  <c r="N381" i="13"/>
  <c r="O381" i="13"/>
  <c r="Q381" i="13"/>
  <c r="S381" i="13"/>
  <c r="I382" i="13"/>
  <c r="K382" i="13" s="1"/>
  <c r="J382" i="13"/>
  <c r="M382" i="13"/>
  <c r="O382" i="13"/>
  <c r="Q382" i="13"/>
  <c r="S382" i="13"/>
  <c r="I383" i="13"/>
  <c r="K383" i="13" s="1"/>
  <c r="J383" i="13"/>
  <c r="O383" i="13"/>
  <c r="Q383" i="13"/>
  <c r="S383" i="13"/>
  <c r="I384" i="13"/>
  <c r="M384" i="13" s="1"/>
  <c r="J384" i="13"/>
  <c r="K384" i="13"/>
  <c r="P384" i="13"/>
  <c r="Q384" i="13"/>
  <c r="S384" i="13"/>
  <c r="I385" i="13"/>
  <c r="M385" i="13" s="1"/>
  <c r="J385" i="13"/>
  <c r="K385" i="13"/>
  <c r="O385" i="13"/>
  <c r="Q385" i="13"/>
  <c r="S385" i="13"/>
  <c r="I386" i="13"/>
  <c r="L386" i="13" s="1"/>
  <c r="J386" i="13"/>
  <c r="K386" i="13"/>
  <c r="O386" i="13"/>
  <c r="Q386" i="13"/>
  <c r="S386" i="13"/>
  <c r="I387" i="13"/>
  <c r="M387" i="13" s="1"/>
  <c r="J387" i="13"/>
  <c r="K387" i="13"/>
  <c r="Q387" i="13"/>
  <c r="S387" i="13"/>
  <c r="I388" i="13"/>
  <c r="O388" i="13" s="1"/>
  <c r="J388" i="13"/>
  <c r="K388" i="13"/>
  <c r="M388" i="13"/>
  <c r="Q388" i="13"/>
  <c r="S388" i="13"/>
  <c r="I389" i="13"/>
  <c r="N389" i="13" s="1"/>
  <c r="J389" i="13"/>
  <c r="K389" i="13"/>
  <c r="M389" i="13"/>
  <c r="Q389" i="13"/>
  <c r="S389" i="13"/>
  <c r="I390" i="13"/>
  <c r="M390" i="13" s="1"/>
  <c r="J390" i="13"/>
  <c r="K390" i="13"/>
  <c r="L390" i="13"/>
  <c r="Q390" i="13"/>
  <c r="S390" i="13"/>
  <c r="I391" i="13"/>
  <c r="O391" i="13" s="1"/>
  <c r="J391" i="13"/>
  <c r="K391" i="13"/>
  <c r="M391" i="13"/>
  <c r="Q391" i="13"/>
  <c r="S391" i="13"/>
  <c r="I392" i="13"/>
  <c r="M392" i="13" s="1"/>
  <c r="J392" i="13"/>
  <c r="O392" i="13"/>
  <c r="Q392" i="13"/>
  <c r="S392" i="13"/>
  <c r="I393" i="13"/>
  <c r="J393" i="13"/>
  <c r="Q393" i="13"/>
  <c r="S393" i="13"/>
  <c r="I394" i="13"/>
  <c r="J394" i="13"/>
  <c r="L394" i="13"/>
  <c r="M394" i="13"/>
  <c r="Q394" i="13"/>
  <c r="S394" i="13"/>
  <c r="I395" i="13"/>
  <c r="M395" i="13" s="1"/>
  <c r="J395" i="13"/>
  <c r="O395" i="13"/>
  <c r="Q395" i="13"/>
  <c r="S395" i="13"/>
  <c r="I396" i="13"/>
  <c r="J396" i="13"/>
  <c r="O396" i="13"/>
  <c r="P396" i="13"/>
  <c r="Q396" i="13"/>
  <c r="S396" i="13"/>
  <c r="I397" i="13"/>
  <c r="J397" i="13"/>
  <c r="Q397" i="13"/>
  <c r="S397" i="13"/>
  <c r="I398" i="13"/>
  <c r="J398" i="13"/>
  <c r="L398" i="13"/>
  <c r="M398" i="13"/>
  <c r="Q398" i="13"/>
  <c r="S398" i="13"/>
  <c r="I399" i="13"/>
  <c r="N399" i="13" s="1"/>
  <c r="J399" i="13"/>
  <c r="K399" i="13"/>
  <c r="L399" i="13"/>
  <c r="P399" i="13"/>
  <c r="Q399" i="13"/>
  <c r="S399" i="13"/>
  <c r="I400" i="13"/>
  <c r="L400" i="13" s="1"/>
  <c r="J400" i="13"/>
  <c r="K400" i="13"/>
  <c r="O400" i="13"/>
  <c r="P400" i="13"/>
  <c r="Q400" i="13"/>
  <c r="S400" i="13"/>
  <c r="I401" i="13"/>
  <c r="M401" i="13" s="1"/>
  <c r="J401" i="13"/>
  <c r="N401" i="13"/>
  <c r="Q401" i="13"/>
  <c r="S401" i="13"/>
  <c r="I402" i="13"/>
  <c r="P402" i="13" s="1"/>
  <c r="J402" i="13"/>
  <c r="K402" i="13"/>
  <c r="L402" i="13"/>
  <c r="M402" i="13"/>
  <c r="N402" i="13"/>
  <c r="O402" i="13"/>
  <c r="Q402" i="13"/>
  <c r="S402" i="13"/>
  <c r="I403" i="13"/>
  <c r="N403" i="13" s="1"/>
  <c r="J403" i="13"/>
  <c r="K403" i="13"/>
  <c r="L403" i="13"/>
  <c r="M403" i="13"/>
  <c r="O403" i="13"/>
  <c r="P403" i="13"/>
  <c r="Q403" i="13"/>
  <c r="S403" i="13"/>
  <c r="I404" i="13"/>
  <c r="M404" i="13" s="1"/>
  <c r="J404" i="13"/>
  <c r="O404" i="13"/>
  <c r="Q404" i="13"/>
  <c r="S404" i="13"/>
  <c r="I405" i="13"/>
  <c r="K405" i="13" s="1"/>
  <c r="J405" i="13"/>
  <c r="L405" i="13"/>
  <c r="P405" i="13"/>
  <c r="Q405" i="13"/>
  <c r="S405" i="13"/>
  <c r="I406" i="13"/>
  <c r="K406" i="13" s="1"/>
  <c r="J406" i="13"/>
  <c r="Q406" i="13"/>
  <c r="S406" i="13"/>
  <c r="I407" i="13"/>
  <c r="J407" i="13"/>
  <c r="Q407" i="13"/>
  <c r="S407" i="13"/>
  <c r="I408" i="13"/>
  <c r="J408" i="13"/>
  <c r="K408" i="13"/>
  <c r="L408" i="13"/>
  <c r="M408" i="13"/>
  <c r="N408" i="13"/>
  <c r="O408" i="13"/>
  <c r="P408" i="13"/>
  <c r="Q408" i="13"/>
  <c r="S408" i="13"/>
  <c r="I409" i="13"/>
  <c r="L409" i="13" s="1"/>
  <c r="J409" i="13"/>
  <c r="Q409" i="13"/>
  <c r="S409" i="13"/>
  <c r="I410" i="13"/>
  <c r="M410" i="13" s="1"/>
  <c r="J410" i="13"/>
  <c r="K410" i="13"/>
  <c r="L410" i="13"/>
  <c r="O410" i="13"/>
  <c r="P410" i="13"/>
  <c r="Q410" i="13"/>
  <c r="S410" i="13"/>
  <c r="I411" i="13"/>
  <c r="J411" i="13"/>
  <c r="Q411" i="13"/>
  <c r="S411" i="13"/>
  <c r="I412" i="13"/>
  <c r="J412" i="13"/>
  <c r="K412" i="13"/>
  <c r="L412" i="13"/>
  <c r="M412" i="13"/>
  <c r="N412" i="13"/>
  <c r="O412" i="13"/>
  <c r="P412" i="13"/>
  <c r="Q412" i="13"/>
  <c r="S412" i="13"/>
  <c r="I413" i="13"/>
  <c r="L413" i="13" s="1"/>
  <c r="J413" i="13"/>
  <c r="Q413" i="13"/>
  <c r="S413" i="13"/>
  <c r="I414" i="13"/>
  <c r="M414" i="13" s="1"/>
  <c r="J414" i="13"/>
  <c r="K414" i="13"/>
  <c r="L414" i="13"/>
  <c r="O414" i="13"/>
  <c r="P414" i="13"/>
  <c r="Q414" i="13"/>
  <c r="S414" i="13"/>
  <c r="I415" i="13"/>
  <c r="J415" i="13"/>
  <c r="Q415" i="13"/>
  <c r="S415" i="13"/>
  <c r="I416" i="13"/>
  <c r="J416" i="13"/>
  <c r="K416" i="13"/>
  <c r="L416" i="13"/>
  <c r="M416" i="13"/>
  <c r="N416" i="13"/>
  <c r="O416" i="13"/>
  <c r="P416" i="13"/>
  <c r="Q416" i="13"/>
  <c r="S416" i="13"/>
  <c r="I417" i="13"/>
  <c r="K417" i="13" s="1"/>
  <c r="J417" i="13"/>
  <c r="M417" i="13"/>
  <c r="Q417" i="13"/>
  <c r="S417" i="13"/>
  <c r="I418" i="13"/>
  <c r="K418" i="13" s="1"/>
  <c r="J418" i="13"/>
  <c r="Q418" i="13"/>
  <c r="S418" i="13"/>
  <c r="I419" i="13"/>
  <c r="M419" i="13" s="1"/>
  <c r="J419" i="13"/>
  <c r="Q419" i="13"/>
  <c r="S419" i="13"/>
  <c r="I420" i="13"/>
  <c r="J420" i="13"/>
  <c r="K420" i="13"/>
  <c r="L420" i="13"/>
  <c r="M420" i="13"/>
  <c r="N420" i="13"/>
  <c r="O420" i="13"/>
  <c r="P420" i="13"/>
  <c r="Q420" i="13"/>
  <c r="S420" i="13"/>
  <c r="I421" i="13"/>
  <c r="J421" i="13"/>
  <c r="K421" i="13"/>
  <c r="L421" i="13"/>
  <c r="M421" i="13"/>
  <c r="N421" i="13"/>
  <c r="Q421" i="13"/>
  <c r="S421" i="13"/>
  <c r="I422" i="13"/>
  <c r="L422" i="13" s="1"/>
  <c r="J422" i="13"/>
  <c r="K422" i="13"/>
  <c r="O422" i="13"/>
  <c r="Q422" i="13"/>
  <c r="S422" i="13"/>
  <c r="I423" i="13"/>
  <c r="N423" i="13" s="1"/>
  <c r="J423" i="13"/>
  <c r="M423" i="13"/>
  <c r="O423" i="13"/>
  <c r="Q423" i="13"/>
  <c r="S423" i="13"/>
  <c r="I424" i="13"/>
  <c r="J424" i="13"/>
  <c r="K424" i="13"/>
  <c r="L424" i="13"/>
  <c r="M424" i="13"/>
  <c r="N424" i="13"/>
  <c r="O424" i="13"/>
  <c r="P424" i="13"/>
  <c r="Q424" i="13"/>
  <c r="S424" i="13"/>
  <c r="I425" i="13"/>
  <c r="J425" i="13"/>
  <c r="K425" i="13"/>
  <c r="M425" i="13"/>
  <c r="Q425" i="13"/>
  <c r="S425" i="13"/>
  <c r="I426" i="13"/>
  <c r="J426" i="13"/>
  <c r="K426" i="13"/>
  <c r="Q426" i="13"/>
  <c r="S426" i="13"/>
  <c r="I427" i="13"/>
  <c r="J427" i="13"/>
  <c r="M427" i="13"/>
  <c r="Q427" i="13"/>
  <c r="S427" i="13"/>
  <c r="I428" i="13"/>
  <c r="J428" i="13"/>
  <c r="K428" i="13"/>
  <c r="L428" i="13"/>
  <c r="M428" i="13"/>
  <c r="N428" i="13"/>
  <c r="O428" i="13"/>
  <c r="P428" i="13"/>
  <c r="Q428" i="13"/>
  <c r="S428" i="13"/>
  <c r="I429" i="13"/>
  <c r="J429" i="13"/>
  <c r="Q429" i="13"/>
  <c r="S429" i="13"/>
  <c r="I430" i="13"/>
  <c r="J430" i="13"/>
  <c r="Q430" i="13"/>
  <c r="S430" i="13"/>
  <c r="I431" i="13"/>
  <c r="J431" i="13"/>
  <c r="Q431" i="13"/>
  <c r="S431" i="13"/>
  <c r="I432" i="13"/>
  <c r="J432" i="13"/>
  <c r="K432" i="13"/>
  <c r="L432" i="13"/>
  <c r="M432" i="13"/>
  <c r="N432" i="13"/>
  <c r="O432" i="13"/>
  <c r="P432" i="13"/>
  <c r="Q432" i="13"/>
  <c r="S432" i="13"/>
  <c r="I433" i="13"/>
  <c r="P433" i="13" s="1"/>
  <c r="J433" i="13"/>
  <c r="M433" i="13"/>
  <c r="O433" i="13"/>
  <c r="Q433" i="13"/>
  <c r="S433" i="13"/>
  <c r="I434" i="13"/>
  <c r="N434" i="13" s="1"/>
  <c r="J434" i="13"/>
  <c r="L434" i="13"/>
  <c r="M434" i="13"/>
  <c r="O434" i="13"/>
  <c r="P434" i="13"/>
  <c r="Q434" i="13"/>
  <c r="S434" i="13"/>
  <c r="I435" i="13"/>
  <c r="L435" i="13" s="1"/>
  <c r="J435" i="13"/>
  <c r="K435" i="13"/>
  <c r="N435" i="13"/>
  <c r="P435" i="13"/>
  <c r="Q435" i="13"/>
  <c r="S435" i="13"/>
  <c r="I436" i="13"/>
  <c r="J436" i="13"/>
  <c r="K436" i="13"/>
  <c r="L436" i="13"/>
  <c r="M436" i="13"/>
  <c r="N436" i="13"/>
  <c r="O436" i="13"/>
  <c r="P436" i="13"/>
  <c r="Q436" i="13"/>
  <c r="S436" i="13"/>
  <c r="I437" i="13"/>
  <c r="P437" i="13" s="1"/>
  <c r="J437" i="13"/>
  <c r="L437" i="13"/>
  <c r="N437" i="13"/>
  <c r="Q437" i="13"/>
  <c r="S437" i="13"/>
  <c r="I438" i="13"/>
  <c r="J438" i="13"/>
  <c r="Q438" i="13"/>
  <c r="S438" i="13"/>
  <c r="I439" i="13"/>
  <c r="L439" i="13" s="1"/>
  <c r="J439" i="13"/>
  <c r="M439" i="13"/>
  <c r="O439" i="13"/>
  <c r="P439" i="13"/>
  <c r="Q439" i="13"/>
  <c r="S439" i="13"/>
  <c r="I440" i="13"/>
  <c r="P440" i="13" s="1"/>
  <c r="J440" i="13"/>
  <c r="O440" i="13"/>
  <c r="Q440" i="13"/>
  <c r="S440" i="13"/>
  <c r="I441" i="13"/>
  <c r="P441" i="13" s="1"/>
  <c r="J441" i="13"/>
  <c r="K441" i="13"/>
  <c r="M441" i="13"/>
  <c r="O441" i="13"/>
  <c r="Q441" i="13"/>
  <c r="S441" i="13"/>
  <c r="I442" i="13"/>
  <c r="N442" i="13" s="1"/>
  <c r="J442" i="13"/>
  <c r="K442" i="13"/>
  <c r="L442" i="13"/>
  <c r="M442" i="13"/>
  <c r="O442" i="13"/>
  <c r="P442" i="13"/>
  <c r="Q442" i="13"/>
  <c r="S442" i="13"/>
  <c r="I443" i="13"/>
  <c r="L443" i="13" s="1"/>
  <c r="J443" i="13"/>
  <c r="K443" i="13"/>
  <c r="Q443" i="13"/>
  <c r="S443" i="13"/>
  <c r="I444" i="13"/>
  <c r="K444" i="13" s="1"/>
  <c r="J444" i="13"/>
  <c r="L444" i="13"/>
  <c r="N444" i="13"/>
  <c r="P444" i="13"/>
  <c r="Q444" i="13"/>
  <c r="S444" i="13"/>
  <c r="I445" i="13"/>
  <c r="P445" i="13" s="1"/>
  <c r="J445" i="13"/>
  <c r="L445" i="13"/>
  <c r="N445" i="13"/>
  <c r="O445" i="13"/>
  <c r="Q445" i="13"/>
  <c r="S445" i="13"/>
  <c r="I446" i="13"/>
  <c r="N446" i="13" s="1"/>
  <c r="J446" i="13"/>
  <c r="P446" i="13"/>
  <c r="Q446" i="13"/>
  <c r="S446" i="13"/>
  <c r="I447" i="13"/>
  <c r="L447" i="13" s="1"/>
  <c r="J447" i="13"/>
  <c r="M447" i="13"/>
  <c r="N447" i="13"/>
  <c r="O447" i="13"/>
  <c r="P447" i="13"/>
  <c r="Q447" i="13"/>
  <c r="S447" i="13"/>
  <c r="I448" i="13"/>
  <c r="N448" i="13" s="1"/>
  <c r="J448" i="13"/>
  <c r="K448" i="13"/>
  <c r="M448" i="13"/>
  <c r="O448" i="13"/>
  <c r="Q448" i="13"/>
  <c r="S448" i="13"/>
  <c r="I449" i="13"/>
  <c r="P449" i="13" s="1"/>
  <c r="J449" i="13"/>
  <c r="K449" i="13"/>
  <c r="Q449" i="13"/>
  <c r="S449" i="13"/>
  <c r="I450" i="13"/>
  <c r="N450" i="13" s="1"/>
  <c r="J450" i="13"/>
  <c r="L450" i="13"/>
  <c r="O450" i="13"/>
  <c r="Q450" i="13"/>
  <c r="S450" i="13"/>
  <c r="I451" i="13"/>
  <c r="J451" i="13"/>
  <c r="P451" i="13"/>
  <c r="Q451" i="13"/>
  <c r="S451" i="13"/>
  <c r="I452" i="13"/>
  <c r="K452" i="13" s="1"/>
  <c r="J452" i="13"/>
  <c r="L452" i="13"/>
  <c r="N452" i="13"/>
  <c r="O452" i="13"/>
  <c r="P452" i="13"/>
  <c r="Q452" i="13"/>
  <c r="S452" i="13"/>
  <c r="I453" i="13"/>
  <c r="P453" i="13" s="1"/>
  <c r="J453" i="13"/>
  <c r="L453" i="13"/>
  <c r="M453" i="13"/>
  <c r="N453" i="13"/>
  <c r="Q453" i="13"/>
  <c r="S453" i="13"/>
  <c r="I454" i="13"/>
  <c r="N454" i="13" s="1"/>
  <c r="J454" i="13"/>
  <c r="K454" i="13"/>
  <c r="M454" i="13"/>
  <c r="P454" i="13"/>
  <c r="Q454" i="13"/>
  <c r="S454" i="13"/>
  <c r="I455" i="13"/>
  <c r="L455" i="13" s="1"/>
  <c r="J455" i="13"/>
  <c r="K455" i="13"/>
  <c r="M455" i="13"/>
  <c r="N455" i="13"/>
  <c r="O455" i="13"/>
  <c r="P455" i="13"/>
  <c r="Q455" i="13"/>
  <c r="S455" i="13"/>
  <c r="I456" i="13"/>
  <c r="M456" i="13" s="1"/>
  <c r="J456" i="13"/>
  <c r="K456" i="13"/>
  <c r="Q456" i="13"/>
  <c r="S456" i="13"/>
  <c r="I457" i="13"/>
  <c r="J457" i="13"/>
  <c r="Q457" i="13"/>
  <c r="S457" i="13"/>
  <c r="I458" i="13"/>
  <c r="N458" i="13" s="1"/>
  <c r="J458" i="13"/>
  <c r="K458" i="13"/>
  <c r="L458" i="13"/>
  <c r="O458" i="13"/>
  <c r="P458" i="13"/>
  <c r="Q458" i="13"/>
  <c r="S458" i="13"/>
  <c r="I459" i="13"/>
  <c r="N459" i="13" s="1"/>
  <c r="J459" i="13"/>
  <c r="P459" i="13"/>
  <c r="Q459" i="13"/>
  <c r="S459" i="13"/>
  <c r="I460" i="13"/>
  <c r="O460" i="13" s="1"/>
  <c r="J460" i="13"/>
  <c r="L460" i="13"/>
  <c r="M460" i="13"/>
  <c r="N460" i="13"/>
  <c r="P460" i="13"/>
  <c r="Q460" i="13"/>
  <c r="S460" i="13"/>
  <c r="I461" i="13"/>
  <c r="J461" i="13"/>
  <c r="K461" i="13"/>
  <c r="L461" i="13"/>
  <c r="M461" i="13"/>
  <c r="N461" i="13"/>
  <c r="O461" i="13"/>
  <c r="P461" i="13"/>
  <c r="Q461" i="13"/>
  <c r="S461" i="13"/>
  <c r="I462" i="13"/>
  <c r="K462" i="13" s="1"/>
  <c r="J462" i="13"/>
  <c r="L462" i="13"/>
  <c r="N462" i="13"/>
  <c r="P462" i="13"/>
  <c r="Q462" i="13"/>
  <c r="S462" i="13"/>
  <c r="I463" i="13"/>
  <c r="M463" i="13" s="1"/>
  <c r="J463" i="13"/>
  <c r="K463" i="13"/>
  <c r="L463" i="13"/>
  <c r="N463" i="13"/>
  <c r="O463" i="13"/>
  <c r="P463" i="13"/>
  <c r="Q463" i="13"/>
  <c r="S463" i="13"/>
  <c r="I464" i="13"/>
  <c r="O464" i="13" s="1"/>
  <c r="J464" i="13"/>
  <c r="L464" i="13"/>
  <c r="M464" i="13"/>
  <c r="N464" i="13"/>
  <c r="P464" i="13"/>
  <c r="Q464" i="13"/>
  <c r="S464" i="13"/>
  <c r="I465" i="13"/>
  <c r="J465" i="13"/>
  <c r="K465" i="13"/>
  <c r="L465" i="13"/>
  <c r="M465" i="13"/>
  <c r="N465" i="13"/>
  <c r="O465" i="13"/>
  <c r="P465" i="13"/>
  <c r="Q465" i="13"/>
  <c r="S465" i="13"/>
  <c r="I466" i="13"/>
  <c r="K466" i="13" s="1"/>
  <c r="J466" i="13"/>
  <c r="L466" i="13"/>
  <c r="N466" i="13"/>
  <c r="P466" i="13"/>
  <c r="Q466" i="13"/>
  <c r="S466" i="13"/>
  <c r="I467" i="13"/>
  <c r="M467" i="13" s="1"/>
  <c r="J467" i="13"/>
  <c r="K467" i="13"/>
  <c r="L467" i="13"/>
  <c r="N467" i="13"/>
  <c r="O467" i="13"/>
  <c r="P467" i="13"/>
  <c r="Q467" i="13"/>
  <c r="S467" i="13"/>
  <c r="I468" i="13"/>
  <c r="O468" i="13" s="1"/>
  <c r="J468" i="13"/>
  <c r="L468" i="13"/>
  <c r="M468" i="13"/>
  <c r="N468" i="13"/>
  <c r="P468" i="13"/>
  <c r="Q468" i="13"/>
  <c r="S468" i="13"/>
  <c r="I469" i="13"/>
  <c r="J469" i="13"/>
  <c r="K469" i="13"/>
  <c r="L469" i="13"/>
  <c r="M469" i="13"/>
  <c r="N469" i="13"/>
  <c r="O469" i="13"/>
  <c r="P469" i="13"/>
  <c r="Q469" i="13"/>
  <c r="S469" i="13"/>
  <c r="I470" i="13"/>
  <c r="K470" i="13" s="1"/>
  <c r="J470" i="13"/>
  <c r="L470" i="13"/>
  <c r="P470" i="13"/>
  <c r="Q470" i="13"/>
  <c r="S470" i="13"/>
  <c r="I471" i="13"/>
  <c r="M471" i="13" s="1"/>
  <c r="J471" i="13"/>
  <c r="K471" i="13"/>
  <c r="L471" i="13"/>
  <c r="N471" i="13"/>
  <c r="O471" i="13"/>
  <c r="P471" i="13"/>
  <c r="Q471" i="13"/>
  <c r="S471" i="13"/>
  <c r="I472" i="13"/>
  <c r="O472" i="13" s="1"/>
  <c r="J472" i="13"/>
  <c r="L472" i="13"/>
  <c r="M472" i="13"/>
  <c r="N472" i="13"/>
  <c r="P472" i="13"/>
  <c r="Q472" i="13"/>
  <c r="S472" i="13"/>
  <c r="I473" i="13"/>
  <c r="J473" i="13"/>
  <c r="K473" i="13"/>
  <c r="L473" i="13"/>
  <c r="M473" i="13"/>
  <c r="N473" i="13"/>
  <c r="O473" i="13"/>
  <c r="P473" i="13"/>
  <c r="Q473" i="13"/>
  <c r="S473" i="13"/>
  <c r="I474" i="13"/>
  <c r="L474" i="13" s="1"/>
  <c r="J474" i="13"/>
  <c r="P474" i="13"/>
  <c r="Q474" i="13"/>
  <c r="S474" i="13"/>
  <c r="I475" i="13"/>
  <c r="M475" i="13" s="1"/>
  <c r="J475" i="13"/>
  <c r="K475" i="13"/>
  <c r="L475" i="13"/>
  <c r="N475" i="13"/>
  <c r="O475" i="13"/>
  <c r="P475" i="13"/>
  <c r="Q475" i="13"/>
  <c r="S475" i="13"/>
  <c r="I476" i="13"/>
  <c r="O476" i="13" s="1"/>
  <c r="J476" i="13"/>
  <c r="L476" i="13"/>
  <c r="M476" i="13"/>
  <c r="N476" i="13"/>
  <c r="P476" i="13"/>
  <c r="Q476" i="13"/>
  <c r="S476" i="13"/>
  <c r="I477" i="13"/>
  <c r="J477" i="13"/>
  <c r="K477" i="13"/>
  <c r="L477" i="13"/>
  <c r="M477" i="13"/>
  <c r="N477" i="13"/>
  <c r="O477" i="13"/>
  <c r="P477" i="13"/>
  <c r="Q477" i="13"/>
  <c r="S477" i="13"/>
  <c r="I478" i="13"/>
  <c r="L478" i="13" s="1"/>
  <c r="J478" i="13"/>
  <c r="N478" i="13"/>
  <c r="Q478" i="13"/>
  <c r="S478" i="13"/>
  <c r="I479" i="13"/>
  <c r="M479" i="13" s="1"/>
  <c r="J479" i="13"/>
  <c r="K479" i="13"/>
  <c r="L479" i="13"/>
  <c r="N479" i="13"/>
  <c r="O479" i="13"/>
  <c r="P479" i="13"/>
  <c r="Q479" i="13"/>
  <c r="S479" i="13"/>
  <c r="I480" i="13"/>
  <c r="O480" i="13" s="1"/>
  <c r="J480" i="13"/>
  <c r="L480" i="13"/>
  <c r="M480" i="13"/>
  <c r="N480" i="13"/>
  <c r="P480" i="13"/>
  <c r="Q480" i="13"/>
  <c r="S480" i="13"/>
  <c r="I481" i="13"/>
  <c r="J481" i="13"/>
  <c r="K481" i="13"/>
  <c r="L481" i="13"/>
  <c r="M481" i="13"/>
  <c r="N481" i="13"/>
  <c r="O481" i="13"/>
  <c r="P481" i="13"/>
  <c r="Q481" i="13"/>
  <c r="S481" i="13"/>
  <c r="I482" i="13"/>
  <c r="L482" i="13" s="1"/>
  <c r="J482" i="13"/>
  <c r="Q482" i="13"/>
  <c r="S482" i="13"/>
  <c r="I483" i="13"/>
  <c r="M483" i="13" s="1"/>
  <c r="J483" i="13"/>
  <c r="K483" i="13"/>
  <c r="L483" i="13"/>
  <c r="N483" i="13"/>
  <c r="O483" i="13"/>
  <c r="P483" i="13"/>
  <c r="Q483" i="13"/>
  <c r="S483" i="13"/>
  <c r="I484" i="13"/>
  <c r="J484" i="13"/>
  <c r="Q484" i="13"/>
  <c r="S484" i="13"/>
  <c r="I485" i="13"/>
  <c r="J485" i="13"/>
  <c r="K485" i="13"/>
  <c r="L485" i="13"/>
  <c r="M485" i="13"/>
  <c r="N485" i="13"/>
  <c r="O485" i="13"/>
  <c r="P485" i="13"/>
  <c r="Q485" i="13"/>
  <c r="S485" i="13"/>
  <c r="I486" i="13"/>
  <c r="L486" i="13" s="1"/>
  <c r="J486" i="13"/>
  <c r="Q486" i="13"/>
  <c r="S486" i="13"/>
  <c r="I487" i="13"/>
  <c r="M487" i="13" s="1"/>
  <c r="J487" i="13"/>
  <c r="K487" i="13"/>
  <c r="L487" i="13"/>
  <c r="N487" i="13"/>
  <c r="O487" i="13"/>
  <c r="P487" i="13"/>
  <c r="Q487" i="13"/>
  <c r="S487" i="13"/>
  <c r="I488" i="13"/>
  <c r="M488" i="13" s="1"/>
  <c r="J488" i="13"/>
  <c r="L488" i="13"/>
  <c r="N488" i="13"/>
  <c r="P488" i="13"/>
  <c r="Q488" i="13"/>
  <c r="S488" i="13"/>
  <c r="I489" i="13"/>
  <c r="J489" i="13"/>
  <c r="K489" i="13"/>
  <c r="L489" i="13"/>
  <c r="M489" i="13"/>
  <c r="N489" i="13"/>
  <c r="O489" i="13"/>
  <c r="P489" i="13"/>
  <c r="Q489" i="13"/>
  <c r="S489" i="13"/>
  <c r="I490" i="13"/>
  <c r="N490" i="13" s="1"/>
  <c r="J490" i="13"/>
  <c r="L490" i="13"/>
  <c r="M490" i="13"/>
  <c r="P490" i="13"/>
  <c r="Q490" i="13"/>
  <c r="S490" i="13"/>
  <c r="I491" i="13"/>
  <c r="M491" i="13" s="1"/>
  <c r="J491" i="13"/>
  <c r="K491" i="13"/>
  <c r="L491" i="13"/>
  <c r="N491" i="13"/>
  <c r="O491" i="13"/>
  <c r="P491" i="13"/>
  <c r="Q491" i="13"/>
  <c r="S491" i="13"/>
  <c r="I492" i="13"/>
  <c r="J492" i="13"/>
  <c r="L492" i="13"/>
  <c r="M492" i="13"/>
  <c r="N492" i="13"/>
  <c r="P492" i="13"/>
  <c r="Q492" i="13"/>
  <c r="S492" i="13"/>
  <c r="I493" i="13"/>
  <c r="J493" i="13"/>
  <c r="K493" i="13"/>
  <c r="L493" i="13"/>
  <c r="M493" i="13"/>
  <c r="N493" i="13"/>
  <c r="O493" i="13"/>
  <c r="P493" i="13"/>
  <c r="Q493" i="13"/>
  <c r="S493" i="13"/>
  <c r="I494" i="13"/>
  <c r="J494" i="13"/>
  <c r="Q494" i="13"/>
  <c r="S494" i="13"/>
  <c r="I495" i="13"/>
  <c r="M495" i="13" s="1"/>
  <c r="J495" i="13"/>
  <c r="K495" i="13"/>
  <c r="L495" i="13"/>
  <c r="N495" i="13"/>
  <c r="O495" i="13"/>
  <c r="P495" i="13"/>
  <c r="Q495" i="13"/>
  <c r="S495" i="13"/>
  <c r="I496" i="13"/>
  <c r="J496" i="13"/>
  <c r="L496" i="13"/>
  <c r="N496" i="13"/>
  <c r="Q496" i="13"/>
  <c r="S496" i="13"/>
  <c r="I497" i="13"/>
  <c r="J497" i="13"/>
  <c r="K497" i="13"/>
  <c r="L497" i="13"/>
  <c r="M497" i="13"/>
  <c r="N497" i="13"/>
  <c r="O497" i="13"/>
  <c r="P497" i="13"/>
  <c r="Q497" i="13"/>
  <c r="S497" i="13"/>
  <c r="I498" i="13"/>
  <c r="M498" i="13" s="1"/>
  <c r="J498" i="13"/>
  <c r="L498" i="13"/>
  <c r="N498" i="13"/>
  <c r="P498" i="13"/>
  <c r="Q498" i="13"/>
  <c r="S498" i="13"/>
  <c r="I499" i="13"/>
  <c r="M499" i="13" s="1"/>
  <c r="J499" i="13"/>
  <c r="K499" i="13"/>
  <c r="L499" i="13"/>
  <c r="N499" i="13"/>
  <c r="O499" i="13"/>
  <c r="P499" i="13"/>
  <c r="Q499" i="13"/>
  <c r="S499" i="13"/>
  <c r="I500" i="13"/>
  <c r="K500" i="13" s="1"/>
  <c r="J500" i="13"/>
  <c r="M500" i="13"/>
  <c r="N500" i="13"/>
  <c r="O500" i="13"/>
  <c r="P500" i="13"/>
  <c r="Q500" i="13"/>
  <c r="S500" i="13"/>
  <c r="I501" i="13"/>
  <c r="J501" i="13"/>
  <c r="K501" i="13"/>
  <c r="L501" i="13"/>
  <c r="M501" i="13"/>
  <c r="N501" i="13"/>
  <c r="O501" i="13"/>
  <c r="P501" i="13"/>
  <c r="Q501" i="13"/>
  <c r="S501" i="13"/>
  <c r="I502" i="13"/>
  <c r="O502" i="13" s="1"/>
  <c r="J502" i="13"/>
  <c r="Q502" i="13"/>
  <c r="S502" i="13"/>
  <c r="I503" i="13"/>
  <c r="J503" i="13"/>
  <c r="Q503" i="13"/>
  <c r="S503" i="13"/>
  <c r="I504" i="13"/>
  <c r="K504" i="13" s="1"/>
  <c r="J504" i="13"/>
  <c r="L504" i="13"/>
  <c r="N504" i="13"/>
  <c r="P504" i="13"/>
  <c r="Q504" i="13"/>
  <c r="S504" i="13"/>
  <c r="I505" i="13"/>
  <c r="J505" i="13"/>
  <c r="K505" i="13"/>
  <c r="L505" i="13"/>
  <c r="M505" i="13"/>
  <c r="N505" i="13"/>
  <c r="O505" i="13"/>
  <c r="P505" i="13"/>
  <c r="Q505" i="13"/>
  <c r="S505" i="13"/>
  <c r="I506" i="13"/>
  <c r="O506" i="13" s="1"/>
  <c r="J506" i="13"/>
  <c r="L506" i="13"/>
  <c r="M506" i="13"/>
  <c r="P506" i="13"/>
  <c r="Q506" i="13"/>
  <c r="S506" i="13"/>
  <c r="I507" i="13"/>
  <c r="M507" i="13" s="1"/>
  <c r="J507" i="13"/>
  <c r="K507" i="13"/>
  <c r="L507" i="13"/>
  <c r="O507" i="13"/>
  <c r="Q507" i="13"/>
  <c r="S507" i="13"/>
  <c r="I508" i="13"/>
  <c r="K508" i="13" s="1"/>
  <c r="J508" i="13"/>
  <c r="L508" i="13"/>
  <c r="M508" i="13"/>
  <c r="N508" i="13"/>
  <c r="O508" i="13"/>
  <c r="P508" i="13"/>
  <c r="Q508" i="13"/>
  <c r="S508" i="13"/>
  <c r="I509" i="13"/>
  <c r="J509" i="13"/>
  <c r="K509" i="13"/>
  <c r="L509" i="13"/>
  <c r="M509" i="13"/>
  <c r="N509" i="13"/>
  <c r="O509" i="13"/>
  <c r="P509" i="13"/>
  <c r="Q509" i="13"/>
  <c r="S509" i="13"/>
  <c r="I510" i="13"/>
  <c r="O510" i="13" s="1"/>
  <c r="J510" i="13"/>
  <c r="K510" i="13"/>
  <c r="M510" i="13"/>
  <c r="P510" i="13"/>
  <c r="Q510" i="13"/>
  <c r="S510" i="13"/>
  <c r="I511" i="13"/>
  <c r="M511" i="13" s="1"/>
  <c r="J511" i="13"/>
  <c r="P511" i="13"/>
  <c r="Q511" i="13"/>
  <c r="S511" i="13"/>
  <c r="I512" i="13"/>
  <c r="K512" i="13" s="1"/>
  <c r="J512" i="13"/>
  <c r="L512" i="13"/>
  <c r="N512" i="13"/>
  <c r="O512" i="13"/>
  <c r="Q512" i="13"/>
  <c r="S512" i="13"/>
  <c r="I513" i="13"/>
  <c r="J513" i="13"/>
  <c r="K513" i="13"/>
  <c r="L513" i="13"/>
  <c r="M513" i="13"/>
  <c r="N513" i="13"/>
  <c r="O513" i="13"/>
  <c r="P513" i="13"/>
  <c r="Q513" i="13"/>
  <c r="S513" i="13"/>
  <c r="I514" i="13"/>
  <c r="O514" i="13" s="1"/>
  <c r="J514" i="13"/>
  <c r="K514" i="13"/>
  <c r="L514" i="13"/>
  <c r="M514" i="13"/>
  <c r="N514" i="13"/>
  <c r="P514" i="13"/>
  <c r="Q514" i="13"/>
  <c r="S514" i="13"/>
  <c r="I515" i="13"/>
  <c r="M515" i="13" s="1"/>
  <c r="J515" i="13"/>
  <c r="Q515" i="13"/>
  <c r="S515" i="13"/>
  <c r="I516" i="13"/>
  <c r="J516" i="13"/>
  <c r="Q516" i="13"/>
  <c r="S516" i="13"/>
  <c r="I517" i="13"/>
  <c r="J517" i="13"/>
  <c r="K517" i="13"/>
  <c r="L517" i="13"/>
  <c r="M517" i="13"/>
  <c r="N517" i="13"/>
  <c r="O517" i="13"/>
  <c r="P517" i="13"/>
  <c r="Q517" i="13"/>
  <c r="S517" i="13"/>
  <c r="I518" i="13"/>
  <c r="O518" i="13" s="1"/>
  <c r="J518" i="13"/>
  <c r="M518" i="13"/>
  <c r="N518" i="13"/>
  <c r="Q518" i="13"/>
  <c r="S518" i="13"/>
  <c r="I519" i="13"/>
  <c r="M519" i="13" s="1"/>
  <c r="J519" i="13"/>
  <c r="L519" i="13"/>
  <c r="N519" i="13"/>
  <c r="P519" i="13"/>
  <c r="Q519" i="13"/>
  <c r="S519" i="13"/>
  <c r="I520" i="13"/>
  <c r="K520" i="13" s="1"/>
  <c r="J520" i="13"/>
  <c r="L520" i="13"/>
  <c r="M520" i="13"/>
  <c r="O520" i="13"/>
  <c r="Q520" i="13"/>
  <c r="S520" i="13"/>
  <c r="I521" i="13"/>
  <c r="J521" i="13"/>
  <c r="K521" i="13"/>
  <c r="L521" i="13"/>
  <c r="M521" i="13"/>
  <c r="N521" i="13"/>
  <c r="O521" i="13"/>
  <c r="P521" i="13"/>
  <c r="Q521" i="13"/>
  <c r="S521" i="13"/>
  <c r="I522" i="13"/>
  <c r="J522" i="13"/>
  <c r="Q522" i="13"/>
  <c r="S522" i="13"/>
  <c r="I523" i="13"/>
  <c r="M523" i="13" s="1"/>
  <c r="J523" i="13"/>
  <c r="K523" i="13"/>
  <c r="L523" i="13"/>
  <c r="N523" i="13"/>
  <c r="P523" i="13"/>
  <c r="Q523" i="13"/>
  <c r="S523" i="13"/>
  <c r="I524" i="13"/>
  <c r="K524" i="13" s="1"/>
  <c r="J524" i="13"/>
  <c r="P524" i="13"/>
  <c r="Q524" i="13"/>
  <c r="S524" i="13"/>
  <c r="I525" i="13"/>
  <c r="J525" i="13"/>
  <c r="K525" i="13"/>
  <c r="L525" i="13"/>
  <c r="M525" i="13"/>
  <c r="N525" i="13"/>
  <c r="O525" i="13"/>
  <c r="P525" i="13"/>
  <c r="Q525" i="13"/>
  <c r="S525" i="13"/>
  <c r="I526" i="13"/>
  <c r="O526" i="13" s="1"/>
  <c r="J526" i="13"/>
  <c r="K526" i="13"/>
  <c r="L526" i="13"/>
  <c r="N526" i="13"/>
  <c r="Q526" i="13"/>
  <c r="S526" i="13"/>
  <c r="I527" i="13"/>
  <c r="M527" i="13" s="1"/>
  <c r="J527" i="13"/>
  <c r="K527" i="13"/>
  <c r="L527" i="13"/>
  <c r="N527" i="13"/>
  <c r="O527" i="13"/>
  <c r="P527" i="13"/>
  <c r="Q527" i="13"/>
  <c r="S527" i="13"/>
  <c r="I528" i="13"/>
  <c r="K528" i="13" s="1"/>
  <c r="J528" i="13"/>
  <c r="Q528" i="13"/>
  <c r="S528" i="13"/>
  <c r="I529" i="13"/>
  <c r="J529" i="13"/>
  <c r="Q529" i="13"/>
  <c r="S529" i="13"/>
  <c r="I530" i="13"/>
  <c r="K530" i="13" s="1"/>
  <c r="J530" i="13"/>
  <c r="N530" i="13"/>
  <c r="O530" i="13"/>
  <c r="Q530" i="13"/>
  <c r="S530" i="13"/>
  <c r="I531" i="13"/>
  <c r="K531" i="13" s="1"/>
  <c r="J531" i="13"/>
  <c r="L531" i="13"/>
  <c r="M531" i="13"/>
  <c r="O531" i="13"/>
  <c r="P531" i="13"/>
  <c r="Q531" i="13"/>
  <c r="S531" i="13"/>
  <c r="I532" i="13"/>
  <c r="J532" i="13"/>
  <c r="K532" i="13"/>
  <c r="L532" i="13"/>
  <c r="M532" i="13"/>
  <c r="N532" i="13"/>
  <c r="O532" i="13"/>
  <c r="P532" i="13"/>
  <c r="Q532" i="13"/>
  <c r="S532" i="13"/>
  <c r="I533" i="13"/>
  <c r="J533" i="13"/>
  <c r="Q533" i="13"/>
  <c r="S533" i="13"/>
  <c r="I534" i="13"/>
  <c r="K534" i="13" s="1"/>
  <c r="J534" i="13"/>
  <c r="O534" i="13"/>
  <c r="Q534" i="13"/>
  <c r="S534" i="13"/>
  <c r="I535" i="13"/>
  <c r="K535" i="13" s="1"/>
  <c r="J535" i="13"/>
  <c r="L535" i="13"/>
  <c r="M535" i="13"/>
  <c r="O535" i="13"/>
  <c r="P535" i="13"/>
  <c r="Q535" i="13"/>
  <c r="S535" i="13"/>
  <c r="I536" i="13"/>
  <c r="J536" i="13"/>
  <c r="K536" i="13"/>
  <c r="L536" i="13"/>
  <c r="M536" i="13"/>
  <c r="N536" i="13"/>
  <c r="O536" i="13"/>
  <c r="P536" i="13"/>
  <c r="Q536" i="13"/>
  <c r="S536" i="13"/>
  <c r="I537" i="13"/>
  <c r="J537" i="13"/>
  <c r="Q537" i="13"/>
  <c r="S537" i="13"/>
  <c r="I538" i="13"/>
  <c r="J538" i="13"/>
  <c r="N538" i="13"/>
  <c r="O538" i="13"/>
  <c r="Q538" i="13"/>
  <c r="S538" i="13"/>
  <c r="I539" i="13"/>
  <c r="P539" i="13" s="1"/>
  <c r="J539" i="13"/>
  <c r="L539" i="13"/>
  <c r="M539" i="13"/>
  <c r="O539" i="13"/>
  <c r="Q539" i="13"/>
  <c r="S539" i="13"/>
  <c r="I540" i="13"/>
  <c r="J540" i="13"/>
  <c r="K540" i="13"/>
  <c r="L540" i="13"/>
  <c r="M540" i="13"/>
  <c r="N540" i="13"/>
  <c r="O540" i="13"/>
  <c r="P540" i="13"/>
  <c r="Q540" i="13"/>
  <c r="S540" i="13"/>
  <c r="I541" i="13"/>
  <c r="K541" i="13" s="1"/>
  <c r="J541" i="13"/>
  <c r="P541" i="13"/>
  <c r="Q541" i="13"/>
  <c r="S541" i="13"/>
  <c r="I542" i="13"/>
  <c r="N542" i="13" s="1"/>
  <c r="J542" i="13"/>
  <c r="Q542" i="13"/>
  <c r="S542" i="13"/>
  <c r="I543" i="13"/>
  <c r="P543" i="13" s="1"/>
  <c r="J543" i="13"/>
  <c r="L543" i="13"/>
  <c r="M543" i="13"/>
  <c r="O543" i="13"/>
  <c r="Q543" i="13"/>
  <c r="S543" i="13"/>
  <c r="I544" i="13"/>
  <c r="J544" i="13"/>
  <c r="K544" i="13"/>
  <c r="L544" i="13"/>
  <c r="M544" i="13"/>
  <c r="N544" i="13"/>
  <c r="O544" i="13"/>
  <c r="P544" i="13"/>
  <c r="Q544" i="13"/>
  <c r="S544" i="13"/>
  <c r="I545" i="13"/>
  <c r="J545" i="13"/>
  <c r="K545" i="13"/>
  <c r="P545" i="13"/>
  <c r="Q545" i="13"/>
  <c r="S545" i="13"/>
  <c r="I546" i="13"/>
  <c r="J546" i="13"/>
  <c r="O546" i="13"/>
  <c r="Q546" i="13"/>
  <c r="S546" i="13"/>
  <c r="I547" i="13"/>
  <c r="P547" i="13" s="1"/>
  <c r="J547" i="13"/>
  <c r="L547" i="13"/>
  <c r="M547" i="13"/>
  <c r="O547" i="13"/>
  <c r="Q547" i="13"/>
  <c r="S547" i="13"/>
  <c r="I548" i="13"/>
  <c r="L548" i="13" s="1"/>
  <c r="J548" i="13"/>
  <c r="K548" i="13"/>
  <c r="M548" i="13"/>
  <c r="N548" i="13"/>
  <c r="O548" i="13"/>
  <c r="P548" i="13"/>
  <c r="Q548" i="13"/>
  <c r="S548" i="13"/>
  <c r="I549" i="13"/>
  <c r="J549" i="13"/>
  <c r="K549" i="13"/>
  <c r="P549" i="13"/>
  <c r="Q549" i="13"/>
  <c r="S549" i="13"/>
  <c r="I550" i="13"/>
  <c r="N550" i="13" s="1"/>
  <c r="J550" i="13"/>
  <c r="Q550" i="13"/>
  <c r="S550" i="13"/>
  <c r="I551" i="13"/>
  <c r="P551" i="13" s="1"/>
  <c r="J551" i="13"/>
  <c r="L551" i="13"/>
  <c r="M551" i="13"/>
  <c r="O551" i="13"/>
  <c r="Q551" i="13"/>
  <c r="S551" i="13"/>
  <c r="I552" i="13"/>
  <c r="L552" i="13" s="1"/>
  <c r="J552" i="13"/>
  <c r="K552" i="13"/>
  <c r="M552" i="13"/>
  <c r="N552" i="13"/>
  <c r="O552" i="13"/>
  <c r="P552" i="13"/>
  <c r="Q552" i="13"/>
  <c r="S552" i="13"/>
  <c r="I553" i="13"/>
  <c r="J553" i="13"/>
  <c r="K553" i="13"/>
  <c r="P553" i="13"/>
  <c r="Q553" i="13"/>
  <c r="S553" i="13"/>
  <c r="I554" i="13"/>
  <c r="J554" i="13"/>
  <c r="Q554" i="13"/>
  <c r="S554" i="13"/>
  <c r="I555" i="13"/>
  <c r="P555" i="13" s="1"/>
  <c r="J555" i="13"/>
  <c r="L555" i="13"/>
  <c r="M555" i="13"/>
  <c r="O555" i="13"/>
  <c r="Q555" i="13"/>
  <c r="S555" i="13"/>
  <c r="I556" i="13"/>
  <c r="L556" i="13" s="1"/>
  <c r="J556" i="13"/>
  <c r="K556" i="13"/>
  <c r="M556" i="13"/>
  <c r="N556" i="13"/>
  <c r="O556" i="13"/>
  <c r="P556" i="13"/>
  <c r="Q556" i="13"/>
  <c r="S556" i="13"/>
  <c r="I557" i="13"/>
  <c r="J557" i="13"/>
  <c r="K557" i="13"/>
  <c r="M557" i="13"/>
  <c r="Q557" i="13"/>
  <c r="S557" i="13"/>
  <c r="I558" i="13"/>
  <c r="K558" i="13" s="1"/>
  <c r="J558" i="13"/>
  <c r="N558" i="13"/>
  <c r="O558" i="13"/>
  <c r="Q558" i="13"/>
  <c r="S558" i="13"/>
  <c r="I559" i="13"/>
  <c r="L559" i="13" s="1"/>
  <c r="J559" i="13"/>
  <c r="O559" i="13"/>
  <c r="Q559" i="13"/>
  <c r="S559" i="13"/>
  <c r="I560" i="13"/>
  <c r="L560" i="13" s="1"/>
  <c r="J560" i="13"/>
  <c r="K560" i="13"/>
  <c r="M560" i="13"/>
  <c r="N560" i="13"/>
  <c r="O560" i="13"/>
  <c r="P560" i="13"/>
  <c r="Q560" i="13"/>
  <c r="S560" i="13"/>
  <c r="I561" i="13"/>
  <c r="K561" i="13" s="1"/>
  <c r="J561" i="13"/>
  <c r="P561" i="13"/>
  <c r="Q561" i="13"/>
  <c r="S561" i="13"/>
  <c r="I562" i="13"/>
  <c r="K562" i="13" s="1"/>
  <c r="J562" i="13"/>
  <c r="Q562" i="13"/>
  <c r="S562" i="13"/>
  <c r="I563" i="13"/>
  <c r="J563" i="13"/>
  <c r="L563" i="13"/>
  <c r="M563" i="13"/>
  <c r="O563" i="13"/>
  <c r="Q563" i="13"/>
  <c r="S563" i="13"/>
  <c r="I564" i="13"/>
  <c r="L564" i="13" s="1"/>
  <c r="J564" i="13"/>
  <c r="K564" i="13"/>
  <c r="M564" i="13"/>
  <c r="N564" i="13"/>
  <c r="O564" i="13"/>
  <c r="P564" i="13"/>
  <c r="Q564" i="13"/>
  <c r="S564" i="13"/>
  <c r="I565" i="13"/>
  <c r="J565" i="13"/>
  <c r="K565" i="13"/>
  <c r="M565" i="13"/>
  <c r="P565" i="13"/>
  <c r="Q565" i="13"/>
  <c r="S565" i="13"/>
  <c r="I566" i="13"/>
  <c r="J566" i="13"/>
  <c r="Q566" i="13"/>
  <c r="S566" i="13"/>
  <c r="I567" i="13"/>
  <c r="J567" i="13"/>
  <c r="Q567" i="13"/>
  <c r="S567" i="13"/>
  <c r="I568" i="13"/>
  <c r="L568" i="13" s="1"/>
  <c r="J568" i="13"/>
  <c r="K568" i="13"/>
  <c r="M568" i="13"/>
  <c r="N568" i="13"/>
  <c r="O568" i="13"/>
  <c r="P568" i="13"/>
  <c r="Q568" i="13"/>
  <c r="S568" i="13"/>
  <c r="I569" i="13"/>
  <c r="J569" i="13"/>
  <c r="Q569" i="13"/>
  <c r="S569" i="13"/>
  <c r="I570" i="13"/>
  <c r="J570" i="13"/>
  <c r="K570" i="13"/>
  <c r="O570" i="13"/>
  <c r="Q570" i="13"/>
  <c r="S570" i="13"/>
  <c r="I571" i="13"/>
  <c r="J571" i="13"/>
  <c r="L571" i="13"/>
  <c r="M571" i="13"/>
  <c r="Q571" i="13"/>
  <c r="S571" i="13"/>
  <c r="I572" i="13"/>
  <c r="L572" i="13" s="1"/>
  <c r="J572" i="13"/>
  <c r="K572" i="13"/>
  <c r="M572" i="13"/>
  <c r="N572" i="13"/>
  <c r="O572" i="13"/>
  <c r="P572" i="13"/>
  <c r="Q572" i="13"/>
  <c r="S572" i="13"/>
  <c r="I573" i="13"/>
  <c r="J573" i="13"/>
  <c r="K573" i="13"/>
  <c r="M573" i="13"/>
  <c r="Q573" i="13"/>
  <c r="S573" i="13"/>
  <c r="I574" i="13"/>
  <c r="K574" i="13" s="1"/>
  <c r="J574" i="13"/>
  <c r="N574" i="13"/>
  <c r="O574" i="13"/>
  <c r="Q574" i="13"/>
  <c r="S574" i="13"/>
  <c r="I575" i="13"/>
  <c r="L575" i="13" s="1"/>
  <c r="J575" i="13"/>
  <c r="O575" i="13"/>
  <c r="Q575" i="13"/>
  <c r="S575" i="13"/>
  <c r="I576" i="13"/>
  <c r="L576" i="13" s="1"/>
  <c r="J576" i="13"/>
  <c r="K576" i="13"/>
  <c r="M576" i="13"/>
  <c r="N576" i="13"/>
  <c r="O576" i="13"/>
  <c r="P576" i="13"/>
  <c r="Q576" i="13"/>
  <c r="S576" i="13"/>
  <c r="I577" i="13"/>
  <c r="K577" i="13" s="1"/>
  <c r="J577" i="13"/>
  <c r="P577" i="13"/>
  <c r="Q577" i="13"/>
  <c r="S577" i="13"/>
  <c r="I578" i="13"/>
  <c r="K578" i="13" s="1"/>
  <c r="J578" i="13"/>
  <c r="Q578" i="13"/>
  <c r="S578" i="13"/>
  <c r="I579" i="13"/>
  <c r="J579" i="13"/>
  <c r="L579" i="13"/>
  <c r="M579" i="13"/>
  <c r="O579" i="13"/>
  <c r="Q579" i="13"/>
  <c r="S579" i="13"/>
  <c r="I580" i="13"/>
  <c r="N580" i="13" s="1"/>
  <c r="J580" i="13"/>
  <c r="K580" i="13"/>
  <c r="M580" i="13"/>
  <c r="O580" i="13"/>
  <c r="P580" i="13"/>
  <c r="Q580" i="13"/>
  <c r="S580" i="13"/>
  <c r="I581" i="13"/>
  <c r="J581" i="13"/>
  <c r="Q581" i="13"/>
  <c r="S581" i="13"/>
  <c r="I582" i="13"/>
  <c r="J582" i="13"/>
  <c r="Q582" i="13"/>
  <c r="S582" i="13"/>
  <c r="I583" i="13"/>
  <c r="J583" i="13"/>
  <c r="Q583" i="13"/>
  <c r="S583" i="13"/>
  <c r="I584" i="13"/>
  <c r="N584" i="13" s="1"/>
  <c r="J584" i="13"/>
  <c r="K584" i="13"/>
  <c r="M584" i="13"/>
  <c r="O584" i="13"/>
  <c r="P584" i="13"/>
  <c r="Q584" i="13"/>
  <c r="S584" i="13"/>
  <c r="I585" i="13"/>
  <c r="J585" i="13"/>
  <c r="Q585" i="13"/>
  <c r="S585" i="13"/>
  <c r="I586" i="13"/>
  <c r="J586" i="13"/>
  <c r="Q586" i="13"/>
  <c r="S586" i="13"/>
  <c r="I587" i="13"/>
  <c r="J587" i="13"/>
  <c r="Q587" i="13"/>
  <c r="S587" i="13"/>
  <c r="I588" i="13"/>
  <c r="N588" i="13" s="1"/>
  <c r="J588" i="13"/>
  <c r="K588" i="13"/>
  <c r="M588" i="13"/>
  <c r="O588" i="13"/>
  <c r="P588" i="13"/>
  <c r="Q588" i="13"/>
  <c r="S588" i="13"/>
  <c r="I589" i="13"/>
  <c r="L589" i="13" s="1"/>
  <c r="J589" i="13"/>
  <c r="K589" i="13"/>
  <c r="N589" i="13"/>
  <c r="O589" i="13"/>
  <c r="P589" i="13"/>
  <c r="Q589" i="13"/>
  <c r="S589" i="13"/>
  <c r="I590" i="13"/>
  <c r="P590" i="13" s="1"/>
  <c r="J590" i="13"/>
  <c r="Q590" i="13"/>
  <c r="S590" i="13"/>
  <c r="I591" i="13"/>
  <c r="J591" i="13"/>
  <c r="Q591" i="13"/>
  <c r="S591" i="13"/>
  <c r="I592" i="13"/>
  <c r="J592" i="13"/>
  <c r="Q592" i="13"/>
  <c r="S592" i="13"/>
  <c r="I593" i="13"/>
  <c r="J593" i="13"/>
  <c r="Q593" i="13"/>
  <c r="S593" i="13"/>
  <c r="I594" i="13"/>
  <c r="P594" i="13" s="1"/>
  <c r="J594" i="13"/>
  <c r="K594" i="13"/>
  <c r="L594" i="13"/>
  <c r="M594" i="13"/>
  <c r="N594" i="13"/>
  <c r="O594" i="13"/>
  <c r="Q594" i="13"/>
  <c r="S594" i="13"/>
  <c r="I595" i="13"/>
  <c r="K595" i="13" s="1"/>
  <c r="J595" i="13"/>
  <c r="O595" i="13"/>
  <c r="Q595" i="13"/>
  <c r="S595" i="13"/>
  <c r="I596" i="13"/>
  <c r="K596" i="13" s="1"/>
  <c r="J596" i="13"/>
  <c r="P596" i="13"/>
  <c r="Q596" i="13"/>
  <c r="S596" i="13"/>
  <c r="I597" i="13"/>
  <c r="L597" i="13" s="1"/>
  <c r="J597" i="13"/>
  <c r="O597" i="13"/>
  <c r="P597" i="13"/>
  <c r="Q597" i="13"/>
  <c r="S597" i="13"/>
  <c r="I598" i="13"/>
  <c r="P598" i="13" s="1"/>
  <c r="J598" i="13"/>
  <c r="M598" i="13"/>
  <c r="N598" i="13"/>
  <c r="Q598" i="13"/>
  <c r="S598" i="13"/>
  <c r="I599" i="13"/>
  <c r="K599" i="13" s="1"/>
  <c r="J599" i="13"/>
  <c r="L599" i="13"/>
  <c r="M599" i="13"/>
  <c r="Q599" i="13"/>
  <c r="S599" i="13"/>
  <c r="I600" i="13"/>
  <c r="K600" i="13" s="1"/>
  <c r="J600" i="13"/>
  <c r="M600" i="13"/>
  <c r="O600" i="13"/>
  <c r="Q600" i="13"/>
  <c r="S600" i="13"/>
  <c r="I601" i="13"/>
  <c r="L601" i="13" s="1"/>
  <c r="J601" i="13"/>
  <c r="M601" i="13"/>
  <c r="N601" i="13"/>
  <c r="P601" i="13"/>
  <c r="Q601" i="13"/>
  <c r="S601" i="13"/>
  <c r="I602" i="13"/>
  <c r="P602" i="13" s="1"/>
  <c r="J602" i="13"/>
  <c r="K602" i="13"/>
  <c r="L602" i="13"/>
  <c r="N602" i="13"/>
  <c r="O602" i="13"/>
  <c r="Q602" i="13"/>
  <c r="S602" i="13"/>
  <c r="I603" i="13"/>
  <c r="N603" i="13" s="1"/>
  <c r="J603" i="13"/>
  <c r="K603" i="13"/>
  <c r="M603" i="13"/>
  <c r="O603" i="13"/>
  <c r="P603" i="13"/>
  <c r="Q603" i="13"/>
  <c r="S603" i="13"/>
  <c r="I604" i="13"/>
  <c r="J604" i="13"/>
  <c r="M604" i="13"/>
  <c r="Q604" i="13"/>
  <c r="S604" i="13"/>
  <c r="I605" i="13"/>
  <c r="J605" i="13"/>
  <c r="P605" i="13"/>
  <c r="Q605" i="13"/>
  <c r="S605" i="13"/>
  <c r="I606" i="13"/>
  <c r="N606" i="13" s="1"/>
  <c r="J606" i="13"/>
  <c r="O606" i="13"/>
  <c r="Q606" i="13"/>
  <c r="S606" i="13"/>
  <c r="I607" i="13"/>
  <c r="N607" i="13" s="1"/>
  <c r="J607" i="13"/>
  <c r="M607" i="13"/>
  <c r="O607" i="13"/>
  <c r="Q607" i="13"/>
  <c r="S607" i="13"/>
  <c r="I608" i="13"/>
  <c r="L608" i="13" s="1"/>
  <c r="J608" i="13"/>
  <c r="M608" i="13"/>
  <c r="N608" i="13"/>
  <c r="P608" i="13"/>
  <c r="Q608" i="13"/>
  <c r="S608" i="13"/>
  <c r="I609" i="13"/>
  <c r="M609" i="13" s="1"/>
  <c r="J609" i="13"/>
  <c r="K609" i="13"/>
  <c r="L609" i="13"/>
  <c r="N609" i="13"/>
  <c r="O609" i="13"/>
  <c r="P609" i="13"/>
  <c r="Q609" i="13"/>
  <c r="S609" i="13"/>
  <c r="I610" i="13"/>
  <c r="L610" i="13" s="1"/>
  <c r="J610" i="13"/>
  <c r="Q610" i="13"/>
  <c r="S610" i="13"/>
  <c r="I611" i="13"/>
  <c r="J611" i="13"/>
  <c r="Q611" i="13"/>
  <c r="S611" i="13"/>
  <c r="I612" i="13"/>
  <c r="L612" i="13" s="1"/>
  <c r="J612" i="13"/>
  <c r="K612" i="13"/>
  <c r="M612" i="13"/>
  <c r="N612" i="13"/>
  <c r="O612" i="13"/>
  <c r="P612" i="13"/>
  <c r="Q612" i="13"/>
  <c r="S612" i="13"/>
  <c r="I613" i="13"/>
  <c r="O613" i="13" s="1"/>
  <c r="J613" i="13"/>
  <c r="N613" i="13"/>
  <c r="Q613" i="13"/>
  <c r="S613" i="13"/>
  <c r="I614" i="13"/>
  <c r="P614" i="13" s="1"/>
  <c r="J614" i="13"/>
  <c r="L614" i="13"/>
  <c r="M614" i="13"/>
  <c r="O614" i="13"/>
  <c r="Q614" i="13"/>
  <c r="S614" i="13"/>
  <c r="I615" i="13"/>
  <c r="N615" i="13" s="1"/>
  <c r="J615" i="13"/>
  <c r="K615" i="13"/>
  <c r="L615" i="13"/>
  <c r="O615" i="13"/>
  <c r="P615" i="13"/>
  <c r="Q615" i="13"/>
  <c r="S615" i="13"/>
  <c r="I616" i="13"/>
  <c r="L616" i="13" s="1"/>
  <c r="J616" i="13"/>
  <c r="K616" i="13"/>
  <c r="N616" i="13"/>
  <c r="O616" i="13"/>
  <c r="P616" i="13"/>
  <c r="Q616" i="13"/>
  <c r="S616" i="13"/>
  <c r="I617" i="13"/>
  <c r="L617" i="13" s="1"/>
  <c r="J617" i="13"/>
  <c r="Q617" i="13"/>
  <c r="S617" i="13"/>
  <c r="I618" i="13"/>
  <c r="P618" i="13" s="1"/>
  <c r="J618" i="13"/>
  <c r="K618" i="13"/>
  <c r="L618" i="13"/>
  <c r="M618" i="13"/>
  <c r="N618" i="13"/>
  <c r="O618" i="13"/>
  <c r="Q618" i="13"/>
  <c r="S618" i="13"/>
  <c r="I619" i="13"/>
  <c r="J619" i="13"/>
  <c r="K619" i="13"/>
  <c r="O619" i="13"/>
  <c r="Q619" i="13"/>
  <c r="S619" i="13"/>
  <c r="I620" i="13"/>
  <c r="L620" i="13" s="1"/>
  <c r="J620" i="13"/>
  <c r="N620" i="13"/>
  <c r="O620" i="13"/>
  <c r="Q620" i="13"/>
  <c r="S620" i="13"/>
  <c r="I621" i="13"/>
  <c r="M621" i="13" s="1"/>
  <c r="J621" i="13"/>
  <c r="L621" i="13"/>
  <c r="O621" i="13"/>
  <c r="Q621" i="13"/>
  <c r="S621" i="13"/>
  <c r="I622" i="13"/>
  <c r="P622" i="13" s="1"/>
  <c r="J622" i="13"/>
  <c r="K622" i="13"/>
  <c r="M622" i="13"/>
  <c r="N622" i="13"/>
  <c r="O622" i="13"/>
  <c r="Q622" i="13"/>
  <c r="S622" i="13"/>
  <c r="I623" i="13"/>
  <c r="M623" i="13" s="1"/>
  <c r="J623" i="13"/>
  <c r="L623" i="13"/>
  <c r="O623" i="13"/>
  <c r="Q623" i="13"/>
  <c r="S623" i="13"/>
  <c r="I624" i="13"/>
  <c r="J624" i="13"/>
  <c r="K624" i="13"/>
  <c r="M624" i="13"/>
  <c r="N624" i="13"/>
  <c r="Q624" i="13"/>
  <c r="S624" i="13"/>
  <c r="I625" i="13"/>
  <c r="J625" i="13"/>
  <c r="K625" i="13"/>
  <c r="L625" i="13"/>
  <c r="M625" i="13"/>
  <c r="N625" i="13"/>
  <c r="O625" i="13"/>
  <c r="P625" i="13"/>
  <c r="Q625" i="13"/>
  <c r="S625" i="13"/>
  <c r="I626" i="13"/>
  <c r="N626" i="13" s="1"/>
  <c r="J626" i="13"/>
  <c r="M626" i="13"/>
  <c r="Q626" i="13"/>
  <c r="S626" i="13"/>
  <c r="I627" i="13"/>
  <c r="J627" i="13"/>
  <c r="L627" i="13"/>
  <c r="M627" i="13"/>
  <c r="P627" i="13"/>
  <c r="Q627" i="13"/>
  <c r="S627" i="13"/>
  <c r="I628" i="13"/>
  <c r="L628" i="13" s="1"/>
  <c r="J628" i="13"/>
  <c r="K628" i="13"/>
  <c r="M628" i="13"/>
  <c r="O628" i="13"/>
  <c r="P628" i="13"/>
  <c r="Q628" i="13"/>
  <c r="S628" i="13"/>
  <c r="I629" i="13"/>
  <c r="L629" i="13" s="1"/>
  <c r="J629" i="13"/>
  <c r="K629" i="13"/>
  <c r="M629" i="13"/>
  <c r="N629" i="13"/>
  <c r="O629" i="13"/>
  <c r="Q629" i="13"/>
  <c r="S629" i="13"/>
  <c r="I630" i="13"/>
  <c r="K630" i="13" s="1"/>
  <c r="J630" i="13"/>
  <c r="L630" i="13"/>
  <c r="M630" i="13"/>
  <c r="Q630" i="13"/>
  <c r="S630" i="13"/>
  <c r="I631" i="13"/>
  <c r="N631" i="13" s="1"/>
  <c r="J631" i="13"/>
  <c r="K631" i="13"/>
  <c r="L631" i="13"/>
  <c r="M631" i="13"/>
  <c r="O631" i="13"/>
  <c r="P631" i="13"/>
  <c r="Q631" i="13"/>
  <c r="S631" i="13"/>
  <c r="I632" i="13"/>
  <c r="K632" i="13" s="1"/>
  <c r="J632" i="13"/>
  <c r="P632" i="13"/>
  <c r="Q632" i="13"/>
  <c r="S632" i="13"/>
  <c r="I633" i="13"/>
  <c r="M633" i="13" s="1"/>
  <c r="J633" i="13"/>
  <c r="Q633" i="13"/>
  <c r="S633" i="13"/>
  <c r="I634" i="13"/>
  <c r="P634" i="13" s="1"/>
  <c r="J634" i="13"/>
  <c r="K634" i="13"/>
  <c r="L634" i="13"/>
  <c r="N634" i="13"/>
  <c r="O634" i="13"/>
  <c r="Q634" i="13"/>
  <c r="S634" i="13"/>
  <c r="I635" i="13"/>
  <c r="N635" i="13" s="1"/>
  <c r="J635" i="13"/>
  <c r="K635" i="13"/>
  <c r="M635" i="13"/>
  <c r="O635" i="13"/>
  <c r="P635" i="13"/>
  <c r="Q635" i="13"/>
  <c r="S635" i="13"/>
  <c r="I636" i="13"/>
  <c r="J636" i="13"/>
  <c r="M636" i="13"/>
  <c r="N636" i="13"/>
  <c r="Q636" i="13"/>
  <c r="S636" i="13"/>
  <c r="I637" i="13"/>
  <c r="J637" i="13"/>
  <c r="Q637" i="13"/>
  <c r="S637" i="13"/>
  <c r="I638" i="13"/>
  <c r="J638" i="13"/>
  <c r="K638" i="13"/>
  <c r="M638" i="13"/>
  <c r="O638" i="13"/>
  <c r="Q638" i="13"/>
  <c r="S638" i="13"/>
  <c r="I639" i="13"/>
  <c r="J639" i="13"/>
  <c r="L639" i="13"/>
  <c r="M639" i="13"/>
  <c r="Q639" i="13"/>
  <c r="S639" i="13"/>
  <c r="I640" i="13"/>
  <c r="J640" i="13"/>
  <c r="Q640" i="13"/>
  <c r="S640" i="13"/>
  <c r="I641" i="13"/>
  <c r="M641" i="13" s="1"/>
  <c r="J641" i="13"/>
  <c r="K641" i="13"/>
  <c r="L641" i="13"/>
  <c r="N641" i="13"/>
  <c r="O641" i="13"/>
  <c r="P641" i="13"/>
  <c r="Q641" i="13"/>
  <c r="S641" i="13"/>
  <c r="I642" i="13"/>
  <c r="J642" i="13"/>
  <c r="L642" i="13"/>
  <c r="Q642" i="13"/>
  <c r="S642" i="13"/>
  <c r="I643" i="13"/>
  <c r="J643" i="13"/>
  <c r="Q643" i="13"/>
  <c r="S643" i="13"/>
  <c r="I644" i="13"/>
  <c r="L644" i="13" s="1"/>
  <c r="J644" i="13"/>
  <c r="K644" i="13"/>
  <c r="M644" i="13"/>
  <c r="N644" i="13"/>
  <c r="O644" i="13"/>
  <c r="P644" i="13"/>
  <c r="Q644" i="13"/>
  <c r="S644" i="13"/>
  <c r="I645" i="13"/>
  <c r="J645" i="13"/>
  <c r="K645" i="13"/>
  <c r="O645" i="13"/>
  <c r="Q645" i="13"/>
  <c r="S645" i="13"/>
  <c r="I646" i="13"/>
  <c r="J646" i="13"/>
  <c r="K646" i="13"/>
  <c r="Q646" i="13"/>
  <c r="S646" i="13"/>
  <c r="I647" i="13"/>
  <c r="N647" i="13" s="1"/>
  <c r="J647" i="13"/>
  <c r="K647" i="13"/>
  <c r="L647" i="13"/>
  <c r="O647" i="13"/>
  <c r="P647" i="13"/>
  <c r="Q647" i="13"/>
  <c r="S647" i="13"/>
  <c r="I648" i="13"/>
  <c r="J648" i="13"/>
  <c r="K648" i="13"/>
  <c r="Q648" i="13"/>
  <c r="S648" i="13"/>
  <c r="I649" i="13"/>
  <c r="J649" i="13"/>
  <c r="L649" i="13"/>
  <c r="Q649" i="13"/>
  <c r="S649" i="13"/>
  <c r="I650" i="13"/>
  <c r="P650" i="13" s="1"/>
  <c r="J650" i="13"/>
  <c r="K650" i="13"/>
  <c r="L650" i="13"/>
  <c r="M650" i="13"/>
  <c r="N650" i="13"/>
  <c r="O650" i="13"/>
  <c r="Q650" i="13"/>
  <c r="S650" i="13"/>
  <c r="I651" i="13"/>
  <c r="K651" i="13" s="1"/>
  <c r="J651" i="13"/>
  <c r="Q651" i="13"/>
  <c r="S651" i="13"/>
  <c r="I652" i="13"/>
  <c r="M652" i="13" s="1"/>
  <c r="J652" i="13"/>
  <c r="Q652" i="13"/>
  <c r="S652" i="13"/>
  <c r="I653" i="13"/>
  <c r="N653" i="13" s="1"/>
  <c r="J653" i="13"/>
  <c r="K653" i="13"/>
  <c r="Q653" i="13"/>
  <c r="S653" i="13"/>
  <c r="I654" i="13"/>
  <c r="K654" i="13" s="1"/>
  <c r="J654" i="13"/>
  <c r="Q654" i="13"/>
  <c r="S654" i="13"/>
  <c r="I655" i="13"/>
  <c r="L655" i="13" s="1"/>
  <c r="J655" i="13"/>
  <c r="Q655" i="13"/>
  <c r="S655" i="13"/>
  <c r="I656" i="13"/>
  <c r="J656" i="13"/>
  <c r="K656" i="13"/>
  <c r="Q656" i="13"/>
  <c r="S656" i="13"/>
  <c r="I657" i="13"/>
  <c r="J657" i="13"/>
  <c r="K657" i="13"/>
  <c r="L657" i="13"/>
  <c r="M657" i="13"/>
  <c r="N657" i="13"/>
  <c r="O657" i="13"/>
  <c r="P657" i="13"/>
  <c r="Q657" i="13"/>
  <c r="S657" i="13"/>
  <c r="I658" i="13"/>
  <c r="L658" i="13" s="1"/>
  <c r="J658" i="13"/>
  <c r="Q658" i="13"/>
  <c r="S658" i="13"/>
  <c r="I659" i="13"/>
  <c r="K659" i="13" s="1"/>
  <c r="J659" i="13"/>
  <c r="Q659" i="13"/>
  <c r="S659" i="13"/>
  <c r="I660" i="13"/>
  <c r="L660" i="13" s="1"/>
  <c r="J660" i="13"/>
  <c r="K660" i="13"/>
  <c r="M660" i="13"/>
  <c r="O660" i="13"/>
  <c r="P660" i="13"/>
  <c r="Q660" i="13"/>
  <c r="S660" i="13"/>
  <c r="I661" i="13"/>
  <c r="K661" i="13" s="1"/>
  <c r="J661" i="13"/>
  <c r="Q661" i="13"/>
  <c r="S661" i="13"/>
  <c r="I662" i="13"/>
  <c r="J662" i="13"/>
  <c r="Q662" i="13"/>
  <c r="S662" i="13"/>
  <c r="I663" i="13"/>
  <c r="N663" i="13" s="1"/>
  <c r="J663" i="13"/>
  <c r="K663" i="13"/>
  <c r="L663" i="13"/>
  <c r="M663" i="13"/>
  <c r="O663" i="13"/>
  <c r="P663" i="13"/>
  <c r="Q663" i="13"/>
  <c r="S663" i="13"/>
  <c r="I664" i="13"/>
  <c r="K664" i="13" s="1"/>
  <c r="J664" i="13"/>
  <c r="P664" i="13"/>
  <c r="Q664" i="13"/>
  <c r="S664" i="13"/>
  <c r="I665" i="13"/>
  <c r="L665" i="13" s="1"/>
  <c r="J665" i="13"/>
  <c r="P665" i="13"/>
  <c r="Q665" i="13"/>
  <c r="S665" i="13"/>
  <c r="I666" i="13"/>
  <c r="P666" i="13" s="1"/>
  <c r="J666" i="13"/>
  <c r="K666" i="13"/>
  <c r="L666" i="13"/>
  <c r="N666" i="13"/>
  <c r="O666" i="13"/>
  <c r="Q666" i="13"/>
  <c r="S666" i="13"/>
  <c r="I667" i="13"/>
  <c r="K667" i="13" s="1"/>
  <c r="J667" i="13"/>
  <c r="P667" i="13"/>
  <c r="Q667" i="13"/>
  <c r="S667" i="13"/>
  <c r="I668" i="13"/>
  <c r="M668" i="13" s="1"/>
  <c r="J668" i="13"/>
  <c r="Q668" i="13"/>
  <c r="S668" i="13"/>
  <c r="I669" i="13"/>
  <c r="P669" i="13" s="1"/>
  <c r="J669" i="13"/>
  <c r="Q669" i="13"/>
  <c r="S669" i="13"/>
  <c r="I670" i="13"/>
  <c r="K670" i="13" s="1"/>
  <c r="J670" i="13"/>
  <c r="O670" i="13"/>
  <c r="Q670" i="13"/>
  <c r="S670" i="13"/>
  <c r="I671" i="13"/>
  <c r="J671" i="13"/>
  <c r="Q671" i="13"/>
  <c r="S671" i="13"/>
  <c r="I672" i="13"/>
  <c r="J672" i="13"/>
  <c r="Q672" i="13"/>
  <c r="S672" i="13"/>
  <c r="I673" i="13"/>
  <c r="M673" i="13" s="1"/>
  <c r="J673" i="13"/>
  <c r="K673" i="13"/>
  <c r="L673" i="13"/>
  <c r="N673" i="13"/>
  <c r="O673" i="13"/>
  <c r="P673" i="13"/>
  <c r="Q673" i="13"/>
  <c r="S673" i="13"/>
  <c r="I674" i="13"/>
  <c r="J674" i="13"/>
  <c r="Q674" i="13"/>
  <c r="S674" i="13"/>
  <c r="I675" i="13"/>
  <c r="J675" i="13"/>
  <c r="Q675" i="13"/>
  <c r="S675" i="13"/>
  <c r="I676" i="13"/>
  <c r="L676" i="13" s="1"/>
  <c r="J676" i="13"/>
  <c r="K676" i="13"/>
  <c r="M676" i="13"/>
  <c r="N676" i="13"/>
  <c r="O676" i="13"/>
  <c r="P676" i="13"/>
  <c r="Q676" i="13"/>
  <c r="S676" i="13"/>
  <c r="I677" i="13"/>
  <c r="J677" i="13"/>
  <c r="Q677" i="13"/>
  <c r="S677" i="13"/>
  <c r="I678" i="13"/>
  <c r="O678" i="13" s="1"/>
  <c r="J678" i="13"/>
  <c r="Q678" i="13"/>
  <c r="S678" i="13"/>
  <c r="I679" i="13"/>
  <c r="J679" i="13"/>
  <c r="P679" i="13"/>
  <c r="Q679" i="13"/>
  <c r="S679" i="13"/>
  <c r="I680" i="13"/>
  <c r="J680" i="13"/>
  <c r="P680" i="13"/>
  <c r="Q680" i="13"/>
  <c r="S680" i="13"/>
  <c r="I681" i="13"/>
  <c r="O681" i="13" s="1"/>
  <c r="J681" i="13"/>
  <c r="Q681" i="13"/>
  <c r="S681" i="13"/>
  <c r="I682" i="13"/>
  <c r="P682" i="13" s="1"/>
  <c r="J682" i="13"/>
  <c r="K682" i="13"/>
  <c r="L682" i="13"/>
  <c r="M682" i="13"/>
  <c r="N682" i="13"/>
  <c r="O682" i="13"/>
  <c r="Q682" i="13"/>
  <c r="S682" i="13"/>
  <c r="I683" i="13"/>
  <c r="N683" i="13" s="1"/>
  <c r="J683" i="13"/>
  <c r="K683" i="13"/>
  <c r="L683" i="13"/>
  <c r="M683" i="13"/>
  <c r="O683" i="13"/>
  <c r="P683" i="13"/>
  <c r="Q683" i="13"/>
  <c r="S683" i="13"/>
  <c r="I684" i="13"/>
  <c r="J684" i="13"/>
  <c r="K684" i="13"/>
  <c r="M684" i="13"/>
  <c r="N684" i="13"/>
  <c r="O684" i="13"/>
  <c r="Q684" i="13"/>
  <c r="S684" i="13"/>
  <c r="I685" i="13"/>
  <c r="N685" i="13" s="1"/>
  <c r="J685" i="13"/>
  <c r="K685" i="13"/>
  <c r="L685" i="13"/>
  <c r="M685" i="13"/>
  <c r="O685" i="13"/>
  <c r="Q685" i="13"/>
  <c r="S685" i="13"/>
  <c r="I686" i="13"/>
  <c r="K686" i="13" s="1"/>
  <c r="J686" i="13"/>
  <c r="M686" i="13"/>
  <c r="N686" i="13"/>
  <c r="Q686" i="13"/>
  <c r="S686" i="13"/>
  <c r="I687" i="13"/>
  <c r="L687" i="13" s="1"/>
  <c r="J687" i="13"/>
  <c r="M687" i="13"/>
  <c r="O687" i="13"/>
  <c r="Q687" i="13"/>
  <c r="S687" i="13"/>
  <c r="I688" i="13"/>
  <c r="L688" i="13" s="1"/>
  <c r="J688" i="13"/>
  <c r="M688" i="13"/>
  <c r="N688" i="13"/>
  <c r="Q688" i="13"/>
  <c r="S688" i="13"/>
  <c r="I689" i="13"/>
  <c r="J689" i="13"/>
  <c r="K689" i="13"/>
  <c r="L689" i="13"/>
  <c r="M689" i="13"/>
  <c r="N689" i="13"/>
  <c r="O689" i="13"/>
  <c r="P689" i="13"/>
  <c r="Q689" i="13"/>
  <c r="S689" i="13"/>
  <c r="I690" i="13"/>
  <c r="J690" i="13"/>
  <c r="Q690" i="13"/>
  <c r="S690" i="13"/>
  <c r="I691" i="13"/>
  <c r="J691" i="13"/>
  <c r="Q691" i="13"/>
  <c r="S691" i="13"/>
  <c r="I692" i="13"/>
  <c r="J692" i="13"/>
  <c r="Q692" i="13"/>
  <c r="S692" i="13"/>
  <c r="I693" i="13"/>
  <c r="J693" i="13"/>
  <c r="P693" i="13"/>
  <c r="Q693" i="13"/>
  <c r="S693" i="13"/>
  <c r="I694" i="13"/>
  <c r="J694" i="13"/>
  <c r="Q694" i="13"/>
  <c r="S694" i="13"/>
  <c r="I695" i="13"/>
  <c r="N695" i="13" s="1"/>
  <c r="J695" i="13"/>
  <c r="K695" i="13"/>
  <c r="L695" i="13"/>
  <c r="M695" i="13"/>
  <c r="O695" i="13"/>
  <c r="P695" i="13"/>
  <c r="Q695" i="13"/>
  <c r="S695" i="13"/>
  <c r="I696" i="13"/>
  <c r="L696" i="13" s="1"/>
  <c r="J696" i="13"/>
  <c r="K696" i="13"/>
  <c r="M696" i="13"/>
  <c r="N696" i="13"/>
  <c r="O696" i="13"/>
  <c r="P696" i="13"/>
  <c r="Q696" i="13"/>
  <c r="S696" i="13"/>
  <c r="I697" i="13"/>
  <c r="O697" i="13" s="1"/>
  <c r="J697" i="13"/>
  <c r="K697" i="13"/>
  <c r="L697" i="13"/>
  <c r="M697" i="13"/>
  <c r="N697" i="13"/>
  <c r="Q697" i="13"/>
  <c r="S697" i="13"/>
  <c r="I698" i="13"/>
  <c r="K698" i="13" s="1"/>
  <c r="J698" i="13"/>
  <c r="L698" i="13"/>
  <c r="N698" i="13"/>
  <c r="Q698" i="13"/>
  <c r="S698" i="13"/>
  <c r="I699" i="13"/>
  <c r="K699" i="13" s="1"/>
  <c r="J699" i="13"/>
  <c r="M699" i="13"/>
  <c r="O699" i="13"/>
  <c r="Q699" i="13"/>
  <c r="S699" i="13"/>
  <c r="I700" i="13"/>
  <c r="L700" i="13" s="1"/>
  <c r="J700" i="13"/>
  <c r="M700" i="13"/>
  <c r="N700" i="13"/>
  <c r="Q700" i="13"/>
  <c r="S700" i="13"/>
  <c r="I701" i="13"/>
  <c r="J701" i="13"/>
  <c r="Q701" i="13"/>
  <c r="S701" i="13"/>
  <c r="I702" i="13"/>
  <c r="J702" i="13"/>
  <c r="Q702" i="13"/>
  <c r="S702" i="13"/>
  <c r="I703" i="13"/>
  <c r="J703" i="13"/>
  <c r="M703" i="13"/>
  <c r="O703" i="13"/>
  <c r="Q703" i="13"/>
  <c r="S703" i="13"/>
  <c r="I704" i="13"/>
  <c r="L704" i="13" s="1"/>
  <c r="J704" i="13"/>
  <c r="M704" i="13"/>
  <c r="N704" i="13"/>
  <c r="O704" i="13"/>
  <c r="P704" i="13"/>
  <c r="Q704" i="13"/>
  <c r="S704" i="13"/>
  <c r="I705" i="13"/>
  <c r="J705" i="13"/>
  <c r="K705" i="13"/>
  <c r="L705" i="13"/>
  <c r="M705" i="13"/>
  <c r="N705" i="13"/>
  <c r="O705" i="13"/>
  <c r="P705" i="13"/>
  <c r="Q705" i="13"/>
  <c r="S705" i="13"/>
  <c r="I706" i="13"/>
  <c r="J706" i="13"/>
  <c r="L706" i="13"/>
  <c r="M706" i="13"/>
  <c r="Q706" i="13"/>
  <c r="S706" i="13"/>
  <c r="I707" i="13"/>
  <c r="K707" i="13" s="1"/>
  <c r="J707" i="13"/>
  <c r="Q707" i="13"/>
  <c r="S707" i="13"/>
  <c r="I708" i="13"/>
  <c r="L708" i="13" s="1"/>
  <c r="J708" i="13"/>
  <c r="K708" i="13"/>
  <c r="P708" i="13"/>
  <c r="Q708" i="13"/>
  <c r="S708" i="13"/>
  <c r="I709" i="13"/>
  <c r="J709" i="13"/>
  <c r="Q709" i="13"/>
  <c r="S709" i="13"/>
  <c r="I710" i="13"/>
  <c r="P710" i="13" s="1"/>
  <c r="J710" i="13"/>
  <c r="L710" i="13"/>
  <c r="M710" i="13"/>
  <c r="N710" i="13"/>
  <c r="O710" i="13"/>
  <c r="Q710" i="13"/>
  <c r="S710" i="13"/>
  <c r="I711" i="13"/>
  <c r="N711" i="13" s="1"/>
  <c r="J711" i="13"/>
  <c r="K711" i="13"/>
  <c r="L711" i="13"/>
  <c r="M711" i="13"/>
  <c r="O711" i="13"/>
  <c r="P711" i="13"/>
  <c r="Q711" i="13"/>
  <c r="S711" i="13"/>
  <c r="I712" i="13"/>
  <c r="L712" i="13" s="1"/>
  <c r="J712" i="13"/>
  <c r="K712" i="13"/>
  <c r="M712" i="13"/>
  <c r="N712" i="13"/>
  <c r="O712" i="13"/>
  <c r="P712" i="13"/>
  <c r="Q712" i="13"/>
  <c r="S712" i="13"/>
  <c r="I713" i="13"/>
  <c r="J713" i="13"/>
  <c r="Q713" i="13"/>
  <c r="S713" i="13"/>
  <c r="I714" i="13"/>
  <c r="P714" i="13" s="1"/>
  <c r="J714" i="13"/>
  <c r="K714" i="13"/>
  <c r="O714" i="13"/>
  <c r="Q714" i="13"/>
  <c r="S714" i="13"/>
  <c r="I715" i="13"/>
  <c r="O715" i="13" s="1"/>
  <c r="J715" i="13"/>
  <c r="Q715" i="13"/>
  <c r="S715" i="13"/>
  <c r="I716" i="13"/>
  <c r="J716" i="13"/>
  <c r="N716" i="13"/>
  <c r="O716" i="13"/>
  <c r="Q716" i="13"/>
  <c r="S716" i="13"/>
  <c r="I717" i="13"/>
  <c r="K717" i="13" s="1"/>
  <c r="J717" i="13"/>
  <c r="L717" i="13"/>
  <c r="M717" i="13"/>
  <c r="O717" i="13"/>
  <c r="P717" i="13"/>
  <c r="Q717" i="13"/>
  <c r="S717" i="13"/>
  <c r="I718" i="13"/>
  <c r="P718" i="13" s="1"/>
  <c r="J718" i="13"/>
  <c r="K718" i="13"/>
  <c r="L718" i="13"/>
  <c r="M718" i="13"/>
  <c r="N718" i="13"/>
  <c r="O718" i="13"/>
  <c r="Q718" i="13"/>
  <c r="S718" i="13"/>
  <c r="I719" i="13"/>
  <c r="J719" i="13"/>
  <c r="Q719" i="13"/>
  <c r="S719" i="13"/>
  <c r="I720" i="13"/>
  <c r="J720" i="13"/>
  <c r="K720" i="13"/>
  <c r="Q720" i="13"/>
  <c r="S720" i="13"/>
  <c r="I721" i="13"/>
  <c r="L721" i="13" s="1"/>
  <c r="J721" i="13"/>
  <c r="K721" i="13"/>
  <c r="O721" i="13"/>
  <c r="P721" i="13"/>
  <c r="Q721" i="13"/>
  <c r="S721" i="13"/>
  <c r="I722" i="13"/>
  <c r="M722" i="13" s="1"/>
  <c r="J722" i="13"/>
  <c r="Q722" i="13"/>
  <c r="S722" i="13"/>
  <c r="I723" i="13"/>
  <c r="N723" i="13" s="1"/>
  <c r="J723" i="13"/>
  <c r="L723" i="13"/>
  <c r="M723" i="13"/>
  <c r="P723" i="13"/>
  <c r="Q723" i="13"/>
  <c r="S723" i="13"/>
  <c r="I724" i="13"/>
  <c r="L724" i="13" s="1"/>
  <c r="J724" i="13"/>
  <c r="K724" i="13"/>
  <c r="M724" i="13"/>
  <c r="N724" i="13"/>
  <c r="O724" i="13"/>
  <c r="P724" i="13"/>
  <c r="Q724" i="13"/>
  <c r="S724" i="13"/>
  <c r="I725" i="13"/>
  <c r="P725" i="13" s="1"/>
  <c r="J725" i="13"/>
  <c r="K725" i="13"/>
  <c r="L725" i="13"/>
  <c r="M725" i="13"/>
  <c r="N725" i="13"/>
  <c r="O725" i="13"/>
  <c r="Q725" i="13"/>
  <c r="S725" i="13"/>
  <c r="I726" i="13"/>
  <c r="L726" i="13" s="1"/>
  <c r="J726" i="13"/>
  <c r="K726" i="13"/>
  <c r="Q726" i="13"/>
  <c r="S726" i="13"/>
  <c r="I727" i="13"/>
  <c r="N727" i="13" s="1"/>
  <c r="J727" i="13"/>
  <c r="K727" i="13"/>
  <c r="P727" i="13"/>
  <c r="Q727" i="13"/>
  <c r="S727" i="13"/>
  <c r="I728" i="13"/>
  <c r="J728" i="13"/>
  <c r="O728" i="13"/>
  <c r="Q728" i="13"/>
  <c r="S728" i="13"/>
  <c r="I729" i="13"/>
  <c r="J729" i="13"/>
  <c r="M729" i="13"/>
  <c r="N729" i="13"/>
  <c r="P729" i="13"/>
  <c r="Q729" i="13"/>
  <c r="S729" i="13"/>
  <c r="I730" i="13"/>
  <c r="P730" i="13" s="1"/>
  <c r="J730" i="13"/>
  <c r="K730" i="13"/>
  <c r="L730" i="13"/>
  <c r="M730" i="13"/>
  <c r="N730" i="13"/>
  <c r="O730" i="13"/>
  <c r="Q730" i="13"/>
  <c r="S730" i="13"/>
  <c r="I731" i="13"/>
  <c r="N731" i="13" s="1"/>
  <c r="J731" i="13"/>
  <c r="K731" i="13"/>
  <c r="L731" i="13"/>
  <c r="M731" i="13"/>
  <c r="O731" i="13"/>
  <c r="P731" i="13"/>
  <c r="Q731" i="13"/>
  <c r="S731" i="13"/>
  <c r="I732" i="13"/>
  <c r="J732" i="13"/>
  <c r="M732" i="13"/>
  <c r="N732" i="13"/>
  <c r="Q732" i="13"/>
  <c r="S732" i="13"/>
  <c r="I733" i="13"/>
  <c r="K733" i="13" s="1"/>
  <c r="J733" i="13"/>
  <c r="Q733" i="13"/>
  <c r="S733" i="13"/>
  <c r="I734" i="13"/>
  <c r="O734" i="13" s="1"/>
  <c r="J734" i="13"/>
  <c r="N734" i="13"/>
  <c r="Q734" i="13"/>
  <c r="S734" i="13"/>
  <c r="I735" i="13"/>
  <c r="J735" i="13"/>
  <c r="Q735" i="13"/>
  <c r="S735" i="13"/>
  <c r="I736" i="13"/>
  <c r="L736" i="13" s="1"/>
  <c r="J736" i="13"/>
  <c r="M736" i="13"/>
  <c r="N736" i="13"/>
  <c r="P736" i="13"/>
  <c r="Q736" i="13"/>
  <c r="S736" i="13"/>
  <c r="I737" i="13"/>
  <c r="J737" i="13"/>
  <c r="K737" i="13"/>
  <c r="L737" i="13"/>
  <c r="M737" i="13"/>
  <c r="N737" i="13"/>
  <c r="O737" i="13"/>
  <c r="P737" i="13"/>
  <c r="Q737" i="13"/>
  <c r="S737" i="13"/>
  <c r="I738" i="13"/>
  <c r="J738" i="13"/>
  <c r="N738" i="13"/>
  <c r="Q738" i="13"/>
  <c r="S738" i="13"/>
  <c r="I739" i="13"/>
  <c r="J739" i="13"/>
  <c r="K739" i="13"/>
  <c r="Q739" i="13"/>
  <c r="S739" i="13"/>
  <c r="I740" i="13"/>
  <c r="L740" i="13" s="1"/>
  <c r="J740" i="13"/>
  <c r="K740" i="13"/>
  <c r="M740" i="13"/>
  <c r="P740" i="13"/>
  <c r="Q740" i="13"/>
  <c r="S740" i="13"/>
  <c r="I741" i="13"/>
  <c r="J741" i="13"/>
  <c r="K741" i="13"/>
  <c r="N741" i="13"/>
  <c r="O741" i="13"/>
  <c r="Q741" i="13"/>
  <c r="S741" i="13"/>
  <c r="I742" i="13"/>
  <c r="K742" i="13" s="1"/>
  <c r="J742" i="13"/>
  <c r="L742" i="13"/>
  <c r="M742" i="13"/>
  <c r="N742" i="13"/>
  <c r="Q742" i="13"/>
  <c r="S742" i="13"/>
  <c r="I743" i="13"/>
  <c r="J743" i="13"/>
  <c r="K743" i="13"/>
  <c r="L743" i="13"/>
  <c r="M743" i="13"/>
  <c r="N743" i="13"/>
  <c r="O743" i="13"/>
  <c r="P743" i="13"/>
  <c r="Q743" i="13"/>
  <c r="S743" i="13"/>
  <c r="I744" i="13"/>
  <c r="J744" i="13"/>
  <c r="Q744" i="13"/>
  <c r="S744" i="13"/>
  <c r="I745" i="13"/>
  <c r="J745" i="13"/>
  <c r="Q745" i="13"/>
  <c r="S745" i="13"/>
  <c r="I746" i="13"/>
  <c r="K746" i="13" s="1"/>
  <c r="J746" i="13"/>
  <c r="Q746" i="13"/>
  <c r="S746" i="13"/>
  <c r="I747" i="13"/>
  <c r="J747" i="13"/>
  <c r="K747" i="13"/>
  <c r="L747" i="13"/>
  <c r="M747" i="13"/>
  <c r="N747" i="13"/>
  <c r="O747" i="13"/>
  <c r="P747" i="13"/>
  <c r="Q747" i="13"/>
  <c r="S747" i="13"/>
  <c r="I748" i="13"/>
  <c r="L748" i="13" s="1"/>
  <c r="J748" i="13"/>
  <c r="K748" i="13"/>
  <c r="M748" i="13"/>
  <c r="P748" i="13"/>
  <c r="Q748" i="13"/>
  <c r="S748" i="13"/>
  <c r="I749" i="13"/>
  <c r="N749" i="13" s="1"/>
  <c r="J749" i="13"/>
  <c r="K749" i="13"/>
  <c r="O749" i="13"/>
  <c r="P749" i="13"/>
  <c r="Q749" i="13"/>
  <c r="S749" i="13"/>
  <c r="I750" i="13"/>
  <c r="K750" i="13" s="1"/>
  <c r="J750" i="13"/>
  <c r="L750" i="13"/>
  <c r="N750" i="13"/>
  <c r="O750" i="13"/>
  <c r="P750" i="13"/>
  <c r="Q750" i="13"/>
  <c r="S750" i="13"/>
  <c r="I751" i="13"/>
  <c r="P751" i="13" s="1"/>
  <c r="J751" i="13"/>
  <c r="K751" i="13"/>
  <c r="L751" i="13"/>
  <c r="M751" i="13"/>
  <c r="N751" i="13"/>
  <c r="O751" i="13"/>
  <c r="Q751" i="13"/>
  <c r="S751" i="13"/>
  <c r="I752" i="13"/>
  <c r="N752" i="13" s="1"/>
  <c r="J752" i="13"/>
  <c r="K752" i="13"/>
  <c r="L752" i="13"/>
  <c r="M752" i="13"/>
  <c r="Q752" i="13"/>
  <c r="S752" i="13"/>
  <c r="I753" i="13"/>
  <c r="L753" i="13" s="1"/>
  <c r="J753" i="13"/>
  <c r="K753" i="13"/>
  <c r="M753" i="13"/>
  <c r="O753" i="13"/>
  <c r="P753" i="13"/>
  <c r="Q753" i="13"/>
  <c r="S753" i="13"/>
  <c r="I754" i="13"/>
  <c r="L754" i="13" s="1"/>
  <c r="J754" i="13"/>
  <c r="K754" i="13"/>
  <c r="Q754" i="13"/>
  <c r="S754" i="13"/>
  <c r="I755" i="13"/>
  <c r="J755" i="13"/>
  <c r="Q755" i="13"/>
  <c r="S755" i="13"/>
  <c r="I756" i="13"/>
  <c r="J756" i="13"/>
  <c r="K756" i="13"/>
  <c r="L756" i="13"/>
  <c r="M756" i="13"/>
  <c r="N756" i="13"/>
  <c r="O756" i="13"/>
  <c r="P756" i="13"/>
  <c r="Q756" i="13"/>
  <c r="S756" i="13"/>
  <c r="I757" i="13"/>
  <c r="O757" i="13" s="1"/>
  <c r="J757" i="13"/>
  <c r="L757" i="13"/>
  <c r="M757" i="13"/>
  <c r="N757" i="13"/>
  <c r="Q757" i="13"/>
  <c r="S757" i="13"/>
  <c r="I758" i="13"/>
  <c r="M758" i="13" s="1"/>
  <c r="J758" i="13"/>
  <c r="K758" i="13"/>
  <c r="L758" i="13"/>
  <c r="N758" i="13"/>
  <c r="O758" i="13"/>
  <c r="P758" i="13"/>
  <c r="Q758" i="13"/>
  <c r="S758" i="13"/>
  <c r="I759" i="13"/>
  <c r="K759" i="13" s="1"/>
  <c r="J759" i="13"/>
  <c r="Q759" i="13"/>
  <c r="S759" i="13"/>
  <c r="I760" i="13"/>
  <c r="J760" i="13"/>
  <c r="K760" i="13"/>
  <c r="L760" i="13"/>
  <c r="M760" i="13"/>
  <c r="N760" i="13"/>
  <c r="O760" i="13"/>
  <c r="P760" i="13"/>
  <c r="Q760" i="13"/>
  <c r="S760" i="13"/>
  <c r="I761" i="13"/>
  <c r="O761" i="13" s="1"/>
  <c r="J761" i="13"/>
  <c r="M761" i="13"/>
  <c r="N761" i="13"/>
  <c r="Q761" i="13"/>
  <c r="S761" i="13"/>
  <c r="I762" i="13"/>
  <c r="M762" i="13" s="1"/>
  <c r="J762" i="13"/>
  <c r="K762" i="13"/>
  <c r="L762" i="13"/>
  <c r="N762" i="13"/>
  <c r="O762" i="13"/>
  <c r="P762" i="13"/>
  <c r="Q762" i="13"/>
  <c r="S762" i="13"/>
  <c r="I763" i="13"/>
  <c r="K763" i="13" s="1"/>
  <c r="J763" i="13"/>
  <c r="Q763" i="13"/>
  <c r="S763" i="13"/>
  <c r="I764" i="13"/>
  <c r="J764" i="13"/>
  <c r="K764" i="13"/>
  <c r="L764" i="13"/>
  <c r="M764" i="13"/>
  <c r="N764" i="13"/>
  <c r="O764" i="13"/>
  <c r="P764" i="13"/>
  <c r="Q764" i="13"/>
  <c r="S764" i="13"/>
  <c r="I765" i="13"/>
  <c r="O765" i="13" s="1"/>
  <c r="J765" i="13"/>
  <c r="M765" i="13"/>
  <c r="N765" i="13"/>
  <c r="Q765" i="13"/>
  <c r="S765" i="13"/>
  <c r="I766" i="13"/>
  <c r="M766" i="13" s="1"/>
  <c r="J766" i="13"/>
  <c r="K766" i="13"/>
  <c r="L766" i="13"/>
  <c r="N766" i="13"/>
  <c r="O766" i="13"/>
  <c r="P766" i="13"/>
  <c r="Q766" i="13"/>
  <c r="S766" i="13"/>
  <c r="I767" i="13"/>
  <c r="J767" i="13"/>
  <c r="Q767" i="13"/>
  <c r="S767" i="13"/>
  <c r="I768" i="13"/>
  <c r="J768" i="13"/>
  <c r="K768" i="13"/>
  <c r="L768" i="13"/>
  <c r="M768" i="13"/>
  <c r="N768" i="13"/>
  <c r="O768" i="13"/>
  <c r="P768" i="13"/>
  <c r="Q768" i="13"/>
  <c r="S768" i="13"/>
  <c r="I769" i="13"/>
  <c r="O769" i="13" s="1"/>
  <c r="J769" i="13"/>
  <c r="M769" i="13"/>
  <c r="N769" i="13"/>
  <c r="Q769" i="13"/>
  <c r="S769" i="13"/>
  <c r="I770" i="13"/>
  <c r="M770" i="13" s="1"/>
  <c r="J770" i="13"/>
  <c r="K770" i="13"/>
  <c r="L770" i="13"/>
  <c r="N770" i="13"/>
  <c r="O770" i="13"/>
  <c r="P770" i="13"/>
  <c r="Q770" i="13"/>
  <c r="S770" i="13"/>
  <c r="I771" i="13"/>
  <c r="J771" i="13"/>
  <c r="Q771" i="13"/>
  <c r="S771" i="13"/>
  <c r="I772" i="13"/>
  <c r="J772" i="13"/>
  <c r="K772" i="13"/>
  <c r="L772" i="13"/>
  <c r="M772" i="13"/>
  <c r="N772" i="13"/>
  <c r="O772" i="13"/>
  <c r="P772" i="13"/>
  <c r="Q772" i="13"/>
  <c r="S772" i="13"/>
  <c r="I773" i="13"/>
  <c r="J773" i="13"/>
  <c r="M773" i="13"/>
  <c r="N773" i="13"/>
  <c r="Q773" i="13"/>
  <c r="S773" i="13"/>
  <c r="I774" i="13"/>
  <c r="M774" i="13" s="1"/>
  <c r="J774" i="13"/>
  <c r="K774" i="13"/>
  <c r="L774" i="13"/>
  <c r="N774" i="13"/>
  <c r="O774" i="13"/>
  <c r="P774" i="13"/>
  <c r="Q774" i="13"/>
  <c r="S774" i="13"/>
  <c r="I775" i="13"/>
  <c r="M775" i="13" s="1"/>
  <c r="J775" i="13"/>
  <c r="Q775" i="13"/>
  <c r="S775" i="13"/>
  <c r="I776" i="13"/>
  <c r="J776" i="13"/>
  <c r="K776" i="13"/>
  <c r="L776" i="13"/>
  <c r="M776" i="13"/>
  <c r="N776" i="13"/>
  <c r="O776" i="13"/>
  <c r="P776" i="13"/>
  <c r="Q776" i="13"/>
  <c r="S776" i="13"/>
  <c r="I777" i="13"/>
  <c r="M777" i="13" s="1"/>
  <c r="J777" i="13"/>
  <c r="Q777" i="13"/>
  <c r="S777" i="13"/>
  <c r="I778" i="13"/>
  <c r="M778" i="13" s="1"/>
  <c r="J778" i="13"/>
  <c r="K778" i="13"/>
  <c r="L778" i="13"/>
  <c r="N778" i="13"/>
  <c r="O778" i="13"/>
  <c r="P778" i="13"/>
  <c r="Q778" i="13"/>
  <c r="S778" i="13"/>
  <c r="I779" i="13"/>
  <c r="M779" i="13" s="1"/>
  <c r="J779" i="13"/>
  <c r="Q779" i="13"/>
  <c r="S779" i="13"/>
  <c r="I780" i="13"/>
  <c r="J780" i="13"/>
  <c r="K780" i="13"/>
  <c r="L780" i="13"/>
  <c r="M780" i="13"/>
  <c r="N780" i="13"/>
  <c r="O780" i="13"/>
  <c r="P780" i="13"/>
  <c r="Q780" i="13"/>
  <c r="S780" i="13"/>
  <c r="I781" i="13"/>
  <c r="J781" i="13"/>
  <c r="M781" i="13"/>
  <c r="N781" i="13"/>
  <c r="Q781" i="13"/>
  <c r="S781" i="13"/>
  <c r="I782" i="13"/>
  <c r="M782" i="13" s="1"/>
  <c r="J782" i="13"/>
  <c r="K782" i="13"/>
  <c r="L782" i="13"/>
  <c r="N782" i="13"/>
  <c r="O782" i="13"/>
  <c r="P782" i="13"/>
  <c r="Q782" i="13"/>
  <c r="S782" i="13"/>
  <c r="I783" i="13"/>
  <c r="J783" i="13"/>
  <c r="M783" i="13"/>
  <c r="Q783" i="13"/>
  <c r="S783" i="13"/>
  <c r="I784" i="13"/>
  <c r="J784" i="13"/>
  <c r="K784" i="13"/>
  <c r="L784" i="13"/>
  <c r="M784" i="13"/>
  <c r="N784" i="13"/>
  <c r="O784" i="13"/>
  <c r="P784" i="13"/>
  <c r="Q784" i="13"/>
  <c r="S784" i="13"/>
  <c r="I785" i="13"/>
  <c r="J785" i="13"/>
  <c r="Q785" i="13"/>
  <c r="S785" i="13"/>
  <c r="I786" i="13"/>
  <c r="M786" i="13" s="1"/>
  <c r="J786" i="13"/>
  <c r="K786" i="13"/>
  <c r="L786" i="13"/>
  <c r="N786" i="13"/>
  <c r="O786" i="13"/>
  <c r="P786" i="13"/>
  <c r="Q786" i="13"/>
  <c r="S786" i="13"/>
  <c r="I787" i="13"/>
  <c r="M787" i="13" s="1"/>
  <c r="J787" i="13"/>
  <c r="Q787" i="13"/>
  <c r="S787" i="13"/>
  <c r="I788" i="13"/>
  <c r="J788" i="13"/>
  <c r="K788" i="13"/>
  <c r="L788" i="13"/>
  <c r="M788" i="13"/>
  <c r="N788" i="13"/>
  <c r="O788" i="13"/>
  <c r="P788" i="13"/>
  <c r="Q788" i="13"/>
  <c r="S788" i="13"/>
  <c r="I789" i="13"/>
  <c r="J789" i="13"/>
  <c r="M789" i="13"/>
  <c r="N789" i="13"/>
  <c r="Q789" i="13"/>
  <c r="S789" i="13"/>
  <c r="I790" i="13"/>
  <c r="M790" i="13" s="1"/>
  <c r="J790" i="13"/>
  <c r="K790" i="13"/>
  <c r="L790" i="13"/>
  <c r="O790" i="13"/>
  <c r="P790" i="13"/>
  <c r="Q790" i="13"/>
  <c r="S790" i="13"/>
  <c r="I791" i="13"/>
  <c r="M791" i="13" s="1"/>
  <c r="J791" i="13"/>
  <c r="Q791" i="13"/>
  <c r="S791" i="13"/>
  <c r="I792" i="13"/>
  <c r="J792" i="13"/>
  <c r="K792" i="13"/>
  <c r="L792" i="13"/>
  <c r="M792" i="13"/>
  <c r="N792" i="13"/>
  <c r="O792" i="13"/>
  <c r="P792" i="13"/>
  <c r="Q792" i="13"/>
  <c r="S792" i="13"/>
  <c r="I793" i="13"/>
  <c r="M793" i="13" s="1"/>
  <c r="J793" i="13"/>
  <c r="Q793" i="13"/>
  <c r="S793" i="13"/>
  <c r="I794" i="13"/>
  <c r="M794" i="13" s="1"/>
  <c r="J794" i="13"/>
  <c r="K794" i="13"/>
  <c r="L794" i="13"/>
  <c r="O794" i="13"/>
  <c r="P794" i="13"/>
  <c r="Q794" i="13"/>
  <c r="S794" i="13"/>
  <c r="I795" i="13"/>
  <c r="J795" i="13"/>
  <c r="M795" i="13"/>
  <c r="Q795" i="13"/>
  <c r="S795" i="13"/>
  <c r="I796" i="13"/>
  <c r="J796" i="13"/>
  <c r="K796" i="13"/>
  <c r="L796" i="13"/>
  <c r="M796" i="13"/>
  <c r="N796" i="13"/>
  <c r="O796" i="13"/>
  <c r="P796" i="13"/>
  <c r="Q796" i="13"/>
  <c r="S796" i="13"/>
  <c r="I797" i="13"/>
  <c r="J797" i="13"/>
  <c r="Q797" i="13"/>
  <c r="S797" i="13"/>
  <c r="I798" i="13"/>
  <c r="M798" i="13" s="1"/>
  <c r="J798" i="13"/>
  <c r="K798" i="13"/>
  <c r="L798" i="13"/>
  <c r="O798" i="13"/>
  <c r="P798" i="13"/>
  <c r="Q798" i="13"/>
  <c r="S798" i="13"/>
  <c r="I799" i="13"/>
  <c r="J799" i="13"/>
  <c r="M799" i="13"/>
  <c r="Q799" i="13"/>
  <c r="S799" i="13"/>
  <c r="I800" i="13"/>
  <c r="J800" i="13"/>
  <c r="K800" i="13"/>
  <c r="L800" i="13"/>
  <c r="M800" i="13"/>
  <c r="N800" i="13"/>
  <c r="O800" i="13"/>
  <c r="P800" i="13"/>
  <c r="Q800" i="13"/>
  <c r="S800" i="13"/>
  <c r="I801" i="13"/>
  <c r="M801" i="13" s="1"/>
  <c r="J801" i="13"/>
  <c r="N801" i="13"/>
  <c r="Q801" i="13"/>
  <c r="S801" i="13"/>
  <c r="I802" i="13"/>
  <c r="M802" i="13" s="1"/>
  <c r="J802" i="13"/>
  <c r="K802" i="13"/>
  <c r="L802" i="13"/>
  <c r="O802" i="13"/>
  <c r="P802" i="13"/>
  <c r="Q802" i="13"/>
  <c r="S802" i="13"/>
  <c r="I803" i="13"/>
  <c r="M803" i="13" s="1"/>
  <c r="J803" i="13"/>
  <c r="Q803" i="13"/>
  <c r="S803" i="13"/>
  <c r="I804" i="13"/>
  <c r="J804" i="13"/>
  <c r="K804" i="13"/>
  <c r="L804" i="13"/>
  <c r="M804" i="13"/>
  <c r="N804" i="13"/>
  <c r="O804" i="13"/>
  <c r="P804" i="13"/>
  <c r="Q804" i="13"/>
  <c r="S804" i="13"/>
  <c r="I805" i="13"/>
  <c r="L805" i="13" s="1"/>
  <c r="J805" i="13"/>
  <c r="Q805" i="13"/>
  <c r="S805" i="13"/>
  <c r="I806" i="13"/>
  <c r="M806" i="13" s="1"/>
  <c r="J806" i="13"/>
  <c r="K806" i="13"/>
  <c r="L806" i="13"/>
  <c r="O806" i="13"/>
  <c r="P806" i="13"/>
  <c r="Q806" i="13"/>
  <c r="S806" i="13"/>
  <c r="I807" i="13"/>
  <c r="P807" i="13" s="1"/>
  <c r="J807" i="13"/>
  <c r="M807" i="13"/>
  <c r="N807" i="13"/>
  <c r="Q807" i="13"/>
  <c r="S807" i="13"/>
  <c r="I808" i="13"/>
  <c r="J808" i="13"/>
  <c r="K808" i="13"/>
  <c r="L808" i="13"/>
  <c r="M808" i="13"/>
  <c r="N808" i="13"/>
  <c r="O808" i="13"/>
  <c r="P808" i="13"/>
  <c r="Q808" i="13"/>
  <c r="S808" i="13"/>
  <c r="I809" i="13"/>
  <c r="L809" i="13" s="1"/>
  <c r="J809" i="13"/>
  <c r="Q809" i="13"/>
  <c r="S809" i="13"/>
  <c r="I810" i="13"/>
  <c r="M810" i="13" s="1"/>
  <c r="J810" i="13"/>
  <c r="K810" i="13"/>
  <c r="L810" i="13"/>
  <c r="O810" i="13"/>
  <c r="P810" i="13"/>
  <c r="Q810" i="13"/>
  <c r="S810" i="13"/>
  <c r="I811" i="13"/>
  <c r="N811" i="13" s="1"/>
  <c r="J811" i="13"/>
  <c r="M811" i="13"/>
  <c r="Q811" i="13"/>
  <c r="S811" i="13"/>
  <c r="I812" i="13"/>
  <c r="J812" i="13"/>
  <c r="K812" i="13"/>
  <c r="L812" i="13"/>
  <c r="M812" i="13"/>
  <c r="N812" i="13"/>
  <c r="O812" i="13"/>
  <c r="P812" i="13"/>
  <c r="Q812" i="13"/>
  <c r="S812" i="13"/>
  <c r="I813" i="13"/>
  <c r="K813" i="13" s="1"/>
  <c r="J813" i="13"/>
  <c r="M813" i="13"/>
  <c r="Q813" i="13"/>
  <c r="S813" i="13"/>
  <c r="I814" i="13"/>
  <c r="K814" i="13" s="1"/>
  <c r="J814" i="13"/>
  <c r="O814" i="13"/>
  <c r="Q814" i="13"/>
  <c r="S814" i="13"/>
  <c r="I815" i="13"/>
  <c r="M815" i="13" s="1"/>
  <c r="J815" i="13"/>
  <c r="O815" i="13"/>
  <c r="Q815" i="13"/>
  <c r="S815" i="13"/>
  <c r="I816" i="13"/>
  <c r="J816" i="13"/>
  <c r="K816" i="13"/>
  <c r="L816" i="13"/>
  <c r="M816" i="13"/>
  <c r="N816" i="13"/>
  <c r="O816" i="13"/>
  <c r="P816" i="13"/>
  <c r="Q816" i="13"/>
  <c r="S816" i="13"/>
  <c r="I817" i="13"/>
  <c r="L817" i="13" s="1"/>
  <c r="J817" i="13"/>
  <c r="K817" i="13"/>
  <c r="M817" i="13"/>
  <c r="N817" i="13"/>
  <c r="Q817" i="13"/>
  <c r="S817" i="13"/>
  <c r="I818" i="13"/>
  <c r="L818" i="13" s="1"/>
  <c r="J818" i="13"/>
  <c r="K818" i="13"/>
  <c r="O818" i="13"/>
  <c r="P818" i="13"/>
  <c r="Q818" i="13"/>
  <c r="S818" i="13"/>
  <c r="I819" i="13"/>
  <c r="N819" i="13" s="1"/>
  <c r="J819" i="13"/>
  <c r="M819" i="13"/>
  <c r="O819" i="13"/>
  <c r="P819" i="13"/>
  <c r="Q819" i="13"/>
  <c r="S819" i="13"/>
  <c r="I820" i="13"/>
  <c r="J820" i="13"/>
  <c r="K820" i="13"/>
  <c r="L820" i="13"/>
  <c r="M820" i="13"/>
  <c r="N820" i="13"/>
  <c r="O820" i="13"/>
  <c r="P820" i="13"/>
  <c r="Q820" i="13"/>
  <c r="S820" i="13"/>
  <c r="I821" i="13"/>
  <c r="J821" i="13"/>
  <c r="Q821" i="13"/>
  <c r="S821" i="13"/>
  <c r="I822" i="13"/>
  <c r="J822" i="13"/>
  <c r="Q822" i="13"/>
  <c r="S822" i="13"/>
  <c r="I823" i="13"/>
  <c r="J823" i="13"/>
  <c r="Q823" i="13"/>
  <c r="S823" i="13"/>
  <c r="I824" i="13"/>
  <c r="J824" i="13"/>
  <c r="K824" i="13"/>
  <c r="L824" i="13"/>
  <c r="M824" i="13"/>
  <c r="N824" i="13"/>
  <c r="O824" i="13"/>
  <c r="P824" i="13"/>
  <c r="Q824" i="13"/>
  <c r="S824" i="13"/>
  <c r="I825" i="13"/>
  <c r="L825" i="13" s="1"/>
  <c r="J825" i="13"/>
  <c r="K825" i="13"/>
  <c r="Q825" i="13"/>
  <c r="S825" i="13"/>
  <c r="I826" i="13"/>
  <c r="L826" i="13" s="1"/>
  <c r="J826" i="13"/>
  <c r="K826" i="13"/>
  <c r="Q826" i="13"/>
  <c r="S826" i="13"/>
  <c r="I827" i="13"/>
  <c r="N827" i="13" s="1"/>
  <c r="J827" i="13"/>
  <c r="M827" i="13"/>
  <c r="Q827" i="13"/>
  <c r="S827" i="13"/>
  <c r="I828" i="13"/>
  <c r="J828" i="13"/>
  <c r="K828" i="13"/>
  <c r="L828" i="13"/>
  <c r="M828" i="13"/>
  <c r="N828" i="13"/>
  <c r="O828" i="13"/>
  <c r="P828" i="13"/>
  <c r="Q828" i="13"/>
  <c r="S828" i="13"/>
  <c r="I829" i="13"/>
  <c r="K829" i="13" s="1"/>
  <c r="J829" i="13"/>
  <c r="M829" i="13"/>
  <c r="Q829" i="13"/>
  <c r="S829" i="13"/>
  <c r="I830" i="13"/>
  <c r="K830" i="13" s="1"/>
  <c r="J830" i="13"/>
  <c r="O830" i="13"/>
  <c r="Q830" i="13"/>
  <c r="S830" i="13"/>
  <c r="I831" i="13"/>
  <c r="M831" i="13" s="1"/>
  <c r="J831" i="13"/>
  <c r="O831" i="13"/>
  <c r="Q831" i="13"/>
  <c r="S831" i="13"/>
  <c r="I832" i="13"/>
  <c r="J832" i="13"/>
  <c r="K832" i="13"/>
  <c r="L832" i="13"/>
  <c r="M832" i="13"/>
  <c r="N832" i="13"/>
  <c r="O832" i="13"/>
  <c r="P832" i="13"/>
  <c r="Q832" i="13"/>
  <c r="S832" i="13"/>
  <c r="I833" i="13"/>
  <c r="L833" i="13" s="1"/>
  <c r="J833" i="13"/>
  <c r="K833" i="13"/>
  <c r="M833" i="13"/>
  <c r="N833" i="13"/>
  <c r="Q833" i="13"/>
  <c r="S833" i="13"/>
  <c r="I834" i="13"/>
  <c r="N834" i="13" s="1"/>
  <c r="J834" i="13"/>
  <c r="K834" i="13"/>
  <c r="M834" i="13"/>
  <c r="O834" i="13"/>
  <c r="P834" i="13"/>
  <c r="Q834" i="13"/>
  <c r="S834" i="13"/>
  <c r="I835" i="13"/>
  <c r="L835" i="13" s="1"/>
  <c r="J835" i="13"/>
  <c r="M835" i="13"/>
  <c r="N835" i="13"/>
  <c r="O835" i="13"/>
  <c r="Q835" i="13"/>
  <c r="S835" i="13"/>
  <c r="I836" i="13"/>
  <c r="J836" i="13"/>
  <c r="Q836" i="13"/>
  <c r="S836" i="13"/>
  <c r="I837" i="13"/>
  <c r="P837" i="13" s="1"/>
  <c r="J837" i="13"/>
  <c r="K837" i="13"/>
  <c r="O837" i="13"/>
  <c r="Q837" i="13"/>
  <c r="S837" i="13"/>
  <c r="I838" i="13"/>
  <c r="N838" i="13" s="1"/>
  <c r="J838" i="13"/>
  <c r="O838" i="13"/>
  <c r="Q838" i="13"/>
  <c r="S838" i="13"/>
  <c r="I839" i="13"/>
  <c r="L839" i="13" s="1"/>
  <c r="J839" i="13"/>
  <c r="N839" i="13"/>
  <c r="Q839" i="13"/>
  <c r="S839" i="13"/>
  <c r="I840" i="13"/>
  <c r="K840" i="13" s="1"/>
  <c r="J840" i="13"/>
  <c r="L840" i="13"/>
  <c r="N840" i="13"/>
  <c r="O840" i="13"/>
  <c r="P840" i="13"/>
  <c r="Q840" i="13"/>
  <c r="S840" i="13"/>
  <c r="I841" i="13"/>
  <c r="P841" i="13" s="1"/>
  <c r="J841" i="13"/>
  <c r="L841" i="13"/>
  <c r="M841" i="13"/>
  <c r="N841" i="13"/>
  <c r="O841" i="13"/>
  <c r="Q841" i="13"/>
  <c r="S841" i="13"/>
  <c r="I842" i="13"/>
  <c r="J842" i="13"/>
  <c r="Q842" i="13"/>
  <c r="S842" i="13"/>
  <c r="I843" i="13"/>
  <c r="L843" i="13" s="1"/>
  <c r="J843" i="13"/>
  <c r="K843" i="13"/>
  <c r="M843" i="13"/>
  <c r="N843" i="13"/>
  <c r="O843" i="13"/>
  <c r="P843" i="13"/>
  <c r="Q843" i="13"/>
  <c r="S843" i="13"/>
  <c r="I844" i="13"/>
  <c r="L844" i="13" s="1"/>
  <c r="J844" i="13"/>
  <c r="K844" i="13"/>
  <c r="O844" i="13"/>
  <c r="Q844" i="13"/>
  <c r="S844" i="13"/>
  <c r="I845" i="13"/>
  <c r="P845" i="13" s="1"/>
  <c r="J845" i="13"/>
  <c r="M845" i="13"/>
  <c r="Q845" i="13"/>
  <c r="S845" i="13"/>
  <c r="I846" i="13"/>
  <c r="N846" i="13" s="1"/>
  <c r="J846" i="13"/>
  <c r="L846" i="13"/>
  <c r="O846" i="13"/>
  <c r="P846" i="13"/>
  <c r="Q846" i="13"/>
  <c r="S846" i="13"/>
  <c r="I847" i="13"/>
  <c r="L847" i="13" s="1"/>
  <c r="J847" i="13"/>
  <c r="K847" i="13"/>
  <c r="N847" i="13"/>
  <c r="O847" i="13"/>
  <c r="P847" i="13"/>
  <c r="Q847" i="13"/>
  <c r="S847" i="13"/>
  <c r="I848" i="13"/>
  <c r="P848" i="13" s="1"/>
  <c r="J848" i="13"/>
  <c r="L848" i="13"/>
  <c r="M848" i="13"/>
  <c r="N848" i="13"/>
  <c r="O848" i="13"/>
  <c r="Q848" i="13"/>
  <c r="S848" i="13"/>
  <c r="I849" i="13"/>
  <c r="P849" i="13" s="1"/>
  <c r="J849" i="13"/>
  <c r="K849" i="13"/>
  <c r="L849" i="13"/>
  <c r="M849" i="13"/>
  <c r="N849" i="13"/>
  <c r="O849" i="13"/>
  <c r="Q849" i="13"/>
  <c r="S849" i="13"/>
  <c r="I850" i="13"/>
  <c r="N850" i="13" s="1"/>
  <c r="J850" i="13"/>
  <c r="K850" i="13"/>
  <c r="P850" i="13"/>
  <c r="Q850" i="13"/>
  <c r="S850" i="13"/>
  <c r="I851" i="13"/>
  <c r="L851" i="13" s="1"/>
  <c r="J851" i="13"/>
  <c r="O851" i="13"/>
  <c r="Q851" i="13"/>
  <c r="S851" i="13"/>
  <c r="I852" i="13"/>
  <c r="O852" i="13" s="1"/>
  <c r="J852" i="13"/>
  <c r="M852" i="13"/>
  <c r="Q852" i="13"/>
  <c r="S852" i="13"/>
  <c r="I853" i="13"/>
  <c r="P853" i="13" s="1"/>
  <c r="J853" i="13"/>
  <c r="K853" i="13"/>
  <c r="M853" i="13"/>
  <c r="N853" i="13"/>
  <c r="O853" i="13"/>
  <c r="Q853" i="13"/>
  <c r="S853" i="13"/>
  <c r="I854" i="13"/>
  <c r="N854" i="13" s="1"/>
  <c r="J854" i="13"/>
  <c r="L854" i="13"/>
  <c r="M854" i="13"/>
  <c r="O854" i="13"/>
  <c r="Q854" i="13"/>
  <c r="S854" i="13"/>
  <c r="I855" i="13"/>
  <c r="J855" i="13"/>
  <c r="Q855" i="13"/>
  <c r="S855" i="13"/>
  <c r="I856" i="13"/>
  <c r="J856" i="13"/>
  <c r="K856" i="13"/>
  <c r="L856" i="13"/>
  <c r="M856" i="13"/>
  <c r="N856" i="13"/>
  <c r="O856" i="13"/>
  <c r="P856" i="13"/>
  <c r="Q856" i="13"/>
  <c r="S856" i="13"/>
  <c r="I857" i="13"/>
  <c r="P857" i="13" s="1"/>
  <c r="J857" i="13"/>
  <c r="N857" i="13"/>
  <c r="Q857" i="13"/>
  <c r="S857" i="13"/>
  <c r="I858" i="13"/>
  <c r="O858" i="13" s="1"/>
  <c r="J858" i="13"/>
  <c r="M858" i="13"/>
  <c r="Q858" i="13"/>
  <c r="S858" i="13"/>
  <c r="I859" i="13"/>
  <c r="L859" i="13" s="1"/>
  <c r="J859" i="13"/>
  <c r="K859" i="13"/>
  <c r="M859" i="13"/>
  <c r="N859" i="13"/>
  <c r="O859" i="13"/>
  <c r="P859" i="13"/>
  <c r="Q859" i="13"/>
  <c r="S859" i="13"/>
  <c r="I860" i="13"/>
  <c r="J860" i="13"/>
  <c r="Q860" i="13"/>
  <c r="S860" i="13"/>
  <c r="I861" i="13"/>
  <c r="L861" i="13" s="1"/>
  <c r="J861" i="13"/>
  <c r="K861" i="13"/>
  <c r="O861" i="13"/>
  <c r="Q861" i="13"/>
  <c r="S861" i="13"/>
  <c r="I862" i="13"/>
  <c r="O862" i="13" s="1"/>
  <c r="J862" i="13"/>
  <c r="M862" i="13"/>
  <c r="Q862" i="13"/>
  <c r="S862" i="13"/>
  <c r="I863" i="13"/>
  <c r="L863" i="13" s="1"/>
  <c r="J863" i="13"/>
  <c r="K863" i="13"/>
  <c r="M863" i="13"/>
  <c r="N863" i="13"/>
  <c r="O863" i="13"/>
  <c r="P863" i="13"/>
  <c r="Q863" i="13"/>
  <c r="S863" i="13"/>
  <c r="I864" i="13"/>
  <c r="J864" i="13"/>
  <c r="Q864" i="13"/>
  <c r="S864" i="13"/>
  <c r="I865" i="13"/>
  <c r="L865" i="13" s="1"/>
  <c r="J865" i="13"/>
  <c r="K865" i="13"/>
  <c r="O865" i="13"/>
  <c r="Q865" i="13"/>
  <c r="S865" i="13"/>
  <c r="I866" i="13"/>
  <c r="O866" i="13" s="1"/>
  <c r="J866" i="13"/>
  <c r="M866" i="13"/>
  <c r="Q866" i="13"/>
  <c r="S866" i="13"/>
  <c r="I867" i="13"/>
  <c r="P867" i="13" s="1"/>
  <c r="J867" i="13"/>
  <c r="K867" i="13"/>
  <c r="M867" i="13"/>
  <c r="N867" i="13"/>
  <c r="O867" i="13"/>
  <c r="Q867" i="13"/>
  <c r="S867" i="13"/>
  <c r="I868" i="13"/>
  <c r="J868" i="13"/>
  <c r="Q868" i="13"/>
  <c r="S868" i="13"/>
  <c r="I869" i="13"/>
  <c r="L869" i="13" s="1"/>
  <c r="J869" i="13"/>
  <c r="K869" i="13"/>
  <c r="O869" i="13"/>
  <c r="Q869" i="13"/>
  <c r="S869" i="13"/>
  <c r="I870" i="13"/>
  <c r="J870" i="13"/>
  <c r="M870" i="13"/>
  <c r="Q870" i="13"/>
  <c r="S870" i="13"/>
  <c r="I871" i="13"/>
  <c r="P871" i="13" s="1"/>
  <c r="J871" i="13"/>
  <c r="K871" i="13"/>
  <c r="M871" i="13"/>
  <c r="N871" i="13"/>
  <c r="O871" i="13"/>
  <c r="Q871" i="13"/>
  <c r="S871" i="13"/>
  <c r="I872" i="13"/>
  <c r="M872" i="13" s="1"/>
  <c r="J872" i="13"/>
  <c r="Q872" i="13"/>
  <c r="S872" i="13"/>
  <c r="I873" i="13"/>
  <c r="L873" i="13" s="1"/>
  <c r="J873" i="13"/>
  <c r="K873" i="13"/>
  <c r="O873" i="13"/>
  <c r="Q873" i="13"/>
  <c r="S873" i="13"/>
  <c r="I874" i="13"/>
  <c r="J874" i="13"/>
  <c r="M874" i="13"/>
  <c r="Q874" i="13"/>
  <c r="S874" i="13"/>
  <c r="I875" i="13"/>
  <c r="P875" i="13" s="1"/>
  <c r="J875" i="13"/>
  <c r="K875" i="13"/>
  <c r="M875" i="13"/>
  <c r="N875" i="13"/>
  <c r="O875" i="13"/>
  <c r="Q875" i="13"/>
  <c r="S875" i="13"/>
  <c r="I876" i="13"/>
  <c r="M876" i="13" s="1"/>
  <c r="J876" i="13"/>
  <c r="Q876" i="13"/>
  <c r="S876" i="13"/>
  <c r="I877" i="13"/>
  <c r="L877" i="13" s="1"/>
  <c r="J877" i="13"/>
  <c r="K877" i="13"/>
  <c r="O877" i="13"/>
  <c r="Q877" i="13"/>
  <c r="S877" i="13"/>
  <c r="I878" i="13"/>
  <c r="J878" i="13"/>
  <c r="M878" i="13"/>
  <c r="Q878" i="13"/>
  <c r="S878" i="13"/>
  <c r="I879" i="13"/>
  <c r="P879" i="13" s="1"/>
  <c r="J879" i="13"/>
  <c r="K879" i="13"/>
  <c r="M879" i="13"/>
  <c r="N879" i="13"/>
  <c r="O879" i="13"/>
  <c r="Q879" i="13"/>
  <c r="S879" i="13"/>
  <c r="I880" i="13"/>
  <c r="M880" i="13" s="1"/>
  <c r="J880" i="13"/>
  <c r="Q880" i="13"/>
  <c r="S880" i="13"/>
  <c r="I881" i="13"/>
  <c r="L881" i="13" s="1"/>
  <c r="J881" i="13"/>
  <c r="K881" i="13"/>
  <c r="O881" i="13"/>
  <c r="Q881" i="13"/>
  <c r="S881" i="13"/>
  <c r="I882" i="13"/>
  <c r="J882" i="13"/>
  <c r="M882" i="13"/>
  <c r="O882" i="13"/>
  <c r="Q882" i="13"/>
  <c r="S882" i="13"/>
  <c r="I883" i="13"/>
  <c r="P883" i="13" s="1"/>
  <c r="J883" i="13"/>
  <c r="K883" i="13"/>
  <c r="M883" i="13"/>
  <c r="N883" i="13"/>
  <c r="O883" i="13"/>
  <c r="Q883" i="13"/>
  <c r="S883" i="13"/>
  <c r="I884" i="13"/>
  <c r="K884" i="13" s="1"/>
  <c r="J884" i="13"/>
  <c r="Q884" i="13"/>
  <c r="S884" i="13"/>
  <c r="I885" i="13"/>
  <c r="J885" i="13"/>
  <c r="K885" i="13"/>
  <c r="O885" i="13"/>
  <c r="Q885" i="13"/>
  <c r="S885" i="13"/>
  <c r="I886" i="13"/>
  <c r="J886" i="13"/>
  <c r="O886" i="13"/>
  <c r="Q886" i="13"/>
  <c r="S886" i="13"/>
  <c r="I887" i="13"/>
  <c r="P887" i="13" s="1"/>
  <c r="J887" i="13"/>
  <c r="K887" i="13"/>
  <c r="M887" i="13"/>
  <c r="N887" i="13"/>
  <c r="O887" i="13"/>
  <c r="Q887" i="13"/>
  <c r="S887" i="13"/>
  <c r="I888" i="13"/>
  <c r="J888" i="13"/>
  <c r="K888" i="13"/>
  <c r="M888" i="13"/>
  <c r="Q888" i="13"/>
  <c r="S888" i="13"/>
  <c r="I889" i="13"/>
  <c r="K889" i="13" s="1"/>
  <c r="J889" i="13"/>
  <c r="Q889" i="13"/>
  <c r="S889" i="13"/>
  <c r="I890" i="13"/>
  <c r="J890" i="13"/>
  <c r="M890" i="13"/>
  <c r="O890" i="13"/>
  <c r="Q890" i="13"/>
  <c r="S890" i="13"/>
  <c r="I891" i="13"/>
  <c r="P891" i="13" s="1"/>
  <c r="J891" i="13"/>
  <c r="K891" i="13"/>
  <c r="M891" i="13"/>
  <c r="N891" i="13"/>
  <c r="O891" i="13"/>
  <c r="Q891" i="13"/>
  <c r="S891" i="13"/>
  <c r="I892" i="13"/>
  <c r="J892" i="13"/>
  <c r="M892" i="13"/>
  <c r="Q892" i="13"/>
  <c r="S892" i="13"/>
  <c r="I893" i="13"/>
  <c r="J893" i="13"/>
  <c r="K893" i="13"/>
  <c r="O893" i="13"/>
  <c r="Q893" i="13"/>
  <c r="S893" i="13"/>
  <c r="I894" i="13"/>
  <c r="M894" i="13" s="1"/>
  <c r="J894" i="13"/>
  <c r="Q894" i="13"/>
  <c r="S894" i="13"/>
  <c r="I895" i="13"/>
  <c r="P895" i="13" s="1"/>
  <c r="J895" i="13"/>
  <c r="K895" i="13"/>
  <c r="M895" i="13"/>
  <c r="N895" i="13"/>
  <c r="O895" i="13"/>
  <c r="Q895" i="13"/>
  <c r="S895" i="13"/>
  <c r="I896" i="13"/>
  <c r="J896" i="13"/>
  <c r="K896" i="13"/>
  <c r="M896" i="13"/>
  <c r="Q896" i="13"/>
  <c r="S896" i="13"/>
  <c r="I897" i="13"/>
  <c r="J897" i="13"/>
  <c r="O897" i="13"/>
  <c r="Q897" i="13"/>
  <c r="S897" i="13"/>
  <c r="I898" i="13"/>
  <c r="J898" i="13"/>
  <c r="M898" i="13"/>
  <c r="O898" i="13"/>
  <c r="Q898" i="13"/>
  <c r="S898" i="13"/>
  <c r="I899" i="13"/>
  <c r="N899" i="13" s="1"/>
  <c r="J899" i="13"/>
  <c r="K899" i="13"/>
  <c r="M899" i="13"/>
  <c r="O899" i="13"/>
  <c r="Q899" i="13"/>
  <c r="S899" i="13"/>
  <c r="I900" i="13"/>
  <c r="K900" i="13" s="1"/>
  <c r="J900" i="13"/>
  <c r="Q900" i="13"/>
  <c r="S900" i="13"/>
  <c r="I901" i="13"/>
  <c r="J901" i="13"/>
  <c r="Q901" i="13"/>
  <c r="S901" i="13"/>
  <c r="I902" i="13"/>
  <c r="J902" i="13"/>
  <c r="M902" i="13"/>
  <c r="Q902" i="13"/>
  <c r="S902" i="13"/>
  <c r="I903" i="13"/>
  <c r="N903" i="13" s="1"/>
  <c r="J903" i="13"/>
  <c r="K903" i="13"/>
  <c r="M903" i="13"/>
  <c r="O903" i="13"/>
  <c r="Q903" i="13"/>
  <c r="S903" i="13"/>
  <c r="I904" i="13"/>
  <c r="K904" i="13" s="1"/>
  <c r="J904" i="13"/>
  <c r="Q904" i="13"/>
  <c r="S904" i="13"/>
  <c r="I905" i="13"/>
  <c r="J905" i="13"/>
  <c r="K905" i="13"/>
  <c r="O905" i="13"/>
  <c r="Q905" i="13"/>
  <c r="S905" i="13"/>
  <c r="I906" i="13"/>
  <c r="J906" i="13"/>
  <c r="O906" i="13"/>
  <c r="Q906" i="13"/>
  <c r="S906" i="13"/>
  <c r="I907" i="13"/>
  <c r="N907" i="13" s="1"/>
  <c r="J907" i="13"/>
  <c r="K907" i="13"/>
  <c r="M907" i="13"/>
  <c r="O907" i="13"/>
  <c r="Q907" i="13"/>
  <c r="S907" i="13"/>
  <c r="I908" i="13"/>
  <c r="K908" i="13" s="1"/>
  <c r="J908" i="13"/>
  <c r="M908" i="13"/>
  <c r="Q908" i="13"/>
  <c r="S908" i="13"/>
  <c r="I909" i="13"/>
  <c r="K909" i="13" s="1"/>
  <c r="J909" i="13"/>
  <c r="Q909" i="13"/>
  <c r="S909" i="13"/>
  <c r="I910" i="13"/>
  <c r="J910" i="13"/>
  <c r="Q910" i="13"/>
  <c r="S910" i="13"/>
  <c r="I911" i="13"/>
  <c r="N911" i="13" s="1"/>
  <c r="J911" i="13"/>
  <c r="K911" i="13"/>
  <c r="M911" i="13"/>
  <c r="O911" i="13"/>
  <c r="Q911" i="13"/>
  <c r="S911" i="13"/>
  <c r="I912" i="13"/>
  <c r="J912" i="13"/>
  <c r="K912" i="13"/>
  <c r="M912" i="13"/>
  <c r="Q912" i="13"/>
  <c r="S912" i="13"/>
  <c r="I913" i="13"/>
  <c r="K913" i="13" s="1"/>
  <c r="J913" i="13"/>
  <c r="Q913" i="13"/>
  <c r="S913" i="13"/>
  <c r="I914" i="13"/>
  <c r="J914" i="13"/>
  <c r="M914" i="13"/>
  <c r="O914" i="13"/>
  <c r="Q914" i="13"/>
  <c r="S914" i="13"/>
  <c r="I915" i="13"/>
  <c r="N915" i="13" s="1"/>
  <c r="J915" i="13"/>
  <c r="K915" i="13"/>
  <c r="M915" i="13"/>
  <c r="O915" i="13"/>
  <c r="Q915" i="13"/>
  <c r="S915" i="13"/>
  <c r="I916" i="13"/>
  <c r="J916" i="13"/>
  <c r="K916" i="13"/>
  <c r="Q916" i="13"/>
  <c r="S916" i="13"/>
  <c r="I917" i="13"/>
  <c r="K917" i="13" s="1"/>
  <c r="J917" i="13"/>
  <c r="O917" i="13"/>
  <c r="Q917" i="13"/>
  <c r="S917" i="13"/>
  <c r="I918" i="13"/>
  <c r="M918" i="13" s="1"/>
  <c r="J918" i="13"/>
  <c r="Q918" i="13"/>
  <c r="S918" i="13"/>
  <c r="I919" i="13"/>
  <c r="N919" i="13" s="1"/>
  <c r="J919" i="13"/>
  <c r="K919" i="13"/>
  <c r="M919" i="13"/>
  <c r="O919" i="13"/>
  <c r="Q919" i="13"/>
  <c r="S919" i="13"/>
  <c r="I920" i="13"/>
  <c r="J920" i="13"/>
  <c r="M920" i="13"/>
  <c r="Q920" i="13"/>
  <c r="S920" i="13"/>
  <c r="I921" i="13"/>
  <c r="J921" i="13"/>
  <c r="K921" i="13"/>
  <c r="O921" i="13"/>
  <c r="Q921" i="13"/>
  <c r="S921" i="13"/>
  <c r="I922" i="13"/>
  <c r="J922" i="13"/>
  <c r="K922" i="13"/>
  <c r="M922" i="13"/>
  <c r="Q922" i="13"/>
  <c r="S922" i="13"/>
  <c r="I923" i="13"/>
  <c r="K923" i="13" s="1"/>
  <c r="J923" i="13"/>
  <c r="M923" i="13"/>
  <c r="O923" i="13"/>
  <c r="Q923" i="13"/>
  <c r="S923" i="13"/>
  <c r="I924" i="13"/>
  <c r="K924" i="13" s="1"/>
  <c r="J924" i="13"/>
  <c r="Q924" i="13"/>
  <c r="S924" i="13"/>
  <c r="I925" i="13"/>
  <c r="K925" i="13" s="1"/>
  <c r="J925" i="13"/>
  <c r="Q925" i="13"/>
  <c r="S925" i="13"/>
  <c r="I926" i="13"/>
  <c r="J926" i="13"/>
  <c r="K926" i="13"/>
  <c r="M926" i="13"/>
  <c r="O926" i="13"/>
  <c r="Q926" i="13"/>
  <c r="S926" i="13"/>
  <c r="I927" i="13"/>
  <c r="J927" i="13"/>
  <c r="Q927" i="13"/>
  <c r="S927" i="13"/>
  <c r="I928" i="13"/>
  <c r="J928" i="13"/>
  <c r="M928" i="13"/>
  <c r="Q928" i="13"/>
  <c r="S928" i="13"/>
  <c r="I929" i="13"/>
  <c r="J929" i="13"/>
  <c r="K929" i="13"/>
  <c r="O929" i="13"/>
  <c r="Q929" i="13"/>
  <c r="S929" i="13"/>
  <c r="I930" i="13"/>
  <c r="J930" i="13"/>
  <c r="K930" i="13"/>
  <c r="M930" i="13"/>
  <c r="Q930" i="13"/>
  <c r="S930" i="13"/>
  <c r="I931" i="13"/>
  <c r="K931" i="13" s="1"/>
  <c r="J931" i="13"/>
  <c r="M931" i="13"/>
  <c r="O931" i="13"/>
  <c r="Q931" i="13"/>
  <c r="S931" i="13"/>
  <c r="I932" i="13"/>
  <c r="K932" i="13" s="1"/>
  <c r="J932" i="13"/>
  <c r="Q932" i="13"/>
  <c r="S932" i="13"/>
  <c r="I933" i="13"/>
  <c r="K933" i="13" s="1"/>
  <c r="J933" i="13"/>
  <c r="Q933" i="13"/>
  <c r="S933" i="13"/>
  <c r="I934" i="13"/>
  <c r="J934" i="13"/>
  <c r="K934" i="13"/>
  <c r="M934" i="13"/>
  <c r="O934" i="13"/>
  <c r="Q934" i="13"/>
  <c r="S934" i="13"/>
  <c r="I935" i="13"/>
  <c r="J935" i="13"/>
  <c r="Q935" i="13"/>
  <c r="S935" i="13"/>
  <c r="I936" i="13"/>
  <c r="J936" i="13"/>
  <c r="M936" i="13"/>
  <c r="Q936" i="13"/>
  <c r="S936" i="13"/>
  <c r="I937" i="13"/>
  <c r="J937" i="13"/>
  <c r="K937" i="13"/>
  <c r="O937" i="13"/>
  <c r="Q937" i="13"/>
  <c r="S937" i="13"/>
  <c r="I938" i="13"/>
  <c r="J938" i="13"/>
  <c r="K938" i="13"/>
  <c r="M938" i="13"/>
  <c r="Q938" i="13"/>
  <c r="S938" i="13"/>
  <c r="I939" i="13"/>
  <c r="K939" i="13" s="1"/>
  <c r="J939" i="13"/>
  <c r="M939" i="13"/>
  <c r="O939" i="13"/>
  <c r="Q939" i="13"/>
  <c r="S939" i="13"/>
  <c r="I940" i="13"/>
  <c r="K940" i="13" s="1"/>
  <c r="J940" i="13"/>
  <c r="Q940" i="13"/>
  <c r="S940" i="13"/>
  <c r="I941" i="13"/>
  <c r="K941" i="13" s="1"/>
  <c r="J941" i="13"/>
  <c r="Q941" i="13"/>
  <c r="S941" i="13"/>
  <c r="I942" i="13"/>
  <c r="J942" i="13"/>
  <c r="K942" i="13"/>
  <c r="M942" i="13"/>
  <c r="O942" i="13"/>
  <c r="Q942" i="13"/>
  <c r="S942" i="13"/>
  <c r="I943" i="13"/>
  <c r="J943" i="13"/>
  <c r="Q943" i="13"/>
  <c r="S943" i="13"/>
  <c r="I944" i="13"/>
  <c r="J944" i="13"/>
  <c r="M944" i="13"/>
  <c r="Q944" i="13"/>
  <c r="S944" i="13"/>
  <c r="I945" i="13"/>
  <c r="J945" i="13"/>
  <c r="K945" i="13"/>
  <c r="O945" i="13"/>
  <c r="Q945" i="13"/>
  <c r="S945" i="13"/>
  <c r="I946" i="13"/>
  <c r="J946" i="13"/>
  <c r="K946" i="13"/>
  <c r="M946" i="13"/>
  <c r="Q946" i="13"/>
  <c r="S946" i="13"/>
  <c r="I947" i="13"/>
  <c r="K947" i="13" s="1"/>
  <c r="J947" i="13"/>
  <c r="M947" i="13"/>
  <c r="O947" i="13"/>
  <c r="Q947" i="13"/>
  <c r="S947" i="13"/>
  <c r="I948" i="13"/>
  <c r="K948" i="13" s="1"/>
  <c r="J948" i="13"/>
  <c r="Q948" i="13"/>
  <c r="S948" i="13"/>
  <c r="I949" i="13"/>
  <c r="K949" i="13" s="1"/>
  <c r="J949" i="13"/>
  <c r="Q949" i="13"/>
  <c r="S949" i="13"/>
  <c r="I950" i="13"/>
  <c r="J950" i="13"/>
  <c r="K950" i="13"/>
  <c r="M950" i="13"/>
  <c r="O950" i="13"/>
  <c r="Q950" i="13"/>
  <c r="S950" i="13"/>
  <c r="I951" i="13"/>
  <c r="J951" i="13"/>
  <c r="Q951" i="13"/>
  <c r="S951" i="13"/>
  <c r="I952" i="13"/>
  <c r="J952" i="13"/>
  <c r="M952" i="13"/>
  <c r="Q952" i="13"/>
  <c r="S952" i="13"/>
  <c r="I953" i="13"/>
  <c r="J953" i="13"/>
  <c r="K953" i="13"/>
  <c r="O953" i="13"/>
  <c r="Q953" i="13"/>
  <c r="S953" i="13"/>
  <c r="I954" i="13"/>
  <c r="J954" i="13"/>
  <c r="K954" i="13"/>
  <c r="M954" i="13"/>
  <c r="Q954" i="13"/>
  <c r="S954" i="13"/>
  <c r="I955" i="13"/>
  <c r="K955" i="13" s="1"/>
  <c r="J955" i="13"/>
  <c r="M955" i="13"/>
  <c r="O955" i="13"/>
  <c r="Q955" i="13"/>
  <c r="S955" i="13"/>
  <c r="I956" i="13"/>
  <c r="K956" i="13" s="1"/>
  <c r="J956" i="13"/>
  <c r="O956" i="13"/>
  <c r="Q956" i="13"/>
  <c r="S956" i="13"/>
  <c r="I957" i="13"/>
  <c r="K957" i="13" s="1"/>
  <c r="J957" i="13"/>
  <c r="Q957" i="13"/>
  <c r="S957" i="13"/>
  <c r="I958" i="13"/>
  <c r="J958" i="13"/>
  <c r="K958" i="13"/>
  <c r="M958" i="13"/>
  <c r="O958" i="13"/>
  <c r="Q958" i="13"/>
  <c r="S958" i="13"/>
  <c r="I959" i="13"/>
  <c r="J959" i="13"/>
  <c r="Q959" i="13"/>
  <c r="S959" i="13"/>
  <c r="I960" i="13"/>
  <c r="J960" i="13"/>
  <c r="M960" i="13"/>
  <c r="Q960" i="13"/>
  <c r="S960" i="13"/>
  <c r="I961" i="13"/>
  <c r="J961" i="13"/>
  <c r="K961" i="13"/>
  <c r="O961" i="13"/>
  <c r="Q961" i="13"/>
  <c r="S961" i="13"/>
  <c r="I962" i="13"/>
  <c r="J962" i="13"/>
  <c r="K962" i="13"/>
  <c r="M962" i="13"/>
  <c r="Q962" i="13"/>
  <c r="S962" i="13"/>
  <c r="I963" i="13"/>
  <c r="K963" i="13" s="1"/>
  <c r="J963" i="13"/>
  <c r="M963" i="13"/>
  <c r="O963" i="13"/>
  <c r="Q963" i="13"/>
  <c r="S963" i="13"/>
  <c r="I964" i="13"/>
  <c r="K964" i="13" s="1"/>
  <c r="J964" i="13"/>
  <c r="O964" i="13"/>
  <c r="Q964" i="13"/>
  <c r="S964" i="13"/>
  <c r="I965" i="13"/>
  <c r="K965" i="13" s="1"/>
  <c r="J965" i="13"/>
  <c r="Q965" i="13"/>
  <c r="S965" i="13"/>
  <c r="I966" i="13"/>
  <c r="J966" i="13"/>
  <c r="K966" i="13"/>
  <c r="M966" i="13"/>
  <c r="O966" i="13"/>
  <c r="Q966" i="13"/>
  <c r="S966" i="13"/>
  <c r="I967" i="13"/>
  <c r="J967" i="13"/>
  <c r="Q967" i="13"/>
  <c r="S967" i="13"/>
  <c r="I968" i="13"/>
  <c r="J968" i="13"/>
  <c r="M968" i="13"/>
  <c r="Q968" i="13"/>
  <c r="S968" i="13"/>
  <c r="I969" i="13"/>
  <c r="J969" i="13"/>
  <c r="K969" i="13"/>
  <c r="O969" i="13"/>
  <c r="Q969" i="13"/>
  <c r="S969" i="13"/>
  <c r="I970" i="13"/>
  <c r="J970" i="13"/>
  <c r="K970" i="13"/>
  <c r="M970" i="13"/>
  <c r="Q970" i="13"/>
  <c r="S970" i="13"/>
  <c r="I971" i="13"/>
  <c r="K971" i="13" s="1"/>
  <c r="J971" i="13"/>
  <c r="M971" i="13"/>
  <c r="O971" i="13"/>
  <c r="Q971" i="13"/>
  <c r="S971" i="13"/>
  <c r="I972" i="13"/>
  <c r="K972" i="13" s="1"/>
  <c r="J972" i="13"/>
  <c r="O972" i="13"/>
  <c r="Q972" i="13"/>
  <c r="S972" i="13"/>
  <c r="I973" i="13"/>
  <c r="K973" i="13" s="1"/>
  <c r="J973" i="13"/>
  <c r="Q973" i="13"/>
  <c r="S973" i="13"/>
  <c r="I974" i="13"/>
  <c r="J974" i="13"/>
  <c r="K974" i="13"/>
  <c r="M974" i="13"/>
  <c r="O974" i="13"/>
  <c r="Q974" i="13"/>
  <c r="S974" i="13"/>
  <c r="I975" i="13"/>
  <c r="J975" i="13"/>
  <c r="Q975" i="13"/>
  <c r="S975" i="13"/>
  <c r="I976" i="13"/>
  <c r="J976" i="13"/>
  <c r="M976" i="13"/>
  <c r="Q976" i="13"/>
  <c r="S976" i="13"/>
  <c r="I977" i="13"/>
  <c r="J977" i="13"/>
  <c r="K977" i="13"/>
  <c r="O977" i="13"/>
  <c r="Q977" i="13"/>
  <c r="S977" i="13"/>
  <c r="I978" i="13"/>
  <c r="J978" i="13"/>
  <c r="K978" i="13"/>
  <c r="M978" i="13"/>
  <c r="Q978" i="13"/>
  <c r="S978" i="13"/>
  <c r="I979" i="13"/>
  <c r="K979" i="13" s="1"/>
  <c r="J979" i="13"/>
  <c r="M979" i="13"/>
  <c r="O979" i="13"/>
  <c r="Q979" i="13"/>
  <c r="S979" i="13"/>
  <c r="I980" i="13"/>
  <c r="K980" i="13" s="1"/>
  <c r="J980" i="13"/>
  <c r="O980" i="13"/>
  <c r="Q980" i="13"/>
  <c r="S980" i="13"/>
  <c r="I981" i="13"/>
  <c r="K981" i="13" s="1"/>
  <c r="J981" i="13"/>
  <c r="Q981" i="13"/>
  <c r="S981" i="13"/>
  <c r="I982" i="13"/>
  <c r="J982" i="13"/>
  <c r="K982" i="13"/>
  <c r="M982" i="13"/>
  <c r="O982" i="13"/>
  <c r="P982" i="13"/>
  <c r="Q982" i="13"/>
  <c r="S982" i="13"/>
  <c r="I983" i="13"/>
  <c r="J983" i="13"/>
  <c r="K983" i="13"/>
  <c r="M983" i="13"/>
  <c r="N983" i="13"/>
  <c r="O983" i="13"/>
  <c r="Q983" i="13"/>
  <c r="S983" i="13"/>
  <c r="I984" i="13"/>
  <c r="J984" i="13"/>
  <c r="K984" i="13"/>
  <c r="L984" i="13"/>
  <c r="M984" i="13"/>
  <c r="O984" i="13"/>
  <c r="Q984" i="13"/>
  <c r="S984" i="13"/>
  <c r="I985" i="13"/>
  <c r="J985" i="13"/>
  <c r="K985" i="13"/>
  <c r="M985" i="13"/>
  <c r="O985" i="13"/>
  <c r="Q985" i="13"/>
  <c r="S985" i="13"/>
  <c r="I986" i="13"/>
  <c r="J986" i="13"/>
  <c r="Q986" i="13"/>
  <c r="S986" i="13"/>
  <c r="I987" i="13"/>
  <c r="J987" i="13"/>
  <c r="Q987" i="13"/>
  <c r="S987" i="13"/>
  <c r="I988" i="13"/>
  <c r="J988" i="13"/>
  <c r="Q988" i="13"/>
  <c r="S988" i="13"/>
  <c r="I989" i="13"/>
  <c r="J989" i="13"/>
  <c r="Q989" i="13"/>
  <c r="S989" i="13"/>
  <c r="I990" i="13"/>
  <c r="J990" i="13"/>
  <c r="M990" i="13"/>
  <c r="Q990" i="13"/>
  <c r="S990" i="13"/>
  <c r="I991" i="13"/>
  <c r="J991" i="13"/>
  <c r="M991" i="13"/>
  <c r="Q991" i="13"/>
  <c r="S991" i="13"/>
  <c r="I992" i="13"/>
  <c r="J992" i="13"/>
  <c r="L992" i="13"/>
  <c r="Q992" i="13"/>
  <c r="S992" i="13"/>
  <c r="I993" i="13"/>
  <c r="J993" i="13"/>
  <c r="M993" i="13"/>
  <c r="Q993" i="13"/>
  <c r="S993" i="13"/>
  <c r="I994" i="13"/>
  <c r="J994" i="13"/>
  <c r="K994" i="13"/>
  <c r="O994" i="13"/>
  <c r="P994" i="13"/>
  <c r="Q994" i="13"/>
  <c r="S994" i="13"/>
  <c r="I995" i="13"/>
  <c r="J995" i="13"/>
  <c r="K995" i="13"/>
  <c r="N995" i="13"/>
  <c r="O995" i="13"/>
  <c r="Q995" i="13"/>
  <c r="S995" i="13"/>
  <c r="I996" i="13"/>
  <c r="J996" i="13"/>
  <c r="K996" i="13"/>
  <c r="M996" i="13"/>
  <c r="O996" i="13"/>
  <c r="Q996" i="13"/>
  <c r="S996" i="13"/>
  <c r="I997" i="13"/>
  <c r="J997" i="13"/>
  <c r="K997" i="13"/>
  <c r="O997" i="13"/>
  <c r="Q997" i="13"/>
  <c r="S997" i="13"/>
  <c r="I998" i="13"/>
  <c r="J998" i="13"/>
  <c r="K998" i="13"/>
  <c r="M998" i="13"/>
  <c r="P998" i="13"/>
  <c r="Q998" i="13"/>
  <c r="S998" i="13"/>
  <c r="I999" i="13"/>
  <c r="J999" i="13"/>
  <c r="K999" i="13"/>
  <c r="M999" i="13"/>
  <c r="O999" i="13"/>
  <c r="Q999" i="13"/>
  <c r="S999" i="13"/>
  <c r="I1000" i="13"/>
  <c r="J1000" i="13"/>
  <c r="K1000" i="13"/>
  <c r="L1000" i="13"/>
  <c r="O1000" i="13"/>
  <c r="Q1000" i="13"/>
  <c r="S1000" i="13"/>
  <c r="I1001" i="13"/>
  <c r="J1001" i="13"/>
  <c r="K1001" i="13"/>
  <c r="M1001" i="13"/>
  <c r="Q1001" i="13"/>
  <c r="S1001" i="13"/>
  <c r="I1002" i="13"/>
  <c r="J1002" i="13"/>
  <c r="K1002" i="13"/>
  <c r="M1002" i="13"/>
  <c r="O1002" i="13"/>
  <c r="Q1002" i="13"/>
  <c r="S1002" i="13"/>
  <c r="I1003" i="13"/>
  <c r="K1003" i="13" s="1"/>
  <c r="J1003" i="13"/>
  <c r="M1003" i="13"/>
  <c r="N1003" i="13"/>
  <c r="Q1003" i="13"/>
  <c r="S1003" i="13"/>
  <c r="I1004" i="13"/>
  <c r="K1004" i="13" s="1"/>
  <c r="J1004" i="13"/>
  <c r="L1004" i="13"/>
  <c r="M1004" i="13"/>
  <c r="Q1004" i="13"/>
  <c r="S1004" i="13"/>
  <c r="I1005" i="13"/>
  <c r="K1005" i="13" s="1"/>
  <c r="J1005" i="13"/>
  <c r="M1005" i="13"/>
  <c r="O1005" i="13"/>
  <c r="Q1005" i="13"/>
  <c r="S1005" i="13"/>
  <c r="I1006" i="13"/>
  <c r="K1006" i="13" s="1"/>
  <c r="J1006" i="13"/>
  <c r="O1006" i="13"/>
  <c r="P1006" i="13"/>
  <c r="Q1006" i="13"/>
  <c r="S1006" i="13"/>
  <c r="I1007" i="13"/>
  <c r="K1007" i="13" s="1"/>
  <c r="J1007" i="13"/>
  <c r="N1007" i="13"/>
  <c r="O1007" i="13"/>
  <c r="Q1007" i="13"/>
  <c r="S1007" i="13"/>
  <c r="I1008" i="13"/>
  <c r="K1008" i="13" s="1"/>
  <c r="J1008" i="13"/>
  <c r="M1008" i="13"/>
  <c r="O1008" i="13"/>
  <c r="Q1008" i="13"/>
  <c r="S1008" i="13"/>
  <c r="I1009" i="13"/>
  <c r="K1009" i="13" s="1"/>
  <c r="J1009" i="13"/>
  <c r="O1009" i="13"/>
  <c r="Q1009" i="13"/>
  <c r="S1009" i="13"/>
  <c r="I1010" i="13"/>
  <c r="K1010" i="13" s="1"/>
  <c r="J1010" i="13"/>
  <c r="Q1010" i="13"/>
  <c r="S1010" i="13"/>
  <c r="I1011" i="13"/>
  <c r="K1011" i="13" s="1"/>
  <c r="J1011" i="13"/>
  <c r="Q1011" i="13"/>
  <c r="S1011" i="13"/>
  <c r="I1012" i="13"/>
  <c r="K1012" i="13" s="1"/>
  <c r="J1012" i="13"/>
  <c r="Q1012" i="13"/>
  <c r="S1012" i="13"/>
  <c r="I1013" i="13"/>
  <c r="K1013" i="13" s="1"/>
  <c r="J1013" i="13"/>
  <c r="Q1013" i="13"/>
  <c r="S1013" i="13"/>
  <c r="I1014" i="13"/>
  <c r="J1014" i="13"/>
  <c r="K1014" i="13"/>
  <c r="M1014" i="13"/>
  <c r="O1014" i="13"/>
  <c r="P1014" i="13"/>
  <c r="Q1014" i="13"/>
  <c r="S1014" i="13"/>
  <c r="I1015" i="13"/>
  <c r="J1015" i="13"/>
  <c r="K1015" i="13"/>
  <c r="M1015" i="13"/>
  <c r="N1015" i="13"/>
  <c r="O1015" i="13"/>
  <c r="Q1015" i="13"/>
  <c r="S1015" i="13"/>
  <c r="I1016" i="13"/>
  <c r="J1016" i="13"/>
  <c r="K1016" i="13"/>
  <c r="L1016" i="13"/>
  <c r="M1016" i="13"/>
  <c r="O1016" i="13"/>
  <c r="Q1016" i="13"/>
  <c r="S1016" i="13"/>
  <c r="I1017" i="13"/>
  <c r="J1017" i="13"/>
  <c r="K1017" i="13"/>
  <c r="M1017" i="13"/>
  <c r="O1017" i="13"/>
  <c r="Q1017" i="13"/>
  <c r="S1017" i="13"/>
  <c r="I1018" i="13"/>
  <c r="J1018" i="13"/>
  <c r="Q1018" i="13"/>
  <c r="S1018" i="13"/>
  <c r="I1019" i="13"/>
  <c r="J1019" i="13"/>
  <c r="Q1019" i="13"/>
  <c r="S1019" i="13"/>
  <c r="I1020" i="13"/>
  <c r="J1020" i="13"/>
  <c r="Q1020" i="13"/>
  <c r="S1020" i="13"/>
  <c r="I1021" i="13"/>
  <c r="J1021" i="13"/>
  <c r="Q1021" i="13"/>
  <c r="S1021" i="13"/>
  <c r="I1022" i="13"/>
  <c r="J1022" i="13"/>
  <c r="M1022" i="13"/>
  <c r="Q1022" i="13"/>
  <c r="S1022" i="13"/>
  <c r="I1023" i="13"/>
  <c r="J1023" i="13"/>
  <c r="M1023" i="13"/>
  <c r="Q1023" i="13"/>
  <c r="S1023" i="13"/>
  <c r="I1024" i="13"/>
  <c r="J1024" i="13"/>
  <c r="L1024" i="13"/>
  <c r="Q1024" i="13"/>
  <c r="S1024" i="13"/>
  <c r="I1025" i="13"/>
  <c r="J1025" i="13"/>
  <c r="M1025" i="13"/>
  <c r="Q1025" i="13"/>
  <c r="S1025" i="13"/>
  <c r="I1026" i="13"/>
  <c r="J1026" i="13"/>
  <c r="K1026" i="13"/>
  <c r="O1026" i="13"/>
  <c r="P1026" i="13"/>
  <c r="Q1026" i="13"/>
  <c r="S1026" i="13"/>
  <c r="I1027" i="13"/>
  <c r="J1027" i="13"/>
  <c r="K1027" i="13"/>
  <c r="N1027" i="13"/>
  <c r="O1027" i="13"/>
  <c r="Q1027" i="13"/>
  <c r="S1027" i="13"/>
  <c r="I1028" i="13"/>
  <c r="J1028" i="13"/>
  <c r="K1028" i="13"/>
  <c r="M1028" i="13"/>
  <c r="O1028" i="13"/>
  <c r="Q1028" i="13"/>
  <c r="S1028" i="13"/>
  <c r="I1029" i="13"/>
  <c r="J1029" i="13"/>
  <c r="K1029" i="13"/>
  <c r="O1029" i="13"/>
  <c r="Q1029" i="13"/>
  <c r="S1029" i="13"/>
  <c r="I1030" i="13"/>
  <c r="J1030" i="13"/>
  <c r="K1030" i="13"/>
  <c r="M1030" i="13"/>
  <c r="P1030" i="13"/>
  <c r="Q1030" i="13"/>
  <c r="S1030" i="13"/>
  <c r="I1031" i="13"/>
  <c r="J1031" i="13"/>
  <c r="K1031" i="13"/>
  <c r="M1031" i="13"/>
  <c r="O1031" i="13"/>
  <c r="Q1031" i="13"/>
  <c r="S1031" i="13"/>
  <c r="I1032" i="13"/>
  <c r="N1032" i="13" s="1"/>
  <c r="J1032" i="13"/>
  <c r="K1032" i="13"/>
  <c r="L1032" i="13"/>
  <c r="O1032" i="13"/>
  <c r="P1032" i="13"/>
  <c r="Q1032" i="13"/>
  <c r="S1032" i="13"/>
  <c r="I1033" i="13"/>
  <c r="J1033" i="13"/>
  <c r="K1033" i="13"/>
  <c r="N1033" i="13"/>
  <c r="Q1033" i="13"/>
  <c r="S1033" i="13"/>
  <c r="I1034" i="13"/>
  <c r="N1034" i="13" s="1"/>
  <c r="J1034" i="13"/>
  <c r="K1034" i="13"/>
  <c r="M1034" i="13"/>
  <c r="Q1034" i="13"/>
  <c r="S1034" i="13"/>
  <c r="I1035" i="13"/>
  <c r="J1035" i="13"/>
  <c r="M1035" i="13"/>
  <c r="Q1035" i="13"/>
  <c r="S1035" i="13"/>
  <c r="I1036" i="13"/>
  <c r="N1036" i="13" s="1"/>
  <c r="J1036" i="13"/>
  <c r="L1036" i="13"/>
  <c r="Q1036" i="13"/>
  <c r="S1036" i="13"/>
  <c r="I1037" i="13"/>
  <c r="J1037" i="13"/>
  <c r="Q1037" i="13"/>
  <c r="S1037" i="13"/>
  <c r="I1038" i="13"/>
  <c r="J1038" i="13"/>
  <c r="Q1038" i="13"/>
  <c r="S1038" i="13"/>
  <c r="I1039" i="13"/>
  <c r="J1039" i="13"/>
  <c r="K1039" i="13"/>
  <c r="M1039" i="13"/>
  <c r="N1039" i="13"/>
  <c r="O1039" i="13"/>
  <c r="Q1039" i="13"/>
  <c r="S1039" i="13"/>
  <c r="I1040" i="13"/>
  <c r="N1040" i="13" s="1"/>
  <c r="J1040" i="13"/>
  <c r="K1040" i="13"/>
  <c r="L1040" i="13"/>
  <c r="M1040" i="13"/>
  <c r="O1040" i="13"/>
  <c r="P1040" i="13"/>
  <c r="Q1040" i="13"/>
  <c r="S1040" i="13"/>
  <c r="I1041" i="13"/>
  <c r="K1041" i="13" s="1"/>
  <c r="J1041" i="13"/>
  <c r="Q1041" i="13"/>
  <c r="S1041" i="13"/>
  <c r="I1042" i="13"/>
  <c r="N1042" i="13" s="1"/>
  <c r="J1042" i="13"/>
  <c r="P1042" i="13"/>
  <c r="Q1042" i="13"/>
  <c r="S1042" i="13"/>
  <c r="I1043" i="13"/>
  <c r="K1043" i="13" s="1"/>
  <c r="J1043" i="13"/>
  <c r="M1043" i="13"/>
  <c r="N1043" i="13"/>
  <c r="O1043" i="13"/>
  <c r="Q1043" i="13"/>
  <c r="S1043" i="13"/>
  <c r="I1044" i="13"/>
  <c r="N1044" i="13" s="1"/>
  <c r="J1044" i="13"/>
  <c r="L1044" i="13"/>
  <c r="M1044" i="13"/>
  <c r="O1044" i="13"/>
  <c r="Q1044" i="13"/>
  <c r="S1044" i="13"/>
  <c r="I1045" i="13"/>
  <c r="J1045" i="13"/>
  <c r="K1045" i="13"/>
  <c r="M1045" i="13"/>
  <c r="N1045" i="13"/>
  <c r="Q1045" i="13"/>
  <c r="S1045" i="13"/>
  <c r="I1046" i="13"/>
  <c r="N1046" i="13" s="1"/>
  <c r="J1046" i="13"/>
  <c r="K1046" i="13"/>
  <c r="L1046" i="13"/>
  <c r="M1046" i="13"/>
  <c r="P1046" i="13"/>
  <c r="Q1046" i="13"/>
  <c r="S1046" i="13"/>
  <c r="I1047" i="13"/>
  <c r="J1047" i="13"/>
  <c r="K1047" i="13"/>
  <c r="M1047" i="13"/>
  <c r="O1047" i="13"/>
  <c r="Q1047" i="13"/>
  <c r="S1047" i="13"/>
  <c r="I1048" i="13"/>
  <c r="N1048" i="13" s="1"/>
  <c r="J1048" i="13"/>
  <c r="K1048" i="13"/>
  <c r="L1048" i="13"/>
  <c r="O1048" i="13"/>
  <c r="P1048" i="13"/>
  <c r="Q1048" i="13"/>
  <c r="S1048" i="13"/>
  <c r="I1049" i="13"/>
  <c r="J1049" i="13"/>
  <c r="K1049" i="13"/>
  <c r="N1049" i="13"/>
  <c r="Q1049" i="13"/>
  <c r="S1049" i="13"/>
  <c r="I1050" i="13"/>
  <c r="N1050" i="13" s="1"/>
  <c r="J1050" i="13"/>
  <c r="K1050" i="13"/>
  <c r="M1050" i="13"/>
  <c r="Q1050" i="13"/>
  <c r="S1050" i="13"/>
  <c r="I1051" i="13"/>
  <c r="J1051" i="13"/>
  <c r="M1051" i="13"/>
  <c r="Q1051" i="13"/>
  <c r="S1051" i="13"/>
  <c r="I1052" i="13"/>
  <c r="J1052" i="13"/>
  <c r="L1052" i="13"/>
  <c r="Q1052" i="13"/>
  <c r="S1052" i="13"/>
  <c r="I1053" i="13"/>
  <c r="J1053" i="13"/>
  <c r="Q1053" i="13"/>
  <c r="S1053" i="13"/>
  <c r="I1054" i="13"/>
  <c r="J1054" i="13"/>
  <c r="K1054" i="13"/>
  <c r="Q1054" i="13"/>
  <c r="S1054" i="13"/>
  <c r="I1055" i="13"/>
  <c r="J1055" i="13"/>
  <c r="K1055" i="13"/>
  <c r="M1055" i="13"/>
  <c r="N1055" i="13"/>
  <c r="O1055" i="13"/>
  <c r="Q1055" i="13"/>
  <c r="S1055" i="13"/>
  <c r="I1056" i="13"/>
  <c r="N1056" i="13" s="1"/>
  <c r="J1056" i="13"/>
  <c r="K1056" i="13"/>
  <c r="L1056" i="13"/>
  <c r="M1056" i="13"/>
  <c r="O1056" i="13"/>
  <c r="P1056" i="13"/>
  <c r="Q1056" i="13"/>
  <c r="S1056" i="13"/>
  <c r="I1057" i="13"/>
  <c r="N1057" i="13" s="1"/>
  <c r="J1057" i="13"/>
  <c r="Q1057" i="13"/>
  <c r="S1057" i="13"/>
  <c r="I1058" i="13"/>
  <c r="N1058" i="13" s="1"/>
  <c r="J1058" i="13"/>
  <c r="L1058" i="13"/>
  <c r="M1058" i="13"/>
  <c r="O1058" i="13"/>
  <c r="Q1058" i="13"/>
  <c r="S1058" i="13"/>
  <c r="I1059" i="13"/>
  <c r="L1059" i="13" s="1"/>
  <c r="J1059" i="13"/>
  <c r="K1059" i="13"/>
  <c r="M1059" i="13"/>
  <c r="N1059" i="13"/>
  <c r="P1059" i="13"/>
  <c r="Q1059" i="13"/>
  <c r="S1059" i="13"/>
  <c r="I1060" i="13"/>
  <c r="M1060" i="13" s="1"/>
  <c r="J1060" i="13"/>
  <c r="K1060" i="13"/>
  <c r="L1060" i="13"/>
  <c r="N1060" i="13"/>
  <c r="O1060" i="13"/>
  <c r="P1060" i="13"/>
  <c r="Q1060" i="13"/>
  <c r="S1060" i="13"/>
  <c r="I1061" i="13"/>
  <c r="J1061" i="13"/>
  <c r="L1061" i="13"/>
  <c r="Q1061" i="13"/>
  <c r="S1061" i="13"/>
  <c r="I1062" i="13"/>
  <c r="J1062" i="13"/>
  <c r="K1062" i="13"/>
  <c r="Q1062" i="13"/>
  <c r="S1062" i="13"/>
  <c r="I1063" i="13"/>
  <c r="L1063" i="13" s="1"/>
  <c r="J1063" i="13"/>
  <c r="K1063" i="13"/>
  <c r="M1063" i="13"/>
  <c r="N1063" i="13"/>
  <c r="O1063" i="13"/>
  <c r="P1063" i="13"/>
  <c r="Q1063" i="13"/>
  <c r="S1063" i="13"/>
  <c r="I1064" i="13"/>
  <c r="N1064" i="13" s="1"/>
  <c r="J1064" i="13"/>
  <c r="Q1064" i="13"/>
  <c r="S1064" i="13"/>
  <c r="I1065" i="13"/>
  <c r="P1065" i="13" s="1"/>
  <c r="J1065" i="13"/>
  <c r="K1065" i="13"/>
  <c r="L1065" i="13"/>
  <c r="M1065" i="13"/>
  <c r="O1065" i="13"/>
  <c r="Q1065" i="13"/>
  <c r="S1065" i="13"/>
  <c r="I1066" i="13"/>
  <c r="N1066" i="13" s="1"/>
  <c r="J1066" i="13"/>
  <c r="K1066" i="13"/>
  <c r="L1066" i="13"/>
  <c r="O1066" i="13"/>
  <c r="P1066" i="13"/>
  <c r="Q1066" i="13"/>
  <c r="S1066" i="13"/>
  <c r="I1067" i="13"/>
  <c r="L1067" i="13" s="1"/>
  <c r="J1067" i="13"/>
  <c r="K1067" i="13"/>
  <c r="N1067" i="13"/>
  <c r="Q1067" i="13"/>
  <c r="S1067" i="13"/>
  <c r="I1068" i="13"/>
  <c r="J1068" i="13"/>
  <c r="Q1068" i="13"/>
  <c r="S1068" i="13"/>
  <c r="I1069" i="13"/>
  <c r="P1069" i="13" s="1"/>
  <c r="J1069" i="13"/>
  <c r="K1069" i="13"/>
  <c r="L1069" i="13"/>
  <c r="M1069" i="13"/>
  <c r="N1069" i="13"/>
  <c r="O1069" i="13"/>
  <c r="Q1069" i="13"/>
  <c r="S1069" i="13"/>
  <c r="I1070" i="13"/>
  <c r="J1070" i="13"/>
  <c r="O1070" i="13"/>
  <c r="Q1070" i="13"/>
  <c r="S1070" i="13"/>
  <c r="I1071" i="13"/>
  <c r="L1071" i="13" s="1"/>
  <c r="J1071" i="13"/>
  <c r="M1071" i="13"/>
  <c r="N1071" i="13"/>
  <c r="O1071" i="13"/>
  <c r="Q1071" i="13"/>
  <c r="S1071" i="13"/>
  <c r="I1072" i="13"/>
  <c r="N1072" i="13" s="1"/>
  <c r="J1072" i="13"/>
  <c r="K1072" i="13"/>
  <c r="L1072" i="13"/>
  <c r="M1072" i="13"/>
  <c r="O1072" i="13"/>
  <c r="P1072" i="13"/>
  <c r="Q1072" i="13"/>
  <c r="S1072" i="13"/>
  <c r="I1073" i="13"/>
  <c r="P1073" i="13" s="1"/>
  <c r="J1073" i="13"/>
  <c r="K1073" i="13"/>
  <c r="M1073" i="13"/>
  <c r="Q1073" i="13"/>
  <c r="S1073" i="13"/>
  <c r="I1074" i="13"/>
  <c r="L1074" i="13" s="1"/>
  <c r="J1074" i="13"/>
  <c r="Q1074" i="13"/>
  <c r="S1074" i="13"/>
  <c r="I1075" i="13"/>
  <c r="J1075" i="13"/>
  <c r="P1075" i="13"/>
  <c r="Q1075" i="13"/>
  <c r="S1075" i="13"/>
  <c r="I1076" i="13"/>
  <c r="J1076" i="13"/>
  <c r="K1076" i="13"/>
  <c r="L1076" i="13"/>
  <c r="M1076" i="13"/>
  <c r="N1076" i="13"/>
  <c r="O1076" i="13"/>
  <c r="P1076" i="13"/>
  <c r="Q1076" i="13"/>
  <c r="S1076" i="13"/>
  <c r="I1077" i="13"/>
  <c r="P1077" i="13" s="1"/>
  <c r="J1077" i="13"/>
  <c r="L1077" i="13"/>
  <c r="M1077" i="13"/>
  <c r="N1077" i="13"/>
  <c r="Q1077" i="13"/>
  <c r="S1077" i="13"/>
  <c r="I1078" i="13"/>
  <c r="N1078" i="13" s="1"/>
  <c r="J1078" i="13"/>
  <c r="K1078" i="13"/>
  <c r="L1078" i="13"/>
  <c r="M1078" i="13"/>
  <c r="P1078" i="13"/>
  <c r="Q1078" i="13"/>
  <c r="S1078" i="13"/>
  <c r="I1079" i="13"/>
  <c r="L1079" i="13" s="1"/>
  <c r="J1079" i="13"/>
  <c r="K1079" i="13"/>
  <c r="M1079" i="13"/>
  <c r="O1079" i="13"/>
  <c r="P1079" i="13"/>
  <c r="Q1079" i="13"/>
  <c r="S1079" i="13"/>
  <c r="I1080" i="13"/>
  <c r="J1080" i="13"/>
  <c r="K1080" i="13"/>
  <c r="Q1080" i="13"/>
  <c r="S1080" i="13"/>
  <c r="I1081" i="13"/>
  <c r="K1081" i="13" s="1"/>
  <c r="J1081" i="13"/>
  <c r="Q1081" i="13"/>
  <c r="S1081" i="13"/>
  <c r="I1082" i="13"/>
  <c r="N1082" i="13" s="1"/>
  <c r="J1082" i="13"/>
  <c r="K1082" i="13"/>
  <c r="L1082" i="13"/>
  <c r="M1082" i="13"/>
  <c r="O1082" i="13"/>
  <c r="P1082" i="13"/>
  <c r="Q1082" i="13"/>
  <c r="S1082" i="13"/>
  <c r="I1083" i="13"/>
  <c r="N1083" i="13" s="1"/>
  <c r="J1083" i="13"/>
  <c r="O1083" i="13"/>
  <c r="Q1083" i="13"/>
  <c r="S1083" i="13"/>
  <c r="I1084" i="13"/>
  <c r="L1084" i="13" s="1"/>
  <c r="J1084" i="13"/>
  <c r="Q1084" i="13"/>
  <c r="S1084" i="13"/>
  <c r="I1085" i="13"/>
  <c r="P1085" i="13" s="1"/>
  <c r="J1085" i="13"/>
  <c r="K1085" i="13"/>
  <c r="L1085" i="13"/>
  <c r="N1085" i="13"/>
  <c r="O1085" i="13"/>
  <c r="Q1085" i="13"/>
  <c r="S1085" i="13"/>
  <c r="I1086" i="13"/>
  <c r="K1086" i="13" s="1"/>
  <c r="J1086" i="13"/>
  <c r="Q1086" i="13"/>
  <c r="S1086" i="13"/>
  <c r="I1087" i="13"/>
  <c r="J1087" i="13"/>
  <c r="M1087" i="13"/>
  <c r="N1087" i="13"/>
  <c r="Q1087" i="13"/>
  <c r="S1087" i="13"/>
  <c r="I1088" i="13"/>
  <c r="J1088" i="13"/>
  <c r="L1088" i="13"/>
  <c r="P1088" i="13"/>
  <c r="Q1088" i="13"/>
  <c r="S1088" i="13"/>
  <c r="I1089" i="13"/>
  <c r="J1089" i="13"/>
  <c r="N1089" i="13"/>
  <c r="Q1089" i="13"/>
  <c r="S1089" i="13"/>
  <c r="I1090" i="13"/>
  <c r="J1090" i="13"/>
  <c r="L1090" i="13"/>
  <c r="O1090" i="13"/>
  <c r="Q1090" i="13"/>
  <c r="S1090" i="13"/>
  <c r="I1091" i="13"/>
  <c r="L1091" i="13" s="1"/>
  <c r="J1091" i="13"/>
  <c r="K1091" i="13"/>
  <c r="M1091" i="13"/>
  <c r="N1091" i="13"/>
  <c r="P1091" i="13"/>
  <c r="Q1091" i="13"/>
  <c r="S1091" i="13"/>
  <c r="I1092" i="13"/>
  <c r="M1092" i="13" s="1"/>
  <c r="J1092" i="13"/>
  <c r="K1092" i="13"/>
  <c r="L1092" i="13"/>
  <c r="N1092" i="13"/>
  <c r="O1092" i="13"/>
  <c r="P1092" i="13"/>
  <c r="Q1092" i="13"/>
  <c r="S1092" i="13"/>
  <c r="I1093" i="13"/>
  <c r="J1093" i="13"/>
  <c r="L1093" i="13"/>
  <c r="N1093" i="13"/>
  <c r="Q1093" i="13"/>
  <c r="S1093" i="13"/>
  <c r="I1094" i="13"/>
  <c r="J1094" i="13"/>
  <c r="K1094" i="13"/>
  <c r="L1094" i="13"/>
  <c r="P1094" i="13"/>
  <c r="Q1094" i="13"/>
  <c r="S1094" i="13"/>
  <c r="I1095" i="13"/>
  <c r="L1095" i="13" s="1"/>
  <c r="J1095" i="13"/>
  <c r="K1095" i="13"/>
  <c r="M1095" i="13"/>
  <c r="N1095" i="13"/>
  <c r="O1095" i="13"/>
  <c r="P1095" i="13"/>
  <c r="Q1095" i="13"/>
  <c r="S1095" i="13"/>
  <c r="I1096" i="13"/>
  <c r="J1096" i="13"/>
  <c r="K1096" i="13"/>
  <c r="N1096" i="13"/>
  <c r="Q1096" i="13"/>
  <c r="S1096" i="13"/>
  <c r="I1097" i="13"/>
  <c r="J1097" i="13"/>
  <c r="K1097" i="13"/>
  <c r="Q1097" i="13"/>
  <c r="S1097" i="13"/>
  <c r="I1098" i="13"/>
  <c r="N1098" i="13" s="1"/>
  <c r="J1098" i="13"/>
  <c r="K1098" i="13"/>
  <c r="L1098" i="13"/>
  <c r="O1098" i="13"/>
  <c r="P1098" i="13"/>
  <c r="Q1098" i="13"/>
  <c r="S1098" i="13"/>
  <c r="I1099" i="13"/>
  <c r="J1099" i="13"/>
  <c r="K1099" i="13"/>
  <c r="Q1099" i="13"/>
  <c r="S1099" i="13"/>
  <c r="I1100" i="13"/>
  <c r="J1100" i="13"/>
  <c r="L1100" i="13"/>
  <c r="Q1100" i="13"/>
  <c r="S1100" i="13"/>
  <c r="I1101" i="13"/>
  <c r="P1101" i="13" s="1"/>
  <c r="J1101" i="13"/>
  <c r="K1101" i="13"/>
  <c r="L1101" i="13"/>
  <c r="M1101" i="13"/>
  <c r="N1101" i="13"/>
  <c r="O1101" i="13"/>
  <c r="Q1101" i="13"/>
  <c r="S1101" i="13"/>
  <c r="I1102" i="13"/>
  <c r="J1102" i="13"/>
  <c r="M1102" i="13"/>
  <c r="Q1102" i="13"/>
  <c r="S1102" i="13"/>
  <c r="I1103" i="13"/>
  <c r="J1103" i="13"/>
  <c r="N1103" i="13"/>
  <c r="Q1103" i="13"/>
  <c r="S1103" i="13"/>
  <c r="I1104" i="13"/>
  <c r="N1104" i="13" s="1"/>
  <c r="J1104" i="13"/>
  <c r="K1104" i="13"/>
  <c r="Q1104" i="13"/>
  <c r="S1104" i="13"/>
  <c r="I1105" i="13"/>
  <c r="J1105" i="13"/>
  <c r="M1105" i="13"/>
  <c r="Q1105" i="13"/>
  <c r="S1105" i="13"/>
  <c r="I1106" i="13"/>
  <c r="J1106" i="13"/>
  <c r="Q1106" i="13"/>
  <c r="S1106" i="13"/>
  <c r="I1107" i="13"/>
  <c r="J1107" i="13"/>
  <c r="K1107" i="13"/>
  <c r="Q1107" i="13"/>
  <c r="S1107" i="13"/>
  <c r="I1108" i="13"/>
  <c r="J1108" i="13"/>
  <c r="K1108" i="13"/>
  <c r="L1108" i="13"/>
  <c r="M1108" i="13"/>
  <c r="N1108" i="13"/>
  <c r="O1108" i="13"/>
  <c r="P1108" i="13"/>
  <c r="Q1108" i="13"/>
  <c r="S1108" i="13"/>
  <c r="I1109" i="13"/>
  <c r="J1109" i="13"/>
  <c r="Q1109" i="13"/>
  <c r="S1109" i="13"/>
  <c r="I1110" i="13"/>
  <c r="J1110" i="13"/>
  <c r="Q1110" i="13"/>
  <c r="S1110" i="13"/>
  <c r="I1111" i="13"/>
  <c r="L1111" i="13" s="1"/>
  <c r="J1111" i="13"/>
  <c r="K1111" i="13"/>
  <c r="M1111" i="13"/>
  <c r="O1111" i="13"/>
  <c r="P1111" i="13"/>
  <c r="Q1111" i="13"/>
  <c r="S1111" i="13"/>
  <c r="I1112" i="13"/>
  <c r="J1112" i="13"/>
  <c r="Q1112" i="13"/>
  <c r="S1112" i="13"/>
  <c r="I1113" i="13"/>
  <c r="J1113" i="13"/>
  <c r="Q1113" i="13"/>
  <c r="S1113" i="13"/>
  <c r="I1114" i="13"/>
  <c r="N1114" i="13" s="1"/>
  <c r="J1114" i="13"/>
  <c r="K1114" i="13"/>
  <c r="L1114" i="13"/>
  <c r="M1114" i="13"/>
  <c r="O1114" i="13"/>
  <c r="P1114" i="13"/>
  <c r="Q1114" i="13"/>
  <c r="S1114" i="13"/>
  <c r="I1115" i="13"/>
  <c r="J1115" i="13"/>
  <c r="Q1115" i="13"/>
  <c r="S1115" i="13"/>
  <c r="I1116" i="13"/>
  <c r="J1116" i="13"/>
  <c r="Q1116" i="13"/>
  <c r="S1116" i="13"/>
  <c r="I1117" i="13"/>
  <c r="P1117" i="13" s="1"/>
  <c r="J1117" i="13"/>
  <c r="K1117" i="13"/>
  <c r="L1117" i="13"/>
  <c r="N1117" i="13"/>
  <c r="O1117" i="13"/>
  <c r="Q1117" i="13"/>
  <c r="S1117" i="13"/>
  <c r="I1118" i="13"/>
  <c r="J1118" i="13"/>
  <c r="Q1118" i="13"/>
  <c r="S1118" i="13"/>
  <c r="I1119" i="13"/>
  <c r="J1119" i="13"/>
  <c r="Q1119" i="13"/>
  <c r="S1119" i="13"/>
  <c r="I1120" i="13"/>
  <c r="N1120" i="13" s="1"/>
  <c r="J1120" i="13"/>
  <c r="Q1120" i="13"/>
  <c r="S1120" i="13"/>
  <c r="I1121" i="13"/>
  <c r="J1121" i="13"/>
  <c r="Q1121" i="13"/>
  <c r="S1121" i="13"/>
  <c r="I1122" i="13"/>
  <c r="J1122" i="13"/>
  <c r="Q1122" i="13"/>
  <c r="S1122" i="13"/>
  <c r="I1123" i="13"/>
  <c r="J1123" i="13"/>
  <c r="Q1123" i="13"/>
  <c r="S1123" i="13"/>
  <c r="I1124" i="13"/>
  <c r="M1124" i="13" s="1"/>
  <c r="J1124" i="13"/>
  <c r="K1124" i="13"/>
  <c r="L1124" i="13"/>
  <c r="N1124" i="13"/>
  <c r="O1124" i="13"/>
  <c r="P1124" i="13"/>
  <c r="Q1124" i="13"/>
  <c r="S1124" i="13"/>
  <c r="I1125" i="13"/>
  <c r="J1125" i="13"/>
  <c r="Q1125" i="13"/>
  <c r="S1125" i="13"/>
  <c r="I1126" i="13"/>
  <c r="J1126" i="13"/>
  <c r="Q1126" i="13"/>
  <c r="S1126" i="13"/>
  <c r="I1127" i="13"/>
  <c r="L1127" i="13" s="1"/>
  <c r="J1127" i="13"/>
  <c r="K1127" i="13"/>
  <c r="M1127" i="13"/>
  <c r="N1127" i="13"/>
  <c r="O1127" i="13"/>
  <c r="P1127" i="13"/>
  <c r="Q1127" i="13"/>
  <c r="S1127" i="13"/>
  <c r="I1128" i="13"/>
  <c r="J1128" i="13"/>
  <c r="Q1128" i="13"/>
  <c r="S1128" i="13"/>
  <c r="I1129" i="13"/>
  <c r="J1129" i="13"/>
  <c r="Q1129" i="13"/>
  <c r="S1129" i="13"/>
  <c r="I1130" i="13"/>
  <c r="N1130" i="13" s="1"/>
  <c r="J1130" i="13"/>
  <c r="K1130" i="13"/>
  <c r="L1130" i="13"/>
  <c r="O1130" i="13"/>
  <c r="P1130" i="13"/>
  <c r="Q1130" i="13"/>
  <c r="S1130" i="13"/>
  <c r="I1131" i="13"/>
  <c r="J1131" i="13"/>
  <c r="Q1131" i="13"/>
  <c r="S1131" i="13"/>
  <c r="I1132" i="13"/>
  <c r="J1132" i="13"/>
  <c r="Q1132" i="13"/>
  <c r="S1132" i="13"/>
  <c r="I1133" i="13"/>
  <c r="P1133" i="13" s="1"/>
  <c r="J1133" i="13"/>
  <c r="K1133" i="13"/>
  <c r="L1133" i="13"/>
  <c r="M1133" i="13"/>
  <c r="N1133" i="13"/>
  <c r="O1133" i="13"/>
  <c r="Q1133" i="13"/>
  <c r="S1133" i="13"/>
  <c r="I1134" i="13"/>
  <c r="O1134" i="13" s="1"/>
  <c r="J1134" i="13"/>
  <c r="K1134" i="13"/>
  <c r="M1134" i="13"/>
  <c r="P1134" i="13"/>
  <c r="Q1134" i="13"/>
  <c r="S1134" i="13"/>
  <c r="I1135" i="13"/>
  <c r="O1135" i="13" s="1"/>
  <c r="J1135" i="13"/>
  <c r="M1135" i="13"/>
  <c r="N1135" i="13"/>
  <c r="Q1135" i="13"/>
  <c r="S1135" i="13"/>
  <c r="I1136" i="13"/>
  <c r="J1136" i="13"/>
  <c r="Q1136" i="13"/>
  <c r="S1136" i="13"/>
  <c r="I1137" i="13"/>
  <c r="N1137" i="13" s="1"/>
  <c r="J1137" i="13"/>
  <c r="K1137" i="13"/>
  <c r="M1137" i="13"/>
  <c r="O1137" i="13"/>
  <c r="Q1137" i="13"/>
  <c r="S1137" i="13"/>
  <c r="I1138" i="13"/>
  <c r="L1138" i="13" s="1"/>
  <c r="J1138" i="13"/>
  <c r="M1138" i="13"/>
  <c r="Q1138" i="13"/>
  <c r="S1138" i="13"/>
  <c r="I1139" i="13"/>
  <c r="J1139" i="13"/>
  <c r="Q1139" i="13"/>
  <c r="S1139" i="13"/>
  <c r="I1140" i="13"/>
  <c r="J1140" i="13"/>
  <c r="K1140" i="13"/>
  <c r="L1140" i="13"/>
  <c r="M1140" i="13"/>
  <c r="N1140" i="13"/>
  <c r="O1140" i="13"/>
  <c r="P1140" i="13"/>
  <c r="Q1140" i="13"/>
  <c r="S1140" i="13"/>
  <c r="I1141" i="13"/>
  <c r="L1141" i="13" s="1"/>
  <c r="J1141" i="13"/>
  <c r="N1141" i="13"/>
  <c r="Q1141" i="13"/>
  <c r="S1141" i="13"/>
  <c r="I1142" i="13"/>
  <c r="K1142" i="13" s="1"/>
  <c r="J1142" i="13"/>
  <c r="L1142" i="13"/>
  <c r="P1142" i="13"/>
  <c r="Q1142" i="13"/>
  <c r="S1142" i="13"/>
  <c r="I1143" i="13"/>
  <c r="L1143" i="13" s="1"/>
  <c r="J1143" i="13"/>
  <c r="K1143" i="13"/>
  <c r="M1143" i="13"/>
  <c r="O1143" i="13"/>
  <c r="P1143" i="13"/>
  <c r="Q1143" i="13"/>
  <c r="S1143" i="13"/>
  <c r="I1144" i="13"/>
  <c r="K1144" i="13" s="1"/>
  <c r="J1144" i="13"/>
  <c r="M1144" i="13"/>
  <c r="O1144" i="13"/>
  <c r="Q1144" i="13"/>
  <c r="S1144" i="13"/>
  <c r="I1145" i="13"/>
  <c r="K1145" i="13" s="1"/>
  <c r="J1145" i="13"/>
  <c r="L1145" i="13"/>
  <c r="O1145" i="13"/>
  <c r="Q1145" i="13"/>
  <c r="S1145" i="13"/>
  <c r="I1146" i="13"/>
  <c r="N1146" i="13" s="1"/>
  <c r="J1146" i="13"/>
  <c r="K1146" i="13"/>
  <c r="L1146" i="13"/>
  <c r="M1146" i="13"/>
  <c r="O1146" i="13"/>
  <c r="P1146" i="13"/>
  <c r="Q1146" i="13"/>
  <c r="S1146" i="13"/>
  <c r="I1147" i="13"/>
  <c r="K1147" i="13" s="1"/>
  <c r="J1147" i="13"/>
  <c r="O1147" i="13"/>
  <c r="P1147" i="13"/>
  <c r="Q1147" i="13"/>
  <c r="S1147" i="13"/>
  <c r="I1148" i="13"/>
  <c r="L1148" i="13" s="1"/>
  <c r="J1148" i="13"/>
  <c r="N1148" i="13"/>
  <c r="P1148" i="13"/>
  <c r="Q1148" i="13"/>
  <c r="S1148" i="13"/>
  <c r="I1149" i="13"/>
  <c r="P1149" i="13" s="1"/>
  <c r="J1149" i="13"/>
  <c r="K1149" i="13"/>
  <c r="L1149" i="13"/>
  <c r="N1149" i="13"/>
  <c r="O1149" i="13"/>
  <c r="Q1149" i="13"/>
  <c r="S1149" i="13"/>
  <c r="I1150" i="13"/>
  <c r="K1150" i="13" s="1"/>
  <c r="J1150" i="13"/>
  <c r="O1150" i="13"/>
  <c r="P1150" i="13"/>
  <c r="Q1150" i="13"/>
  <c r="S1150" i="13"/>
  <c r="I1151" i="13"/>
  <c r="M1151" i="13" s="1"/>
  <c r="J1151" i="13"/>
  <c r="Q1151" i="13"/>
  <c r="S1151" i="13"/>
  <c r="I1152" i="13"/>
  <c r="N1152" i="13" s="1"/>
  <c r="J1152" i="13"/>
  <c r="L1152" i="13"/>
  <c r="O1152" i="13"/>
  <c r="P1152" i="13"/>
  <c r="Q1152" i="13"/>
  <c r="S1152" i="13"/>
  <c r="I1153" i="13"/>
  <c r="K1153" i="13" s="1"/>
  <c r="J1153" i="13"/>
  <c r="Q1153" i="13"/>
  <c r="S1153" i="13"/>
  <c r="I1154" i="13"/>
  <c r="L1154" i="13" s="1"/>
  <c r="J1154" i="13"/>
  <c r="Q1154" i="13"/>
  <c r="S1154" i="13"/>
  <c r="I1155" i="13"/>
  <c r="K1155" i="13" s="1"/>
  <c r="J1155" i="13"/>
  <c r="P1155" i="13"/>
  <c r="Q1155" i="13"/>
  <c r="S1155" i="13"/>
  <c r="I1156" i="13"/>
  <c r="M1156" i="13" s="1"/>
  <c r="J1156" i="13"/>
  <c r="K1156" i="13"/>
  <c r="L1156" i="13"/>
  <c r="N1156" i="13"/>
  <c r="O1156" i="13"/>
  <c r="P1156" i="13"/>
  <c r="Q1156" i="13"/>
  <c r="S1156" i="13"/>
  <c r="I1157" i="13"/>
  <c r="L1157" i="13" s="1"/>
  <c r="J1157" i="13"/>
  <c r="Q1157" i="13"/>
  <c r="S1157" i="13"/>
  <c r="I1158" i="13"/>
  <c r="K1158" i="13" s="1"/>
  <c r="J1158" i="13"/>
  <c r="P1158" i="13"/>
  <c r="Q1158" i="13"/>
  <c r="S1158" i="13"/>
  <c r="I1159" i="13"/>
  <c r="L1159" i="13" s="1"/>
  <c r="J1159" i="13"/>
  <c r="K1159" i="13"/>
  <c r="M1159" i="13"/>
  <c r="N1159" i="13"/>
  <c r="O1159" i="13"/>
  <c r="P1159" i="13"/>
  <c r="Q1159" i="13"/>
  <c r="S1159" i="13"/>
  <c r="I1160" i="13"/>
  <c r="K1160" i="13" s="1"/>
  <c r="J1160" i="13"/>
  <c r="Q1160" i="13"/>
  <c r="S1160" i="13"/>
  <c r="I1161" i="13"/>
  <c r="K1161" i="13" s="1"/>
  <c r="J1161" i="13"/>
  <c r="Q1161" i="13"/>
  <c r="S1161" i="13"/>
  <c r="I1162" i="13"/>
  <c r="N1162" i="13" s="1"/>
  <c r="J1162" i="13"/>
  <c r="K1162" i="13"/>
  <c r="L1162" i="13"/>
  <c r="O1162" i="13"/>
  <c r="P1162" i="13"/>
  <c r="Q1162" i="13"/>
  <c r="S1162" i="13"/>
  <c r="I1163" i="13"/>
  <c r="K1163" i="13" s="1"/>
  <c r="J1163" i="13"/>
  <c r="Q1163" i="13"/>
  <c r="S1163" i="13"/>
  <c r="I1164" i="13"/>
  <c r="L1164" i="13" s="1"/>
  <c r="J1164" i="13"/>
  <c r="Q1164" i="13"/>
  <c r="S1164" i="13"/>
  <c r="I1165" i="13"/>
  <c r="P1165" i="13" s="1"/>
  <c r="J1165" i="13"/>
  <c r="K1165" i="13"/>
  <c r="L1165" i="13"/>
  <c r="M1165" i="13"/>
  <c r="N1165" i="13"/>
  <c r="O1165" i="13"/>
  <c r="Q1165" i="13"/>
  <c r="S1165" i="13"/>
  <c r="I1166" i="13"/>
  <c r="K1166" i="13" s="1"/>
  <c r="J1166" i="13"/>
  <c r="M1166" i="13"/>
  <c r="O1166" i="13"/>
  <c r="P1166" i="13"/>
  <c r="Q1166" i="13"/>
  <c r="S1166" i="13"/>
  <c r="I1167" i="13"/>
  <c r="M1167" i="13" s="1"/>
  <c r="J1167" i="13"/>
  <c r="N1167" i="13"/>
  <c r="O1167" i="13"/>
  <c r="Q1167" i="13"/>
  <c r="S1167" i="13"/>
  <c r="I1168" i="13"/>
  <c r="N1168" i="13" s="1"/>
  <c r="J1168" i="13"/>
  <c r="P1168" i="13"/>
  <c r="Q1168" i="13"/>
  <c r="S1168" i="13"/>
  <c r="I1169" i="13"/>
  <c r="K1169" i="13" s="1"/>
  <c r="J1169" i="13"/>
  <c r="M1169" i="13"/>
  <c r="N1169" i="13"/>
  <c r="O1169" i="13"/>
  <c r="Q1169" i="13"/>
  <c r="S1169" i="13"/>
  <c r="I1170" i="13"/>
  <c r="L1170" i="13" s="1"/>
  <c r="J1170" i="13"/>
  <c r="M1170" i="13"/>
  <c r="O1170" i="13"/>
  <c r="Q1170" i="13"/>
  <c r="S1170" i="13"/>
  <c r="I1171" i="13"/>
  <c r="K1171" i="13" s="1"/>
  <c r="J1171" i="13"/>
  <c r="Q1171" i="13"/>
  <c r="S1171" i="13"/>
  <c r="I1172" i="13"/>
  <c r="J1172" i="13"/>
  <c r="K1172" i="13"/>
  <c r="L1172" i="13"/>
  <c r="M1172" i="13"/>
  <c r="N1172" i="13"/>
  <c r="O1172" i="13"/>
  <c r="P1172" i="13"/>
  <c r="Q1172" i="13"/>
  <c r="S1172" i="13"/>
  <c r="I1173" i="13"/>
  <c r="J1173" i="13"/>
  <c r="K1173" i="13"/>
  <c r="L1173" i="13"/>
  <c r="M1173" i="13"/>
  <c r="Q1173" i="13"/>
  <c r="S1173" i="13"/>
  <c r="I1174" i="13"/>
  <c r="J1174" i="13"/>
  <c r="K1174" i="13"/>
  <c r="L1174" i="13"/>
  <c r="M1174" i="13"/>
  <c r="Q1174" i="13"/>
  <c r="S1174" i="13"/>
  <c r="I1175" i="13"/>
  <c r="J1175" i="13"/>
  <c r="K1175" i="13"/>
  <c r="M1175" i="13"/>
  <c r="O1175" i="13"/>
  <c r="Q1175" i="13"/>
  <c r="S1175" i="13"/>
  <c r="I1176" i="13"/>
  <c r="L1176" i="13" s="1"/>
  <c r="J1176" i="13"/>
  <c r="K1176" i="13"/>
  <c r="M1176" i="13"/>
  <c r="N1176" i="13"/>
  <c r="P1176" i="13"/>
  <c r="Q1176" i="13"/>
  <c r="S1176" i="13"/>
  <c r="I1177" i="13"/>
  <c r="P1177" i="13" s="1"/>
  <c r="J1177" i="13"/>
  <c r="K1177" i="13"/>
  <c r="L1177" i="13"/>
  <c r="M1177" i="13"/>
  <c r="N1177" i="13"/>
  <c r="O1177" i="13"/>
  <c r="Q1177" i="13"/>
  <c r="S1177" i="13"/>
  <c r="I1178" i="13"/>
  <c r="N1178" i="13" s="1"/>
  <c r="J1178" i="13"/>
  <c r="K1178" i="13"/>
  <c r="L1178" i="13"/>
  <c r="M1178" i="13"/>
  <c r="O1178" i="13"/>
  <c r="P1178" i="13"/>
  <c r="Q1178" i="13"/>
  <c r="S1178" i="13"/>
  <c r="I1179" i="13"/>
  <c r="L1179" i="13" s="1"/>
  <c r="J1179" i="13"/>
  <c r="M1179" i="13"/>
  <c r="Q1179" i="13"/>
  <c r="S1179" i="13"/>
  <c r="I1180" i="13"/>
  <c r="J1180" i="13"/>
  <c r="Q1180" i="13"/>
  <c r="S1180" i="13"/>
  <c r="I1181" i="13"/>
  <c r="N1181" i="13" s="1"/>
  <c r="J1181" i="13"/>
  <c r="K1181" i="13"/>
  <c r="L1181" i="13"/>
  <c r="O1181" i="13"/>
  <c r="Q1181" i="13"/>
  <c r="S1181" i="13"/>
  <c r="I1182" i="13"/>
  <c r="O1182" i="13" s="1"/>
  <c r="J1182" i="13"/>
  <c r="K1182" i="13"/>
  <c r="M1182" i="13"/>
  <c r="P1182" i="13"/>
  <c r="Q1182" i="13"/>
  <c r="S1182" i="13"/>
  <c r="I1183" i="13"/>
  <c r="M1183" i="13" s="1"/>
  <c r="J1183" i="13"/>
  <c r="N1183" i="13"/>
  <c r="P1183" i="13"/>
  <c r="Q1183" i="13"/>
  <c r="S1183" i="13"/>
  <c r="I1184" i="13"/>
  <c r="K1184" i="13" s="1"/>
  <c r="J1184" i="13"/>
  <c r="L1184" i="13"/>
  <c r="N1184" i="13"/>
  <c r="O1184" i="13"/>
  <c r="P1184" i="13"/>
  <c r="Q1184" i="13"/>
  <c r="S1184" i="13"/>
  <c r="I1185" i="13"/>
  <c r="P1185" i="13" s="1"/>
  <c r="J1185" i="13"/>
  <c r="L1185" i="13"/>
  <c r="M1185" i="13"/>
  <c r="N1185" i="13"/>
  <c r="O1185" i="13"/>
  <c r="Q1185" i="13"/>
  <c r="S1185" i="13"/>
  <c r="I1186" i="13"/>
  <c r="J1186" i="13"/>
  <c r="K1186" i="13"/>
  <c r="L1186" i="13"/>
  <c r="M1186" i="13"/>
  <c r="Q1186" i="13"/>
  <c r="S1186" i="13"/>
  <c r="I1187" i="13"/>
  <c r="J1187" i="13"/>
  <c r="K1187" i="13"/>
  <c r="M1187" i="13"/>
  <c r="N1187" i="13"/>
  <c r="Q1187" i="13"/>
  <c r="S1187" i="13"/>
  <c r="I1188" i="13"/>
  <c r="M1188" i="13" s="1"/>
  <c r="J1188" i="13"/>
  <c r="K1188" i="13"/>
  <c r="L1188" i="13"/>
  <c r="N1188" i="13"/>
  <c r="P1188" i="13"/>
  <c r="Q1188" i="13"/>
  <c r="S1188" i="13"/>
  <c r="I1189" i="13"/>
  <c r="J1189" i="13"/>
  <c r="L1189" i="13"/>
  <c r="M1189" i="13"/>
  <c r="N1189" i="13"/>
  <c r="O1189" i="13"/>
  <c r="Q1189" i="13"/>
  <c r="S1189" i="13"/>
  <c r="I1190" i="13"/>
  <c r="N1190" i="13" s="1"/>
  <c r="J1190" i="13"/>
  <c r="K1190" i="13"/>
  <c r="L1190" i="13"/>
  <c r="M1190" i="13"/>
  <c r="O1190" i="13"/>
  <c r="P1190" i="13"/>
  <c r="Q1190" i="13"/>
  <c r="S1190" i="13"/>
  <c r="I1191" i="13"/>
  <c r="L1191" i="13" s="1"/>
  <c r="J1191" i="13"/>
  <c r="K1191" i="13"/>
  <c r="M1191" i="13"/>
  <c r="N1191" i="13"/>
  <c r="O1191" i="13"/>
  <c r="P1191" i="13"/>
  <c r="Q1191" i="13"/>
  <c r="S1191" i="13"/>
  <c r="I1192" i="13"/>
  <c r="P1192" i="13" s="1"/>
  <c r="J1192" i="13"/>
  <c r="L1192" i="13"/>
  <c r="Q1192" i="13"/>
  <c r="S1192" i="13"/>
  <c r="I1193" i="13"/>
  <c r="J1193" i="13"/>
  <c r="Q1193" i="13"/>
  <c r="S1193" i="13"/>
  <c r="I1194" i="13"/>
  <c r="J1194" i="13"/>
  <c r="Q1194" i="13"/>
  <c r="S1194" i="13"/>
  <c r="I1195" i="13"/>
  <c r="J1195" i="13"/>
  <c r="Q1195" i="13"/>
  <c r="S1195" i="13"/>
  <c r="I1196" i="13"/>
  <c r="J1196" i="13"/>
  <c r="Q1196" i="13"/>
  <c r="S1196" i="13"/>
  <c r="I1197" i="13"/>
  <c r="P1197" i="13" s="1"/>
  <c r="J1197" i="13"/>
  <c r="K1197" i="13"/>
  <c r="L1197" i="13"/>
  <c r="M1197" i="13"/>
  <c r="N1197" i="13"/>
  <c r="O1197" i="13"/>
  <c r="Q1197" i="13"/>
  <c r="S1197" i="13"/>
  <c r="I1198" i="13"/>
  <c r="N1198" i="13" s="1"/>
  <c r="J1198" i="13"/>
  <c r="P1198" i="13"/>
  <c r="Q1198" i="13"/>
  <c r="S1198" i="13"/>
  <c r="I1199" i="13"/>
  <c r="K1199" i="13" s="1"/>
  <c r="J1199" i="13"/>
  <c r="M1199" i="13"/>
  <c r="N1199" i="13"/>
  <c r="O1199" i="13"/>
  <c r="Q1199" i="13"/>
  <c r="S1199" i="13"/>
  <c r="I1200" i="13"/>
  <c r="O1200" i="13" s="1"/>
  <c r="J1200" i="13"/>
  <c r="L1200" i="13"/>
  <c r="M1200" i="13"/>
  <c r="N1200" i="13"/>
  <c r="P1200" i="13"/>
  <c r="Q1200" i="13"/>
  <c r="S1200" i="13"/>
  <c r="I1201" i="13"/>
  <c r="P1201" i="13" s="1"/>
  <c r="J1201" i="13"/>
  <c r="K1201" i="13"/>
  <c r="L1201" i="13"/>
  <c r="M1201" i="13"/>
  <c r="N1201" i="13"/>
  <c r="O1201" i="13"/>
  <c r="Q1201" i="13"/>
  <c r="S1201" i="13"/>
  <c r="I1202" i="13"/>
  <c r="N1202" i="13" s="1"/>
  <c r="J1202" i="13"/>
  <c r="K1202" i="13"/>
  <c r="M1202" i="13"/>
  <c r="Q1202" i="13"/>
  <c r="S1202" i="13"/>
  <c r="I1203" i="13"/>
  <c r="L1203" i="13" s="1"/>
  <c r="J1203" i="13"/>
  <c r="M1203" i="13"/>
  <c r="Q1203" i="13"/>
  <c r="S1203" i="13"/>
  <c r="I1204" i="13"/>
  <c r="J1204" i="13"/>
  <c r="Q1204" i="13"/>
  <c r="S1204" i="13"/>
  <c r="I1205" i="13"/>
  <c r="P1205" i="13" s="1"/>
  <c r="J1205" i="13"/>
  <c r="O1205" i="13"/>
  <c r="Q1205" i="13"/>
  <c r="S1205" i="13"/>
  <c r="I1206" i="13"/>
  <c r="N1206" i="13" s="1"/>
  <c r="J1206" i="13"/>
  <c r="L1206" i="13"/>
  <c r="M1206" i="13"/>
  <c r="O1206" i="13"/>
  <c r="Q1206" i="13"/>
  <c r="S1206" i="13"/>
  <c r="I1207" i="13"/>
  <c r="L1207" i="13" s="1"/>
  <c r="J1207" i="13"/>
  <c r="K1207" i="13"/>
  <c r="M1207" i="13"/>
  <c r="N1207" i="13"/>
  <c r="P1207" i="13"/>
  <c r="Q1207" i="13"/>
  <c r="S1207" i="13"/>
  <c r="I1208" i="13"/>
  <c r="J1208" i="13"/>
  <c r="K1208" i="13"/>
  <c r="L1208" i="13"/>
  <c r="M1208" i="13"/>
  <c r="N1208" i="13"/>
  <c r="O1208" i="13"/>
  <c r="P1208" i="13"/>
  <c r="Q1208" i="13"/>
  <c r="S1208" i="13"/>
  <c r="I1209" i="13"/>
  <c r="P1209" i="13" s="1"/>
  <c r="J1209" i="13"/>
  <c r="L1209" i="13"/>
  <c r="Q1209" i="13"/>
  <c r="S1209" i="13"/>
  <c r="I1210" i="13"/>
  <c r="J1210" i="13"/>
  <c r="Q1210" i="13"/>
  <c r="S1210" i="13"/>
  <c r="I1211" i="13"/>
  <c r="L1211" i="13" s="1"/>
  <c r="J1211" i="13"/>
  <c r="K1211" i="13"/>
  <c r="M1211" i="13"/>
  <c r="O1211" i="13"/>
  <c r="P1211" i="13"/>
  <c r="Q1211" i="13"/>
  <c r="S1211" i="13"/>
  <c r="I1212" i="13"/>
  <c r="P1212" i="13" s="1"/>
  <c r="J1212" i="13"/>
  <c r="O1212" i="13"/>
  <c r="Q1212" i="13"/>
  <c r="S1212" i="13"/>
  <c r="I1213" i="13"/>
  <c r="P1213" i="13" s="1"/>
  <c r="J1213" i="13"/>
  <c r="K1213" i="13"/>
  <c r="L1213" i="13"/>
  <c r="M1213" i="13"/>
  <c r="O1213" i="13"/>
  <c r="Q1213" i="13"/>
  <c r="S1213" i="13"/>
  <c r="I1214" i="13"/>
  <c r="N1214" i="13" s="1"/>
  <c r="J1214" i="13"/>
  <c r="K1214" i="13"/>
  <c r="L1214" i="13"/>
  <c r="M1214" i="13"/>
  <c r="O1214" i="13"/>
  <c r="P1214" i="13"/>
  <c r="Q1214" i="13"/>
  <c r="S1214" i="13"/>
  <c r="I1215" i="13"/>
  <c r="L1215" i="13" s="1"/>
  <c r="J1215" i="13"/>
  <c r="K1215" i="13"/>
  <c r="N1215" i="13"/>
  <c r="Q1215" i="13"/>
  <c r="S1215" i="13"/>
  <c r="I1216" i="13"/>
  <c r="K1216" i="13" s="1"/>
  <c r="J1216" i="13"/>
  <c r="L1216" i="13"/>
  <c r="Q1216" i="13"/>
  <c r="S1216" i="13"/>
  <c r="I1217" i="13"/>
  <c r="P1217" i="13" s="1"/>
  <c r="J1217" i="13"/>
  <c r="K1217" i="13"/>
  <c r="L1217" i="13"/>
  <c r="N1217" i="13"/>
  <c r="O1217" i="13"/>
  <c r="Q1217" i="13"/>
  <c r="S1217" i="13"/>
  <c r="I1218" i="13"/>
  <c r="J1218" i="13"/>
  <c r="Q1218" i="13"/>
  <c r="S1218" i="13"/>
  <c r="I1219" i="13"/>
  <c r="L1219" i="13" s="1"/>
  <c r="J1219" i="13"/>
  <c r="M1219" i="13"/>
  <c r="N1219" i="13"/>
  <c r="O1219" i="13"/>
  <c r="Q1219" i="13"/>
  <c r="S1219" i="13"/>
  <c r="I1220" i="13"/>
  <c r="N1220" i="13" s="1"/>
  <c r="J1220" i="13"/>
  <c r="K1220" i="13"/>
  <c r="L1220" i="13"/>
  <c r="M1220" i="13"/>
  <c r="O1220" i="13"/>
  <c r="Q1220" i="13"/>
  <c r="S1220" i="13"/>
  <c r="I1221" i="13"/>
  <c r="P1221" i="13" s="1"/>
  <c r="J1221" i="13"/>
  <c r="K1221" i="13"/>
  <c r="M1221" i="13"/>
  <c r="Q1221" i="13"/>
  <c r="S1221" i="13"/>
  <c r="I1222" i="13"/>
  <c r="N1222" i="13" s="1"/>
  <c r="J1222" i="13"/>
  <c r="L1222" i="13"/>
  <c r="Q1222" i="13"/>
  <c r="S1222" i="13"/>
  <c r="I1223" i="13"/>
  <c r="J1223" i="13"/>
  <c r="K1223" i="13"/>
  <c r="Q1223" i="13"/>
  <c r="S1223" i="13"/>
  <c r="I1224" i="13"/>
  <c r="M1224" i="13" s="1"/>
  <c r="J1224" i="13"/>
  <c r="K1224" i="13"/>
  <c r="L1224" i="13"/>
  <c r="N1224" i="13"/>
  <c r="O1224" i="13"/>
  <c r="P1224" i="13"/>
  <c r="Q1224" i="13"/>
  <c r="S1224" i="13"/>
  <c r="I1225" i="13"/>
  <c r="P1225" i="13" s="1"/>
  <c r="J1225" i="13"/>
  <c r="L1225" i="13"/>
  <c r="M1225" i="13"/>
  <c r="N1225" i="13"/>
  <c r="Q1225" i="13"/>
  <c r="S1225" i="13"/>
  <c r="I1226" i="13"/>
  <c r="N1226" i="13" s="1"/>
  <c r="J1226" i="13"/>
  <c r="K1226" i="13"/>
  <c r="L1226" i="13"/>
  <c r="M1226" i="13"/>
  <c r="P1226" i="13"/>
  <c r="Q1226" i="13"/>
  <c r="S1226" i="13"/>
  <c r="I1227" i="13"/>
  <c r="L1227" i="13" s="1"/>
  <c r="J1227" i="13"/>
  <c r="K1227" i="13"/>
  <c r="M1227" i="13"/>
  <c r="N1227" i="13"/>
  <c r="O1227" i="13"/>
  <c r="P1227" i="13"/>
  <c r="Q1227" i="13"/>
  <c r="S1227" i="13"/>
  <c r="I1228" i="13"/>
  <c r="L1228" i="13" s="1"/>
  <c r="J1228" i="13"/>
  <c r="K1228" i="13"/>
  <c r="M1228" i="13"/>
  <c r="Q1228" i="13"/>
  <c r="S1228" i="13"/>
  <c r="I1229" i="13"/>
  <c r="K1229" i="13" s="1"/>
  <c r="J1229" i="13"/>
  <c r="Q1229" i="13"/>
  <c r="S1229" i="13"/>
  <c r="I1230" i="13"/>
  <c r="N1230" i="13" s="1"/>
  <c r="J1230" i="13"/>
  <c r="K1230" i="13"/>
  <c r="L1230" i="13"/>
  <c r="O1230" i="13"/>
  <c r="P1230" i="13"/>
  <c r="Q1230" i="13"/>
  <c r="S1230" i="13"/>
  <c r="I1231" i="13"/>
  <c r="J1231" i="13"/>
  <c r="Q1231" i="13"/>
  <c r="S1231" i="13"/>
  <c r="I1232" i="13"/>
  <c r="O1232" i="13" s="1"/>
  <c r="J1232" i="13"/>
  <c r="L1232" i="13"/>
  <c r="M1232" i="13"/>
  <c r="N1232" i="13"/>
  <c r="P1232" i="13"/>
  <c r="Q1232" i="13"/>
  <c r="S1232" i="13"/>
  <c r="I1233" i="13"/>
  <c r="P1233" i="13" s="1"/>
  <c r="J1233" i="13"/>
  <c r="K1233" i="13"/>
  <c r="L1233" i="13"/>
  <c r="M1233" i="13"/>
  <c r="N1233" i="13"/>
  <c r="O1233" i="13"/>
  <c r="Q1233" i="13"/>
  <c r="S1233" i="13"/>
  <c r="I1234" i="13"/>
  <c r="N1234" i="13" s="1"/>
  <c r="J1234" i="13"/>
  <c r="K1234" i="13"/>
  <c r="M1234" i="13"/>
  <c r="Q1234" i="13"/>
  <c r="S1234" i="13"/>
  <c r="I1235" i="13"/>
  <c r="L1235" i="13" s="1"/>
  <c r="J1235" i="13"/>
  <c r="M1235" i="13"/>
  <c r="Q1235" i="13"/>
  <c r="S1235" i="13"/>
  <c r="I1236" i="13"/>
  <c r="J1236" i="13"/>
  <c r="Q1236" i="13"/>
  <c r="S1236" i="13"/>
  <c r="I1237" i="13"/>
  <c r="J1237" i="13"/>
  <c r="O1237" i="13"/>
  <c r="Q1237" i="13"/>
  <c r="S1237" i="13"/>
  <c r="I1238" i="13"/>
  <c r="N1238" i="13" s="1"/>
  <c r="J1238" i="13"/>
  <c r="L1238" i="13"/>
  <c r="M1238" i="13"/>
  <c r="O1238" i="13"/>
  <c r="Q1238" i="13"/>
  <c r="S1238" i="13"/>
  <c r="I1239" i="13"/>
  <c r="L1239" i="13" s="1"/>
  <c r="J1239" i="13"/>
  <c r="K1239" i="13"/>
  <c r="M1239" i="13"/>
  <c r="N1239" i="13"/>
  <c r="P1239" i="13"/>
  <c r="Q1239" i="13"/>
  <c r="S1239" i="13"/>
  <c r="I1240" i="13"/>
  <c r="J1240" i="13"/>
  <c r="K1240" i="13"/>
  <c r="L1240" i="13"/>
  <c r="M1240" i="13"/>
  <c r="N1240" i="13"/>
  <c r="O1240" i="13"/>
  <c r="P1240" i="13"/>
  <c r="Q1240" i="13"/>
  <c r="S1240" i="13"/>
  <c r="I1241" i="13"/>
  <c r="P1241" i="13" s="1"/>
  <c r="J1241" i="13"/>
  <c r="L1241" i="13"/>
  <c r="Q1241" i="13"/>
  <c r="S1241" i="13"/>
  <c r="I1242" i="13"/>
  <c r="J1242" i="13"/>
  <c r="Q1242" i="13"/>
  <c r="S1242" i="13"/>
  <c r="I1243" i="13"/>
  <c r="L1243" i="13" s="1"/>
  <c r="J1243" i="13"/>
  <c r="K1243" i="13"/>
  <c r="M1243" i="13"/>
  <c r="O1243" i="13"/>
  <c r="P1243" i="13"/>
  <c r="Q1243" i="13"/>
  <c r="S1243" i="13"/>
  <c r="I1244" i="13"/>
  <c r="J1244" i="13"/>
  <c r="N1244" i="13"/>
  <c r="O1244" i="13"/>
  <c r="Q1244" i="13"/>
  <c r="S1244" i="13"/>
  <c r="I1245" i="13"/>
  <c r="P1245" i="13" s="1"/>
  <c r="J1245" i="13"/>
  <c r="K1245" i="13"/>
  <c r="L1245" i="13"/>
  <c r="M1245" i="13"/>
  <c r="O1245" i="13"/>
  <c r="Q1245" i="13"/>
  <c r="S1245" i="13"/>
  <c r="I1246" i="13"/>
  <c r="J1246" i="13"/>
  <c r="K1246" i="13"/>
  <c r="L1246" i="13"/>
  <c r="M1246" i="13"/>
  <c r="N1246" i="13"/>
  <c r="O1246" i="13"/>
  <c r="P1246" i="13"/>
  <c r="Q1246" i="13"/>
  <c r="S1246" i="13"/>
  <c r="I1247" i="13"/>
  <c r="J1247" i="13"/>
  <c r="L1247" i="13"/>
  <c r="Q1247" i="13"/>
  <c r="S1247" i="13"/>
  <c r="I1248" i="13"/>
  <c r="M1248" i="13" s="1"/>
  <c r="J1248" i="13"/>
  <c r="K1248" i="13"/>
  <c r="L1248" i="13"/>
  <c r="N1248" i="13"/>
  <c r="O1248" i="13"/>
  <c r="P1248" i="13"/>
  <c r="Q1248" i="13"/>
  <c r="S1248" i="13"/>
  <c r="I1249" i="13"/>
  <c r="O1249" i="13" s="1"/>
  <c r="J1249" i="13"/>
  <c r="L1249" i="13"/>
  <c r="M1249" i="13"/>
  <c r="N1249" i="13"/>
  <c r="P1249" i="13"/>
  <c r="Q1249" i="13"/>
  <c r="S1249" i="13"/>
  <c r="I1250" i="13"/>
  <c r="J1250" i="13"/>
  <c r="K1250" i="13"/>
  <c r="L1250" i="13"/>
  <c r="M1250" i="13"/>
  <c r="N1250" i="13"/>
  <c r="O1250" i="13"/>
  <c r="P1250" i="13"/>
  <c r="Q1250" i="13"/>
  <c r="S1250" i="13"/>
  <c r="I1251" i="13"/>
  <c r="J1251" i="13"/>
  <c r="L1251" i="13"/>
  <c r="Q1251" i="13"/>
  <c r="S1251" i="13"/>
  <c r="I1252" i="13"/>
  <c r="M1252" i="13" s="1"/>
  <c r="J1252" i="13"/>
  <c r="K1252" i="13"/>
  <c r="L1252" i="13"/>
  <c r="N1252" i="13"/>
  <c r="O1252" i="13"/>
  <c r="P1252" i="13"/>
  <c r="Q1252" i="13"/>
  <c r="S1252" i="13"/>
  <c r="I1253" i="13"/>
  <c r="O1253" i="13" s="1"/>
  <c r="J1253" i="13"/>
  <c r="L1253" i="13"/>
  <c r="M1253" i="13"/>
  <c r="N1253" i="13"/>
  <c r="P1253" i="13"/>
  <c r="Q1253" i="13"/>
  <c r="S1253" i="13"/>
  <c r="I1254" i="13"/>
  <c r="J1254" i="13"/>
  <c r="K1254" i="13"/>
  <c r="L1254" i="13"/>
  <c r="M1254" i="13"/>
  <c r="N1254" i="13"/>
  <c r="O1254" i="13"/>
  <c r="P1254" i="13"/>
  <c r="Q1254" i="13"/>
  <c r="S1254" i="13"/>
  <c r="I1255" i="13"/>
  <c r="J1255" i="13"/>
  <c r="L1255" i="13"/>
  <c r="Q1255" i="13"/>
  <c r="S1255" i="13"/>
  <c r="I1256" i="13"/>
  <c r="M1256" i="13" s="1"/>
  <c r="J1256" i="13"/>
  <c r="K1256" i="13"/>
  <c r="L1256" i="13"/>
  <c r="N1256" i="13"/>
  <c r="O1256" i="13"/>
  <c r="P1256" i="13"/>
  <c r="Q1256" i="13"/>
  <c r="S1256" i="13"/>
  <c r="I1257" i="13"/>
  <c r="O1257" i="13" s="1"/>
  <c r="J1257" i="13"/>
  <c r="L1257" i="13"/>
  <c r="M1257" i="13"/>
  <c r="N1257" i="13"/>
  <c r="P1257" i="13"/>
  <c r="Q1257" i="13"/>
  <c r="S1257" i="13"/>
  <c r="I1258" i="13"/>
  <c r="J1258" i="13"/>
  <c r="K1258" i="13"/>
  <c r="L1258" i="13"/>
  <c r="M1258" i="13"/>
  <c r="N1258" i="13"/>
  <c r="O1258" i="13"/>
  <c r="P1258" i="13"/>
  <c r="Q1258" i="13"/>
  <c r="S1258" i="13"/>
  <c r="I1259" i="13"/>
  <c r="J1259" i="13"/>
  <c r="L1259" i="13"/>
  <c r="Q1259" i="13"/>
  <c r="S1259" i="13"/>
  <c r="I1260" i="13"/>
  <c r="M1260" i="13" s="1"/>
  <c r="J1260" i="13"/>
  <c r="K1260" i="13"/>
  <c r="L1260" i="13"/>
  <c r="N1260" i="13"/>
  <c r="O1260" i="13"/>
  <c r="P1260" i="13"/>
  <c r="Q1260" i="13"/>
  <c r="S1260" i="13"/>
  <c r="I1261" i="13"/>
  <c r="O1261" i="13" s="1"/>
  <c r="J1261" i="13"/>
  <c r="L1261" i="13"/>
  <c r="M1261" i="13"/>
  <c r="N1261" i="13"/>
  <c r="P1261" i="13"/>
  <c r="Q1261" i="13"/>
  <c r="S1261" i="13"/>
  <c r="I1262" i="13"/>
  <c r="J1262" i="13"/>
  <c r="K1262" i="13"/>
  <c r="L1262" i="13"/>
  <c r="M1262" i="13"/>
  <c r="N1262" i="13"/>
  <c r="O1262" i="13"/>
  <c r="P1262" i="13"/>
  <c r="Q1262" i="13"/>
  <c r="S1262" i="13"/>
  <c r="I1263" i="13"/>
  <c r="J1263" i="13"/>
  <c r="L1263" i="13"/>
  <c r="Q1263" i="13"/>
  <c r="S1263" i="13"/>
  <c r="I1264" i="13"/>
  <c r="M1264" i="13" s="1"/>
  <c r="J1264" i="13"/>
  <c r="K1264" i="13"/>
  <c r="L1264" i="13"/>
  <c r="N1264" i="13"/>
  <c r="O1264" i="13"/>
  <c r="P1264" i="13"/>
  <c r="Q1264" i="13"/>
  <c r="S1264" i="13"/>
  <c r="I1265" i="13"/>
  <c r="O1265" i="13" s="1"/>
  <c r="J1265" i="13"/>
  <c r="L1265" i="13"/>
  <c r="M1265" i="13"/>
  <c r="N1265" i="13"/>
  <c r="P1265" i="13"/>
  <c r="Q1265" i="13"/>
  <c r="S1265" i="13"/>
  <c r="I1266" i="13"/>
  <c r="J1266" i="13"/>
  <c r="K1266" i="13"/>
  <c r="L1266" i="13"/>
  <c r="M1266" i="13"/>
  <c r="N1266" i="13"/>
  <c r="O1266" i="13"/>
  <c r="P1266" i="13"/>
  <c r="Q1266" i="13"/>
  <c r="S1266" i="13"/>
  <c r="I1267" i="13"/>
  <c r="J1267" i="13"/>
  <c r="L1267" i="13"/>
  <c r="Q1267" i="13"/>
  <c r="S1267" i="13"/>
  <c r="I1268" i="13"/>
  <c r="M1268" i="13" s="1"/>
  <c r="J1268" i="13"/>
  <c r="K1268" i="13"/>
  <c r="L1268" i="13"/>
  <c r="N1268" i="13"/>
  <c r="O1268" i="13"/>
  <c r="P1268" i="13"/>
  <c r="Q1268" i="13"/>
  <c r="S1268" i="13"/>
  <c r="I1269" i="13"/>
  <c r="O1269" i="13" s="1"/>
  <c r="J1269" i="13"/>
  <c r="M1269" i="13"/>
  <c r="N1269" i="13"/>
  <c r="P1269" i="13"/>
  <c r="Q1269" i="13"/>
  <c r="S1269" i="13"/>
  <c r="I1270" i="13"/>
  <c r="J1270" i="13"/>
  <c r="K1270" i="13"/>
  <c r="L1270" i="13"/>
  <c r="M1270" i="13"/>
  <c r="N1270" i="13"/>
  <c r="O1270" i="13"/>
  <c r="P1270" i="13"/>
  <c r="Q1270" i="13"/>
  <c r="S1270" i="13"/>
  <c r="I1271" i="13"/>
  <c r="J1271" i="13"/>
  <c r="L1271" i="13"/>
  <c r="Q1271" i="13"/>
  <c r="S1271" i="13"/>
  <c r="I1272" i="13"/>
  <c r="M1272" i="13" s="1"/>
  <c r="J1272" i="13"/>
  <c r="K1272" i="13"/>
  <c r="L1272" i="13"/>
  <c r="N1272" i="13"/>
  <c r="O1272" i="13"/>
  <c r="P1272" i="13"/>
  <c r="Q1272" i="13"/>
  <c r="S1272" i="13"/>
  <c r="I1273" i="13"/>
  <c r="O1273" i="13" s="1"/>
  <c r="J1273" i="13"/>
  <c r="M1273" i="13"/>
  <c r="N1273" i="13"/>
  <c r="P1273" i="13"/>
  <c r="Q1273" i="13"/>
  <c r="S1273" i="13"/>
  <c r="I1274" i="13"/>
  <c r="J1274" i="13"/>
  <c r="K1274" i="13"/>
  <c r="L1274" i="13"/>
  <c r="M1274" i="13"/>
  <c r="N1274" i="13"/>
  <c r="O1274" i="13"/>
  <c r="P1274" i="13"/>
  <c r="Q1274" i="13"/>
  <c r="S1274" i="13"/>
  <c r="I1275" i="13"/>
  <c r="J1275" i="13"/>
  <c r="L1275" i="13"/>
  <c r="M1275" i="13"/>
  <c r="Q1275" i="13"/>
  <c r="S1275" i="13"/>
  <c r="I1276" i="13"/>
  <c r="M1276" i="13" s="1"/>
  <c r="J1276" i="13"/>
  <c r="K1276" i="13"/>
  <c r="L1276" i="13"/>
  <c r="N1276" i="13"/>
  <c r="O1276" i="13"/>
  <c r="P1276" i="13"/>
  <c r="Q1276" i="13"/>
  <c r="S1276" i="13"/>
  <c r="I1277" i="13"/>
  <c r="M1277" i="13" s="1"/>
  <c r="J1277" i="13"/>
  <c r="P1277" i="13"/>
  <c r="Q1277" i="13"/>
  <c r="S1277" i="13"/>
  <c r="I1278" i="13"/>
  <c r="J1278" i="13"/>
  <c r="K1278" i="13"/>
  <c r="L1278" i="13"/>
  <c r="M1278" i="13"/>
  <c r="N1278" i="13"/>
  <c r="O1278" i="13"/>
  <c r="P1278" i="13"/>
  <c r="Q1278" i="13"/>
  <c r="S1278" i="13"/>
  <c r="I1279" i="13"/>
  <c r="J1279" i="13"/>
  <c r="L1279" i="13"/>
  <c r="M1279" i="13"/>
  <c r="Q1279" i="13"/>
  <c r="S1279" i="13"/>
  <c r="I1280" i="13"/>
  <c r="M1280" i="13" s="1"/>
  <c r="J1280" i="13"/>
  <c r="K1280" i="13"/>
  <c r="L1280" i="13"/>
  <c r="N1280" i="13"/>
  <c r="O1280" i="13"/>
  <c r="P1280" i="13"/>
  <c r="Q1280" i="13"/>
  <c r="S1280" i="13"/>
  <c r="I1281" i="13"/>
  <c r="M1281" i="13" s="1"/>
  <c r="J1281" i="13"/>
  <c r="P1281" i="13"/>
  <c r="Q1281" i="13"/>
  <c r="S1281" i="13"/>
  <c r="I1282" i="13"/>
  <c r="J1282" i="13"/>
  <c r="K1282" i="13"/>
  <c r="L1282" i="13"/>
  <c r="M1282" i="13"/>
  <c r="N1282" i="13"/>
  <c r="O1282" i="13"/>
  <c r="P1282" i="13"/>
  <c r="Q1282" i="13"/>
  <c r="S1282" i="13"/>
  <c r="I1283" i="13"/>
  <c r="L1283" i="13" s="1"/>
  <c r="J1283" i="13"/>
  <c r="M1283" i="13"/>
  <c r="Q1283" i="13"/>
  <c r="S1283" i="13"/>
  <c r="I1284" i="13"/>
  <c r="M1284" i="13" s="1"/>
  <c r="J1284" i="13"/>
  <c r="K1284" i="13"/>
  <c r="L1284" i="13"/>
  <c r="N1284" i="13"/>
  <c r="O1284" i="13"/>
  <c r="P1284" i="13"/>
  <c r="Q1284" i="13"/>
  <c r="S1284" i="13"/>
  <c r="I1285" i="13"/>
  <c r="M1285" i="13" s="1"/>
  <c r="J1285" i="13"/>
  <c r="P1285" i="13"/>
  <c r="Q1285" i="13"/>
  <c r="S1285" i="13"/>
  <c r="I1286" i="13"/>
  <c r="J1286" i="13"/>
  <c r="K1286" i="13"/>
  <c r="L1286" i="13"/>
  <c r="M1286" i="13"/>
  <c r="N1286" i="13"/>
  <c r="O1286" i="13"/>
  <c r="P1286" i="13"/>
  <c r="Q1286" i="13"/>
  <c r="S1286" i="13"/>
  <c r="I1287" i="13"/>
  <c r="L1287" i="13" s="1"/>
  <c r="J1287" i="13"/>
  <c r="M1287" i="13"/>
  <c r="Q1287" i="13"/>
  <c r="S1287" i="13"/>
  <c r="I1288" i="13"/>
  <c r="M1288" i="13" s="1"/>
  <c r="J1288" i="13"/>
  <c r="K1288" i="13"/>
  <c r="L1288" i="13"/>
  <c r="N1288" i="13"/>
  <c r="O1288" i="13"/>
  <c r="P1288" i="13"/>
  <c r="Q1288" i="13"/>
  <c r="S1288" i="13"/>
  <c r="I1289" i="13"/>
  <c r="M1289" i="13" s="1"/>
  <c r="J1289" i="13"/>
  <c r="Q1289" i="13"/>
  <c r="S1289" i="13"/>
  <c r="I1290" i="13"/>
  <c r="J1290" i="13"/>
  <c r="K1290" i="13"/>
  <c r="L1290" i="13"/>
  <c r="M1290" i="13"/>
  <c r="N1290" i="13"/>
  <c r="O1290" i="13"/>
  <c r="P1290" i="13"/>
  <c r="Q1290" i="13"/>
  <c r="S1290" i="13"/>
  <c r="I1291" i="13"/>
  <c r="L1291" i="13" s="1"/>
  <c r="J1291" i="13"/>
  <c r="M1291" i="13"/>
  <c r="Q1291" i="13"/>
  <c r="S1291" i="13"/>
  <c r="I1292" i="13"/>
  <c r="M1292" i="13" s="1"/>
  <c r="J1292" i="13"/>
  <c r="K1292" i="13"/>
  <c r="L1292" i="13"/>
  <c r="N1292" i="13"/>
  <c r="O1292" i="13"/>
  <c r="P1292" i="13"/>
  <c r="Q1292" i="13"/>
  <c r="S1292" i="13"/>
  <c r="I1293" i="13"/>
  <c r="M1293" i="13" s="1"/>
  <c r="J1293" i="13"/>
  <c r="Q1293" i="13"/>
  <c r="S1293" i="13"/>
  <c r="I1294" i="13"/>
  <c r="J1294" i="13"/>
  <c r="K1294" i="13"/>
  <c r="L1294" i="13"/>
  <c r="M1294" i="13"/>
  <c r="N1294" i="13"/>
  <c r="O1294" i="13"/>
  <c r="P1294" i="13"/>
  <c r="Q1294" i="13"/>
  <c r="S1294" i="13"/>
  <c r="I1295" i="13"/>
  <c r="L1295" i="13" s="1"/>
  <c r="J1295" i="13"/>
  <c r="M1295" i="13"/>
  <c r="P1295" i="13"/>
  <c r="Q1295" i="13"/>
  <c r="S1295" i="13"/>
  <c r="I1296" i="13"/>
  <c r="M1296" i="13" s="1"/>
  <c r="J1296" i="13"/>
  <c r="K1296" i="13"/>
  <c r="L1296" i="13"/>
  <c r="N1296" i="13"/>
  <c r="O1296" i="13"/>
  <c r="P1296" i="13"/>
  <c r="Q1296" i="13"/>
  <c r="S1296" i="13"/>
  <c r="I1297" i="13"/>
  <c r="L1297" i="13" s="1"/>
  <c r="J1297" i="13"/>
  <c r="M1297" i="13"/>
  <c r="N1297" i="13"/>
  <c r="P1297" i="13"/>
  <c r="Q1297" i="13"/>
  <c r="S1297" i="13"/>
  <c r="I1298" i="13"/>
  <c r="J1298" i="13"/>
  <c r="K1298" i="13"/>
  <c r="L1298" i="13"/>
  <c r="M1298" i="13"/>
  <c r="N1298" i="13"/>
  <c r="O1298" i="13"/>
  <c r="P1298" i="13"/>
  <c r="Q1298" i="13"/>
  <c r="S1298" i="13"/>
  <c r="I1299" i="13"/>
  <c r="J1299" i="13"/>
  <c r="L1299" i="13"/>
  <c r="M1299" i="13"/>
  <c r="Q1299" i="13"/>
  <c r="S1299" i="13"/>
  <c r="I1300" i="13"/>
  <c r="M1300" i="13" s="1"/>
  <c r="J1300" i="13"/>
  <c r="K1300" i="13"/>
  <c r="L1300" i="13"/>
  <c r="N1300" i="13"/>
  <c r="O1300" i="13"/>
  <c r="P1300" i="13"/>
  <c r="Q1300" i="13"/>
  <c r="S1300" i="13"/>
  <c r="I1301" i="13"/>
  <c r="J1301" i="13"/>
  <c r="L1301" i="13"/>
  <c r="M1301" i="13"/>
  <c r="P1301" i="13"/>
  <c r="Q1301" i="13"/>
  <c r="S1301" i="13"/>
  <c r="I1302" i="13"/>
  <c r="J1302" i="13"/>
  <c r="K1302" i="13"/>
  <c r="L1302" i="13"/>
  <c r="M1302" i="13"/>
  <c r="N1302" i="13"/>
  <c r="O1302" i="13"/>
  <c r="P1302" i="13"/>
  <c r="Q1302" i="13"/>
  <c r="S1302" i="13"/>
  <c r="I1303" i="13"/>
  <c r="J1303" i="13"/>
  <c r="Q1303" i="13"/>
  <c r="S1303" i="13"/>
  <c r="I1304" i="13"/>
  <c r="M1304" i="13" s="1"/>
  <c r="J1304" i="13"/>
  <c r="K1304" i="13"/>
  <c r="L1304" i="13"/>
  <c r="N1304" i="13"/>
  <c r="O1304" i="13"/>
  <c r="P1304" i="13"/>
  <c r="Q1304" i="13"/>
  <c r="S1304" i="13"/>
  <c r="I1305" i="13"/>
  <c r="J1305" i="13"/>
  <c r="Q1305" i="13"/>
  <c r="S1305" i="13"/>
  <c r="I1306" i="13"/>
  <c r="J1306" i="13"/>
  <c r="K1306" i="13"/>
  <c r="L1306" i="13"/>
  <c r="M1306" i="13"/>
  <c r="N1306" i="13"/>
  <c r="O1306" i="13"/>
  <c r="P1306" i="13"/>
  <c r="Q1306" i="13"/>
  <c r="S1306" i="13"/>
  <c r="I1307" i="13"/>
  <c r="J1307" i="13"/>
  <c r="L1307" i="13"/>
  <c r="M1307" i="13"/>
  <c r="N1307" i="13"/>
  <c r="P1307" i="13"/>
  <c r="Q1307" i="13"/>
  <c r="S1307" i="13"/>
  <c r="I1308" i="13"/>
  <c r="M1308" i="13" s="1"/>
  <c r="J1308" i="13"/>
  <c r="K1308" i="13"/>
  <c r="L1308" i="13"/>
  <c r="N1308" i="13"/>
  <c r="O1308" i="13"/>
  <c r="P1308" i="13"/>
  <c r="Q1308" i="13"/>
  <c r="S1308" i="13"/>
  <c r="I1309" i="13"/>
  <c r="K1309" i="13" s="1"/>
  <c r="J1309" i="13"/>
  <c r="O1309" i="13"/>
  <c r="Q1309" i="13"/>
  <c r="S1309" i="13"/>
  <c r="I1310" i="13"/>
  <c r="J1310" i="13"/>
  <c r="K1310" i="13"/>
  <c r="L1310" i="13"/>
  <c r="M1310" i="13"/>
  <c r="N1310" i="13"/>
  <c r="O1310" i="13"/>
  <c r="P1310" i="13"/>
  <c r="Q1310" i="13"/>
  <c r="S1310" i="13"/>
  <c r="I1311" i="13"/>
  <c r="O1311" i="13" s="1"/>
  <c r="J1311" i="13"/>
  <c r="K1311" i="13"/>
  <c r="L1311" i="13"/>
  <c r="N1311" i="13"/>
  <c r="P1311" i="13"/>
  <c r="Q1311" i="13"/>
  <c r="S1311" i="13"/>
  <c r="I1312" i="13"/>
  <c r="M1312" i="13" s="1"/>
  <c r="J1312" i="13"/>
  <c r="N1312" i="13"/>
  <c r="Q1312" i="13"/>
  <c r="S1312" i="13"/>
  <c r="I1313" i="13"/>
  <c r="J1313" i="13"/>
  <c r="Q1313" i="13"/>
  <c r="S1313" i="13"/>
  <c r="I1314" i="13"/>
  <c r="J1314" i="13"/>
  <c r="K1314" i="13"/>
  <c r="L1314" i="13"/>
  <c r="M1314" i="13"/>
  <c r="N1314" i="13"/>
  <c r="O1314" i="13"/>
  <c r="P1314" i="13"/>
  <c r="Q1314" i="13"/>
  <c r="S1314" i="13"/>
  <c r="I1315" i="13"/>
  <c r="O1315" i="13" s="1"/>
  <c r="J1315" i="13"/>
  <c r="N1315" i="13"/>
  <c r="Q1315" i="13"/>
  <c r="S1315" i="13"/>
  <c r="I1316" i="13"/>
  <c r="M1316" i="13" s="1"/>
  <c r="J1316" i="13"/>
  <c r="L1316" i="13"/>
  <c r="N1316" i="13"/>
  <c r="O1316" i="13"/>
  <c r="Q1316" i="13"/>
  <c r="S1316" i="13"/>
  <c r="I1317" i="13"/>
  <c r="K1317" i="13" s="1"/>
  <c r="J1317" i="13"/>
  <c r="L1317" i="13"/>
  <c r="M1317" i="13"/>
  <c r="N1317" i="13"/>
  <c r="P1317" i="13"/>
  <c r="Q1317" i="13"/>
  <c r="S1317" i="13"/>
  <c r="I1318" i="13"/>
  <c r="J1318" i="13"/>
  <c r="K1318" i="13"/>
  <c r="L1318" i="13"/>
  <c r="M1318" i="13"/>
  <c r="N1318" i="13"/>
  <c r="O1318" i="13"/>
  <c r="P1318" i="13"/>
  <c r="Q1318" i="13"/>
  <c r="S1318" i="13"/>
  <c r="I1319" i="13"/>
  <c r="J1319" i="13"/>
  <c r="Q1319" i="13"/>
  <c r="S1319" i="13"/>
  <c r="I1320" i="13"/>
  <c r="M1320" i="13" s="1"/>
  <c r="J1320" i="13"/>
  <c r="K1320" i="13"/>
  <c r="P1320" i="13"/>
  <c r="Q1320" i="13"/>
  <c r="S1320" i="13"/>
  <c r="I1321" i="13"/>
  <c r="K1321" i="13" s="1"/>
  <c r="J1321" i="13"/>
  <c r="L1321" i="13"/>
  <c r="M1321" i="13"/>
  <c r="N1321" i="13"/>
  <c r="O1321" i="13"/>
  <c r="P1321" i="13"/>
  <c r="Q1321" i="13"/>
  <c r="S1321" i="13"/>
  <c r="I1322" i="13"/>
  <c r="J1322" i="13"/>
  <c r="K1322" i="13"/>
  <c r="L1322" i="13"/>
  <c r="M1322" i="13"/>
  <c r="N1322" i="13"/>
  <c r="O1322" i="13"/>
  <c r="P1322" i="13"/>
  <c r="Q1322" i="13"/>
  <c r="S1322" i="13"/>
  <c r="I1323" i="13"/>
  <c r="O1323" i="13" s="1"/>
  <c r="J1323" i="13"/>
  <c r="K1323" i="13"/>
  <c r="L1323" i="13"/>
  <c r="M1323" i="13"/>
  <c r="P1323" i="13"/>
  <c r="Q1323" i="13"/>
  <c r="S1323" i="13"/>
  <c r="I1324" i="13"/>
  <c r="M1324" i="13" s="1"/>
  <c r="J1324" i="13"/>
  <c r="K1324" i="13"/>
  <c r="L1324" i="13"/>
  <c r="O1324" i="13"/>
  <c r="P1324" i="13"/>
  <c r="Q1324" i="13"/>
  <c r="S1324" i="13"/>
  <c r="I1325" i="13"/>
  <c r="K1325" i="13" s="1"/>
  <c r="J1325" i="13"/>
  <c r="Q1325" i="13"/>
  <c r="S1325" i="13"/>
  <c r="I1326" i="13"/>
  <c r="J1326" i="13"/>
  <c r="K1326" i="13"/>
  <c r="L1326" i="13"/>
  <c r="M1326" i="13"/>
  <c r="N1326" i="13"/>
  <c r="O1326" i="13"/>
  <c r="P1326" i="13"/>
  <c r="Q1326" i="13"/>
  <c r="S1326" i="13"/>
  <c r="I1327" i="13"/>
  <c r="O1327" i="13" s="1"/>
  <c r="J1327" i="13"/>
  <c r="K1327" i="13"/>
  <c r="L1327" i="13"/>
  <c r="M1327" i="13"/>
  <c r="N1327" i="13"/>
  <c r="P1327" i="13"/>
  <c r="Q1327" i="13"/>
  <c r="S1327" i="13"/>
  <c r="I1328" i="13"/>
  <c r="M1328" i="13" s="1"/>
  <c r="J1328" i="13"/>
  <c r="N1328" i="13"/>
  <c r="O1328" i="13"/>
  <c r="Q1328" i="13"/>
  <c r="S1328" i="13"/>
  <c r="I1329" i="13"/>
  <c r="K1329" i="13" s="1"/>
  <c r="J1329" i="13"/>
  <c r="M1329" i="13"/>
  <c r="N1329" i="13"/>
  <c r="O1329" i="13"/>
  <c r="Q1329" i="13"/>
  <c r="S1329" i="13"/>
  <c r="I1330" i="13"/>
  <c r="J1330" i="13"/>
  <c r="K1330" i="13"/>
  <c r="L1330" i="13"/>
  <c r="M1330" i="13"/>
  <c r="N1330" i="13"/>
  <c r="O1330" i="13"/>
  <c r="P1330" i="13"/>
  <c r="Q1330" i="13"/>
  <c r="S1330" i="13"/>
  <c r="I1331" i="13"/>
  <c r="O1331" i="13" s="1"/>
  <c r="J1331" i="13"/>
  <c r="Q1331" i="13"/>
  <c r="S1331" i="13"/>
  <c r="I1332" i="13"/>
  <c r="J1332" i="13"/>
  <c r="Q1332" i="13"/>
  <c r="S1332" i="13"/>
  <c r="I1333" i="13"/>
  <c r="K1333" i="13" s="1"/>
  <c r="J1333" i="13"/>
  <c r="L1333" i="13"/>
  <c r="P1333" i="13"/>
  <c r="Q1333" i="13"/>
  <c r="S1333" i="13"/>
  <c r="I1334" i="13"/>
  <c r="J1334" i="13"/>
  <c r="K1334" i="13"/>
  <c r="L1334" i="13"/>
  <c r="M1334" i="13"/>
  <c r="N1334" i="13"/>
  <c r="O1334" i="13"/>
  <c r="P1334" i="13"/>
  <c r="Q1334" i="13"/>
  <c r="S1334" i="13"/>
  <c r="I1335" i="13"/>
  <c r="O1335" i="13" s="1"/>
  <c r="J1335" i="13"/>
  <c r="L1335" i="13"/>
  <c r="M1335" i="13"/>
  <c r="N1335" i="13"/>
  <c r="Q1335" i="13"/>
  <c r="S1335" i="13"/>
  <c r="I1336" i="13"/>
  <c r="M1336" i="13" s="1"/>
  <c r="J1336" i="13"/>
  <c r="K1336" i="13"/>
  <c r="L1336" i="13"/>
  <c r="N1336" i="13"/>
  <c r="P1336" i="13"/>
  <c r="Q1336" i="13"/>
  <c r="S1336" i="13"/>
  <c r="I1337" i="13"/>
  <c r="K1337" i="13" s="1"/>
  <c r="J1337" i="13"/>
  <c r="L1337" i="13"/>
  <c r="M1337" i="13"/>
  <c r="O1337" i="13"/>
  <c r="P1337" i="13"/>
  <c r="Q1337" i="13"/>
  <c r="S1337" i="13"/>
  <c r="I1338" i="13"/>
  <c r="J1338" i="13"/>
  <c r="K1338" i="13"/>
  <c r="L1338" i="13"/>
  <c r="M1338" i="13"/>
  <c r="N1338" i="13"/>
  <c r="O1338" i="13"/>
  <c r="P1338" i="13"/>
  <c r="Q1338" i="13"/>
  <c r="S1338" i="13"/>
  <c r="I1339" i="13"/>
  <c r="O1339" i="13" s="1"/>
  <c r="J1339" i="13"/>
  <c r="K1339" i="13"/>
  <c r="P1339" i="13"/>
  <c r="Q1339" i="13"/>
  <c r="S1339" i="13"/>
  <c r="I1340" i="13"/>
  <c r="M1340" i="13" s="1"/>
  <c r="J1340" i="13"/>
  <c r="K1340" i="13"/>
  <c r="L1340" i="13"/>
  <c r="N1340" i="13"/>
  <c r="O1340" i="13"/>
  <c r="P1340" i="13"/>
  <c r="Q1340" i="13"/>
  <c r="S1340" i="13"/>
  <c r="I1341" i="13"/>
  <c r="K1341" i="13" s="1"/>
  <c r="J1341" i="13"/>
  <c r="N1341" i="13"/>
  <c r="O1341" i="13"/>
  <c r="Q1341" i="13"/>
  <c r="S1341" i="13"/>
  <c r="I1342" i="13"/>
  <c r="J1342" i="13"/>
  <c r="K1342" i="13"/>
  <c r="L1342" i="13"/>
  <c r="M1342" i="13"/>
  <c r="N1342" i="13"/>
  <c r="O1342" i="13"/>
  <c r="P1342" i="13"/>
  <c r="Q1342" i="13"/>
  <c r="S1342" i="13"/>
  <c r="I1343" i="13"/>
  <c r="O1343" i="13" s="1"/>
  <c r="J1343" i="13"/>
  <c r="K1343" i="13"/>
  <c r="L1343" i="13"/>
  <c r="N1343" i="13"/>
  <c r="P1343" i="13"/>
  <c r="Q1343" i="13"/>
  <c r="S1343" i="13"/>
  <c r="I1344" i="13"/>
  <c r="M1344" i="13" s="1"/>
  <c r="J1344" i="13"/>
  <c r="Q1344" i="13"/>
  <c r="S1344" i="13"/>
  <c r="I1345" i="13"/>
  <c r="J1345" i="13"/>
  <c r="Q1345" i="13"/>
  <c r="S1345" i="13"/>
  <c r="I1346" i="13"/>
  <c r="J1346" i="13"/>
  <c r="K1346" i="13"/>
  <c r="L1346" i="13"/>
  <c r="M1346" i="13"/>
  <c r="N1346" i="13"/>
  <c r="O1346" i="13"/>
  <c r="P1346" i="13"/>
  <c r="Q1346" i="13"/>
  <c r="S1346" i="13"/>
  <c r="I1347" i="13"/>
  <c r="O1347" i="13" s="1"/>
  <c r="J1347" i="13"/>
  <c r="M1347" i="13"/>
  <c r="N1347" i="13"/>
  <c r="Q1347" i="13"/>
  <c r="S1347" i="13"/>
  <c r="I1348" i="13"/>
  <c r="M1348" i="13" s="1"/>
  <c r="J1348" i="13"/>
  <c r="L1348" i="13"/>
  <c r="N1348" i="13"/>
  <c r="O1348" i="13"/>
  <c r="Q1348" i="13"/>
  <c r="S1348" i="13"/>
  <c r="I1349" i="13"/>
  <c r="K1349" i="13" s="1"/>
  <c r="J1349" i="13"/>
  <c r="L1349" i="13"/>
  <c r="M1349" i="13"/>
  <c r="N1349" i="13"/>
  <c r="P1349" i="13"/>
  <c r="Q1349" i="13"/>
  <c r="S1349" i="13"/>
  <c r="I1350" i="13"/>
  <c r="J1350" i="13"/>
  <c r="K1350" i="13"/>
  <c r="L1350" i="13"/>
  <c r="M1350" i="13"/>
  <c r="N1350" i="13"/>
  <c r="O1350" i="13"/>
  <c r="P1350" i="13"/>
  <c r="Q1350" i="13"/>
  <c r="S1350" i="13"/>
  <c r="I1351" i="13"/>
  <c r="J1351" i="13"/>
  <c r="Q1351" i="13"/>
  <c r="S1351" i="13"/>
  <c r="I1352" i="13"/>
  <c r="M1352" i="13" s="1"/>
  <c r="J1352" i="13"/>
  <c r="K1352" i="13"/>
  <c r="P1352" i="13"/>
  <c r="Q1352" i="13"/>
  <c r="S1352" i="13"/>
  <c r="I1353" i="13"/>
  <c r="K1353" i="13" s="1"/>
  <c r="J1353" i="13"/>
  <c r="L1353" i="13"/>
  <c r="M1353" i="13"/>
  <c r="N1353" i="13"/>
  <c r="O1353" i="13"/>
  <c r="P1353" i="13"/>
  <c r="Q1353" i="13"/>
  <c r="S1353" i="13"/>
  <c r="I1354" i="13"/>
  <c r="P1354" i="13" s="1"/>
  <c r="J1354" i="13"/>
  <c r="N1354" i="13"/>
  <c r="Q1354" i="13"/>
  <c r="S1354" i="13"/>
  <c r="I1355" i="13"/>
  <c r="N1355" i="13" s="1"/>
  <c r="J1355" i="13"/>
  <c r="K1355" i="13"/>
  <c r="L1355" i="13"/>
  <c r="M1355" i="13"/>
  <c r="O1355" i="13"/>
  <c r="P1355" i="13"/>
  <c r="Q1355" i="13"/>
  <c r="S1355" i="13"/>
  <c r="I1356" i="13"/>
  <c r="L1356" i="13" s="1"/>
  <c r="J1356" i="13"/>
  <c r="Q1356" i="13"/>
  <c r="S1356" i="13"/>
  <c r="I1357" i="13"/>
  <c r="L1357" i="13" s="1"/>
  <c r="J1357" i="13"/>
  <c r="K1357" i="13"/>
  <c r="O1357" i="13"/>
  <c r="P1357" i="13"/>
  <c r="Q1357" i="13"/>
  <c r="S1357" i="13"/>
  <c r="I1358" i="13"/>
  <c r="P1358" i="13" s="1"/>
  <c r="J1358" i="13"/>
  <c r="N1358" i="13"/>
  <c r="Q1358" i="13"/>
  <c r="S1358" i="13"/>
  <c r="I1359" i="13"/>
  <c r="N1359" i="13" s="1"/>
  <c r="J1359" i="13"/>
  <c r="K1359" i="13"/>
  <c r="L1359" i="13"/>
  <c r="M1359" i="13"/>
  <c r="O1359" i="13"/>
  <c r="P1359" i="13"/>
  <c r="Q1359" i="13"/>
  <c r="S1359" i="13"/>
  <c r="I1360" i="13"/>
  <c r="L1360" i="13" s="1"/>
  <c r="J1360" i="13"/>
  <c r="Q1360" i="13"/>
  <c r="S1360" i="13"/>
  <c r="I1361" i="13"/>
  <c r="L1361" i="13" s="1"/>
  <c r="J1361" i="13"/>
  <c r="K1361" i="13"/>
  <c r="O1361" i="13"/>
  <c r="P1361" i="13"/>
  <c r="Q1361" i="13"/>
  <c r="S1361" i="13"/>
  <c r="I1362" i="13"/>
  <c r="P1362" i="13" s="1"/>
  <c r="J1362" i="13"/>
  <c r="N1362" i="13"/>
  <c r="Q1362" i="13"/>
  <c r="S1362" i="13"/>
  <c r="I1363" i="13"/>
  <c r="N1363" i="13" s="1"/>
  <c r="J1363" i="13"/>
  <c r="K1363" i="13"/>
  <c r="L1363" i="13"/>
  <c r="M1363" i="13"/>
  <c r="O1363" i="13"/>
  <c r="P1363" i="13"/>
  <c r="Q1363" i="13"/>
  <c r="S1363" i="13"/>
  <c r="I1364" i="13"/>
  <c r="L1364" i="13" s="1"/>
  <c r="J1364" i="13"/>
  <c r="Q1364" i="13"/>
  <c r="S1364" i="13"/>
  <c r="I1365" i="13"/>
  <c r="L1365" i="13" s="1"/>
  <c r="J1365" i="13"/>
  <c r="K1365" i="13"/>
  <c r="O1365" i="13"/>
  <c r="P1365" i="13"/>
  <c r="Q1365" i="13"/>
  <c r="S1365" i="13"/>
  <c r="I1366" i="13"/>
  <c r="P1366" i="13" s="1"/>
  <c r="J1366" i="13"/>
  <c r="N1366" i="13"/>
  <c r="Q1366" i="13"/>
  <c r="S1366" i="13"/>
  <c r="I1367" i="13"/>
  <c r="N1367" i="13" s="1"/>
  <c r="J1367" i="13"/>
  <c r="K1367" i="13"/>
  <c r="L1367" i="13"/>
  <c r="M1367" i="13"/>
  <c r="O1367" i="13"/>
  <c r="P1367" i="13"/>
  <c r="Q1367" i="13"/>
  <c r="S1367" i="13"/>
  <c r="I1368" i="13"/>
  <c r="L1368" i="13" s="1"/>
  <c r="J1368" i="13"/>
  <c r="M1368" i="13"/>
  <c r="Q1368" i="13"/>
  <c r="S1368" i="13"/>
  <c r="I1369" i="13"/>
  <c r="L1369" i="13" s="1"/>
  <c r="J1369" i="13"/>
  <c r="K1369" i="13"/>
  <c r="P1369" i="13"/>
  <c r="Q1369" i="13"/>
  <c r="S1369" i="13"/>
  <c r="I1370" i="13"/>
  <c r="J1370" i="13"/>
  <c r="N1370" i="13"/>
  <c r="Q1370" i="13"/>
  <c r="S1370" i="13"/>
  <c r="I1371" i="13"/>
  <c r="N1371" i="13" s="1"/>
  <c r="J1371" i="13"/>
  <c r="K1371" i="13"/>
  <c r="L1371" i="13"/>
  <c r="M1371" i="13"/>
  <c r="O1371" i="13"/>
  <c r="P1371" i="13"/>
  <c r="Q1371" i="13"/>
  <c r="S1371" i="13"/>
  <c r="I1372" i="13"/>
  <c r="L1372" i="13" s="1"/>
  <c r="J1372" i="13"/>
  <c r="K1372" i="13"/>
  <c r="M1372" i="13"/>
  <c r="Q1372" i="13"/>
  <c r="S1372" i="13"/>
  <c r="I1373" i="13"/>
  <c r="K1373" i="13" s="1"/>
  <c r="J1373" i="13"/>
  <c r="O1373" i="13"/>
  <c r="P1373" i="13"/>
  <c r="Q1373" i="13"/>
  <c r="S1373" i="13"/>
  <c r="I1374" i="13"/>
  <c r="M1374" i="13" s="1"/>
  <c r="J1374" i="13"/>
  <c r="Q1374" i="13"/>
  <c r="S1374" i="13"/>
  <c r="I1375" i="13"/>
  <c r="N1375" i="13" s="1"/>
  <c r="J1375" i="13"/>
  <c r="K1375" i="13"/>
  <c r="L1375" i="13"/>
  <c r="M1375" i="13"/>
  <c r="O1375" i="13"/>
  <c r="P1375" i="13"/>
  <c r="Q1375" i="13"/>
  <c r="S1375" i="13"/>
  <c r="I1376" i="13"/>
  <c r="K1376" i="13" s="1"/>
  <c r="J1376" i="13"/>
  <c r="Q1376" i="13"/>
  <c r="S1376" i="13"/>
  <c r="I1377" i="13"/>
  <c r="J1377" i="13"/>
  <c r="Q1377" i="13"/>
  <c r="S1377" i="13"/>
  <c r="I1378" i="13"/>
  <c r="J1378" i="13"/>
  <c r="N1378" i="13"/>
  <c r="Q1378" i="13"/>
  <c r="S1378" i="13"/>
  <c r="I1379" i="13"/>
  <c r="N1379" i="13" s="1"/>
  <c r="J1379" i="13"/>
  <c r="K1379" i="13"/>
  <c r="L1379" i="13"/>
  <c r="M1379" i="13"/>
  <c r="O1379" i="13"/>
  <c r="P1379" i="13"/>
  <c r="Q1379" i="13"/>
  <c r="S1379" i="13"/>
  <c r="I1380" i="13"/>
  <c r="J1380" i="13"/>
  <c r="M1380" i="13"/>
  <c r="Q1380" i="13"/>
  <c r="S1380" i="13"/>
  <c r="I1381" i="13"/>
  <c r="J1381" i="13"/>
  <c r="K1381" i="13"/>
  <c r="O1381" i="13"/>
  <c r="Q1381" i="13"/>
  <c r="S1381" i="13"/>
  <c r="I1382" i="13"/>
  <c r="J1382" i="13"/>
  <c r="M1382" i="13"/>
  <c r="N1382" i="13"/>
  <c r="O1382" i="13"/>
  <c r="Q1382" i="13"/>
  <c r="S1382" i="13"/>
  <c r="I1383" i="13"/>
  <c r="N1383" i="13" s="1"/>
  <c r="J1383" i="13"/>
  <c r="K1383" i="13"/>
  <c r="L1383" i="13"/>
  <c r="M1383" i="13"/>
  <c r="O1383" i="13"/>
  <c r="Q1383" i="13"/>
  <c r="S1383" i="13"/>
  <c r="I1384" i="13"/>
  <c r="K1384" i="13" s="1"/>
  <c r="J1384" i="13"/>
  <c r="M1384" i="13"/>
  <c r="Q1384" i="13"/>
  <c r="S1384" i="13"/>
  <c r="I1385" i="13"/>
  <c r="J1385" i="13"/>
  <c r="K1385" i="13"/>
  <c r="O1385" i="13"/>
  <c r="P1385" i="13"/>
  <c r="Q1385" i="13"/>
  <c r="S1385" i="13"/>
  <c r="I1386" i="13"/>
  <c r="O1386" i="13" s="1"/>
  <c r="J1386" i="13"/>
  <c r="Q1386" i="13"/>
  <c r="S1386" i="13"/>
  <c r="I1387" i="13"/>
  <c r="N1387" i="13" s="1"/>
  <c r="J1387" i="13"/>
  <c r="K1387" i="13"/>
  <c r="L1387" i="13"/>
  <c r="M1387" i="13"/>
  <c r="O1387" i="13"/>
  <c r="Q1387" i="13"/>
  <c r="S1387" i="13"/>
  <c r="I1388" i="13"/>
  <c r="J1388" i="13"/>
  <c r="M1388" i="13"/>
  <c r="Q1388" i="13"/>
  <c r="S1388" i="13"/>
  <c r="I1389" i="13"/>
  <c r="J1389" i="13"/>
  <c r="K1389" i="13"/>
  <c r="O1389" i="13"/>
  <c r="Q1389" i="13"/>
  <c r="S1389" i="13"/>
  <c r="I1390" i="13"/>
  <c r="M1390" i="13" s="1"/>
  <c r="J1390" i="13"/>
  <c r="N1390" i="13"/>
  <c r="O1390" i="13"/>
  <c r="Q1390" i="13"/>
  <c r="S1390" i="13"/>
  <c r="I1391" i="13"/>
  <c r="N1391" i="13" s="1"/>
  <c r="J1391" i="13"/>
  <c r="K1391" i="13"/>
  <c r="L1391" i="13"/>
  <c r="M1391" i="13"/>
  <c r="O1391" i="13"/>
  <c r="Q1391" i="13"/>
  <c r="S1391" i="13"/>
  <c r="I1392" i="13"/>
  <c r="K1392" i="13" s="1"/>
  <c r="J1392" i="13"/>
  <c r="Q1392" i="13"/>
  <c r="S1392" i="13"/>
  <c r="I1393" i="13"/>
  <c r="J1393" i="13"/>
  <c r="K1393" i="13"/>
  <c r="O1393" i="13"/>
  <c r="P1393" i="13"/>
  <c r="Q1393" i="13"/>
  <c r="S1393" i="13"/>
  <c r="I1394" i="13"/>
  <c r="J1394" i="13"/>
  <c r="Q1394" i="13"/>
  <c r="S1394" i="13"/>
  <c r="I1395" i="13"/>
  <c r="N1395" i="13" s="1"/>
  <c r="J1395" i="13"/>
  <c r="K1395" i="13"/>
  <c r="L1395" i="13"/>
  <c r="M1395" i="13"/>
  <c r="O1395" i="13"/>
  <c r="Q1395" i="13"/>
  <c r="S1395" i="13"/>
  <c r="I1396" i="13"/>
  <c r="J1396" i="13"/>
  <c r="Q1396" i="13"/>
  <c r="S1396" i="13"/>
  <c r="I1397" i="13"/>
  <c r="J1397" i="13"/>
  <c r="K1397" i="13"/>
  <c r="O1397" i="13"/>
  <c r="Q1397" i="13"/>
  <c r="S1397" i="13"/>
  <c r="I1398" i="13"/>
  <c r="M1398" i="13" s="1"/>
  <c r="J1398" i="13"/>
  <c r="N1398" i="13"/>
  <c r="O1398" i="13"/>
  <c r="Q1398" i="13"/>
  <c r="S1398" i="13"/>
  <c r="I1399" i="13"/>
  <c r="N1399" i="13" s="1"/>
  <c r="J1399" i="13"/>
  <c r="K1399" i="13"/>
  <c r="L1399" i="13"/>
  <c r="M1399" i="13"/>
  <c r="O1399" i="13"/>
  <c r="Q1399" i="13"/>
  <c r="S1399" i="13"/>
  <c r="I1400" i="13"/>
  <c r="K1400" i="13" s="1"/>
  <c r="J1400" i="13"/>
  <c r="O1400" i="13"/>
  <c r="Q1400" i="13"/>
  <c r="S1400" i="13"/>
  <c r="I1401" i="13"/>
  <c r="K1401" i="13" s="1"/>
  <c r="J1401" i="13"/>
  <c r="Q1401" i="13"/>
  <c r="S1401" i="13"/>
  <c r="I1402" i="13"/>
  <c r="K1402" i="13" s="1"/>
  <c r="J1402" i="13"/>
  <c r="Q1402" i="13"/>
  <c r="S1402" i="13"/>
  <c r="I1403" i="13"/>
  <c r="K1403" i="13" s="1"/>
  <c r="J1403" i="13"/>
  <c r="Q1403" i="13"/>
  <c r="S1403" i="13"/>
  <c r="I1404" i="13"/>
  <c r="K1404" i="13" s="1"/>
  <c r="J1404" i="13"/>
  <c r="Q1404" i="13"/>
  <c r="S1404" i="13"/>
  <c r="I1405" i="13"/>
  <c r="J1405" i="13"/>
  <c r="K1405" i="13"/>
  <c r="M1405" i="13"/>
  <c r="O1405" i="13"/>
  <c r="P1405" i="13"/>
  <c r="Q1405" i="13"/>
  <c r="S1405" i="13"/>
  <c r="I1406" i="13"/>
  <c r="J1406" i="13"/>
  <c r="K1406" i="13"/>
  <c r="M1406" i="13"/>
  <c r="N1406" i="13"/>
  <c r="O1406" i="13"/>
  <c r="Q1406" i="13"/>
  <c r="S1406" i="13"/>
  <c r="I1407" i="13"/>
  <c r="M1407" i="13" s="1"/>
  <c r="J1407" i="13"/>
  <c r="K1407" i="13"/>
  <c r="L1407" i="13"/>
  <c r="Q1407" i="13"/>
  <c r="S1407" i="13"/>
  <c r="I1408" i="13"/>
  <c r="O1408" i="13" s="1"/>
  <c r="J1408" i="13"/>
  <c r="K1408" i="13"/>
  <c r="M1408" i="13"/>
  <c r="Q1408" i="13"/>
  <c r="S1408" i="13"/>
  <c r="I1409" i="13"/>
  <c r="K1409" i="13" s="1"/>
  <c r="J1409" i="13"/>
  <c r="Q1409" i="13"/>
  <c r="S1409" i="13"/>
  <c r="I1410" i="13"/>
  <c r="M1410" i="13" s="1"/>
  <c r="J1410" i="13"/>
  <c r="Q1410" i="13"/>
  <c r="S1410" i="13"/>
  <c r="I1411" i="13"/>
  <c r="O1411" i="13" s="1"/>
  <c r="J1411" i="13"/>
  <c r="Q1411" i="13"/>
  <c r="S1411" i="13"/>
  <c r="I1412" i="13"/>
  <c r="J1412" i="13"/>
  <c r="Q1412" i="13"/>
  <c r="S1412" i="13"/>
  <c r="I1413" i="13"/>
  <c r="J1413" i="13"/>
  <c r="M1413" i="13"/>
  <c r="Q1413" i="13"/>
  <c r="S1413" i="13"/>
  <c r="I1414" i="13"/>
  <c r="J1414" i="13"/>
  <c r="M1414" i="13"/>
  <c r="Q1414" i="13"/>
  <c r="S1414" i="13"/>
  <c r="I1415" i="13"/>
  <c r="J1415" i="13"/>
  <c r="L1415" i="13"/>
  <c r="Q1415" i="13"/>
  <c r="S1415" i="13"/>
  <c r="I1416" i="13"/>
  <c r="J1416" i="13"/>
  <c r="M1416" i="13"/>
  <c r="Q1416" i="13"/>
  <c r="S1416" i="13"/>
  <c r="I1417" i="13"/>
  <c r="J1417" i="13"/>
  <c r="K1417" i="13"/>
  <c r="O1417" i="13"/>
  <c r="P1417" i="13"/>
  <c r="Q1417" i="13"/>
  <c r="S1417" i="13"/>
  <c r="I1418" i="13"/>
  <c r="J1418" i="13"/>
  <c r="K1418" i="13"/>
  <c r="N1418" i="13"/>
  <c r="Q1418" i="13"/>
  <c r="S1418" i="13"/>
  <c r="I1419" i="13"/>
  <c r="J1419" i="13"/>
  <c r="K1419" i="13"/>
  <c r="M1419" i="13"/>
  <c r="Q1419" i="13"/>
  <c r="S1419" i="13"/>
  <c r="I1420" i="13"/>
  <c r="J1420" i="13"/>
  <c r="K1420" i="13"/>
  <c r="O1420" i="13"/>
  <c r="Q1420" i="13"/>
  <c r="S1420" i="13"/>
  <c r="I1421" i="13"/>
  <c r="J1421" i="13"/>
  <c r="K1421" i="13"/>
  <c r="M1421" i="13"/>
  <c r="O1421" i="13"/>
  <c r="P1421" i="13"/>
  <c r="Q1421" i="13"/>
  <c r="S1421" i="13"/>
  <c r="I1422" i="13"/>
  <c r="J1422" i="13"/>
  <c r="K1422" i="13"/>
  <c r="M1422" i="13"/>
  <c r="O1422" i="13"/>
  <c r="Q1422" i="13"/>
  <c r="S1422" i="13"/>
  <c r="I1423" i="13"/>
  <c r="J1423" i="13"/>
  <c r="K1423" i="13"/>
  <c r="L1423" i="13"/>
  <c r="O1423" i="13"/>
  <c r="Q1423" i="13"/>
  <c r="S1423" i="13"/>
  <c r="I1424" i="13"/>
  <c r="J1424" i="13"/>
  <c r="K1424" i="13"/>
  <c r="M1424" i="13"/>
  <c r="Q1424" i="13"/>
  <c r="S1424" i="13"/>
  <c r="I1425" i="13"/>
  <c r="J1425" i="13"/>
  <c r="K1425" i="13"/>
  <c r="M1425" i="13"/>
  <c r="O1425" i="13"/>
  <c r="Q1425" i="13"/>
  <c r="S1425" i="13"/>
  <c r="I1426" i="13"/>
  <c r="J1426" i="13"/>
  <c r="K1426" i="13"/>
  <c r="M1426" i="13"/>
  <c r="N1426" i="13"/>
  <c r="Q1426" i="13"/>
  <c r="S1426" i="13"/>
  <c r="I1427" i="13"/>
  <c r="J1427" i="13"/>
  <c r="K1427" i="13"/>
  <c r="L1427" i="13"/>
  <c r="M1427" i="13"/>
  <c r="Q1427" i="13"/>
  <c r="S1427" i="13"/>
  <c r="I1428" i="13"/>
  <c r="J1428" i="13"/>
  <c r="K1428" i="13"/>
  <c r="M1428" i="13"/>
  <c r="O1428" i="13"/>
  <c r="Q1428" i="13"/>
  <c r="S1428" i="13"/>
  <c r="I1429" i="13"/>
  <c r="J1429" i="13"/>
  <c r="K1429" i="13"/>
  <c r="M1429" i="13"/>
  <c r="O1429" i="13"/>
  <c r="P1429" i="13"/>
  <c r="Q1429" i="13"/>
  <c r="S1429" i="13"/>
  <c r="I1430" i="13"/>
  <c r="K1430" i="13" s="1"/>
  <c r="J1430" i="13"/>
  <c r="M1430" i="13"/>
  <c r="N1430" i="13"/>
  <c r="O1430" i="13"/>
  <c r="Q1430" i="13"/>
  <c r="S1430" i="13"/>
  <c r="I1431" i="13"/>
  <c r="K1431" i="13" s="1"/>
  <c r="J1431" i="13"/>
  <c r="L1431" i="13"/>
  <c r="M1431" i="13"/>
  <c r="O1431" i="13"/>
  <c r="Q1431" i="13"/>
  <c r="S1431" i="13"/>
  <c r="I1432" i="13"/>
  <c r="K1432" i="13" s="1"/>
  <c r="J1432" i="13"/>
  <c r="M1432" i="13"/>
  <c r="O1432" i="13"/>
  <c r="Q1432" i="13"/>
  <c r="S1432" i="13"/>
  <c r="I1433" i="13"/>
  <c r="K1433" i="13" s="1"/>
  <c r="J1433" i="13"/>
  <c r="Q1433" i="13"/>
  <c r="S1433" i="13"/>
  <c r="I1434" i="13"/>
  <c r="K1434" i="13" s="1"/>
  <c r="J1434" i="13"/>
  <c r="Q1434" i="13"/>
  <c r="S1434" i="13"/>
  <c r="I1435" i="13"/>
  <c r="K1435" i="13" s="1"/>
  <c r="J1435" i="13"/>
  <c r="Q1435" i="13"/>
  <c r="S1435" i="13"/>
  <c r="I1436" i="13"/>
  <c r="K1436" i="13" s="1"/>
  <c r="J1436" i="13"/>
  <c r="Q1436" i="13"/>
  <c r="S1436" i="13"/>
  <c r="I1437" i="13"/>
  <c r="J1437" i="13"/>
  <c r="K1437" i="13"/>
  <c r="M1437" i="13"/>
  <c r="O1437" i="13"/>
  <c r="P1437" i="13"/>
  <c r="Q1437" i="13"/>
  <c r="S1437" i="13"/>
  <c r="I1438" i="13"/>
  <c r="J1438" i="13"/>
  <c r="K1438" i="13"/>
  <c r="M1438" i="13"/>
  <c r="N1438" i="13"/>
  <c r="O1438" i="13"/>
  <c r="Q1438" i="13"/>
  <c r="S1438" i="13"/>
  <c r="I1439" i="13"/>
  <c r="J1439" i="13"/>
  <c r="K1439" i="13"/>
  <c r="L1439" i="13"/>
  <c r="M1439" i="13"/>
  <c r="O1439" i="13"/>
  <c r="Q1439" i="13"/>
  <c r="S1439" i="13"/>
  <c r="I1440" i="13"/>
  <c r="O1440" i="13" s="1"/>
  <c r="J1440" i="13"/>
  <c r="K1440" i="13"/>
  <c r="M1440" i="13"/>
  <c r="Q1440" i="13"/>
  <c r="S1440" i="13"/>
  <c r="I1441" i="13"/>
  <c r="J1441" i="13"/>
  <c r="Q1441" i="13"/>
  <c r="S1441" i="13"/>
  <c r="I1442" i="13"/>
  <c r="J1442" i="13"/>
  <c r="Q1442" i="13"/>
  <c r="S1442" i="13"/>
  <c r="I1443" i="13"/>
  <c r="O1443" i="13" s="1"/>
  <c r="J1443" i="13"/>
  <c r="Q1443" i="13"/>
  <c r="S1443" i="13"/>
  <c r="I1444" i="13"/>
  <c r="O1444" i="13" s="1"/>
  <c r="J1444" i="13"/>
  <c r="Q1444" i="13"/>
  <c r="S1444" i="13"/>
  <c r="I1445" i="13"/>
  <c r="J1445" i="13"/>
  <c r="M1445" i="13"/>
  <c r="Q1445" i="13"/>
  <c r="S1445" i="13"/>
  <c r="I1446" i="13"/>
  <c r="J1446" i="13"/>
  <c r="M1446" i="13"/>
  <c r="Q1446" i="13"/>
  <c r="S1446" i="13"/>
  <c r="I1447" i="13"/>
  <c r="J1447" i="13"/>
  <c r="L1447" i="13"/>
  <c r="Q1447" i="13"/>
  <c r="S1447" i="13"/>
  <c r="I1448" i="13"/>
  <c r="J1448" i="13"/>
  <c r="M1448" i="13"/>
  <c r="Q1448" i="13"/>
  <c r="S1448" i="13"/>
  <c r="I1449" i="13"/>
  <c r="J1449" i="13"/>
  <c r="K1449" i="13"/>
  <c r="O1449" i="13"/>
  <c r="Q1449" i="13"/>
  <c r="S1449" i="13"/>
  <c r="I1450" i="13"/>
  <c r="J1450" i="13"/>
  <c r="K1450" i="13"/>
  <c r="N1450" i="13"/>
  <c r="Q1450" i="13"/>
  <c r="S1450" i="13"/>
  <c r="I1451" i="13"/>
  <c r="J1451" i="13"/>
  <c r="K1451" i="13"/>
  <c r="M1451" i="13"/>
  <c r="Q1451" i="13"/>
  <c r="S1451" i="13"/>
  <c r="I1452" i="13"/>
  <c r="J1452" i="13"/>
  <c r="K1452" i="13"/>
  <c r="O1452" i="13"/>
  <c r="Q1452" i="13"/>
  <c r="S1452" i="13"/>
  <c r="I1453" i="13"/>
  <c r="N1453" i="13" s="1"/>
  <c r="J1453" i="13"/>
  <c r="K1453" i="13"/>
  <c r="L1453" i="13"/>
  <c r="O1453" i="13"/>
  <c r="P1453" i="13"/>
  <c r="Q1453" i="13"/>
  <c r="S1453" i="13"/>
  <c r="I1454" i="13"/>
  <c r="J1454" i="13"/>
  <c r="K1454" i="13"/>
  <c r="N1454" i="13"/>
  <c r="Q1454" i="13"/>
  <c r="S1454" i="13"/>
  <c r="I1455" i="13"/>
  <c r="N1455" i="13" s="1"/>
  <c r="J1455" i="13"/>
  <c r="K1455" i="13"/>
  <c r="M1455" i="13"/>
  <c r="Q1455" i="13"/>
  <c r="S1455" i="13"/>
  <c r="I1456" i="13"/>
  <c r="J1456" i="13"/>
  <c r="M1456" i="13"/>
  <c r="Q1456" i="13"/>
  <c r="S1456" i="13"/>
  <c r="I1457" i="13"/>
  <c r="N1457" i="13" s="1"/>
  <c r="J1457" i="13"/>
  <c r="L1457" i="13"/>
  <c r="Q1457" i="13"/>
  <c r="S1457" i="13"/>
  <c r="I1458" i="13"/>
  <c r="M1458" i="13" s="1"/>
  <c r="J1458" i="13"/>
  <c r="Q1458" i="13"/>
  <c r="S1458" i="13"/>
  <c r="I1459" i="13"/>
  <c r="N1459" i="13" s="1"/>
  <c r="J1459" i="13"/>
  <c r="Q1459" i="13"/>
  <c r="S1459" i="13"/>
  <c r="I1460" i="13"/>
  <c r="N1460" i="13" s="1"/>
  <c r="J1460" i="13"/>
  <c r="K1460" i="13"/>
  <c r="M1460" i="13"/>
  <c r="O1460" i="13"/>
  <c r="Q1460" i="13"/>
  <c r="S1460" i="13"/>
  <c r="I1461" i="13"/>
  <c r="N1461" i="13" s="1"/>
  <c r="J1461" i="13"/>
  <c r="L1461" i="13"/>
  <c r="O1461" i="13"/>
  <c r="P1461" i="13"/>
  <c r="Q1461" i="13"/>
  <c r="S1461" i="13"/>
  <c r="I1462" i="13"/>
  <c r="K1462" i="13" s="1"/>
  <c r="J1462" i="13"/>
  <c r="Q1462" i="13"/>
  <c r="S1462" i="13"/>
  <c r="I1463" i="13"/>
  <c r="N1463" i="13" s="1"/>
  <c r="J1463" i="13"/>
  <c r="P1463" i="13"/>
  <c r="Q1463" i="13"/>
  <c r="S1463" i="13"/>
  <c r="I1464" i="13"/>
  <c r="K1464" i="13" s="1"/>
  <c r="J1464" i="13"/>
  <c r="M1464" i="13"/>
  <c r="N1464" i="13"/>
  <c r="O1464" i="13"/>
  <c r="Q1464" i="13"/>
  <c r="S1464" i="13"/>
  <c r="I1465" i="13"/>
  <c r="N1465" i="13" s="1"/>
  <c r="J1465" i="13"/>
  <c r="L1465" i="13"/>
  <c r="M1465" i="13"/>
  <c r="O1465" i="13"/>
  <c r="Q1465" i="13"/>
  <c r="S1465" i="13"/>
  <c r="I1466" i="13"/>
  <c r="J1466" i="13"/>
  <c r="K1466" i="13"/>
  <c r="M1466" i="13"/>
  <c r="N1466" i="13"/>
  <c r="Q1466" i="13"/>
  <c r="S1466" i="13"/>
  <c r="I1467" i="13"/>
  <c r="N1467" i="13" s="1"/>
  <c r="J1467" i="13"/>
  <c r="K1467" i="13"/>
  <c r="L1467" i="13"/>
  <c r="M1467" i="13"/>
  <c r="P1467" i="13"/>
  <c r="Q1467" i="13"/>
  <c r="S1467" i="13"/>
  <c r="I1468" i="13"/>
  <c r="J1468" i="13"/>
  <c r="K1468" i="13"/>
  <c r="M1468" i="13"/>
  <c r="N1468" i="13"/>
  <c r="O1468" i="13"/>
  <c r="Q1468" i="13"/>
  <c r="S1468" i="13"/>
  <c r="I1469" i="13"/>
  <c r="N1469" i="13" s="1"/>
  <c r="J1469" i="13"/>
  <c r="K1469" i="13"/>
  <c r="L1469" i="13"/>
  <c r="O1469" i="13"/>
  <c r="P1469" i="13"/>
  <c r="Q1469" i="13"/>
  <c r="S1469" i="13"/>
  <c r="I1470" i="13"/>
  <c r="J1470" i="13"/>
  <c r="K1470" i="13"/>
  <c r="N1470" i="13"/>
  <c r="Q1470" i="13"/>
  <c r="S1470" i="13"/>
  <c r="I1471" i="13"/>
  <c r="N1471" i="13" s="1"/>
  <c r="J1471" i="13"/>
  <c r="K1471" i="13"/>
  <c r="M1471" i="13"/>
  <c r="Q1471" i="13"/>
  <c r="S1471" i="13"/>
  <c r="I1472" i="13"/>
  <c r="J1472" i="13"/>
  <c r="Q1472" i="13"/>
  <c r="S1472" i="13"/>
  <c r="I1473" i="13"/>
  <c r="N1473" i="13" s="1"/>
  <c r="J1473" i="13"/>
  <c r="Q1473" i="13"/>
  <c r="S1473" i="13"/>
  <c r="I1474" i="13"/>
  <c r="O1474" i="13" s="1"/>
  <c r="J1474" i="13"/>
  <c r="Q1474" i="13"/>
  <c r="S1474" i="13"/>
  <c r="I1475" i="13"/>
  <c r="N1475" i="13" s="1"/>
  <c r="J1475" i="13"/>
  <c r="Q1475" i="13"/>
  <c r="S1475" i="13"/>
  <c r="I1476" i="13"/>
  <c r="N1476" i="13" s="1"/>
  <c r="J1476" i="13"/>
  <c r="K1476" i="13"/>
  <c r="M1476" i="13"/>
  <c r="O1476" i="13"/>
  <c r="Q1476" i="13"/>
  <c r="S1476" i="13"/>
  <c r="I1477" i="13"/>
  <c r="N1477" i="13" s="1"/>
  <c r="J1477" i="13"/>
  <c r="L1477" i="13"/>
  <c r="O1477" i="13"/>
  <c r="P1477" i="13"/>
  <c r="Q1477" i="13"/>
  <c r="S1477" i="13"/>
  <c r="I1478" i="13"/>
  <c r="O1478" i="13" s="1"/>
  <c r="J1478" i="13"/>
  <c r="Q1478" i="13"/>
  <c r="S1478" i="13"/>
  <c r="I1479" i="13"/>
  <c r="N1479" i="13" s="1"/>
  <c r="J1479" i="13"/>
  <c r="P1479" i="13"/>
  <c r="Q1479" i="13"/>
  <c r="S1479" i="13"/>
  <c r="I1480" i="13"/>
  <c r="K1480" i="13" s="1"/>
  <c r="J1480" i="13"/>
  <c r="M1480" i="13"/>
  <c r="N1480" i="13"/>
  <c r="O1480" i="13"/>
  <c r="Q1480" i="13"/>
  <c r="S1480" i="13"/>
  <c r="I1481" i="13"/>
  <c r="N1481" i="13" s="1"/>
  <c r="J1481" i="13"/>
  <c r="L1481" i="13"/>
  <c r="M1481" i="13"/>
  <c r="O1481" i="13"/>
  <c r="Q1481" i="13"/>
  <c r="S1481" i="13"/>
  <c r="I1482" i="13"/>
  <c r="J1482" i="13"/>
  <c r="K1482" i="13"/>
  <c r="M1482" i="13"/>
  <c r="N1482" i="13"/>
  <c r="Q1482" i="13"/>
  <c r="S1482" i="13"/>
  <c r="I1483" i="13"/>
  <c r="N1483" i="13" s="1"/>
  <c r="J1483" i="13"/>
  <c r="K1483" i="13"/>
  <c r="L1483" i="13"/>
  <c r="M1483" i="13"/>
  <c r="P1483" i="13"/>
  <c r="Q1483" i="13"/>
  <c r="S1483" i="13"/>
  <c r="I1484" i="13"/>
  <c r="J1484" i="13"/>
  <c r="K1484" i="13"/>
  <c r="M1484" i="13"/>
  <c r="N1484" i="13"/>
  <c r="O1484" i="13"/>
  <c r="Q1484" i="13"/>
  <c r="S1484" i="13"/>
  <c r="I1485" i="13"/>
  <c r="N1485" i="13" s="1"/>
  <c r="J1485" i="13"/>
  <c r="K1485" i="13"/>
  <c r="L1485" i="13"/>
  <c r="M1485" i="13"/>
  <c r="O1485" i="13"/>
  <c r="P1485" i="13"/>
  <c r="Q1485" i="13"/>
  <c r="S1485" i="13"/>
  <c r="I1486" i="13"/>
  <c r="J1486" i="13"/>
  <c r="K1486" i="13"/>
  <c r="N1486" i="13"/>
  <c r="Q1486" i="13"/>
  <c r="S1486" i="13"/>
  <c r="I1487" i="13"/>
  <c r="N1487" i="13" s="1"/>
  <c r="J1487" i="13"/>
  <c r="K1487" i="13"/>
  <c r="M1487" i="13"/>
  <c r="Q1487" i="13"/>
  <c r="S1487" i="13"/>
  <c r="I1488" i="13"/>
  <c r="J1488" i="13"/>
  <c r="M1488" i="13"/>
  <c r="Q1488" i="13"/>
  <c r="S1488" i="13"/>
  <c r="I1489" i="13"/>
  <c r="N1489" i="13" s="1"/>
  <c r="J1489" i="13"/>
  <c r="L1489" i="13"/>
  <c r="Q1489" i="13"/>
  <c r="S1489" i="13"/>
  <c r="I1490" i="13"/>
  <c r="N1490" i="13" s="1"/>
  <c r="J1490" i="13"/>
  <c r="Q1490" i="13"/>
  <c r="S1490" i="13"/>
  <c r="I1491" i="13"/>
  <c r="N1491" i="13" s="1"/>
  <c r="J1491" i="13"/>
  <c r="Q1491" i="13"/>
  <c r="S1491" i="13"/>
  <c r="I1492" i="13"/>
  <c r="N1492" i="13" s="1"/>
  <c r="J1492" i="13"/>
  <c r="K1492" i="13"/>
  <c r="M1492" i="13"/>
  <c r="O1492" i="13"/>
  <c r="Q1492" i="13"/>
  <c r="S1492" i="13"/>
  <c r="I1493" i="13"/>
  <c r="N1493" i="13" s="1"/>
  <c r="J1493" i="13"/>
  <c r="L1493" i="13"/>
  <c r="O1493" i="13"/>
  <c r="P1493" i="13"/>
  <c r="Q1493" i="13"/>
  <c r="S1493" i="13"/>
  <c r="I1494" i="13"/>
  <c r="N1494" i="13" s="1"/>
  <c r="J1494" i="13"/>
  <c r="Q1494" i="13"/>
  <c r="S1494" i="13"/>
  <c r="I1495" i="13"/>
  <c r="N1495" i="13" s="1"/>
  <c r="J1495" i="13"/>
  <c r="P1495" i="13"/>
  <c r="Q1495" i="13"/>
  <c r="S1495" i="13"/>
  <c r="I1496" i="13"/>
  <c r="K1496" i="13" s="1"/>
  <c r="J1496" i="13"/>
  <c r="M1496" i="13"/>
  <c r="N1496" i="13"/>
  <c r="O1496" i="13"/>
  <c r="Q1496" i="13"/>
  <c r="S1496" i="13"/>
  <c r="I1497" i="13"/>
  <c r="N1497" i="13" s="1"/>
  <c r="J1497" i="13"/>
  <c r="L1497" i="13"/>
  <c r="M1497" i="13"/>
  <c r="O1497" i="13"/>
  <c r="Q1497" i="13"/>
  <c r="S1497" i="13"/>
  <c r="I1498" i="13"/>
  <c r="J1498" i="13"/>
  <c r="K1498" i="13"/>
  <c r="M1498" i="13"/>
  <c r="N1498" i="13"/>
  <c r="Q1498" i="13"/>
  <c r="S1498" i="13"/>
  <c r="I1499" i="13"/>
  <c r="N1499" i="13" s="1"/>
  <c r="J1499" i="13"/>
  <c r="K1499" i="13"/>
  <c r="L1499" i="13"/>
  <c r="M1499" i="13"/>
  <c r="P1499" i="13"/>
  <c r="Q1499" i="13"/>
  <c r="S1499" i="13"/>
  <c r="I1500" i="13"/>
  <c r="J1500" i="13"/>
  <c r="K1500" i="13"/>
  <c r="M1500" i="13"/>
  <c r="N1500" i="13"/>
  <c r="O1500" i="13"/>
  <c r="Q1500" i="13"/>
  <c r="S1500" i="13"/>
  <c r="I1501" i="13"/>
  <c r="N1501" i="13" s="1"/>
  <c r="J1501" i="13"/>
  <c r="K1501" i="13"/>
  <c r="L1501" i="13"/>
  <c r="M1501" i="13"/>
  <c r="O1501" i="13"/>
  <c r="P1501" i="13"/>
  <c r="Q1501" i="13"/>
  <c r="S1501" i="13"/>
  <c r="I1502" i="13"/>
  <c r="J1502" i="13"/>
  <c r="K1502" i="13"/>
  <c r="N1502" i="13"/>
  <c r="Q1502" i="13"/>
  <c r="S1502" i="13"/>
  <c r="I1503" i="13"/>
  <c r="N1503" i="13" s="1"/>
  <c r="J1503" i="13"/>
  <c r="K1503" i="13"/>
  <c r="M1503" i="13"/>
  <c r="Q1503" i="13"/>
  <c r="S1503" i="13"/>
  <c r="I1504" i="13"/>
  <c r="J1504" i="13"/>
  <c r="M1504" i="13"/>
  <c r="Q1504" i="13"/>
  <c r="S1504" i="13"/>
  <c r="I1505" i="13"/>
  <c r="N1505" i="13" s="1"/>
  <c r="J1505" i="13"/>
  <c r="L1505" i="13"/>
  <c r="Q1505" i="13"/>
  <c r="S1505" i="13"/>
  <c r="I1506" i="13"/>
  <c r="O1506" i="13" s="1"/>
  <c r="J1506" i="13"/>
  <c r="Q1506" i="13"/>
  <c r="S1506" i="13"/>
  <c r="I1507" i="13"/>
  <c r="N1507" i="13" s="1"/>
  <c r="J1507" i="13"/>
  <c r="Q1507" i="13"/>
  <c r="S1507" i="13"/>
  <c r="I1508" i="13"/>
  <c r="N1508" i="13" s="1"/>
  <c r="J1508" i="13"/>
  <c r="K1508" i="13"/>
  <c r="M1508" i="13"/>
  <c r="O1508" i="13"/>
  <c r="Q1508" i="13"/>
  <c r="S1508" i="13"/>
  <c r="I1509" i="13"/>
  <c r="N1509" i="13" s="1"/>
  <c r="J1509" i="13"/>
  <c r="L1509" i="13"/>
  <c r="O1509" i="13"/>
  <c r="P1509" i="13"/>
  <c r="Q1509" i="13"/>
  <c r="S1509" i="13"/>
  <c r="I1510" i="13"/>
  <c r="N1510" i="13" s="1"/>
  <c r="J1510" i="13"/>
  <c r="Q1510" i="13"/>
  <c r="S1510" i="13"/>
  <c r="I1511" i="13"/>
  <c r="N1511" i="13" s="1"/>
  <c r="J1511" i="13"/>
  <c r="P1511" i="13"/>
  <c r="Q1511" i="13"/>
  <c r="S1511" i="13"/>
  <c r="I1512" i="13"/>
  <c r="K1512" i="13" s="1"/>
  <c r="J1512" i="13"/>
  <c r="M1512" i="13"/>
  <c r="N1512" i="13"/>
  <c r="O1512" i="13"/>
  <c r="Q1512" i="13"/>
  <c r="S1512" i="13"/>
  <c r="I1513" i="13"/>
  <c r="N1513" i="13" s="1"/>
  <c r="J1513" i="13"/>
  <c r="L1513" i="13"/>
  <c r="M1513" i="13"/>
  <c r="O1513" i="13"/>
  <c r="Q1513" i="13"/>
  <c r="S1513" i="13"/>
  <c r="I1514" i="13"/>
  <c r="J1514" i="13"/>
  <c r="K1514" i="13"/>
  <c r="M1514" i="13"/>
  <c r="N1514" i="13"/>
  <c r="Q1514" i="13"/>
  <c r="S1514" i="13"/>
  <c r="I1515" i="13"/>
  <c r="N1515" i="13" s="1"/>
  <c r="J1515" i="13"/>
  <c r="K1515" i="13"/>
  <c r="L1515" i="13"/>
  <c r="M1515" i="13"/>
  <c r="P1515" i="13"/>
  <c r="Q1515" i="13"/>
  <c r="S1515" i="13"/>
  <c r="I1516" i="13"/>
  <c r="J1516" i="13"/>
  <c r="K1516" i="13"/>
  <c r="M1516" i="13"/>
  <c r="N1516" i="13"/>
  <c r="O1516" i="13"/>
  <c r="Q1516" i="13"/>
  <c r="S1516" i="13"/>
  <c r="I1517" i="13"/>
  <c r="N1517" i="13" s="1"/>
  <c r="J1517" i="13"/>
  <c r="K1517" i="13"/>
  <c r="L1517" i="13"/>
  <c r="M1517" i="13"/>
  <c r="O1517" i="13"/>
  <c r="P1517" i="13"/>
  <c r="Q1517" i="13"/>
  <c r="S1517" i="13"/>
  <c r="I1518" i="13"/>
  <c r="J1518" i="13"/>
  <c r="K1518" i="13"/>
  <c r="N1518" i="13"/>
  <c r="Q1518" i="13"/>
  <c r="S1518" i="13"/>
  <c r="I1519" i="13"/>
  <c r="N1519" i="13" s="1"/>
  <c r="J1519" i="13"/>
  <c r="K1519" i="13"/>
  <c r="M1519" i="13"/>
  <c r="Q1519" i="13"/>
  <c r="S1519" i="13"/>
  <c r="I1520" i="13"/>
  <c r="J1520" i="13"/>
  <c r="M1520" i="13"/>
  <c r="Q1520" i="13"/>
  <c r="S1520" i="13"/>
  <c r="I1521" i="13"/>
  <c r="N1521" i="13" s="1"/>
  <c r="J1521" i="13"/>
  <c r="L1521" i="13"/>
  <c r="Q1521" i="13"/>
  <c r="S1521" i="13"/>
  <c r="I1522" i="13"/>
  <c r="J1522" i="13"/>
  <c r="Q1522" i="13"/>
  <c r="S1522" i="13"/>
  <c r="I1523" i="13"/>
  <c r="N1523" i="13" s="1"/>
  <c r="J1523" i="13"/>
  <c r="Q1523" i="13"/>
  <c r="S1523" i="13"/>
  <c r="I1524" i="13"/>
  <c r="N1524" i="13" s="1"/>
  <c r="J1524" i="13"/>
  <c r="K1524" i="13"/>
  <c r="M1524" i="13"/>
  <c r="O1524" i="13"/>
  <c r="Q1524" i="13"/>
  <c r="S1524" i="13"/>
  <c r="AI1338" i="13"/>
  <c r="AK1338" i="13" s="1"/>
  <c r="B1338" i="13"/>
  <c r="AI1337" i="13"/>
  <c r="AK1337" i="13" s="1"/>
  <c r="B1337" i="13"/>
  <c r="AI1336" i="13"/>
  <c r="AK1336" i="13" s="1"/>
  <c r="B1336" i="13"/>
  <c r="P1522" i="13" l="1"/>
  <c r="L1522" i="13"/>
  <c r="P1442" i="13"/>
  <c r="L1442" i="13"/>
  <c r="P1394" i="13"/>
  <c r="K1394" i="13"/>
  <c r="L1394" i="13"/>
  <c r="L1472" i="13"/>
  <c r="P1472" i="13"/>
  <c r="O1463" i="13"/>
  <c r="O1462" i="13"/>
  <c r="L1456" i="13"/>
  <c r="P1456" i="13"/>
  <c r="L1448" i="13"/>
  <c r="N1448" i="13"/>
  <c r="P1448" i="13"/>
  <c r="N1447" i="13"/>
  <c r="P1447" i="13"/>
  <c r="P1446" i="13"/>
  <c r="L1446" i="13"/>
  <c r="L1445" i="13"/>
  <c r="N1445" i="13"/>
  <c r="O1435" i="13"/>
  <c r="O1434" i="13"/>
  <c r="P1433" i="13"/>
  <c r="L1416" i="13"/>
  <c r="N1416" i="13"/>
  <c r="P1416" i="13"/>
  <c r="N1415" i="13"/>
  <c r="P1415" i="13"/>
  <c r="P1414" i="13"/>
  <c r="L1414" i="13"/>
  <c r="L1413" i="13"/>
  <c r="N1413" i="13"/>
  <c r="O1403" i="13"/>
  <c r="O1402" i="13"/>
  <c r="P1401" i="13"/>
  <c r="L1396" i="13"/>
  <c r="N1396" i="13"/>
  <c r="O1396" i="13"/>
  <c r="P1396" i="13"/>
  <c r="L1388" i="13"/>
  <c r="N1388" i="13"/>
  <c r="O1388" i="13"/>
  <c r="P1388" i="13"/>
  <c r="L1380" i="13"/>
  <c r="N1380" i="13"/>
  <c r="O1380" i="13"/>
  <c r="P1380" i="13"/>
  <c r="P1378" i="13"/>
  <c r="K1378" i="13"/>
  <c r="L1378" i="13"/>
  <c r="O1351" i="13"/>
  <c r="K1351" i="13"/>
  <c r="L1351" i="13"/>
  <c r="M1351" i="13"/>
  <c r="N1351" i="13"/>
  <c r="P1351" i="13"/>
  <c r="K1313" i="13"/>
  <c r="L1313" i="13"/>
  <c r="M1313" i="13"/>
  <c r="N1313" i="13"/>
  <c r="O1313" i="13"/>
  <c r="P1313" i="13"/>
  <c r="K1303" i="13"/>
  <c r="N1303" i="13"/>
  <c r="O1303" i="13"/>
  <c r="L1303" i="13"/>
  <c r="M1303" i="13"/>
  <c r="P1303" i="13"/>
  <c r="N1218" i="13"/>
  <c r="K1218" i="13"/>
  <c r="L1218" i="13"/>
  <c r="M1218" i="13"/>
  <c r="O1218" i="13"/>
  <c r="P1218" i="13"/>
  <c r="P1109" i="13"/>
  <c r="O1109" i="13"/>
  <c r="K1109" i="13"/>
  <c r="L1109" i="13"/>
  <c r="M1109" i="13"/>
  <c r="N1109" i="13"/>
  <c r="L1412" i="13"/>
  <c r="N1412" i="13"/>
  <c r="P1412" i="13"/>
  <c r="O1495" i="13"/>
  <c r="O1494" i="13"/>
  <c r="P1470" i="13"/>
  <c r="L1470" i="13"/>
  <c r="N1462" i="13"/>
  <c r="P1454" i="13"/>
  <c r="L1454" i="13"/>
  <c r="L1452" i="13"/>
  <c r="N1452" i="13"/>
  <c r="P1452" i="13"/>
  <c r="N1451" i="13"/>
  <c r="P1451" i="13"/>
  <c r="P1450" i="13"/>
  <c r="L1450" i="13"/>
  <c r="L1449" i="13"/>
  <c r="N1449" i="13"/>
  <c r="O1436" i="13"/>
  <c r="M1435" i="13"/>
  <c r="N1434" i="13"/>
  <c r="O1433" i="13"/>
  <c r="L1420" i="13"/>
  <c r="N1420" i="13"/>
  <c r="P1420" i="13"/>
  <c r="N1419" i="13"/>
  <c r="P1419" i="13"/>
  <c r="P1418" i="13"/>
  <c r="L1418" i="13"/>
  <c r="L1417" i="13"/>
  <c r="N1417" i="13"/>
  <c r="O1407" i="13"/>
  <c r="O1404" i="13"/>
  <c r="M1403" i="13"/>
  <c r="N1402" i="13"/>
  <c r="O1401" i="13"/>
  <c r="M1400" i="13"/>
  <c r="M1392" i="13"/>
  <c r="O1374" i="13"/>
  <c r="P1370" i="13"/>
  <c r="K1370" i="13"/>
  <c r="L1370" i="13"/>
  <c r="M1370" i="13"/>
  <c r="L1441" i="13"/>
  <c r="N1441" i="13"/>
  <c r="L1377" i="13"/>
  <c r="M1377" i="13"/>
  <c r="N1377" i="13"/>
  <c r="L1520" i="13"/>
  <c r="P1520" i="13"/>
  <c r="O1511" i="13"/>
  <c r="O1510" i="13"/>
  <c r="L1488" i="13"/>
  <c r="P1488" i="13"/>
  <c r="O1479" i="13"/>
  <c r="P1486" i="13"/>
  <c r="L1486" i="13"/>
  <c r="M1479" i="13"/>
  <c r="N1478" i="13"/>
  <c r="P1475" i="13"/>
  <c r="M1463" i="13"/>
  <c r="P1459" i="13"/>
  <c r="O1523" i="13"/>
  <c r="O1522" i="13"/>
  <c r="P1521" i="13"/>
  <c r="L1516" i="13"/>
  <c r="P1516" i="13"/>
  <c r="K1513" i="13"/>
  <c r="L1511" i="13"/>
  <c r="M1510" i="13"/>
  <c r="M1509" i="13"/>
  <c r="O1507" i="13"/>
  <c r="P1505" i="13"/>
  <c r="L1500" i="13"/>
  <c r="P1500" i="13"/>
  <c r="K1497" i="13"/>
  <c r="L1495" i="13"/>
  <c r="M1494" i="13"/>
  <c r="M1493" i="13"/>
  <c r="O1491" i="13"/>
  <c r="O1490" i="13"/>
  <c r="P1489" i="13"/>
  <c r="L1484" i="13"/>
  <c r="P1484" i="13"/>
  <c r="K1481" i="13"/>
  <c r="L1479" i="13"/>
  <c r="M1478" i="13"/>
  <c r="M1477" i="13"/>
  <c r="O1475" i="13"/>
  <c r="P1473" i="13"/>
  <c r="L1468" i="13"/>
  <c r="P1468" i="13"/>
  <c r="K1465" i="13"/>
  <c r="L1463" i="13"/>
  <c r="M1462" i="13"/>
  <c r="M1461" i="13"/>
  <c r="O1459" i="13"/>
  <c r="O1458" i="13"/>
  <c r="P1457" i="13"/>
  <c r="O1442" i="13"/>
  <c r="P1441" i="13"/>
  <c r="M1436" i="13"/>
  <c r="L1435" i="13"/>
  <c r="M1434" i="13"/>
  <c r="M1433" i="13"/>
  <c r="L1424" i="13"/>
  <c r="N1424" i="13"/>
  <c r="P1424" i="13"/>
  <c r="N1423" i="13"/>
  <c r="P1423" i="13"/>
  <c r="P1422" i="13"/>
  <c r="L1422" i="13"/>
  <c r="L1421" i="13"/>
  <c r="N1421" i="13"/>
  <c r="O1410" i="13"/>
  <c r="P1409" i="13"/>
  <c r="M1404" i="13"/>
  <c r="L1403" i="13"/>
  <c r="M1402" i="13"/>
  <c r="M1401" i="13"/>
  <c r="L1397" i="13"/>
  <c r="M1397" i="13"/>
  <c r="N1397" i="13"/>
  <c r="L1389" i="13"/>
  <c r="M1389" i="13"/>
  <c r="N1389" i="13"/>
  <c r="L1381" i="13"/>
  <c r="M1381" i="13"/>
  <c r="N1381" i="13"/>
  <c r="M1376" i="13"/>
  <c r="N1374" i="13"/>
  <c r="L1231" i="13"/>
  <c r="K1231" i="13"/>
  <c r="M1231" i="13"/>
  <c r="N1231" i="13"/>
  <c r="O1231" i="13"/>
  <c r="P1231" i="13"/>
  <c r="P1506" i="13"/>
  <c r="L1506" i="13"/>
  <c r="P1474" i="13"/>
  <c r="L1474" i="13"/>
  <c r="N1443" i="13"/>
  <c r="P1443" i="13"/>
  <c r="N1411" i="13"/>
  <c r="P1411" i="13"/>
  <c r="L1504" i="13"/>
  <c r="P1504" i="13"/>
  <c r="P1523" i="13"/>
  <c r="P1502" i="13"/>
  <c r="L1502" i="13"/>
  <c r="M1495" i="13"/>
  <c r="P1491" i="13"/>
  <c r="M1523" i="13"/>
  <c r="N1522" i="13"/>
  <c r="O1521" i="13"/>
  <c r="O1520" i="13"/>
  <c r="P1519" i="13"/>
  <c r="P1514" i="13"/>
  <c r="L1514" i="13"/>
  <c r="K1511" i="13"/>
  <c r="K1510" i="13"/>
  <c r="M1507" i="13"/>
  <c r="N1506" i="13"/>
  <c r="O1505" i="13"/>
  <c r="O1504" i="13"/>
  <c r="P1503" i="13"/>
  <c r="P1498" i="13"/>
  <c r="L1498" i="13"/>
  <c r="K1495" i="13"/>
  <c r="K1494" i="13"/>
  <c r="M1491" i="13"/>
  <c r="O1489" i="13"/>
  <c r="O1488" i="13"/>
  <c r="P1487" i="13"/>
  <c r="P1482" i="13"/>
  <c r="L1482" i="13"/>
  <c r="K1479" i="13"/>
  <c r="K1478" i="13"/>
  <c r="M1475" i="13"/>
  <c r="N1474" i="13"/>
  <c r="O1473" i="13"/>
  <c r="O1472" i="13"/>
  <c r="P1471" i="13"/>
  <c r="P1466" i="13"/>
  <c r="L1466" i="13"/>
  <c r="K1463" i="13"/>
  <c r="M1459" i="13"/>
  <c r="N1458" i="13"/>
  <c r="O1457" i="13"/>
  <c r="O1456" i="13"/>
  <c r="P1455" i="13"/>
  <c r="O1447" i="13"/>
  <c r="O1446" i="13"/>
  <c r="P1445" i="13"/>
  <c r="M1443" i="13"/>
  <c r="N1442" i="13"/>
  <c r="O1441" i="13"/>
  <c r="L1428" i="13"/>
  <c r="N1428" i="13"/>
  <c r="P1428" i="13"/>
  <c r="N1427" i="13"/>
  <c r="P1427" i="13"/>
  <c r="P1426" i="13"/>
  <c r="L1426" i="13"/>
  <c r="L1425" i="13"/>
  <c r="N1425" i="13"/>
  <c r="O1415" i="13"/>
  <c r="O1414" i="13"/>
  <c r="P1413" i="13"/>
  <c r="O1412" i="13"/>
  <c r="M1411" i="13"/>
  <c r="N1410" i="13"/>
  <c r="O1409" i="13"/>
  <c r="P1398" i="13"/>
  <c r="K1398" i="13"/>
  <c r="L1398" i="13"/>
  <c r="O1394" i="13"/>
  <c r="P1390" i="13"/>
  <c r="K1390" i="13"/>
  <c r="L1390" i="13"/>
  <c r="P1382" i="13"/>
  <c r="K1382" i="13"/>
  <c r="L1382" i="13"/>
  <c r="P1377" i="13"/>
  <c r="O1305" i="13"/>
  <c r="K1305" i="13"/>
  <c r="L1305" i="13"/>
  <c r="M1305" i="13"/>
  <c r="N1305" i="13"/>
  <c r="P1305" i="13"/>
  <c r="P1490" i="13"/>
  <c r="L1490" i="13"/>
  <c r="L1444" i="13"/>
  <c r="N1444" i="13"/>
  <c r="P1444" i="13"/>
  <c r="P1386" i="13"/>
  <c r="K1386" i="13"/>
  <c r="L1386" i="13"/>
  <c r="P1518" i="13"/>
  <c r="L1518" i="13"/>
  <c r="M1511" i="13"/>
  <c r="P1507" i="13"/>
  <c r="L1523" i="13"/>
  <c r="M1522" i="13"/>
  <c r="M1521" i="13"/>
  <c r="N1520" i="13"/>
  <c r="O1519" i="13"/>
  <c r="O1518" i="13"/>
  <c r="L1512" i="13"/>
  <c r="P1512" i="13"/>
  <c r="K1509" i="13"/>
  <c r="L1507" i="13"/>
  <c r="M1506" i="13"/>
  <c r="M1505" i="13"/>
  <c r="N1504" i="13"/>
  <c r="O1503" i="13"/>
  <c r="O1502" i="13"/>
  <c r="L1496" i="13"/>
  <c r="P1496" i="13"/>
  <c r="K1493" i="13"/>
  <c r="L1491" i="13"/>
  <c r="M1490" i="13"/>
  <c r="M1489" i="13"/>
  <c r="N1488" i="13"/>
  <c r="O1487" i="13"/>
  <c r="O1486" i="13"/>
  <c r="L1480" i="13"/>
  <c r="P1480" i="13"/>
  <c r="K1477" i="13"/>
  <c r="L1475" i="13"/>
  <c r="M1474" i="13"/>
  <c r="M1473" i="13"/>
  <c r="N1472" i="13"/>
  <c r="O1471" i="13"/>
  <c r="O1470" i="13"/>
  <c r="L1464" i="13"/>
  <c r="P1464" i="13"/>
  <c r="K1461" i="13"/>
  <c r="L1459" i="13"/>
  <c r="M1457" i="13"/>
  <c r="N1456" i="13"/>
  <c r="O1455" i="13"/>
  <c r="O1454" i="13"/>
  <c r="O1451" i="13"/>
  <c r="O1450" i="13"/>
  <c r="P1449" i="13"/>
  <c r="O1448" i="13"/>
  <c r="M1447" i="13"/>
  <c r="N1446" i="13"/>
  <c r="O1445" i="13"/>
  <c r="M1444" i="13"/>
  <c r="L1443" i="13"/>
  <c r="M1442" i="13"/>
  <c r="M1441" i="13"/>
  <c r="L1432" i="13"/>
  <c r="N1432" i="13"/>
  <c r="P1432" i="13"/>
  <c r="N1431" i="13"/>
  <c r="P1431" i="13"/>
  <c r="P1430" i="13"/>
  <c r="L1430" i="13"/>
  <c r="L1429" i="13"/>
  <c r="N1429" i="13"/>
  <c r="O1419" i="13"/>
  <c r="O1418" i="13"/>
  <c r="O1416" i="13"/>
  <c r="M1415" i="13"/>
  <c r="N1414" i="13"/>
  <c r="O1413" i="13"/>
  <c r="M1412" i="13"/>
  <c r="L1411" i="13"/>
  <c r="M1409" i="13"/>
  <c r="L1400" i="13"/>
  <c r="N1400" i="13"/>
  <c r="P1400" i="13"/>
  <c r="N1394" i="13"/>
  <c r="L1392" i="13"/>
  <c r="N1392" i="13"/>
  <c r="O1392" i="13"/>
  <c r="P1392" i="13"/>
  <c r="N1386" i="13"/>
  <c r="L1384" i="13"/>
  <c r="N1384" i="13"/>
  <c r="O1384" i="13"/>
  <c r="P1384" i="13"/>
  <c r="O1378" i="13"/>
  <c r="O1377" i="13"/>
  <c r="L1373" i="13"/>
  <c r="M1373" i="13"/>
  <c r="N1373" i="13"/>
  <c r="O1319" i="13"/>
  <c r="K1319" i="13"/>
  <c r="L1319" i="13"/>
  <c r="M1319" i="13"/>
  <c r="N1319" i="13"/>
  <c r="P1319" i="13"/>
  <c r="P1458" i="13"/>
  <c r="L1458" i="13"/>
  <c r="P1410" i="13"/>
  <c r="L1410" i="13"/>
  <c r="P1510" i="13"/>
  <c r="L1510" i="13"/>
  <c r="P1494" i="13"/>
  <c r="L1494" i="13"/>
  <c r="K1491" i="13"/>
  <c r="K1490" i="13"/>
  <c r="P1478" i="13"/>
  <c r="L1478" i="13"/>
  <c r="P1462" i="13"/>
  <c r="L1462" i="13"/>
  <c r="L1436" i="13"/>
  <c r="N1436" i="13"/>
  <c r="P1436" i="13"/>
  <c r="P1434" i="13"/>
  <c r="L1434" i="13"/>
  <c r="L1433" i="13"/>
  <c r="N1433" i="13"/>
  <c r="K1412" i="13"/>
  <c r="K1411" i="13"/>
  <c r="K1410" i="13"/>
  <c r="L1404" i="13"/>
  <c r="N1404" i="13"/>
  <c r="P1404" i="13"/>
  <c r="N1403" i="13"/>
  <c r="P1403" i="13"/>
  <c r="P1402" i="13"/>
  <c r="L1402" i="13"/>
  <c r="L1401" i="13"/>
  <c r="N1401" i="13"/>
  <c r="M1396" i="13"/>
  <c r="M1394" i="13"/>
  <c r="M1386" i="13"/>
  <c r="K1377" i="13"/>
  <c r="L1376" i="13"/>
  <c r="N1376" i="13"/>
  <c r="O1376" i="13"/>
  <c r="P1376" i="13"/>
  <c r="P1374" i="13"/>
  <c r="K1374" i="13"/>
  <c r="L1374" i="13"/>
  <c r="K1345" i="13"/>
  <c r="L1345" i="13"/>
  <c r="M1345" i="13"/>
  <c r="N1345" i="13"/>
  <c r="O1345" i="13"/>
  <c r="P1345" i="13"/>
  <c r="M1332" i="13"/>
  <c r="K1332" i="13"/>
  <c r="L1332" i="13"/>
  <c r="N1332" i="13"/>
  <c r="O1332" i="13"/>
  <c r="P1332" i="13"/>
  <c r="L1409" i="13"/>
  <c r="N1409" i="13"/>
  <c r="K1523" i="13"/>
  <c r="K1522" i="13"/>
  <c r="K1507" i="13"/>
  <c r="K1506" i="13"/>
  <c r="K1475" i="13"/>
  <c r="K1474" i="13"/>
  <c r="L1473" i="13"/>
  <c r="M1472" i="13"/>
  <c r="K1459" i="13"/>
  <c r="K1458" i="13"/>
  <c r="K1444" i="13"/>
  <c r="K1443" i="13"/>
  <c r="K1442" i="13"/>
  <c r="K1441" i="13"/>
  <c r="N1435" i="13"/>
  <c r="P1435" i="13"/>
  <c r="L1524" i="13"/>
  <c r="P1524" i="13"/>
  <c r="K1521" i="13"/>
  <c r="K1520" i="13"/>
  <c r="L1519" i="13"/>
  <c r="M1518" i="13"/>
  <c r="O1515" i="13"/>
  <c r="O1514" i="13"/>
  <c r="P1513" i="13"/>
  <c r="L1508" i="13"/>
  <c r="P1508" i="13"/>
  <c r="K1505" i="13"/>
  <c r="K1504" i="13"/>
  <c r="L1503" i="13"/>
  <c r="M1502" i="13"/>
  <c r="O1499" i="13"/>
  <c r="O1498" i="13"/>
  <c r="P1497" i="13"/>
  <c r="L1492" i="13"/>
  <c r="P1492" i="13"/>
  <c r="K1489" i="13"/>
  <c r="K1488" i="13"/>
  <c r="L1487" i="13"/>
  <c r="M1486" i="13"/>
  <c r="O1483" i="13"/>
  <c r="O1482" i="13"/>
  <c r="P1481" i="13"/>
  <c r="L1476" i="13"/>
  <c r="P1476" i="13"/>
  <c r="K1473" i="13"/>
  <c r="K1472" i="13"/>
  <c r="L1471" i="13"/>
  <c r="M1470" i="13"/>
  <c r="M1469" i="13"/>
  <c r="O1467" i="13"/>
  <c r="O1466" i="13"/>
  <c r="P1465" i="13"/>
  <c r="L1460" i="13"/>
  <c r="P1460" i="13"/>
  <c r="K1457" i="13"/>
  <c r="K1456" i="13"/>
  <c r="L1455" i="13"/>
  <c r="M1454" i="13"/>
  <c r="M1453" i="13"/>
  <c r="M1452" i="13"/>
  <c r="L1451" i="13"/>
  <c r="M1450" i="13"/>
  <c r="M1449" i="13"/>
  <c r="K1448" i="13"/>
  <c r="K1447" i="13"/>
  <c r="K1446" i="13"/>
  <c r="K1445" i="13"/>
  <c r="L1440" i="13"/>
  <c r="N1440" i="13"/>
  <c r="P1440" i="13"/>
  <c r="N1439" i="13"/>
  <c r="P1439" i="13"/>
  <c r="P1438" i="13"/>
  <c r="L1438" i="13"/>
  <c r="L1437" i="13"/>
  <c r="N1437" i="13"/>
  <c r="O1427" i="13"/>
  <c r="O1426" i="13"/>
  <c r="P1425" i="13"/>
  <c r="O1424" i="13"/>
  <c r="M1423" i="13"/>
  <c r="N1422" i="13"/>
  <c r="M1420" i="13"/>
  <c r="L1419" i="13"/>
  <c r="M1418" i="13"/>
  <c r="M1417" i="13"/>
  <c r="K1416" i="13"/>
  <c r="K1415" i="13"/>
  <c r="K1414" i="13"/>
  <c r="K1413" i="13"/>
  <c r="L1408" i="13"/>
  <c r="N1408" i="13"/>
  <c r="P1408" i="13"/>
  <c r="N1407" i="13"/>
  <c r="P1407" i="13"/>
  <c r="P1406" i="13"/>
  <c r="L1406" i="13"/>
  <c r="L1405" i="13"/>
  <c r="N1405" i="13"/>
  <c r="P1397" i="13"/>
  <c r="K1396" i="13"/>
  <c r="L1393" i="13"/>
  <c r="M1393" i="13"/>
  <c r="N1393" i="13"/>
  <c r="P1389" i="13"/>
  <c r="K1388" i="13"/>
  <c r="L1385" i="13"/>
  <c r="M1385" i="13"/>
  <c r="N1385" i="13"/>
  <c r="P1381" i="13"/>
  <c r="K1380" i="13"/>
  <c r="M1378" i="13"/>
  <c r="O1370" i="13"/>
  <c r="K1368" i="13"/>
  <c r="O1366" i="13"/>
  <c r="K1364" i="13"/>
  <c r="O1362" i="13"/>
  <c r="K1360" i="13"/>
  <c r="O1358" i="13"/>
  <c r="K1356" i="13"/>
  <c r="O1354" i="13"/>
  <c r="P1347" i="13"/>
  <c r="K1344" i="13"/>
  <c r="P1341" i="13"/>
  <c r="K1331" i="13"/>
  <c r="P1328" i="13"/>
  <c r="L1325" i="13"/>
  <c r="P1315" i="13"/>
  <c r="K1312" i="13"/>
  <c r="P1309" i="13"/>
  <c r="N1242" i="13"/>
  <c r="L1242" i="13"/>
  <c r="M1242" i="13"/>
  <c r="O1242" i="13"/>
  <c r="P1242" i="13"/>
  <c r="L1236" i="13"/>
  <c r="M1236" i="13"/>
  <c r="N1236" i="13"/>
  <c r="O1236" i="13"/>
  <c r="P1236" i="13"/>
  <c r="L1139" i="13"/>
  <c r="O1139" i="13"/>
  <c r="K1139" i="13"/>
  <c r="M1139" i="13"/>
  <c r="N1139" i="13"/>
  <c r="P1139" i="13"/>
  <c r="N1136" i="13"/>
  <c r="K1136" i="13"/>
  <c r="L1136" i="13"/>
  <c r="M1136" i="13"/>
  <c r="O1136" i="13"/>
  <c r="P1136" i="13"/>
  <c r="N1122" i="13"/>
  <c r="P1122" i="13"/>
  <c r="K1122" i="13"/>
  <c r="L1122" i="13"/>
  <c r="M1122" i="13"/>
  <c r="O1122" i="13"/>
  <c r="N1118" i="13"/>
  <c r="L1118" i="13"/>
  <c r="K1118" i="13"/>
  <c r="M1118" i="13"/>
  <c r="O1118" i="13"/>
  <c r="P1118" i="13"/>
  <c r="L1115" i="13"/>
  <c r="M1115" i="13"/>
  <c r="K1115" i="13"/>
  <c r="N1115" i="13"/>
  <c r="O1115" i="13"/>
  <c r="P1115" i="13"/>
  <c r="L1053" i="13"/>
  <c r="P1053" i="13"/>
  <c r="M1053" i="13"/>
  <c r="N1053" i="13"/>
  <c r="O1053" i="13"/>
  <c r="K1053" i="13"/>
  <c r="N1038" i="13"/>
  <c r="K1038" i="13"/>
  <c r="L1038" i="13"/>
  <c r="M1038" i="13"/>
  <c r="O1038" i="13"/>
  <c r="P1038" i="13"/>
  <c r="N988" i="13"/>
  <c r="P988" i="13"/>
  <c r="K988" i="13"/>
  <c r="L988" i="13"/>
  <c r="M988" i="13"/>
  <c r="O988" i="13"/>
  <c r="L986" i="13"/>
  <c r="N986" i="13"/>
  <c r="K986" i="13"/>
  <c r="M986" i="13"/>
  <c r="O986" i="13"/>
  <c r="P986" i="13"/>
  <c r="N935" i="13"/>
  <c r="P935" i="13"/>
  <c r="L935" i="13"/>
  <c r="K935" i="13"/>
  <c r="M935" i="13"/>
  <c r="O935" i="13"/>
  <c r="K836" i="13"/>
  <c r="L836" i="13"/>
  <c r="M836" i="13"/>
  <c r="N836" i="13"/>
  <c r="O836" i="13"/>
  <c r="P836" i="13"/>
  <c r="O1369" i="13"/>
  <c r="M1366" i="13"/>
  <c r="M1358" i="13"/>
  <c r="M1354" i="13"/>
  <c r="M1315" i="13"/>
  <c r="N1309" i="13"/>
  <c r="P1293" i="13"/>
  <c r="P1289" i="13"/>
  <c r="L1223" i="13"/>
  <c r="M1223" i="13"/>
  <c r="N1223" i="13"/>
  <c r="O1223" i="13"/>
  <c r="P1223" i="13"/>
  <c r="K1196" i="13"/>
  <c r="L1196" i="13"/>
  <c r="M1196" i="13"/>
  <c r="N1196" i="13"/>
  <c r="O1196" i="13"/>
  <c r="P1196" i="13"/>
  <c r="N1194" i="13"/>
  <c r="M1194" i="13"/>
  <c r="K1194" i="13"/>
  <c r="L1194" i="13"/>
  <c r="O1194" i="13"/>
  <c r="P1194" i="13"/>
  <c r="K1132" i="13"/>
  <c r="O1132" i="13"/>
  <c r="L1132" i="13"/>
  <c r="M1132" i="13"/>
  <c r="N1132" i="13"/>
  <c r="P1132" i="13"/>
  <c r="P1129" i="13"/>
  <c r="N1129" i="13"/>
  <c r="K1129" i="13"/>
  <c r="L1129" i="13"/>
  <c r="M1129" i="13"/>
  <c r="O1129" i="13"/>
  <c r="M1362" i="13"/>
  <c r="P1372" i="13"/>
  <c r="N1369" i="13"/>
  <c r="P1368" i="13"/>
  <c r="L1366" i="13"/>
  <c r="N1365" i="13"/>
  <c r="P1364" i="13"/>
  <c r="L1362" i="13"/>
  <c r="N1361" i="13"/>
  <c r="P1360" i="13"/>
  <c r="L1358" i="13"/>
  <c r="N1357" i="13"/>
  <c r="P1356" i="13"/>
  <c r="L1354" i="13"/>
  <c r="O1352" i="13"/>
  <c r="K1348" i="13"/>
  <c r="L1347" i="13"/>
  <c r="M1341" i="13"/>
  <c r="N1339" i="13"/>
  <c r="K1335" i="13"/>
  <c r="O1333" i="13"/>
  <c r="L1329" i="13"/>
  <c r="L1328" i="13"/>
  <c r="O1320" i="13"/>
  <c r="K1316" i="13"/>
  <c r="L1315" i="13"/>
  <c r="M1309" i="13"/>
  <c r="O1301" i="13"/>
  <c r="K1301" i="13"/>
  <c r="K1299" i="13"/>
  <c r="N1299" i="13"/>
  <c r="O1299" i="13"/>
  <c r="N1293" i="13"/>
  <c r="N1289" i="13"/>
  <c r="N1285" i="13"/>
  <c r="N1281" i="13"/>
  <c r="N1277" i="13"/>
  <c r="K1267" i="13"/>
  <c r="M1267" i="13"/>
  <c r="N1267" i="13"/>
  <c r="O1267" i="13"/>
  <c r="P1267" i="13"/>
  <c r="K1263" i="13"/>
  <c r="M1263" i="13"/>
  <c r="N1263" i="13"/>
  <c r="O1263" i="13"/>
  <c r="P1263" i="13"/>
  <c r="K1259" i="13"/>
  <c r="M1259" i="13"/>
  <c r="N1259" i="13"/>
  <c r="O1259" i="13"/>
  <c r="P1259" i="13"/>
  <c r="K1255" i="13"/>
  <c r="M1255" i="13"/>
  <c r="N1255" i="13"/>
  <c r="O1255" i="13"/>
  <c r="P1255" i="13"/>
  <c r="K1251" i="13"/>
  <c r="M1251" i="13"/>
  <c r="N1251" i="13"/>
  <c r="O1251" i="13"/>
  <c r="P1251" i="13"/>
  <c r="K1247" i="13"/>
  <c r="M1247" i="13"/>
  <c r="N1247" i="13"/>
  <c r="O1247" i="13"/>
  <c r="P1247" i="13"/>
  <c r="P1244" i="13"/>
  <c r="K1244" i="13"/>
  <c r="L1244" i="13"/>
  <c r="M1244" i="13"/>
  <c r="P1237" i="13"/>
  <c r="K1237" i="13"/>
  <c r="L1237" i="13"/>
  <c r="M1237" i="13"/>
  <c r="N1237" i="13"/>
  <c r="O1180" i="13"/>
  <c r="K1180" i="13"/>
  <c r="L1180" i="13"/>
  <c r="M1180" i="13"/>
  <c r="N1180" i="13"/>
  <c r="P1180" i="13"/>
  <c r="O1372" i="13"/>
  <c r="M1369" i="13"/>
  <c r="O1368" i="13"/>
  <c r="K1366" i="13"/>
  <c r="M1365" i="13"/>
  <c r="O1364" i="13"/>
  <c r="K1362" i="13"/>
  <c r="M1361" i="13"/>
  <c r="O1360" i="13"/>
  <c r="K1358" i="13"/>
  <c r="M1357" i="13"/>
  <c r="O1356" i="13"/>
  <c r="K1354" i="13"/>
  <c r="N1352" i="13"/>
  <c r="K1347" i="13"/>
  <c r="P1344" i="13"/>
  <c r="L1341" i="13"/>
  <c r="M1339" i="13"/>
  <c r="N1333" i="13"/>
  <c r="P1331" i="13"/>
  <c r="K1328" i="13"/>
  <c r="P1325" i="13"/>
  <c r="N1320" i="13"/>
  <c r="K1315" i="13"/>
  <c r="P1312" i="13"/>
  <c r="L1309" i="13"/>
  <c r="K1271" i="13"/>
  <c r="M1271" i="13"/>
  <c r="N1271" i="13"/>
  <c r="O1271" i="13"/>
  <c r="P1271" i="13"/>
  <c r="P1121" i="13"/>
  <c r="L1121" i="13"/>
  <c r="K1121" i="13"/>
  <c r="M1121" i="13"/>
  <c r="N1121" i="13"/>
  <c r="O1121" i="13"/>
  <c r="L1119" i="13"/>
  <c r="K1119" i="13"/>
  <c r="P1119" i="13"/>
  <c r="M1119" i="13"/>
  <c r="N1119" i="13"/>
  <c r="O1119" i="13"/>
  <c r="O1116" i="13"/>
  <c r="K1116" i="13"/>
  <c r="L1116" i="13"/>
  <c r="M1116" i="13"/>
  <c r="N1116" i="13"/>
  <c r="P1116" i="13"/>
  <c r="P1399" i="13"/>
  <c r="P1395" i="13"/>
  <c r="P1391" i="13"/>
  <c r="P1387" i="13"/>
  <c r="P1383" i="13"/>
  <c r="N1372" i="13"/>
  <c r="N1368" i="13"/>
  <c r="N1364" i="13"/>
  <c r="N1360" i="13"/>
  <c r="N1356" i="13"/>
  <c r="L1352" i="13"/>
  <c r="O1344" i="13"/>
  <c r="L1339" i="13"/>
  <c r="M1333" i="13"/>
  <c r="N1331" i="13"/>
  <c r="O1325" i="13"/>
  <c r="L1320" i="13"/>
  <c r="O1312" i="13"/>
  <c r="O1297" i="13"/>
  <c r="K1297" i="13"/>
  <c r="K1295" i="13"/>
  <c r="N1295" i="13"/>
  <c r="O1295" i="13"/>
  <c r="K1291" i="13"/>
  <c r="N1291" i="13"/>
  <c r="O1291" i="13"/>
  <c r="P1291" i="13"/>
  <c r="K1287" i="13"/>
  <c r="N1287" i="13"/>
  <c r="O1287" i="13"/>
  <c r="P1287" i="13"/>
  <c r="K1283" i="13"/>
  <c r="N1283" i="13"/>
  <c r="O1283" i="13"/>
  <c r="P1283" i="13"/>
  <c r="K1279" i="13"/>
  <c r="N1279" i="13"/>
  <c r="O1279" i="13"/>
  <c r="P1279" i="13"/>
  <c r="K1275" i="13"/>
  <c r="N1275" i="13"/>
  <c r="O1275" i="13"/>
  <c r="P1275" i="13"/>
  <c r="K1204" i="13"/>
  <c r="L1204" i="13"/>
  <c r="M1204" i="13"/>
  <c r="N1204" i="13"/>
  <c r="O1204" i="13"/>
  <c r="P1204" i="13"/>
  <c r="K1068" i="13"/>
  <c r="M1068" i="13"/>
  <c r="N1068" i="13"/>
  <c r="O1068" i="13"/>
  <c r="P1068" i="13"/>
  <c r="L1068" i="13"/>
  <c r="M1360" i="13"/>
  <c r="M1356" i="13"/>
  <c r="N1344" i="13"/>
  <c r="M1331" i="13"/>
  <c r="N1325" i="13"/>
  <c r="O1293" i="13"/>
  <c r="K1293" i="13"/>
  <c r="L1293" i="13"/>
  <c r="O1289" i="13"/>
  <c r="K1289" i="13"/>
  <c r="L1289" i="13"/>
  <c r="O1285" i="13"/>
  <c r="K1285" i="13"/>
  <c r="L1285" i="13"/>
  <c r="O1281" i="13"/>
  <c r="K1281" i="13"/>
  <c r="L1281" i="13"/>
  <c r="O1277" i="13"/>
  <c r="K1277" i="13"/>
  <c r="L1277" i="13"/>
  <c r="K1242" i="13"/>
  <c r="K1236" i="13"/>
  <c r="P1229" i="13"/>
  <c r="L1229" i="13"/>
  <c r="M1229" i="13"/>
  <c r="N1229" i="13"/>
  <c r="O1229" i="13"/>
  <c r="N1210" i="13"/>
  <c r="K1210" i="13"/>
  <c r="L1210" i="13"/>
  <c r="M1210" i="13"/>
  <c r="O1210" i="13"/>
  <c r="P1210" i="13"/>
  <c r="L1195" i="13"/>
  <c r="M1195" i="13"/>
  <c r="K1195" i="13"/>
  <c r="N1195" i="13"/>
  <c r="O1195" i="13"/>
  <c r="P1195" i="13"/>
  <c r="P1193" i="13"/>
  <c r="N1193" i="13"/>
  <c r="K1193" i="13"/>
  <c r="L1193" i="13"/>
  <c r="M1193" i="13"/>
  <c r="O1193" i="13"/>
  <c r="L1131" i="13"/>
  <c r="M1131" i="13"/>
  <c r="K1131" i="13"/>
  <c r="N1131" i="13"/>
  <c r="O1131" i="13"/>
  <c r="P1131" i="13"/>
  <c r="P1128" i="13"/>
  <c r="L1128" i="13"/>
  <c r="K1128" i="13"/>
  <c r="M1128" i="13"/>
  <c r="N1128" i="13"/>
  <c r="O1128" i="13"/>
  <c r="M1364" i="13"/>
  <c r="O1349" i="13"/>
  <c r="P1348" i="13"/>
  <c r="L1344" i="13"/>
  <c r="M1343" i="13"/>
  <c r="N1337" i="13"/>
  <c r="O1336" i="13"/>
  <c r="P1335" i="13"/>
  <c r="L1331" i="13"/>
  <c r="P1329" i="13"/>
  <c r="M1325" i="13"/>
  <c r="N1324" i="13"/>
  <c r="N1323" i="13"/>
  <c r="O1317" i="13"/>
  <c r="P1316" i="13"/>
  <c r="L1312" i="13"/>
  <c r="M1311" i="13"/>
  <c r="K1307" i="13"/>
  <c r="O1307" i="13"/>
  <c r="N1301" i="13"/>
  <c r="P1299" i="13"/>
  <c r="P1125" i="13"/>
  <c r="K1125" i="13"/>
  <c r="O1125" i="13"/>
  <c r="L1125" i="13"/>
  <c r="M1125" i="13"/>
  <c r="N1125" i="13"/>
  <c r="N1212" i="13"/>
  <c r="N1205" i="13"/>
  <c r="O1198" i="13"/>
  <c r="P1171" i="13"/>
  <c r="O1168" i="13"/>
  <c r="P1164" i="13"/>
  <c r="P1163" i="13"/>
  <c r="O1161" i="13"/>
  <c r="O1160" i="13"/>
  <c r="O1153" i="13"/>
  <c r="N1126" i="13"/>
  <c r="O1126" i="13"/>
  <c r="L1123" i="13"/>
  <c r="O1123" i="13"/>
  <c r="P1113" i="13"/>
  <c r="N1113" i="13"/>
  <c r="L1112" i="13"/>
  <c r="P1112" i="13"/>
  <c r="N1110" i="13"/>
  <c r="O1110" i="13"/>
  <c r="N1106" i="13"/>
  <c r="K1106" i="13"/>
  <c r="P1106" i="13"/>
  <c r="P1105" i="13"/>
  <c r="L1105" i="13"/>
  <c r="L1103" i="13"/>
  <c r="P1103" i="13"/>
  <c r="K1103" i="13"/>
  <c r="N1102" i="13"/>
  <c r="L1102" i="13"/>
  <c r="P1089" i="13"/>
  <c r="K1089" i="13"/>
  <c r="L1089" i="13"/>
  <c r="M1088" i="13"/>
  <c r="N1088" i="13"/>
  <c r="P1084" i="13"/>
  <c r="P1083" i="13"/>
  <c r="O1081" i="13"/>
  <c r="L1075" i="13"/>
  <c r="M1075" i="13"/>
  <c r="N1075" i="13"/>
  <c r="O1075" i="13"/>
  <c r="O1064" i="13"/>
  <c r="N959" i="13"/>
  <c r="P959" i="13"/>
  <c r="L959" i="13"/>
  <c r="K959" i="13"/>
  <c r="M959" i="13"/>
  <c r="O959" i="13"/>
  <c r="L1273" i="13"/>
  <c r="L1269" i="13"/>
  <c r="P1216" i="13"/>
  <c r="M1212" i="13"/>
  <c r="M1205" i="13"/>
  <c r="M1198" i="13"/>
  <c r="N1171" i="13"/>
  <c r="M1168" i="13"/>
  <c r="N1164" i="13"/>
  <c r="O1163" i="13"/>
  <c r="M1161" i="13"/>
  <c r="N1160" i="13"/>
  <c r="N1157" i="13"/>
  <c r="O1154" i="13"/>
  <c r="N1153" i="13"/>
  <c r="O1151" i="13"/>
  <c r="L1107" i="13"/>
  <c r="O1107" i="13"/>
  <c r="K1100" i="13"/>
  <c r="O1100" i="13"/>
  <c r="L1099" i="13"/>
  <c r="M1099" i="13"/>
  <c r="P1097" i="13"/>
  <c r="N1097" i="13"/>
  <c r="P1096" i="13"/>
  <c r="L1096" i="13"/>
  <c r="P1093" i="13"/>
  <c r="K1093" i="13"/>
  <c r="O1093" i="13"/>
  <c r="N1090" i="13"/>
  <c r="P1090" i="13"/>
  <c r="K1090" i="13"/>
  <c r="O1086" i="13"/>
  <c r="N1084" i="13"/>
  <c r="L1080" i="13"/>
  <c r="N1080" i="13"/>
  <c r="O1080" i="13"/>
  <c r="P1080" i="13"/>
  <c r="N1070" i="13"/>
  <c r="K1070" i="13"/>
  <c r="L1070" i="13"/>
  <c r="M1070" i="13"/>
  <c r="N1062" i="13"/>
  <c r="L1062" i="13"/>
  <c r="M1062" i="13"/>
  <c r="O1062" i="13"/>
  <c r="P1062" i="13"/>
  <c r="O1057" i="13"/>
  <c r="N927" i="13"/>
  <c r="P927" i="13"/>
  <c r="L927" i="13"/>
  <c r="K927" i="13"/>
  <c r="M927" i="13"/>
  <c r="O927" i="13"/>
  <c r="K1273" i="13"/>
  <c r="K1269" i="13"/>
  <c r="K1265" i="13"/>
  <c r="K1261" i="13"/>
  <c r="K1257" i="13"/>
  <c r="K1253" i="13"/>
  <c r="K1249" i="13"/>
  <c r="N1243" i="13"/>
  <c r="O1241" i="13"/>
  <c r="K1238" i="13"/>
  <c r="P1235" i="13"/>
  <c r="K1232" i="13"/>
  <c r="M1230" i="13"/>
  <c r="P1228" i="13"/>
  <c r="K1225" i="13"/>
  <c r="P1222" i="13"/>
  <c r="K1219" i="13"/>
  <c r="M1217" i="13"/>
  <c r="O1216" i="13"/>
  <c r="L1212" i="13"/>
  <c r="N1211" i="13"/>
  <c r="O1209" i="13"/>
  <c r="K1206" i="13"/>
  <c r="L1205" i="13"/>
  <c r="P1203" i="13"/>
  <c r="K1200" i="13"/>
  <c r="L1198" i="13"/>
  <c r="O1192" i="13"/>
  <c r="P1189" i="13"/>
  <c r="K1189" i="13"/>
  <c r="K1185" i="13"/>
  <c r="M1184" i="13"/>
  <c r="O1183" i="13"/>
  <c r="P1179" i="13"/>
  <c r="M1171" i="13"/>
  <c r="L1168" i="13"/>
  <c r="M1164" i="13"/>
  <c r="N1163" i="13"/>
  <c r="L1161" i="13"/>
  <c r="M1160" i="13"/>
  <c r="M1158" i="13"/>
  <c r="M1157" i="13"/>
  <c r="N1155" i="13"/>
  <c r="M1154" i="13"/>
  <c r="M1153" i="13"/>
  <c r="M1152" i="13"/>
  <c r="N1151" i="13"/>
  <c r="M1150" i="13"/>
  <c r="M1148" i="13"/>
  <c r="N1147" i="13"/>
  <c r="M1145" i="13"/>
  <c r="N1144" i="13"/>
  <c r="M1142" i="13"/>
  <c r="M1141" i="13"/>
  <c r="O1138" i="13"/>
  <c r="P1120" i="13"/>
  <c r="N1094" i="13"/>
  <c r="O1094" i="13"/>
  <c r="M1086" i="13"/>
  <c r="M1084" i="13"/>
  <c r="N1054" i="13"/>
  <c r="L1054" i="13"/>
  <c r="M1054" i="13"/>
  <c r="O1054" i="13"/>
  <c r="P1054" i="13"/>
  <c r="L1021" i="13"/>
  <c r="N1021" i="13"/>
  <c r="P1021" i="13"/>
  <c r="K1021" i="13"/>
  <c r="M1021" i="13"/>
  <c r="O1021" i="13"/>
  <c r="P1019" i="13"/>
  <c r="L1019" i="13"/>
  <c r="K1019" i="13"/>
  <c r="M1019" i="13"/>
  <c r="N1019" i="13"/>
  <c r="O1019" i="13"/>
  <c r="N975" i="13"/>
  <c r="P975" i="13"/>
  <c r="L975" i="13"/>
  <c r="K975" i="13"/>
  <c r="M975" i="13"/>
  <c r="O975" i="13"/>
  <c r="N1241" i="13"/>
  <c r="O1235" i="13"/>
  <c r="P1234" i="13"/>
  <c r="O1228" i="13"/>
  <c r="O1222" i="13"/>
  <c r="O1221" i="13"/>
  <c r="N1216" i="13"/>
  <c r="P1215" i="13"/>
  <c r="K1212" i="13"/>
  <c r="N1209" i="13"/>
  <c r="K1205" i="13"/>
  <c r="O1203" i="13"/>
  <c r="P1202" i="13"/>
  <c r="K1198" i="13"/>
  <c r="N1192" i="13"/>
  <c r="L1187" i="13"/>
  <c r="O1187" i="13"/>
  <c r="N1186" i="13"/>
  <c r="P1186" i="13"/>
  <c r="O1179" i="13"/>
  <c r="L1175" i="13"/>
  <c r="N1175" i="13"/>
  <c r="N1174" i="13"/>
  <c r="O1174" i="13"/>
  <c r="P1173" i="13"/>
  <c r="O1173" i="13"/>
  <c r="K1168" i="13"/>
  <c r="L1158" i="13"/>
  <c r="M1155" i="13"/>
  <c r="P1126" i="13"/>
  <c r="P1123" i="13"/>
  <c r="O1120" i="13"/>
  <c r="O1113" i="13"/>
  <c r="O1112" i="13"/>
  <c r="P1110" i="13"/>
  <c r="O1105" i="13"/>
  <c r="P1104" i="13"/>
  <c r="P1102" i="13"/>
  <c r="P1081" i="13"/>
  <c r="L1081" i="13"/>
  <c r="M1081" i="13"/>
  <c r="N1081" i="13"/>
  <c r="P1064" i="13"/>
  <c r="K1064" i="13"/>
  <c r="L1064" i="13"/>
  <c r="M1064" i="13"/>
  <c r="L1037" i="13"/>
  <c r="P1037" i="13"/>
  <c r="K1037" i="13"/>
  <c r="M1037" i="13"/>
  <c r="N1037" i="13"/>
  <c r="O1037" i="13"/>
  <c r="L989" i="13"/>
  <c r="N989" i="13"/>
  <c r="P989" i="13"/>
  <c r="K989" i="13"/>
  <c r="M989" i="13"/>
  <c r="O989" i="13"/>
  <c r="P987" i="13"/>
  <c r="L987" i="13"/>
  <c r="K987" i="13"/>
  <c r="M987" i="13"/>
  <c r="N987" i="13"/>
  <c r="O987" i="13"/>
  <c r="N951" i="13"/>
  <c r="P951" i="13"/>
  <c r="L951" i="13"/>
  <c r="K951" i="13"/>
  <c r="M951" i="13"/>
  <c r="O951" i="13"/>
  <c r="M1241" i="13"/>
  <c r="N1235" i="13"/>
  <c r="O1234" i="13"/>
  <c r="N1228" i="13"/>
  <c r="M1222" i="13"/>
  <c r="N1221" i="13"/>
  <c r="P1220" i="13"/>
  <c r="M1216" i="13"/>
  <c r="O1215" i="13"/>
  <c r="M1209" i="13"/>
  <c r="N1203" i="13"/>
  <c r="O1202" i="13"/>
  <c r="L1199" i="13"/>
  <c r="P1199" i="13"/>
  <c r="M1192" i="13"/>
  <c r="N1179" i="13"/>
  <c r="N1170" i="13"/>
  <c r="K1170" i="13"/>
  <c r="P1170" i="13"/>
  <c r="P1169" i="13"/>
  <c r="L1169" i="13"/>
  <c r="L1167" i="13"/>
  <c r="P1167" i="13"/>
  <c r="K1167" i="13"/>
  <c r="N1166" i="13"/>
  <c r="L1166" i="13"/>
  <c r="K1152" i="13"/>
  <c r="M1126" i="13"/>
  <c r="N1123" i="13"/>
  <c r="M1120" i="13"/>
  <c r="M1113" i="13"/>
  <c r="N1112" i="13"/>
  <c r="M1110" i="13"/>
  <c r="P1107" i="13"/>
  <c r="O1106" i="13"/>
  <c r="N1105" i="13"/>
  <c r="O1104" i="13"/>
  <c r="O1103" i="13"/>
  <c r="O1102" i="13"/>
  <c r="P1100" i="13"/>
  <c r="P1099" i="13"/>
  <c r="O1097" i="13"/>
  <c r="O1096" i="13"/>
  <c r="O1089" i="13"/>
  <c r="O1088" i="13"/>
  <c r="L1083" i="13"/>
  <c r="K1083" i="13"/>
  <c r="M1083" i="13"/>
  <c r="P1057" i="13"/>
  <c r="K1057" i="13"/>
  <c r="L1057" i="13"/>
  <c r="M1057" i="13"/>
  <c r="N1052" i="13"/>
  <c r="K1052" i="13"/>
  <c r="M1052" i="13"/>
  <c r="O1052" i="13"/>
  <c r="P1052" i="13"/>
  <c r="L1171" i="13"/>
  <c r="O1171" i="13"/>
  <c r="K1164" i="13"/>
  <c r="O1164" i="13"/>
  <c r="L1163" i="13"/>
  <c r="M1163" i="13"/>
  <c r="P1161" i="13"/>
  <c r="N1161" i="13"/>
  <c r="P1160" i="13"/>
  <c r="L1160" i="13"/>
  <c r="P1157" i="13"/>
  <c r="K1157" i="13"/>
  <c r="O1157" i="13"/>
  <c r="N1154" i="13"/>
  <c r="P1154" i="13"/>
  <c r="K1154" i="13"/>
  <c r="P1153" i="13"/>
  <c r="L1153" i="13"/>
  <c r="L1151" i="13"/>
  <c r="K1151" i="13"/>
  <c r="P1151" i="13"/>
  <c r="N1150" i="13"/>
  <c r="L1150" i="13"/>
  <c r="O1148" i="13"/>
  <c r="K1148" i="13"/>
  <c r="L1147" i="13"/>
  <c r="M1147" i="13"/>
  <c r="P1141" i="13"/>
  <c r="O1141" i="13"/>
  <c r="K1141" i="13"/>
  <c r="L1126" i="13"/>
  <c r="M1123" i="13"/>
  <c r="L1120" i="13"/>
  <c r="L1113" i="13"/>
  <c r="M1112" i="13"/>
  <c r="L1110" i="13"/>
  <c r="N1107" i="13"/>
  <c r="M1106" i="13"/>
  <c r="M1104" i="13"/>
  <c r="N1100" i="13"/>
  <c r="O1099" i="13"/>
  <c r="M1097" i="13"/>
  <c r="N1086" i="13"/>
  <c r="L1086" i="13"/>
  <c r="P1086" i="13"/>
  <c r="O1084" i="13"/>
  <c r="K1084" i="13"/>
  <c r="N1074" i="13"/>
  <c r="K1074" i="13"/>
  <c r="M1074" i="13"/>
  <c r="O1074" i="13"/>
  <c r="P1074" i="13"/>
  <c r="N967" i="13"/>
  <c r="P967" i="13"/>
  <c r="L967" i="13"/>
  <c r="K967" i="13"/>
  <c r="M967" i="13"/>
  <c r="O967" i="13"/>
  <c r="N943" i="13"/>
  <c r="P943" i="13"/>
  <c r="L943" i="13"/>
  <c r="K943" i="13"/>
  <c r="M943" i="13"/>
  <c r="O943" i="13"/>
  <c r="L901" i="13"/>
  <c r="M901" i="13"/>
  <c r="N901" i="13"/>
  <c r="P901" i="13"/>
  <c r="K901" i="13"/>
  <c r="O901" i="13"/>
  <c r="N1245" i="13"/>
  <c r="K1241" i="13"/>
  <c r="O1239" i="13"/>
  <c r="P1238" i="13"/>
  <c r="K1235" i="13"/>
  <c r="L1234" i="13"/>
  <c r="O1226" i="13"/>
  <c r="O1225" i="13"/>
  <c r="K1222" i="13"/>
  <c r="L1221" i="13"/>
  <c r="P1219" i="13"/>
  <c r="M1215" i="13"/>
  <c r="N1213" i="13"/>
  <c r="K1209" i="13"/>
  <c r="O1207" i="13"/>
  <c r="P1206" i="13"/>
  <c r="K1203" i="13"/>
  <c r="L1202" i="13"/>
  <c r="K1192" i="13"/>
  <c r="O1188" i="13"/>
  <c r="P1187" i="13"/>
  <c r="O1186" i="13"/>
  <c r="L1183" i="13"/>
  <c r="K1183" i="13"/>
  <c r="N1182" i="13"/>
  <c r="L1182" i="13"/>
  <c r="P1181" i="13"/>
  <c r="M1181" i="13"/>
  <c r="K1179" i="13"/>
  <c r="O1176" i="13"/>
  <c r="P1175" i="13"/>
  <c r="P1174" i="13"/>
  <c r="N1173" i="13"/>
  <c r="N1158" i="13"/>
  <c r="O1158" i="13"/>
  <c r="L1155" i="13"/>
  <c r="O1155" i="13"/>
  <c r="P1145" i="13"/>
  <c r="N1145" i="13"/>
  <c r="L1144" i="13"/>
  <c r="P1144" i="13"/>
  <c r="N1142" i="13"/>
  <c r="O1142" i="13"/>
  <c r="N1138" i="13"/>
  <c r="K1138" i="13"/>
  <c r="P1138" i="13"/>
  <c r="P1137" i="13"/>
  <c r="L1137" i="13"/>
  <c r="L1135" i="13"/>
  <c r="P1135" i="13"/>
  <c r="K1135" i="13"/>
  <c r="N1134" i="13"/>
  <c r="L1134" i="13"/>
  <c r="K1126" i="13"/>
  <c r="K1123" i="13"/>
  <c r="K1120" i="13"/>
  <c r="K1113" i="13"/>
  <c r="K1112" i="13"/>
  <c r="K1110" i="13"/>
  <c r="M1107" i="13"/>
  <c r="L1106" i="13"/>
  <c r="K1105" i="13"/>
  <c r="L1104" i="13"/>
  <c r="M1103" i="13"/>
  <c r="K1102" i="13"/>
  <c r="M1100" i="13"/>
  <c r="N1099" i="13"/>
  <c r="L1097" i="13"/>
  <c r="M1096" i="13"/>
  <c r="M1094" i="13"/>
  <c r="M1093" i="13"/>
  <c r="M1090" i="13"/>
  <c r="M1089" i="13"/>
  <c r="K1088" i="13"/>
  <c r="L1087" i="13"/>
  <c r="K1087" i="13"/>
  <c r="O1087" i="13"/>
  <c r="P1087" i="13"/>
  <c r="M1080" i="13"/>
  <c r="K1075" i="13"/>
  <c r="P1070" i="13"/>
  <c r="P1061" i="13"/>
  <c r="K1061" i="13"/>
  <c r="M1061" i="13"/>
  <c r="N1061" i="13"/>
  <c r="O1061" i="13"/>
  <c r="N1020" i="13"/>
  <c r="P1020" i="13"/>
  <c r="K1020" i="13"/>
  <c r="L1020" i="13"/>
  <c r="M1020" i="13"/>
  <c r="O1020" i="13"/>
  <c r="L1018" i="13"/>
  <c r="N1018" i="13"/>
  <c r="K1018" i="13"/>
  <c r="M1018" i="13"/>
  <c r="O1018" i="13"/>
  <c r="P1018" i="13"/>
  <c r="P910" i="13"/>
  <c r="K910" i="13"/>
  <c r="L910" i="13"/>
  <c r="N910" i="13"/>
  <c r="M910" i="13"/>
  <c r="O910" i="13"/>
  <c r="P1051" i="13"/>
  <c r="L1051" i="13"/>
  <c r="O1042" i="13"/>
  <c r="O1041" i="13"/>
  <c r="P1035" i="13"/>
  <c r="L1035" i="13"/>
  <c r="L1025" i="13"/>
  <c r="N1025" i="13"/>
  <c r="P1025" i="13"/>
  <c r="N1024" i="13"/>
  <c r="P1024" i="13"/>
  <c r="P1023" i="13"/>
  <c r="L1023" i="13"/>
  <c r="L1022" i="13"/>
  <c r="N1022" i="13"/>
  <c r="O1012" i="13"/>
  <c r="O1011" i="13"/>
  <c r="P1010" i="13"/>
  <c r="L993" i="13"/>
  <c r="N993" i="13"/>
  <c r="P993" i="13"/>
  <c r="N992" i="13"/>
  <c r="P992" i="13"/>
  <c r="P991" i="13"/>
  <c r="L991" i="13"/>
  <c r="L990" i="13"/>
  <c r="N990" i="13"/>
  <c r="L976" i="13"/>
  <c r="N976" i="13"/>
  <c r="P976" i="13"/>
  <c r="L968" i="13"/>
  <c r="N968" i="13"/>
  <c r="P968" i="13"/>
  <c r="L960" i="13"/>
  <c r="N960" i="13"/>
  <c r="P960" i="13"/>
  <c r="L952" i="13"/>
  <c r="N952" i="13"/>
  <c r="P952" i="13"/>
  <c r="O948" i="13"/>
  <c r="L944" i="13"/>
  <c r="N944" i="13"/>
  <c r="P944" i="13"/>
  <c r="O940" i="13"/>
  <c r="L936" i="13"/>
  <c r="N936" i="13"/>
  <c r="P936" i="13"/>
  <c r="O932" i="13"/>
  <c r="L928" i="13"/>
  <c r="N928" i="13"/>
  <c r="P928" i="13"/>
  <c r="O924" i="13"/>
  <c r="L920" i="13"/>
  <c r="N920" i="13"/>
  <c r="P920" i="13"/>
  <c r="P906" i="13"/>
  <c r="K906" i="13"/>
  <c r="L906" i="13"/>
  <c r="N906" i="13"/>
  <c r="L897" i="13"/>
  <c r="M897" i="13"/>
  <c r="N897" i="13"/>
  <c r="P897" i="13"/>
  <c r="L892" i="13"/>
  <c r="N892" i="13"/>
  <c r="O892" i="13"/>
  <c r="P892" i="13"/>
  <c r="P886" i="13"/>
  <c r="K886" i="13"/>
  <c r="L886" i="13"/>
  <c r="N886" i="13"/>
  <c r="K771" i="13"/>
  <c r="L771" i="13"/>
  <c r="M771" i="13"/>
  <c r="N771" i="13"/>
  <c r="O771" i="13"/>
  <c r="P771" i="13"/>
  <c r="L1049" i="13"/>
  <c r="P1049" i="13"/>
  <c r="M1042" i="13"/>
  <c r="N1041" i="13"/>
  <c r="L1033" i="13"/>
  <c r="P1033" i="13"/>
  <c r="L1029" i="13"/>
  <c r="N1029" i="13"/>
  <c r="P1029" i="13"/>
  <c r="N1028" i="13"/>
  <c r="P1028" i="13"/>
  <c r="P1027" i="13"/>
  <c r="L1027" i="13"/>
  <c r="L1026" i="13"/>
  <c r="N1026" i="13"/>
  <c r="O1013" i="13"/>
  <c r="M1012" i="13"/>
  <c r="N1011" i="13"/>
  <c r="O1010" i="13"/>
  <c r="M1009" i="13"/>
  <c r="L1008" i="13"/>
  <c r="M1007" i="13"/>
  <c r="M1006" i="13"/>
  <c r="L997" i="13"/>
  <c r="N997" i="13"/>
  <c r="P997" i="13"/>
  <c r="N996" i="13"/>
  <c r="P996" i="13"/>
  <c r="P995" i="13"/>
  <c r="L995" i="13"/>
  <c r="L994" i="13"/>
  <c r="N994" i="13"/>
  <c r="O981" i="13"/>
  <c r="M980" i="13"/>
  <c r="L977" i="13"/>
  <c r="N977" i="13"/>
  <c r="P977" i="13"/>
  <c r="O973" i="13"/>
  <c r="M972" i="13"/>
  <c r="L969" i="13"/>
  <c r="N969" i="13"/>
  <c r="P969" i="13"/>
  <c r="O965" i="13"/>
  <c r="M964" i="13"/>
  <c r="L961" i="13"/>
  <c r="N961" i="13"/>
  <c r="P961" i="13"/>
  <c r="O957" i="13"/>
  <c r="M956" i="13"/>
  <c r="L953" i="13"/>
  <c r="N953" i="13"/>
  <c r="P953" i="13"/>
  <c r="O949" i="13"/>
  <c r="M948" i="13"/>
  <c r="L945" i="13"/>
  <c r="N945" i="13"/>
  <c r="P945" i="13"/>
  <c r="O941" i="13"/>
  <c r="M940" i="13"/>
  <c r="L937" i="13"/>
  <c r="N937" i="13"/>
  <c r="P937" i="13"/>
  <c r="O933" i="13"/>
  <c r="M932" i="13"/>
  <c r="L929" i="13"/>
  <c r="N929" i="13"/>
  <c r="P929" i="13"/>
  <c r="O925" i="13"/>
  <c r="M924" i="13"/>
  <c r="L921" i="13"/>
  <c r="N921" i="13"/>
  <c r="P921" i="13"/>
  <c r="L916" i="13"/>
  <c r="N916" i="13"/>
  <c r="O916" i="13"/>
  <c r="P916" i="13"/>
  <c r="O913" i="13"/>
  <c r="M904" i="13"/>
  <c r="P902" i="13"/>
  <c r="K902" i="13"/>
  <c r="L902" i="13"/>
  <c r="N902" i="13"/>
  <c r="O894" i="13"/>
  <c r="O889" i="13"/>
  <c r="M884" i="13"/>
  <c r="M822" i="13"/>
  <c r="N822" i="13"/>
  <c r="K822" i="13"/>
  <c r="L822" i="13"/>
  <c r="O822" i="13"/>
  <c r="P822" i="13"/>
  <c r="K1077" i="13"/>
  <c r="K1071" i="13"/>
  <c r="K1058" i="13"/>
  <c r="P1047" i="13"/>
  <c r="L1047" i="13"/>
  <c r="K1044" i="13"/>
  <c r="L1042" i="13"/>
  <c r="M1041" i="13"/>
  <c r="P1036" i="13"/>
  <c r="P1031" i="13"/>
  <c r="L1031" i="13"/>
  <c r="L1030" i="13"/>
  <c r="N1030" i="13"/>
  <c r="M1013" i="13"/>
  <c r="L1012" i="13"/>
  <c r="M1011" i="13"/>
  <c r="M1010" i="13"/>
  <c r="L1001" i="13"/>
  <c r="N1001" i="13"/>
  <c r="P1001" i="13"/>
  <c r="N1000" i="13"/>
  <c r="P1000" i="13"/>
  <c r="P999" i="13"/>
  <c r="L999" i="13"/>
  <c r="L998" i="13"/>
  <c r="N998" i="13"/>
  <c r="M981" i="13"/>
  <c r="P978" i="13"/>
  <c r="L978" i="13"/>
  <c r="N978" i="13"/>
  <c r="M973" i="13"/>
  <c r="P970" i="13"/>
  <c r="L970" i="13"/>
  <c r="N970" i="13"/>
  <c r="M965" i="13"/>
  <c r="P962" i="13"/>
  <c r="L962" i="13"/>
  <c r="N962" i="13"/>
  <c r="M957" i="13"/>
  <c r="P954" i="13"/>
  <c r="L954" i="13"/>
  <c r="N954" i="13"/>
  <c r="M949" i="13"/>
  <c r="P946" i="13"/>
  <c r="L946" i="13"/>
  <c r="N946" i="13"/>
  <c r="M941" i="13"/>
  <c r="P938" i="13"/>
  <c r="L938" i="13"/>
  <c r="N938" i="13"/>
  <c r="M933" i="13"/>
  <c r="P930" i="13"/>
  <c r="L930" i="13"/>
  <c r="N930" i="13"/>
  <c r="M925" i="13"/>
  <c r="P922" i="13"/>
  <c r="L922" i="13"/>
  <c r="N922" i="13"/>
  <c r="O918" i="13"/>
  <c r="L912" i="13"/>
  <c r="N912" i="13"/>
  <c r="O912" i="13"/>
  <c r="P912" i="13"/>
  <c r="O909" i="13"/>
  <c r="M900" i="13"/>
  <c r="P898" i="13"/>
  <c r="K898" i="13"/>
  <c r="L898" i="13"/>
  <c r="N898" i="13"/>
  <c r="L893" i="13"/>
  <c r="M893" i="13"/>
  <c r="N893" i="13"/>
  <c r="P893" i="13"/>
  <c r="L888" i="13"/>
  <c r="N888" i="13"/>
  <c r="O888" i="13"/>
  <c r="P888" i="13"/>
  <c r="P882" i="13"/>
  <c r="K882" i="13"/>
  <c r="L882" i="13"/>
  <c r="N882" i="13"/>
  <c r="O878" i="13"/>
  <c r="P878" i="13"/>
  <c r="K878" i="13"/>
  <c r="L878" i="13"/>
  <c r="N878" i="13"/>
  <c r="O874" i="13"/>
  <c r="P874" i="13"/>
  <c r="K874" i="13"/>
  <c r="L874" i="13"/>
  <c r="N874" i="13"/>
  <c r="O870" i="13"/>
  <c r="P870" i="13"/>
  <c r="K870" i="13"/>
  <c r="L870" i="13"/>
  <c r="N870" i="13"/>
  <c r="O797" i="13"/>
  <c r="P797" i="13"/>
  <c r="K797" i="13"/>
  <c r="L797" i="13"/>
  <c r="M797" i="13"/>
  <c r="N797" i="13"/>
  <c r="O1073" i="13"/>
  <c r="P1067" i="13"/>
  <c r="O1051" i="13"/>
  <c r="P1050" i="13"/>
  <c r="L1045" i="13"/>
  <c r="P1045" i="13"/>
  <c r="K1042" i="13"/>
  <c r="O1036" i="13"/>
  <c r="O1035" i="13"/>
  <c r="P1034" i="13"/>
  <c r="O1024" i="13"/>
  <c r="O1023" i="13"/>
  <c r="P1022" i="13"/>
  <c r="L1005" i="13"/>
  <c r="N1005" i="13"/>
  <c r="P1005" i="13"/>
  <c r="N1004" i="13"/>
  <c r="P1004" i="13"/>
  <c r="P1003" i="13"/>
  <c r="L1003" i="13"/>
  <c r="L1002" i="13"/>
  <c r="N1002" i="13"/>
  <c r="O992" i="13"/>
  <c r="O991" i="13"/>
  <c r="P990" i="13"/>
  <c r="N979" i="13"/>
  <c r="P979" i="13"/>
  <c r="L979" i="13"/>
  <c r="N971" i="13"/>
  <c r="P971" i="13"/>
  <c r="L971" i="13"/>
  <c r="N963" i="13"/>
  <c r="P963" i="13"/>
  <c r="L963" i="13"/>
  <c r="N955" i="13"/>
  <c r="P955" i="13"/>
  <c r="L955" i="13"/>
  <c r="N947" i="13"/>
  <c r="P947" i="13"/>
  <c r="L947" i="13"/>
  <c r="N939" i="13"/>
  <c r="P939" i="13"/>
  <c r="L939" i="13"/>
  <c r="N931" i="13"/>
  <c r="P931" i="13"/>
  <c r="L931" i="13"/>
  <c r="N923" i="13"/>
  <c r="P923" i="13"/>
  <c r="L923" i="13"/>
  <c r="L917" i="13"/>
  <c r="M917" i="13"/>
  <c r="N917" i="13"/>
  <c r="P917" i="13"/>
  <c r="L908" i="13"/>
  <c r="N908" i="13"/>
  <c r="O908" i="13"/>
  <c r="P908" i="13"/>
  <c r="K864" i="13"/>
  <c r="L864" i="13"/>
  <c r="M864" i="13"/>
  <c r="N864" i="13"/>
  <c r="O864" i="13"/>
  <c r="P864" i="13"/>
  <c r="K860" i="13"/>
  <c r="L860" i="13"/>
  <c r="M860" i="13"/>
  <c r="N860" i="13"/>
  <c r="O860" i="13"/>
  <c r="P860" i="13"/>
  <c r="N842" i="13"/>
  <c r="K842" i="13"/>
  <c r="L842" i="13"/>
  <c r="M842" i="13"/>
  <c r="O842" i="13"/>
  <c r="P842" i="13"/>
  <c r="N1073" i="13"/>
  <c r="O1067" i="13"/>
  <c r="N1051" i="13"/>
  <c r="O1050" i="13"/>
  <c r="O1049" i="13"/>
  <c r="P1043" i="13"/>
  <c r="L1043" i="13"/>
  <c r="M1036" i="13"/>
  <c r="N1035" i="13"/>
  <c r="O1034" i="13"/>
  <c r="O1033" i="13"/>
  <c r="O1025" i="13"/>
  <c r="M1024" i="13"/>
  <c r="N1023" i="13"/>
  <c r="O1022" i="13"/>
  <c r="L1009" i="13"/>
  <c r="N1009" i="13"/>
  <c r="P1009" i="13"/>
  <c r="N1008" i="13"/>
  <c r="P1008" i="13"/>
  <c r="P1007" i="13"/>
  <c r="L1007" i="13"/>
  <c r="L1006" i="13"/>
  <c r="N1006" i="13"/>
  <c r="O993" i="13"/>
  <c r="M992" i="13"/>
  <c r="N991" i="13"/>
  <c r="O990" i="13"/>
  <c r="L980" i="13"/>
  <c r="N980" i="13"/>
  <c r="P980" i="13"/>
  <c r="O976" i="13"/>
  <c r="L972" i="13"/>
  <c r="N972" i="13"/>
  <c r="P972" i="13"/>
  <c r="O968" i="13"/>
  <c r="L964" i="13"/>
  <c r="N964" i="13"/>
  <c r="P964" i="13"/>
  <c r="O960" i="13"/>
  <c r="L956" i="13"/>
  <c r="N956" i="13"/>
  <c r="P956" i="13"/>
  <c r="O952" i="13"/>
  <c r="L948" i="13"/>
  <c r="N948" i="13"/>
  <c r="P948" i="13"/>
  <c r="O944" i="13"/>
  <c r="L940" i="13"/>
  <c r="N940" i="13"/>
  <c r="P940" i="13"/>
  <c r="O936" i="13"/>
  <c r="L932" i="13"/>
  <c r="N932" i="13"/>
  <c r="P932" i="13"/>
  <c r="O928" i="13"/>
  <c r="L924" i="13"/>
  <c r="N924" i="13"/>
  <c r="P924" i="13"/>
  <c r="O920" i="13"/>
  <c r="L913" i="13"/>
  <c r="M913" i="13"/>
  <c r="N913" i="13"/>
  <c r="P913" i="13"/>
  <c r="L904" i="13"/>
  <c r="N904" i="13"/>
  <c r="O904" i="13"/>
  <c r="P904" i="13"/>
  <c r="P894" i="13"/>
  <c r="K894" i="13"/>
  <c r="L894" i="13"/>
  <c r="N894" i="13"/>
  <c r="L889" i="13"/>
  <c r="M889" i="13"/>
  <c r="N889" i="13"/>
  <c r="P889" i="13"/>
  <c r="L884" i="13"/>
  <c r="N884" i="13"/>
  <c r="O884" i="13"/>
  <c r="P884" i="13"/>
  <c r="K868" i="13"/>
  <c r="L868" i="13"/>
  <c r="M868" i="13"/>
  <c r="N868" i="13"/>
  <c r="O868" i="13"/>
  <c r="P868" i="13"/>
  <c r="L855" i="13"/>
  <c r="K855" i="13"/>
  <c r="M855" i="13"/>
  <c r="N855" i="13"/>
  <c r="O855" i="13"/>
  <c r="P855" i="13"/>
  <c r="O785" i="13"/>
  <c r="P785" i="13"/>
  <c r="K785" i="13"/>
  <c r="L785" i="13"/>
  <c r="M785" i="13"/>
  <c r="N785" i="13"/>
  <c r="L1041" i="13"/>
  <c r="P1041" i="13"/>
  <c r="L1013" i="13"/>
  <c r="N1013" i="13"/>
  <c r="P1013" i="13"/>
  <c r="N1012" i="13"/>
  <c r="P1012" i="13"/>
  <c r="P1011" i="13"/>
  <c r="L1011" i="13"/>
  <c r="L1010" i="13"/>
  <c r="N1010" i="13"/>
  <c r="L981" i="13"/>
  <c r="N981" i="13"/>
  <c r="P981" i="13"/>
  <c r="L973" i="13"/>
  <c r="N973" i="13"/>
  <c r="P973" i="13"/>
  <c r="L965" i="13"/>
  <c r="N965" i="13"/>
  <c r="P965" i="13"/>
  <c r="L957" i="13"/>
  <c r="N957" i="13"/>
  <c r="P957" i="13"/>
  <c r="L949" i="13"/>
  <c r="N949" i="13"/>
  <c r="P949" i="13"/>
  <c r="L941" i="13"/>
  <c r="N941" i="13"/>
  <c r="P941" i="13"/>
  <c r="L933" i="13"/>
  <c r="N933" i="13"/>
  <c r="P933" i="13"/>
  <c r="L925" i="13"/>
  <c r="N925" i="13"/>
  <c r="P925" i="13"/>
  <c r="P918" i="13"/>
  <c r="K918" i="13"/>
  <c r="L918" i="13"/>
  <c r="N918" i="13"/>
  <c r="L909" i="13"/>
  <c r="M909" i="13"/>
  <c r="N909" i="13"/>
  <c r="P909" i="13"/>
  <c r="L900" i="13"/>
  <c r="N900" i="13"/>
  <c r="O900" i="13"/>
  <c r="P900" i="13"/>
  <c r="K880" i="13"/>
  <c r="L880" i="13"/>
  <c r="N880" i="13"/>
  <c r="O880" i="13"/>
  <c r="P880" i="13"/>
  <c r="K876" i="13"/>
  <c r="L876" i="13"/>
  <c r="N876" i="13"/>
  <c r="O876" i="13"/>
  <c r="P876" i="13"/>
  <c r="K872" i="13"/>
  <c r="L872" i="13"/>
  <c r="N872" i="13"/>
  <c r="O872" i="13"/>
  <c r="P872" i="13"/>
  <c r="K823" i="13"/>
  <c r="L823" i="13"/>
  <c r="M823" i="13"/>
  <c r="N823" i="13"/>
  <c r="O823" i="13"/>
  <c r="P823" i="13"/>
  <c r="O821" i="13"/>
  <c r="P821" i="13"/>
  <c r="K821" i="13"/>
  <c r="L821" i="13"/>
  <c r="M821" i="13"/>
  <c r="N821" i="13"/>
  <c r="M1162" i="13"/>
  <c r="M1149" i="13"/>
  <c r="N1143" i="13"/>
  <c r="M1130" i="13"/>
  <c r="M1117" i="13"/>
  <c r="N1111" i="13"/>
  <c r="M1098" i="13"/>
  <c r="O1091" i="13"/>
  <c r="M1085" i="13"/>
  <c r="N1079" i="13"/>
  <c r="O1078" i="13"/>
  <c r="O1077" i="13"/>
  <c r="L1073" i="13"/>
  <c r="P1071" i="13"/>
  <c r="M1067" i="13"/>
  <c r="M1066" i="13"/>
  <c r="N1065" i="13"/>
  <c r="O1059" i="13"/>
  <c r="P1058" i="13"/>
  <c r="P1055" i="13"/>
  <c r="L1055" i="13"/>
  <c r="K1051" i="13"/>
  <c r="L1050" i="13"/>
  <c r="M1049" i="13"/>
  <c r="M1048" i="13"/>
  <c r="N1047" i="13"/>
  <c r="O1046" i="13"/>
  <c r="O1045" i="13"/>
  <c r="P1044" i="13"/>
  <c r="P1039" i="13"/>
  <c r="L1039" i="13"/>
  <c r="K1036" i="13"/>
  <c r="K1035" i="13"/>
  <c r="L1034" i="13"/>
  <c r="M1033" i="13"/>
  <c r="M1032" i="13"/>
  <c r="N1031" i="13"/>
  <c r="O1030" i="13"/>
  <c r="M1029" i="13"/>
  <c r="L1028" i="13"/>
  <c r="M1027" i="13"/>
  <c r="M1026" i="13"/>
  <c r="K1025" i="13"/>
  <c r="K1024" i="13"/>
  <c r="K1023" i="13"/>
  <c r="K1022" i="13"/>
  <c r="L1017" i="13"/>
  <c r="N1017" i="13"/>
  <c r="P1017" i="13"/>
  <c r="N1016" i="13"/>
  <c r="P1016" i="13"/>
  <c r="P1015" i="13"/>
  <c r="L1015" i="13"/>
  <c r="L1014" i="13"/>
  <c r="N1014" i="13"/>
  <c r="O1004" i="13"/>
  <c r="O1003" i="13"/>
  <c r="P1002" i="13"/>
  <c r="O1001" i="13"/>
  <c r="M1000" i="13"/>
  <c r="N999" i="13"/>
  <c r="O998" i="13"/>
  <c r="M997" i="13"/>
  <c r="L996" i="13"/>
  <c r="M995" i="13"/>
  <c r="M994" i="13"/>
  <c r="K993" i="13"/>
  <c r="K992" i="13"/>
  <c r="K991" i="13"/>
  <c r="K990" i="13"/>
  <c r="L985" i="13"/>
  <c r="N985" i="13"/>
  <c r="P985" i="13"/>
  <c r="N984" i="13"/>
  <c r="P984" i="13"/>
  <c r="P983" i="13"/>
  <c r="L983" i="13"/>
  <c r="L982" i="13"/>
  <c r="N982" i="13"/>
  <c r="O978" i="13"/>
  <c r="M977" i="13"/>
  <c r="K976" i="13"/>
  <c r="P974" i="13"/>
  <c r="L974" i="13"/>
  <c r="N974" i="13"/>
  <c r="O970" i="13"/>
  <c r="M969" i="13"/>
  <c r="K968" i="13"/>
  <c r="P966" i="13"/>
  <c r="L966" i="13"/>
  <c r="N966" i="13"/>
  <c r="O962" i="13"/>
  <c r="M961" i="13"/>
  <c r="K960" i="13"/>
  <c r="P958" i="13"/>
  <c r="L958" i="13"/>
  <c r="N958" i="13"/>
  <c r="O954" i="13"/>
  <c r="M953" i="13"/>
  <c r="K952" i="13"/>
  <c r="P950" i="13"/>
  <c r="L950" i="13"/>
  <c r="N950" i="13"/>
  <c r="O946" i="13"/>
  <c r="M945" i="13"/>
  <c r="K944" i="13"/>
  <c r="P942" i="13"/>
  <c r="L942" i="13"/>
  <c r="N942" i="13"/>
  <c r="O938" i="13"/>
  <c r="M937" i="13"/>
  <c r="K936" i="13"/>
  <c r="P934" i="13"/>
  <c r="L934" i="13"/>
  <c r="N934" i="13"/>
  <c r="O930" i="13"/>
  <c r="M929" i="13"/>
  <c r="K928" i="13"/>
  <c r="P926" i="13"/>
  <c r="L926" i="13"/>
  <c r="N926" i="13"/>
  <c r="O922" i="13"/>
  <c r="M921" i="13"/>
  <c r="K920" i="13"/>
  <c r="M916" i="13"/>
  <c r="P914" i="13"/>
  <c r="K914" i="13"/>
  <c r="L914" i="13"/>
  <c r="N914" i="13"/>
  <c r="M906" i="13"/>
  <c r="L905" i="13"/>
  <c r="M905" i="13"/>
  <c r="N905" i="13"/>
  <c r="P905" i="13"/>
  <c r="O902" i="13"/>
  <c r="K897" i="13"/>
  <c r="L896" i="13"/>
  <c r="N896" i="13"/>
  <c r="O896" i="13"/>
  <c r="P896" i="13"/>
  <c r="K892" i="13"/>
  <c r="P890" i="13"/>
  <c r="K890" i="13"/>
  <c r="L890" i="13"/>
  <c r="N890" i="13"/>
  <c r="M886" i="13"/>
  <c r="L885" i="13"/>
  <c r="M885" i="13"/>
  <c r="N885" i="13"/>
  <c r="P885" i="13"/>
  <c r="L919" i="13"/>
  <c r="L915" i="13"/>
  <c r="L911" i="13"/>
  <c r="L907" i="13"/>
  <c r="L903" i="13"/>
  <c r="L899" i="13"/>
  <c r="L895" i="13"/>
  <c r="L891" i="13"/>
  <c r="L887" i="13"/>
  <c r="L883" i="13"/>
  <c r="P881" i="13"/>
  <c r="L879" i="13"/>
  <c r="P877" i="13"/>
  <c r="L875" i="13"/>
  <c r="P873" i="13"/>
  <c r="L871" i="13"/>
  <c r="P869" i="13"/>
  <c r="L867" i="13"/>
  <c r="N866" i="13"/>
  <c r="P865" i="13"/>
  <c r="N862" i="13"/>
  <c r="P861" i="13"/>
  <c r="N858" i="13"/>
  <c r="O857" i="13"/>
  <c r="K854" i="13"/>
  <c r="L853" i="13"/>
  <c r="N852" i="13"/>
  <c r="P851" i="13"/>
  <c r="K848" i="13"/>
  <c r="M847" i="13"/>
  <c r="M846" i="13"/>
  <c r="N845" i="13"/>
  <c r="P844" i="13"/>
  <c r="K841" i="13"/>
  <c r="M840" i="13"/>
  <c r="O839" i="13"/>
  <c r="P838" i="13"/>
  <c r="K835" i="13"/>
  <c r="L834" i="13"/>
  <c r="P831" i="13"/>
  <c r="P830" i="13"/>
  <c r="N829" i="13"/>
  <c r="P815" i="13"/>
  <c r="P814" i="13"/>
  <c r="N813" i="13"/>
  <c r="K795" i="13"/>
  <c r="L795" i="13"/>
  <c r="N795" i="13"/>
  <c r="O795" i="13"/>
  <c r="P795" i="13"/>
  <c r="K783" i="13"/>
  <c r="L783" i="13"/>
  <c r="N783" i="13"/>
  <c r="O783" i="13"/>
  <c r="P783" i="13"/>
  <c r="N643" i="13"/>
  <c r="O643" i="13"/>
  <c r="K643" i="13"/>
  <c r="L643" i="13"/>
  <c r="M643" i="13"/>
  <c r="P643" i="13"/>
  <c r="N881" i="13"/>
  <c r="N877" i="13"/>
  <c r="N873" i="13"/>
  <c r="N869" i="13"/>
  <c r="L866" i="13"/>
  <c r="N865" i="13"/>
  <c r="L862" i="13"/>
  <c r="N861" i="13"/>
  <c r="L858" i="13"/>
  <c r="M857" i="13"/>
  <c r="L852" i="13"/>
  <c r="N851" i="13"/>
  <c r="O850" i="13"/>
  <c r="K846" i="13"/>
  <c r="L845" i="13"/>
  <c r="N844" i="13"/>
  <c r="M839" i="13"/>
  <c r="M838" i="13"/>
  <c r="N837" i="13"/>
  <c r="N831" i="13"/>
  <c r="L830" i="13"/>
  <c r="L829" i="13"/>
  <c r="P827" i="13"/>
  <c r="P826" i="13"/>
  <c r="N825" i="13"/>
  <c r="N815" i="13"/>
  <c r="L814" i="13"/>
  <c r="L813" i="13"/>
  <c r="P811" i="13"/>
  <c r="N809" i="13"/>
  <c r="N805" i="13"/>
  <c r="K787" i="13"/>
  <c r="L787" i="13"/>
  <c r="N787" i="13"/>
  <c r="O787" i="13"/>
  <c r="P787" i="13"/>
  <c r="N777" i="13"/>
  <c r="N719" i="13"/>
  <c r="O719" i="13"/>
  <c r="P719" i="13"/>
  <c r="K719" i="13"/>
  <c r="L719" i="13"/>
  <c r="M719" i="13"/>
  <c r="M881" i="13"/>
  <c r="M877" i="13"/>
  <c r="M873" i="13"/>
  <c r="M869" i="13"/>
  <c r="K866" i="13"/>
  <c r="M865" i="13"/>
  <c r="K862" i="13"/>
  <c r="M861" i="13"/>
  <c r="K858" i="13"/>
  <c r="L857" i="13"/>
  <c r="K852" i="13"/>
  <c r="M851" i="13"/>
  <c r="M850" i="13"/>
  <c r="K845" i="13"/>
  <c r="M844" i="13"/>
  <c r="K839" i="13"/>
  <c r="L838" i="13"/>
  <c r="M837" i="13"/>
  <c r="O833" i="13"/>
  <c r="P833" i="13"/>
  <c r="O827" i="13"/>
  <c r="O826" i="13"/>
  <c r="M825" i="13"/>
  <c r="K819" i="13"/>
  <c r="L819" i="13"/>
  <c r="M818" i="13"/>
  <c r="N818" i="13"/>
  <c r="O817" i="13"/>
  <c r="P817" i="13"/>
  <c r="O811" i="13"/>
  <c r="M809" i="13"/>
  <c r="M805" i="13"/>
  <c r="N803" i="13"/>
  <c r="K799" i="13"/>
  <c r="L799" i="13"/>
  <c r="N799" i="13"/>
  <c r="O799" i="13"/>
  <c r="P799" i="13"/>
  <c r="N793" i="13"/>
  <c r="O789" i="13"/>
  <c r="P789" i="13"/>
  <c r="K789" i="13"/>
  <c r="L789" i="13"/>
  <c r="O773" i="13"/>
  <c r="P773" i="13"/>
  <c r="K773" i="13"/>
  <c r="L773" i="13"/>
  <c r="P919" i="13"/>
  <c r="P915" i="13"/>
  <c r="P911" i="13"/>
  <c r="P907" i="13"/>
  <c r="P903" i="13"/>
  <c r="P899" i="13"/>
  <c r="K857" i="13"/>
  <c r="P854" i="13"/>
  <c r="K851" i="13"/>
  <c r="L850" i="13"/>
  <c r="K838" i="13"/>
  <c r="L837" i="13"/>
  <c r="P835" i="13"/>
  <c r="O801" i="13"/>
  <c r="P801" i="13"/>
  <c r="K801" i="13"/>
  <c r="L801" i="13"/>
  <c r="K775" i="13"/>
  <c r="L775" i="13"/>
  <c r="N775" i="13"/>
  <c r="O775" i="13"/>
  <c r="P775" i="13"/>
  <c r="K831" i="13"/>
  <c r="L831" i="13"/>
  <c r="M830" i="13"/>
  <c r="N830" i="13"/>
  <c r="O829" i="13"/>
  <c r="P829" i="13"/>
  <c r="K815" i="13"/>
  <c r="L815" i="13"/>
  <c r="M814" i="13"/>
  <c r="N814" i="13"/>
  <c r="O813" i="13"/>
  <c r="P813" i="13"/>
  <c r="K791" i="13"/>
  <c r="L791" i="13"/>
  <c r="N791" i="13"/>
  <c r="O791" i="13"/>
  <c r="P791" i="13"/>
  <c r="O777" i="13"/>
  <c r="P777" i="13"/>
  <c r="K777" i="13"/>
  <c r="L777" i="13"/>
  <c r="N735" i="13"/>
  <c r="K735" i="13"/>
  <c r="L735" i="13"/>
  <c r="P735" i="13"/>
  <c r="M735" i="13"/>
  <c r="O735" i="13"/>
  <c r="M701" i="13"/>
  <c r="N701" i="13"/>
  <c r="O701" i="13"/>
  <c r="K701" i="13"/>
  <c r="L701" i="13"/>
  <c r="P701" i="13"/>
  <c r="P866" i="13"/>
  <c r="P862" i="13"/>
  <c r="P858" i="13"/>
  <c r="P852" i="13"/>
  <c r="O809" i="13"/>
  <c r="P809" i="13"/>
  <c r="K809" i="13"/>
  <c r="O805" i="13"/>
  <c r="P805" i="13"/>
  <c r="K805" i="13"/>
  <c r="K803" i="13"/>
  <c r="L803" i="13"/>
  <c r="O803" i="13"/>
  <c r="P803" i="13"/>
  <c r="O793" i="13"/>
  <c r="P793" i="13"/>
  <c r="K793" i="13"/>
  <c r="L793" i="13"/>
  <c r="K779" i="13"/>
  <c r="L779" i="13"/>
  <c r="N779" i="13"/>
  <c r="O779" i="13"/>
  <c r="P779" i="13"/>
  <c r="K767" i="13"/>
  <c r="L767" i="13"/>
  <c r="M767" i="13"/>
  <c r="N767" i="13"/>
  <c r="O767" i="13"/>
  <c r="P767" i="13"/>
  <c r="P755" i="13"/>
  <c r="K755" i="13"/>
  <c r="L755" i="13"/>
  <c r="M755" i="13"/>
  <c r="N755" i="13"/>
  <c r="O755" i="13"/>
  <c r="O845" i="13"/>
  <c r="P839" i="13"/>
  <c r="K827" i="13"/>
  <c r="L827" i="13"/>
  <c r="M826" i="13"/>
  <c r="N826" i="13"/>
  <c r="O825" i="13"/>
  <c r="P825" i="13"/>
  <c r="K811" i="13"/>
  <c r="L811" i="13"/>
  <c r="K807" i="13"/>
  <c r="L807" i="13"/>
  <c r="O807" i="13"/>
  <c r="O781" i="13"/>
  <c r="P781" i="13"/>
  <c r="K781" i="13"/>
  <c r="L781" i="13"/>
  <c r="L745" i="13"/>
  <c r="M745" i="13"/>
  <c r="N744" i="13"/>
  <c r="O744" i="13"/>
  <c r="P738" i="13"/>
  <c r="O738" i="13"/>
  <c r="K738" i="13"/>
  <c r="P733" i="13"/>
  <c r="N713" i="13"/>
  <c r="O713" i="13"/>
  <c r="P713" i="13"/>
  <c r="K713" i="13"/>
  <c r="K709" i="13"/>
  <c r="L709" i="13"/>
  <c r="M709" i="13"/>
  <c r="P709" i="13"/>
  <c r="P702" i="13"/>
  <c r="K702" i="13"/>
  <c r="L702" i="13"/>
  <c r="M702" i="13"/>
  <c r="P694" i="13"/>
  <c r="K694" i="13"/>
  <c r="L694" i="13"/>
  <c r="M694" i="13"/>
  <c r="O694" i="13"/>
  <c r="P677" i="13"/>
  <c r="L677" i="13"/>
  <c r="K677" i="13"/>
  <c r="M677" i="13"/>
  <c r="N677" i="13"/>
  <c r="L769" i="13"/>
  <c r="L765" i="13"/>
  <c r="P763" i="13"/>
  <c r="L761" i="13"/>
  <c r="P759" i="13"/>
  <c r="N739" i="13"/>
  <c r="O739" i="13"/>
  <c r="P739" i="13"/>
  <c r="L733" i="13"/>
  <c r="L728" i="13"/>
  <c r="K728" i="13"/>
  <c r="M728" i="13"/>
  <c r="N728" i="13"/>
  <c r="N722" i="13"/>
  <c r="L720" i="13"/>
  <c r="N720" i="13"/>
  <c r="O720" i="13"/>
  <c r="P720" i="13"/>
  <c r="P715" i="13"/>
  <c r="L707" i="13"/>
  <c r="L692" i="13"/>
  <c r="N692" i="13"/>
  <c r="K692" i="13"/>
  <c r="M692" i="13"/>
  <c r="O692" i="13"/>
  <c r="P692" i="13"/>
  <c r="P690" i="13"/>
  <c r="O690" i="13"/>
  <c r="K690" i="13"/>
  <c r="L690" i="13"/>
  <c r="M690" i="13"/>
  <c r="N690" i="13"/>
  <c r="L680" i="13"/>
  <c r="M680" i="13"/>
  <c r="K680" i="13"/>
  <c r="N680" i="13"/>
  <c r="O680" i="13"/>
  <c r="P674" i="13"/>
  <c r="K674" i="13"/>
  <c r="O674" i="13"/>
  <c r="L674" i="13"/>
  <c r="M674" i="13"/>
  <c r="N674" i="13"/>
  <c r="L640" i="13"/>
  <c r="O640" i="13"/>
  <c r="K640" i="13"/>
  <c r="M640" i="13"/>
  <c r="N640" i="13"/>
  <c r="P640" i="13"/>
  <c r="K769" i="13"/>
  <c r="K765" i="13"/>
  <c r="O763" i="13"/>
  <c r="K761" i="13"/>
  <c r="O759" i="13"/>
  <c r="K757" i="13"/>
  <c r="P754" i="13"/>
  <c r="M750" i="13"/>
  <c r="P746" i="13"/>
  <c r="L732" i="13"/>
  <c r="O732" i="13"/>
  <c r="P732" i="13"/>
  <c r="K732" i="13"/>
  <c r="P706" i="13"/>
  <c r="N706" i="13"/>
  <c r="O706" i="13"/>
  <c r="K706" i="13"/>
  <c r="N703" i="13"/>
  <c r="K703" i="13"/>
  <c r="L703" i="13"/>
  <c r="P703" i="13"/>
  <c r="N671" i="13"/>
  <c r="P671" i="13"/>
  <c r="K671" i="13"/>
  <c r="L671" i="13"/>
  <c r="M671" i="13"/>
  <c r="O671" i="13"/>
  <c r="N637" i="13"/>
  <c r="K637" i="13"/>
  <c r="L637" i="13"/>
  <c r="M637" i="13"/>
  <c r="O637" i="13"/>
  <c r="P637" i="13"/>
  <c r="N763" i="13"/>
  <c r="N759" i="13"/>
  <c r="O754" i="13"/>
  <c r="O746" i="13"/>
  <c r="P745" i="13"/>
  <c r="P744" i="13"/>
  <c r="L741" i="13"/>
  <c r="M741" i="13"/>
  <c r="K729" i="13"/>
  <c r="L729" i="13"/>
  <c r="O729" i="13"/>
  <c r="P678" i="13"/>
  <c r="N678" i="13"/>
  <c r="K678" i="13"/>
  <c r="L678" i="13"/>
  <c r="M678" i="13"/>
  <c r="N611" i="13"/>
  <c r="L611" i="13"/>
  <c r="M611" i="13"/>
  <c r="O611" i="13"/>
  <c r="P611" i="13"/>
  <c r="K611" i="13"/>
  <c r="M763" i="13"/>
  <c r="M759" i="13"/>
  <c r="N754" i="13"/>
  <c r="N746" i="13"/>
  <c r="O745" i="13"/>
  <c r="M744" i="13"/>
  <c r="M733" i="13"/>
  <c r="N733" i="13"/>
  <c r="O733" i="13"/>
  <c r="P722" i="13"/>
  <c r="K722" i="13"/>
  <c r="L722" i="13"/>
  <c r="O722" i="13"/>
  <c r="N715" i="13"/>
  <c r="K715" i="13"/>
  <c r="L715" i="13"/>
  <c r="M715" i="13"/>
  <c r="N707" i="13"/>
  <c r="M707" i="13"/>
  <c r="O707" i="13"/>
  <c r="P707" i="13"/>
  <c r="K681" i="13"/>
  <c r="L681" i="13"/>
  <c r="M681" i="13"/>
  <c r="N681" i="13"/>
  <c r="P681" i="13"/>
  <c r="N669" i="13"/>
  <c r="K669" i="13"/>
  <c r="L669" i="13"/>
  <c r="M669" i="13"/>
  <c r="O669" i="13"/>
  <c r="P662" i="13"/>
  <c r="N662" i="13"/>
  <c r="K662" i="13"/>
  <c r="L662" i="13"/>
  <c r="M662" i="13"/>
  <c r="O662" i="13"/>
  <c r="N810" i="13"/>
  <c r="N806" i="13"/>
  <c r="N802" i="13"/>
  <c r="N798" i="13"/>
  <c r="N794" i="13"/>
  <c r="N790" i="13"/>
  <c r="P769" i="13"/>
  <c r="P765" i="13"/>
  <c r="L763" i="13"/>
  <c r="P761" i="13"/>
  <c r="L759" i="13"/>
  <c r="P757" i="13"/>
  <c r="M754" i="13"/>
  <c r="P752" i="13"/>
  <c r="L749" i="13"/>
  <c r="M749" i="13"/>
  <c r="N748" i="13"/>
  <c r="O748" i="13"/>
  <c r="M746" i="13"/>
  <c r="N745" i="13"/>
  <c r="L744" i="13"/>
  <c r="P742" i="13"/>
  <c r="M739" i="13"/>
  <c r="M738" i="13"/>
  <c r="P734" i="13"/>
  <c r="K734" i="13"/>
  <c r="L734" i="13"/>
  <c r="M734" i="13"/>
  <c r="P726" i="13"/>
  <c r="M726" i="13"/>
  <c r="N726" i="13"/>
  <c r="O726" i="13"/>
  <c r="M713" i="13"/>
  <c r="O709" i="13"/>
  <c r="O702" i="13"/>
  <c r="L693" i="13"/>
  <c r="K693" i="13"/>
  <c r="M693" i="13"/>
  <c r="N693" i="13"/>
  <c r="O693" i="13"/>
  <c r="N691" i="13"/>
  <c r="O691" i="13"/>
  <c r="K691" i="13"/>
  <c r="L691" i="13"/>
  <c r="M691" i="13"/>
  <c r="P691" i="13"/>
  <c r="N675" i="13"/>
  <c r="O675" i="13"/>
  <c r="K675" i="13"/>
  <c r="L675" i="13"/>
  <c r="M675" i="13"/>
  <c r="P675" i="13"/>
  <c r="N753" i="13"/>
  <c r="O752" i="13"/>
  <c r="L746" i="13"/>
  <c r="K745" i="13"/>
  <c r="K744" i="13"/>
  <c r="O742" i="13"/>
  <c r="P741" i="13"/>
  <c r="L739" i="13"/>
  <c r="L738" i="13"/>
  <c r="P728" i="13"/>
  <c r="M720" i="13"/>
  <c r="L716" i="13"/>
  <c r="K716" i="13"/>
  <c r="M716" i="13"/>
  <c r="P716" i="13"/>
  <c r="L713" i="13"/>
  <c r="N709" i="13"/>
  <c r="N702" i="13"/>
  <c r="N694" i="13"/>
  <c r="N679" i="13"/>
  <c r="M679" i="13"/>
  <c r="K679" i="13"/>
  <c r="L679" i="13"/>
  <c r="O679" i="13"/>
  <c r="O677" i="13"/>
  <c r="L672" i="13"/>
  <c r="O672" i="13"/>
  <c r="K672" i="13"/>
  <c r="M672" i="13"/>
  <c r="N672" i="13"/>
  <c r="P672" i="13"/>
  <c r="O736" i="13"/>
  <c r="O723" i="13"/>
  <c r="N717" i="13"/>
  <c r="K700" i="13"/>
  <c r="K688" i="13"/>
  <c r="L656" i="13"/>
  <c r="O656" i="13"/>
  <c r="K649" i="13"/>
  <c r="O649" i="13"/>
  <c r="L648" i="13"/>
  <c r="M648" i="13"/>
  <c r="P646" i="13"/>
  <c r="N646" i="13"/>
  <c r="P645" i="13"/>
  <c r="L645" i="13"/>
  <c r="P642" i="13"/>
  <c r="K642" i="13"/>
  <c r="O642" i="13"/>
  <c r="N639" i="13"/>
  <c r="P639" i="13"/>
  <c r="K639" i="13"/>
  <c r="P638" i="13"/>
  <c r="L638" i="13"/>
  <c r="L636" i="13"/>
  <c r="K636" i="13"/>
  <c r="P636" i="13"/>
  <c r="N619" i="13"/>
  <c r="L619" i="13"/>
  <c r="M619" i="13"/>
  <c r="L605" i="13"/>
  <c r="M605" i="13"/>
  <c r="N605" i="13"/>
  <c r="O605" i="13"/>
  <c r="K529" i="13"/>
  <c r="L529" i="13"/>
  <c r="M529" i="13"/>
  <c r="N529" i="13"/>
  <c r="O529" i="13"/>
  <c r="P529" i="13"/>
  <c r="N699" i="13"/>
  <c r="L699" i="13"/>
  <c r="P698" i="13"/>
  <c r="M698" i="13"/>
  <c r="N687" i="13"/>
  <c r="K687" i="13"/>
  <c r="P686" i="13"/>
  <c r="L686" i="13"/>
  <c r="N670" i="13"/>
  <c r="O668" i="13"/>
  <c r="O667" i="13"/>
  <c r="N665" i="13"/>
  <c r="O664" i="13"/>
  <c r="O661" i="13"/>
  <c r="P659" i="13"/>
  <c r="N658" i="13"/>
  <c r="O654" i="13"/>
  <c r="P653" i="13"/>
  <c r="P651" i="13"/>
  <c r="P606" i="13"/>
  <c r="K606" i="13"/>
  <c r="L606" i="13"/>
  <c r="M606" i="13"/>
  <c r="O740" i="13"/>
  <c r="K736" i="13"/>
  <c r="O727" i="13"/>
  <c r="K723" i="13"/>
  <c r="N721" i="13"/>
  <c r="N714" i="13"/>
  <c r="K710" i="13"/>
  <c r="O708" i="13"/>
  <c r="K704" i="13"/>
  <c r="L684" i="13"/>
  <c r="P684" i="13"/>
  <c r="M670" i="13"/>
  <c r="N668" i="13"/>
  <c r="M667" i="13"/>
  <c r="M665" i="13"/>
  <c r="N664" i="13"/>
  <c r="N661" i="13"/>
  <c r="M659" i="13"/>
  <c r="M658" i="13"/>
  <c r="P656" i="13"/>
  <c r="O655" i="13"/>
  <c r="N654" i="13"/>
  <c r="O653" i="13"/>
  <c r="O652" i="13"/>
  <c r="O651" i="13"/>
  <c r="P649" i="13"/>
  <c r="P648" i="13"/>
  <c r="O646" i="13"/>
  <c r="P633" i="13"/>
  <c r="O632" i="13"/>
  <c r="P626" i="13"/>
  <c r="O626" i="13"/>
  <c r="K626" i="13"/>
  <c r="L626" i="13"/>
  <c r="N623" i="13"/>
  <c r="K623" i="13"/>
  <c r="P623" i="13"/>
  <c r="N621" i="13"/>
  <c r="K621" i="13"/>
  <c r="P613" i="13"/>
  <c r="K613" i="13"/>
  <c r="L613" i="13"/>
  <c r="M613" i="13"/>
  <c r="L593" i="13"/>
  <c r="K593" i="13"/>
  <c r="M593" i="13"/>
  <c r="N593" i="13"/>
  <c r="O593" i="13"/>
  <c r="P593" i="13"/>
  <c r="P591" i="13"/>
  <c r="N591" i="13"/>
  <c r="K591" i="13"/>
  <c r="L591" i="13"/>
  <c r="M591" i="13"/>
  <c r="O591" i="13"/>
  <c r="M582" i="13"/>
  <c r="P582" i="13"/>
  <c r="K582" i="13"/>
  <c r="L582" i="13"/>
  <c r="N582" i="13"/>
  <c r="O582" i="13"/>
  <c r="L566" i="13"/>
  <c r="M566" i="13"/>
  <c r="P566" i="13"/>
  <c r="K566" i="13"/>
  <c r="N566" i="13"/>
  <c r="O566" i="13"/>
  <c r="N740" i="13"/>
  <c r="M727" i="13"/>
  <c r="M721" i="13"/>
  <c r="M714" i="13"/>
  <c r="N708" i="13"/>
  <c r="P700" i="13"/>
  <c r="P688" i="13"/>
  <c r="M661" i="13"/>
  <c r="L659" i="13"/>
  <c r="N656" i="13"/>
  <c r="M655" i="13"/>
  <c r="M654" i="13"/>
  <c r="M653" i="13"/>
  <c r="N652" i="13"/>
  <c r="M651" i="13"/>
  <c r="N649" i="13"/>
  <c r="O648" i="13"/>
  <c r="M646" i="13"/>
  <c r="N645" i="13"/>
  <c r="N642" i="13"/>
  <c r="O639" i="13"/>
  <c r="N638" i="13"/>
  <c r="O636" i="13"/>
  <c r="N633" i="13"/>
  <c r="L624" i="13"/>
  <c r="O624" i="13"/>
  <c r="P624" i="13"/>
  <c r="P619" i="13"/>
  <c r="L727" i="13"/>
  <c r="L714" i="13"/>
  <c r="M708" i="13"/>
  <c r="O700" i="13"/>
  <c r="P699" i="13"/>
  <c r="O698" i="13"/>
  <c r="P697" i="13"/>
  <c r="O688" i="13"/>
  <c r="P687" i="13"/>
  <c r="O686" i="13"/>
  <c r="P685" i="13"/>
  <c r="M656" i="13"/>
  <c r="L653" i="13"/>
  <c r="M649" i="13"/>
  <c r="N648" i="13"/>
  <c r="L646" i="13"/>
  <c r="M645" i="13"/>
  <c r="M642" i="13"/>
  <c r="N627" i="13"/>
  <c r="O627" i="13"/>
  <c r="K627" i="13"/>
  <c r="L604" i="13"/>
  <c r="K604" i="13"/>
  <c r="N604" i="13"/>
  <c r="O604" i="13"/>
  <c r="P604" i="13"/>
  <c r="P670" i="13"/>
  <c r="L670" i="13"/>
  <c r="L668" i="13"/>
  <c r="K668" i="13"/>
  <c r="P668" i="13"/>
  <c r="N667" i="13"/>
  <c r="L667" i="13"/>
  <c r="O665" i="13"/>
  <c r="K665" i="13"/>
  <c r="L664" i="13"/>
  <c r="M664" i="13"/>
  <c r="P658" i="13"/>
  <c r="O658" i="13"/>
  <c r="K658" i="13"/>
  <c r="L632" i="13"/>
  <c r="M632" i="13"/>
  <c r="N632" i="13"/>
  <c r="P630" i="13"/>
  <c r="N630" i="13"/>
  <c r="O630" i="13"/>
  <c r="P621" i="13"/>
  <c r="K617" i="13"/>
  <c r="M617" i="13"/>
  <c r="N617" i="13"/>
  <c r="O617" i="13"/>
  <c r="P617" i="13"/>
  <c r="P610" i="13"/>
  <c r="K610" i="13"/>
  <c r="M610" i="13"/>
  <c r="N610" i="13"/>
  <c r="O610" i="13"/>
  <c r="K605" i="13"/>
  <c r="L661" i="13"/>
  <c r="P661" i="13"/>
  <c r="N659" i="13"/>
  <c r="O659" i="13"/>
  <c r="N655" i="13"/>
  <c r="K655" i="13"/>
  <c r="P655" i="13"/>
  <c r="P654" i="13"/>
  <c r="L654" i="13"/>
  <c r="L652" i="13"/>
  <c r="P652" i="13"/>
  <c r="K652" i="13"/>
  <c r="N651" i="13"/>
  <c r="L651" i="13"/>
  <c r="O633" i="13"/>
  <c r="K633" i="13"/>
  <c r="L633" i="13"/>
  <c r="N592" i="13"/>
  <c r="L592" i="13"/>
  <c r="K592" i="13"/>
  <c r="M592" i="13"/>
  <c r="O592" i="13"/>
  <c r="P592" i="13"/>
  <c r="P583" i="13"/>
  <c r="K583" i="13"/>
  <c r="N583" i="13"/>
  <c r="L583" i="13"/>
  <c r="M583" i="13"/>
  <c r="O583" i="13"/>
  <c r="L581" i="13"/>
  <c r="O581" i="13"/>
  <c r="K581" i="13"/>
  <c r="M581" i="13"/>
  <c r="N581" i="13"/>
  <c r="P581" i="13"/>
  <c r="P587" i="13"/>
  <c r="K587" i="13"/>
  <c r="N587" i="13"/>
  <c r="M586" i="13"/>
  <c r="P586" i="13"/>
  <c r="L585" i="13"/>
  <c r="O585" i="13"/>
  <c r="L569" i="13"/>
  <c r="N569" i="13"/>
  <c r="O569" i="13"/>
  <c r="P567" i="13"/>
  <c r="K567" i="13"/>
  <c r="N567" i="13"/>
  <c r="K554" i="13"/>
  <c r="L554" i="13"/>
  <c r="M554" i="13"/>
  <c r="P554" i="13"/>
  <c r="K546" i="13"/>
  <c r="L546" i="13"/>
  <c r="M546" i="13"/>
  <c r="P546" i="13"/>
  <c r="L537" i="13"/>
  <c r="M537" i="13"/>
  <c r="N537" i="13"/>
  <c r="O537" i="13"/>
  <c r="M620" i="13"/>
  <c r="K614" i="13"/>
  <c r="K608" i="13"/>
  <c r="L607" i="13"/>
  <c r="K601" i="13"/>
  <c r="L598" i="13"/>
  <c r="N597" i="13"/>
  <c r="O596" i="13"/>
  <c r="M595" i="13"/>
  <c r="O578" i="13"/>
  <c r="M577" i="13"/>
  <c r="M575" i="13"/>
  <c r="L570" i="13"/>
  <c r="M570" i="13"/>
  <c r="P570" i="13"/>
  <c r="O562" i="13"/>
  <c r="M561" i="13"/>
  <c r="M559" i="13"/>
  <c r="O550" i="13"/>
  <c r="P629" i="13"/>
  <c r="K620" i="13"/>
  <c r="K607" i="13"/>
  <c r="K598" i="13"/>
  <c r="M597" i="13"/>
  <c r="M596" i="13"/>
  <c r="L595" i="13"/>
  <c r="O590" i="13"/>
  <c r="N578" i="13"/>
  <c r="L573" i="13"/>
  <c r="N573" i="13"/>
  <c r="O573" i="13"/>
  <c r="P571" i="13"/>
  <c r="K571" i="13"/>
  <c r="N571" i="13"/>
  <c r="N562" i="13"/>
  <c r="L557" i="13"/>
  <c r="N557" i="13"/>
  <c r="O557" i="13"/>
  <c r="L549" i="13"/>
  <c r="M549" i="13"/>
  <c r="N549" i="13"/>
  <c r="O549" i="13"/>
  <c r="O542" i="13"/>
  <c r="K538" i="13"/>
  <c r="L538" i="13"/>
  <c r="M538" i="13"/>
  <c r="P538" i="13"/>
  <c r="K516" i="13"/>
  <c r="L516" i="13"/>
  <c r="M516" i="13"/>
  <c r="N516" i="13"/>
  <c r="O516" i="13"/>
  <c r="P516" i="13"/>
  <c r="M503" i="13"/>
  <c r="K503" i="13"/>
  <c r="L503" i="13"/>
  <c r="N503" i="13"/>
  <c r="O503" i="13"/>
  <c r="P503" i="13"/>
  <c r="N600" i="13"/>
  <c r="L600" i="13"/>
  <c r="P599" i="13"/>
  <c r="N599" i="13"/>
  <c r="K597" i="13"/>
  <c r="N590" i="13"/>
  <c r="O586" i="13"/>
  <c r="P585" i="13"/>
  <c r="L574" i="13"/>
  <c r="M574" i="13"/>
  <c r="P574" i="13"/>
  <c r="L558" i="13"/>
  <c r="M558" i="13"/>
  <c r="P558" i="13"/>
  <c r="L541" i="13"/>
  <c r="M541" i="13"/>
  <c r="N541" i="13"/>
  <c r="O541" i="13"/>
  <c r="K533" i="13"/>
  <c r="L533" i="13"/>
  <c r="M533" i="13"/>
  <c r="N533" i="13"/>
  <c r="O533" i="13"/>
  <c r="P533" i="13"/>
  <c r="O484" i="13"/>
  <c r="K484" i="13"/>
  <c r="L484" i="13"/>
  <c r="M484" i="13"/>
  <c r="N484" i="13"/>
  <c r="P484" i="13"/>
  <c r="M590" i="13"/>
  <c r="O587" i="13"/>
  <c r="N586" i="13"/>
  <c r="N585" i="13"/>
  <c r="L577" i="13"/>
  <c r="N577" i="13"/>
  <c r="O577" i="13"/>
  <c r="P575" i="13"/>
  <c r="K575" i="13"/>
  <c r="N575" i="13"/>
  <c r="P569" i="13"/>
  <c r="O567" i="13"/>
  <c r="L561" i="13"/>
  <c r="N561" i="13"/>
  <c r="O561" i="13"/>
  <c r="P559" i="13"/>
  <c r="K559" i="13"/>
  <c r="N559" i="13"/>
  <c r="K550" i="13"/>
  <c r="L550" i="13"/>
  <c r="M550" i="13"/>
  <c r="P550" i="13"/>
  <c r="N596" i="13"/>
  <c r="L596" i="13"/>
  <c r="P595" i="13"/>
  <c r="N595" i="13"/>
  <c r="L590" i="13"/>
  <c r="M587" i="13"/>
  <c r="L586" i="13"/>
  <c r="M585" i="13"/>
  <c r="L578" i="13"/>
  <c r="M578" i="13"/>
  <c r="P578" i="13"/>
  <c r="M569" i="13"/>
  <c r="M567" i="13"/>
  <c r="L562" i="13"/>
  <c r="M562" i="13"/>
  <c r="P562" i="13"/>
  <c r="O554" i="13"/>
  <c r="K542" i="13"/>
  <c r="L542" i="13"/>
  <c r="M542" i="13"/>
  <c r="P542" i="13"/>
  <c r="P537" i="13"/>
  <c r="K494" i="13"/>
  <c r="O494" i="13"/>
  <c r="L494" i="13"/>
  <c r="M494" i="13"/>
  <c r="N494" i="13"/>
  <c r="P494" i="13"/>
  <c r="M666" i="13"/>
  <c r="N660" i="13"/>
  <c r="M647" i="13"/>
  <c r="L635" i="13"/>
  <c r="M634" i="13"/>
  <c r="N628" i="13"/>
  <c r="L622" i="13"/>
  <c r="P620" i="13"/>
  <c r="M616" i="13"/>
  <c r="M615" i="13"/>
  <c r="N614" i="13"/>
  <c r="O608" i="13"/>
  <c r="P607" i="13"/>
  <c r="L603" i="13"/>
  <c r="M602" i="13"/>
  <c r="O601" i="13"/>
  <c r="P600" i="13"/>
  <c r="O599" i="13"/>
  <c r="O598" i="13"/>
  <c r="K590" i="13"/>
  <c r="M589" i="13"/>
  <c r="L587" i="13"/>
  <c r="K586" i="13"/>
  <c r="K585" i="13"/>
  <c r="P579" i="13"/>
  <c r="K579" i="13"/>
  <c r="N579" i="13"/>
  <c r="P573" i="13"/>
  <c r="O571" i="13"/>
  <c r="N570" i="13"/>
  <c r="K569" i="13"/>
  <c r="L567" i="13"/>
  <c r="L565" i="13"/>
  <c r="N565" i="13"/>
  <c r="O565" i="13"/>
  <c r="P563" i="13"/>
  <c r="K563" i="13"/>
  <c r="N563" i="13"/>
  <c r="P557" i="13"/>
  <c r="N554" i="13"/>
  <c r="L553" i="13"/>
  <c r="M553" i="13"/>
  <c r="N553" i="13"/>
  <c r="O553" i="13"/>
  <c r="N546" i="13"/>
  <c r="L545" i="13"/>
  <c r="M545" i="13"/>
  <c r="N545" i="13"/>
  <c r="O545" i="13"/>
  <c r="K537" i="13"/>
  <c r="O522" i="13"/>
  <c r="K522" i="13"/>
  <c r="L522" i="13"/>
  <c r="M522" i="13"/>
  <c r="N522" i="13"/>
  <c r="P522" i="13"/>
  <c r="L588" i="13"/>
  <c r="L584" i="13"/>
  <c r="L580" i="13"/>
  <c r="N555" i="13"/>
  <c r="N551" i="13"/>
  <c r="N547" i="13"/>
  <c r="N543" i="13"/>
  <c r="N539" i="13"/>
  <c r="N535" i="13"/>
  <c r="P534" i="13"/>
  <c r="N531" i="13"/>
  <c r="P530" i="13"/>
  <c r="L528" i="13"/>
  <c r="M526" i="13"/>
  <c r="N520" i="13"/>
  <c r="O519" i="13"/>
  <c r="P518" i="13"/>
  <c r="K515" i="13"/>
  <c r="P512" i="13"/>
  <c r="N507" i="13"/>
  <c r="N506" i="13"/>
  <c r="K502" i="13"/>
  <c r="O496" i="13"/>
  <c r="K496" i="13"/>
  <c r="P478" i="13"/>
  <c r="P457" i="13"/>
  <c r="L457" i="13"/>
  <c r="M457" i="13"/>
  <c r="N457" i="13"/>
  <c r="O407" i="13"/>
  <c r="K407" i="13"/>
  <c r="L407" i="13"/>
  <c r="M407" i="13"/>
  <c r="N407" i="13"/>
  <c r="P407" i="13"/>
  <c r="P375" i="13"/>
  <c r="L375" i="13"/>
  <c r="N375" i="13"/>
  <c r="K375" i="13"/>
  <c r="M375" i="13"/>
  <c r="O375" i="13"/>
  <c r="P335" i="13"/>
  <c r="L335" i="13"/>
  <c r="N335" i="13"/>
  <c r="K335" i="13"/>
  <c r="M335" i="13"/>
  <c r="O335" i="13"/>
  <c r="N534" i="13"/>
  <c r="O524" i="13"/>
  <c r="O511" i="13"/>
  <c r="P486" i="13"/>
  <c r="K482" i="13"/>
  <c r="O482" i="13"/>
  <c r="L459" i="13"/>
  <c r="K459" i="13"/>
  <c r="M459" i="13"/>
  <c r="O459" i="13"/>
  <c r="L451" i="13"/>
  <c r="K451" i="13"/>
  <c r="M451" i="13"/>
  <c r="N451" i="13"/>
  <c r="O451" i="13"/>
  <c r="K555" i="13"/>
  <c r="K551" i="13"/>
  <c r="K547" i="13"/>
  <c r="K543" i="13"/>
  <c r="K539" i="13"/>
  <c r="M534" i="13"/>
  <c r="M530" i="13"/>
  <c r="N524" i="13"/>
  <c r="O523" i="13"/>
  <c r="K519" i="13"/>
  <c r="L518" i="13"/>
  <c r="M512" i="13"/>
  <c r="N511" i="13"/>
  <c r="N510" i="13"/>
  <c r="K506" i="13"/>
  <c r="O504" i="13"/>
  <c r="L500" i="13"/>
  <c r="P496" i="13"/>
  <c r="O492" i="13"/>
  <c r="K492" i="13"/>
  <c r="N486" i="13"/>
  <c r="M430" i="13"/>
  <c r="N430" i="13"/>
  <c r="K430" i="13"/>
  <c r="L430" i="13"/>
  <c r="O430" i="13"/>
  <c r="P430" i="13"/>
  <c r="L534" i="13"/>
  <c r="L530" i="13"/>
  <c r="P528" i="13"/>
  <c r="M524" i="13"/>
  <c r="K518" i="13"/>
  <c r="P515" i="13"/>
  <c r="L511" i="13"/>
  <c r="P502" i="13"/>
  <c r="K490" i="13"/>
  <c r="O490" i="13"/>
  <c r="M486" i="13"/>
  <c r="K478" i="13"/>
  <c r="M478" i="13"/>
  <c r="O478" i="13"/>
  <c r="N438" i="13"/>
  <c r="K438" i="13"/>
  <c r="L438" i="13"/>
  <c r="M438" i="13"/>
  <c r="O438" i="13"/>
  <c r="P438" i="13"/>
  <c r="K415" i="13"/>
  <c r="L415" i="13"/>
  <c r="M415" i="13"/>
  <c r="N415" i="13"/>
  <c r="O415" i="13"/>
  <c r="P415" i="13"/>
  <c r="O528" i="13"/>
  <c r="L524" i="13"/>
  <c r="O515" i="13"/>
  <c r="K511" i="13"/>
  <c r="L510" i="13"/>
  <c r="M504" i="13"/>
  <c r="N502" i="13"/>
  <c r="M496" i="13"/>
  <c r="P482" i="13"/>
  <c r="K474" i="13"/>
  <c r="M474" i="13"/>
  <c r="N474" i="13"/>
  <c r="O474" i="13"/>
  <c r="O457" i="13"/>
  <c r="N528" i="13"/>
  <c r="P526" i="13"/>
  <c r="P520" i="13"/>
  <c r="N515" i="13"/>
  <c r="P507" i="13"/>
  <c r="M502" i="13"/>
  <c r="K498" i="13"/>
  <c r="O498" i="13"/>
  <c r="O488" i="13"/>
  <c r="K488" i="13"/>
  <c r="N482" i="13"/>
  <c r="K457" i="13"/>
  <c r="L456" i="13"/>
  <c r="N456" i="13"/>
  <c r="O456" i="13"/>
  <c r="P456" i="13"/>
  <c r="O411" i="13"/>
  <c r="K411" i="13"/>
  <c r="L411" i="13"/>
  <c r="M411" i="13"/>
  <c r="N411" i="13"/>
  <c r="P411" i="13"/>
  <c r="M528" i="13"/>
  <c r="L515" i="13"/>
  <c r="L502" i="13"/>
  <c r="K486" i="13"/>
  <c r="O486" i="13"/>
  <c r="M482" i="13"/>
  <c r="K431" i="13"/>
  <c r="L431" i="13"/>
  <c r="M431" i="13"/>
  <c r="N431" i="13"/>
  <c r="O431" i="13"/>
  <c r="P431" i="13"/>
  <c r="O429" i="13"/>
  <c r="P429" i="13"/>
  <c r="K429" i="13"/>
  <c r="L429" i="13"/>
  <c r="M429" i="13"/>
  <c r="N429" i="13"/>
  <c r="L454" i="13"/>
  <c r="L448" i="13"/>
  <c r="O446" i="13"/>
  <c r="L441" i="13"/>
  <c r="N440" i="13"/>
  <c r="M435" i="13"/>
  <c r="N433" i="13"/>
  <c r="P419" i="13"/>
  <c r="P418" i="13"/>
  <c r="N417" i="13"/>
  <c r="L397" i="13"/>
  <c r="K397" i="13"/>
  <c r="M397" i="13"/>
  <c r="P397" i="13"/>
  <c r="L393" i="13"/>
  <c r="P393" i="13"/>
  <c r="K393" i="13"/>
  <c r="O393" i="13"/>
  <c r="P327" i="13"/>
  <c r="L327" i="13"/>
  <c r="N327" i="13"/>
  <c r="K327" i="13"/>
  <c r="M327" i="13"/>
  <c r="O327" i="13"/>
  <c r="M446" i="13"/>
  <c r="M440" i="13"/>
  <c r="K427" i="13"/>
  <c r="L427" i="13"/>
  <c r="M426" i="13"/>
  <c r="N426" i="13"/>
  <c r="O425" i="13"/>
  <c r="P425" i="13"/>
  <c r="O419" i="13"/>
  <c r="O418" i="13"/>
  <c r="P379" i="13"/>
  <c r="L379" i="13"/>
  <c r="N379" i="13"/>
  <c r="K379" i="13"/>
  <c r="M379" i="13"/>
  <c r="P367" i="13"/>
  <c r="L367" i="13"/>
  <c r="N367" i="13"/>
  <c r="K367" i="13"/>
  <c r="M367" i="13"/>
  <c r="O367" i="13"/>
  <c r="P319" i="13"/>
  <c r="L319" i="13"/>
  <c r="N319" i="13"/>
  <c r="K319" i="13"/>
  <c r="M319" i="13"/>
  <c r="O319" i="13"/>
  <c r="K480" i="13"/>
  <c r="K476" i="13"/>
  <c r="K472" i="13"/>
  <c r="O470" i="13"/>
  <c r="K468" i="13"/>
  <c r="O466" i="13"/>
  <c r="K464" i="13"/>
  <c r="O462" i="13"/>
  <c r="K460" i="13"/>
  <c r="M458" i="13"/>
  <c r="K453" i="13"/>
  <c r="M452" i="13"/>
  <c r="P450" i="13"/>
  <c r="K447" i="13"/>
  <c r="L446" i="13"/>
  <c r="M445" i="13"/>
  <c r="O444" i="13"/>
  <c r="L440" i="13"/>
  <c r="N439" i="13"/>
  <c r="O437" i="13"/>
  <c r="K434" i="13"/>
  <c r="L433" i="13"/>
  <c r="N419" i="13"/>
  <c r="L418" i="13"/>
  <c r="L417" i="13"/>
  <c r="N413" i="13"/>
  <c r="N409" i="13"/>
  <c r="O406" i="13"/>
  <c r="M405" i="13"/>
  <c r="N404" i="13"/>
  <c r="P401" i="13"/>
  <c r="P398" i="13"/>
  <c r="K398" i="13"/>
  <c r="N398" i="13"/>
  <c r="O398" i="13"/>
  <c r="N394" i="13"/>
  <c r="P394" i="13"/>
  <c r="K394" i="13"/>
  <c r="O394" i="13"/>
  <c r="N470" i="13"/>
  <c r="O449" i="13"/>
  <c r="K446" i="13"/>
  <c r="P443" i="13"/>
  <c r="K440" i="13"/>
  <c r="K433" i="13"/>
  <c r="K423" i="13"/>
  <c r="L423" i="13"/>
  <c r="M422" i="13"/>
  <c r="N422" i="13"/>
  <c r="O421" i="13"/>
  <c r="P421" i="13"/>
  <c r="M413" i="13"/>
  <c r="M409" i="13"/>
  <c r="N406" i="13"/>
  <c r="P359" i="13"/>
  <c r="L359" i="13"/>
  <c r="N359" i="13"/>
  <c r="K359" i="13"/>
  <c r="M359" i="13"/>
  <c r="O359" i="13"/>
  <c r="M470" i="13"/>
  <c r="M466" i="13"/>
  <c r="M462" i="13"/>
  <c r="M450" i="13"/>
  <c r="N449" i="13"/>
  <c r="P448" i="13"/>
  <c r="K445" i="13"/>
  <c r="M444" i="13"/>
  <c r="O443" i="13"/>
  <c r="K439" i="13"/>
  <c r="M437" i="13"/>
  <c r="P427" i="13"/>
  <c r="P426" i="13"/>
  <c r="N425" i="13"/>
  <c r="P395" i="13"/>
  <c r="L395" i="13"/>
  <c r="N395" i="13"/>
  <c r="K395" i="13"/>
  <c r="M449" i="13"/>
  <c r="N443" i="13"/>
  <c r="O427" i="13"/>
  <c r="O426" i="13"/>
  <c r="K419" i="13"/>
  <c r="L419" i="13"/>
  <c r="M418" i="13"/>
  <c r="N418" i="13"/>
  <c r="O417" i="13"/>
  <c r="P417" i="13"/>
  <c r="L404" i="13"/>
  <c r="K404" i="13"/>
  <c r="P404" i="13"/>
  <c r="O397" i="13"/>
  <c r="N393" i="13"/>
  <c r="P351" i="13"/>
  <c r="L351" i="13"/>
  <c r="N351" i="13"/>
  <c r="K351" i="13"/>
  <c r="M351" i="13"/>
  <c r="O351" i="13"/>
  <c r="O454" i="13"/>
  <c r="O453" i="13"/>
  <c r="K450" i="13"/>
  <c r="L449" i="13"/>
  <c r="M443" i="13"/>
  <c r="N441" i="13"/>
  <c r="K437" i="13"/>
  <c r="O435" i="13"/>
  <c r="N427" i="13"/>
  <c r="L426" i="13"/>
  <c r="L425" i="13"/>
  <c r="P423" i="13"/>
  <c r="P422" i="13"/>
  <c r="K413" i="13"/>
  <c r="O413" i="13"/>
  <c r="P413" i="13"/>
  <c r="K409" i="13"/>
  <c r="O409" i="13"/>
  <c r="P409" i="13"/>
  <c r="P406" i="13"/>
  <c r="L406" i="13"/>
  <c r="M406" i="13"/>
  <c r="N405" i="13"/>
  <c r="O405" i="13"/>
  <c r="O401" i="13"/>
  <c r="K401" i="13"/>
  <c r="L401" i="13"/>
  <c r="N397" i="13"/>
  <c r="M393" i="13"/>
  <c r="N392" i="13"/>
  <c r="L392" i="13"/>
  <c r="K392" i="13"/>
  <c r="P392" i="13"/>
  <c r="P343" i="13"/>
  <c r="L343" i="13"/>
  <c r="N343" i="13"/>
  <c r="K343" i="13"/>
  <c r="M343" i="13"/>
  <c r="O343" i="13"/>
  <c r="N396" i="13"/>
  <c r="L396" i="13"/>
  <c r="N376" i="13"/>
  <c r="P376" i="13"/>
  <c r="L376" i="13"/>
  <c r="M371" i="13"/>
  <c r="N368" i="13"/>
  <c r="P368" i="13"/>
  <c r="L368" i="13"/>
  <c r="M363" i="13"/>
  <c r="N360" i="13"/>
  <c r="P360" i="13"/>
  <c r="L360" i="13"/>
  <c r="M355" i="13"/>
  <c r="N352" i="13"/>
  <c r="P352" i="13"/>
  <c r="L352" i="13"/>
  <c r="M347" i="13"/>
  <c r="N344" i="13"/>
  <c r="P344" i="13"/>
  <c r="L344" i="13"/>
  <c r="M339" i="13"/>
  <c r="N336" i="13"/>
  <c r="P336" i="13"/>
  <c r="L336" i="13"/>
  <c r="M331" i="13"/>
  <c r="N328" i="13"/>
  <c r="P328" i="13"/>
  <c r="L328" i="13"/>
  <c r="M323" i="13"/>
  <c r="N320" i="13"/>
  <c r="P320" i="13"/>
  <c r="L320" i="13"/>
  <c r="M315" i="13"/>
  <c r="K313" i="13"/>
  <c r="L313" i="13"/>
  <c r="N313" i="13"/>
  <c r="P313" i="13"/>
  <c r="K301" i="13"/>
  <c r="L301" i="13"/>
  <c r="M301" i="13"/>
  <c r="N301" i="13"/>
  <c r="O301" i="13"/>
  <c r="P301" i="13"/>
  <c r="N414" i="13"/>
  <c r="N410" i="13"/>
  <c r="N400" i="13"/>
  <c r="O399" i="13"/>
  <c r="O390" i="13"/>
  <c r="O389" i="13"/>
  <c r="P388" i="13"/>
  <c r="O387" i="13"/>
  <c r="M386" i="13"/>
  <c r="N385" i="13"/>
  <c r="O384" i="13"/>
  <c r="M383" i="13"/>
  <c r="L382" i="13"/>
  <c r="M381" i="13"/>
  <c r="M380" i="13"/>
  <c r="L377" i="13"/>
  <c r="N377" i="13"/>
  <c r="P377" i="13"/>
  <c r="O373" i="13"/>
  <c r="M372" i="13"/>
  <c r="L369" i="13"/>
  <c r="N369" i="13"/>
  <c r="P369" i="13"/>
  <c r="O365" i="13"/>
  <c r="M364" i="13"/>
  <c r="L361" i="13"/>
  <c r="N361" i="13"/>
  <c r="P361" i="13"/>
  <c r="O357" i="13"/>
  <c r="M356" i="13"/>
  <c r="L353" i="13"/>
  <c r="N353" i="13"/>
  <c r="P353" i="13"/>
  <c r="O349" i="13"/>
  <c r="M348" i="13"/>
  <c r="L345" i="13"/>
  <c r="N345" i="13"/>
  <c r="P345" i="13"/>
  <c r="O341" i="13"/>
  <c r="M340" i="13"/>
  <c r="L337" i="13"/>
  <c r="N337" i="13"/>
  <c r="P337" i="13"/>
  <c r="O333" i="13"/>
  <c r="M332" i="13"/>
  <c r="L329" i="13"/>
  <c r="N329" i="13"/>
  <c r="P329" i="13"/>
  <c r="O325" i="13"/>
  <c r="M324" i="13"/>
  <c r="L321" i="13"/>
  <c r="N321" i="13"/>
  <c r="P321" i="13"/>
  <c r="O317" i="13"/>
  <c r="M316" i="13"/>
  <c r="M400" i="13"/>
  <c r="M399" i="13"/>
  <c r="L378" i="13"/>
  <c r="N378" i="13"/>
  <c r="P378" i="13"/>
  <c r="L370" i="13"/>
  <c r="N370" i="13"/>
  <c r="P370" i="13"/>
  <c r="L362" i="13"/>
  <c r="N362" i="13"/>
  <c r="P362" i="13"/>
  <c r="L354" i="13"/>
  <c r="N354" i="13"/>
  <c r="P354" i="13"/>
  <c r="L346" i="13"/>
  <c r="N346" i="13"/>
  <c r="P346" i="13"/>
  <c r="L338" i="13"/>
  <c r="N338" i="13"/>
  <c r="P338" i="13"/>
  <c r="L330" i="13"/>
  <c r="N330" i="13"/>
  <c r="P330" i="13"/>
  <c r="L322" i="13"/>
  <c r="N322" i="13"/>
  <c r="P322" i="13"/>
  <c r="O318" i="13"/>
  <c r="P371" i="13"/>
  <c r="L371" i="13"/>
  <c r="N371" i="13"/>
  <c r="P363" i="13"/>
  <c r="L363" i="13"/>
  <c r="N363" i="13"/>
  <c r="P355" i="13"/>
  <c r="L355" i="13"/>
  <c r="N355" i="13"/>
  <c r="P347" i="13"/>
  <c r="L347" i="13"/>
  <c r="N347" i="13"/>
  <c r="P339" i="13"/>
  <c r="L339" i="13"/>
  <c r="N339" i="13"/>
  <c r="P331" i="13"/>
  <c r="L331" i="13"/>
  <c r="N331" i="13"/>
  <c r="P323" i="13"/>
  <c r="L323" i="13"/>
  <c r="N323" i="13"/>
  <c r="P315" i="13"/>
  <c r="L315" i="13"/>
  <c r="N315" i="13"/>
  <c r="K305" i="13"/>
  <c r="L305" i="13"/>
  <c r="M305" i="13"/>
  <c r="N305" i="13"/>
  <c r="O305" i="13"/>
  <c r="P305" i="13"/>
  <c r="P383" i="13"/>
  <c r="L383" i="13"/>
  <c r="N383" i="13"/>
  <c r="N382" i="13"/>
  <c r="P382" i="13"/>
  <c r="L381" i="13"/>
  <c r="P381" i="13"/>
  <c r="N380" i="13"/>
  <c r="L380" i="13"/>
  <c r="O376" i="13"/>
  <c r="N372" i="13"/>
  <c r="P372" i="13"/>
  <c r="L372" i="13"/>
  <c r="O368" i="13"/>
  <c r="N364" i="13"/>
  <c r="P364" i="13"/>
  <c r="L364" i="13"/>
  <c r="O360" i="13"/>
  <c r="N356" i="13"/>
  <c r="P356" i="13"/>
  <c r="L356" i="13"/>
  <c r="O352" i="13"/>
  <c r="N348" i="13"/>
  <c r="P348" i="13"/>
  <c r="L348" i="13"/>
  <c r="O344" i="13"/>
  <c r="N340" i="13"/>
  <c r="P340" i="13"/>
  <c r="L340" i="13"/>
  <c r="O336" i="13"/>
  <c r="N332" i="13"/>
  <c r="P332" i="13"/>
  <c r="L332" i="13"/>
  <c r="O328" i="13"/>
  <c r="N324" i="13"/>
  <c r="P324" i="13"/>
  <c r="L324" i="13"/>
  <c r="O320" i="13"/>
  <c r="N316" i="13"/>
  <c r="P316" i="13"/>
  <c r="L316" i="13"/>
  <c r="M396" i="13"/>
  <c r="P387" i="13"/>
  <c r="L387" i="13"/>
  <c r="N387" i="13"/>
  <c r="N386" i="13"/>
  <c r="P386" i="13"/>
  <c r="L385" i="13"/>
  <c r="P385" i="13"/>
  <c r="N384" i="13"/>
  <c r="L384" i="13"/>
  <c r="M376" i="13"/>
  <c r="L373" i="13"/>
  <c r="N373" i="13"/>
  <c r="P373" i="13"/>
  <c r="M368" i="13"/>
  <c r="L365" i="13"/>
  <c r="N365" i="13"/>
  <c r="P365" i="13"/>
  <c r="M360" i="13"/>
  <c r="L357" i="13"/>
  <c r="N357" i="13"/>
  <c r="P357" i="13"/>
  <c r="M352" i="13"/>
  <c r="L349" i="13"/>
  <c r="N349" i="13"/>
  <c r="P349" i="13"/>
  <c r="O345" i="13"/>
  <c r="M344" i="13"/>
  <c r="L341" i="13"/>
  <c r="N341" i="13"/>
  <c r="P341" i="13"/>
  <c r="O337" i="13"/>
  <c r="M336" i="13"/>
  <c r="L333" i="13"/>
  <c r="N333" i="13"/>
  <c r="P333" i="13"/>
  <c r="O329" i="13"/>
  <c r="M328" i="13"/>
  <c r="L325" i="13"/>
  <c r="N325" i="13"/>
  <c r="P325" i="13"/>
  <c r="O321" i="13"/>
  <c r="M320" i="13"/>
  <c r="L317" i="13"/>
  <c r="N317" i="13"/>
  <c r="P317" i="13"/>
  <c r="O313" i="13"/>
  <c r="K297" i="13"/>
  <c r="L297" i="13"/>
  <c r="M297" i="13"/>
  <c r="N297" i="13"/>
  <c r="O297" i="13"/>
  <c r="P297" i="13"/>
  <c r="K396" i="13"/>
  <c r="P391" i="13"/>
  <c r="L391" i="13"/>
  <c r="N391" i="13"/>
  <c r="N390" i="13"/>
  <c r="P390" i="13"/>
  <c r="L389" i="13"/>
  <c r="P389" i="13"/>
  <c r="N388" i="13"/>
  <c r="L388" i="13"/>
  <c r="M377" i="13"/>
  <c r="K376" i="13"/>
  <c r="L374" i="13"/>
  <c r="N374" i="13"/>
  <c r="P374" i="13"/>
  <c r="M369" i="13"/>
  <c r="K368" i="13"/>
  <c r="L366" i="13"/>
  <c r="N366" i="13"/>
  <c r="P366" i="13"/>
  <c r="M361" i="13"/>
  <c r="K360" i="13"/>
  <c r="L358" i="13"/>
  <c r="N358" i="13"/>
  <c r="P358" i="13"/>
  <c r="M353" i="13"/>
  <c r="K352" i="13"/>
  <c r="L350" i="13"/>
  <c r="N350" i="13"/>
  <c r="P350" i="13"/>
  <c r="M345" i="13"/>
  <c r="K344" i="13"/>
  <c r="L342" i="13"/>
  <c r="N342" i="13"/>
  <c r="P342" i="13"/>
  <c r="M337" i="13"/>
  <c r="K336" i="13"/>
  <c r="L334" i="13"/>
  <c r="N334" i="13"/>
  <c r="P334" i="13"/>
  <c r="M329" i="13"/>
  <c r="K328" i="13"/>
  <c r="L326" i="13"/>
  <c r="N326" i="13"/>
  <c r="P326" i="13"/>
  <c r="M321" i="13"/>
  <c r="K320" i="13"/>
  <c r="L318" i="13"/>
  <c r="N318" i="13"/>
  <c r="P318" i="13"/>
  <c r="M313" i="13"/>
  <c r="K309" i="13"/>
  <c r="L309" i="13"/>
  <c r="M309" i="13"/>
  <c r="N309" i="13"/>
  <c r="O309" i="13"/>
  <c r="P309" i="13"/>
  <c r="P314" i="13"/>
  <c r="L312" i="13"/>
  <c r="N311" i="13"/>
  <c r="P310" i="13"/>
  <c r="L308" i="13"/>
  <c r="N307" i="13"/>
  <c r="P306" i="13"/>
  <c r="L304" i="13"/>
  <c r="N303" i="13"/>
  <c r="P302" i="13"/>
  <c r="L300" i="13"/>
  <c r="N299" i="13"/>
  <c r="P298" i="13"/>
  <c r="L296" i="13"/>
  <c r="N295" i="13"/>
  <c r="P294" i="13"/>
  <c r="N314" i="13"/>
  <c r="L311" i="13"/>
  <c r="N310" i="13"/>
  <c r="L307" i="13"/>
  <c r="N306" i="13"/>
  <c r="L303" i="13"/>
  <c r="N302" i="13"/>
  <c r="L299" i="13"/>
  <c r="N298" i="13"/>
  <c r="L295" i="13"/>
  <c r="N294" i="13"/>
  <c r="K311" i="13"/>
  <c r="K307" i="13"/>
  <c r="K303" i="13"/>
  <c r="K299" i="13"/>
  <c r="K295" i="13"/>
  <c r="P312" i="13"/>
  <c r="P308" i="13"/>
  <c r="P304" i="13"/>
  <c r="P300" i="13"/>
  <c r="P296" i="13"/>
  <c r="O308" i="13"/>
  <c r="O304" i="13"/>
  <c r="O300" i="13"/>
  <c r="O296" i="13"/>
  <c r="N312" i="13"/>
  <c r="P311" i="13"/>
  <c r="N308" i="13"/>
  <c r="P307" i="13"/>
  <c r="N304" i="13"/>
  <c r="P303" i="13"/>
  <c r="N300" i="13"/>
  <c r="P299" i="13"/>
  <c r="N296" i="13"/>
  <c r="P295" i="13"/>
  <c r="AI1331" i="13"/>
  <c r="AK1331" i="13" s="1"/>
  <c r="B1331" i="13"/>
  <c r="AI1326" i="13" l="1"/>
  <c r="AK1326" i="13" s="1"/>
  <c r="B1326" i="13"/>
  <c r="AI1325" i="13"/>
  <c r="AK1325" i="13" s="1"/>
  <c r="B1325" i="13"/>
  <c r="AI1321" i="13" l="1"/>
  <c r="AK1321" i="13" s="1"/>
  <c r="B1321" i="13"/>
  <c r="AI1310" i="13" l="1"/>
  <c r="AK1310" i="13" s="1"/>
  <c r="B1310" i="13"/>
  <c r="AI1309" i="13"/>
  <c r="AK1309" i="13" s="1"/>
  <c r="B1309" i="13"/>
  <c r="AI1295" i="13" l="1"/>
  <c r="AK1295" i="13" s="1"/>
  <c r="B1295" i="13"/>
  <c r="AI1294" i="13"/>
  <c r="AK1294" i="13" s="1"/>
  <c r="B1294" i="13"/>
  <c r="AI1293" i="13"/>
  <c r="AK1293" i="13" s="1"/>
  <c r="B1293" i="13"/>
  <c r="AI1284" i="13" l="1"/>
  <c r="AK1284" i="13" s="1"/>
  <c r="B1284" i="13"/>
  <c r="AI1277" i="13" l="1"/>
  <c r="AK1277" i="13" s="1"/>
  <c r="B1277" i="13"/>
  <c r="AI1276" i="13"/>
  <c r="AK1276" i="13" s="1"/>
  <c r="B1276" i="13"/>
  <c r="AI1275" i="13"/>
  <c r="AK1275" i="13" s="1"/>
  <c r="B1275" i="13"/>
  <c r="AI1269" i="13" l="1"/>
  <c r="AK1269" i="13" s="1"/>
  <c r="B1269" i="13"/>
  <c r="AI1268" i="13"/>
  <c r="AK1268" i="13" s="1"/>
  <c r="B1268" i="13"/>
  <c r="AI1251" i="13" l="1"/>
  <c r="AK1251" i="13" s="1"/>
  <c r="B1251" i="13"/>
  <c r="AI1264" i="13"/>
  <c r="AK1264" i="13" s="1"/>
  <c r="B1264" i="13"/>
  <c r="AI1261" i="13" l="1"/>
  <c r="AK1261" i="13" s="1"/>
  <c r="B1261" i="13"/>
  <c r="AI1260" i="13"/>
  <c r="AK1260" i="13" s="1"/>
  <c r="B1260" i="13"/>
  <c r="AI1259" i="13"/>
  <c r="AK1259" i="13" s="1"/>
  <c r="B1259" i="13"/>
  <c r="AI1258" i="13"/>
  <c r="AK1258" i="13" s="1"/>
  <c r="B1258" i="13"/>
  <c r="AI1257" i="13"/>
  <c r="AK1257" i="13" s="1"/>
  <c r="B1257" i="13"/>
  <c r="AI1256" i="13"/>
  <c r="AK1256" i="13" s="1"/>
  <c r="B1256" i="13"/>
  <c r="AI1253" i="13" l="1"/>
  <c r="AK1253" i="13" s="1"/>
  <c r="B1253" i="13"/>
  <c r="AI1249" i="13" l="1"/>
  <c r="AK1249" i="13" s="1"/>
  <c r="B1249" i="13"/>
  <c r="AI1248" i="13"/>
  <c r="AK1248" i="13" s="1"/>
  <c r="B1248" i="13"/>
  <c r="AI1247" i="13"/>
  <c r="AK1247" i="13" s="1"/>
  <c r="B1247" i="13"/>
  <c r="AI1239" i="13" l="1"/>
  <c r="AK1239" i="13" s="1"/>
  <c r="B1239" i="13"/>
  <c r="AI1238" i="13"/>
  <c r="AK1238" i="13" s="1"/>
  <c r="B1238" i="13"/>
  <c r="AI1237" i="13"/>
  <c r="AK1237" i="13" s="1"/>
  <c r="B1237" i="13"/>
  <c r="AI1236" i="13"/>
  <c r="AK1236" i="13" s="1"/>
  <c r="B1236" i="13"/>
  <c r="AI1231" i="13" l="1"/>
  <c r="AK1231" i="13" s="1"/>
  <c r="B1231" i="13"/>
  <c r="AI1229" i="13" l="1"/>
  <c r="AK1229" i="13" s="1"/>
  <c r="B1229" i="13"/>
  <c r="AI1227" i="13" l="1"/>
  <c r="AK1227" i="13" s="1"/>
  <c r="B1227" i="13"/>
  <c r="AI1226" i="13"/>
  <c r="AK1226" i="13" s="1"/>
  <c r="B1226" i="13"/>
  <c r="AI1222" i="13" l="1"/>
  <c r="AK1222" i="13" s="1"/>
  <c r="B1222" i="13"/>
  <c r="AI1221" i="13"/>
  <c r="AK1221" i="13" s="1"/>
  <c r="B1221" i="13"/>
  <c r="AI1220" i="13"/>
  <c r="AK1220" i="13" s="1"/>
  <c r="B1220" i="13"/>
  <c r="AI1210" i="13" l="1"/>
  <c r="AK1210" i="13" s="1"/>
  <c r="B1210" i="13"/>
  <c r="AI1204" i="13" l="1"/>
  <c r="AK1204" i="13" s="1"/>
  <c r="B1204" i="13"/>
  <c r="AI1137" i="13"/>
  <c r="AK1137" i="13" s="1"/>
  <c r="B1137" i="13"/>
  <c r="AI1047" i="13"/>
  <c r="AK1047" i="13" s="1"/>
  <c r="B1047" i="13"/>
  <c r="AI1046" i="13"/>
  <c r="AK1046" i="13" s="1"/>
  <c r="B1046" i="13"/>
  <c r="AI1197" i="13" l="1"/>
  <c r="AK1197" i="13" s="1"/>
  <c r="B1197" i="13"/>
  <c r="AI1196" i="13"/>
  <c r="AK1196" i="13" s="1"/>
  <c r="B1196" i="13"/>
  <c r="AI1195" i="13"/>
  <c r="AK1195" i="13" s="1"/>
  <c r="B1195" i="13"/>
  <c r="AI1191" i="13" l="1"/>
  <c r="AK1191" i="13" s="1"/>
  <c r="B1191" i="13"/>
  <c r="B1329" i="13" l="1"/>
  <c r="B1330" i="13"/>
  <c r="B1332" i="13"/>
  <c r="B1333" i="13"/>
  <c r="B1334" i="13"/>
  <c r="B1335" i="13"/>
  <c r="B1339" i="13"/>
  <c r="B1340" i="13"/>
  <c r="B1341" i="13"/>
  <c r="B1342" i="13"/>
  <c r="B1343" i="13"/>
  <c r="B1344" i="13"/>
  <c r="B1345" i="13"/>
  <c r="B1346" i="13"/>
  <c r="B1347" i="13"/>
  <c r="B1348" i="13"/>
  <c r="B1349" i="13"/>
  <c r="B1350" i="13"/>
  <c r="B1351" i="13"/>
  <c r="B1352" i="13"/>
  <c r="B1353" i="13"/>
  <c r="B1354" i="13"/>
  <c r="B1355" i="13"/>
  <c r="B1356" i="13"/>
  <c r="B1357" i="13"/>
  <c r="B1358" i="13"/>
  <c r="B1359" i="13"/>
  <c r="B1360" i="13"/>
  <c r="B1361" i="13"/>
  <c r="B1362" i="13"/>
  <c r="B1363" i="13"/>
  <c r="B1364" i="13"/>
  <c r="B1365" i="13"/>
  <c r="B1366" i="13"/>
  <c r="B1367" i="13"/>
  <c r="B1368" i="13"/>
  <c r="B1369" i="13"/>
  <c r="B1370" i="13"/>
  <c r="B1371" i="13"/>
  <c r="B1372" i="13"/>
  <c r="B1373" i="13"/>
  <c r="B1374" i="13"/>
  <c r="B1375" i="13"/>
  <c r="B1376" i="13"/>
  <c r="B1377" i="13"/>
  <c r="B1378" i="13"/>
  <c r="B1379" i="13"/>
  <c r="B1380" i="13"/>
  <c r="B1381" i="13"/>
  <c r="B1382" i="13"/>
  <c r="B1383" i="13"/>
  <c r="B1384" i="13"/>
  <c r="B1385" i="13"/>
  <c r="B1386" i="13"/>
  <c r="B1387" i="13"/>
  <c r="B1388" i="13"/>
  <c r="B1389" i="13"/>
  <c r="B1390" i="13"/>
  <c r="B1391" i="13"/>
  <c r="B1392" i="13"/>
  <c r="B1393" i="13"/>
  <c r="B1394" i="13"/>
  <c r="B1395" i="13"/>
  <c r="B1396" i="13"/>
  <c r="B1397" i="13"/>
  <c r="B1398" i="13"/>
  <c r="B1399" i="13"/>
  <c r="B1400" i="13"/>
  <c r="B1401" i="13"/>
  <c r="B1402" i="13"/>
  <c r="B1403" i="13"/>
  <c r="B1404" i="13"/>
  <c r="B1405" i="13"/>
  <c r="B1406" i="13"/>
  <c r="B1407" i="13"/>
  <c r="B1408" i="13"/>
  <c r="B1409" i="13"/>
  <c r="B1410" i="13"/>
  <c r="B1411" i="13"/>
  <c r="B1412" i="13"/>
  <c r="B1413" i="13"/>
  <c r="B1414" i="13"/>
  <c r="B1415" i="13"/>
  <c r="B1416" i="13"/>
  <c r="B1417" i="13"/>
  <c r="B1418" i="13"/>
  <c r="B1419" i="13"/>
  <c r="B1420" i="13"/>
  <c r="B1421" i="13"/>
  <c r="B1422" i="13"/>
  <c r="B1423" i="13"/>
  <c r="B1424" i="13"/>
  <c r="B1425" i="13"/>
  <c r="B1426" i="13"/>
  <c r="B1427" i="13"/>
  <c r="B1428" i="13"/>
  <c r="B1429" i="13"/>
  <c r="B1430" i="13"/>
  <c r="B1431" i="13"/>
  <c r="B1432" i="13"/>
  <c r="B1433" i="13"/>
  <c r="B1434" i="13"/>
  <c r="B1435" i="13"/>
  <c r="B1436" i="13"/>
  <c r="B1437" i="13"/>
  <c r="B1438" i="13"/>
  <c r="B1439" i="13"/>
  <c r="B1440" i="13"/>
  <c r="B1441" i="13"/>
  <c r="B1442" i="13"/>
  <c r="B1443" i="13"/>
  <c r="B1444" i="13"/>
  <c r="B1445" i="13"/>
  <c r="B1446" i="13"/>
  <c r="B1447" i="13"/>
  <c r="B1448" i="13"/>
  <c r="B1449" i="13"/>
  <c r="B1450" i="13"/>
  <c r="B1451" i="13"/>
  <c r="B1452" i="13"/>
  <c r="B1453" i="13"/>
  <c r="B1454" i="13"/>
  <c r="B1455" i="13"/>
  <c r="B1456" i="13"/>
  <c r="B1457" i="13"/>
  <c r="B1458" i="13"/>
  <c r="B1459" i="13"/>
  <c r="B1460" i="13"/>
  <c r="B1461" i="13"/>
  <c r="B1462" i="13"/>
  <c r="B1463" i="13"/>
  <c r="B1464" i="13"/>
  <c r="B1465" i="13"/>
  <c r="B1466" i="13"/>
  <c r="B1467" i="13"/>
  <c r="B1468" i="13"/>
  <c r="B1469" i="13"/>
  <c r="B1470" i="13"/>
  <c r="B1471" i="13"/>
  <c r="B1472" i="13"/>
  <c r="B1473" i="13"/>
  <c r="B1474" i="13"/>
  <c r="B1475" i="13"/>
  <c r="B1476" i="13"/>
  <c r="B1477" i="13"/>
  <c r="B1478" i="13"/>
  <c r="B1479" i="13"/>
  <c r="B1480" i="13"/>
  <c r="B1481" i="13"/>
  <c r="B1482" i="13"/>
  <c r="B1483" i="13"/>
  <c r="B1484" i="13"/>
  <c r="B1485" i="13"/>
  <c r="B1486" i="13"/>
  <c r="B1487" i="13"/>
  <c r="B1488" i="13"/>
  <c r="B1489" i="13"/>
  <c r="B1490" i="13"/>
  <c r="B1491" i="13"/>
  <c r="B1492" i="13"/>
  <c r="B1493" i="13"/>
  <c r="B1494" i="13"/>
  <c r="B1495" i="13"/>
  <c r="B1496" i="13"/>
  <c r="B1497" i="13"/>
  <c r="B1498" i="13"/>
  <c r="B1499" i="13"/>
  <c r="B1500" i="13"/>
  <c r="B1501" i="13"/>
  <c r="B1502" i="13"/>
  <c r="B1503" i="13"/>
  <c r="B1504" i="13"/>
  <c r="B1505" i="13"/>
  <c r="B1506" i="13"/>
  <c r="B1507" i="13"/>
  <c r="B1508" i="13"/>
  <c r="B1509" i="13"/>
  <c r="B1510" i="13"/>
  <c r="B1511" i="13"/>
  <c r="B1512" i="13"/>
  <c r="B1513" i="13"/>
  <c r="B1514" i="13"/>
  <c r="B1515" i="13"/>
  <c r="B1516" i="13"/>
  <c r="B1517" i="13"/>
  <c r="B1518" i="13"/>
  <c r="B1519" i="13"/>
  <c r="B1520" i="13"/>
  <c r="B1521" i="13"/>
  <c r="B1522" i="13"/>
  <c r="B1523" i="13"/>
  <c r="B1524" i="13"/>
  <c r="B1525" i="13"/>
  <c r="B1526" i="13"/>
  <c r="B1527" i="13"/>
  <c r="B1528" i="13"/>
  <c r="B1529" i="13"/>
  <c r="B1530" i="13"/>
  <c r="B1531" i="13"/>
  <c r="B1532" i="13"/>
  <c r="B1533" i="13"/>
  <c r="B1534" i="13"/>
  <c r="B1535" i="13"/>
  <c r="B1536" i="13"/>
  <c r="B1537" i="13"/>
  <c r="B1538" i="13"/>
  <c r="B1539" i="13"/>
  <c r="B1540" i="13"/>
  <c r="B1541" i="13"/>
  <c r="B1542" i="13"/>
  <c r="B1543" i="13"/>
  <c r="B1544" i="13"/>
  <c r="B1545" i="13"/>
  <c r="B1546" i="13"/>
  <c r="B1547" i="13"/>
  <c r="B1548" i="13"/>
  <c r="B1549" i="13"/>
  <c r="B1550" i="13"/>
  <c r="B1551" i="13"/>
  <c r="B1552" i="13"/>
  <c r="B1553" i="13"/>
  <c r="B1554" i="13"/>
  <c r="B1555" i="13"/>
  <c r="B1556" i="13"/>
  <c r="B1557" i="13"/>
  <c r="B1558" i="13"/>
  <c r="B1559" i="13"/>
  <c r="B1560" i="13"/>
  <c r="B1561" i="13"/>
  <c r="B1562" i="13"/>
  <c r="B1563" i="13"/>
  <c r="B1564" i="13"/>
  <c r="B1565" i="13"/>
  <c r="B1566" i="13"/>
  <c r="B1567" i="13"/>
  <c r="B1568" i="13"/>
  <c r="B1569" i="13"/>
  <c r="B1570" i="13"/>
  <c r="B1571" i="13"/>
  <c r="B1572" i="13"/>
  <c r="B1573" i="13"/>
  <c r="B1574" i="13"/>
  <c r="B1575" i="13"/>
  <c r="B1576" i="13"/>
  <c r="B1577" i="13"/>
  <c r="B1578" i="13"/>
  <c r="B1579" i="13"/>
  <c r="B1580" i="13"/>
  <c r="B1581" i="13"/>
  <c r="B1582" i="13"/>
  <c r="B1583" i="13"/>
  <c r="B1584" i="13"/>
  <c r="B1585" i="13"/>
  <c r="B1586" i="13"/>
  <c r="B1587" i="13"/>
  <c r="B1588" i="13"/>
  <c r="B1589" i="13"/>
  <c r="B1590" i="13"/>
  <c r="B1591" i="13"/>
  <c r="B1592" i="13"/>
  <c r="B1593" i="13"/>
  <c r="B1594" i="13"/>
  <c r="B1595" i="13"/>
  <c r="B1596" i="13"/>
  <c r="B1597" i="13"/>
  <c r="B1598" i="13"/>
  <c r="B1599" i="13"/>
  <c r="B1600" i="13"/>
  <c r="B1601" i="13"/>
  <c r="B1602" i="13"/>
  <c r="B1603" i="13"/>
  <c r="B1604" i="13"/>
  <c r="B1605" i="13"/>
  <c r="B1606" i="13"/>
  <c r="B1607" i="13"/>
  <c r="B1608" i="13"/>
  <c r="B1609" i="13"/>
  <c r="B1610" i="13"/>
  <c r="B1611" i="13"/>
  <c r="B1612" i="13"/>
  <c r="B1613" i="13"/>
  <c r="I1525" i="13"/>
  <c r="I1526" i="13"/>
  <c r="I1527" i="13"/>
  <c r="I1528" i="13"/>
  <c r="I1529" i="13"/>
  <c r="I1530" i="13"/>
  <c r="I1531" i="13"/>
  <c r="I1532" i="13"/>
  <c r="I1533" i="13"/>
  <c r="I1534" i="13"/>
  <c r="I1535" i="13"/>
  <c r="I1536" i="13"/>
  <c r="I1537" i="13"/>
  <c r="I1538" i="13"/>
  <c r="I1539" i="13"/>
  <c r="I1540" i="13"/>
  <c r="I1541" i="13"/>
  <c r="I1542" i="13"/>
  <c r="I1543" i="13"/>
  <c r="L1543" i="13" s="1"/>
  <c r="I1544" i="13"/>
  <c r="I1545" i="13"/>
  <c r="I1546" i="13"/>
  <c r="I1547" i="13"/>
  <c r="I1548" i="13"/>
  <c r="I1549" i="13"/>
  <c r="I1550" i="13"/>
  <c r="I1551" i="13"/>
  <c r="I1552" i="13"/>
  <c r="I1553" i="13"/>
  <c r="I1554" i="13"/>
  <c r="I1555" i="13"/>
  <c r="I1556" i="13"/>
  <c r="I1557" i="13"/>
  <c r="I1558" i="13"/>
  <c r="I1559" i="13"/>
  <c r="I1560" i="13"/>
  <c r="I1561" i="13"/>
  <c r="I1562" i="13"/>
  <c r="I1563" i="13"/>
  <c r="I1564" i="13"/>
  <c r="I1565" i="13"/>
  <c r="I1566" i="13"/>
  <c r="I1567" i="13"/>
  <c r="I1568" i="13"/>
  <c r="I1569" i="13"/>
  <c r="I1570" i="13"/>
  <c r="I1571" i="13"/>
  <c r="I1572" i="13"/>
  <c r="I1573" i="13"/>
  <c r="I1574" i="13"/>
  <c r="I1575" i="13"/>
  <c r="P1575" i="13" s="1"/>
  <c r="I1576" i="13"/>
  <c r="I1577" i="13"/>
  <c r="I1578" i="13"/>
  <c r="I1579" i="13"/>
  <c r="I1580" i="13"/>
  <c r="I1581" i="13"/>
  <c r="I1582" i="13"/>
  <c r="I1583" i="13"/>
  <c r="I1584" i="13"/>
  <c r="I1585" i="13"/>
  <c r="I1586" i="13"/>
  <c r="I1587" i="13"/>
  <c r="I1588" i="13"/>
  <c r="I1589" i="13"/>
  <c r="I1590" i="13"/>
  <c r="I1591" i="13"/>
  <c r="I1592" i="13"/>
  <c r="I1593" i="13"/>
  <c r="I1594" i="13"/>
  <c r="I1595" i="13"/>
  <c r="I1596" i="13"/>
  <c r="I1597" i="13"/>
  <c r="I1598" i="13"/>
  <c r="I1599" i="13"/>
  <c r="I1600" i="13"/>
  <c r="K1600" i="13" s="1"/>
  <c r="I1601" i="13"/>
  <c r="I1602" i="13"/>
  <c r="I1603" i="13"/>
  <c r="I1604" i="13"/>
  <c r="I1605" i="13"/>
  <c r="I1606" i="13"/>
  <c r="I1607" i="13"/>
  <c r="I1608" i="13"/>
  <c r="K1608" i="13" s="1"/>
  <c r="I1609" i="13"/>
  <c r="I1610" i="13"/>
  <c r="I1611" i="13"/>
  <c r="I1612" i="13"/>
  <c r="I1613" i="13"/>
  <c r="J1525" i="13"/>
  <c r="J1526" i="13"/>
  <c r="J1527" i="13"/>
  <c r="J1528" i="13"/>
  <c r="J1529" i="13"/>
  <c r="J1530" i="13"/>
  <c r="J1531" i="13"/>
  <c r="J1532" i="13"/>
  <c r="J1533" i="13"/>
  <c r="J1534" i="13"/>
  <c r="J1535" i="13"/>
  <c r="J1536" i="13"/>
  <c r="J1537" i="13"/>
  <c r="J1538" i="13"/>
  <c r="J1539" i="13"/>
  <c r="J1540" i="13"/>
  <c r="J1541" i="13"/>
  <c r="J1542" i="13"/>
  <c r="J1543" i="13"/>
  <c r="J1544" i="13"/>
  <c r="J1545" i="13"/>
  <c r="J1546" i="13"/>
  <c r="J1547" i="13"/>
  <c r="J1548" i="13"/>
  <c r="J1549" i="13"/>
  <c r="J1550" i="13"/>
  <c r="J1551" i="13"/>
  <c r="J1552" i="13"/>
  <c r="J1553" i="13"/>
  <c r="J1554" i="13"/>
  <c r="J1555" i="13"/>
  <c r="J1556" i="13"/>
  <c r="J1557" i="13"/>
  <c r="J1558" i="13"/>
  <c r="J1559" i="13"/>
  <c r="J1560" i="13"/>
  <c r="J1561" i="13"/>
  <c r="J1562" i="13"/>
  <c r="J1563" i="13"/>
  <c r="J1564" i="13"/>
  <c r="J1565" i="13"/>
  <c r="J1566" i="13"/>
  <c r="J1567" i="13"/>
  <c r="J1568" i="13"/>
  <c r="J1569" i="13"/>
  <c r="J1570" i="13"/>
  <c r="J1571" i="13"/>
  <c r="J1572" i="13"/>
  <c r="J1573" i="13"/>
  <c r="J1574" i="13"/>
  <c r="J1575" i="13"/>
  <c r="J1576" i="13"/>
  <c r="J1577" i="13"/>
  <c r="J1578" i="13"/>
  <c r="J1579" i="13"/>
  <c r="J1580" i="13"/>
  <c r="J1581" i="13"/>
  <c r="J1582" i="13"/>
  <c r="J1583" i="13"/>
  <c r="J1584" i="13"/>
  <c r="J1585" i="13"/>
  <c r="J1586" i="13"/>
  <c r="J1587" i="13"/>
  <c r="J1588" i="13"/>
  <c r="J1589" i="13"/>
  <c r="J1590" i="13"/>
  <c r="J1591" i="13"/>
  <c r="J1592" i="13"/>
  <c r="J1593" i="13"/>
  <c r="J1594" i="13"/>
  <c r="J1595" i="13"/>
  <c r="J1596" i="13"/>
  <c r="J1597" i="13"/>
  <c r="J1598" i="13"/>
  <c r="J1599" i="13"/>
  <c r="J1600" i="13"/>
  <c r="J1601" i="13"/>
  <c r="J1602" i="13"/>
  <c r="J1603" i="13"/>
  <c r="J1604" i="13"/>
  <c r="J1605" i="13"/>
  <c r="J1606" i="13"/>
  <c r="J1607" i="13"/>
  <c r="J1608" i="13"/>
  <c r="J1609" i="13"/>
  <c r="J1610" i="13"/>
  <c r="J1611" i="13"/>
  <c r="J1612" i="13"/>
  <c r="J1613" i="13"/>
  <c r="K1525" i="13"/>
  <c r="K1526" i="13"/>
  <c r="K1528" i="13"/>
  <c r="K1529" i="13"/>
  <c r="K1530" i="13"/>
  <c r="K1531" i="13"/>
  <c r="K1532" i="13"/>
  <c r="K1533" i="13"/>
  <c r="K1534" i="13"/>
  <c r="K1536" i="13"/>
  <c r="K1537" i="13"/>
  <c r="K1538" i="13"/>
  <c r="K1539" i="13"/>
  <c r="K1540" i="13"/>
  <c r="K1541" i="13"/>
  <c r="K1542" i="13"/>
  <c r="K1544" i="13"/>
  <c r="K1545" i="13"/>
  <c r="K1546" i="13"/>
  <c r="K1547" i="13"/>
  <c r="K1548" i="13"/>
  <c r="K1549" i="13"/>
  <c r="K1550" i="13"/>
  <c r="K1552" i="13"/>
  <c r="K1553" i="13"/>
  <c r="K1554" i="13"/>
  <c r="K1555" i="13"/>
  <c r="K1556" i="13"/>
  <c r="K1557" i="13"/>
  <c r="K1558" i="13"/>
  <c r="K1560" i="13"/>
  <c r="K1561" i="13"/>
  <c r="K1562" i="13"/>
  <c r="K1563" i="13"/>
  <c r="K1564" i="13"/>
  <c r="K1565" i="13"/>
  <c r="K1566" i="13"/>
  <c r="K1568" i="13"/>
  <c r="K1569" i="13"/>
  <c r="K1570" i="13"/>
  <c r="K1571" i="13"/>
  <c r="K1572" i="13"/>
  <c r="K1573" i="13"/>
  <c r="K1574" i="13"/>
  <c r="K1576" i="13"/>
  <c r="K1577" i="13"/>
  <c r="K1578" i="13"/>
  <c r="K1579" i="13"/>
  <c r="K1580" i="13"/>
  <c r="K1581" i="13"/>
  <c r="K1582" i="13"/>
  <c r="K1584" i="13"/>
  <c r="K1585" i="13"/>
  <c r="K1586" i="13"/>
  <c r="K1587" i="13"/>
  <c r="K1588" i="13"/>
  <c r="K1589" i="13"/>
  <c r="K1590" i="13"/>
  <c r="K1592" i="13"/>
  <c r="K1593" i="13"/>
  <c r="K1594" i="13"/>
  <c r="K1595" i="13"/>
  <c r="K1596" i="13"/>
  <c r="K1597" i="13"/>
  <c r="K1598" i="13"/>
  <c r="K1601" i="13"/>
  <c r="K1602" i="13"/>
  <c r="K1603" i="13"/>
  <c r="K1604" i="13"/>
  <c r="K1605" i="13"/>
  <c r="K1606" i="13"/>
  <c r="K1609" i="13"/>
  <c r="K1610" i="13"/>
  <c r="K1611" i="13"/>
  <c r="K1612" i="13"/>
  <c r="K1613" i="13"/>
  <c r="L1525" i="13"/>
  <c r="L1526" i="13"/>
  <c r="L1528" i="13"/>
  <c r="L1529" i="13"/>
  <c r="L1530" i="13"/>
  <c r="L1531" i="13"/>
  <c r="L1532" i="13"/>
  <c r="L1533" i="13"/>
  <c r="L1534" i="13"/>
  <c r="L1536" i="13"/>
  <c r="L1537" i="13"/>
  <c r="L1538" i="13"/>
  <c r="L1539" i="13"/>
  <c r="L1540" i="13"/>
  <c r="L1541" i="13"/>
  <c r="L1542" i="13"/>
  <c r="L1544" i="13"/>
  <c r="L1545" i="13"/>
  <c r="L1546" i="13"/>
  <c r="L1547" i="13"/>
  <c r="L1548" i="13"/>
  <c r="L1549" i="13"/>
  <c r="L1550" i="13"/>
  <c r="L1552" i="13"/>
  <c r="L1553" i="13"/>
  <c r="L1554" i="13"/>
  <c r="L1555" i="13"/>
  <c r="L1556" i="13"/>
  <c r="L1557" i="13"/>
  <c r="L1558" i="13"/>
  <c r="L1560" i="13"/>
  <c r="L1561" i="13"/>
  <c r="L1562" i="13"/>
  <c r="L1563" i="13"/>
  <c r="L1564" i="13"/>
  <c r="L1565" i="13"/>
  <c r="L1566" i="13"/>
  <c r="L1568" i="13"/>
  <c r="L1569" i="13"/>
  <c r="L1570" i="13"/>
  <c r="L1571" i="13"/>
  <c r="L1572" i="13"/>
  <c r="L1573" i="13"/>
  <c r="L1574" i="13"/>
  <c r="L1576" i="13"/>
  <c r="L1577" i="13"/>
  <c r="L1578" i="13"/>
  <c r="L1579" i="13"/>
  <c r="L1580" i="13"/>
  <c r="L1581" i="13"/>
  <c r="L1582" i="13"/>
  <c r="L1584" i="13"/>
  <c r="L1585" i="13"/>
  <c r="L1586" i="13"/>
  <c r="L1587" i="13"/>
  <c r="L1588" i="13"/>
  <c r="L1589" i="13"/>
  <c r="L1590" i="13"/>
  <c r="L1592" i="13"/>
  <c r="L1593" i="13"/>
  <c r="L1594" i="13"/>
  <c r="L1595" i="13"/>
  <c r="L1596" i="13"/>
  <c r="L1597" i="13"/>
  <c r="L1598" i="13"/>
  <c r="L1600" i="13"/>
  <c r="L1601" i="13"/>
  <c r="L1602" i="13"/>
  <c r="L1603" i="13"/>
  <c r="L1604" i="13"/>
  <c r="L1605" i="13"/>
  <c r="L1606" i="13"/>
  <c r="L1608" i="13"/>
  <c r="L1609" i="13"/>
  <c r="L1610" i="13"/>
  <c r="L1611" i="13"/>
  <c r="L1612" i="13"/>
  <c r="L1613" i="13"/>
  <c r="M1525" i="13"/>
  <c r="M1526" i="13"/>
  <c r="M1528" i="13"/>
  <c r="M1529" i="13"/>
  <c r="M1530" i="13"/>
  <c r="M1531" i="13"/>
  <c r="M1532" i="13"/>
  <c r="M1533" i="13"/>
  <c r="M1534" i="13"/>
  <c r="M1536" i="13"/>
  <c r="M1537" i="13"/>
  <c r="M1538" i="13"/>
  <c r="M1539" i="13"/>
  <c r="M1540" i="13"/>
  <c r="M1541" i="13"/>
  <c r="M1542" i="13"/>
  <c r="M1544" i="13"/>
  <c r="M1545" i="13"/>
  <c r="M1546" i="13"/>
  <c r="M1547" i="13"/>
  <c r="M1548" i="13"/>
  <c r="M1549" i="13"/>
  <c r="M1550" i="13"/>
  <c r="M1552" i="13"/>
  <c r="M1553" i="13"/>
  <c r="M1554" i="13"/>
  <c r="M1555" i="13"/>
  <c r="M1556" i="13"/>
  <c r="M1557" i="13"/>
  <c r="M1558" i="13"/>
  <c r="M1560" i="13"/>
  <c r="M1561" i="13"/>
  <c r="M1562" i="13"/>
  <c r="M1563" i="13"/>
  <c r="M1564" i="13"/>
  <c r="M1565" i="13"/>
  <c r="M1566" i="13"/>
  <c r="M1568" i="13"/>
  <c r="M1569" i="13"/>
  <c r="M1570" i="13"/>
  <c r="M1571" i="13"/>
  <c r="M1572" i="13"/>
  <c r="M1573" i="13"/>
  <c r="M1574" i="13"/>
  <c r="M1576" i="13"/>
  <c r="M1577" i="13"/>
  <c r="M1578" i="13"/>
  <c r="M1579" i="13"/>
  <c r="M1580" i="13"/>
  <c r="M1581" i="13"/>
  <c r="M1582" i="13"/>
  <c r="M1584" i="13"/>
  <c r="M1585" i="13"/>
  <c r="M1586" i="13"/>
  <c r="M1587" i="13"/>
  <c r="M1588" i="13"/>
  <c r="M1589" i="13"/>
  <c r="M1590" i="13"/>
  <c r="M1592" i="13"/>
  <c r="M1593" i="13"/>
  <c r="M1594" i="13"/>
  <c r="M1595" i="13"/>
  <c r="M1596" i="13"/>
  <c r="M1597" i="13"/>
  <c r="M1598" i="13"/>
  <c r="M1600" i="13"/>
  <c r="M1601" i="13"/>
  <c r="M1602" i="13"/>
  <c r="M1603" i="13"/>
  <c r="M1604" i="13"/>
  <c r="M1605" i="13"/>
  <c r="M1606" i="13"/>
  <c r="M1608" i="13"/>
  <c r="M1609" i="13"/>
  <c r="M1610" i="13"/>
  <c r="M1611" i="13"/>
  <c r="M1612" i="13"/>
  <c r="M1613" i="13"/>
  <c r="N1525" i="13"/>
  <c r="N1526" i="13"/>
  <c r="N1528" i="13"/>
  <c r="N1529" i="13"/>
  <c r="N1530" i="13"/>
  <c r="N1531" i="13"/>
  <c r="N1532" i="13"/>
  <c r="N1533" i="13"/>
  <c r="N1534" i="13"/>
  <c r="N1536" i="13"/>
  <c r="N1537" i="13"/>
  <c r="N1538" i="13"/>
  <c r="N1539" i="13"/>
  <c r="N1540" i="13"/>
  <c r="N1541" i="13"/>
  <c r="N1542" i="13"/>
  <c r="N1544" i="13"/>
  <c r="N1545" i="13"/>
  <c r="N1546" i="13"/>
  <c r="N1547" i="13"/>
  <c r="N1548" i="13"/>
  <c r="N1549" i="13"/>
  <c r="N1550" i="13"/>
  <c r="N1552" i="13"/>
  <c r="N1553" i="13"/>
  <c r="N1554" i="13"/>
  <c r="N1555" i="13"/>
  <c r="N1556" i="13"/>
  <c r="N1557" i="13"/>
  <c r="N1558" i="13"/>
  <c r="N1560" i="13"/>
  <c r="N1561" i="13"/>
  <c r="N1562" i="13"/>
  <c r="N1563" i="13"/>
  <c r="N1564" i="13"/>
  <c r="N1565" i="13"/>
  <c r="N1566" i="13"/>
  <c r="N1568" i="13"/>
  <c r="N1569" i="13"/>
  <c r="N1570" i="13"/>
  <c r="N1571" i="13"/>
  <c r="N1572" i="13"/>
  <c r="N1573" i="13"/>
  <c r="N1574" i="13"/>
  <c r="N1576" i="13"/>
  <c r="N1577" i="13"/>
  <c r="N1578" i="13"/>
  <c r="N1579" i="13"/>
  <c r="N1580" i="13"/>
  <c r="N1581" i="13"/>
  <c r="N1582" i="13"/>
  <c r="N1584" i="13"/>
  <c r="N1585" i="13"/>
  <c r="N1586" i="13"/>
  <c r="N1587" i="13"/>
  <c r="N1588" i="13"/>
  <c r="N1589" i="13"/>
  <c r="N1590" i="13"/>
  <c r="N1592" i="13"/>
  <c r="N1593" i="13"/>
  <c r="N1594" i="13"/>
  <c r="N1595" i="13"/>
  <c r="N1596" i="13"/>
  <c r="N1597" i="13"/>
  <c r="N1598" i="13"/>
  <c r="N1600" i="13"/>
  <c r="N1601" i="13"/>
  <c r="N1602" i="13"/>
  <c r="N1603" i="13"/>
  <c r="N1604" i="13"/>
  <c r="N1605" i="13"/>
  <c r="N1606" i="13"/>
  <c r="N1608" i="13"/>
  <c r="N1609" i="13"/>
  <c r="N1610" i="13"/>
  <c r="N1611" i="13"/>
  <c r="N1612" i="13"/>
  <c r="N1613" i="13"/>
  <c r="O1525" i="13"/>
  <c r="O1526" i="13"/>
  <c r="O1528" i="13"/>
  <c r="O1529" i="13"/>
  <c r="O1530" i="13"/>
  <c r="O1531" i="13"/>
  <c r="O1532" i="13"/>
  <c r="O1533" i="13"/>
  <c r="O1534" i="13"/>
  <c r="O1536" i="13"/>
  <c r="O1537" i="13"/>
  <c r="O1538" i="13"/>
  <c r="O1539" i="13"/>
  <c r="O1540" i="13"/>
  <c r="O1541" i="13"/>
  <c r="O1542" i="13"/>
  <c r="O1544" i="13"/>
  <c r="O1545" i="13"/>
  <c r="O1546" i="13"/>
  <c r="O1547" i="13"/>
  <c r="O1548" i="13"/>
  <c r="O1549" i="13"/>
  <c r="O1550" i="13"/>
  <c r="O1552" i="13"/>
  <c r="O1553" i="13"/>
  <c r="O1554" i="13"/>
  <c r="O1555" i="13"/>
  <c r="O1556" i="13"/>
  <c r="O1557" i="13"/>
  <c r="O1558" i="13"/>
  <c r="O1560" i="13"/>
  <c r="O1561" i="13"/>
  <c r="O1562" i="13"/>
  <c r="O1563" i="13"/>
  <c r="O1564" i="13"/>
  <c r="O1565" i="13"/>
  <c r="O1566" i="13"/>
  <c r="O1568" i="13"/>
  <c r="O1569" i="13"/>
  <c r="O1570" i="13"/>
  <c r="O1571" i="13"/>
  <c r="O1572" i="13"/>
  <c r="O1573" i="13"/>
  <c r="O1574" i="13"/>
  <c r="O1576" i="13"/>
  <c r="O1577" i="13"/>
  <c r="O1578" i="13"/>
  <c r="O1579" i="13"/>
  <c r="O1580" i="13"/>
  <c r="O1581" i="13"/>
  <c r="O1582" i="13"/>
  <c r="O1584" i="13"/>
  <c r="O1585" i="13"/>
  <c r="O1586" i="13"/>
  <c r="O1587" i="13"/>
  <c r="O1588" i="13"/>
  <c r="O1589" i="13"/>
  <c r="O1590" i="13"/>
  <c r="O1592" i="13"/>
  <c r="O1593" i="13"/>
  <c r="O1594" i="13"/>
  <c r="O1595" i="13"/>
  <c r="O1596" i="13"/>
  <c r="O1597" i="13"/>
  <c r="O1598" i="13"/>
  <c r="O1600" i="13"/>
  <c r="O1601" i="13"/>
  <c r="O1602" i="13"/>
  <c r="O1603" i="13"/>
  <c r="O1604" i="13"/>
  <c r="O1605" i="13"/>
  <c r="O1606" i="13"/>
  <c r="O1608" i="13"/>
  <c r="O1609" i="13"/>
  <c r="O1610" i="13"/>
  <c r="O1611" i="13"/>
  <c r="O1612" i="13"/>
  <c r="O1613" i="13"/>
  <c r="P1525" i="13"/>
  <c r="P1526" i="13"/>
  <c r="P1528" i="13"/>
  <c r="P1529" i="13"/>
  <c r="P1530" i="13"/>
  <c r="P1531" i="13"/>
  <c r="P1532" i="13"/>
  <c r="P1533" i="13"/>
  <c r="P1534" i="13"/>
  <c r="P1536" i="13"/>
  <c r="P1537" i="13"/>
  <c r="P1538" i="13"/>
  <c r="P1539" i="13"/>
  <c r="P1540" i="13"/>
  <c r="P1541" i="13"/>
  <c r="P1542" i="13"/>
  <c r="P1544" i="13"/>
  <c r="P1545" i="13"/>
  <c r="P1546" i="13"/>
  <c r="P1547" i="13"/>
  <c r="P1548" i="13"/>
  <c r="P1549" i="13"/>
  <c r="P1550" i="13"/>
  <c r="P1552" i="13"/>
  <c r="P1553" i="13"/>
  <c r="P1554" i="13"/>
  <c r="P1555" i="13"/>
  <c r="P1556" i="13"/>
  <c r="P1557" i="13"/>
  <c r="P1558" i="13"/>
  <c r="P1560" i="13"/>
  <c r="P1561" i="13"/>
  <c r="P1562" i="13"/>
  <c r="P1563" i="13"/>
  <c r="P1564" i="13"/>
  <c r="P1565" i="13"/>
  <c r="P1566" i="13"/>
  <c r="P1568" i="13"/>
  <c r="P1569" i="13"/>
  <c r="P1570" i="13"/>
  <c r="P1571" i="13"/>
  <c r="P1572" i="13"/>
  <c r="P1573" i="13"/>
  <c r="P1574" i="13"/>
  <c r="P1576" i="13"/>
  <c r="P1577" i="13"/>
  <c r="P1578" i="13"/>
  <c r="P1579" i="13"/>
  <c r="P1580" i="13"/>
  <c r="P1581" i="13"/>
  <c r="P1582" i="13"/>
  <c r="P1584" i="13"/>
  <c r="P1585" i="13"/>
  <c r="P1586" i="13"/>
  <c r="P1587" i="13"/>
  <c r="P1588" i="13"/>
  <c r="P1589" i="13"/>
  <c r="P1590" i="13"/>
  <c r="P1592" i="13"/>
  <c r="P1593" i="13"/>
  <c r="P1594" i="13"/>
  <c r="P1595" i="13"/>
  <c r="P1596" i="13"/>
  <c r="P1597" i="13"/>
  <c r="P1598" i="13"/>
  <c r="P1600" i="13"/>
  <c r="P1601" i="13"/>
  <c r="P1602" i="13"/>
  <c r="P1603" i="13"/>
  <c r="P1604" i="13"/>
  <c r="P1605" i="13"/>
  <c r="P1606" i="13"/>
  <c r="P1608" i="13"/>
  <c r="P1609" i="13"/>
  <c r="P1610" i="13"/>
  <c r="P1611" i="13"/>
  <c r="P1612" i="13"/>
  <c r="P1613" i="13"/>
  <c r="Q1525" i="13"/>
  <c r="Q1526" i="13"/>
  <c r="Q1527" i="13"/>
  <c r="Q1528" i="13"/>
  <c r="Q1529" i="13"/>
  <c r="Q1530" i="13"/>
  <c r="Q1531" i="13"/>
  <c r="Q1532" i="13"/>
  <c r="Q1533" i="13"/>
  <c r="Q1534" i="13"/>
  <c r="Q1535" i="13"/>
  <c r="Q1536" i="13"/>
  <c r="Q1537" i="13"/>
  <c r="Q1538" i="13"/>
  <c r="Q1539" i="13"/>
  <c r="Q1540" i="13"/>
  <c r="Q1541" i="13"/>
  <c r="Q1542" i="13"/>
  <c r="Q1543" i="13"/>
  <c r="Q1544" i="13"/>
  <c r="Q1545" i="13"/>
  <c r="Q1546" i="13"/>
  <c r="Q1547" i="13"/>
  <c r="Q1548" i="13"/>
  <c r="Q1549" i="13"/>
  <c r="Q1550" i="13"/>
  <c r="Q1551" i="13"/>
  <c r="Q1552" i="13"/>
  <c r="Q1553" i="13"/>
  <c r="Q1554" i="13"/>
  <c r="Q1555" i="13"/>
  <c r="Q1556" i="13"/>
  <c r="Q1557" i="13"/>
  <c r="Q1558" i="13"/>
  <c r="Q1559" i="13"/>
  <c r="Q1560" i="13"/>
  <c r="Q1561" i="13"/>
  <c r="Q1562" i="13"/>
  <c r="Q1563" i="13"/>
  <c r="Q1564" i="13"/>
  <c r="Q1565" i="13"/>
  <c r="Q1566" i="13"/>
  <c r="Q1567" i="13"/>
  <c r="Q1568" i="13"/>
  <c r="Q1569" i="13"/>
  <c r="Q1570" i="13"/>
  <c r="Q1571" i="13"/>
  <c r="Q1572" i="13"/>
  <c r="Q1573" i="13"/>
  <c r="Q1574" i="13"/>
  <c r="Q1575" i="13"/>
  <c r="Q1576" i="13"/>
  <c r="Q1577" i="13"/>
  <c r="Q1578" i="13"/>
  <c r="Q1579" i="13"/>
  <c r="Q1580" i="13"/>
  <c r="Q1581" i="13"/>
  <c r="Q1582" i="13"/>
  <c r="Q1583" i="13"/>
  <c r="Q1584" i="13"/>
  <c r="Q1585" i="13"/>
  <c r="Q1586" i="13"/>
  <c r="Q1587" i="13"/>
  <c r="Q1588" i="13"/>
  <c r="Q1589" i="13"/>
  <c r="Q1590" i="13"/>
  <c r="Q1591" i="13"/>
  <c r="Q1592" i="13"/>
  <c r="Q1593" i="13"/>
  <c r="Q1594" i="13"/>
  <c r="Q1595" i="13"/>
  <c r="Q1596" i="13"/>
  <c r="Q1597" i="13"/>
  <c r="Q1598" i="13"/>
  <c r="Q1599" i="13"/>
  <c r="Q1600" i="13"/>
  <c r="Q1601" i="13"/>
  <c r="Q1602" i="13"/>
  <c r="Q1603" i="13"/>
  <c r="Q1604" i="13"/>
  <c r="Q1605" i="13"/>
  <c r="Q1606" i="13"/>
  <c r="Q1607" i="13"/>
  <c r="Q1608" i="13"/>
  <c r="Q1609" i="13"/>
  <c r="Q1610" i="13"/>
  <c r="Q1611" i="13"/>
  <c r="Q1612" i="13"/>
  <c r="Q1613" i="13"/>
  <c r="S1525" i="13"/>
  <c r="S1526" i="13"/>
  <c r="S1527" i="13"/>
  <c r="S1528" i="13"/>
  <c r="S1529" i="13"/>
  <c r="S1530" i="13"/>
  <c r="S1531" i="13"/>
  <c r="S1532" i="13"/>
  <c r="S1533" i="13"/>
  <c r="S1534" i="13"/>
  <c r="S1535" i="13"/>
  <c r="S1536" i="13"/>
  <c r="S1537" i="13"/>
  <c r="S1538" i="13"/>
  <c r="S1539" i="13"/>
  <c r="S1540" i="13"/>
  <c r="S1541" i="13"/>
  <c r="S1542" i="13"/>
  <c r="S1543" i="13"/>
  <c r="S1544" i="13"/>
  <c r="S1545" i="13"/>
  <c r="S1546" i="13"/>
  <c r="S1547" i="13"/>
  <c r="S1548" i="13"/>
  <c r="S1549" i="13"/>
  <c r="S1550" i="13"/>
  <c r="S1551" i="13"/>
  <c r="S1552" i="13"/>
  <c r="S1553" i="13"/>
  <c r="S1554" i="13"/>
  <c r="S1555" i="13"/>
  <c r="S1556" i="13"/>
  <c r="S1557" i="13"/>
  <c r="S1558" i="13"/>
  <c r="S1559" i="13"/>
  <c r="S1560" i="13"/>
  <c r="S1561" i="13"/>
  <c r="S1562" i="13"/>
  <c r="S1563" i="13"/>
  <c r="S1564" i="13"/>
  <c r="S1565" i="13"/>
  <c r="S1566" i="13"/>
  <c r="S1567" i="13"/>
  <c r="S1568" i="13"/>
  <c r="S1569" i="13"/>
  <c r="S1570" i="13"/>
  <c r="S1571" i="13"/>
  <c r="S1572" i="13"/>
  <c r="S1573" i="13"/>
  <c r="S1574" i="13"/>
  <c r="S1575" i="13"/>
  <c r="S1576" i="13"/>
  <c r="S1577" i="13"/>
  <c r="S1578" i="13"/>
  <c r="S1579" i="13"/>
  <c r="S1580" i="13"/>
  <c r="S1581" i="13"/>
  <c r="S1582" i="13"/>
  <c r="S1583" i="13"/>
  <c r="S1584" i="13"/>
  <c r="S1585" i="13"/>
  <c r="S1586" i="13"/>
  <c r="S1587" i="13"/>
  <c r="S1588" i="13"/>
  <c r="S1589" i="13"/>
  <c r="S1590" i="13"/>
  <c r="S1591" i="13"/>
  <c r="S1592" i="13"/>
  <c r="S1593" i="13"/>
  <c r="S1594" i="13"/>
  <c r="S1595" i="13"/>
  <c r="S1596" i="13"/>
  <c r="S1597" i="13"/>
  <c r="S1598" i="13"/>
  <c r="S1599" i="13"/>
  <c r="S1600" i="13"/>
  <c r="S1601" i="13"/>
  <c r="S1602" i="13"/>
  <c r="S1603" i="13"/>
  <c r="S1604" i="13"/>
  <c r="S1605" i="13"/>
  <c r="S1606" i="13"/>
  <c r="S1607" i="13"/>
  <c r="S1608" i="13"/>
  <c r="S1609" i="13"/>
  <c r="S1610" i="13"/>
  <c r="S1611" i="13"/>
  <c r="S1612" i="13"/>
  <c r="S1613" i="13"/>
  <c r="AI1329" i="13"/>
  <c r="AK1329" i="13" s="1"/>
  <c r="AI1330" i="13"/>
  <c r="AI1332" i="13"/>
  <c r="AK1332" i="13" s="1"/>
  <c r="AI1333" i="13"/>
  <c r="AK1333" i="13" s="1"/>
  <c r="AI1334" i="13"/>
  <c r="AK1334" i="13" s="1"/>
  <c r="AI1335" i="13"/>
  <c r="AK1335" i="13" s="1"/>
  <c r="AI1339" i="13"/>
  <c r="AK1339" i="13" s="1"/>
  <c r="AI1340" i="13"/>
  <c r="AK1340" i="13" s="1"/>
  <c r="AI1341" i="13"/>
  <c r="AK1341" i="13" s="1"/>
  <c r="AI1342" i="13"/>
  <c r="AK1342" i="13" s="1"/>
  <c r="AI1343" i="13"/>
  <c r="AI1344" i="13"/>
  <c r="AK1344" i="13" s="1"/>
  <c r="AI1345" i="13"/>
  <c r="AK1345" i="13" s="1"/>
  <c r="AI1346" i="13"/>
  <c r="AK1346" i="13" s="1"/>
  <c r="AI1347" i="13"/>
  <c r="AK1347" i="13" s="1"/>
  <c r="AI1348" i="13"/>
  <c r="AK1348" i="13" s="1"/>
  <c r="AI1349" i="13"/>
  <c r="AK1349" i="13" s="1"/>
  <c r="AI1350" i="13"/>
  <c r="AK1350" i="13" s="1"/>
  <c r="AI1351" i="13"/>
  <c r="AK1351" i="13" s="1"/>
  <c r="AI1352" i="13"/>
  <c r="AK1352" i="13" s="1"/>
  <c r="AI1353" i="13"/>
  <c r="AK1353" i="13" s="1"/>
  <c r="AI1354" i="13"/>
  <c r="AK1354" i="13" s="1"/>
  <c r="AI1355" i="13"/>
  <c r="AK1355" i="13" s="1"/>
  <c r="AI1356" i="13"/>
  <c r="AK1356" i="13" s="1"/>
  <c r="AI1357" i="13"/>
  <c r="AK1357" i="13" s="1"/>
  <c r="AI1358" i="13"/>
  <c r="AK1358" i="13" s="1"/>
  <c r="AI1359" i="13"/>
  <c r="AK1359" i="13" s="1"/>
  <c r="AI1360" i="13"/>
  <c r="AK1360" i="13" s="1"/>
  <c r="AI1361" i="13"/>
  <c r="AK1361" i="13" s="1"/>
  <c r="AI1362" i="13"/>
  <c r="AK1362" i="13" s="1"/>
  <c r="AI1363" i="13"/>
  <c r="AK1363" i="13" s="1"/>
  <c r="AI1364" i="13"/>
  <c r="AK1364" i="13" s="1"/>
  <c r="AI1365" i="13"/>
  <c r="AK1365" i="13" s="1"/>
  <c r="AI1366" i="13"/>
  <c r="AK1366" i="13" s="1"/>
  <c r="AI1367" i="13"/>
  <c r="AK1367" i="13" s="1"/>
  <c r="AI1368" i="13"/>
  <c r="AK1368" i="13" s="1"/>
  <c r="AI1369" i="13"/>
  <c r="AK1369" i="13" s="1"/>
  <c r="AI1370" i="13"/>
  <c r="AK1370" i="13" s="1"/>
  <c r="AI1371" i="13"/>
  <c r="AK1371" i="13" s="1"/>
  <c r="AI1372" i="13"/>
  <c r="AK1372" i="13" s="1"/>
  <c r="AI1373" i="13"/>
  <c r="AK1373" i="13" s="1"/>
  <c r="AI1374" i="13"/>
  <c r="AK1374" i="13" s="1"/>
  <c r="AI1375" i="13"/>
  <c r="AK1375" i="13" s="1"/>
  <c r="AI1376" i="13"/>
  <c r="AK1376" i="13" s="1"/>
  <c r="AI1377" i="13"/>
  <c r="AK1377" i="13" s="1"/>
  <c r="AI1378" i="13"/>
  <c r="AK1378" i="13" s="1"/>
  <c r="AI1379" i="13"/>
  <c r="AK1379" i="13" s="1"/>
  <c r="AI1380" i="13"/>
  <c r="AK1380" i="13" s="1"/>
  <c r="AI1381" i="13"/>
  <c r="AK1381" i="13" s="1"/>
  <c r="AI1382" i="13"/>
  <c r="AK1382" i="13" s="1"/>
  <c r="AI1383" i="13"/>
  <c r="AK1383" i="13" s="1"/>
  <c r="AI1384" i="13"/>
  <c r="AK1384" i="13" s="1"/>
  <c r="AI1385" i="13"/>
  <c r="AK1385" i="13" s="1"/>
  <c r="AI1386" i="13"/>
  <c r="AK1386" i="13" s="1"/>
  <c r="AI1387" i="13"/>
  <c r="AK1387" i="13" s="1"/>
  <c r="AI1388" i="13"/>
  <c r="AK1388" i="13" s="1"/>
  <c r="AI1389" i="13"/>
  <c r="AK1389" i="13" s="1"/>
  <c r="AI1390" i="13"/>
  <c r="AK1390" i="13" s="1"/>
  <c r="AI1391" i="13"/>
  <c r="AK1391" i="13" s="1"/>
  <c r="AI1392" i="13"/>
  <c r="AK1392" i="13" s="1"/>
  <c r="AI1393" i="13"/>
  <c r="AK1393" i="13" s="1"/>
  <c r="AI1394" i="13"/>
  <c r="AK1394" i="13" s="1"/>
  <c r="AI1395" i="13"/>
  <c r="AK1395" i="13" s="1"/>
  <c r="AI1396" i="13"/>
  <c r="AK1396" i="13" s="1"/>
  <c r="AI1397" i="13"/>
  <c r="AK1397" i="13" s="1"/>
  <c r="AI1398" i="13"/>
  <c r="AK1398" i="13" s="1"/>
  <c r="AI1399" i="13"/>
  <c r="AK1399" i="13" s="1"/>
  <c r="AI1400" i="13"/>
  <c r="AK1400" i="13" s="1"/>
  <c r="AI1401" i="13"/>
  <c r="AK1401" i="13" s="1"/>
  <c r="AI1402" i="13"/>
  <c r="AK1402" i="13" s="1"/>
  <c r="AI1403" i="13"/>
  <c r="AK1403" i="13" s="1"/>
  <c r="AI1404" i="13"/>
  <c r="AK1404" i="13" s="1"/>
  <c r="AI1405" i="13"/>
  <c r="AK1405" i="13" s="1"/>
  <c r="AI1406" i="13"/>
  <c r="AK1406" i="13" s="1"/>
  <c r="AI1407" i="13"/>
  <c r="AK1407" i="13" s="1"/>
  <c r="AI1408" i="13"/>
  <c r="AK1408" i="13" s="1"/>
  <c r="AI1409" i="13"/>
  <c r="AK1409" i="13" s="1"/>
  <c r="AI1410" i="13"/>
  <c r="AK1410" i="13" s="1"/>
  <c r="AI1411" i="13"/>
  <c r="AK1411" i="13" s="1"/>
  <c r="AI1412" i="13"/>
  <c r="AK1412" i="13" s="1"/>
  <c r="AI1413" i="13"/>
  <c r="AK1413" i="13" s="1"/>
  <c r="AI1414" i="13"/>
  <c r="AK1414" i="13" s="1"/>
  <c r="AI1415" i="13"/>
  <c r="AK1415" i="13" s="1"/>
  <c r="AI1416" i="13"/>
  <c r="AK1416" i="13" s="1"/>
  <c r="AI1417" i="13"/>
  <c r="AK1417" i="13" s="1"/>
  <c r="AI1418" i="13"/>
  <c r="AK1418" i="13" s="1"/>
  <c r="AI1419" i="13"/>
  <c r="AK1419" i="13" s="1"/>
  <c r="AI1420" i="13"/>
  <c r="AK1420" i="13" s="1"/>
  <c r="AI1421" i="13"/>
  <c r="AK1421" i="13" s="1"/>
  <c r="AI1422" i="13"/>
  <c r="AK1422" i="13" s="1"/>
  <c r="AI1423" i="13"/>
  <c r="AK1423" i="13" s="1"/>
  <c r="AI1424" i="13"/>
  <c r="AK1424" i="13" s="1"/>
  <c r="AI1425" i="13"/>
  <c r="AK1425" i="13" s="1"/>
  <c r="AI1426" i="13"/>
  <c r="AK1426" i="13" s="1"/>
  <c r="AI1427" i="13"/>
  <c r="AK1427" i="13" s="1"/>
  <c r="AI1428" i="13"/>
  <c r="AK1428" i="13" s="1"/>
  <c r="AI1429" i="13"/>
  <c r="AK1429" i="13" s="1"/>
  <c r="AI1430" i="13"/>
  <c r="AK1430" i="13" s="1"/>
  <c r="AI1431" i="13"/>
  <c r="AK1431" i="13" s="1"/>
  <c r="AI1432" i="13"/>
  <c r="AK1432" i="13" s="1"/>
  <c r="AI1433" i="13"/>
  <c r="AK1433" i="13" s="1"/>
  <c r="AI1434" i="13"/>
  <c r="AK1434" i="13" s="1"/>
  <c r="AI1435" i="13"/>
  <c r="AK1435" i="13" s="1"/>
  <c r="AI1436" i="13"/>
  <c r="AK1436" i="13" s="1"/>
  <c r="AI1437" i="13"/>
  <c r="AK1437" i="13" s="1"/>
  <c r="AI1438" i="13"/>
  <c r="AK1438" i="13" s="1"/>
  <c r="AI1439" i="13"/>
  <c r="AK1439" i="13" s="1"/>
  <c r="AI1440" i="13"/>
  <c r="AK1440" i="13" s="1"/>
  <c r="AI1441" i="13"/>
  <c r="AK1441" i="13" s="1"/>
  <c r="AI1442" i="13"/>
  <c r="AK1442" i="13" s="1"/>
  <c r="AI1443" i="13"/>
  <c r="AK1443" i="13" s="1"/>
  <c r="AI1444" i="13"/>
  <c r="AK1444" i="13" s="1"/>
  <c r="AI1445" i="13"/>
  <c r="AK1445" i="13" s="1"/>
  <c r="AI1446" i="13"/>
  <c r="AK1446" i="13" s="1"/>
  <c r="AI1447" i="13"/>
  <c r="AK1447" i="13" s="1"/>
  <c r="AI1448" i="13"/>
  <c r="AK1448" i="13" s="1"/>
  <c r="AI1449" i="13"/>
  <c r="AK1449" i="13" s="1"/>
  <c r="AI1450" i="13"/>
  <c r="AK1450" i="13" s="1"/>
  <c r="AI1451" i="13"/>
  <c r="AK1451" i="13" s="1"/>
  <c r="AI1452" i="13"/>
  <c r="AK1452" i="13" s="1"/>
  <c r="AI1453" i="13"/>
  <c r="AK1453" i="13" s="1"/>
  <c r="AI1454" i="13"/>
  <c r="AK1454" i="13" s="1"/>
  <c r="AI1455" i="13"/>
  <c r="AK1455" i="13" s="1"/>
  <c r="AI1456" i="13"/>
  <c r="AK1456" i="13" s="1"/>
  <c r="AI1457" i="13"/>
  <c r="AK1457" i="13" s="1"/>
  <c r="AI1458" i="13"/>
  <c r="AK1458" i="13" s="1"/>
  <c r="AI1459" i="13"/>
  <c r="AK1459" i="13" s="1"/>
  <c r="AI1460" i="13"/>
  <c r="AK1460" i="13" s="1"/>
  <c r="AI1461" i="13"/>
  <c r="AK1461" i="13" s="1"/>
  <c r="AI1462" i="13"/>
  <c r="AK1462" i="13" s="1"/>
  <c r="AI1463" i="13"/>
  <c r="AK1463" i="13" s="1"/>
  <c r="AI1464" i="13"/>
  <c r="AK1464" i="13" s="1"/>
  <c r="AI1465" i="13"/>
  <c r="AK1465" i="13" s="1"/>
  <c r="AI1466" i="13"/>
  <c r="AK1466" i="13" s="1"/>
  <c r="AI1467" i="13"/>
  <c r="AK1467" i="13" s="1"/>
  <c r="AI1468" i="13"/>
  <c r="AK1468" i="13" s="1"/>
  <c r="AI1469" i="13"/>
  <c r="AK1469" i="13" s="1"/>
  <c r="AI1470" i="13"/>
  <c r="AK1470" i="13" s="1"/>
  <c r="AI1471" i="13"/>
  <c r="AK1471" i="13" s="1"/>
  <c r="AI1472" i="13"/>
  <c r="AK1472" i="13" s="1"/>
  <c r="AI1473" i="13"/>
  <c r="AK1473" i="13" s="1"/>
  <c r="AI1474" i="13"/>
  <c r="AK1474" i="13" s="1"/>
  <c r="AI1475" i="13"/>
  <c r="AK1475" i="13" s="1"/>
  <c r="AI1476" i="13"/>
  <c r="AK1476" i="13" s="1"/>
  <c r="AI1477" i="13"/>
  <c r="AK1477" i="13" s="1"/>
  <c r="AI1478" i="13"/>
  <c r="AK1478" i="13" s="1"/>
  <c r="AI1479" i="13"/>
  <c r="AK1479" i="13" s="1"/>
  <c r="AI1480" i="13"/>
  <c r="AK1480" i="13" s="1"/>
  <c r="AI1481" i="13"/>
  <c r="AK1481" i="13" s="1"/>
  <c r="AI1482" i="13"/>
  <c r="AK1482" i="13" s="1"/>
  <c r="AI1483" i="13"/>
  <c r="AK1483" i="13" s="1"/>
  <c r="AI1484" i="13"/>
  <c r="AK1484" i="13" s="1"/>
  <c r="AI1485" i="13"/>
  <c r="AK1485" i="13" s="1"/>
  <c r="AI1486" i="13"/>
  <c r="AK1486" i="13" s="1"/>
  <c r="AI1487" i="13"/>
  <c r="AK1487" i="13" s="1"/>
  <c r="AI1488" i="13"/>
  <c r="AK1488" i="13" s="1"/>
  <c r="AI1489" i="13"/>
  <c r="AK1489" i="13" s="1"/>
  <c r="AI1490" i="13"/>
  <c r="AK1490" i="13" s="1"/>
  <c r="AI1491" i="13"/>
  <c r="AK1491" i="13" s="1"/>
  <c r="AI1492" i="13"/>
  <c r="AK1492" i="13" s="1"/>
  <c r="AI1493" i="13"/>
  <c r="AK1493" i="13" s="1"/>
  <c r="AI1494" i="13"/>
  <c r="AK1494" i="13" s="1"/>
  <c r="AI1495" i="13"/>
  <c r="AK1495" i="13" s="1"/>
  <c r="AI1496" i="13"/>
  <c r="AK1496" i="13" s="1"/>
  <c r="AI1497" i="13"/>
  <c r="AK1497" i="13" s="1"/>
  <c r="AI1498" i="13"/>
  <c r="AK1498" i="13" s="1"/>
  <c r="AI1499" i="13"/>
  <c r="AK1499" i="13" s="1"/>
  <c r="AI1500" i="13"/>
  <c r="AK1500" i="13" s="1"/>
  <c r="AI1501" i="13"/>
  <c r="AK1501" i="13" s="1"/>
  <c r="AI1502" i="13"/>
  <c r="AK1502" i="13" s="1"/>
  <c r="AI1503" i="13"/>
  <c r="AK1503" i="13" s="1"/>
  <c r="AI1504" i="13"/>
  <c r="AK1504" i="13" s="1"/>
  <c r="AI1505" i="13"/>
  <c r="AK1505" i="13" s="1"/>
  <c r="AI1506" i="13"/>
  <c r="AK1506" i="13" s="1"/>
  <c r="AI1507" i="13"/>
  <c r="AK1507" i="13" s="1"/>
  <c r="AI1508" i="13"/>
  <c r="AK1508" i="13" s="1"/>
  <c r="AI1509" i="13"/>
  <c r="AK1509" i="13" s="1"/>
  <c r="AI1510" i="13"/>
  <c r="AK1510" i="13" s="1"/>
  <c r="AI1511" i="13"/>
  <c r="AK1511" i="13" s="1"/>
  <c r="AI1512" i="13"/>
  <c r="AK1512" i="13" s="1"/>
  <c r="AI1513" i="13"/>
  <c r="AK1513" i="13" s="1"/>
  <c r="AI1514" i="13"/>
  <c r="AK1514" i="13" s="1"/>
  <c r="AI1515" i="13"/>
  <c r="AK1515" i="13" s="1"/>
  <c r="AI1516" i="13"/>
  <c r="AK1516" i="13" s="1"/>
  <c r="AI1517" i="13"/>
  <c r="AK1517" i="13" s="1"/>
  <c r="AI1518" i="13"/>
  <c r="AK1518" i="13" s="1"/>
  <c r="AI1519" i="13"/>
  <c r="AK1519" i="13" s="1"/>
  <c r="AI1520" i="13"/>
  <c r="AK1520" i="13" s="1"/>
  <c r="AI1521" i="13"/>
  <c r="AK1521" i="13" s="1"/>
  <c r="AI1522" i="13"/>
  <c r="AK1522" i="13" s="1"/>
  <c r="AI1523" i="13"/>
  <c r="AK1523" i="13" s="1"/>
  <c r="AI1524" i="13"/>
  <c r="AK1524" i="13" s="1"/>
  <c r="AI1525" i="13"/>
  <c r="AK1525" i="13" s="1"/>
  <c r="AI1526" i="13"/>
  <c r="AK1526" i="13" s="1"/>
  <c r="AI1527" i="13"/>
  <c r="AK1527" i="13" s="1"/>
  <c r="AI1528" i="13"/>
  <c r="AK1528" i="13" s="1"/>
  <c r="AI1529" i="13"/>
  <c r="AK1529" i="13" s="1"/>
  <c r="AI1530" i="13"/>
  <c r="AK1530" i="13" s="1"/>
  <c r="AI1531" i="13"/>
  <c r="AK1531" i="13" s="1"/>
  <c r="AI1532" i="13"/>
  <c r="AK1532" i="13" s="1"/>
  <c r="AI1533" i="13"/>
  <c r="AK1533" i="13" s="1"/>
  <c r="AI1534" i="13"/>
  <c r="AK1534" i="13" s="1"/>
  <c r="AI1535" i="13"/>
  <c r="AK1535" i="13" s="1"/>
  <c r="AI1536" i="13"/>
  <c r="AK1536" i="13" s="1"/>
  <c r="AI1537" i="13"/>
  <c r="AK1537" i="13" s="1"/>
  <c r="AI1538" i="13"/>
  <c r="AK1538" i="13" s="1"/>
  <c r="AI1539" i="13"/>
  <c r="AK1539" i="13" s="1"/>
  <c r="AI1540" i="13"/>
  <c r="AK1540" i="13" s="1"/>
  <c r="AI1541" i="13"/>
  <c r="AK1541" i="13" s="1"/>
  <c r="AI1542" i="13"/>
  <c r="AK1542" i="13" s="1"/>
  <c r="AI1543" i="13"/>
  <c r="AK1543" i="13" s="1"/>
  <c r="AI1544" i="13"/>
  <c r="AK1544" i="13" s="1"/>
  <c r="AI1545" i="13"/>
  <c r="AK1545" i="13" s="1"/>
  <c r="AI1546" i="13"/>
  <c r="AK1546" i="13" s="1"/>
  <c r="AI1547" i="13"/>
  <c r="AK1547" i="13" s="1"/>
  <c r="AI1548" i="13"/>
  <c r="AK1548" i="13" s="1"/>
  <c r="AI1549" i="13"/>
  <c r="AK1549" i="13" s="1"/>
  <c r="AI1550" i="13"/>
  <c r="AK1550" i="13" s="1"/>
  <c r="AI1551" i="13"/>
  <c r="AK1551" i="13" s="1"/>
  <c r="AI1552" i="13"/>
  <c r="AK1552" i="13" s="1"/>
  <c r="AI1553" i="13"/>
  <c r="AK1553" i="13" s="1"/>
  <c r="AI1554" i="13"/>
  <c r="AK1554" i="13" s="1"/>
  <c r="AI1555" i="13"/>
  <c r="AK1555" i="13" s="1"/>
  <c r="AI1556" i="13"/>
  <c r="AK1556" i="13" s="1"/>
  <c r="AI1557" i="13"/>
  <c r="AK1557" i="13" s="1"/>
  <c r="AI1558" i="13"/>
  <c r="AK1558" i="13" s="1"/>
  <c r="AI1559" i="13"/>
  <c r="AK1559" i="13" s="1"/>
  <c r="AI1560" i="13"/>
  <c r="AK1560" i="13" s="1"/>
  <c r="AI1561" i="13"/>
  <c r="AK1561" i="13" s="1"/>
  <c r="AI1562" i="13"/>
  <c r="AK1562" i="13" s="1"/>
  <c r="AI1563" i="13"/>
  <c r="AK1563" i="13" s="1"/>
  <c r="AI1564" i="13"/>
  <c r="AK1564" i="13" s="1"/>
  <c r="AI1565" i="13"/>
  <c r="AK1565" i="13" s="1"/>
  <c r="AI1566" i="13"/>
  <c r="AK1566" i="13" s="1"/>
  <c r="AI1567" i="13"/>
  <c r="AK1567" i="13" s="1"/>
  <c r="AI1568" i="13"/>
  <c r="AK1568" i="13" s="1"/>
  <c r="AI1569" i="13"/>
  <c r="AK1569" i="13" s="1"/>
  <c r="AI1570" i="13"/>
  <c r="AK1570" i="13" s="1"/>
  <c r="AI1571" i="13"/>
  <c r="AK1571" i="13" s="1"/>
  <c r="AI1572" i="13"/>
  <c r="AK1572" i="13" s="1"/>
  <c r="AI1573" i="13"/>
  <c r="AK1573" i="13" s="1"/>
  <c r="AI1574" i="13"/>
  <c r="AK1574" i="13" s="1"/>
  <c r="AI1575" i="13"/>
  <c r="AK1575" i="13" s="1"/>
  <c r="AI1576" i="13"/>
  <c r="AK1576" i="13" s="1"/>
  <c r="AI1577" i="13"/>
  <c r="AK1577" i="13" s="1"/>
  <c r="AI1578" i="13"/>
  <c r="AK1578" i="13" s="1"/>
  <c r="AI1579" i="13"/>
  <c r="AK1579" i="13" s="1"/>
  <c r="AI1580" i="13"/>
  <c r="AK1580" i="13" s="1"/>
  <c r="AI1581" i="13"/>
  <c r="AK1581" i="13" s="1"/>
  <c r="AI1582" i="13"/>
  <c r="AK1582" i="13" s="1"/>
  <c r="AI1583" i="13"/>
  <c r="AK1583" i="13" s="1"/>
  <c r="AI1584" i="13"/>
  <c r="AK1584" i="13" s="1"/>
  <c r="AI1585" i="13"/>
  <c r="AK1585" i="13" s="1"/>
  <c r="AI1586" i="13"/>
  <c r="AK1586" i="13" s="1"/>
  <c r="AI1587" i="13"/>
  <c r="AK1587" i="13" s="1"/>
  <c r="AI1588" i="13"/>
  <c r="AK1588" i="13" s="1"/>
  <c r="AI1589" i="13"/>
  <c r="AK1589" i="13" s="1"/>
  <c r="AI1590" i="13"/>
  <c r="AK1590" i="13" s="1"/>
  <c r="AI1591" i="13"/>
  <c r="AK1591" i="13" s="1"/>
  <c r="AI1592" i="13"/>
  <c r="AK1592" i="13" s="1"/>
  <c r="AI1593" i="13"/>
  <c r="AK1593" i="13" s="1"/>
  <c r="AI1594" i="13"/>
  <c r="AK1594" i="13" s="1"/>
  <c r="AI1595" i="13"/>
  <c r="AK1595" i="13" s="1"/>
  <c r="AI1596" i="13"/>
  <c r="AK1596" i="13" s="1"/>
  <c r="AI1597" i="13"/>
  <c r="AK1597" i="13" s="1"/>
  <c r="AI1598" i="13"/>
  <c r="AK1598" i="13" s="1"/>
  <c r="AI1599" i="13"/>
  <c r="AK1599" i="13" s="1"/>
  <c r="AI1600" i="13"/>
  <c r="AK1600" i="13" s="1"/>
  <c r="AI1601" i="13"/>
  <c r="AK1601" i="13" s="1"/>
  <c r="AI1602" i="13"/>
  <c r="AK1602" i="13" s="1"/>
  <c r="AI1603" i="13"/>
  <c r="AK1603" i="13" s="1"/>
  <c r="AI1604" i="13"/>
  <c r="AK1604" i="13" s="1"/>
  <c r="AI1605" i="13"/>
  <c r="AK1605" i="13" s="1"/>
  <c r="AI1606" i="13"/>
  <c r="AK1606" i="13" s="1"/>
  <c r="AI1607" i="13"/>
  <c r="AK1607" i="13" s="1"/>
  <c r="AI1608" i="13"/>
  <c r="AK1608" i="13" s="1"/>
  <c r="AI1609" i="13"/>
  <c r="AK1609" i="13" s="1"/>
  <c r="AI1610" i="13"/>
  <c r="AK1610" i="13" s="1"/>
  <c r="AI1611" i="13"/>
  <c r="AK1611" i="13" s="1"/>
  <c r="AI1612" i="13"/>
  <c r="AK1612" i="13" s="1"/>
  <c r="AI1613" i="13"/>
  <c r="AK1613" i="13" s="1"/>
  <c r="AK1330" i="13"/>
  <c r="AK1343" i="13"/>
  <c r="AI1189" i="13"/>
  <c r="AK1189" i="13" s="1"/>
  <c r="B1189" i="13"/>
  <c r="K1591" i="13" l="1"/>
  <c r="N1591" i="13"/>
  <c r="O1591" i="13"/>
  <c r="K1551" i="13"/>
  <c r="N1551" i="13"/>
  <c r="O1551" i="13"/>
  <c r="K1583" i="13"/>
  <c r="N1583" i="13"/>
  <c r="O1583" i="13"/>
  <c r="K1527" i="13"/>
  <c r="N1527" i="13"/>
  <c r="O1527" i="13"/>
  <c r="K1607" i="13"/>
  <c r="N1607" i="13"/>
  <c r="O1607" i="13"/>
  <c r="K1535" i="13"/>
  <c r="N1535" i="13"/>
  <c r="O1535" i="13"/>
  <c r="K1567" i="13"/>
  <c r="N1567" i="13"/>
  <c r="O1567" i="13"/>
  <c r="K1599" i="13"/>
  <c r="N1599" i="13"/>
  <c r="O1599" i="13"/>
  <c r="K1559" i="13"/>
  <c r="N1559" i="13"/>
  <c r="O1559" i="13"/>
  <c r="P1607" i="13"/>
  <c r="P1599" i="13"/>
  <c r="P1591" i="13"/>
  <c r="P1583" i="13"/>
  <c r="P1567" i="13"/>
  <c r="P1559" i="13"/>
  <c r="P1551" i="13"/>
  <c r="P1543" i="13"/>
  <c r="P1535" i="13"/>
  <c r="P1527" i="13"/>
  <c r="K1575" i="13"/>
  <c r="N1575" i="13"/>
  <c r="O1575" i="13"/>
  <c r="L1607" i="13"/>
  <c r="L1599" i="13"/>
  <c r="L1591" i="13"/>
  <c r="L1583" i="13"/>
  <c r="L1575" i="13"/>
  <c r="L1567" i="13"/>
  <c r="L1559" i="13"/>
  <c r="L1551" i="13"/>
  <c r="L1535" i="13"/>
  <c r="L1527" i="13"/>
  <c r="K1543" i="13"/>
  <c r="N1543" i="13"/>
  <c r="O1543" i="13"/>
  <c r="M1607" i="13"/>
  <c r="M1599" i="13"/>
  <c r="M1591" i="13"/>
  <c r="M1583" i="13"/>
  <c r="M1575" i="13"/>
  <c r="M1567" i="13"/>
  <c r="M1559" i="13"/>
  <c r="M1551" i="13"/>
  <c r="M1543" i="13"/>
  <c r="M1535" i="13"/>
  <c r="M1527" i="13"/>
  <c r="AI1187" i="13"/>
  <c r="AK1187" i="13" s="1"/>
  <c r="B1187" i="13"/>
  <c r="AI1185" i="13"/>
  <c r="AK1185" i="13" s="1"/>
  <c r="B1185" i="13"/>
  <c r="AI1183" i="13" l="1"/>
  <c r="AK1183" i="13" s="1"/>
  <c r="B1183" i="13"/>
  <c r="AI1182" i="13"/>
  <c r="AK1182" i="13" s="1"/>
  <c r="B1182" i="13"/>
  <c r="AI1181" i="13"/>
  <c r="AK1181" i="13" s="1"/>
  <c r="B1181" i="13"/>
  <c r="AI1035" i="13"/>
  <c r="B1035" i="13"/>
  <c r="AI1034" i="13"/>
  <c r="B1034" i="13"/>
  <c r="AI1033" i="13"/>
  <c r="B1033" i="13"/>
  <c r="B1175" i="13"/>
  <c r="B1176" i="13"/>
  <c r="B1177" i="13"/>
  <c r="B1178" i="13"/>
  <c r="B1179" i="13"/>
  <c r="B1180" i="13"/>
  <c r="B1184" i="13"/>
  <c r="B1186" i="13"/>
  <c r="B1188" i="13"/>
  <c r="B1190" i="13"/>
  <c r="B1192" i="13"/>
  <c r="B1193" i="13"/>
  <c r="B1194" i="13"/>
  <c r="B1198" i="13"/>
  <c r="B1199" i="13"/>
  <c r="B1200" i="13"/>
  <c r="B1201" i="13"/>
  <c r="B1202" i="13"/>
  <c r="B1203" i="13"/>
  <c r="B1205" i="13"/>
  <c r="B1206" i="13"/>
  <c r="B1207" i="13"/>
  <c r="B1208" i="13"/>
  <c r="B1209" i="13"/>
  <c r="B1211" i="13"/>
  <c r="B1212" i="13"/>
  <c r="B1213" i="13"/>
  <c r="B1214" i="13"/>
  <c r="B1215" i="13"/>
  <c r="B1216" i="13"/>
  <c r="B1217" i="13"/>
  <c r="B1218" i="13"/>
  <c r="B1219" i="13"/>
  <c r="B1223" i="13"/>
  <c r="B1224" i="13"/>
  <c r="B1225" i="13"/>
  <c r="B1228" i="13"/>
  <c r="B1230" i="13"/>
  <c r="B1232" i="13"/>
  <c r="B1233" i="13"/>
  <c r="B1234" i="13"/>
  <c r="B1235" i="13"/>
  <c r="B1240" i="13"/>
  <c r="B1241" i="13"/>
  <c r="B1242" i="13"/>
  <c r="B1243" i="13"/>
  <c r="B1244" i="13"/>
  <c r="B1245" i="13"/>
  <c r="B1246" i="13"/>
  <c r="B1250" i="13"/>
  <c r="B1252" i="13"/>
  <c r="B1254" i="13"/>
  <c r="B1255" i="13"/>
  <c r="B1262" i="13"/>
  <c r="B1263" i="13"/>
  <c r="B1265" i="13"/>
  <c r="B1266" i="13"/>
  <c r="B1267" i="13"/>
  <c r="B1270" i="13"/>
  <c r="B1271" i="13"/>
  <c r="B1272" i="13"/>
  <c r="B1273" i="13"/>
  <c r="B1274" i="13"/>
  <c r="B1278" i="13"/>
  <c r="B1279" i="13"/>
  <c r="B1280" i="13"/>
  <c r="B1281" i="13"/>
  <c r="B1282" i="13"/>
  <c r="B1283" i="13"/>
  <c r="B1285" i="13"/>
  <c r="B1286" i="13"/>
  <c r="B1287" i="13"/>
  <c r="B1288" i="13"/>
  <c r="B1289" i="13"/>
  <c r="B1290" i="13"/>
  <c r="B1291" i="13"/>
  <c r="B1292" i="13"/>
  <c r="B1296" i="13"/>
  <c r="B1297" i="13"/>
  <c r="B1298" i="13"/>
  <c r="B1299" i="13"/>
  <c r="B1300" i="13"/>
  <c r="B1301" i="13"/>
  <c r="B1302" i="13"/>
  <c r="B1303" i="13"/>
  <c r="B1304" i="13"/>
  <c r="B1305" i="13"/>
  <c r="B1306" i="13"/>
  <c r="B1307" i="13"/>
  <c r="B1308" i="13"/>
  <c r="B1311" i="13"/>
  <c r="B1312" i="13"/>
  <c r="B1313" i="13"/>
  <c r="B1314" i="13"/>
  <c r="B1315" i="13"/>
  <c r="B1316" i="13"/>
  <c r="B1317" i="13"/>
  <c r="B1318" i="13"/>
  <c r="B1319" i="13"/>
  <c r="B1320" i="13"/>
  <c r="B1322" i="13"/>
  <c r="B1323" i="13"/>
  <c r="B1324" i="13"/>
  <c r="B1327" i="13"/>
  <c r="B1328" i="13"/>
  <c r="AI1175" i="13"/>
  <c r="AK1175" i="13" s="1"/>
  <c r="AI1176" i="13"/>
  <c r="AK1176" i="13" s="1"/>
  <c r="AI1177" i="13"/>
  <c r="AK1177" i="13" s="1"/>
  <c r="AI1178" i="13"/>
  <c r="AK1178" i="13" s="1"/>
  <c r="AI1179" i="13"/>
  <c r="AK1179" i="13" s="1"/>
  <c r="AI1180" i="13"/>
  <c r="AK1180" i="13" s="1"/>
  <c r="AI1184" i="13"/>
  <c r="AK1184" i="13" s="1"/>
  <c r="AI1186" i="13"/>
  <c r="AK1186" i="13" s="1"/>
  <c r="AI1188" i="13"/>
  <c r="AK1188" i="13" s="1"/>
  <c r="AI1190" i="13"/>
  <c r="AK1190" i="13" s="1"/>
  <c r="AI1192" i="13"/>
  <c r="AK1192" i="13" s="1"/>
  <c r="AI1193" i="13"/>
  <c r="AK1193" i="13" s="1"/>
  <c r="AI1194" i="13"/>
  <c r="AK1194" i="13" s="1"/>
  <c r="AI1198" i="13"/>
  <c r="AI1199" i="13"/>
  <c r="AK1199" i="13" s="1"/>
  <c r="AI1200" i="13"/>
  <c r="AK1200" i="13" s="1"/>
  <c r="AI1201" i="13"/>
  <c r="AK1201" i="13" s="1"/>
  <c r="AI1202" i="13"/>
  <c r="AK1202" i="13" s="1"/>
  <c r="AI1203" i="13"/>
  <c r="AI1205" i="13"/>
  <c r="AI1206" i="13"/>
  <c r="AK1206" i="13" s="1"/>
  <c r="AI1207" i="13"/>
  <c r="AK1207" i="13" s="1"/>
  <c r="AI1208" i="13"/>
  <c r="AK1208" i="13" s="1"/>
  <c r="AI1209" i="13"/>
  <c r="AK1209" i="13" s="1"/>
  <c r="AI1211" i="13"/>
  <c r="AK1211" i="13" s="1"/>
  <c r="AI1212" i="13"/>
  <c r="AK1212" i="13" s="1"/>
  <c r="AI1213" i="13"/>
  <c r="AK1213" i="13" s="1"/>
  <c r="AI1214" i="13"/>
  <c r="AK1214" i="13" s="1"/>
  <c r="AI1215" i="13"/>
  <c r="AK1215" i="13" s="1"/>
  <c r="AI1216" i="13"/>
  <c r="AK1216" i="13" s="1"/>
  <c r="AI1217" i="13"/>
  <c r="AK1217" i="13" s="1"/>
  <c r="AI1218" i="13"/>
  <c r="AK1218" i="13" s="1"/>
  <c r="AI1219" i="13"/>
  <c r="AK1219" i="13" s="1"/>
  <c r="AI1223" i="13"/>
  <c r="AK1223" i="13" s="1"/>
  <c r="AI1224" i="13"/>
  <c r="AK1224" i="13" s="1"/>
  <c r="AI1225" i="13"/>
  <c r="AK1225" i="13" s="1"/>
  <c r="AI1228" i="13"/>
  <c r="AK1228" i="13" s="1"/>
  <c r="AI1230" i="13"/>
  <c r="AK1230" i="13" s="1"/>
  <c r="AI1232" i="13"/>
  <c r="AK1232" i="13" s="1"/>
  <c r="AI1233" i="13"/>
  <c r="AK1233" i="13" s="1"/>
  <c r="AI1234" i="13"/>
  <c r="AK1234" i="13" s="1"/>
  <c r="AI1235" i="13"/>
  <c r="AK1235" i="13" s="1"/>
  <c r="AI1240" i="13"/>
  <c r="AK1240" i="13" s="1"/>
  <c r="AI1241" i="13"/>
  <c r="AK1241" i="13" s="1"/>
  <c r="AI1242" i="13"/>
  <c r="AK1242" i="13" s="1"/>
  <c r="AI1243" i="13"/>
  <c r="AK1243" i="13" s="1"/>
  <c r="AI1244" i="13"/>
  <c r="AK1244" i="13" s="1"/>
  <c r="AI1245" i="13"/>
  <c r="AK1245" i="13" s="1"/>
  <c r="AI1246" i="13"/>
  <c r="AK1246" i="13" s="1"/>
  <c r="AI1250" i="13"/>
  <c r="AK1250" i="13" s="1"/>
  <c r="AI1252" i="13"/>
  <c r="AK1252" i="13" s="1"/>
  <c r="AI1254" i="13"/>
  <c r="AK1254" i="13" s="1"/>
  <c r="AI1255" i="13"/>
  <c r="AK1255" i="13" s="1"/>
  <c r="AI1262" i="13"/>
  <c r="AK1262" i="13" s="1"/>
  <c r="AI1263" i="13"/>
  <c r="AK1263" i="13" s="1"/>
  <c r="AI1265" i="13"/>
  <c r="AK1265" i="13" s="1"/>
  <c r="AI1266" i="13"/>
  <c r="AK1266" i="13" s="1"/>
  <c r="AI1267" i="13"/>
  <c r="AK1267" i="13" s="1"/>
  <c r="AI1270" i="13"/>
  <c r="AK1270" i="13" s="1"/>
  <c r="AI1271" i="13"/>
  <c r="AK1271" i="13" s="1"/>
  <c r="AI1272" i="13"/>
  <c r="AK1272" i="13" s="1"/>
  <c r="AI1273" i="13"/>
  <c r="AK1273" i="13" s="1"/>
  <c r="AI1274" i="13"/>
  <c r="AK1274" i="13" s="1"/>
  <c r="AI1278" i="13"/>
  <c r="AK1278" i="13" s="1"/>
  <c r="AI1279" i="13"/>
  <c r="AK1279" i="13" s="1"/>
  <c r="AI1280" i="13"/>
  <c r="AK1280" i="13" s="1"/>
  <c r="AI1281" i="13"/>
  <c r="AK1281" i="13" s="1"/>
  <c r="AI1282" i="13"/>
  <c r="AK1282" i="13" s="1"/>
  <c r="AI1283" i="13"/>
  <c r="AK1283" i="13" s="1"/>
  <c r="AI1285" i="13"/>
  <c r="AK1285" i="13" s="1"/>
  <c r="AI1286" i="13"/>
  <c r="AK1286" i="13" s="1"/>
  <c r="AI1287" i="13"/>
  <c r="AK1287" i="13" s="1"/>
  <c r="AI1288" i="13"/>
  <c r="AK1288" i="13" s="1"/>
  <c r="AI1289" i="13"/>
  <c r="AK1289" i="13" s="1"/>
  <c r="AI1290" i="13"/>
  <c r="AK1290" i="13" s="1"/>
  <c r="AI1291" i="13"/>
  <c r="AK1291" i="13" s="1"/>
  <c r="AI1292" i="13"/>
  <c r="AK1292" i="13" s="1"/>
  <c r="AI1296" i="13"/>
  <c r="AK1296" i="13" s="1"/>
  <c r="AI1297" i="13"/>
  <c r="AK1297" i="13" s="1"/>
  <c r="AI1298" i="13"/>
  <c r="AK1298" i="13" s="1"/>
  <c r="AI1299" i="13"/>
  <c r="AK1299" i="13" s="1"/>
  <c r="AI1300" i="13"/>
  <c r="AK1300" i="13" s="1"/>
  <c r="AI1301" i="13"/>
  <c r="AK1301" i="13" s="1"/>
  <c r="AI1302" i="13"/>
  <c r="AK1302" i="13" s="1"/>
  <c r="AI1303" i="13"/>
  <c r="AK1303" i="13" s="1"/>
  <c r="AI1304" i="13"/>
  <c r="AK1304" i="13" s="1"/>
  <c r="AI1305" i="13"/>
  <c r="AK1305" i="13" s="1"/>
  <c r="AI1306" i="13"/>
  <c r="AK1306" i="13" s="1"/>
  <c r="AI1307" i="13"/>
  <c r="AK1307" i="13" s="1"/>
  <c r="AI1308" i="13"/>
  <c r="AK1308" i="13" s="1"/>
  <c r="AI1311" i="13"/>
  <c r="AK1311" i="13" s="1"/>
  <c r="AI1312" i="13"/>
  <c r="AK1312" i="13" s="1"/>
  <c r="AI1313" i="13"/>
  <c r="AK1313" i="13" s="1"/>
  <c r="AI1314" i="13"/>
  <c r="AK1314" i="13" s="1"/>
  <c r="AI1315" i="13"/>
  <c r="AK1315" i="13" s="1"/>
  <c r="AI1316" i="13"/>
  <c r="AK1316" i="13" s="1"/>
  <c r="AI1317" i="13"/>
  <c r="AK1317" i="13" s="1"/>
  <c r="AI1318" i="13"/>
  <c r="AK1318" i="13" s="1"/>
  <c r="AI1319" i="13"/>
  <c r="AK1319" i="13" s="1"/>
  <c r="AI1320" i="13"/>
  <c r="AK1320" i="13" s="1"/>
  <c r="AI1322" i="13"/>
  <c r="AK1322" i="13" s="1"/>
  <c r="AI1323" i="13"/>
  <c r="AK1323" i="13" s="1"/>
  <c r="AI1324" i="13"/>
  <c r="AK1324" i="13" s="1"/>
  <c r="AI1327" i="13"/>
  <c r="AK1327" i="13" s="1"/>
  <c r="AI1328" i="13"/>
  <c r="AK1328" i="13" s="1"/>
  <c r="AK1198" i="13"/>
  <c r="AK1203" i="13"/>
  <c r="AK1205" i="13"/>
  <c r="B1044" i="13"/>
  <c r="B1045" i="13"/>
  <c r="B1048" i="13"/>
  <c r="B1049" i="13"/>
  <c r="B1050" i="13"/>
  <c r="B1051" i="13"/>
  <c r="B1052" i="13"/>
  <c r="B1053" i="13"/>
  <c r="B1054" i="13"/>
  <c r="B1055" i="13"/>
  <c r="B1056" i="13"/>
  <c r="B1057" i="13"/>
  <c r="B1058" i="13"/>
  <c r="B1059" i="13"/>
  <c r="B1060" i="13"/>
  <c r="B1061" i="13"/>
  <c r="B1062" i="13"/>
  <c r="B1063" i="13"/>
  <c r="B1064" i="13"/>
  <c r="B1065" i="13"/>
  <c r="B1066" i="13"/>
  <c r="B1067" i="13"/>
  <c r="B1068" i="13"/>
  <c r="B1069" i="13"/>
  <c r="B1070" i="13"/>
  <c r="B1071" i="13"/>
  <c r="B1072" i="13"/>
  <c r="B1073" i="13"/>
  <c r="B1074" i="13"/>
  <c r="B1075" i="13"/>
  <c r="B1076" i="13"/>
  <c r="B1077" i="13"/>
  <c r="B1078" i="13"/>
  <c r="B1079" i="13"/>
  <c r="B1080" i="13"/>
  <c r="B1081" i="13"/>
  <c r="B1082" i="13"/>
  <c r="B1083" i="13"/>
  <c r="B1084" i="13"/>
  <c r="B1085" i="13"/>
  <c r="B1086" i="13"/>
  <c r="B1087" i="13"/>
  <c r="B1088" i="13"/>
  <c r="B1089" i="13"/>
  <c r="B1090" i="13"/>
  <c r="B1091" i="13"/>
  <c r="B1092" i="13"/>
  <c r="B1093" i="13"/>
  <c r="B1094" i="13"/>
  <c r="B1095" i="13"/>
  <c r="B1096" i="13"/>
  <c r="B1097" i="13"/>
  <c r="B1098" i="13"/>
  <c r="B1099" i="13"/>
  <c r="B1100" i="13"/>
  <c r="B1101" i="13"/>
  <c r="B1102" i="13"/>
  <c r="B1103" i="13"/>
  <c r="B1104" i="13"/>
  <c r="B1105" i="13"/>
  <c r="B1106" i="13"/>
  <c r="B1107" i="13"/>
  <c r="B1108" i="13"/>
  <c r="B1109" i="13"/>
  <c r="B1110" i="13"/>
  <c r="B1111" i="13"/>
  <c r="B1112" i="13"/>
  <c r="B1113" i="13"/>
  <c r="B1114" i="13"/>
  <c r="B1115" i="13"/>
  <c r="B1116" i="13"/>
  <c r="B1117" i="13"/>
  <c r="B1118" i="13"/>
  <c r="B1119" i="13"/>
  <c r="B1120" i="13"/>
  <c r="B1121" i="13"/>
  <c r="B1122" i="13"/>
  <c r="B1123" i="13"/>
  <c r="B1124" i="13"/>
  <c r="B1125" i="13"/>
  <c r="B1126" i="13"/>
  <c r="B1127" i="13"/>
  <c r="B1128" i="13"/>
  <c r="B1129" i="13"/>
  <c r="B1130" i="13"/>
  <c r="B1131" i="13"/>
  <c r="B1132" i="13"/>
  <c r="B1133" i="13"/>
  <c r="B1134" i="13"/>
  <c r="B1135" i="13"/>
  <c r="B1136" i="13"/>
  <c r="B1138" i="13"/>
  <c r="B1139" i="13"/>
  <c r="B1140" i="13"/>
  <c r="B1141" i="13"/>
  <c r="B1142" i="13"/>
  <c r="B1143" i="13"/>
  <c r="B1144" i="13"/>
  <c r="B1145" i="13"/>
  <c r="B1146" i="13"/>
  <c r="B1147" i="13"/>
  <c r="B1148" i="13"/>
  <c r="B1149" i="13"/>
  <c r="B1150" i="13"/>
  <c r="B1151" i="13"/>
  <c r="B1152" i="13"/>
  <c r="B1153" i="13"/>
  <c r="B1154" i="13"/>
  <c r="B1155" i="13"/>
  <c r="B1156" i="13"/>
  <c r="B1157" i="13"/>
  <c r="B1158" i="13"/>
  <c r="B1159" i="13"/>
  <c r="B1160" i="13"/>
  <c r="B1161" i="13"/>
  <c r="B1162" i="13"/>
  <c r="B1163" i="13"/>
  <c r="B1164" i="13"/>
  <c r="B1165" i="13"/>
  <c r="B1166" i="13"/>
  <c r="B1167" i="13"/>
  <c r="B1168" i="13"/>
  <c r="B1169" i="13"/>
  <c r="B1170" i="13"/>
  <c r="B1171" i="13"/>
  <c r="B1172" i="13"/>
  <c r="B1173" i="13"/>
  <c r="B1174" i="13"/>
  <c r="AI1044" i="13"/>
  <c r="AI1045" i="13"/>
  <c r="AI1048" i="13"/>
  <c r="AI1049" i="13"/>
  <c r="AI1050" i="13"/>
  <c r="AI1051" i="13"/>
  <c r="AI1052" i="13"/>
  <c r="AI1053" i="13"/>
  <c r="AI1054" i="13"/>
  <c r="AI1055" i="13"/>
  <c r="AI1056" i="13"/>
  <c r="AI1057" i="13"/>
  <c r="AI1058" i="13"/>
  <c r="AI1059" i="13"/>
  <c r="AI1060" i="13"/>
  <c r="AI1061" i="13"/>
  <c r="AI1062" i="13"/>
  <c r="AI1063" i="13"/>
  <c r="AI1064" i="13"/>
  <c r="AK1064" i="13" s="1"/>
  <c r="AI1065" i="13"/>
  <c r="AK1065" i="13" s="1"/>
  <c r="AI1066" i="13"/>
  <c r="AK1066" i="13" s="1"/>
  <c r="AI1067" i="13"/>
  <c r="AK1067" i="13" s="1"/>
  <c r="AI1068" i="13"/>
  <c r="AK1068" i="13" s="1"/>
  <c r="AI1069" i="13"/>
  <c r="AK1069" i="13" s="1"/>
  <c r="AI1070" i="13"/>
  <c r="AK1070" i="13" s="1"/>
  <c r="AI1071" i="13"/>
  <c r="AK1071" i="13" s="1"/>
  <c r="AI1072" i="13"/>
  <c r="AK1072" i="13" s="1"/>
  <c r="AI1073" i="13"/>
  <c r="AK1073" i="13" s="1"/>
  <c r="AI1074" i="13"/>
  <c r="AK1074" i="13" s="1"/>
  <c r="AI1075" i="13"/>
  <c r="AK1075" i="13" s="1"/>
  <c r="AI1076" i="13"/>
  <c r="AK1076" i="13" s="1"/>
  <c r="AI1077" i="13"/>
  <c r="AK1077" i="13" s="1"/>
  <c r="AI1078" i="13"/>
  <c r="AK1078" i="13" s="1"/>
  <c r="AI1079" i="13"/>
  <c r="AK1079" i="13" s="1"/>
  <c r="AI1080" i="13"/>
  <c r="AK1080" i="13" s="1"/>
  <c r="AI1081" i="13"/>
  <c r="AK1081" i="13" s="1"/>
  <c r="AI1082" i="13"/>
  <c r="AK1082" i="13" s="1"/>
  <c r="AI1083" i="13"/>
  <c r="AK1083" i="13" s="1"/>
  <c r="AI1084" i="13"/>
  <c r="AK1084" i="13" s="1"/>
  <c r="AI1085" i="13"/>
  <c r="AK1085" i="13" s="1"/>
  <c r="AI1086" i="13"/>
  <c r="AK1086" i="13" s="1"/>
  <c r="AI1087" i="13"/>
  <c r="AK1087" i="13" s="1"/>
  <c r="AI1088" i="13"/>
  <c r="AK1088" i="13" s="1"/>
  <c r="AI1089" i="13"/>
  <c r="AK1089" i="13" s="1"/>
  <c r="AI1090" i="13"/>
  <c r="AK1090" i="13" s="1"/>
  <c r="AI1091" i="13"/>
  <c r="AK1091" i="13" s="1"/>
  <c r="AI1092" i="13"/>
  <c r="AK1092" i="13" s="1"/>
  <c r="AI1093" i="13"/>
  <c r="AK1093" i="13" s="1"/>
  <c r="AI1094" i="13"/>
  <c r="AK1094" i="13" s="1"/>
  <c r="AI1095" i="13"/>
  <c r="AK1095" i="13" s="1"/>
  <c r="AI1096" i="13"/>
  <c r="AK1096" i="13" s="1"/>
  <c r="AI1097" i="13"/>
  <c r="AK1097" i="13" s="1"/>
  <c r="AI1098" i="13"/>
  <c r="AK1098" i="13" s="1"/>
  <c r="AI1099" i="13"/>
  <c r="AK1099" i="13" s="1"/>
  <c r="AI1100" i="13"/>
  <c r="AK1100" i="13" s="1"/>
  <c r="AI1101" i="13"/>
  <c r="AK1101" i="13" s="1"/>
  <c r="AI1102" i="13"/>
  <c r="AK1102" i="13" s="1"/>
  <c r="AI1103" i="13"/>
  <c r="AK1103" i="13" s="1"/>
  <c r="AI1104" i="13"/>
  <c r="AK1104" i="13" s="1"/>
  <c r="AI1105" i="13"/>
  <c r="AK1105" i="13" s="1"/>
  <c r="AI1106" i="13"/>
  <c r="AK1106" i="13" s="1"/>
  <c r="AI1107" i="13"/>
  <c r="AK1107" i="13" s="1"/>
  <c r="AI1108" i="13"/>
  <c r="AK1108" i="13" s="1"/>
  <c r="AI1109" i="13"/>
  <c r="AK1109" i="13" s="1"/>
  <c r="AI1110" i="13"/>
  <c r="AK1110" i="13" s="1"/>
  <c r="AI1111" i="13"/>
  <c r="AK1111" i="13" s="1"/>
  <c r="AI1112" i="13"/>
  <c r="AK1112" i="13" s="1"/>
  <c r="AI1113" i="13"/>
  <c r="AK1113" i="13" s="1"/>
  <c r="AI1114" i="13"/>
  <c r="AK1114" i="13" s="1"/>
  <c r="AI1115" i="13"/>
  <c r="AK1115" i="13" s="1"/>
  <c r="AI1116" i="13"/>
  <c r="AK1116" i="13" s="1"/>
  <c r="AI1117" i="13"/>
  <c r="AK1117" i="13" s="1"/>
  <c r="AI1118" i="13"/>
  <c r="AK1118" i="13" s="1"/>
  <c r="AI1119" i="13"/>
  <c r="AK1119" i="13" s="1"/>
  <c r="AI1120" i="13"/>
  <c r="AK1120" i="13" s="1"/>
  <c r="AI1121" i="13"/>
  <c r="AK1121" i="13" s="1"/>
  <c r="AI1122" i="13"/>
  <c r="AK1122" i="13" s="1"/>
  <c r="AI1123" i="13"/>
  <c r="AK1123" i="13" s="1"/>
  <c r="AI1124" i="13"/>
  <c r="AK1124" i="13" s="1"/>
  <c r="AI1125" i="13"/>
  <c r="AK1125" i="13" s="1"/>
  <c r="AI1126" i="13"/>
  <c r="AK1126" i="13" s="1"/>
  <c r="AI1127" i="13"/>
  <c r="AK1127" i="13" s="1"/>
  <c r="AI1128" i="13"/>
  <c r="AK1128" i="13" s="1"/>
  <c r="AI1129" i="13"/>
  <c r="AK1129" i="13" s="1"/>
  <c r="AI1130" i="13"/>
  <c r="AK1130" i="13" s="1"/>
  <c r="AI1131" i="13"/>
  <c r="AK1131" i="13" s="1"/>
  <c r="AI1132" i="13"/>
  <c r="AK1132" i="13" s="1"/>
  <c r="AI1133" i="13"/>
  <c r="AK1133" i="13" s="1"/>
  <c r="AI1134" i="13"/>
  <c r="AK1134" i="13" s="1"/>
  <c r="AI1135" i="13"/>
  <c r="AK1135" i="13" s="1"/>
  <c r="AI1136" i="13"/>
  <c r="AK1136" i="13" s="1"/>
  <c r="AI1138" i="13"/>
  <c r="AK1138" i="13" s="1"/>
  <c r="AI1139" i="13"/>
  <c r="AK1139" i="13" s="1"/>
  <c r="AI1140" i="13"/>
  <c r="AK1140" i="13" s="1"/>
  <c r="AI1141" i="13"/>
  <c r="AK1141" i="13" s="1"/>
  <c r="AI1142" i="13"/>
  <c r="AK1142" i="13" s="1"/>
  <c r="AI1143" i="13"/>
  <c r="AK1143" i="13" s="1"/>
  <c r="AI1144" i="13"/>
  <c r="AK1144" i="13" s="1"/>
  <c r="AI1145" i="13"/>
  <c r="AK1145" i="13" s="1"/>
  <c r="AI1146" i="13"/>
  <c r="AK1146" i="13" s="1"/>
  <c r="AI1147" i="13"/>
  <c r="AK1147" i="13" s="1"/>
  <c r="AI1148" i="13"/>
  <c r="AK1148" i="13" s="1"/>
  <c r="AI1149" i="13"/>
  <c r="AK1149" i="13" s="1"/>
  <c r="AI1150" i="13"/>
  <c r="AK1150" i="13" s="1"/>
  <c r="AI1151" i="13"/>
  <c r="AK1151" i="13" s="1"/>
  <c r="AI1152" i="13"/>
  <c r="AK1152" i="13" s="1"/>
  <c r="AI1153" i="13"/>
  <c r="AK1153" i="13" s="1"/>
  <c r="AI1154" i="13"/>
  <c r="AK1154" i="13" s="1"/>
  <c r="AI1155" i="13"/>
  <c r="AK1155" i="13" s="1"/>
  <c r="AI1156" i="13"/>
  <c r="AK1156" i="13" s="1"/>
  <c r="AI1157" i="13"/>
  <c r="AK1157" i="13" s="1"/>
  <c r="AI1158" i="13"/>
  <c r="AK1158" i="13" s="1"/>
  <c r="AI1159" i="13"/>
  <c r="AK1159" i="13" s="1"/>
  <c r="AI1160" i="13"/>
  <c r="AK1160" i="13" s="1"/>
  <c r="AI1161" i="13"/>
  <c r="AK1161" i="13" s="1"/>
  <c r="AI1162" i="13"/>
  <c r="AK1162" i="13" s="1"/>
  <c r="AI1163" i="13"/>
  <c r="AK1163" i="13" s="1"/>
  <c r="AI1164" i="13"/>
  <c r="AK1164" i="13" s="1"/>
  <c r="AI1165" i="13"/>
  <c r="AK1165" i="13" s="1"/>
  <c r="AI1166" i="13"/>
  <c r="AK1166" i="13" s="1"/>
  <c r="AI1167" i="13"/>
  <c r="AK1167" i="13" s="1"/>
  <c r="AI1168" i="13"/>
  <c r="AK1168" i="13" s="1"/>
  <c r="AI1169" i="13"/>
  <c r="AK1169" i="13" s="1"/>
  <c r="AI1170" i="13"/>
  <c r="AK1170" i="13" s="1"/>
  <c r="AI1171" i="13"/>
  <c r="AK1171" i="13" s="1"/>
  <c r="AI1172" i="13"/>
  <c r="AK1172" i="13" s="1"/>
  <c r="AI1173" i="13"/>
  <c r="AK1173" i="13" s="1"/>
  <c r="AI1174" i="13"/>
  <c r="AK1174" i="13" s="1"/>
  <c r="AK1044" i="13"/>
  <c r="AK1045" i="13"/>
  <c r="AK1048" i="13"/>
  <c r="AK1049" i="13"/>
  <c r="AK1050" i="13"/>
  <c r="AK1051" i="13"/>
  <c r="AK1052" i="13"/>
  <c r="AK1053" i="13"/>
  <c r="AK1054" i="13"/>
  <c r="AK1055" i="13"/>
  <c r="AK1056" i="13"/>
  <c r="AK1057" i="13"/>
  <c r="AK1058" i="13"/>
  <c r="AK1059" i="13"/>
  <c r="AK1060" i="13"/>
  <c r="AK1061" i="13"/>
  <c r="AK1062" i="13"/>
  <c r="AK1063" i="13"/>
  <c r="AI1016" i="13" l="1"/>
  <c r="B1016" i="13"/>
  <c r="AI981" i="13"/>
  <c r="B981" i="13"/>
  <c r="AI1028" i="13"/>
  <c r="B1028" i="13"/>
  <c r="AI1027" i="13"/>
  <c r="B1027" i="13"/>
  <c r="AI1026" i="13"/>
  <c r="B1026" i="13"/>
  <c r="AI1025" i="13"/>
  <c r="B1025" i="13"/>
  <c r="AI1024" i="13"/>
  <c r="B1024" i="13"/>
  <c r="AI1023" i="13"/>
  <c r="B1023" i="13"/>
  <c r="AI1021" i="13" l="1"/>
  <c r="B1021" i="13"/>
  <c r="AI1020" i="13"/>
  <c r="B1020" i="13"/>
  <c r="AI1019" i="13"/>
  <c r="B1019" i="13"/>
  <c r="AI1014" i="13" l="1"/>
  <c r="B1014" i="13"/>
  <c r="AI1013" i="13"/>
  <c r="B1013" i="13"/>
  <c r="AI1012" i="13"/>
  <c r="B1012" i="13"/>
  <c r="AI996" i="13" l="1"/>
  <c r="B996" i="13"/>
  <c r="AI1010" i="13" l="1"/>
  <c r="B1010" i="13"/>
  <c r="AI1009" i="13"/>
  <c r="B1009" i="13"/>
  <c r="AI1005" i="13" l="1"/>
  <c r="B1005" i="13"/>
  <c r="AI1003" i="13" l="1"/>
  <c r="B1003" i="13"/>
  <c r="AI1002" i="13"/>
  <c r="B1002" i="13"/>
  <c r="AI1001" i="13"/>
  <c r="B1001" i="13"/>
  <c r="AI993" i="13" l="1"/>
  <c r="B993" i="13"/>
  <c r="AI998" i="13" l="1"/>
  <c r="B998" i="13"/>
  <c r="AI995" i="13" l="1"/>
  <c r="B995" i="13"/>
  <c r="AI994" i="13"/>
  <c r="B994" i="13"/>
  <c r="AI992" i="13"/>
  <c r="B992" i="13"/>
  <c r="AI989" i="13" l="1"/>
  <c r="B989" i="13"/>
  <c r="AI987" i="13"/>
  <c r="B987" i="13"/>
  <c r="AI988" i="13"/>
  <c r="B988" i="13"/>
  <c r="AI985" i="13" l="1"/>
  <c r="B985" i="13"/>
  <c r="AI983" i="13" l="1"/>
  <c r="B983" i="13"/>
  <c r="AI979" i="13" l="1"/>
  <c r="B979" i="13"/>
  <c r="AI977" i="13"/>
  <c r="B977" i="13"/>
  <c r="AI978" i="13"/>
  <c r="B978" i="13"/>
  <c r="AI975" i="13" l="1"/>
  <c r="B975" i="13"/>
  <c r="AI972" i="13" l="1"/>
  <c r="B972" i="13"/>
  <c r="AI969" i="13" l="1"/>
  <c r="B969" i="13"/>
  <c r="AI968" i="13"/>
  <c r="B968" i="13"/>
  <c r="AI967" i="13"/>
  <c r="B967" i="13"/>
  <c r="AI966" i="13"/>
  <c r="B966" i="13"/>
  <c r="AI965" i="13"/>
  <c r="B965" i="13"/>
  <c r="AI964" i="13"/>
  <c r="B964" i="13"/>
  <c r="AI960" i="13" l="1"/>
  <c r="B960" i="13"/>
  <c r="AI959" i="13"/>
  <c r="B959" i="13"/>
  <c r="AI957" i="13"/>
  <c r="B957" i="13"/>
  <c r="AI956" i="13" l="1"/>
  <c r="B956" i="13"/>
  <c r="AI955" i="13"/>
  <c r="B955" i="13"/>
  <c r="AI953" i="13" l="1"/>
  <c r="B953" i="13"/>
  <c r="AI952" i="13"/>
  <c r="B952" i="13"/>
  <c r="AI951" i="13"/>
  <c r="B951" i="13"/>
  <c r="AI949" i="13" l="1"/>
  <c r="B949" i="13"/>
  <c r="AI948" i="13"/>
  <c r="B948" i="13"/>
  <c r="AI945" i="13" l="1"/>
  <c r="B945" i="13"/>
  <c r="AI944" i="13"/>
  <c r="B944" i="13"/>
  <c r="AI941" i="13" l="1"/>
  <c r="B941" i="13"/>
  <c r="AI939" i="13" l="1"/>
  <c r="B939" i="13"/>
  <c r="AI938" i="13"/>
  <c r="B938" i="13"/>
  <c r="AI936" i="13" l="1"/>
  <c r="B936" i="13"/>
  <c r="AI935" i="13"/>
  <c r="B935" i="13"/>
  <c r="AI934" i="13"/>
  <c r="B934" i="13"/>
  <c r="AI932" i="13" l="1"/>
  <c r="B932" i="13"/>
  <c r="AI931" i="13" l="1"/>
  <c r="B931" i="13"/>
  <c r="AI923" i="13" l="1"/>
  <c r="B923" i="13"/>
  <c r="AI921" i="13" l="1"/>
  <c r="B921" i="13"/>
  <c r="AI920" i="13"/>
  <c r="B920" i="13"/>
  <c r="AI919" i="13"/>
  <c r="B919" i="13"/>
  <c r="AI917" i="13" l="1"/>
  <c r="B917" i="13"/>
  <c r="AI916" i="13"/>
  <c r="B916" i="13"/>
  <c r="AI915" i="13"/>
  <c r="B915" i="13"/>
  <c r="AI914" i="13"/>
  <c r="B914" i="13"/>
  <c r="AI906" i="13"/>
  <c r="B906" i="13"/>
  <c r="AI905" i="13"/>
  <c r="B905" i="13"/>
  <c r="AI889" i="13"/>
  <c r="B889" i="13"/>
  <c r="AI899" i="13" l="1"/>
  <c r="B899" i="13"/>
  <c r="AI898" i="13"/>
  <c r="B898" i="13"/>
  <c r="AI894" i="13" l="1"/>
  <c r="B894" i="13"/>
  <c r="AI892" i="13" l="1"/>
  <c r="B892" i="13"/>
  <c r="AI888" i="13" l="1"/>
  <c r="B888" i="13"/>
  <c r="AI887" i="13"/>
  <c r="B887" i="13"/>
  <c r="AI884" i="13" l="1"/>
  <c r="B884" i="13"/>
  <c r="AI880" i="13" l="1"/>
  <c r="B880" i="13"/>
  <c r="AI879" i="13"/>
  <c r="B879" i="13"/>
  <c r="AI853" i="13" l="1"/>
  <c r="B853" i="13"/>
  <c r="AI852" i="13"/>
  <c r="B852" i="13"/>
  <c r="AI846" i="13"/>
  <c r="B846" i="13"/>
  <c r="AI877" i="13"/>
  <c r="B877" i="13"/>
  <c r="AI876" i="13"/>
  <c r="B876" i="13"/>
  <c r="AI874" i="13" l="1"/>
  <c r="B874" i="13"/>
  <c r="AI873" i="13"/>
  <c r="B873" i="13"/>
  <c r="AI872" i="13"/>
  <c r="B872" i="13"/>
  <c r="AI871" i="13"/>
  <c r="B871" i="13"/>
  <c r="AI869" i="13" l="1"/>
  <c r="B869" i="13"/>
  <c r="AI867" i="13" l="1"/>
  <c r="B867" i="13"/>
  <c r="AI866" i="13"/>
  <c r="B866" i="13"/>
  <c r="AI864" i="13" l="1"/>
  <c r="B864" i="13"/>
  <c r="AI860" i="13" l="1"/>
  <c r="B860" i="13"/>
  <c r="AI857" i="13" l="1"/>
  <c r="B857" i="13"/>
  <c r="AI856" i="13"/>
  <c r="B856" i="13"/>
  <c r="AI851" i="13" l="1"/>
  <c r="B851" i="13"/>
  <c r="AI850" i="13"/>
  <c r="B850" i="13"/>
  <c r="AI843" i="13" l="1"/>
  <c r="B843" i="13"/>
  <c r="AI842" i="13"/>
  <c r="B842" i="13"/>
  <c r="AI840" i="13" l="1"/>
  <c r="B840" i="13"/>
  <c r="AI839" i="13" l="1"/>
  <c r="B839" i="13"/>
  <c r="AI833" i="13" l="1"/>
  <c r="B833" i="13"/>
  <c r="AI831" i="13" l="1"/>
  <c r="B831" i="13"/>
  <c r="AI830" i="13" l="1"/>
  <c r="B830" i="13"/>
  <c r="AI829" i="13"/>
  <c r="B829" i="13"/>
  <c r="AI828" i="13"/>
  <c r="B828" i="13"/>
  <c r="AI827" i="13"/>
  <c r="B827" i="13"/>
  <c r="AI826" i="13"/>
  <c r="B826" i="13"/>
  <c r="AI825" i="13"/>
  <c r="B825" i="13"/>
  <c r="AI698" i="13" l="1"/>
  <c r="B698" i="13"/>
  <c r="AI697" i="13"/>
  <c r="B697" i="13"/>
  <c r="AI696" i="13"/>
  <c r="B696" i="13"/>
  <c r="AI695" i="13"/>
  <c r="B695" i="13"/>
  <c r="AI689" i="13" l="1"/>
  <c r="B689" i="13"/>
  <c r="AI688" i="13"/>
  <c r="B688" i="13"/>
  <c r="AI687" i="13"/>
  <c r="B687" i="13"/>
  <c r="AI686" i="13"/>
  <c r="B686" i="13"/>
  <c r="AI683" i="13" l="1"/>
  <c r="B683" i="13"/>
  <c r="AI682" i="13"/>
  <c r="B682" i="13"/>
  <c r="AI681" i="13"/>
  <c r="B681" i="13"/>
  <c r="AI680" i="13"/>
  <c r="B680" i="13"/>
  <c r="AI679" i="13"/>
  <c r="B679" i="13"/>
  <c r="AI677" i="13" l="1"/>
  <c r="B677" i="13"/>
  <c r="AI676" i="13"/>
  <c r="B676" i="13"/>
  <c r="AI672" i="13" l="1"/>
  <c r="B672" i="13"/>
  <c r="AI671" i="13"/>
  <c r="B671" i="13"/>
  <c r="AI670" i="13"/>
  <c r="B670" i="13"/>
  <c r="AI667" i="13" l="1"/>
  <c r="B667" i="13"/>
  <c r="AI660" i="13" l="1"/>
  <c r="B660" i="13"/>
  <c r="B782" i="13" l="1"/>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32" i="13"/>
  <c r="B834" i="13"/>
  <c r="B835" i="13"/>
  <c r="B836" i="13"/>
  <c r="B837" i="13"/>
  <c r="B838" i="13"/>
  <c r="B841" i="13"/>
  <c r="B844" i="13"/>
  <c r="B845" i="13"/>
  <c r="B847" i="13"/>
  <c r="B848" i="13"/>
  <c r="B849" i="13"/>
  <c r="B854" i="13"/>
  <c r="B855" i="13"/>
  <c r="B858" i="13"/>
  <c r="B859" i="13"/>
  <c r="B861" i="13"/>
  <c r="B862" i="13"/>
  <c r="B863" i="13"/>
  <c r="B865" i="13"/>
  <c r="B868" i="13"/>
  <c r="B870" i="13"/>
  <c r="B875" i="13"/>
  <c r="B878" i="13"/>
  <c r="B881" i="13"/>
  <c r="B882" i="13"/>
  <c r="B883" i="13"/>
  <c r="B885" i="13"/>
  <c r="B886" i="13"/>
  <c r="B890" i="13"/>
  <c r="B891" i="13"/>
  <c r="B893" i="13"/>
  <c r="B895" i="13"/>
  <c r="B896" i="13"/>
  <c r="B897" i="13"/>
  <c r="B900" i="13"/>
  <c r="B901" i="13"/>
  <c r="B902" i="13"/>
  <c r="B903" i="13"/>
  <c r="B904" i="13"/>
  <c r="B907" i="13"/>
  <c r="B908" i="13"/>
  <c r="B909" i="13"/>
  <c r="B910" i="13"/>
  <c r="B911" i="13"/>
  <c r="B912" i="13"/>
  <c r="B913" i="13"/>
  <c r="B918" i="13"/>
  <c r="B922" i="13"/>
  <c r="B924" i="13"/>
  <c r="B925" i="13"/>
  <c r="B926" i="13"/>
  <c r="B927" i="13"/>
  <c r="B928" i="13"/>
  <c r="B929" i="13"/>
  <c r="B930" i="13"/>
  <c r="B933" i="13"/>
  <c r="B937" i="13"/>
  <c r="B940" i="13"/>
  <c r="B942" i="13"/>
  <c r="B943" i="13"/>
  <c r="B946" i="13"/>
  <c r="B947" i="13"/>
  <c r="B950" i="13"/>
  <c r="B954" i="13"/>
  <c r="B958" i="13"/>
  <c r="B961" i="13"/>
  <c r="B962" i="13"/>
  <c r="B963" i="13"/>
  <c r="B970" i="13"/>
  <c r="B971" i="13"/>
  <c r="B973" i="13"/>
  <c r="B974" i="13"/>
  <c r="B976" i="13"/>
  <c r="B980" i="13"/>
  <c r="B982" i="13"/>
  <c r="B984" i="13"/>
  <c r="B986" i="13"/>
  <c r="B990" i="13"/>
  <c r="B991" i="13"/>
  <c r="B997" i="13"/>
  <c r="B999" i="13"/>
  <c r="B1000" i="13"/>
  <c r="B1004" i="13"/>
  <c r="B1006" i="13"/>
  <c r="B1007" i="13"/>
  <c r="B1008" i="13"/>
  <c r="B1011" i="13"/>
  <c r="B1015" i="13"/>
  <c r="B1017" i="13"/>
  <c r="B1018" i="13"/>
  <c r="B1022" i="13"/>
  <c r="B1029" i="13"/>
  <c r="B1030" i="13"/>
  <c r="B1031" i="13"/>
  <c r="B1032" i="13"/>
  <c r="B1036" i="13"/>
  <c r="B1037" i="13"/>
  <c r="B1038" i="13"/>
  <c r="B1039" i="13"/>
  <c r="B1040" i="13"/>
  <c r="B1041" i="13"/>
  <c r="B1042" i="13"/>
  <c r="B1043" i="13"/>
  <c r="AI782" i="13"/>
  <c r="AI783" i="13"/>
  <c r="AI784" i="13"/>
  <c r="AI785" i="13"/>
  <c r="AI786" i="13"/>
  <c r="AI787" i="13"/>
  <c r="AI788" i="13"/>
  <c r="AI789" i="13"/>
  <c r="AI790" i="13"/>
  <c r="AI791" i="13"/>
  <c r="AI792" i="13"/>
  <c r="AI793" i="13"/>
  <c r="AI794" i="13"/>
  <c r="AI795" i="13"/>
  <c r="AI796" i="13"/>
  <c r="AI797" i="13"/>
  <c r="AI798" i="13"/>
  <c r="AI799" i="13"/>
  <c r="AI800" i="13"/>
  <c r="AI801" i="13"/>
  <c r="AI802" i="13"/>
  <c r="AI803" i="13"/>
  <c r="AI804" i="13"/>
  <c r="AI805" i="13"/>
  <c r="AI806" i="13"/>
  <c r="AI807" i="13"/>
  <c r="AI808" i="13"/>
  <c r="AI809" i="13"/>
  <c r="AI810" i="13"/>
  <c r="AI811" i="13"/>
  <c r="AI812" i="13"/>
  <c r="AI813" i="13"/>
  <c r="AI814" i="13"/>
  <c r="AI815" i="13"/>
  <c r="AI816" i="13"/>
  <c r="AI817" i="13"/>
  <c r="AI818" i="13"/>
  <c r="AI819" i="13"/>
  <c r="AI820" i="13"/>
  <c r="AI821" i="13"/>
  <c r="AI822" i="13"/>
  <c r="AI823" i="13"/>
  <c r="AI824" i="13"/>
  <c r="AI832" i="13"/>
  <c r="AI834" i="13"/>
  <c r="AI835" i="13"/>
  <c r="AI836" i="13"/>
  <c r="AI837" i="13"/>
  <c r="AI838" i="13"/>
  <c r="AI841" i="13"/>
  <c r="AI844" i="13"/>
  <c r="AI845" i="13"/>
  <c r="AI847" i="13"/>
  <c r="AI848" i="13"/>
  <c r="AI849" i="13"/>
  <c r="AI854" i="13"/>
  <c r="AI855" i="13"/>
  <c r="AI858" i="13"/>
  <c r="AI859" i="13"/>
  <c r="AI861" i="13"/>
  <c r="AI862" i="13"/>
  <c r="AI863" i="13"/>
  <c r="AI865" i="13"/>
  <c r="AI868" i="13"/>
  <c r="AI870" i="13"/>
  <c r="AI875" i="13"/>
  <c r="AI878" i="13"/>
  <c r="AI881" i="13"/>
  <c r="AI882" i="13"/>
  <c r="AI883" i="13"/>
  <c r="AI885" i="13"/>
  <c r="AI886" i="13"/>
  <c r="AI890" i="13"/>
  <c r="AI891" i="13"/>
  <c r="AI893" i="13"/>
  <c r="AI895" i="13"/>
  <c r="AI896" i="13"/>
  <c r="AI897" i="13"/>
  <c r="AI900" i="13"/>
  <c r="AI901" i="13"/>
  <c r="AI902" i="13"/>
  <c r="AI903" i="13"/>
  <c r="AI904" i="13"/>
  <c r="AI907" i="13"/>
  <c r="AI908" i="13"/>
  <c r="AI909" i="13"/>
  <c r="AI910" i="13"/>
  <c r="AI911" i="13"/>
  <c r="AI912" i="13"/>
  <c r="AI913" i="13"/>
  <c r="AI918" i="13"/>
  <c r="AI922" i="13"/>
  <c r="AI924" i="13"/>
  <c r="AI925" i="13"/>
  <c r="AI926" i="13"/>
  <c r="AI927" i="13"/>
  <c r="AI928" i="13"/>
  <c r="AI929" i="13"/>
  <c r="AI930" i="13"/>
  <c r="AI933" i="13"/>
  <c r="AI937" i="13"/>
  <c r="AI940" i="13"/>
  <c r="AI942" i="13"/>
  <c r="AI943" i="13"/>
  <c r="AI946" i="13"/>
  <c r="AI947" i="13"/>
  <c r="AI950" i="13"/>
  <c r="AI954" i="13"/>
  <c r="AI958" i="13"/>
  <c r="AI961" i="13"/>
  <c r="AI962" i="13"/>
  <c r="AI963" i="13"/>
  <c r="AI970" i="13"/>
  <c r="AI971" i="13"/>
  <c r="AI973" i="13"/>
  <c r="AI974" i="13"/>
  <c r="AI976" i="13"/>
  <c r="AI980" i="13"/>
  <c r="AI982" i="13"/>
  <c r="AI984" i="13"/>
  <c r="AI986" i="13"/>
  <c r="AI990" i="13"/>
  <c r="AI991" i="13"/>
  <c r="AI997" i="13"/>
  <c r="AI999" i="13"/>
  <c r="AI1000" i="13"/>
  <c r="AI1004" i="13"/>
  <c r="AI1006" i="13"/>
  <c r="AI1007" i="13"/>
  <c r="AI1008" i="13"/>
  <c r="AI1011" i="13"/>
  <c r="AI1015" i="13"/>
  <c r="AI1017" i="13"/>
  <c r="AI1018" i="13"/>
  <c r="AI1022" i="13"/>
  <c r="AI1029" i="13"/>
  <c r="AI1030" i="13"/>
  <c r="AI1031" i="13"/>
  <c r="AI1032" i="13"/>
  <c r="AI1036" i="13"/>
  <c r="AI1037" i="13"/>
  <c r="AI1038" i="13"/>
  <c r="AI1039" i="13"/>
  <c r="AI1040" i="13"/>
  <c r="AI1041" i="13"/>
  <c r="AI1042" i="13"/>
  <c r="AI1043" i="13"/>
  <c r="B685" i="13"/>
  <c r="B690" i="13"/>
  <c r="B691" i="13"/>
  <c r="B692" i="13"/>
  <c r="B693" i="13"/>
  <c r="B694"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AI685" i="13"/>
  <c r="AI690" i="13"/>
  <c r="AI691" i="13"/>
  <c r="AI692" i="13"/>
  <c r="AI693" i="13"/>
  <c r="AI694" i="13"/>
  <c r="AI699" i="13"/>
  <c r="AI700" i="13"/>
  <c r="AI701" i="13"/>
  <c r="AI702" i="13"/>
  <c r="AI703" i="13"/>
  <c r="AI704" i="13"/>
  <c r="AI705" i="13"/>
  <c r="AI706" i="13"/>
  <c r="AI707" i="13"/>
  <c r="AI708" i="13"/>
  <c r="AI709" i="13"/>
  <c r="AI710" i="13"/>
  <c r="AI711" i="13"/>
  <c r="AI712" i="13"/>
  <c r="AI713" i="13"/>
  <c r="AI714" i="13"/>
  <c r="AI715" i="13"/>
  <c r="AI716" i="13"/>
  <c r="AI717" i="13"/>
  <c r="AI718" i="13"/>
  <c r="AI719" i="13"/>
  <c r="AI720" i="13"/>
  <c r="AI721" i="13"/>
  <c r="AI722" i="13"/>
  <c r="AI723" i="13"/>
  <c r="AI724" i="13"/>
  <c r="AI725" i="13"/>
  <c r="AI726" i="13"/>
  <c r="AI727" i="13"/>
  <c r="AI728" i="13"/>
  <c r="AI729" i="13"/>
  <c r="AI730" i="13"/>
  <c r="AI731" i="13"/>
  <c r="AI732" i="13"/>
  <c r="AI733" i="13"/>
  <c r="AI734" i="13"/>
  <c r="AI735" i="13"/>
  <c r="AI736" i="13"/>
  <c r="AI737" i="13"/>
  <c r="AI738" i="13"/>
  <c r="AI739" i="13"/>
  <c r="AI740" i="13"/>
  <c r="AI741" i="13"/>
  <c r="AI742" i="13"/>
  <c r="AI743" i="13"/>
  <c r="AI744" i="13"/>
  <c r="AI745" i="13"/>
  <c r="AI746" i="13"/>
  <c r="AI747" i="13"/>
  <c r="AI748" i="13"/>
  <c r="AI749" i="13"/>
  <c r="AI750" i="13"/>
  <c r="AI751" i="13"/>
  <c r="AI752" i="13"/>
  <c r="AI753" i="13"/>
  <c r="AI754" i="13"/>
  <c r="AI755" i="13"/>
  <c r="AI756" i="13"/>
  <c r="AI757" i="13"/>
  <c r="AI758" i="13"/>
  <c r="AI759" i="13"/>
  <c r="AI760" i="13"/>
  <c r="AI761" i="13"/>
  <c r="AI762" i="13"/>
  <c r="AI763" i="13"/>
  <c r="AI764" i="13"/>
  <c r="AI765" i="13"/>
  <c r="AI766" i="13"/>
  <c r="AI767" i="13"/>
  <c r="AI768" i="13"/>
  <c r="AI769" i="13"/>
  <c r="AI770" i="13"/>
  <c r="AI771" i="13"/>
  <c r="AI772" i="13"/>
  <c r="AI773" i="13"/>
  <c r="AI774" i="13"/>
  <c r="AI775" i="13"/>
  <c r="AI776" i="13"/>
  <c r="AI777" i="13"/>
  <c r="AI778" i="13"/>
  <c r="AI779" i="13"/>
  <c r="AI780" i="13"/>
  <c r="AI781" i="13"/>
  <c r="B662" i="13"/>
  <c r="B663" i="13"/>
  <c r="B664" i="13"/>
  <c r="B665" i="13"/>
  <c r="B666" i="13"/>
  <c r="B668" i="13"/>
  <c r="B669" i="13"/>
  <c r="B673" i="13"/>
  <c r="B674" i="13"/>
  <c r="B675" i="13"/>
  <c r="B678" i="13"/>
  <c r="B684" i="13"/>
  <c r="AI662" i="13"/>
  <c r="AI663" i="13"/>
  <c r="AI664" i="13"/>
  <c r="AI665" i="13"/>
  <c r="AI666" i="13"/>
  <c r="AI668" i="13"/>
  <c r="AI669" i="13"/>
  <c r="AI673" i="13"/>
  <c r="AI674" i="13"/>
  <c r="AI675" i="13"/>
  <c r="AI678" i="13"/>
  <c r="AI684" i="13"/>
  <c r="B661" i="13"/>
  <c r="AI661" i="13"/>
  <c r="F307" i="13"/>
  <c r="F308" i="13"/>
  <c r="F310" i="13"/>
  <c r="F311" i="13"/>
  <c r="F312" i="13"/>
  <c r="F316" i="13"/>
  <c r="F317" i="13"/>
  <c r="F318" i="13"/>
  <c r="F319" i="13"/>
  <c r="F321" i="13"/>
  <c r="F322" i="13"/>
  <c r="F324" i="13"/>
  <c r="F325" i="13"/>
  <c r="F326" i="13"/>
  <c r="F328" i="13"/>
  <c r="F329" i="13"/>
  <c r="F330" i="13"/>
  <c r="F332" i="13"/>
  <c r="F333" i="13"/>
  <c r="F334" i="13"/>
  <c r="F335" i="13"/>
  <c r="F344" i="13"/>
  <c r="F352" i="13"/>
  <c r="F354" i="13"/>
  <c r="F355" i="13"/>
  <c r="F356" i="13"/>
  <c r="F357" i="13"/>
  <c r="F365" i="13"/>
  <c r="F366" i="13"/>
  <c r="F367" i="13"/>
  <c r="F368" i="13"/>
  <c r="F370" i="13"/>
  <c r="F371" i="13"/>
  <c r="F372" i="13"/>
  <c r="F373" i="13"/>
  <c r="F374" i="13"/>
  <c r="F375" i="13"/>
  <c r="F376" i="13"/>
  <c r="F383" i="13"/>
  <c r="F384" i="13"/>
  <c r="F385" i="13"/>
  <c r="F386" i="13"/>
  <c r="F387" i="13"/>
  <c r="F388" i="13"/>
  <c r="F389" i="13"/>
  <c r="F395" i="13"/>
  <c r="F396" i="13"/>
  <c r="F397" i="13"/>
  <c r="F398" i="13"/>
  <c r="F400" i="13"/>
  <c r="F404" i="13"/>
  <c r="F407" i="13"/>
  <c r="F408" i="13"/>
  <c r="F416" i="13"/>
  <c r="F419" i="13"/>
  <c r="F421" i="13"/>
  <c r="F422" i="13"/>
  <c r="F429" i="13"/>
  <c r="F430" i="13"/>
  <c r="F431" i="13"/>
  <c r="F432" i="13"/>
  <c r="F435" i="13"/>
  <c r="F436" i="13"/>
  <c r="F439" i="13"/>
  <c r="F440" i="13"/>
  <c r="F444" i="13"/>
  <c r="F446" i="13"/>
  <c r="F447" i="13"/>
  <c r="F448" i="13"/>
  <c r="E307" i="13"/>
  <c r="E308" i="13"/>
  <c r="E310" i="13"/>
  <c r="E311" i="13"/>
  <c r="E312" i="13"/>
  <c r="E316" i="13"/>
  <c r="E317" i="13"/>
  <c r="E318" i="13"/>
  <c r="E319" i="13"/>
  <c r="E321" i="13"/>
  <c r="E322" i="13"/>
  <c r="E324" i="13"/>
  <c r="E325" i="13"/>
  <c r="E326" i="13"/>
  <c r="E328" i="13"/>
  <c r="E329" i="13"/>
  <c r="E330" i="13"/>
  <c r="E332" i="13"/>
  <c r="E333" i="13"/>
  <c r="E334" i="13"/>
  <c r="E335" i="13"/>
  <c r="E344" i="13"/>
  <c r="E352" i="13"/>
  <c r="E354" i="13"/>
  <c r="E355" i="13"/>
  <c r="E356" i="13"/>
  <c r="E357" i="13"/>
  <c r="E365" i="13"/>
  <c r="E366" i="13"/>
  <c r="E367" i="13"/>
  <c r="E368" i="13"/>
  <c r="E370" i="13"/>
  <c r="E371" i="13"/>
  <c r="E372" i="13"/>
  <c r="E373" i="13"/>
  <c r="E374" i="13"/>
  <c r="E375" i="13"/>
  <c r="E376" i="13"/>
  <c r="E383" i="13"/>
  <c r="E384" i="13"/>
  <c r="E385" i="13"/>
  <c r="E386" i="13"/>
  <c r="E387" i="13"/>
  <c r="E388" i="13"/>
  <c r="E389" i="13"/>
  <c r="E395" i="13"/>
  <c r="E396" i="13"/>
  <c r="E397" i="13"/>
  <c r="E398" i="13"/>
  <c r="E400" i="13"/>
  <c r="E404" i="13"/>
  <c r="E407" i="13"/>
  <c r="E408" i="13"/>
  <c r="E416" i="13"/>
  <c r="E419" i="13"/>
  <c r="E421" i="13"/>
  <c r="E422" i="13"/>
  <c r="E429" i="13"/>
  <c r="E430" i="13"/>
  <c r="E431" i="13"/>
  <c r="E432" i="13"/>
  <c r="E435" i="13"/>
  <c r="E436" i="13"/>
  <c r="E439" i="13"/>
  <c r="E440" i="13"/>
  <c r="E444" i="13"/>
  <c r="E446" i="13"/>
  <c r="E447" i="13"/>
  <c r="E448" i="13"/>
  <c r="D307" i="13"/>
  <c r="D308" i="13"/>
  <c r="D310" i="13"/>
  <c r="D311" i="13"/>
  <c r="D312" i="13"/>
  <c r="D316" i="13"/>
  <c r="D317" i="13"/>
  <c r="D318" i="13"/>
  <c r="D319" i="13"/>
  <c r="D321" i="13"/>
  <c r="D322" i="13"/>
  <c r="D324" i="13"/>
  <c r="D325" i="13"/>
  <c r="D326" i="13"/>
  <c r="D328" i="13"/>
  <c r="D329" i="13"/>
  <c r="D330" i="13"/>
  <c r="D332" i="13"/>
  <c r="D333" i="13"/>
  <c r="D334" i="13"/>
  <c r="D335" i="13"/>
  <c r="D344" i="13"/>
  <c r="D352" i="13"/>
  <c r="D354" i="13"/>
  <c r="D355" i="13"/>
  <c r="D356" i="13"/>
  <c r="D357" i="13"/>
  <c r="D365" i="13"/>
  <c r="D366" i="13"/>
  <c r="D367" i="13"/>
  <c r="D368" i="13"/>
  <c r="D370" i="13"/>
  <c r="D371" i="13"/>
  <c r="D372" i="13"/>
  <c r="D373" i="13"/>
  <c r="D374" i="13"/>
  <c r="D375" i="13"/>
  <c r="D376" i="13"/>
  <c r="D383" i="13"/>
  <c r="D384" i="13"/>
  <c r="D385" i="13"/>
  <c r="D386" i="13"/>
  <c r="D387" i="13"/>
  <c r="D388" i="13"/>
  <c r="D389" i="13"/>
  <c r="D395" i="13"/>
  <c r="D396" i="13"/>
  <c r="D397" i="13"/>
  <c r="D398" i="13"/>
  <c r="D400" i="13"/>
  <c r="D404" i="13"/>
  <c r="D407" i="13"/>
  <c r="D408" i="13"/>
  <c r="D416" i="13"/>
  <c r="D419" i="13"/>
  <c r="D421" i="13"/>
  <c r="D422" i="13"/>
  <c r="D429" i="13"/>
  <c r="D430" i="13"/>
  <c r="D431" i="13"/>
  <c r="D432" i="13"/>
  <c r="D435" i="13"/>
  <c r="D436" i="13"/>
  <c r="D439" i="13"/>
  <c r="D440" i="13"/>
  <c r="D444" i="13"/>
  <c r="D446" i="13"/>
  <c r="D447" i="13"/>
  <c r="D448"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AI565" i="13"/>
  <c r="AK565" i="13" s="1"/>
  <c r="AI566" i="13"/>
  <c r="AK566" i="13" s="1"/>
  <c r="AI567" i="13"/>
  <c r="AK567" i="13" s="1"/>
  <c r="AI568" i="13"/>
  <c r="AK568" i="13" s="1"/>
  <c r="AI569" i="13"/>
  <c r="AK569" i="13" s="1"/>
  <c r="AI570" i="13"/>
  <c r="AK570" i="13" s="1"/>
  <c r="AI571" i="13"/>
  <c r="AK571" i="13" s="1"/>
  <c r="AI572" i="13"/>
  <c r="AK572" i="13" s="1"/>
  <c r="AI573" i="13"/>
  <c r="AK573" i="13" s="1"/>
  <c r="AI574" i="13"/>
  <c r="AK574" i="13" s="1"/>
  <c r="AI575" i="13"/>
  <c r="AK575" i="13" s="1"/>
  <c r="AI576" i="13"/>
  <c r="AK576" i="13" s="1"/>
  <c r="AI577" i="13"/>
  <c r="AK577" i="13" s="1"/>
  <c r="AI578" i="13"/>
  <c r="AK578" i="13" s="1"/>
  <c r="AI579" i="13"/>
  <c r="AK579" i="13" s="1"/>
  <c r="AI580" i="13"/>
  <c r="AK580" i="13" s="1"/>
  <c r="AI581" i="13"/>
  <c r="AK581" i="13" s="1"/>
  <c r="AI582" i="13"/>
  <c r="AK582" i="13" s="1"/>
  <c r="AI583" i="13"/>
  <c r="AK583" i="13" s="1"/>
  <c r="AI584" i="13"/>
  <c r="AK584" i="13" s="1"/>
  <c r="AI585" i="13"/>
  <c r="AK585" i="13" s="1"/>
  <c r="AI586" i="13"/>
  <c r="AK586" i="13" s="1"/>
  <c r="AI587" i="13"/>
  <c r="AK587" i="13" s="1"/>
  <c r="AI588" i="13"/>
  <c r="AK588" i="13" s="1"/>
  <c r="AI589" i="13"/>
  <c r="AK589" i="13" s="1"/>
  <c r="AI590" i="13"/>
  <c r="AK590" i="13" s="1"/>
  <c r="AI591" i="13"/>
  <c r="AK591" i="13" s="1"/>
  <c r="AI592" i="13"/>
  <c r="AK592" i="13" s="1"/>
  <c r="AI593" i="13"/>
  <c r="AK593" i="13" s="1"/>
  <c r="AI594" i="13"/>
  <c r="AK594" i="13" s="1"/>
  <c r="AI595" i="13"/>
  <c r="AK595" i="13" s="1"/>
  <c r="AI596" i="13"/>
  <c r="AK596" i="13" s="1"/>
  <c r="AI597" i="13"/>
  <c r="AK597" i="13" s="1"/>
  <c r="AI598" i="13"/>
  <c r="AK598" i="13" s="1"/>
  <c r="AI599" i="13"/>
  <c r="AK599" i="13" s="1"/>
  <c r="AI600" i="13"/>
  <c r="AK600" i="13" s="1"/>
  <c r="AI601" i="13"/>
  <c r="AK601" i="13" s="1"/>
  <c r="AI602" i="13"/>
  <c r="AK602" i="13" s="1"/>
  <c r="AI603" i="13"/>
  <c r="AK603" i="13" s="1"/>
  <c r="AI604" i="13"/>
  <c r="AK604" i="13" s="1"/>
  <c r="AI605" i="13"/>
  <c r="AK605" i="13" s="1"/>
  <c r="AI606" i="13"/>
  <c r="AK606" i="13" s="1"/>
  <c r="AI607" i="13"/>
  <c r="AK607" i="13" s="1"/>
  <c r="AI608" i="13"/>
  <c r="AK608" i="13" s="1"/>
  <c r="AI609" i="13"/>
  <c r="AK609" i="13" s="1"/>
  <c r="AI610" i="13"/>
  <c r="AK610" i="13" s="1"/>
  <c r="AI611" i="13"/>
  <c r="AK611" i="13" s="1"/>
  <c r="AI612" i="13"/>
  <c r="AK612" i="13" s="1"/>
  <c r="AI613" i="13"/>
  <c r="AK613" i="13" s="1"/>
  <c r="AI614" i="13"/>
  <c r="AK614" i="13" s="1"/>
  <c r="AI615" i="13"/>
  <c r="AK615" i="13" s="1"/>
  <c r="AI616" i="13"/>
  <c r="AK616" i="13" s="1"/>
  <c r="AI617" i="13"/>
  <c r="AK617" i="13" s="1"/>
  <c r="AI618" i="13"/>
  <c r="AK618" i="13" s="1"/>
  <c r="AI619" i="13"/>
  <c r="AK619" i="13" s="1"/>
  <c r="AI620" i="13"/>
  <c r="AK620" i="13" s="1"/>
  <c r="AI621" i="13"/>
  <c r="AK621" i="13" s="1"/>
  <c r="AI622" i="13"/>
  <c r="AK622" i="13" s="1"/>
  <c r="AI623" i="13"/>
  <c r="AK623" i="13" s="1"/>
  <c r="AI624" i="13"/>
  <c r="AK624" i="13" s="1"/>
  <c r="AI625" i="13"/>
  <c r="AK625" i="13" s="1"/>
  <c r="AI626" i="13"/>
  <c r="AK626" i="13" s="1"/>
  <c r="AI627" i="13"/>
  <c r="AI628" i="13"/>
  <c r="AI629" i="13"/>
  <c r="AI630" i="13"/>
  <c r="AI631" i="13"/>
  <c r="AI632" i="13"/>
  <c r="AI633" i="13"/>
  <c r="AI634" i="13"/>
  <c r="AI635" i="13"/>
  <c r="AI636" i="13"/>
  <c r="AI637" i="13"/>
  <c r="AI638" i="13"/>
  <c r="AI639" i="13"/>
  <c r="AI640" i="13"/>
  <c r="AI641" i="13"/>
  <c r="AI642" i="13"/>
  <c r="AI643" i="13"/>
  <c r="AI644" i="13"/>
  <c r="AI645" i="13"/>
  <c r="AI646" i="13"/>
  <c r="AI647" i="13"/>
  <c r="AI648" i="13"/>
  <c r="AI649" i="13"/>
  <c r="AI650" i="13"/>
  <c r="AI651" i="13"/>
  <c r="AI652" i="13"/>
  <c r="AI653" i="13"/>
  <c r="AI654" i="13"/>
  <c r="AI655" i="13"/>
  <c r="AI656" i="13"/>
  <c r="AI657" i="13"/>
  <c r="AI658" i="13"/>
  <c r="AI659" i="13"/>
  <c r="AI538" i="13"/>
  <c r="AK538" i="13" s="1"/>
  <c r="AI539" i="13"/>
  <c r="AK539" i="13" s="1"/>
  <c r="AI540" i="13"/>
  <c r="AK540" i="13" s="1"/>
  <c r="AI541" i="13"/>
  <c r="AK541" i="13" s="1"/>
  <c r="AI542" i="13"/>
  <c r="AK542" i="13" s="1"/>
  <c r="AI543" i="13"/>
  <c r="AK543" i="13" s="1"/>
  <c r="AI544" i="13"/>
  <c r="AK544" i="13" s="1"/>
  <c r="AI545" i="13"/>
  <c r="AK545" i="13" s="1"/>
  <c r="AI546" i="13"/>
  <c r="AK546" i="13" s="1"/>
  <c r="AI547" i="13"/>
  <c r="AK547" i="13" s="1"/>
  <c r="AI548" i="13"/>
  <c r="AK548" i="13" s="1"/>
  <c r="AI549" i="13"/>
  <c r="AK549" i="13" s="1"/>
  <c r="AI550" i="13"/>
  <c r="AK550" i="13" s="1"/>
  <c r="AI551" i="13"/>
  <c r="AK551" i="13" s="1"/>
  <c r="AI552" i="13"/>
  <c r="AK552" i="13" s="1"/>
  <c r="AI553" i="13"/>
  <c r="AK553" i="13" s="1"/>
  <c r="AI554" i="13"/>
  <c r="AK554" i="13" s="1"/>
  <c r="AI555" i="13"/>
  <c r="AK555" i="13" s="1"/>
  <c r="AI556" i="13"/>
  <c r="AK556" i="13" s="1"/>
  <c r="AI557" i="13"/>
  <c r="AK557" i="13" s="1"/>
  <c r="AI558" i="13"/>
  <c r="AK558" i="13" s="1"/>
  <c r="AI559" i="13"/>
  <c r="AK559" i="13" s="1"/>
  <c r="AI560" i="13"/>
  <c r="AK560" i="13" s="1"/>
  <c r="AI561" i="13"/>
  <c r="AK561" i="13" s="1"/>
  <c r="AI562" i="13"/>
  <c r="AK562" i="13" s="1"/>
  <c r="AI563" i="13"/>
  <c r="AK563" i="13" s="1"/>
  <c r="AI564" i="13"/>
  <c r="AK564" i="13" s="1"/>
  <c r="AI387" i="13"/>
  <c r="AK387" i="13" s="1"/>
  <c r="AI388" i="13"/>
  <c r="AK388" i="13" s="1"/>
  <c r="AI389" i="13"/>
  <c r="AK389" i="13" s="1"/>
  <c r="AI390" i="13"/>
  <c r="AK390" i="13" s="1"/>
  <c r="AI391" i="13"/>
  <c r="AK391" i="13" s="1"/>
  <c r="AI392" i="13"/>
  <c r="AK392" i="13" s="1"/>
  <c r="AI393" i="13"/>
  <c r="AK393" i="13" s="1"/>
  <c r="AI394" i="13"/>
  <c r="AK394" i="13" s="1"/>
  <c r="AI395" i="13"/>
  <c r="AK395" i="13" s="1"/>
  <c r="AI396" i="13"/>
  <c r="AK396" i="13" s="1"/>
  <c r="AI397" i="13"/>
  <c r="AK397" i="13" s="1"/>
  <c r="AI398" i="13"/>
  <c r="AK398" i="13" s="1"/>
  <c r="AI399" i="13"/>
  <c r="AK399" i="13" s="1"/>
  <c r="AI400" i="13"/>
  <c r="AK400" i="13" s="1"/>
  <c r="AI401" i="13"/>
  <c r="AK401" i="13" s="1"/>
  <c r="AI402" i="13"/>
  <c r="AK402" i="13" s="1"/>
  <c r="AI403" i="13"/>
  <c r="AK403" i="13" s="1"/>
  <c r="AI404" i="13"/>
  <c r="AK404" i="13" s="1"/>
  <c r="AI405" i="13"/>
  <c r="AK405" i="13" s="1"/>
  <c r="AI406" i="13"/>
  <c r="AK406" i="13" s="1"/>
  <c r="AI407" i="13"/>
  <c r="AK407" i="13" s="1"/>
  <c r="AI408" i="13"/>
  <c r="AK408" i="13" s="1"/>
  <c r="AI409" i="13"/>
  <c r="AK409" i="13" s="1"/>
  <c r="AI410" i="13"/>
  <c r="AK410" i="13" s="1"/>
  <c r="AI411" i="13"/>
  <c r="AK411" i="13" s="1"/>
  <c r="AI412" i="13"/>
  <c r="AK412" i="13" s="1"/>
  <c r="AI413" i="13"/>
  <c r="AK413" i="13" s="1"/>
  <c r="AI414" i="13"/>
  <c r="AK414" i="13" s="1"/>
  <c r="AI415" i="13"/>
  <c r="AK415" i="13" s="1"/>
  <c r="AI416" i="13"/>
  <c r="AK416" i="13" s="1"/>
  <c r="AI417" i="13"/>
  <c r="AK417" i="13" s="1"/>
  <c r="AI418" i="13"/>
  <c r="AK418" i="13" s="1"/>
  <c r="AI419" i="13"/>
  <c r="AK419" i="13" s="1"/>
  <c r="AI420" i="13"/>
  <c r="AK420" i="13" s="1"/>
  <c r="AI421" i="13"/>
  <c r="AK421" i="13" s="1"/>
  <c r="AI422" i="13"/>
  <c r="AK422" i="13" s="1"/>
  <c r="AI423" i="13"/>
  <c r="AK423" i="13" s="1"/>
  <c r="AI424" i="13"/>
  <c r="AK424" i="13" s="1"/>
  <c r="AI425" i="13"/>
  <c r="AK425" i="13" s="1"/>
  <c r="AI426" i="13"/>
  <c r="AK426" i="13" s="1"/>
  <c r="AI427" i="13"/>
  <c r="AK427" i="13" s="1"/>
  <c r="AI428" i="13"/>
  <c r="AK428" i="13" s="1"/>
  <c r="AI429" i="13"/>
  <c r="AK429" i="13" s="1"/>
  <c r="AI430" i="13"/>
  <c r="AK430" i="13" s="1"/>
  <c r="AI431" i="13"/>
  <c r="AK431" i="13" s="1"/>
  <c r="AI432" i="13"/>
  <c r="AK432" i="13" s="1"/>
  <c r="AI433" i="13"/>
  <c r="AK433" i="13" s="1"/>
  <c r="AI434" i="13"/>
  <c r="AK434" i="13" s="1"/>
  <c r="AI435" i="13"/>
  <c r="AK435" i="13" s="1"/>
  <c r="AI436" i="13"/>
  <c r="AK436" i="13" s="1"/>
  <c r="AI437" i="13"/>
  <c r="AK437" i="13" s="1"/>
  <c r="AI438" i="13"/>
  <c r="AK438" i="13" s="1"/>
  <c r="AI439" i="13"/>
  <c r="AK439" i="13" s="1"/>
  <c r="AI440" i="13"/>
  <c r="AK440" i="13" s="1"/>
  <c r="AI441" i="13"/>
  <c r="AK441" i="13" s="1"/>
  <c r="AI442" i="13"/>
  <c r="AK442" i="13" s="1"/>
  <c r="AI443" i="13"/>
  <c r="AK443" i="13" s="1"/>
  <c r="AI444" i="13"/>
  <c r="AK444" i="13" s="1"/>
  <c r="AI445" i="13"/>
  <c r="AK445" i="13" s="1"/>
  <c r="AI446" i="13"/>
  <c r="AK446" i="13" s="1"/>
  <c r="AI447" i="13"/>
  <c r="AK447" i="13" s="1"/>
  <c r="AI448" i="13"/>
  <c r="AK448" i="13" s="1"/>
  <c r="AI449" i="13"/>
  <c r="AK449" i="13" s="1"/>
  <c r="AI450" i="13"/>
  <c r="AK450" i="13" s="1"/>
  <c r="AI451" i="13"/>
  <c r="AK451" i="13" s="1"/>
  <c r="AI452" i="13"/>
  <c r="AK452" i="13" s="1"/>
  <c r="AI453" i="13"/>
  <c r="AK453" i="13" s="1"/>
  <c r="AI454" i="13"/>
  <c r="AK454" i="13" s="1"/>
  <c r="AI455" i="13"/>
  <c r="AK455" i="13" s="1"/>
  <c r="AI456" i="13"/>
  <c r="AK456" i="13" s="1"/>
  <c r="AI457" i="13"/>
  <c r="AK457" i="13" s="1"/>
  <c r="AI458" i="13"/>
  <c r="AK458" i="13" s="1"/>
  <c r="AI459" i="13"/>
  <c r="AK459" i="13" s="1"/>
  <c r="AI460" i="13"/>
  <c r="AK460" i="13" s="1"/>
  <c r="AI461" i="13"/>
  <c r="AK461" i="13" s="1"/>
  <c r="AI462" i="13"/>
  <c r="AK462" i="13" s="1"/>
  <c r="AI463" i="13"/>
  <c r="AK463" i="13" s="1"/>
  <c r="AI464" i="13"/>
  <c r="AK464" i="13" s="1"/>
  <c r="AI465" i="13"/>
  <c r="AK465" i="13" s="1"/>
  <c r="AI466" i="13"/>
  <c r="AK466" i="13" s="1"/>
  <c r="AI467" i="13"/>
  <c r="AK467" i="13" s="1"/>
  <c r="AI468" i="13"/>
  <c r="AK468" i="13" s="1"/>
  <c r="AI469" i="13"/>
  <c r="AK469" i="13" s="1"/>
  <c r="AI470" i="13"/>
  <c r="AK470" i="13" s="1"/>
  <c r="AI471" i="13"/>
  <c r="AK471" i="13" s="1"/>
  <c r="AI472" i="13"/>
  <c r="AK472" i="13" s="1"/>
  <c r="AI473" i="13"/>
  <c r="AK473" i="13" s="1"/>
  <c r="AI474" i="13"/>
  <c r="AK474" i="13" s="1"/>
  <c r="AI475" i="13"/>
  <c r="AK475" i="13" s="1"/>
  <c r="AI476" i="13"/>
  <c r="AK476" i="13" s="1"/>
  <c r="AI477" i="13"/>
  <c r="AK477" i="13" s="1"/>
  <c r="AI478" i="13"/>
  <c r="AK478" i="13" s="1"/>
  <c r="AI479" i="13"/>
  <c r="AK479" i="13" s="1"/>
  <c r="AI480" i="13"/>
  <c r="AK480" i="13" s="1"/>
  <c r="AI481" i="13"/>
  <c r="AK481" i="13" s="1"/>
  <c r="AI482" i="13"/>
  <c r="AK482" i="13" s="1"/>
  <c r="AI483" i="13"/>
  <c r="AK483" i="13" s="1"/>
  <c r="AI484" i="13"/>
  <c r="AK484" i="13" s="1"/>
  <c r="AI485" i="13"/>
  <c r="AK485" i="13" s="1"/>
  <c r="AI486" i="13"/>
  <c r="AK486" i="13" s="1"/>
  <c r="AI487" i="13"/>
  <c r="AK487" i="13" s="1"/>
  <c r="AI488" i="13"/>
  <c r="AK488" i="13" s="1"/>
  <c r="AI489" i="13"/>
  <c r="AK489" i="13" s="1"/>
  <c r="AI490" i="13"/>
  <c r="AK490" i="13" s="1"/>
  <c r="AI491" i="13"/>
  <c r="AK491" i="13" s="1"/>
  <c r="AI492" i="13"/>
  <c r="AK492" i="13" s="1"/>
  <c r="AI493" i="13"/>
  <c r="AK493" i="13" s="1"/>
  <c r="AI494" i="13"/>
  <c r="AK494" i="13" s="1"/>
  <c r="AI495" i="13"/>
  <c r="AK495" i="13" s="1"/>
  <c r="AI496" i="13"/>
  <c r="AK496" i="13" s="1"/>
  <c r="AI497" i="13"/>
  <c r="AK497" i="13" s="1"/>
  <c r="AI498" i="13"/>
  <c r="AK498" i="13" s="1"/>
  <c r="AI499" i="13"/>
  <c r="AK499" i="13" s="1"/>
  <c r="AI500" i="13"/>
  <c r="AK500" i="13" s="1"/>
  <c r="AI501" i="13"/>
  <c r="AK501" i="13" s="1"/>
  <c r="AI502" i="13"/>
  <c r="AK502" i="13" s="1"/>
  <c r="AI503" i="13"/>
  <c r="AK503" i="13" s="1"/>
  <c r="AI504" i="13"/>
  <c r="AK504" i="13" s="1"/>
  <c r="AI505" i="13"/>
  <c r="AK505" i="13" s="1"/>
  <c r="AI506" i="13"/>
  <c r="AK506" i="13" s="1"/>
  <c r="AI507" i="13"/>
  <c r="AK507" i="13" s="1"/>
  <c r="AI508" i="13"/>
  <c r="AK508" i="13" s="1"/>
  <c r="AI509" i="13"/>
  <c r="AK509" i="13" s="1"/>
  <c r="AI510" i="13"/>
  <c r="AK510" i="13" s="1"/>
  <c r="AI511" i="13"/>
  <c r="AK511" i="13" s="1"/>
  <c r="AI512" i="13"/>
  <c r="AK512" i="13" s="1"/>
  <c r="AI513" i="13"/>
  <c r="AK513" i="13" s="1"/>
  <c r="AI514" i="13"/>
  <c r="AK514" i="13" s="1"/>
  <c r="AI515" i="13"/>
  <c r="AK515" i="13" s="1"/>
  <c r="AI516" i="13"/>
  <c r="AK516" i="13" s="1"/>
  <c r="AI517" i="13"/>
  <c r="AK517" i="13" s="1"/>
  <c r="AI518" i="13"/>
  <c r="AK518" i="13" s="1"/>
  <c r="AI519" i="13"/>
  <c r="AK519" i="13" s="1"/>
  <c r="AI520" i="13"/>
  <c r="AK520" i="13" s="1"/>
  <c r="AI521" i="13"/>
  <c r="AK521" i="13" s="1"/>
  <c r="AI522" i="13"/>
  <c r="AK522" i="13" s="1"/>
  <c r="AI523" i="13"/>
  <c r="AK523" i="13" s="1"/>
  <c r="AI524" i="13"/>
  <c r="AK524" i="13" s="1"/>
  <c r="AI525" i="13"/>
  <c r="AK525" i="13" s="1"/>
  <c r="AI526" i="13"/>
  <c r="AK526" i="13" s="1"/>
  <c r="AI527" i="13"/>
  <c r="AK527" i="13" s="1"/>
  <c r="AI528" i="13"/>
  <c r="AK528" i="13" s="1"/>
  <c r="AI529" i="13"/>
  <c r="AK529" i="13" s="1"/>
  <c r="AI530" i="13"/>
  <c r="AK530" i="13" s="1"/>
  <c r="AI531" i="13"/>
  <c r="AK531" i="13" s="1"/>
  <c r="AI532" i="13"/>
  <c r="AK532" i="13" s="1"/>
  <c r="AI533" i="13"/>
  <c r="AK533" i="13" s="1"/>
  <c r="AI534" i="13"/>
  <c r="AK534" i="13" s="1"/>
  <c r="AI535" i="13"/>
  <c r="AK535" i="13" s="1"/>
  <c r="AI536" i="13"/>
  <c r="AK536" i="13" s="1"/>
  <c r="AI537" i="13"/>
  <c r="AK537" i="13" s="1"/>
  <c r="J21" i="13" l="1"/>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J57" i="13"/>
  <c r="J58" i="13"/>
  <c r="J59" i="13"/>
  <c r="J60" i="13"/>
  <c r="J61" i="13"/>
  <c r="J62" i="13"/>
  <c r="J63" i="13"/>
  <c r="J64" i="13"/>
  <c r="J65" i="13"/>
  <c r="J66" i="13"/>
  <c r="J67" i="13"/>
  <c r="J68" i="13"/>
  <c r="J69" i="13"/>
  <c r="J70" i="13"/>
  <c r="J71" i="13"/>
  <c r="J72" i="13"/>
  <c r="J73" i="13"/>
  <c r="J74" i="13"/>
  <c r="J75" i="13"/>
  <c r="J76" i="13"/>
  <c r="J77" i="13"/>
  <c r="J78" i="13"/>
  <c r="J79" i="13"/>
  <c r="J80" i="13"/>
  <c r="J81" i="13"/>
  <c r="J82" i="13"/>
  <c r="J83" i="13"/>
  <c r="J84" i="13"/>
  <c r="J85" i="13"/>
  <c r="J86" i="13"/>
  <c r="J87" i="13"/>
  <c r="J88" i="13"/>
  <c r="J89" i="13"/>
  <c r="J90" i="13"/>
  <c r="J91" i="13"/>
  <c r="J92" i="13"/>
  <c r="J93" i="13"/>
  <c r="J94" i="13"/>
  <c r="J95" i="13"/>
  <c r="J96" i="13"/>
  <c r="J97" i="13"/>
  <c r="J98" i="13"/>
  <c r="J99" i="13"/>
  <c r="J100" i="13"/>
  <c r="J101" i="13"/>
  <c r="J102" i="13"/>
  <c r="J103" i="13"/>
  <c r="J104" i="13"/>
  <c r="J105" i="13"/>
  <c r="J106" i="13"/>
  <c r="J107" i="13"/>
  <c r="J108" i="13"/>
  <c r="J109" i="13"/>
  <c r="J110" i="13"/>
  <c r="J111" i="13"/>
  <c r="J112" i="13"/>
  <c r="J113" i="13"/>
  <c r="J114" i="13"/>
  <c r="J115" i="13"/>
  <c r="J116" i="13"/>
  <c r="J117" i="13"/>
  <c r="J118" i="13"/>
  <c r="J119" i="13"/>
  <c r="J120" i="13"/>
  <c r="J121" i="13"/>
  <c r="J122" i="13"/>
  <c r="J123" i="13"/>
  <c r="J124" i="13"/>
  <c r="J125" i="13"/>
  <c r="J126" i="13"/>
  <c r="J127" i="13"/>
  <c r="J128" i="13"/>
  <c r="J129" i="13"/>
  <c r="J130" i="13"/>
  <c r="J131" i="13"/>
  <c r="J132" i="13"/>
  <c r="J133" i="13"/>
  <c r="J134" i="13"/>
  <c r="J135" i="13"/>
  <c r="J136" i="13"/>
  <c r="J137" i="13"/>
  <c r="J138" i="13"/>
  <c r="J139" i="13"/>
  <c r="J140" i="13"/>
  <c r="J141" i="13"/>
  <c r="J142" i="13"/>
  <c r="J143" i="13"/>
  <c r="J144" i="13"/>
  <c r="J145" i="13"/>
  <c r="J146" i="13"/>
  <c r="J147" i="13"/>
  <c r="J148" i="13"/>
  <c r="J149" i="13"/>
  <c r="J150" i="13"/>
  <c r="J151" i="13"/>
  <c r="J152" i="13"/>
  <c r="J153" i="13"/>
  <c r="J154" i="13"/>
  <c r="J155" i="13"/>
  <c r="J156" i="13"/>
  <c r="J157" i="13"/>
  <c r="J158" i="13"/>
  <c r="J159" i="13"/>
  <c r="J160" i="13"/>
  <c r="J161" i="13"/>
  <c r="J162" i="13"/>
  <c r="J163" i="13"/>
  <c r="J164" i="13"/>
  <c r="J165" i="13"/>
  <c r="J166" i="13"/>
  <c r="J167" i="13"/>
  <c r="J168" i="13"/>
  <c r="J169" i="13"/>
  <c r="J170" i="13"/>
  <c r="J171" i="13"/>
  <c r="J172" i="13"/>
  <c r="J173" i="13"/>
  <c r="J174" i="13"/>
  <c r="J175" i="13"/>
  <c r="J176" i="13"/>
  <c r="J177" i="13"/>
  <c r="J178" i="13"/>
  <c r="J179" i="13"/>
  <c r="J180" i="13"/>
  <c r="J181" i="13"/>
  <c r="J182" i="13"/>
  <c r="J183" i="13"/>
  <c r="J184" i="13"/>
  <c r="J185" i="13"/>
  <c r="J186" i="13"/>
  <c r="J187" i="13"/>
  <c r="J188" i="13"/>
  <c r="J189" i="13"/>
  <c r="J190" i="13"/>
  <c r="J191" i="13"/>
  <c r="J192" i="13"/>
  <c r="J193" i="13"/>
  <c r="J194" i="13"/>
  <c r="J195" i="13"/>
  <c r="J196" i="13"/>
  <c r="J197" i="13"/>
  <c r="J198" i="13"/>
  <c r="J199" i="13"/>
  <c r="J200" i="13"/>
  <c r="J201" i="13"/>
  <c r="J202" i="13"/>
  <c r="J203" i="13"/>
  <c r="J204" i="13"/>
  <c r="J205" i="13"/>
  <c r="J206" i="13"/>
  <c r="J207" i="13"/>
  <c r="J208" i="13"/>
  <c r="J209" i="13"/>
  <c r="J210" i="13"/>
  <c r="J211" i="13"/>
  <c r="J212" i="13"/>
  <c r="J213" i="13"/>
  <c r="J214" i="13"/>
  <c r="J215" i="13"/>
  <c r="J216" i="13"/>
  <c r="J217" i="13"/>
  <c r="J218" i="13"/>
  <c r="J219" i="13"/>
  <c r="J220" i="13"/>
  <c r="J221" i="13"/>
  <c r="J222" i="13"/>
  <c r="J223" i="13"/>
  <c r="J224" i="13"/>
  <c r="J225" i="13"/>
  <c r="J226" i="13"/>
  <c r="J227" i="13"/>
  <c r="J228" i="13"/>
  <c r="J229" i="13"/>
  <c r="J230" i="13"/>
  <c r="J231" i="13"/>
  <c r="J232" i="13"/>
  <c r="J233" i="13"/>
  <c r="J234" i="13"/>
  <c r="J235" i="13"/>
  <c r="J236" i="13"/>
  <c r="J237" i="13"/>
  <c r="J238" i="13"/>
  <c r="J239" i="13"/>
  <c r="J240" i="13"/>
  <c r="J241" i="13"/>
  <c r="J242" i="13"/>
  <c r="J243" i="13"/>
  <c r="J244" i="13"/>
  <c r="J245" i="13"/>
  <c r="J246" i="13"/>
  <c r="J247" i="13"/>
  <c r="J248" i="13"/>
  <c r="J249" i="13"/>
  <c r="J250" i="13"/>
  <c r="J251" i="13"/>
  <c r="J252" i="13"/>
  <c r="J253" i="13"/>
  <c r="J254" i="13"/>
  <c r="J255" i="13"/>
  <c r="J256" i="13"/>
  <c r="J257" i="13"/>
  <c r="J258" i="13"/>
  <c r="J259" i="13"/>
  <c r="J260" i="13"/>
  <c r="J261" i="13"/>
  <c r="J262" i="13"/>
  <c r="J263" i="13"/>
  <c r="J264" i="13"/>
  <c r="J265" i="13"/>
  <c r="J266" i="13"/>
  <c r="J267" i="13"/>
  <c r="J268" i="13"/>
  <c r="J269" i="13"/>
  <c r="J270" i="13"/>
  <c r="J271" i="13"/>
  <c r="J272" i="13"/>
  <c r="J273" i="13"/>
  <c r="J274" i="13"/>
  <c r="J275" i="13"/>
  <c r="J276" i="13"/>
  <c r="J277" i="13"/>
  <c r="J278" i="13"/>
  <c r="J279" i="13"/>
  <c r="J280" i="13"/>
  <c r="J281" i="13"/>
  <c r="J282" i="13"/>
  <c r="J283" i="13"/>
  <c r="J284" i="13"/>
  <c r="J285" i="13"/>
  <c r="J286" i="13"/>
  <c r="J287" i="13"/>
  <c r="J288" i="13"/>
  <c r="J289" i="13"/>
  <c r="J290" i="13"/>
  <c r="J291" i="13"/>
  <c r="J292" i="13"/>
  <c r="J293" i="13"/>
  <c r="H2" i="3" l="1"/>
  <c r="C21" i="13" s="1"/>
  <c r="F21" i="13" l="1"/>
  <c r="E21" i="13"/>
  <c r="C22" i="13"/>
  <c r="D21" i="13"/>
  <c r="F22" i="13" l="1"/>
  <c r="C23" i="13"/>
  <c r="D22" i="13"/>
  <c r="E22" i="13"/>
  <c r="I27" i="13"/>
  <c r="R27" i="13" s="1"/>
  <c r="I28" i="13"/>
  <c r="R28" i="13" s="1"/>
  <c r="I29" i="13"/>
  <c r="R29" i="13" s="1"/>
  <c r="I30" i="13"/>
  <c r="R30" i="13" s="1"/>
  <c r="I31" i="13"/>
  <c r="R31" i="13" s="1"/>
  <c r="I32" i="13"/>
  <c r="R32" i="13" s="1"/>
  <c r="I33" i="13"/>
  <c r="R33" i="13" s="1"/>
  <c r="I34" i="13"/>
  <c r="R34" i="13" s="1"/>
  <c r="I35" i="13"/>
  <c r="R35" i="13" s="1"/>
  <c r="I36" i="13"/>
  <c r="R36" i="13" s="1"/>
  <c r="I37" i="13"/>
  <c r="R37" i="13" s="1"/>
  <c r="I38" i="13"/>
  <c r="R38" i="13" s="1"/>
  <c r="I39" i="13"/>
  <c r="R39" i="13" s="1"/>
  <c r="I40" i="13"/>
  <c r="R40" i="13" s="1"/>
  <c r="I41" i="13"/>
  <c r="R41" i="13" s="1"/>
  <c r="I42" i="13"/>
  <c r="R42" i="13" s="1"/>
  <c r="I43" i="13"/>
  <c r="R43" i="13" s="1"/>
  <c r="I44" i="13"/>
  <c r="R44" i="13" s="1"/>
  <c r="I45" i="13"/>
  <c r="R45" i="13" s="1"/>
  <c r="I46" i="13"/>
  <c r="R46" i="13" s="1"/>
  <c r="I47" i="13"/>
  <c r="R47" i="13" s="1"/>
  <c r="I48" i="13"/>
  <c r="R48" i="13" s="1"/>
  <c r="I49" i="13"/>
  <c r="R49" i="13" s="1"/>
  <c r="I50" i="13"/>
  <c r="R50" i="13" s="1"/>
  <c r="I51" i="13"/>
  <c r="R51" i="13" s="1"/>
  <c r="I52" i="13"/>
  <c r="R52" i="13" s="1"/>
  <c r="I53" i="13"/>
  <c r="R53" i="13" s="1"/>
  <c r="I54" i="13"/>
  <c r="R54" i="13" s="1"/>
  <c r="I55" i="13"/>
  <c r="R55" i="13" s="1"/>
  <c r="I56" i="13"/>
  <c r="R56" i="13" s="1"/>
  <c r="I57" i="13"/>
  <c r="R57" i="13" s="1"/>
  <c r="I58" i="13"/>
  <c r="R58" i="13" s="1"/>
  <c r="I59" i="13"/>
  <c r="R59" i="13" s="1"/>
  <c r="I60" i="13"/>
  <c r="R60" i="13" s="1"/>
  <c r="I61" i="13"/>
  <c r="R61" i="13" s="1"/>
  <c r="I62" i="13"/>
  <c r="R62" i="13" s="1"/>
  <c r="I63" i="13"/>
  <c r="R63" i="13" s="1"/>
  <c r="I64" i="13"/>
  <c r="R64" i="13" s="1"/>
  <c r="I65" i="13"/>
  <c r="R65" i="13" s="1"/>
  <c r="I66" i="13"/>
  <c r="R66" i="13" s="1"/>
  <c r="I67" i="13"/>
  <c r="R67" i="13" s="1"/>
  <c r="I68" i="13"/>
  <c r="R68" i="13" s="1"/>
  <c r="I69" i="13"/>
  <c r="R69" i="13" s="1"/>
  <c r="I70" i="13"/>
  <c r="R70" i="13" s="1"/>
  <c r="I71" i="13"/>
  <c r="R71" i="13" s="1"/>
  <c r="I72" i="13"/>
  <c r="R72" i="13" s="1"/>
  <c r="I73" i="13"/>
  <c r="R73" i="13" s="1"/>
  <c r="I74" i="13"/>
  <c r="R74" i="13" s="1"/>
  <c r="I75" i="13"/>
  <c r="R75" i="13" s="1"/>
  <c r="I76" i="13"/>
  <c r="R76" i="13" s="1"/>
  <c r="I77" i="13"/>
  <c r="R77" i="13" s="1"/>
  <c r="I78" i="13"/>
  <c r="R78" i="13" s="1"/>
  <c r="I79" i="13"/>
  <c r="R79" i="13" s="1"/>
  <c r="I80" i="13"/>
  <c r="R80" i="13" s="1"/>
  <c r="I81" i="13"/>
  <c r="R81" i="13" s="1"/>
  <c r="I82" i="13"/>
  <c r="R82" i="13" s="1"/>
  <c r="I83" i="13"/>
  <c r="R83" i="13" s="1"/>
  <c r="I84" i="13"/>
  <c r="R84" i="13" s="1"/>
  <c r="I85" i="13"/>
  <c r="R85" i="13" s="1"/>
  <c r="I86" i="13"/>
  <c r="R86" i="13" s="1"/>
  <c r="I87" i="13"/>
  <c r="R87" i="13" s="1"/>
  <c r="I88" i="13"/>
  <c r="R88" i="13" s="1"/>
  <c r="I89" i="13"/>
  <c r="R89" i="13" s="1"/>
  <c r="I90" i="13"/>
  <c r="R90" i="13" s="1"/>
  <c r="I91" i="13"/>
  <c r="R91" i="13" s="1"/>
  <c r="I92" i="13"/>
  <c r="R92" i="13" s="1"/>
  <c r="I93" i="13"/>
  <c r="R93" i="13" s="1"/>
  <c r="I94" i="13"/>
  <c r="R94" i="13" s="1"/>
  <c r="I95" i="13"/>
  <c r="R95" i="13" s="1"/>
  <c r="I96" i="13"/>
  <c r="R96" i="13" s="1"/>
  <c r="I97" i="13"/>
  <c r="R97" i="13" s="1"/>
  <c r="I98" i="13"/>
  <c r="R98" i="13" s="1"/>
  <c r="I99" i="13"/>
  <c r="R99" i="13" s="1"/>
  <c r="I100" i="13"/>
  <c r="R100" i="13" s="1"/>
  <c r="I101" i="13"/>
  <c r="R101" i="13" s="1"/>
  <c r="I102" i="13"/>
  <c r="R102" i="13" s="1"/>
  <c r="I103" i="13"/>
  <c r="R103" i="13" s="1"/>
  <c r="I104" i="13"/>
  <c r="R104" i="13" s="1"/>
  <c r="I105" i="13"/>
  <c r="R105" i="13" s="1"/>
  <c r="I106" i="13"/>
  <c r="R106" i="13" s="1"/>
  <c r="I107" i="13"/>
  <c r="R107" i="13" s="1"/>
  <c r="I108" i="13"/>
  <c r="R108" i="13" s="1"/>
  <c r="I109" i="13"/>
  <c r="R109" i="13" s="1"/>
  <c r="I110" i="13"/>
  <c r="R110" i="13" s="1"/>
  <c r="I111" i="13"/>
  <c r="R111" i="13" s="1"/>
  <c r="I112" i="13"/>
  <c r="R112" i="13" s="1"/>
  <c r="I113" i="13"/>
  <c r="R113" i="13" s="1"/>
  <c r="I114" i="13"/>
  <c r="R114" i="13" s="1"/>
  <c r="I115" i="13"/>
  <c r="R115" i="13" s="1"/>
  <c r="I116" i="13"/>
  <c r="R116" i="13" s="1"/>
  <c r="I117" i="13"/>
  <c r="R117" i="13" s="1"/>
  <c r="I118" i="13"/>
  <c r="R118" i="13" s="1"/>
  <c r="I119" i="13"/>
  <c r="R119" i="13" s="1"/>
  <c r="I120" i="13"/>
  <c r="R120" i="13" s="1"/>
  <c r="I121" i="13"/>
  <c r="R121" i="13" s="1"/>
  <c r="I122" i="13"/>
  <c r="R122" i="13" s="1"/>
  <c r="I123" i="13"/>
  <c r="R123" i="13" s="1"/>
  <c r="I124" i="13"/>
  <c r="R124" i="13" s="1"/>
  <c r="I125" i="13"/>
  <c r="R125" i="13" s="1"/>
  <c r="I126" i="13"/>
  <c r="R126" i="13" s="1"/>
  <c r="I127" i="13"/>
  <c r="R127" i="13" s="1"/>
  <c r="I128" i="13"/>
  <c r="R128" i="13" s="1"/>
  <c r="I129" i="13"/>
  <c r="R129" i="13" s="1"/>
  <c r="I130" i="13"/>
  <c r="R130" i="13" s="1"/>
  <c r="I131" i="13"/>
  <c r="R131" i="13" s="1"/>
  <c r="I132" i="13"/>
  <c r="R132" i="13" s="1"/>
  <c r="I133" i="13"/>
  <c r="R133" i="13" s="1"/>
  <c r="I134" i="13"/>
  <c r="R134" i="13" s="1"/>
  <c r="I135" i="13"/>
  <c r="R135" i="13" s="1"/>
  <c r="I136" i="13"/>
  <c r="R136" i="13" s="1"/>
  <c r="I137" i="13"/>
  <c r="R137" i="13" s="1"/>
  <c r="I138" i="13"/>
  <c r="R138" i="13" s="1"/>
  <c r="I139" i="13"/>
  <c r="R139" i="13" s="1"/>
  <c r="I140" i="13"/>
  <c r="R140" i="13" s="1"/>
  <c r="I141" i="13"/>
  <c r="R141" i="13" s="1"/>
  <c r="I142" i="13"/>
  <c r="R142" i="13" s="1"/>
  <c r="I143" i="13"/>
  <c r="R143" i="13" s="1"/>
  <c r="I144" i="13"/>
  <c r="R144" i="13" s="1"/>
  <c r="I145" i="13"/>
  <c r="R145" i="13" s="1"/>
  <c r="I146" i="13"/>
  <c r="R146" i="13" s="1"/>
  <c r="I147" i="13"/>
  <c r="R147" i="13" s="1"/>
  <c r="I148" i="13"/>
  <c r="R148" i="13" s="1"/>
  <c r="I149" i="13"/>
  <c r="R149" i="13" s="1"/>
  <c r="I150" i="13"/>
  <c r="R150" i="13" s="1"/>
  <c r="I151" i="13"/>
  <c r="R151" i="13" s="1"/>
  <c r="I152" i="13"/>
  <c r="R152" i="13" s="1"/>
  <c r="I153" i="13"/>
  <c r="R153" i="13" s="1"/>
  <c r="I154" i="13"/>
  <c r="R154" i="13" s="1"/>
  <c r="I155" i="13"/>
  <c r="R155" i="13" s="1"/>
  <c r="I156" i="13"/>
  <c r="R156" i="13" s="1"/>
  <c r="I157" i="13"/>
  <c r="R157" i="13" s="1"/>
  <c r="I158" i="13"/>
  <c r="R158" i="13" s="1"/>
  <c r="I159" i="13"/>
  <c r="R159" i="13" s="1"/>
  <c r="I160" i="13"/>
  <c r="R160" i="13" s="1"/>
  <c r="I161" i="13"/>
  <c r="R161" i="13" s="1"/>
  <c r="I162" i="13"/>
  <c r="R162" i="13" s="1"/>
  <c r="I163" i="13"/>
  <c r="R163" i="13" s="1"/>
  <c r="I164" i="13"/>
  <c r="R164" i="13" s="1"/>
  <c r="I165" i="13"/>
  <c r="R165" i="13" s="1"/>
  <c r="I166" i="13"/>
  <c r="R166" i="13" s="1"/>
  <c r="I167" i="13"/>
  <c r="R167" i="13" s="1"/>
  <c r="I168" i="13"/>
  <c r="R168" i="13" s="1"/>
  <c r="I169" i="13"/>
  <c r="R169" i="13" s="1"/>
  <c r="I170" i="13"/>
  <c r="R170" i="13" s="1"/>
  <c r="I171" i="13"/>
  <c r="R171" i="13" s="1"/>
  <c r="I172" i="13"/>
  <c r="R172" i="13" s="1"/>
  <c r="I173" i="13"/>
  <c r="R173" i="13" s="1"/>
  <c r="I174" i="13"/>
  <c r="R174" i="13" s="1"/>
  <c r="I175" i="13"/>
  <c r="R175" i="13" s="1"/>
  <c r="I176" i="13"/>
  <c r="R176" i="13" s="1"/>
  <c r="I177" i="13"/>
  <c r="R177" i="13" s="1"/>
  <c r="I178" i="13"/>
  <c r="R178" i="13" s="1"/>
  <c r="I179" i="13"/>
  <c r="R179" i="13" s="1"/>
  <c r="I180" i="13"/>
  <c r="R180" i="13" s="1"/>
  <c r="I181" i="13"/>
  <c r="R181" i="13" s="1"/>
  <c r="I182" i="13"/>
  <c r="R182" i="13" s="1"/>
  <c r="I183" i="13"/>
  <c r="R183" i="13" s="1"/>
  <c r="I184" i="13"/>
  <c r="R184" i="13" s="1"/>
  <c r="I185" i="13"/>
  <c r="R185" i="13" s="1"/>
  <c r="I186" i="13"/>
  <c r="R186" i="13" s="1"/>
  <c r="I187" i="13"/>
  <c r="R187" i="13" s="1"/>
  <c r="I188" i="13"/>
  <c r="R188" i="13" s="1"/>
  <c r="I189" i="13"/>
  <c r="R189" i="13" s="1"/>
  <c r="I190" i="13"/>
  <c r="R190" i="13" s="1"/>
  <c r="I191" i="13"/>
  <c r="R191" i="13" s="1"/>
  <c r="I192" i="13"/>
  <c r="R192" i="13" s="1"/>
  <c r="I193" i="13"/>
  <c r="R193" i="13" s="1"/>
  <c r="I194" i="13"/>
  <c r="R194" i="13" s="1"/>
  <c r="I195" i="13"/>
  <c r="R195" i="13" s="1"/>
  <c r="I196" i="13"/>
  <c r="R196" i="13" s="1"/>
  <c r="I197" i="13"/>
  <c r="R197" i="13" s="1"/>
  <c r="I198" i="13"/>
  <c r="R198" i="13" s="1"/>
  <c r="I199" i="13"/>
  <c r="R199" i="13" s="1"/>
  <c r="I200" i="13"/>
  <c r="R200" i="13" s="1"/>
  <c r="I201" i="13"/>
  <c r="R201" i="13" s="1"/>
  <c r="I202" i="13"/>
  <c r="R202" i="13" s="1"/>
  <c r="I203" i="13"/>
  <c r="R203" i="13" s="1"/>
  <c r="I204" i="13"/>
  <c r="R204" i="13" s="1"/>
  <c r="I205" i="13"/>
  <c r="R205" i="13" s="1"/>
  <c r="I206" i="13"/>
  <c r="R206" i="13" s="1"/>
  <c r="I207" i="13"/>
  <c r="R207" i="13" s="1"/>
  <c r="I208" i="13"/>
  <c r="R208" i="13" s="1"/>
  <c r="I209" i="13"/>
  <c r="R209" i="13" s="1"/>
  <c r="I210" i="13"/>
  <c r="R210" i="13" s="1"/>
  <c r="I211" i="13"/>
  <c r="R211" i="13" s="1"/>
  <c r="I212" i="13"/>
  <c r="R212" i="13" s="1"/>
  <c r="I213" i="13"/>
  <c r="R213" i="13" s="1"/>
  <c r="I214" i="13"/>
  <c r="R214" i="13" s="1"/>
  <c r="I215" i="13"/>
  <c r="R215" i="13" s="1"/>
  <c r="I216" i="13"/>
  <c r="R216" i="13" s="1"/>
  <c r="I217" i="13"/>
  <c r="R217" i="13" s="1"/>
  <c r="I218" i="13"/>
  <c r="R218" i="13" s="1"/>
  <c r="I219" i="13"/>
  <c r="R219" i="13" s="1"/>
  <c r="I220" i="13"/>
  <c r="R220" i="13" s="1"/>
  <c r="I221" i="13"/>
  <c r="R221" i="13" s="1"/>
  <c r="I222" i="13"/>
  <c r="R222" i="13" s="1"/>
  <c r="I223" i="13"/>
  <c r="R223" i="13" s="1"/>
  <c r="I224" i="13"/>
  <c r="R224" i="13" s="1"/>
  <c r="I225" i="13"/>
  <c r="R225" i="13" s="1"/>
  <c r="I226" i="13"/>
  <c r="R226" i="13" s="1"/>
  <c r="I227" i="13"/>
  <c r="R227" i="13" s="1"/>
  <c r="I228" i="13"/>
  <c r="R228" i="13" s="1"/>
  <c r="I229" i="13"/>
  <c r="R229" i="13" s="1"/>
  <c r="I230" i="13"/>
  <c r="R230" i="13" s="1"/>
  <c r="I231" i="13"/>
  <c r="R231" i="13" s="1"/>
  <c r="I232" i="13"/>
  <c r="R232" i="13" s="1"/>
  <c r="I233" i="13"/>
  <c r="R233" i="13" s="1"/>
  <c r="I234" i="13"/>
  <c r="R234" i="13" s="1"/>
  <c r="I235" i="13"/>
  <c r="R235" i="13" s="1"/>
  <c r="I236" i="13"/>
  <c r="R236" i="13" s="1"/>
  <c r="I237" i="13"/>
  <c r="R237" i="13" s="1"/>
  <c r="I238" i="13"/>
  <c r="R238" i="13" s="1"/>
  <c r="I239" i="13"/>
  <c r="R239" i="13" s="1"/>
  <c r="I240" i="13"/>
  <c r="R240" i="13" s="1"/>
  <c r="I241" i="13"/>
  <c r="R241" i="13" s="1"/>
  <c r="I242" i="13"/>
  <c r="R242" i="13" s="1"/>
  <c r="I243" i="13"/>
  <c r="R243" i="13" s="1"/>
  <c r="I244" i="13"/>
  <c r="R244" i="13" s="1"/>
  <c r="I245" i="13"/>
  <c r="R245" i="13" s="1"/>
  <c r="I246" i="13"/>
  <c r="R246" i="13" s="1"/>
  <c r="I247" i="13"/>
  <c r="R247" i="13" s="1"/>
  <c r="I248" i="13"/>
  <c r="R248" i="13" s="1"/>
  <c r="I249" i="13"/>
  <c r="R249" i="13" s="1"/>
  <c r="I250" i="13"/>
  <c r="R250" i="13" s="1"/>
  <c r="I251" i="13"/>
  <c r="R251" i="13" s="1"/>
  <c r="I252" i="13"/>
  <c r="R252" i="13" s="1"/>
  <c r="I253" i="13"/>
  <c r="R253" i="13" s="1"/>
  <c r="I254" i="13"/>
  <c r="R254" i="13" s="1"/>
  <c r="I255" i="13"/>
  <c r="R255" i="13" s="1"/>
  <c r="I256" i="13"/>
  <c r="R256" i="13" s="1"/>
  <c r="I257" i="13"/>
  <c r="R257" i="13" s="1"/>
  <c r="I258" i="13"/>
  <c r="R258" i="13" s="1"/>
  <c r="I259" i="13"/>
  <c r="R259" i="13" s="1"/>
  <c r="I260" i="13"/>
  <c r="R260" i="13" s="1"/>
  <c r="I261" i="13"/>
  <c r="R261" i="13" s="1"/>
  <c r="I262" i="13"/>
  <c r="R262" i="13" s="1"/>
  <c r="I263" i="13"/>
  <c r="R263" i="13" s="1"/>
  <c r="I264" i="13"/>
  <c r="R264" i="13" s="1"/>
  <c r="I265" i="13"/>
  <c r="R265" i="13" s="1"/>
  <c r="I266" i="13"/>
  <c r="R266" i="13" s="1"/>
  <c r="I267" i="13"/>
  <c r="R267" i="13" s="1"/>
  <c r="I268" i="13"/>
  <c r="R268" i="13" s="1"/>
  <c r="I269" i="13"/>
  <c r="R269" i="13" s="1"/>
  <c r="I270" i="13"/>
  <c r="R270" i="13" s="1"/>
  <c r="I271" i="13"/>
  <c r="R271" i="13" s="1"/>
  <c r="I272" i="13"/>
  <c r="R272" i="13" s="1"/>
  <c r="I273" i="13"/>
  <c r="R273" i="13" s="1"/>
  <c r="I274" i="13"/>
  <c r="R274" i="13" s="1"/>
  <c r="I275" i="13"/>
  <c r="R275" i="13" s="1"/>
  <c r="I276" i="13"/>
  <c r="R276" i="13" s="1"/>
  <c r="I277" i="13"/>
  <c r="R277" i="13" s="1"/>
  <c r="I278" i="13"/>
  <c r="R278" i="13" s="1"/>
  <c r="I279" i="13"/>
  <c r="R279" i="13" s="1"/>
  <c r="I280" i="13"/>
  <c r="R280" i="13" s="1"/>
  <c r="I281" i="13"/>
  <c r="R281" i="13" s="1"/>
  <c r="I282" i="13"/>
  <c r="R282" i="13" s="1"/>
  <c r="I283" i="13"/>
  <c r="R283" i="13" s="1"/>
  <c r="I284" i="13"/>
  <c r="R284" i="13" s="1"/>
  <c r="I285" i="13"/>
  <c r="R285" i="13" s="1"/>
  <c r="I286" i="13"/>
  <c r="R286" i="13" s="1"/>
  <c r="I287" i="13"/>
  <c r="R287" i="13" s="1"/>
  <c r="I288" i="13"/>
  <c r="R288" i="13" s="1"/>
  <c r="I289" i="13"/>
  <c r="R289" i="13" s="1"/>
  <c r="I290" i="13"/>
  <c r="R290" i="13" s="1"/>
  <c r="I291" i="13"/>
  <c r="R291" i="13" s="1"/>
  <c r="I292" i="13"/>
  <c r="R292" i="13" s="1"/>
  <c r="I293"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275" i="13"/>
  <c r="K276" i="13"/>
  <c r="K277" i="13"/>
  <c r="K278" i="13"/>
  <c r="K279" i="13"/>
  <c r="K280" i="13"/>
  <c r="K281" i="13"/>
  <c r="K282" i="13"/>
  <c r="K283" i="13"/>
  <c r="K284" i="13"/>
  <c r="K285" i="13"/>
  <c r="K286" i="13"/>
  <c r="K287" i="13"/>
  <c r="K288" i="13"/>
  <c r="K289" i="13"/>
  <c r="K290" i="13"/>
  <c r="K291" i="13"/>
  <c r="K292" i="13"/>
  <c r="K293"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L76" i="13"/>
  <c r="L77" i="13"/>
  <c r="L78" i="13"/>
  <c r="L79" i="13"/>
  <c r="L80" i="13"/>
  <c r="L81" i="13"/>
  <c r="L82" i="13"/>
  <c r="L83" i="13"/>
  <c r="L84" i="13"/>
  <c r="L85" i="13"/>
  <c r="L86" i="13"/>
  <c r="L87" i="13"/>
  <c r="L88" i="13"/>
  <c r="L89" i="13"/>
  <c r="L90" i="13"/>
  <c r="L91" i="13"/>
  <c r="L92" i="13"/>
  <c r="L93" i="13"/>
  <c r="L94" i="13"/>
  <c r="L95" i="13"/>
  <c r="L96" i="13"/>
  <c r="L97" i="13"/>
  <c r="L98" i="13"/>
  <c r="L99" i="13"/>
  <c r="L100" i="13"/>
  <c r="L101" i="13"/>
  <c r="L102" i="13"/>
  <c r="L103" i="13"/>
  <c r="L104" i="13"/>
  <c r="L105" i="13"/>
  <c r="L106" i="13"/>
  <c r="L107" i="13"/>
  <c r="L108" i="13"/>
  <c r="L109" i="13"/>
  <c r="L110" i="13"/>
  <c r="L111" i="13"/>
  <c r="L112" i="13"/>
  <c r="L113" i="13"/>
  <c r="L114" i="13"/>
  <c r="L115" i="13"/>
  <c r="L116" i="13"/>
  <c r="L117" i="13"/>
  <c r="L118" i="13"/>
  <c r="L119" i="13"/>
  <c r="L120" i="13"/>
  <c r="L121" i="13"/>
  <c r="L122" i="13"/>
  <c r="L123" i="13"/>
  <c r="L124" i="13"/>
  <c r="L125" i="13"/>
  <c r="L126" i="13"/>
  <c r="L127" i="13"/>
  <c r="L128" i="13"/>
  <c r="L129" i="13"/>
  <c r="L130" i="13"/>
  <c r="L131" i="13"/>
  <c r="L132" i="13"/>
  <c r="L133" i="13"/>
  <c r="L134" i="13"/>
  <c r="L135" i="13"/>
  <c r="L136" i="13"/>
  <c r="L137" i="13"/>
  <c r="L138" i="13"/>
  <c r="L139" i="13"/>
  <c r="L140" i="13"/>
  <c r="L141" i="13"/>
  <c r="L142" i="13"/>
  <c r="L143" i="13"/>
  <c r="L144" i="13"/>
  <c r="L145" i="13"/>
  <c r="L146" i="13"/>
  <c r="L147" i="13"/>
  <c r="L148" i="13"/>
  <c r="L149" i="13"/>
  <c r="L150" i="13"/>
  <c r="L151" i="13"/>
  <c r="L152" i="13"/>
  <c r="L153" i="13"/>
  <c r="L154" i="13"/>
  <c r="L155" i="13"/>
  <c r="L156" i="13"/>
  <c r="L157" i="13"/>
  <c r="L158" i="13"/>
  <c r="L159" i="13"/>
  <c r="L160" i="13"/>
  <c r="L161" i="13"/>
  <c r="L162" i="13"/>
  <c r="L163" i="13"/>
  <c r="L164" i="13"/>
  <c r="L165" i="13"/>
  <c r="L166" i="13"/>
  <c r="L167" i="13"/>
  <c r="L168" i="13"/>
  <c r="L169" i="13"/>
  <c r="L170" i="13"/>
  <c r="L171" i="13"/>
  <c r="L172" i="13"/>
  <c r="L173" i="13"/>
  <c r="L174" i="13"/>
  <c r="L175" i="13"/>
  <c r="L176" i="13"/>
  <c r="L177" i="13"/>
  <c r="L178" i="13"/>
  <c r="L179" i="13"/>
  <c r="L180" i="13"/>
  <c r="L181" i="13"/>
  <c r="L182" i="13"/>
  <c r="L183" i="13"/>
  <c r="L184" i="13"/>
  <c r="L185" i="13"/>
  <c r="L186" i="13"/>
  <c r="L187" i="13"/>
  <c r="L188" i="13"/>
  <c r="L189" i="13"/>
  <c r="L190" i="13"/>
  <c r="L191" i="13"/>
  <c r="L192" i="13"/>
  <c r="L193" i="13"/>
  <c r="L194" i="13"/>
  <c r="L195" i="13"/>
  <c r="L196" i="13"/>
  <c r="L197" i="13"/>
  <c r="L198" i="13"/>
  <c r="L199" i="13"/>
  <c r="L200" i="13"/>
  <c r="L201" i="13"/>
  <c r="L202" i="13"/>
  <c r="L203" i="13"/>
  <c r="L204" i="13"/>
  <c r="L205" i="13"/>
  <c r="L206" i="13"/>
  <c r="L207" i="13"/>
  <c r="L208" i="13"/>
  <c r="L209" i="13"/>
  <c r="L210" i="13"/>
  <c r="L211" i="13"/>
  <c r="L212" i="13"/>
  <c r="L213" i="13"/>
  <c r="L214" i="13"/>
  <c r="L215" i="13"/>
  <c r="L216" i="13"/>
  <c r="L217" i="13"/>
  <c r="L218" i="13"/>
  <c r="L219" i="13"/>
  <c r="L220" i="13"/>
  <c r="L221" i="13"/>
  <c r="L222" i="13"/>
  <c r="L223" i="13"/>
  <c r="L224" i="13"/>
  <c r="L225" i="13"/>
  <c r="L226" i="13"/>
  <c r="L227" i="13"/>
  <c r="L228" i="13"/>
  <c r="L229" i="13"/>
  <c r="L230" i="13"/>
  <c r="L231" i="13"/>
  <c r="L232" i="13"/>
  <c r="L233" i="13"/>
  <c r="L234" i="13"/>
  <c r="L235" i="13"/>
  <c r="L236" i="13"/>
  <c r="L237" i="13"/>
  <c r="L238" i="13"/>
  <c r="L239" i="13"/>
  <c r="L240" i="13"/>
  <c r="L241" i="13"/>
  <c r="L242" i="13"/>
  <c r="L243" i="13"/>
  <c r="L244" i="13"/>
  <c r="L245" i="13"/>
  <c r="L246" i="13"/>
  <c r="L247" i="13"/>
  <c r="L248" i="13"/>
  <c r="L249" i="13"/>
  <c r="L250" i="13"/>
  <c r="L251" i="13"/>
  <c r="L252" i="13"/>
  <c r="L253" i="13"/>
  <c r="L254" i="13"/>
  <c r="L255" i="13"/>
  <c r="L256" i="13"/>
  <c r="L257" i="13"/>
  <c r="L258" i="13"/>
  <c r="L259" i="13"/>
  <c r="L260" i="13"/>
  <c r="L261" i="13"/>
  <c r="L262" i="13"/>
  <c r="L263" i="13"/>
  <c r="L264" i="13"/>
  <c r="L265" i="13"/>
  <c r="L266" i="13"/>
  <c r="L267" i="13"/>
  <c r="L268" i="13"/>
  <c r="L269" i="13"/>
  <c r="L270" i="13"/>
  <c r="L271" i="13"/>
  <c r="L272" i="13"/>
  <c r="L273" i="13"/>
  <c r="L274" i="13"/>
  <c r="L275" i="13"/>
  <c r="L276" i="13"/>
  <c r="L277" i="13"/>
  <c r="L278" i="13"/>
  <c r="L279" i="13"/>
  <c r="L280" i="13"/>
  <c r="L281" i="13"/>
  <c r="L282" i="13"/>
  <c r="L283" i="13"/>
  <c r="L284" i="13"/>
  <c r="L285" i="13"/>
  <c r="L286" i="13"/>
  <c r="L287" i="13"/>
  <c r="L288" i="13"/>
  <c r="L289" i="13"/>
  <c r="L290" i="13"/>
  <c r="L291" i="13"/>
  <c r="L292" i="13"/>
  <c r="L293"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13" i="13"/>
  <c r="M114" i="13"/>
  <c r="M115" i="13"/>
  <c r="M116" i="13"/>
  <c r="M117" i="13"/>
  <c r="M118" i="13"/>
  <c r="M119"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0"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208" i="13"/>
  <c r="M209" i="13"/>
  <c r="M210" i="13"/>
  <c r="M211" i="13"/>
  <c r="M212" i="13"/>
  <c r="M213" i="13"/>
  <c r="M214" i="13"/>
  <c r="M215" i="13"/>
  <c r="M216" i="13"/>
  <c r="M217" i="13"/>
  <c r="M218" i="13"/>
  <c r="M219" i="13"/>
  <c r="M220" i="13"/>
  <c r="M221" i="13"/>
  <c r="M222" i="13"/>
  <c r="M223" i="13"/>
  <c r="M224" i="13"/>
  <c r="M225" i="13"/>
  <c r="M226" i="13"/>
  <c r="M227" i="13"/>
  <c r="M228" i="13"/>
  <c r="M229" i="13"/>
  <c r="M230" i="13"/>
  <c r="M231" i="13"/>
  <c r="M232" i="13"/>
  <c r="M233" i="13"/>
  <c r="M234" i="13"/>
  <c r="M235" i="13"/>
  <c r="M236" i="13"/>
  <c r="M237" i="13"/>
  <c r="M238" i="13"/>
  <c r="M239" i="13"/>
  <c r="M240" i="13"/>
  <c r="M241" i="13"/>
  <c r="M242" i="13"/>
  <c r="M243" i="13"/>
  <c r="M244" i="13"/>
  <c r="M245" i="13"/>
  <c r="M246" i="13"/>
  <c r="M247" i="13"/>
  <c r="M248" i="13"/>
  <c r="M249" i="13"/>
  <c r="M250" i="13"/>
  <c r="M251" i="13"/>
  <c r="M252" i="13"/>
  <c r="M253" i="13"/>
  <c r="M254" i="13"/>
  <c r="M255" i="13"/>
  <c r="M256" i="13"/>
  <c r="M257" i="13"/>
  <c r="M258" i="13"/>
  <c r="M259" i="13"/>
  <c r="M260" i="13"/>
  <c r="M261" i="13"/>
  <c r="M262" i="13"/>
  <c r="M263" i="13"/>
  <c r="M264" i="13"/>
  <c r="M265" i="13"/>
  <c r="M266" i="13"/>
  <c r="M267" i="13"/>
  <c r="M268" i="13"/>
  <c r="M269" i="13"/>
  <c r="M270" i="13"/>
  <c r="M271" i="13"/>
  <c r="M272" i="13"/>
  <c r="M273" i="13"/>
  <c r="M274" i="13"/>
  <c r="M275" i="13"/>
  <c r="M276" i="13"/>
  <c r="M277" i="13"/>
  <c r="M278" i="13"/>
  <c r="M279" i="13"/>
  <c r="M280" i="13"/>
  <c r="M281" i="13"/>
  <c r="M282" i="13"/>
  <c r="M283" i="13"/>
  <c r="M284" i="13"/>
  <c r="M285" i="13"/>
  <c r="M286" i="13"/>
  <c r="M287" i="13"/>
  <c r="M288" i="13"/>
  <c r="M289" i="13"/>
  <c r="M290" i="13"/>
  <c r="M291" i="13"/>
  <c r="M292" i="13"/>
  <c r="M293" i="13"/>
  <c r="N27" i="13"/>
  <c r="N28" i="13"/>
  <c r="N29" i="13"/>
  <c r="N30" i="13"/>
  <c r="N31" i="13"/>
  <c r="N32" i="13"/>
  <c r="N33" i="13"/>
  <c r="N34" i="13"/>
  <c r="N35" i="13"/>
  <c r="N36" i="13"/>
  <c r="N37" i="13"/>
  <c r="N38" i="13"/>
  <c r="N39" i="13"/>
  <c r="N40" i="13"/>
  <c r="N41" i="13"/>
  <c r="N42" i="13"/>
  <c r="N43" i="13"/>
  <c r="N44" i="13"/>
  <c r="N45" i="13"/>
  <c r="N46" i="13"/>
  <c r="N47" i="13"/>
  <c r="N48" i="13"/>
  <c r="N49" i="13"/>
  <c r="N50" i="13"/>
  <c r="N51" i="13"/>
  <c r="N52" i="13"/>
  <c r="N53" i="13"/>
  <c r="N54" i="13"/>
  <c r="N55" i="13"/>
  <c r="N56" i="13"/>
  <c r="N57" i="13"/>
  <c r="N58" i="13"/>
  <c r="N59" i="13"/>
  <c r="N60" i="13"/>
  <c r="N61" i="13"/>
  <c r="N62" i="13"/>
  <c r="N63" i="13"/>
  <c r="N64" i="13"/>
  <c r="N65" i="13"/>
  <c r="N66" i="13"/>
  <c r="N67" i="13"/>
  <c r="N68" i="13"/>
  <c r="N69" i="13"/>
  <c r="N70" i="13"/>
  <c r="N71" i="13"/>
  <c r="N72" i="13"/>
  <c r="N73" i="13"/>
  <c r="N74" i="13"/>
  <c r="N75" i="13"/>
  <c r="N76" i="13"/>
  <c r="N77" i="13"/>
  <c r="N78" i="13"/>
  <c r="N79" i="13"/>
  <c r="N80" i="13"/>
  <c r="N81" i="13"/>
  <c r="N82" i="13"/>
  <c r="N83" i="13"/>
  <c r="N84" i="13"/>
  <c r="N85" i="13"/>
  <c r="N86" i="13"/>
  <c r="N87" i="13"/>
  <c r="N88" i="13"/>
  <c r="N89" i="13"/>
  <c r="N90" i="13"/>
  <c r="N91" i="13"/>
  <c r="N92" i="13"/>
  <c r="N93" i="13"/>
  <c r="N94" i="13"/>
  <c r="N95" i="13"/>
  <c r="N96" i="13"/>
  <c r="N97" i="13"/>
  <c r="N98" i="13"/>
  <c r="N99" i="13"/>
  <c r="N100" i="13"/>
  <c r="N101" i="13"/>
  <c r="N102" i="13"/>
  <c r="N103" i="13"/>
  <c r="N104" i="13"/>
  <c r="N105" i="13"/>
  <c r="N106" i="13"/>
  <c r="N107" i="13"/>
  <c r="N108" i="13"/>
  <c r="N109" i="13"/>
  <c r="N110" i="13"/>
  <c r="N111" i="13"/>
  <c r="N112" i="13"/>
  <c r="N113" i="13"/>
  <c r="N114" i="13"/>
  <c r="N115" i="13"/>
  <c r="N116" i="13"/>
  <c r="N117" i="13"/>
  <c r="N118" i="13"/>
  <c r="N119" i="13"/>
  <c r="N120" i="13"/>
  <c r="N121" i="13"/>
  <c r="N122" i="13"/>
  <c r="N123" i="13"/>
  <c r="N124" i="13"/>
  <c r="N125" i="13"/>
  <c r="N126" i="13"/>
  <c r="N127" i="13"/>
  <c r="N128" i="13"/>
  <c r="N129" i="13"/>
  <c r="N130" i="13"/>
  <c r="N131" i="13"/>
  <c r="N132" i="13"/>
  <c r="N133" i="13"/>
  <c r="N134" i="13"/>
  <c r="N135" i="13"/>
  <c r="N136" i="13"/>
  <c r="N137" i="13"/>
  <c r="N138" i="13"/>
  <c r="N139" i="13"/>
  <c r="N140" i="13"/>
  <c r="N141" i="13"/>
  <c r="N142" i="13"/>
  <c r="N143" i="13"/>
  <c r="N144" i="13"/>
  <c r="N145" i="13"/>
  <c r="N146" i="13"/>
  <c r="N147" i="13"/>
  <c r="N148" i="13"/>
  <c r="N149" i="13"/>
  <c r="N150" i="13"/>
  <c r="N151" i="13"/>
  <c r="N152" i="13"/>
  <c r="N153" i="13"/>
  <c r="N154" i="13"/>
  <c r="N155" i="13"/>
  <c r="N156" i="13"/>
  <c r="N157" i="13"/>
  <c r="N158" i="13"/>
  <c r="N159" i="13"/>
  <c r="N160" i="13"/>
  <c r="N161" i="13"/>
  <c r="N162" i="13"/>
  <c r="N163" i="13"/>
  <c r="N164" i="13"/>
  <c r="N165" i="13"/>
  <c r="N166" i="13"/>
  <c r="N167" i="13"/>
  <c r="N168" i="13"/>
  <c r="N169" i="13"/>
  <c r="N170" i="13"/>
  <c r="N171" i="13"/>
  <c r="N172" i="13"/>
  <c r="N173" i="13"/>
  <c r="N174" i="13"/>
  <c r="N175" i="13"/>
  <c r="N176" i="13"/>
  <c r="N177" i="13"/>
  <c r="N178" i="13"/>
  <c r="N179" i="13"/>
  <c r="N180" i="13"/>
  <c r="N181" i="13"/>
  <c r="N182" i="13"/>
  <c r="N183" i="13"/>
  <c r="N184" i="13"/>
  <c r="N185" i="13"/>
  <c r="N186" i="13"/>
  <c r="N187" i="13"/>
  <c r="N188" i="13"/>
  <c r="N189" i="13"/>
  <c r="N190" i="13"/>
  <c r="N191" i="13"/>
  <c r="N192" i="13"/>
  <c r="N193" i="13"/>
  <c r="N194" i="13"/>
  <c r="N195" i="13"/>
  <c r="N196" i="13"/>
  <c r="N197" i="13"/>
  <c r="N198" i="13"/>
  <c r="N199" i="13"/>
  <c r="N200" i="13"/>
  <c r="N201" i="13"/>
  <c r="N202" i="13"/>
  <c r="N203" i="13"/>
  <c r="N204" i="13"/>
  <c r="N205" i="13"/>
  <c r="N206" i="13"/>
  <c r="N207" i="13"/>
  <c r="N208" i="13"/>
  <c r="N209" i="13"/>
  <c r="N210" i="13"/>
  <c r="N211" i="13"/>
  <c r="N212" i="13"/>
  <c r="N213" i="13"/>
  <c r="N214" i="13"/>
  <c r="N215" i="13"/>
  <c r="N216" i="13"/>
  <c r="N217" i="13"/>
  <c r="N218" i="13"/>
  <c r="N219" i="13"/>
  <c r="N220" i="13"/>
  <c r="N221" i="13"/>
  <c r="N222" i="13"/>
  <c r="N223" i="13"/>
  <c r="N224" i="13"/>
  <c r="N225" i="13"/>
  <c r="N226" i="13"/>
  <c r="N227" i="13"/>
  <c r="N228" i="13"/>
  <c r="N229" i="13"/>
  <c r="N230" i="13"/>
  <c r="N231" i="13"/>
  <c r="N232" i="13"/>
  <c r="N233" i="13"/>
  <c r="N234" i="13"/>
  <c r="N235" i="13"/>
  <c r="N236" i="13"/>
  <c r="N237" i="13"/>
  <c r="N238" i="13"/>
  <c r="N239" i="13"/>
  <c r="N240" i="13"/>
  <c r="N241" i="13"/>
  <c r="N242" i="13"/>
  <c r="N243" i="13"/>
  <c r="N244" i="13"/>
  <c r="N245" i="13"/>
  <c r="N246" i="13"/>
  <c r="N247" i="13"/>
  <c r="N248" i="13"/>
  <c r="N249" i="13"/>
  <c r="N250" i="13"/>
  <c r="N251" i="13"/>
  <c r="N252" i="13"/>
  <c r="N253" i="13"/>
  <c r="N254" i="13"/>
  <c r="N255" i="13"/>
  <c r="N256" i="13"/>
  <c r="N257" i="13"/>
  <c r="N258" i="13"/>
  <c r="N259" i="13"/>
  <c r="N260" i="13"/>
  <c r="N261" i="13"/>
  <c r="N262" i="13"/>
  <c r="N263" i="13"/>
  <c r="N264" i="13"/>
  <c r="N265" i="13"/>
  <c r="N266" i="13"/>
  <c r="N267" i="13"/>
  <c r="N268" i="13"/>
  <c r="N269" i="13"/>
  <c r="N270" i="13"/>
  <c r="N271" i="13"/>
  <c r="N272" i="13"/>
  <c r="N273" i="13"/>
  <c r="N274" i="13"/>
  <c r="N275" i="13"/>
  <c r="N276" i="13"/>
  <c r="N277" i="13"/>
  <c r="N278" i="13"/>
  <c r="N279" i="13"/>
  <c r="N280" i="13"/>
  <c r="N281" i="13"/>
  <c r="N282" i="13"/>
  <c r="N283" i="13"/>
  <c r="N284" i="13"/>
  <c r="N285" i="13"/>
  <c r="N286" i="13"/>
  <c r="N287" i="13"/>
  <c r="N288" i="13"/>
  <c r="N289" i="13"/>
  <c r="N290" i="13"/>
  <c r="N291" i="13"/>
  <c r="N292" i="13"/>
  <c r="N293" i="13"/>
  <c r="O27" i="13"/>
  <c r="O28" i="13"/>
  <c r="O29" i="13"/>
  <c r="O30" i="13"/>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O76" i="13"/>
  <c r="O77" i="13"/>
  <c r="O78" i="13"/>
  <c r="O79" i="13"/>
  <c r="O80" i="13"/>
  <c r="O81" i="13"/>
  <c r="O82" i="13"/>
  <c r="O83" i="13"/>
  <c r="O84" i="13"/>
  <c r="O85" i="13"/>
  <c r="O86" i="13"/>
  <c r="O87" i="13"/>
  <c r="O88" i="13"/>
  <c r="O89" i="13"/>
  <c r="O90" i="13"/>
  <c r="O91" i="13"/>
  <c r="O92" i="13"/>
  <c r="O93" i="13"/>
  <c r="O94" i="13"/>
  <c r="O95" i="13"/>
  <c r="O96" i="13"/>
  <c r="O97" i="13"/>
  <c r="O98" i="13"/>
  <c r="O99" i="13"/>
  <c r="O100" i="13"/>
  <c r="O101" i="13"/>
  <c r="O102" i="13"/>
  <c r="O103" i="13"/>
  <c r="O104" i="13"/>
  <c r="O105" i="13"/>
  <c r="O106" i="13"/>
  <c r="O107" i="13"/>
  <c r="O108" i="13"/>
  <c r="O109" i="13"/>
  <c r="O110" i="13"/>
  <c r="O111" i="13"/>
  <c r="O112" i="13"/>
  <c r="O113" i="13"/>
  <c r="O114" i="13"/>
  <c r="O115" i="13"/>
  <c r="O116" i="13"/>
  <c r="O117" i="13"/>
  <c r="O118" i="13"/>
  <c r="O119" i="13"/>
  <c r="O120" i="13"/>
  <c r="O121" i="13"/>
  <c r="O122" i="13"/>
  <c r="O123" i="13"/>
  <c r="O124" i="13"/>
  <c r="O125" i="13"/>
  <c r="O126" i="13"/>
  <c r="O127" i="13"/>
  <c r="O128" i="13"/>
  <c r="O129" i="13"/>
  <c r="O130" i="13"/>
  <c r="O131" i="13"/>
  <c r="O132" i="13"/>
  <c r="O133" i="13"/>
  <c r="O134" i="13"/>
  <c r="O135" i="13"/>
  <c r="O136" i="13"/>
  <c r="O137" i="13"/>
  <c r="O138" i="13"/>
  <c r="O139" i="13"/>
  <c r="O140" i="13"/>
  <c r="O141" i="13"/>
  <c r="O142" i="13"/>
  <c r="O143" i="13"/>
  <c r="O144" i="13"/>
  <c r="O145" i="13"/>
  <c r="O146" i="13"/>
  <c r="O147" i="13"/>
  <c r="O148" i="13"/>
  <c r="O149" i="13"/>
  <c r="O150" i="13"/>
  <c r="O151" i="13"/>
  <c r="O152" i="13"/>
  <c r="O153" i="13"/>
  <c r="O154" i="13"/>
  <c r="O155" i="13"/>
  <c r="O156" i="13"/>
  <c r="O157" i="13"/>
  <c r="O158" i="13"/>
  <c r="O159" i="13"/>
  <c r="O160" i="13"/>
  <c r="O161" i="13"/>
  <c r="O162" i="13"/>
  <c r="O163" i="13"/>
  <c r="O164" i="13"/>
  <c r="O165" i="13"/>
  <c r="O166" i="13"/>
  <c r="O167" i="13"/>
  <c r="O168" i="13"/>
  <c r="O169" i="13"/>
  <c r="O170" i="13"/>
  <c r="O171" i="13"/>
  <c r="O172" i="13"/>
  <c r="O173" i="13"/>
  <c r="O174" i="13"/>
  <c r="O175" i="13"/>
  <c r="O176" i="13"/>
  <c r="O177" i="13"/>
  <c r="O178" i="13"/>
  <c r="O179" i="13"/>
  <c r="O180" i="13"/>
  <c r="O181" i="13"/>
  <c r="O182" i="13"/>
  <c r="O183" i="13"/>
  <c r="O184" i="13"/>
  <c r="O185" i="13"/>
  <c r="O186" i="13"/>
  <c r="O187" i="13"/>
  <c r="O188" i="13"/>
  <c r="O189" i="13"/>
  <c r="O190" i="13"/>
  <c r="O191" i="13"/>
  <c r="O192" i="13"/>
  <c r="O193" i="13"/>
  <c r="O194" i="13"/>
  <c r="O195" i="13"/>
  <c r="O196" i="13"/>
  <c r="O197" i="13"/>
  <c r="O198" i="13"/>
  <c r="O199" i="13"/>
  <c r="O200" i="13"/>
  <c r="O201" i="13"/>
  <c r="O202" i="13"/>
  <c r="O203" i="13"/>
  <c r="O204" i="13"/>
  <c r="O205" i="13"/>
  <c r="O206" i="13"/>
  <c r="O207" i="13"/>
  <c r="O208" i="13"/>
  <c r="O209" i="13"/>
  <c r="O210" i="13"/>
  <c r="O211" i="13"/>
  <c r="O212" i="13"/>
  <c r="O213" i="13"/>
  <c r="O214" i="13"/>
  <c r="O215" i="13"/>
  <c r="O216" i="13"/>
  <c r="O217" i="13"/>
  <c r="O218" i="13"/>
  <c r="O219" i="13"/>
  <c r="O220" i="13"/>
  <c r="O221" i="13"/>
  <c r="O222" i="13"/>
  <c r="O223" i="13"/>
  <c r="O224" i="13"/>
  <c r="O225" i="13"/>
  <c r="O226" i="13"/>
  <c r="O227" i="13"/>
  <c r="O228" i="13"/>
  <c r="O229" i="13"/>
  <c r="O230" i="13"/>
  <c r="O231" i="13"/>
  <c r="O232" i="13"/>
  <c r="O233" i="13"/>
  <c r="O234" i="13"/>
  <c r="O235" i="13"/>
  <c r="O236" i="13"/>
  <c r="O237" i="13"/>
  <c r="O238" i="13"/>
  <c r="O239" i="13"/>
  <c r="O240" i="13"/>
  <c r="O241" i="13"/>
  <c r="O242" i="13"/>
  <c r="O243" i="13"/>
  <c r="O244" i="13"/>
  <c r="O245" i="13"/>
  <c r="O246" i="13"/>
  <c r="O247" i="13"/>
  <c r="O248" i="13"/>
  <c r="O249" i="13"/>
  <c r="O250" i="13"/>
  <c r="O251" i="13"/>
  <c r="O252" i="13"/>
  <c r="O253" i="13"/>
  <c r="O254" i="13"/>
  <c r="O255" i="13"/>
  <c r="O256" i="13"/>
  <c r="O257" i="13"/>
  <c r="O258" i="13"/>
  <c r="O259" i="13"/>
  <c r="O260" i="13"/>
  <c r="O261" i="13"/>
  <c r="O262" i="13"/>
  <c r="O263" i="13"/>
  <c r="O264" i="13"/>
  <c r="O265" i="13"/>
  <c r="O266" i="13"/>
  <c r="O267" i="13"/>
  <c r="O268" i="13"/>
  <c r="O269" i="13"/>
  <c r="O270" i="13"/>
  <c r="O271" i="13"/>
  <c r="O272" i="13"/>
  <c r="O273" i="13"/>
  <c r="O274" i="13"/>
  <c r="O275" i="13"/>
  <c r="O276" i="13"/>
  <c r="O277" i="13"/>
  <c r="O278" i="13"/>
  <c r="O279" i="13"/>
  <c r="O280" i="13"/>
  <c r="O281" i="13"/>
  <c r="O282" i="13"/>
  <c r="O283" i="13"/>
  <c r="O284" i="13"/>
  <c r="O285" i="13"/>
  <c r="O286" i="13"/>
  <c r="O287" i="13"/>
  <c r="O288" i="13"/>
  <c r="O289" i="13"/>
  <c r="O290" i="13"/>
  <c r="O291" i="13"/>
  <c r="O292" i="13"/>
  <c r="O293"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63" i="13"/>
  <c r="P64" i="13"/>
  <c r="P65" i="13"/>
  <c r="P66" i="13"/>
  <c r="P67" i="13"/>
  <c r="P68" i="13"/>
  <c r="P69" i="13"/>
  <c r="P70" i="13"/>
  <c r="P71" i="13"/>
  <c r="P72" i="13"/>
  <c r="P73" i="13"/>
  <c r="P74" i="13"/>
  <c r="P75" i="13"/>
  <c r="P76" i="13"/>
  <c r="P77" i="13"/>
  <c r="P78" i="13"/>
  <c r="P79" i="13"/>
  <c r="P80" i="13"/>
  <c r="P81" i="13"/>
  <c r="P82" i="13"/>
  <c r="P83" i="13"/>
  <c r="P84" i="13"/>
  <c r="P85" i="13"/>
  <c r="P86" i="13"/>
  <c r="P87" i="13"/>
  <c r="P88" i="13"/>
  <c r="P89" i="13"/>
  <c r="P90" i="13"/>
  <c r="P91" i="13"/>
  <c r="P92" i="13"/>
  <c r="P93" i="13"/>
  <c r="P94" i="13"/>
  <c r="P95" i="13"/>
  <c r="P96" i="13"/>
  <c r="P97" i="13"/>
  <c r="P98" i="13"/>
  <c r="P99" i="13"/>
  <c r="P100" i="13"/>
  <c r="P101" i="13"/>
  <c r="P102" i="13"/>
  <c r="P103" i="13"/>
  <c r="P104" i="13"/>
  <c r="P105" i="13"/>
  <c r="P106" i="13"/>
  <c r="P107" i="13"/>
  <c r="P108" i="13"/>
  <c r="P109" i="13"/>
  <c r="P110" i="13"/>
  <c r="P111" i="13"/>
  <c r="P112" i="13"/>
  <c r="P113" i="13"/>
  <c r="P114" i="13"/>
  <c r="P115" i="13"/>
  <c r="P116" i="13"/>
  <c r="P117" i="13"/>
  <c r="P118" i="13"/>
  <c r="P119" i="13"/>
  <c r="P120" i="13"/>
  <c r="P121" i="13"/>
  <c r="P122" i="13"/>
  <c r="P123" i="13"/>
  <c r="P124" i="13"/>
  <c r="P125" i="13"/>
  <c r="P126" i="13"/>
  <c r="P127" i="13"/>
  <c r="P128" i="13"/>
  <c r="P129" i="13"/>
  <c r="P130" i="13"/>
  <c r="P131" i="13"/>
  <c r="P132" i="13"/>
  <c r="P133" i="13"/>
  <c r="P134" i="13"/>
  <c r="P135" i="13"/>
  <c r="P136" i="13"/>
  <c r="P137" i="13"/>
  <c r="P138" i="13"/>
  <c r="P139" i="13"/>
  <c r="P140" i="13"/>
  <c r="P141" i="13"/>
  <c r="P142" i="13"/>
  <c r="P143" i="13"/>
  <c r="P144" i="13"/>
  <c r="P145" i="13"/>
  <c r="P146" i="13"/>
  <c r="P147" i="13"/>
  <c r="P148" i="13"/>
  <c r="P149" i="13"/>
  <c r="P150" i="13"/>
  <c r="P151" i="13"/>
  <c r="P152" i="13"/>
  <c r="P153" i="13"/>
  <c r="P154" i="13"/>
  <c r="P155" i="13"/>
  <c r="P156" i="13"/>
  <c r="P157" i="13"/>
  <c r="P158" i="13"/>
  <c r="P159" i="13"/>
  <c r="P160" i="13"/>
  <c r="P161" i="13"/>
  <c r="P162" i="13"/>
  <c r="P163" i="13"/>
  <c r="P164" i="13"/>
  <c r="P165" i="13"/>
  <c r="P166" i="13"/>
  <c r="P167" i="13"/>
  <c r="P168" i="13"/>
  <c r="P169" i="13"/>
  <c r="P170" i="13"/>
  <c r="P171" i="13"/>
  <c r="P172" i="13"/>
  <c r="P173" i="13"/>
  <c r="P174" i="13"/>
  <c r="P175" i="13"/>
  <c r="P176" i="13"/>
  <c r="P177" i="13"/>
  <c r="P178" i="13"/>
  <c r="P179" i="13"/>
  <c r="P180" i="13"/>
  <c r="P181" i="13"/>
  <c r="P182" i="13"/>
  <c r="P183" i="13"/>
  <c r="P184" i="13"/>
  <c r="P185" i="13"/>
  <c r="P186" i="13"/>
  <c r="P187" i="13"/>
  <c r="P188" i="13"/>
  <c r="P189" i="13"/>
  <c r="P190" i="13"/>
  <c r="P191" i="13"/>
  <c r="P192" i="13"/>
  <c r="P193" i="13"/>
  <c r="P194" i="13"/>
  <c r="P195" i="13"/>
  <c r="P196" i="13"/>
  <c r="P197" i="13"/>
  <c r="P198" i="13"/>
  <c r="P199" i="13"/>
  <c r="P200" i="13"/>
  <c r="P201" i="13"/>
  <c r="P202" i="13"/>
  <c r="P203" i="13"/>
  <c r="P204" i="13"/>
  <c r="P205" i="13"/>
  <c r="P206" i="13"/>
  <c r="P207" i="13"/>
  <c r="P208" i="13"/>
  <c r="P209" i="13"/>
  <c r="P210" i="13"/>
  <c r="P211" i="13"/>
  <c r="P212" i="13"/>
  <c r="P213" i="13"/>
  <c r="P214" i="13"/>
  <c r="P215" i="13"/>
  <c r="P216" i="13"/>
  <c r="P217" i="13"/>
  <c r="P218" i="13"/>
  <c r="P219" i="13"/>
  <c r="P220" i="13"/>
  <c r="P221" i="13"/>
  <c r="P222" i="13"/>
  <c r="P223" i="13"/>
  <c r="P224" i="13"/>
  <c r="P225" i="13"/>
  <c r="P226" i="13"/>
  <c r="P227" i="13"/>
  <c r="P228" i="13"/>
  <c r="P229" i="13"/>
  <c r="P230" i="13"/>
  <c r="P231" i="13"/>
  <c r="P232" i="13"/>
  <c r="P233" i="13"/>
  <c r="P234" i="13"/>
  <c r="P235" i="13"/>
  <c r="P236" i="13"/>
  <c r="P237" i="13"/>
  <c r="P238" i="13"/>
  <c r="P239" i="13"/>
  <c r="P240" i="13"/>
  <c r="P241" i="13"/>
  <c r="P242" i="13"/>
  <c r="P243" i="13"/>
  <c r="P244" i="13"/>
  <c r="P245" i="13"/>
  <c r="P246" i="13"/>
  <c r="P247" i="13"/>
  <c r="P248" i="13"/>
  <c r="P249" i="13"/>
  <c r="P250" i="13"/>
  <c r="P251" i="13"/>
  <c r="P252" i="13"/>
  <c r="P253" i="13"/>
  <c r="P254" i="13"/>
  <c r="P255" i="13"/>
  <c r="P256" i="13"/>
  <c r="P257" i="13"/>
  <c r="P258" i="13"/>
  <c r="P259" i="13"/>
  <c r="P260" i="13"/>
  <c r="P261" i="13"/>
  <c r="P262" i="13"/>
  <c r="P263" i="13"/>
  <c r="P264" i="13"/>
  <c r="P265" i="13"/>
  <c r="P266" i="13"/>
  <c r="P267" i="13"/>
  <c r="P268" i="13"/>
  <c r="P269" i="13"/>
  <c r="P270" i="13"/>
  <c r="P271" i="13"/>
  <c r="P272" i="13"/>
  <c r="P273" i="13"/>
  <c r="P274" i="13"/>
  <c r="P275" i="13"/>
  <c r="P276" i="13"/>
  <c r="P277" i="13"/>
  <c r="P278" i="13"/>
  <c r="P279" i="13"/>
  <c r="P280" i="13"/>
  <c r="P281" i="13"/>
  <c r="P282" i="13"/>
  <c r="P283" i="13"/>
  <c r="P284" i="13"/>
  <c r="P285" i="13"/>
  <c r="P286" i="13"/>
  <c r="P287" i="13"/>
  <c r="P288" i="13"/>
  <c r="P289" i="13"/>
  <c r="P290" i="13"/>
  <c r="P291" i="13"/>
  <c r="P292" i="13"/>
  <c r="P293"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Q57" i="13"/>
  <c r="Q58" i="13"/>
  <c r="Q59" i="13"/>
  <c r="Q60" i="13"/>
  <c r="Q61" i="13"/>
  <c r="Q62" i="13"/>
  <c r="Q63" i="13"/>
  <c r="Q64" i="13"/>
  <c r="Q65" i="13"/>
  <c r="Q66" i="13"/>
  <c r="Q67" i="13"/>
  <c r="Q68" i="13"/>
  <c r="Q69" i="13"/>
  <c r="Q70" i="13"/>
  <c r="Q71" i="13"/>
  <c r="Q72" i="13"/>
  <c r="Q73" i="13"/>
  <c r="Q74" i="13"/>
  <c r="Q75" i="13"/>
  <c r="Q76" i="13"/>
  <c r="Q77" i="13"/>
  <c r="Q78" i="13"/>
  <c r="Q79" i="13"/>
  <c r="Q80" i="13"/>
  <c r="Q81" i="13"/>
  <c r="Q82" i="13"/>
  <c r="Q83" i="13"/>
  <c r="Q84" i="13"/>
  <c r="Q85" i="13"/>
  <c r="Q86" i="13"/>
  <c r="Q87" i="13"/>
  <c r="Q88" i="13"/>
  <c r="Q89" i="13"/>
  <c r="Q90" i="13"/>
  <c r="Q91" i="13"/>
  <c r="Q92" i="13"/>
  <c r="Q93" i="13"/>
  <c r="Q94" i="13"/>
  <c r="Q95" i="13"/>
  <c r="Q96" i="13"/>
  <c r="Q97" i="13"/>
  <c r="Q98" i="13"/>
  <c r="Q99" i="13"/>
  <c r="Q100" i="13"/>
  <c r="Q101" i="13"/>
  <c r="Q102" i="13"/>
  <c r="Q103" i="13"/>
  <c r="Q104" i="13"/>
  <c r="Q105" i="13"/>
  <c r="Q106" i="13"/>
  <c r="Q107" i="13"/>
  <c r="Q108" i="13"/>
  <c r="Q109" i="13"/>
  <c r="Q110" i="13"/>
  <c r="Q111" i="13"/>
  <c r="Q112" i="13"/>
  <c r="Q113" i="13"/>
  <c r="Q114" i="13"/>
  <c r="Q115" i="13"/>
  <c r="Q116" i="13"/>
  <c r="Q117" i="13"/>
  <c r="Q118" i="13"/>
  <c r="Q119" i="13"/>
  <c r="Q120" i="13"/>
  <c r="Q121" i="13"/>
  <c r="Q122" i="13"/>
  <c r="Q123" i="13"/>
  <c r="Q124" i="13"/>
  <c r="Q125" i="13"/>
  <c r="Q126" i="13"/>
  <c r="Q127" i="13"/>
  <c r="Q128" i="13"/>
  <c r="Q129" i="13"/>
  <c r="Q130" i="13"/>
  <c r="Q131" i="13"/>
  <c r="Q132" i="13"/>
  <c r="Q133" i="13"/>
  <c r="Q134" i="13"/>
  <c r="Q135" i="13"/>
  <c r="Q136" i="13"/>
  <c r="Q137" i="13"/>
  <c r="Q138" i="13"/>
  <c r="Q139" i="13"/>
  <c r="Q140" i="13"/>
  <c r="Q141" i="13"/>
  <c r="Q142" i="13"/>
  <c r="Q143" i="13"/>
  <c r="Q144" i="13"/>
  <c r="Q145" i="13"/>
  <c r="Q146" i="13"/>
  <c r="Q147" i="13"/>
  <c r="Q148" i="13"/>
  <c r="Q149" i="13"/>
  <c r="Q150" i="13"/>
  <c r="Q151" i="13"/>
  <c r="Q152" i="13"/>
  <c r="Q153" i="13"/>
  <c r="Q154" i="13"/>
  <c r="Q155" i="13"/>
  <c r="Q156" i="13"/>
  <c r="Q157" i="13"/>
  <c r="Q158" i="13"/>
  <c r="Q159" i="13"/>
  <c r="Q160" i="13"/>
  <c r="Q161" i="13"/>
  <c r="Q162" i="13"/>
  <c r="Q163" i="13"/>
  <c r="Q164" i="13"/>
  <c r="Q165" i="13"/>
  <c r="Q166" i="13"/>
  <c r="Q167" i="13"/>
  <c r="Q168" i="13"/>
  <c r="Q169" i="13"/>
  <c r="Q170" i="13"/>
  <c r="Q171" i="13"/>
  <c r="Q172" i="13"/>
  <c r="Q173" i="13"/>
  <c r="Q174" i="13"/>
  <c r="Q175" i="13"/>
  <c r="Q176" i="13"/>
  <c r="Q177" i="13"/>
  <c r="Q178" i="13"/>
  <c r="Q179" i="13"/>
  <c r="Q180" i="13"/>
  <c r="Q181" i="13"/>
  <c r="Q182" i="13"/>
  <c r="Q183" i="13"/>
  <c r="Q184" i="13"/>
  <c r="Q185" i="13"/>
  <c r="Q186" i="13"/>
  <c r="Q187" i="13"/>
  <c r="Q188" i="13"/>
  <c r="Q189" i="13"/>
  <c r="Q190" i="13"/>
  <c r="Q191" i="13"/>
  <c r="Q192" i="13"/>
  <c r="Q193" i="13"/>
  <c r="Q194" i="13"/>
  <c r="Q195" i="13"/>
  <c r="Q196" i="13"/>
  <c r="Q197" i="13"/>
  <c r="Q198" i="13"/>
  <c r="Q199" i="13"/>
  <c r="Q200" i="13"/>
  <c r="Q201" i="13"/>
  <c r="Q202" i="13"/>
  <c r="Q203" i="13"/>
  <c r="Q204" i="13"/>
  <c r="Q205" i="13"/>
  <c r="Q206" i="13"/>
  <c r="Q207" i="13"/>
  <c r="Q208" i="13"/>
  <c r="Q209" i="13"/>
  <c r="Q210" i="13"/>
  <c r="Q211" i="13"/>
  <c r="Q212" i="13"/>
  <c r="Q213" i="13"/>
  <c r="Q214" i="13"/>
  <c r="Q215" i="13"/>
  <c r="Q216" i="13"/>
  <c r="Q217" i="13"/>
  <c r="Q218" i="13"/>
  <c r="Q219" i="13"/>
  <c r="Q220" i="13"/>
  <c r="Q221" i="13"/>
  <c r="Q222" i="13"/>
  <c r="Q223" i="13"/>
  <c r="Q224" i="13"/>
  <c r="Q225" i="13"/>
  <c r="Q226" i="13"/>
  <c r="Q227" i="13"/>
  <c r="Q228" i="13"/>
  <c r="Q229" i="13"/>
  <c r="Q230" i="13"/>
  <c r="Q231" i="13"/>
  <c r="Q232" i="13"/>
  <c r="Q233" i="13"/>
  <c r="Q234" i="13"/>
  <c r="Q235" i="13"/>
  <c r="Q236" i="13"/>
  <c r="Q237" i="13"/>
  <c r="Q238" i="13"/>
  <c r="Q239" i="13"/>
  <c r="Q240" i="13"/>
  <c r="Q241" i="13"/>
  <c r="Q242" i="13"/>
  <c r="Q243" i="13"/>
  <c r="Q244" i="13"/>
  <c r="Q245" i="13"/>
  <c r="Q246" i="13"/>
  <c r="Q247" i="13"/>
  <c r="Q248" i="13"/>
  <c r="Q249" i="13"/>
  <c r="Q250" i="13"/>
  <c r="Q251" i="13"/>
  <c r="Q252" i="13"/>
  <c r="Q253" i="13"/>
  <c r="Q254" i="13"/>
  <c r="Q255" i="13"/>
  <c r="Q256" i="13"/>
  <c r="Q257" i="13"/>
  <c r="Q258" i="13"/>
  <c r="Q259" i="13"/>
  <c r="Q260" i="13"/>
  <c r="Q261" i="13"/>
  <c r="Q262" i="13"/>
  <c r="Q263" i="13"/>
  <c r="Q264" i="13"/>
  <c r="Q265" i="13"/>
  <c r="Q266" i="13"/>
  <c r="Q267" i="13"/>
  <c r="Q268" i="13"/>
  <c r="Q269" i="13"/>
  <c r="Q270" i="13"/>
  <c r="Q271" i="13"/>
  <c r="Q272" i="13"/>
  <c r="Q273" i="13"/>
  <c r="Q274" i="13"/>
  <c r="Q275" i="13"/>
  <c r="Q276" i="13"/>
  <c r="Q277" i="13"/>
  <c r="Q278" i="13"/>
  <c r="Q279" i="13"/>
  <c r="Q280" i="13"/>
  <c r="Q281" i="13"/>
  <c r="Q282" i="13"/>
  <c r="Q283" i="13"/>
  <c r="Q284" i="13"/>
  <c r="Q285" i="13"/>
  <c r="Q286" i="13"/>
  <c r="Q287" i="13"/>
  <c r="Q288" i="13"/>
  <c r="Q289" i="13"/>
  <c r="Q290" i="13"/>
  <c r="Q291" i="13"/>
  <c r="Q292" i="13"/>
  <c r="Q293" i="13"/>
  <c r="S27" i="13"/>
  <c r="S28" i="13"/>
  <c r="S29" i="13"/>
  <c r="S30" i="13"/>
  <c r="S31" i="13"/>
  <c r="S32" i="13"/>
  <c r="S33" i="13"/>
  <c r="S34" i="13"/>
  <c r="S35" i="13"/>
  <c r="S36" i="13"/>
  <c r="S37" i="13"/>
  <c r="S38" i="13"/>
  <c r="S39" i="13"/>
  <c r="S40" i="13"/>
  <c r="S41" i="13"/>
  <c r="S42" i="13"/>
  <c r="S43" i="13"/>
  <c r="S44" i="13"/>
  <c r="S45" i="13"/>
  <c r="S46" i="13"/>
  <c r="S47" i="13"/>
  <c r="S48" i="13"/>
  <c r="S49" i="13"/>
  <c r="S50" i="13"/>
  <c r="S51" i="13"/>
  <c r="S52" i="13"/>
  <c r="S53" i="13"/>
  <c r="S54" i="13"/>
  <c r="S55" i="13"/>
  <c r="S56" i="13"/>
  <c r="S57" i="13"/>
  <c r="S58" i="13"/>
  <c r="S59" i="13"/>
  <c r="S60" i="13"/>
  <c r="S61" i="13"/>
  <c r="S62" i="13"/>
  <c r="S63" i="13"/>
  <c r="S64" i="13"/>
  <c r="S65" i="13"/>
  <c r="S66" i="13"/>
  <c r="S67" i="13"/>
  <c r="S68" i="13"/>
  <c r="S69" i="13"/>
  <c r="S70" i="13"/>
  <c r="S71" i="13"/>
  <c r="S72" i="13"/>
  <c r="S73" i="13"/>
  <c r="S74" i="13"/>
  <c r="S75" i="13"/>
  <c r="S76" i="13"/>
  <c r="S77" i="13"/>
  <c r="S78" i="13"/>
  <c r="S79" i="13"/>
  <c r="S80" i="13"/>
  <c r="S81" i="13"/>
  <c r="S82" i="13"/>
  <c r="S83" i="13"/>
  <c r="S84" i="13"/>
  <c r="S85" i="13"/>
  <c r="S86" i="13"/>
  <c r="S87" i="13"/>
  <c r="S88" i="13"/>
  <c r="S89" i="13"/>
  <c r="S90" i="13"/>
  <c r="S91" i="13"/>
  <c r="S92" i="13"/>
  <c r="S93" i="13"/>
  <c r="S94" i="13"/>
  <c r="S95" i="13"/>
  <c r="S96" i="13"/>
  <c r="S97" i="13"/>
  <c r="S98" i="13"/>
  <c r="S99" i="13"/>
  <c r="S100" i="13"/>
  <c r="S101" i="13"/>
  <c r="S102" i="13"/>
  <c r="S103" i="13"/>
  <c r="S104" i="13"/>
  <c r="S105" i="13"/>
  <c r="S106" i="13"/>
  <c r="S107" i="13"/>
  <c r="S108" i="13"/>
  <c r="S109" i="13"/>
  <c r="S110" i="13"/>
  <c r="S111" i="13"/>
  <c r="S112" i="13"/>
  <c r="S113" i="13"/>
  <c r="S114" i="13"/>
  <c r="S115" i="13"/>
  <c r="S116" i="13"/>
  <c r="S117" i="13"/>
  <c r="S118" i="13"/>
  <c r="S119" i="13"/>
  <c r="S120" i="13"/>
  <c r="S121" i="13"/>
  <c r="S122" i="13"/>
  <c r="S123" i="13"/>
  <c r="S124" i="13"/>
  <c r="S125" i="13"/>
  <c r="S126" i="13"/>
  <c r="S127" i="13"/>
  <c r="S128" i="13"/>
  <c r="S129" i="13"/>
  <c r="S130" i="13"/>
  <c r="S131" i="13"/>
  <c r="S132" i="13"/>
  <c r="S133" i="13"/>
  <c r="S134" i="13"/>
  <c r="S135" i="13"/>
  <c r="S136" i="13"/>
  <c r="S137" i="13"/>
  <c r="S138" i="13"/>
  <c r="S139" i="13"/>
  <c r="S140" i="13"/>
  <c r="S141" i="13"/>
  <c r="S142" i="13"/>
  <c r="S143" i="13"/>
  <c r="S144" i="13"/>
  <c r="S145" i="13"/>
  <c r="S146" i="13"/>
  <c r="S147" i="13"/>
  <c r="S148" i="13"/>
  <c r="S149" i="13"/>
  <c r="S150" i="13"/>
  <c r="S151" i="13"/>
  <c r="S152" i="13"/>
  <c r="S153" i="13"/>
  <c r="S154" i="13"/>
  <c r="S155" i="13"/>
  <c r="S156" i="13"/>
  <c r="S157" i="13"/>
  <c r="S158" i="13"/>
  <c r="S159" i="13"/>
  <c r="S160" i="13"/>
  <c r="S161" i="13"/>
  <c r="S162" i="13"/>
  <c r="S163" i="13"/>
  <c r="S164" i="13"/>
  <c r="S165" i="13"/>
  <c r="S166" i="13"/>
  <c r="S167" i="13"/>
  <c r="S168" i="13"/>
  <c r="S169" i="13"/>
  <c r="S170" i="13"/>
  <c r="S171" i="13"/>
  <c r="S172" i="13"/>
  <c r="S173" i="13"/>
  <c r="S174" i="13"/>
  <c r="S175" i="13"/>
  <c r="S176" i="13"/>
  <c r="S177" i="13"/>
  <c r="S178" i="13"/>
  <c r="S179" i="13"/>
  <c r="S180" i="13"/>
  <c r="S181" i="13"/>
  <c r="S182" i="13"/>
  <c r="S183" i="13"/>
  <c r="S184" i="13"/>
  <c r="S185" i="13"/>
  <c r="S186" i="13"/>
  <c r="S187" i="13"/>
  <c r="S188" i="13"/>
  <c r="S189" i="13"/>
  <c r="S190" i="13"/>
  <c r="S191" i="13"/>
  <c r="S192" i="13"/>
  <c r="S193" i="13"/>
  <c r="S194" i="13"/>
  <c r="S195" i="13"/>
  <c r="S196" i="13"/>
  <c r="S197" i="13"/>
  <c r="S198" i="13"/>
  <c r="S199" i="13"/>
  <c r="S200" i="13"/>
  <c r="S201" i="13"/>
  <c r="S202" i="13"/>
  <c r="S203" i="13"/>
  <c r="S204" i="13"/>
  <c r="S205" i="13"/>
  <c r="S206" i="13"/>
  <c r="S207" i="13"/>
  <c r="S208" i="13"/>
  <c r="S209" i="13"/>
  <c r="S210" i="13"/>
  <c r="S211" i="13"/>
  <c r="S212" i="13"/>
  <c r="S213" i="13"/>
  <c r="S214" i="13"/>
  <c r="S215" i="13"/>
  <c r="S216" i="13"/>
  <c r="S217" i="13"/>
  <c r="S218" i="13"/>
  <c r="S219" i="13"/>
  <c r="S220" i="13"/>
  <c r="S221" i="13"/>
  <c r="S222" i="13"/>
  <c r="S223" i="13"/>
  <c r="S224" i="13"/>
  <c r="S225" i="13"/>
  <c r="S226" i="13"/>
  <c r="S227" i="13"/>
  <c r="S228" i="13"/>
  <c r="S229" i="13"/>
  <c r="S230" i="13"/>
  <c r="S231" i="13"/>
  <c r="S232" i="13"/>
  <c r="S233" i="13"/>
  <c r="S234" i="13"/>
  <c r="S235" i="13"/>
  <c r="S236" i="13"/>
  <c r="S237" i="13"/>
  <c r="S238" i="13"/>
  <c r="S239" i="13"/>
  <c r="S240" i="13"/>
  <c r="S241" i="13"/>
  <c r="S242" i="13"/>
  <c r="S243" i="13"/>
  <c r="S244" i="13"/>
  <c r="S245" i="13"/>
  <c r="S246" i="13"/>
  <c r="S247" i="13"/>
  <c r="S248" i="13"/>
  <c r="S249" i="13"/>
  <c r="S250" i="13"/>
  <c r="S251" i="13"/>
  <c r="S252" i="13"/>
  <c r="S253" i="13"/>
  <c r="S254" i="13"/>
  <c r="S255" i="13"/>
  <c r="S256" i="13"/>
  <c r="S257" i="13"/>
  <c r="S258" i="13"/>
  <c r="S259" i="13"/>
  <c r="S260" i="13"/>
  <c r="S261" i="13"/>
  <c r="S262" i="13"/>
  <c r="S263" i="13"/>
  <c r="S264" i="13"/>
  <c r="S265" i="13"/>
  <c r="S266" i="13"/>
  <c r="S267" i="13"/>
  <c r="S268" i="13"/>
  <c r="S269" i="13"/>
  <c r="S270" i="13"/>
  <c r="S271" i="13"/>
  <c r="S272" i="13"/>
  <c r="S273" i="13"/>
  <c r="S274" i="13"/>
  <c r="S275" i="13"/>
  <c r="S276" i="13"/>
  <c r="S277" i="13"/>
  <c r="S278" i="13"/>
  <c r="S279" i="13"/>
  <c r="S280" i="13"/>
  <c r="S281" i="13"/>
  <c r="S282" i="13"/>
  <c r="S283" i="13"/>
  <c r="S284" i="13"/>
  <c r="S285" i="13"/>
  <c r="S286" i="13"/>
  <c r="S287" i="13"/>
  <c r="S288" i="13"/>
  <c r="S289" i="13"/>
  <c r="S290" i="13"/>
  <c r="S291" i="13"/>
  <c r="S292" i="13"/>
  <c r="S293" i="13"/>
  <c r="AI27" i="13"/>
  <c r="AI28" i="13"/>
  <c r="AI29" i="13"/>
  <c r="AK29" i="13" s="1"/>
  <c r="AI30" i="13"/>
  <c r="AK30" i="13" s="1"/>
  <c r="AI31" i="13"/>
  <c r="AK31" i="13" s="1"/>
  <c r="AI32" i="13"/>
  <c r="AK32" i="13" s="1"/>
  <c r="AI33" i="13"/>
  <c r="AK33" i="13" s="1"/>
  <c r="AI34" i="13"/>
  <c r="AK34" i="13" s="1"/>
  <c r="AI35" i="13"/>
  <c r="AK35" i="13" s="1"/>
  <c r="AI36" i="13"/>
  <c r="AK36" i="13" s="1"/>
  <c r="AI37" i="13"/>
  <c r="AK37" i="13" s="1"/>
  <c r="AI38" i="13"/>
  <c r="AK38" i="13" s="1"/>
  <c r="AI39" i="13"/>
  <c r="AK39" i="13" s="1"/>
  <c r="AI40" i="13"/>
  <c r="AK40" i="13" s="1"/>
  <c r="AI41" i="13"/>
  <c r="AK41" i="13" s="1"/>
  <c r="AI42" i="13"/>
  <c r="AK42" i="13" s="1"/>
  <c r="AI43" i="13"/>
  <c r="AK43" i="13" s="1"/>
  <c r="AI44" i="13"/>
  <c r="AK44" i="13" s="1"/>
  <c r="AI45" i="13"/>
  <c r="AK45" i="13" s="1"/>
  <c r="AI46" i="13"/>
  <c r="AK46" i="13" s="1"/>
  <c r="AI47" i="13"/>
  <c r="AK47" i="13" s="1"/>
  <c r="AI48" i="13"/>
  <c r="AK48" i="13" s="1"/>
  <c r="AI49" i="13"/>
  <c r="AK49" i="13" s="1"/>
  <c r="AI50" i="13"/>
  <c r="AK50" i="13" s="1"/>
  <c r="AI51" i="13"/>
  <c r="AK51" i="13" s="1"/>
  <c r="AI52" i="13"/>
  <c r="AK52" i="13" s="1"/>
  <c r="AI53" i="13"/>
  <c r="AK53" i="13" s="1"/>
  <c r="AI54" i="13"/>
  <c r="AK54" i="13" s="1"/>
  <c r="AI55" i="13"/>
  <c r="AK55" i="13" s="1"/>
  <c r="AI56" i="13"/>
  <c r="AK56" i="13" s="1"/>
  <c r="AI57" i="13"/>
  <c r="AK57" i="13" s="1"/>
  <c r="AI58" i="13"/>
  <c r="AK58" i="13" s="1"/>
  <c r="AI59" i="13"/>
  <c r="AK59" i="13" s="1"/>
  <c r="AI60" i="13"/>
  <c r="AK60" i="13" s="1"/>
  <c r="AI61" i="13"/>
  <c r="AK61" i="13" s="1"/>
  <c r="AI62" i="13"/>
  <c r="AK62" i="13" s="1"/>
  <c r="AI63" i="13"/>
  <c r="AK63" i="13" s="1"/>
  <c r="AI64" i="13"/>
  <c r="AK64" i="13" s="1"/>
  <c r="AI65" i="13"/>
  <c r="AK65" i="13" s="1"/>
  <c r="AI66" i="13"/>
  <c r="AK66" i="13" s="1"/>
  <c r="AI67" i="13"/>
  <c r="AK67" i="13" s="1"/>
  <c r="AI68" i="13"/>
  <c r="AK68" i="13" s="1"/>
  <c r="AI69" i="13"/>
  <c r="AK69" i="13" s="1"/>
  <c r="AI70" i="13"/>
  <c r="AK70" i="13" s="1"/>
  <c r="AI71" i="13"/>
  <c r="AK71" i="13" s="1"/>
  <c r="AI72" i="13"/>
  <c r="AK72" i="13" s="1"/>
  <c r="AI73" i="13"/>
  <c r="AK73" i="13" s="1"/>
  <c r="AI74" i="13"/>
  <c r="AK74" i="13" s="1"/>
  <c r="AI75" i="13"/>
  <c r="AK75" i="13" s="1"/>
  <c r="AI76" i="13"/>
  <c r="AK76" i="13" s="1"/>
  <c r="AI77" i="13"/>
  <c r="AK77" i="13" s="1"/>
  <c r="AI78" i="13"/>
  <c r="AK78" i="13" s="1"/>
  <c r="AI79" i="13"/>
  <c r="AK79" i="13" s="1"/>
  <c r="AI80" i="13"/>
  <c r="AK80" i="13" s="1"/>
  <c r="AI81" i="13"/>
  <c r="AK81" i="13" s="1"/>
  <c r="AI82" i="13"/>
  <c r="AK82" i="13" s="1"/>
  <c r="AI83" i="13"/>
  <c r="AK83" i="13" s="1"/>
  <c r="AI84" i="13"/>
  <c r="AK84" i="13" s="1"/>
  <c r="AI85" i="13"/>
  <c r="AK85" i="13" s="1"/>
  <c r="AI86" i="13"/>
  <c r="AK86" i="13" s="1"/>
  <c r="AI87" i="13"/>
  <c r="AK87" i="13" s="1"/>
  <c r="AI88" i="13"/>
  <c r="AK88" i="13" s="1"/>
  <c r="AI89" i="13"/>
  <c r="AK89" i="13" s="1"/>
  <c r="AI90" i="13"/>
  <c r="AK90" i="13" s="1"/>
  <c r="AI91" i="13"/>
  <c r="AK91" i="13" s="1"/>
  <c r="AI92" i="13"/>
  <c r="AK92" i="13" s="1"/>
  <c r="AI93" i="13"/>
  <c r="AK93" i="13" s="1"/>
  <c r="AI94" i="13"/>
  <c r="AK94" i="13" s="1"/>
  <c r="AI95" i="13"/>
  <c r="AK95" i="13" s="1"/>
  <c r="AI96" i="13"/>
  <c r="AK96" i="13" s="1"/>
  <c r="AI97" i="13"/>
  <c r="AK97" i="13" s="1"/>
  <c r="AI98" i="13"/>
  <c r="AK98" i="13" s="1"/>
  <c r="AI99" i="13"/>
  <c r="AK99" i="13" s="1"/>
  <c r="AI100" i="13"/>
  <c r="AK100" i="13" s="1"/>
  <c r="AI101" i="13"/>
  <c r="AK101" i="13" s="1"/>
  <c r="AI102" i="13"/>
  <c r="AK102" i="13" s="1"/>
  <c r="AI103" i="13"/>
  <c r="AK103" i="13" s="1"/>
  <c r="AI104" i="13"/>
  <c r="AK104" i="13" s="1"/>
  <c r="AI105" i="13"/>
  <c r="AK105" i="13" s="1"/>
  <c r="AI106" i="13"/>
  <c r="AK106" i="13" s="1"/>
  <c r="AI107" i="13"/>
  <c r="AK107" i="13" s="1"/>
  <c r="AI108" i="13"/>
  <c r="AK108" i="13" s="1"/>
  <c r="AI109" i="13"/>
  <c r="AK109" i="13" s="1"/>
  <c r="AI110" i="13"/>
  <c r="AK110" i="13" s="1"/>
  <c r="AI111" i="13"/>
  <c r="AK111" i="13" s="1"/>
  <c r="AI112" i="13"/>
  <c r="AK112" i="13" s="1"/>
  <c r="AI113" i="13"/>
  <c r="AK113" i="13" s="1"/>
  <c r="AI114" i="13"/>
  <c r="AK114" i="13" s="1"/>
  <c r="AI115" i="13"/>
  <c r="AK115" i="13" s="1"/>
  <c r="AI116" i="13"/>
  <c r="AK116" i="13" s="1"/>
  <c r="AI117" i="13"/>
  <c r="AK117" i="13" s="1"/>
  <c r="AI118" i="13"/>
  <c r="AK118" i="13" s="1"/>
  <c r="AI119" i="13"/>
  <c r="AK119" i="13" s="1"/>
  <c r="AI120" i="13"/>
  <c r="AK120" i="13" s="1"/>
  <c r="AI121" i="13"/>
  <c r="AK121" i="13" s="1"/>
  <c r="AI122" i="13"/>
  <c r="AK122" i="13" s="1"/>
  <c r="AI123" i="13"/>
  <c r="AK123" i="13" s="1"/>
  <c r="AI124" i="13"/>
  <c r="AK124" i="13" s="1"/>
  <c r="AI125" i="13"/>
  <c r="AK125" i="13" s="1"/>
  <c r="AI126" i="13"/>
  <c r="AK126" i="13" s="1"/>
  <c r="AI127" i="13"/>
  <c r="AK127" i="13" s="1"/>
  <c r="AI128" i="13"/>
  <c r="AK128" i="13" s="1"/>
  <c r="AI129" i="13"/>
  <c r="AK129" i="13" s="1"/>
  <c r="AI130" i="13"/>
  <c r="AK130" i="13" s="1"/>
  <c r="AI131" i="13"/>
  <c r="AK131" i="13" s="1"/>
  <c r="AI132" i="13"/>
  <c r="AK132" i="13" s="1"/>
  <c r="AI133" i="13"/>
  <c r="AK133" i="13" s="1"/>
  <c r="AI134" i="13"/>
  <c r="AK134" i="13" s="1"/>
  <c r="AI135" i="13"/>
  <c r="AK135" i="13" s="1"/>
  <c r="AI136" i="13"/>
  <c r="AK136" i="13" s="1"/>
  <c r="AI137" i="13"/>
  <c r="AK137" i="13" s="1"/>
  <c r="AI138" i="13"/>
  <c r="AK138" i="13" s="1"/>
  <c r="AI139" i="13"/>
  <c r="AK139" i="13" s="1"/>
  <c r="AI140" i="13"/>
  <c r="AK140" i="13" s="1"/>
  <c r="AI141" i="13"/>
  <c r="AK141" i="13" s="1"/>
  <c r="AI142" i="13"/>
  <c r="AK142" i="13" s="1"/>
  <c r="AI143" i="13"/>
  <c r="AK143" i="13" s="1"/>
  <c r="AI144" i="13"/>
  <c r="AK144" i="13" s="1"/>
  <c r="AI145" i="13"/>
  <c r="AK145" i="13" s="1"/>
  <c r="AI146" i="13"/>
  <c r="AK146" i="13" s="1"/>
  <c r="AI147" i="13"/>
  <c r="AK147" i="13" s="1"/>
  <c r="AI148" i="13"/>
  <c r="AK148" i="13" s="1"/>
  <c r="AI149" i="13"/>
  <c r="AK149" i="13" s="1"/>
  <c r="AI150" i="13"/>
  <c r="AK150" i="13" s="1"/>
  <c r="AI151" i="13"/>
  <c r="AK151" i="13" s="1"/>
  <c r="AI152" i="13"/>
  <c r="AK152" i="13" s="1"/>
  <c r="AI153" i="13"/>
  <c r="AK153" i="13" s="1"/>
  <c r="AI154" i="13"/>
  <c r="AK154" i="13" s="1"/>
  <c r="AI155" i="13"/>
  <c r="AK155" i="13" s="1"/>
  <c r="AI156" i="13"/>
  <c r="AK156" i="13" s="1"/>
  <c r="AI157" i="13"/>
  <c r="AK157" i="13" s="1"/>
  <c r="AI158" i="13"/>
  <c r="AK158" i="13" s="1"/>
  <c r="AI159" i="13"/>
  <c r="AK159" i="13" s="1"/>
  <c r="AI160" i="13"/>
  <c r="AK160" i="13" s="1"/>
  <c r="AI161" i="13"/>
  <c r="AK161" i="13" s="1"/>
  <c r="AI162" i="13"/>
  <c r="AK162" i="13" s="1"/>
  <c r="AI163" i="13"/>
  <c r="AK163" i="13" s="1"/>
  <c r="AI164" i="13"/>
  <c r="AK164" i="13" s="1"/>
  <c r="AI165" i="13"/>
  <c r="AK165" i="13" s="1"/>
  <c r="AI166" i="13"/>
  <c r="AK166" i="13" s="1"/>
  <c r="AI167" i="13"/>
  <c r="AK167" i="13" s="1"/>
  <c r="AI168" i="13"/>
  <c r="AK168" i="13" s="1"/>
  <c r="AI169" i="13"/>
  <c r="AK169" i="13" s="1"/>
  <c r="AI170" i="13"/>
  <c r="AK170" i="13" s="1"/>
  <c r="AI171" i="13"/>
  <c r="AK171" i="13" s="1"/>
  <c r="AI172" i="13"/>
  <c r="AK172" i="13" s="1"/>
  <c r="AI173" i="13"/>
  <c r="AK173" i="13" s="1"/>
  <c r="AI174" i="13"/>
  <c r="AK174" i="13" s="1"/>
  <c r="AI175" i="13"/>
  <c r="AK175" i="13" s="1"/>
  <c r="AI176" i="13"/>
  <c r="AK176" i="13" s="1"/>
  <c r="AI177" i="13"/>
  <c r="AK177" i="13" s="1"/>
  <c r="AI178" i="13"/>
  <c r="AK178" i="13" s="1"/>
  <c r="AI179" i="13"/>
  <c r="AK179" i="13" s="1"/>
  <c r="AI180" i="13"/>
  <c r="AK180" i="13" s="1"/>
  <c r="AI181" i="13"/>
  <c r="AK181" i="13" s="1"/>
  <c r="AI182" i="13"/>
  <c r="AK182" i="13" s="1"/>
  <c r="AI183" i="13"/>
  <c r="AK183" i="13" s="1"/>
  <c r="AI184" i="13"/>
  <c r="AK184" i="13" s="1"/>
  <c r="AI185" i="13"/>
  <c r="AK185" i="13" s="1"/>
  <c r="AI186" i="13"/>
  <c r="AK186" i="13" s="1"/>
  <c r="AI187" i="13"/>
  <c r="AK187" i="13" s="1"/>
  <c r="AI188" i="13"/>
  <c r="AK188" i="13" s="1"/>
  <c r="AI189" i="13"/>
  <c r="AK189" i="13" s="1"/>
  <c r="AI190" i="13"/>
  <c r="AK190" i="13" s="1"/>
  <c r="AI191" i="13"/>
  <c r="AK191" i="13" s="1"/>
  <c r="AI192" i="13"/>
  <c r="AK192" i="13" s="1"/>
  <c r="AI193" i="13"/>
  <c r="AK193" i="13" s="1"/>
  <c r="AI194" i="13"/>
  <c r="AK194" i="13" s="1"/>
  <c r="AI195" i="13"/>
  <c r="AK195" i="13" s="1"/>
  <c r="AI196" i="13"/>
  <c r="AK196" i="13" s="1"/>
  <c r="AI197" i="13"/>
  <c r="AK197" i="13" s="1"/>
  <c r="AI198" i="13"/>
  <c r="AK198" i="13" s="1"/>
  <c r="AI199" i="13"/>
  <c r="AK199" i="13" s="1"/>
  <c r="AI200" i="13"/>
  <c r="AK200" i="13" s="1"/>
  <c r="AI201" i="13"/>
  <c r="AK201" i="13" s="1"/>
  <c r="AI202" i="13"/>
  <c r="AK202" i="13" s="1"/>
  <c r="AI203" i="13"/>
  <c r="AK203" i="13" s="1"/>
  <c r="AI204" i="13"/>
  <c r="AK204" i="13" s="1"/>
  <c r="AI205" i="13"/>
  <c r="AK205" i="13" s="1"/>
  <c r="AI206" i="13"/>
  <c r="AK206" i="13" s="1"/>
  <c r="AI207" i="13"/>
  <c r="AK207" i="13" s="1"/>
  <c r="AI208" i="13"/>
  <c r="AK208" i="13" s="1"/>
  <c r="AI209" i="13"/>
  <c r="AK209" i="13" s="1"/>
  <c r="AI210" i="13"/>
  <c r="AK210" i="13" s="1"/>
  <c r="AI211" i="13"/>
  <c r="AK211" i="13" s="1"/>
  <c r="AI212" i="13"/>
  <c r="AK212" i="13" s="1"/>
  <c r="AI213" i="13"/>
  <c r="AK213" i="13" s="1"/>
  <c r="AI214" i="13"/>
  <c r="AK214" i="13" s="1"/>
  <c r="AI215" i="13"/>
  <c r="AK215" i="13" s="1"/>
  <c r="AI216" i="13"/>
  <c r="AK216" i="13" s="1"/>
  <c r="AI217" i="13"/>
  <c r="AK217" i="13" s="1"/>
  <c r="AI218" i="13"/>
  <c r="AK218" i="13" s="1"/>
  <c r="AI219" i="13"/>
  <c r="AK219" i="13" s="1"/>
  <c r="AI220" i="13"/>
  <c r="AK220" i="13" s="1"/>
  <c r="AI221" i="13"/>
  <c r="AK221" i="13" s="1"/>
  <c r="AI222" i="13"/>
  <c r="AK222" i="13" s="1"/>
  <c r="AI223" i="13"/>
  <c r="AK223" i="13" s="1"/>
  <c r="AI224" i="13"/>
  <c r="AK224" i="13" s="1"/>
  <c r="AI225" i="13"/>
  <c r="AK225" i="13" s="1"/>
  <c r="AI226" i="13"/>
  <c r="AK226" i="13" s="1"/>
  <c r="AI227" i="13"/>
  <c r="AK227" i="13" s="1"/>
  <c r="AI228" i="13"/>
  <c r="AK228" i="13" s="1"/>
  <c r="AI229" i="13"/>
  <c r="AK229" i="13" s="1"/>
  <c r="AI230" i="13"/>
  <c r="AK230" i="13" s="1"/>
  <c r="AI231" i="13"/>
  <c r="AK231" i="13" s="1"/>
  <c r="AI232" i="13"/>
  <c r="AK232" i="13" s="1"/>
  <c r="AI233" i="13"/>
  <c r="AK233" i="13" s="1"/>
  <c r="AI234" i="13"/>
  <c r="AK234" i="13" s="1"/>
  <c r="AI235" i="13"/>
  <c r="AK235" i="13" s="1"/>
  <c r="AI236" i="13"/>
  <c r="AK236" i="13" s="1"/>
  <c r="AI237" i="13"/>
  <c r="AK237" i="13" s="1"/>
  <c r="AI238" i="13"/>
  <c r="AK238" i="13" s="1"/>
  <c r="AI239" i="13"/>
  <c r="AK239" i="13" s="1"/>
  <c r="AI240" i="13"/>
  <c r="AK240" i="13" s="1"/>
  <c r="AI241" i="13"/>
  <c r="AK241" i="13" s="1"/>
  <c r="AI242" i="13"/>
  <c r="AK242" i="13" s="1"/>
  <c r="AI243" i="13"/>
  <c r="AK243" i="13" s="1"/>
  <c r="AI244" i="13"/>
  <c r="AK244" i="13" s="1"/>
  <c r="AI245" i="13"/>
  <c r="AK245" i="13" s="1"/>
  <c r="AI246" i="13"/>
  <c r="AK246" i="13" s="1"/>
  <c r="AI247" i="13"/>
  <c r="AK247" i="13" s="1"/>
  <c r="AI248" i="13"/>
  <c r="AK248" i="13" s="1"/>
  <c r="AI249" i="13"/>
  <c r="AK249" i="13" s="1"/>
  <c r="AI250" i="13"/>
  <c r="AK250" i="13" s="1"/>
  <c r="AI251" i="13"/>
  <c r="AK251" i="13" s="1"/>
  <c r="AI252" i="13"/>
  <c r="AK252" i="13" s="1"/>
  <c r="AI253" i="13"/>
  <c r="AK253" i="13" s="1"/>
  <c r="AI254" i="13"/>
  <c r="AK254" i="13" s="1"/>
  <c r="AI255" i="13"/>
  <c r="AK255" i="13" s="1"/>
  <c r="AI256" i="13"/>
  <c r="AK256" i="13" s="1"/>
  <c r="AI257" i="13"/>
  <c r="AK257" i="13" s="1"/>
  <c r="AI258" i="13"/>
  <c r="AK258" i="13" s="1"/>
  <c r="AI259" i="13"/>
  <c r="AK259" i="13" s="1"/>
  <c r="AI260" i="13"/>
  <c r="AK260" i="13" s="1"/>
  <c r="AI261" i="13"/>
  <c r="AK261" i="13" s="1"/>
  <c r="AI262" i="13"/>
  <c r="AK262" i="13" s="1"/>
  <c r="AI263" i="13"/>
  <c r="AK263" i="13" s="1"/>
  <c r="AI264" i="13"/>
  <c r="AK264" i="13" s="1"/>
  <c r="AI265" i="13"/>
  <c r="AK265" i="13" s="1"/>
  <c r="AI266" i="13"/>
  <c r="AK266" i="13" s="1"/>
  <c r="AI267" i="13"/>
  <c r="AK267" i="13" s="1"/>
  <c r="AI268" i="13"/>
  <c r="AK268" i="13" s="1"/>
  <c r="AI269" i="13"/>
  <c r="AK269" i="13" s="1"/>
  <c r="AI270" i="13"/>
  <c r="AK270" i="13" s="1"/>
  <c r="AI271" i="13"/>
  <c r="AK271" i="13" s="1"/>
  <c r="AI272" i="13"/>
  <c r="AK272" i="13" s="1"/>
  <c r="AI273" i="13"/>
  <c r="AK273" i="13" s="1"/>
  <c r="AI274" i="13"/>
  <c r="AK274" i="13" s="1"/>
  <c r="AI275" i="13"/>
  <c r="AK275" i="13" s="1"/>
  <c r="AI276" i="13"/>
  <c r="AK276" i="13" s="1"/>
  <c r="AI277" i="13"/>
  <c r="AK277" i="13" s="1"/>
  <c r="AI278" i="13"/>
  <c r="AK278" i="13" s="1"/>
  <c r="AI279" i="13"/>
  <c r="AK279" i="13" s="1"/>
  <c r="AI280" i="13"/>
  <c r="AK280" i="13" s="1"/>
  <c r="AI281" i="13"/>
  <c r="AK281" i="13" s="1"/>
  <c r="AI282" i="13"/>
  <c r="AK282" i="13" s="1"/>
  <c r="AI283" i="13"/>
  <c r="AK283" i="13" s="1"/>
  <c r="AI284" i="13"/>
  <c r="AK284" i="13" s="1"/>
  <c r="AI285" i="13"/>
  <c r="AK285" i="13" s="1"/>
  <c r="AI286" i="13"/>
  <c r="AK286" i="13" s="1"/>
  <c r="AI287" i="13"/>
  <c r="AK287" i="13" s="1"/>
  <c r="AI288" i="13"/>
  <c r="AK288" i="13" s="1"/>
  <c r="AI289" i="13"/>
  <c r="AK289" i="13" s="1"/>
  <c r="AI290" i="13"/>
  <c r="AK290" i="13" s="1"/>
  <c r="AI291" i="13"/>
  <c r="AK291" i="13" s="1"/>
  <c r="AI292" i="13"/>
  <c r="AK292" i="13" s="1"/>
  <c r="AI293" i="13"/>
  <c r="AK293" i="13" s="1"/>
  <c r="AI294" i="13"/>
  <c r="AK294" i="13" s="1"/>
  <c r="AI295" i="13"/>
  <c r="AK295" i="13" s="1"/>
  <c r="AI296" i="13"/>
  <c r="AK296" i="13" s="1"/>
  <c r="AI297" i="13"/>
  <c r="AK297" i="13" s="1"/>
  <c r="AI298" i="13"/>
  <c r="AK298" i="13" s="1"/>
  <c r="AI299" i="13"/>
  <c r="AK299" i="13" s="1"/>
  <c r="AI300" i="13"/>
  <c r="AK300" i="13" s="1"/>
  <c r="AI301" i="13"/>
  <c r="AK301" i="13" s="1"/>
  <c r="AI302" i="13"/>
  <c r="AK302" i="13" s="1"/>
  <c r="AI303" i="13"/>
  <c r="AK303" i="13" s="1"/>
  <c r="AI304" i="13"/>
  <c r="AK304" i="13" s="1"/>
  <c r="AI305" i="13"/>
  <c r="AK305" i="13" s="1"/>
  <c r="AI306" i="13"/>
  <c r="AK306" i="13" s="1"/>
  <c r="AI307" i="13"/>
  <c r="AK307" i="13" s="1"/>
  <c r="AI308" i="13"/>
  <c r="AK308" i="13" s="1"/>
  <c r="AI309" i="13"/>
  <c r="AK309" i="13" s="1"/>
  <c r="AI310" i="13"/>
  <c r="AK310" i="13" s="1"/>
  <c r="AI311" i="13"/>
  <c r="AK311" i="13" s="1"/>
  <c r="AI312" i="13"/>
  <c r="AK312" i="13" s="1"/>
  <c r="AI313" i="13"/>
  <c r="AK313" i="13" s="1"/>
  <c r="AI314" i="13"/>
  <c r="AK314" i="13" s="1"/>
  <c r="AI315" i="13"/>
  <c r="AK315" i="13" s="1"/>
  <c r="AI316" i="13"/>
  <c r="AK316" i="13" s="1"/>
  <c r="AI317" i="13"/>
  <c r="AK317" i="13" s="1"/>
  <c r="AI318" i="13"/>
  <c r="AK318" i="13" s="1"/>
  <c r="AI319" i="13"/>
  <c r="AK319" i="13" s="1"/>
  <c r="AI320" i="13"/>
  <c r="AK320" i="13" s="1"/>
  <c r="AI321" i="13"/>
  <c r="AK321" i="13" s="1"/>
  <c r="AI322" i="13"/>
  <c r="AK322" i="13" s="1"/>
  <c r="AI323" i="13"/>
  <c r="AK323" i="13" s="1"/>
  <c r="AI324" i="13"/>
  <c r="AK324" i="13" s="1"/>
  <c r="AI325" i="13"/>
  <c r="AK325" i="13" s="1"/>
  <c r="AI326" i="13"/>
  <c r="AK326" i="13" s="1"/>
  <c r="AI327" i="13"/>
  <c r="AK327" i="13" s="1"/>
  <c r="AI328" i="13"/>
  <c r="AK328" i="13" s="1"/>
  <c r="AI329" i="13"/>
  <c r="AK329" i="13" s="1"/>
  <c r="AI330" i="13"/>
  <c r="AK330" i="13" s="1"/>
  <c r="AI331" i="13"/>
  <c r="AK331" i="13" s="1"/>
  <c r="AI332" i="13"/>
  <c r="AK332" i="13" s="1"/>
  <c r="AI333" i="13"/>
  <c r="AK333" i="13" s="1"/>
  <c r="AI334" i="13"/>
  <c r="AK334" i="13" s="1"/>
  <c r="AI335" i="13"/>
  <c r="AK335" i="13" s="1"/>
  <c r="AI336" i="13"/>
  <c r="AK336" i="13" s="1"/>
  <c r="AI337" i="13"/>
  <c r="AK337" i="13" s="1"/>
  <c r="AI338" i="13"/>
  <c r="AK338" i="13" s="1"/>
  <c r="AI339" i="13"/>
  <c r="AK339" i="13" s="1"/>
  <c r="AI340" i="13"/>
  <c r="AK340" i="13" s="1"/>
  <c r="AI341" i="13"/>
  <c r="AK341" i="13" s="1"/>
  <c r="AI342" i="13"/>
  <c r="AK342" i="13" s="1"/>
  <c r="AI343" i="13"/>
  <c r="AK343" i="13" s="1"/>
  <c r="AI344" i="13"/>
  <c r="AK344" i="13" s="1"/>
  <c r="AI345" i="13"/>
  <c r="AK345" i="13" s="1"/>
  <c r="AI346" i="13"/>
  <c r="AK346" i="13" s="1"/>
  <c r="AI347" i="13"/>
  <c r="AK347" i="13" s="1"/>
  <c r="AI348" i="13"/>
  <c r="AK348" i="13" s="1"/>
  <c r="AI349" i="13"/>
  <c r="AK349" i="13" s="1"/>
  <c r="AI350" i="13"/>
  <c r="AK350" i="13" s="1"/>
  <c r="AI351" i="13"/>
  <c r="AK351" i="13" s="1"/>
  <c r="AI352" i="13"/>
  <c r="AK352" i="13" s="1"/>
  <c r="AI353" i="13"/>
  <c r="AK353" i="13" s="1"/>
  <c r="AI354" i="13"/>
  <c r="AK354" i="13" s="1"/>
  <c r="AI355" i="13"/>
  <c r="AK355" i="13" s="1"/>
  <c r="AI356" i="13"/>
  <c r="AK356" i="13" s="1"/>
  <c r="AI357" i="13"/>
  <c r="AK357" i="13" s="1"/>
  <c r="AI358" i="13"/>
  <c r="AK358" i="13" s="1"/>
  <c r="AI359" i="13"/>
  <c r="AK359" i="13" s="1"/>
  <c r="AI360" i="13"/>
  <c r="AK360" i="13" s="1"/>
  <c r="AI361" i="13"/>
  <c r="AK361" i="13" s="1"/>
  <c r="AI362" i="13"/>
  <c r="AK362" i="13" s="1"/>
  <c r="AI363" i="13"/>
  <c r="AK363" i="13" s="1"/>
  <c r="AI364" i="13"/>
  <c r="AK364" i="13" s="1"/>
  <c r="AI365" i="13"/>
  <c r="AK365" i="13" s="1"/>
  <c r="AI366" i="13"/>
  <c r="AK366" i="13" s="1"/>
  <c r="AI367" i="13"/>
  <c r="AK367" i="13" s="1"/>
  <c r="AI368" i="13"/>
  <c r="AK368" i="13" s="1"/>
  <c r="AI369" i="13"/>
  <c r="AK369" i="13" s="1"/>
  <c r="AI370" i="13"/>
  <c r="AK370" i="13" s="1"/>
  <c r="AI371" i="13"/>
  <c r="AK371" i="13" s="1"/>
  <c r="AI372" i="13"/>
  <c r="AK372" i="13" s="1"/>
  <c r="AI373" i="13"/>
  <c r="AK373" i="13" s="1"/>
  <c r="AI374" i="13"/>
  <c r="AK374" i="13" s="1"/>
  <c r="AI375" i="13"/>
  <c r="AK375" i="13" s="1"/>
  <c r="AI376" i="13"/>
  <c r="AK376" i="13" s="1"/>
  <c r="AI377" i="13"/>
  <c r="AK377" i="13" s="1"/>
  <c r="AI378" i="13"/>
  <c r="AK378" i="13" s="1"/>
  <c r="AI379" i="13"/>
  <c r="AK379" i="13" s="1"/>
  <c r="AI380" i="13"/>
  <c r="AK380" i="13" s="1"/>
  <c r="AI381" i="13"/>
  <c r="AK381" i="13" s="1"/>
  <c r="AI382" i="13"/>
  <c r="AK382" i="13" s="1"/>
  <c r="AI383" i="13"/>
  <c r="AK383" i="13" s="1"/>
  <c r="AI384" i="13"/>
  <c r="AK384" i="13" s="1"/>
  <c r="AI385" i="13"/>
  <c r="AK385" i="13" s="1"/>
  <c r="AI386" i="13"/>
  <c r="AK386" i="13" s="1"/>
  <c r="AK27" i="13"/>
  <c r="AK28" i="13"/>
  <c r="I22" i="13"/>
  <c r="O22" i="13" s="1"/>
  <c r="I23" i="13"/>
  <c r="M23" i="13" s="1"/>
  <c r="I24" i="13"/>
  <c r="L24" i="13" s="1"/>
  <c r="I25" i="13"/>
  <c r="R25" i="13" s="1"/>
  <c r="I26" i="13"/>
  <c r="N26" i="13" s="1"/>
  <c r="Q22" i="13"/>
  <c r="Q23" i="13"/>
  <c r="Q24" i="13"/>
  <c r="Q25" i="13"/>
  <c r="Q26" i="13"/>
  <c r="S22" i="13"/>
  <c r="S23" i="13"/>
  <c r="S24" i="13"/>
  <c r="S25" i="13"/>
  <c r="S26" i="13"/>
  <c r="AI22" i="13"/>
  <c r="AK22" i="13" s="1"/>
  <c r="AI23" i="13"/>
  <c r="AK23" i="13" s="1"/>
  <c r="AI24" i="13"/>
  <c r="AK24" i="13" s="1"/>
  <c r="AI25" i="13"/>
  <c r="AK25" i="13" s="1"/>
  <c r="AI26" i="13"/>
  <c r="AK26" i="13" s="1"/>
  <c r="Q21" i="13"/>
  <c r="E23" i="13" l="1"/>
  <c r="F23" i="13"/>
  <c r="C24" i="13"/>
  <c r="D23" i="13"/>
  <c r="K23" i="13"/>
  <c r="N23" i="13"/>
  <c r="P22" i="13"/>
  <c r="N22" i="13"/>
  <c r="O23" i="13"/>
  <c r="O25" i="13"/>
  <c r="K24" i="13"/>
  <c r="R24" i="13"/>
  <c r="P25" i="13"/>
  <c r="N24" i="13"/>
  <c r="M24" i="13"/>
  <c r="K25" i="13"/>
  <c r="P24" i="13"/>
  <c r="L23" i="13"/>
  <c r="R23" i="13"/>
  <c r="N25" i="13"/>
  <c r="M25" i="13"/>
  <c r="L25" i="13"/>
  <c r="K26" i="13"/>
  <c r="R26" i="13"/>
  <c r="K22" i="13"/>
  <c r="R22" i="13"/>
  <c r="P23" i="13"/>
  <c r="O24" i="13"/>
  <c r="M26" i="13"/>
  <c r="M22" i="13"/>
  <c r="P26" i="13"/>
  <c r="L26" i="13"/>
  <c r="L22" i="13"/>
  <c r="O26" i="13"/>
  <c r="S21" i="13"/>
  <c r="F24" i="13" l="1"/>
  <c r="E24" i="13"/>
  <c r="C25" i="13"/>
  <c r="D24" i="13"/>
  <c r="AC5" i="13"/>
  <c r="F25" i="13" l="1"/>
  <c r="E25" i="13"/>
  <c r="C26" i="13"/>
  <c r="D25" i="13"/>
  <c r="I21" i="13"/>
  <c r="E26" i="13" l="1"/>
  <c r="C27" i="13"/>
  <c r="F26" i="13"/>
  <c r="D26" i="13"/>
  <c r="M21" i="13"/>
  <c r="N21" i="13"/>
  <c r="K21" i="13"/>
  <c r="O21" i="13"/>
  <c r="L21" i="13"/>
  <c r="P21" i="13"/>
  <c r="S4" i="13"/>
  <c r="S5" i="13"/>
  <c r="C28" i="13" l="1"/>
  <c r="F27" i="13"/>
  <c r="D27" i="13"/>
  <c r="E27" i="13"/>
  <c r="P18" i="13"/>
  <c r="E28" i="13" l="1"/>
  <c r="F28" i="13"/>
  <c r="C29" i="13"/>
  <c r="D28" i="13"/>
  <c r="AI21" i="13"/>
  <c r="AK21" i="13" s="1"/>
  <c r="F29" i="13" l="1"/>
  <c r="E29" i="13"/>
  <c r="C30" i="13"/>
  <c r="D29" i="13"/>
  <c r="Q18" i="13"/>
  <c r="K18" i="13"/>
  <c r="N18" i="13"/>
  <c r="O18" i="13"/>
  <c r="L18" i="13"/>
  <c r="M18" i="13"/>
  <c r="C31" i="13" l="1"/>
  <c r="F30" i="13"/>
  <c r="E30" i="13"/>
  <c r="D30" i="13"/>
  <c r="A104" i="3"/>
  <c r="A64" i="3"/>
  <c r="B134" i="3"/>
  <c r="B124" i="3"/>
  <c r="B114" i="3"/>
  <c r="B104" i="3"/>
  <c r="B94" i="3"/>
  <c r="B84" i="3"/>
  <c r="B74" i="3"/>
  <c r="B64" i="3"/>
  <c r="C103" i="3"/>
  <c r="D103" i="3" s="1"/>
  <c r="C96" i="3"/>
  <c r="D96" i="3" s="1"/>
  <c r="C97" i="3"/>
  <c r="D97" i="3" s="1"/>
  <c r="C98" i="3"/>
  <c r="D98" i="3" s="1"/>
  <c r="C99" i="3"/>
  <c r="D99" i="3" s="1"/>
  <c r="C100" i="3"/>
  <c r="D100" i="3" s="1"/>
  <c r="C101" i="3"/>
  <c r="C102" i="3"/>
  <c r="C95" i="3"/>
  <c r="D95" i="3" s="1"/>
  <c r="C94" i="3"/>
  <c r="D94" i="3" s="1"/>
  <c r="D101" i="3"/>
  <c r="C86" i="3"/>
  <c r="D86" i="3" s="1"/>
  <c r="C87" i="3"/>
  <c r="D87" i="3" s="1"/>
  <c r="C88" i="3"/>
  <c r="D88" i="3" s="1"/>
  <c r="C89" i="3"/>
  <c r="D89" i="3" s="1"/>
  <c r="C90" i="3"/>
  <c r="D90" i="3" s="1"/>
  <c r="C91" i="3"/>
  <c r="D91" i="3" s="1"/>
  <c r="C92" i="3"/>
  <c r="C93" i="3"/>
  <c r="D93" i="3" s="1"/>
  <c r="C85" i="3"/>
  <c r="D85" i="3" s="1"/>
  <c r="C84" i="3"/>
  <c r="D84" i="3" s="1"/>
  <c r="D92" i="3"/>
  <c r="AA42" i="3"/>
  <c r="D102" i="3"/>
  <c r="C141" i="3"/>
  <c r="D141" i="3" s="1"/>
  <c r="C142" i="3"/>
  <c r="D142" i="3" s="1"/>
  <c r="C143" i="3"/>
  <c r="D143" i="3" s="1"/>
  <c r="C131" i="3"/>
  <c r="D131" i="3" s="1"/>
  <c r="C132" i="3"/>
  <c r="D132" i="3" s="1"/>
  <c r="C133" i="3"/>
  <c r="D133" i="3" s="1"/>
  <c r="C121" i="3"/>
  <c r="D121" i="3" s="1"/>
  <c r="C122" i="3"/>
  <c r="D122" i="3" s="1"/>
  <c r="C123" i="3"/>
  <c r="D123" i="3" s="1"/>
  <c r="C111" i="3"/>
  <c r="D111" i="3" s="1"/>
  <c r="C112" i="3"/>
  <c r="D112" i="3" s="1"/>
  <c r="C113" i="3"/>
  <c r="D113" i="3" s="1"/>
  <c r="C81" i="3"/>
  <c r="D81" i="3" s="1"/>
  <c r="C82" i="3"/>
  <c r="D82" i="3" s="1"/>
  <c r="C83" i="3"/>
  <c r="D83" i="3" s="1"/>
  <c r="C71" i="3"/>
  <c r="D71" i="3" s="1"/>
  <c r="C72" i="3"/>
  <c r="D72" i="3" s="1"/>
  <c r="C73" i="3"/>
  <c r="D73" i="3" s="1"/>
  <c r="C104" i="3"/>
  <c r="D104" i="3" s="1"/>
  <c r="C105" i="3"/>
  <c r="D105" i="3" s="1"/>
  <c r="C106" i="3"/>
  <c r="D106" i="3" s="1"/>
  <c r="C107" i="3"/>
  <c r="D107" i="3" s="1"/>
  <c r="C108" i="3"/>
  <c r="D108" i="3" s="1"/>
  <c r="C109" i="3"/>
  <c r="D109" i="3" s="1"/>
  <c r="C110" i="3"/>
  <c r="D110" i="3" s="1"/>
  <c r="F31" i="13" l="1"/>
  <c r="E31" i="13"/>
  <c r="C32" i="13"/>
  <c r="D31" i="13"/>
  <c r="H157" i="3"/>
  <c r="I21" i="3"/>
  <c r="H163" i="3"/>
  <c r="C162" i="3"/>
  <c r="H153" i="3"/>
  <c r="H152" i="3"/>
  <c r="H154" i="3"/>
  <c r="C161" i="3"/>
  <c r="I20" i="3"/>
  <c r="C160" i="3"/>
  <c r="H161" i="3"/>
  <c r="H164" i="3"/>
  <c r="H155" i="3"/>
  <c r="H159" i="3"/>
  <c r="C163" i="3"/>
  <c r="C155" i="3"/>
  <c r="H158" i="3"/>
  <c r="C153" i="3"/>
  <c r="D24" i="3"/>
  <c r="C152" i="3"/>
  <c r="I22" i="3"/>
  <c r="C156" i="3"/>
  <c r="C157" i="3"/>
  <c r="I18" i="3"/>
  <c r="H162" i="3"/>
  <c r="I19" i="3"/>
  <c r="C159" i="3"/>
  <c r="H160" i="3"/>
  <c r="C154" i="3"/>
  <c r="H156" i="3"/>
  <c r="C158" i="3"/>
  <c r="F32" i="13" l="1"/>
  <c r="E32" i="13"/>
  <c r="C33" i="13"/>
  <c r="D32" i="13"/>
  <c r="D153" i="3"/>
  <c r="C164" i="3"/>
  <c r="F152" i="3"/>
  <c r="F160" i="3"/>
  <c r="F156" i="3"/>
  <c r="F159" i="3"/>
  <c r="F155" i="3"/>
  <c r="F162" i="3"/>
  <c r="F158" i="3"/>
  <c r="F154" i="3"/>
  <c r="F161" i="3"/>
  <c r="F157" i="3"/>
  <c r="F153" i="3"/>
  <c r="F163" i="3"/>
  <c r="D154" i="3"/>
  <c r="C34" i="13" l="1"/>
  <c r="F33" i="13"/>
  <c r="E33" i="13"/>
  <c r="D33" i="13"/>
  <c r="D30" i="3" a="1"/>
  <c r="D30" i="3" s="1"/>
  <c r="J27" i="3" a="1"/>
  <c r="D26" i="3"/>
  <c r="D27" i="3"/>
  <c r="D25" i="3"/>
  <c r="F34" i="13" l="1"/>
  <c r="E34" i="13"/>
  <c r="C35" i="13"/>
  <c r="D34" i="13"/>
  <c r="D19" i="3"/>
  <c r="C19" i="3" s="1"/>
  <c r="D20" i="3"/>
  <c r="C20" i="3" s="1"/>
  <c r="J27" i="3"/>
  <c r="Q27" i="3"/>
  <c r="J47" i="3" a="1"/>
  <c r="K50" i="3" a="1"/>
  <c r="J34" i="3" a="1"/>
  <c r="L32" i="3"/>
  <c r="J28" i="3" a="1"/>
  <c r="K37" i="3" a="1"/>
  <c r="L44" i="3"/>
  <c r="K45" i="3" a="1"/>
  <c r="D42" i="3"/>
  <c r="K49" i="3" a="1"/>
  <c r="L43" i="3"/>
  <c r="K29" i="3" a="1"/>
  <c r="K41" i="3" a="1"/>
  <c r="J37" i="3" a="1"/>
  <c r="K51" i="3" a="1"/>
  <c r="K54" i="3" a="1"/>
  <c r="L27" i="3"/>
  <c r="L45" i="3"/>
  <c r="J48" i="3" a="1"/>
  <c r="L51" i="3"/>
  <c r="L49" i="3"/>
  <c r="J52" i="3" a="1"/>
  <c r="L46" i="3"/>
  <c r="K42" i="3" a="1"/>
  <c r="L42" i="3"/>
  <c r="J43" i="3" a="1"/>
  <c r="J49" i="3" a="1"/>
  <c r="J29" i="3" a="1"/>
  <c r="K32" i="3" a="1"/>
  <c r="J30" i="3" a="1"/>
  <c r="L47" i="3"/>
  <c r="K47" i="3" a="1"/>
  <c r="J41" i="3" a="1"/>
  <c r="F41" i="3"/>
  <c r="K35" i="3" a="1"/>
  <c r="L52" i="3"/>
  <c r="J44" i="3" a="1"/>
  <c r="J53" i="3" a="1"/>
  <c r="L37" i="3"/>
  <c r="K28" i="3" a="1"/>
  <c r="L50" i="3"/>
  <c r="K39" i="3" a="1"/>
  <c r="L30" i="3"/>
  <c r="L36" i="3"/>
  <c r="J45" i="3" a="1"/>
  <c r="L35" i="3"/>
  <c r="J33" i="3" a="1"/>
  <c r="L48" i="3"/>
  <c r="K33" i="3" a="1"/>
  <c r="L34" i="3"/>
  <c r="K44" i="3" a="1"/>
  <c r="C41" i="3"/>
  <c r="G41" i="3"/>
  <c r="J38" i="3" a="1"/>
  <c r="K36" i="3" a="1"/>
  <c r="L29" i="3"/>
  <c r="K31" i="3" a="1"/>
  <c r="J36" i="3" a="1"/>
  <c r="G42" i="3"/>
  <c r="K27" i="3" a="1"/>
  <c r="J42" i="3" a="1"/>
  <c r="K40" i="3" a="1"/>
  <c r="L53" i="3"/>
  <c r="L40" i="3"/>
  <c r="J40" i="3" a="1"/>
  <c r="K53" i="3" a="1"/>
  <c r="J54" i="3" a="1"/>
  <c r="J51" i="3" a="1"/>
  <c r="E41" i="3"/>
  <c r="L54" i="3"/>
  <c r="L41" i="3"/>
  <c r="J31" i="3" a="1"/>
  <c r="K52" i="3" a="1"/>
  <c r="K34" i="3" a="1"/>
  <c r="J46" i="3" a="1"/>
  <c r="J50" i="3" a="1"/>
  <c r="F42" i="3"/>
  <c r="K46" i="3" a="1"/>
  <c r="L33" i="3"/>
  <c r="E42" i="3"/>
  <c r="K38" i="3" a="1"/>
  <c r="J35" i="3" a="1"/>
  <c r="J32" i="3" a="1"/>
  <c r="K30" i="3" a="1"/>
  <c r="L28" i="3"/>
  <c r="K43" i="3" a="1"/>
  <c r="J39" i="3" a="1"/>
  <c r="K48" i="3" a="1"/>
  <c r="D41" i="3"/>
  <c r="L31" i="3"/>
  <c r="L38" i="3"/>
  <c r="L39" i="3"/>
  <c r="F35" i="13" l="1"/>
  <c r="E35" i="13"/>
  <c r="C36" i="13"/>
  <c r="D35" i="13"/>
  <c r="K54" i="3"/>
  <c r="K51" i="3"/>
  <c r="K47" i="3"/>
  <c r="K43" i="3"/>
  <c r="K41" i="3"/>
  <c r="K39" i="3"/>
  <c r="K35" i="3"/>
  <c r="K33" i="3"/>
  <c r="K31" i="3"/>
  <c r="K29" i="3"/>
  <c r="K53" i="3"/>
  <c r="K49" i="3"/>
  <c r="K45" i="3"/>
  <c r="K37" i="3"/>
  <c r="K52" i="3"/>
  <c r="K50" i="3"/>
  <c r="K48" i="3"/>
  <c r="K46" i="3"/>
  <c r="K44" i="3"/>
  <c r="K42" i="3"/>
  <c r="K40" i="3"/>
  <c r="K38" i="3"/>
  <c r="K36" i="3"/>
  <c r="K34" i="3"/>
  <c r="K32" i="3"/>
  <c r="K30" i="3"/>
  <c r="K28" i="3"/>
  <c r="J51" i="3"/>
  <c r="Q51" i="3" s="1"/>
  <c r="J47" i="3"/>
  <c r="Q47" i="3" s="1"/>
  <c r="J43" i="3"/>
  <c r="J39" i="3"/>
  <c r="J37" i="3"/>
  <c r="Q37" i="3" s="1"/>
  <c r="J35" i="3"/>
  <c r="J31" i="3"/>
  <c r="Q31" i="3" s="1"/>
  <c r="J29" i="3"/>
  <c r="J53" i="3"/>
  <c r="Q53" i="3" s="1"/>
  <c r="J49" i="3"/>
  <c r="J45" i="3"/>
  <c r="Q45" i="3" s="1"/>
  <c r="J41" i="3"/>
  <c r="Q41" i="3" s="1"/>
  <c r="J33" i="3"/>
  <c r="Q33" i="3" s="1"/>
  <c r="J54" i="3"/>
  <c r="Q54" i="3" s="1"/>
  <c r="J52" i="3"/>
  <c r="Q52" i="3" s="1"/>
  <c r="J50" i="3"/>
  <c r="Q50" i="3" s="1"/>
  <c r="J48" i="3"/>
  <c r="Q48" i="3" s="1"/>
  <c r="J46" i="3"/>
  <c r="J44" i="3"/>
  <c r="Q44" i="3" s="1"/>
  <c r="J42" i="3"/>
  <c r="J40" i="3"/>
  <c r="Q40" i="3" s="1"/>
  <c r="J38" i="3"/>
  <c r="Q38" i="3" s="1"/>
  <c r="J36" i="3"/>
  <c r="Q36" i="3" s="1"/>
  <c r="J34" i="3"/>
  <c r="Q34" i="3" s="1"/>
  <c r="J32" i="3"/>
  <c r="Q32" i="3" s="1"/>
  <c r="J30" i="3"/>
  <c r="J28" i="3"/>
  <c r="Q28" i="3" s="1"/>
  <c r="K27" i="3"/>
  <c r="Q35" i="3"/>
  <c r="Q49" i="3"/>
  <c r="Q46" i="3"/>
  <c r="Q30" i="3"/>
  <c r="Q29" i="3"/>
  <c r="Q42" i="3"/>
  <c r="Q43" i="3"/>
  <c r="Q39" i="3"/>
  <c r="F36" i="13" l="1"/>
  <c r="E36" i="13"/>
  <c r="C37" i="13"/>
  <c r="D36" i="13"/>
  <c r="D9" i="4"/>
  <c r="D1" i="3" s="1"/>
  <c r="J2" i="3"/>
  <c r="D10" i="4"/>
  <c r="F37" i="13" l="1"/>
  <c r="E37" i="13"/>
  <c r="C38" i="13"/>
  <c r="D37" i="13"/>
  <c r="Z30" i="3"/>
  <c r="Y30" i="3"/>
  <c r="X30" i="3"/>
  <c r="W30" i="3"/>
  <c r="AJ28" i="3"/>
  <c r="AJ29" i="3"/>
  <c r="AJ30" i="3"/>
  <c r="AJ31" i="3"/>
  <c r="AJ32" i="3"/>
  <c r="AJ33" i="3"/>
  <c r="AJ34" i="3"/>
  <c r="AJ35" i="3"/>
  <c r="AJ36" i="3"/>
  <c r="AJ37" i="3"/>
  <c r="AJ38" i="3"/>
  <c r="AJ27" i="3"/>
  <c r="F38" i="13" l="1"/>
  <c r="E38" i="13"/>
  <c r="C39" i="13"/>
  <c r="D38" i="13"/>
  <c r="I57" i="3" a="1"/>
  <c r="I57" i="3" s="1"/>
  <c r="I56" i="3" a="1"/>
  <c r="I56" i="3" s="1"/>
  <c r="I55" i="3" a="1"/>
  <c r="I55" i="3" s="1"/>
  <c r="C149" i="3"/>
  <c r="F150" i="3"/>
  <c r="AG40" i="3" a="1"/>
  <c r="AG40" i="3" s="1"/>
  <c r="AA34" i="3"/>
  <c r="AA35" i="3"/>
  <c r="AA36" i="3"/>
  <c r="AA37" i="3"/>
  <c r="AA38" i="3"/>
  <c r="AA39" i="3"/>
  <c r="AG39" i="3" s="1" a="1"/>
  <c r="AG39" i="3" s="1"/>
  <c r="AA40" i="3"/>
  <c r="AA41" i="3"/>
  <c r="AG41" i="3" s="1" a="1"/>
  <c r="AG41" i="3" s="1"/>
  <c r="AA43" i="3"/>
  <c r="AA44" i="3"/>
  <c r="AA45" i="3"/>
  <c r="F1" i="3"/>
  <c r="F39" i="13" l="1"/>
  <c r="E39" i="13"/>
  <c r="C40" i="13"/>
  <c r="D39" i="13"/>
  <c r="I10" i="3"/>
  <c r="I9" i="3"/>
  <c r="C139" i="3"/>
  <c r="D139" i="3" s="1"/>
  <c r="C140" i="3"/>
  <c r="D140" i="3" s="1"/>
  <c r="C130" i="3"/>
  <c r="D130" i="3" s="1"/>
  <c r="C79" i="3"/>
  <c r="D79" i="3" s="1"/>
  <c r="C80" i="3"/>
  <c r="D80" i="3" s="1"/>
  <c r="C69" i="3"/>
  <c r="D69" i="3" s="1"/>
  <c r="C70" i="3"/>
  <c r="D70" i="3" s="1"/>
  <c r="C135" i="3"/>
  <c r="C136" i="3"/>
  <c r="C137" i="3"/>
  <c r="C138" i="3"/>
  <c r="C134" i="3"/>
  <c r="C125" i="3"/>
  <c r="C126" i="3"/>
  <c r="C127" i="3"/>
  <c r="C128" i="3"/>
  <c r="C129" i="3"/>
  <c r="C124" i="3"/>
  <c r="C115" i="3"/>
  <c r="C116" i="3"/>
  <c r="C117" i="3"/>
  <c r="C118" i="3"/>
  <c r="C119" i="3"/>
  <c r="C120" i="3"/>
  <c r="C114" i="3"/>
  <c r="C75" i="3"/>
  <c r="C76" i="3"/>
  <c r="C77" i="3"/>
  <c r="C78" i="3"/>
  <c r="C74" i="3"/>
  <c r="C68" i="3"/>
  <c r="C67" i="3"/>
  <c r="C66" i="3"/>
  <c r="C65" i="3"/>
  <c r="C64" i="3"/>
  <c r="F40" i="13" l="1"/>
  <c r="E40" i="13"/>
  <c r="C41" i="13"/>
  <c r="D40" i="13"/>
  <c r="D138" i="3"/>
  <c r="D137" i="3"/>
  <c r="D136" i="3"/>
  <c r="D135" i="3"/>
  <c r="D134" i="3"/>
  <c r="D129" i="3"/>
  <c r="D128" i="3"/>
  <c r="D127" i="3"/>
  <c r="D126" i="3"/>
  <c r="D125" i="3"/>
  <c r="D124" i="3"/>
  <c r="D120" i="3"/>
  <c r="D119" i="3"/>
  <c r="D118" i="3"/>
  <c r="D117" i="3"/>
  <c r="D116" i="3"/>
  <c r="D78" i="3"/>
  <c r="D77" i="3"/>
  <c r="D76" i="3"/>
  <c r="D75" i="3"/>
  <c r="D74" i="3"/>
  <c r="D68" i="3"/>
  <c r="D67" i="3"/>
  <c r="D66" i="3"/>
  <c r="D65" i="3"/>
  <c r="D64" i="3"/>
  <c r="D115" i="3"/>
  <c r="D114" i="3"/>
  <c r="F41" i="13" l="1"/>
  <c r="E41" i="13"/>
  <c r="C42" i="13"/>
  <c r="D41" i="13"/>
  <c r="K65" i="3"/>
  <c r="K69" i="3"/>
  <c r="K73" i="3"/>
  <c r="K77" i="3"/>
  <c r="K81" i="3"/>
  <c r="K85" i="3"/>
  <c r="K89" i="3"/>
  <c r="K93" i="3"/>
  <c r="K97" i="3"/>
  <c r="K101" i="3"/>
  <c r="K105" i="3"/>
  <c r="K109" i="3"/>
  <c r="K113" i="3"/>
  <c r="K117" i="3"/>
  <c r="K121" i="3"/>
  <c r="K125" i="3"/>
  <c r="K129" i="3"/>
  <c r="K133" i="3"/>
  <c r="K137" i="3"/>
  <c r="K141" i="3"/>
  <c r="K80" i="3"/>
  <c r="K100" i="3"/>
  <c r="K108" i="3"/>
  <c r="K124" i="3"/>
  <c r="K140" i="3"/>
  <c r="K66" i="3"/>
  <c r="K70" i="3"/>
  <c r="K74" i="3"/>
  <c r="K78" i="3"/>
  <c r="K82" i="3"/>
  <c r="K86" i="3"/>
  <c r="K90" i="3"/>
  <c r="K94" i="3"/>
  <c r="K98" i="3"/>
  <c r="K102" i="3"/>
  <c r="K106" i="3"/>
  <c r="K110" i="3"/>
  <c r="K114" i="3"/>
  <c r="K118" i="3"/>
  <c r="K122" i="3"/>
  <c r="K126" i="3"/>
  <c r="K130" i="3"/>
  <c r="K134" i="3"/>
  <c r="K138" i="3"/>
  <c r="K142" i="3"/>
  <c r="K135" i="3"/>
  <c r="K143" i="3"/>
  <c r="K72" i="3"/>
  <c r="K84" i="3"/>
  <c r="K92" i="3"/>
  <c r="K104" i="3"/>
  <c r="K116" i="3"/>
  <c r="K128" i="3"/>
  <c r="K132" i="3"/>
  <c r="K67" i="3"/>
  <c r="K71" i="3"/>
  <c r="K75" i="3"/>
  <c r="K79" i="3"/>
  <c r="K83" i="3"/>
  <c r="K87" i="3"/>
  <c r="K91" i="3"/>
  <c r="K95" i="3"/>
  <c r="K99" i="3"/>
  <c r="K103" i="3"/>
  <c r="K107" i="3"/>
  <c r="K111" i="3"/>
  <c r="K115" i="3"/>
  <c r="K119" i="3"/>
  <c r="K123" i="3"/>
  <c r="K127" i="3"/>
  <c r="K131" i="3"/>
  <c r="K139" i="3"/>
  <c r="K68" i="3"/>
  <c r="K76" i="3"/>
  <c r="K88" i="3"/>
  <c r="K96" i="3"/>
  <c r="K112" i="3"/>
  <c r="K120" i="3"/>
  <c r="K136" i="3"/>
  <c r="K64" i="3"/>
  <c r="B147" i="3"/>
  <c r="C147" i="3"/>
  <c r="D144" i="3"/>
  <c r="H84" i="3"/>
  <c r="G84" i="3" s="1"/>
  <c r="H100" i="3"/>
  <c r="G100" i="3" s="1"/>
  <c r="H99" i="3"/>
  <c r="G99" i="3" s="1"/>
  <c r="H90" i="3"/>
  <c r="G90" i="3" s="1"/>
  <c r="H142" i="3"/>
  <c r="G142" i="3" s="1"/>
  <c r="H131" i="3"/>
  <c r="G131" i="3" s="1"/>
  <c r="H113" i="3"/>
  <c r="G113" i="3" s="1"/>
  <c r="H98" i="3"/>
  <c r="G98" i="3" s="1"/>
  <c r="H85" i="3"/>
  <c r="G85" i="3" s="1"/>
  <c r="H122" i="3"/>
  <c r="G122" i="3" s="1"/>
  <c r="H81" i="3"/>
  <c r="G81" i="3" s="1"/>
  <c r="H73" i="3"/>
  <c r="G73" i="3" s="1"/>
  <c r="H88" i="3"/>
  <c r="G88" i="3" s="1"/>
  <c r="H87" i="3"/>
  <c r="G87" i="3" s="1"/>
  <c r="H103" i="3"/>
  <c r="G103" i="3" s="1"/>
  <c r="H94" i="3"/>
  <c r="G94" i="3" s="1"/>
  <c r="H89" i="3"/>
  <c r="G89" i="3" s="1"/>
  <c r="H97" i="3"/>
  <c r="G97" i="3" s="1"/>
  <c r="H141" i="3"/>
  <c r="G141" i="3" s="1"/>
  <c r="H123" i="3"/>
  <c r="G123" i="3" s="1"/>
  <c r="H112" i="3"/>
  <c r="G112" i="3" s="1"/>
  <c r="H82" i="3"/>
  <c r="G82" i="3" s="1"/>
  <c r="H72" i="3"/>
  <c r="G72" i="3" s="1"/>
  <c r="H91" i="3"/>
  <c r="G91" i="3" s="1"/>
  <c r="H133" i="3"/>
  <c r="G133" i="3" s="1"/>
  <c r="H111" i="3"/>
  <c r="G111" i="3" s="1"/>
  <c r="H71" i="3"/>
  <c r="G71" i="3" s="1"/>
  <c r="H132" i="3"/>
  <c r="G132" i="3" s="1"/>
  <c r="H83" i="3"/>
  <c r="G83" i="3" s="1"/>
  <c r="H92" i="3"/>
  <c r="G92" i="3" s="1"/>
  <c r="H96" i="3"/>
  <c r="G96" i="3" s="1"/>
  <c r="H95" i="3"/>
  <c r="G95" i="3" s="1"/>
  <c r="H86" i="3"/>
  <c r="G86" i="3" s="1"/>
  <c r="H102" i="3"/>
  <c r="G102" i="3" s="1"/>
  <c r="H93" i="3"/>
  <c r="G93" i="3" s="1"/>
  <c r="H101" i="3"/>
  <c r="G101" i="3" s="1"/>
  <c r="H143" i="3"/>
  <c r="G143" i="3" s="1"/>
  <c r="H121" i="3"/>
  <c r="G121" i="3" s="1"/>
  <c r="H107" i="3"/>
  <c r="G107" i="3" s="1"/>
  <c r="H105" i="3"/>
  <c r="G105" i="3" s="1"/>
  <c r="H104" i="3"/>
  <c r="G104" i="3" s="1"/>
  <c r="H106" i="3"/>
  <c r="G106" i="3" s="1"/>
  <c r="H110" i="3"/>
  <c r="G110" i="3" s="1"/>
  <c r="H108" i="3"/>
  <c r="G108" i="3" s="1"/>
  <c r="H109" i="3"/>
  <c r="G109" i="3" s="1"/>
  <c r="H140" i="3"/>
  <c r="G140" i="3" s="1"/>
  <c r="H139" i="3"/>
  <c r="G139" i="3" s="1"/>
  <c r="H130" i="3"/>
  <c r="G130" i="3" s="1"/>
  <c r="H79" i="3"/>
  <c r="G79" i="3" s="1"/>
  <c r="H80" i="3"/>
  <c r="G80" i="3" s="1"/>
  <c r="H70" i="3"/>
  <c r="G70" i="3" s="1"/>
  <c r="H69" i="3"/>
  <c r="G69" i="3" s="1"/>
  <c r="F42" i="13" l="1"/>
  <c r="E42" i="13"/>
  <c r="C43" i="13"/>
  <c r="D42" i="13"/>
  <c r="S18" i="13"/>
  <c r="F43" i="13" l="1"/>
  <c r="E43" i="13"/>
  <c r="C44" i="13"/>
  <c r="D43" i="13"/>
  <c r="P59" i="3" a="1"/>
  <c r="P59" i="3" s="1"/>
  <c r="F44" i="13" l="1"/>
  <c r="E44" i="13"/>
  <c r="C45" i="13"/>
  <c r="D44" i="13"/>
  <c r="Q7" i="3"/>
  <c r="Q4" i="3"/>
  <c r="Q5" i="3"/>
  <c r="Q8" i="3"/>
  <c r="Q3" i="3"/>
  <c r="Q6" i="3"/>
  <c r="F45" i="13" l="1"/>
  <c r="E45" i="13"/>
  <c r="C46" i="13"/>
  <c r="D45" i="13"/>
  <c r="F3" i="3"/>
  <c r="R7" i="3"/>
  <c r="C42" i="3"/>
  <c r="F46" i="13" l="1"/>
  <c r="E46" i="13"/>
  <c r="C47" i="13"/>
  <c r="D46" i="13"/>
  <c r="R7" i="13"/>
  <c r="R293" i="13" s="1"/>
  <c r="E47" i="13" l="1"/>
  <c r="F47" i="13"/>
  <c r="C48" i="13"/>
  <c r="D47" i="13"/>
  <c r="R21" i="13"/>
  <c r="F48" i="13" l="1"/>
  <c r="C49" i="13"/>
  <c r="E48" i="13"/>
  <c r="D48" i="13"/>
  <c r="X22" i="3"/>
  <c r="V22" i="3"/>
  <c r="T22" i="3"/>
  <c r="R22" i="3"/>
  <c r="R20" i="3"/>
  <c r="U16" i="3"/>
  <c r="F49" i="13" l="1"/>
  <c r="E49" i="13"/>
  <c r="C50" i="13"/>
  <c r="D49" i="13"/>
  <c r="AA58" i="3"/>
  <c r="AA57" i="3"/>
  <c r="AA56" i="3"/>
  <c r="AA55" i="3"/>
  <c r="AP54" i="3"/>
  <c r="AK54" i="3"/>
  <c r="AA54" i="3"/>
  <c r="R54" i="3"/>
  <c r="N54" i="3"/>
  <c r="AP53" i="3"/>
  <c r="AK53" i="3"/>
  <c r="AA53" i="3"/>
  <c r="R53" i="3"/>
  <c r="N53" i="3"/>
  <c r="AP52" i="3"/>
  <c r="AK52" i="3"/>
  <c r="AA52" i="3"/>
  <c r="R52" i="3"/>
  <c r="N52" i="3"/>
  <c r="F52" i="3"/>
  <c r="AP51" i="3"/>
  <c r="AK51" i="3"/>
  <c r="AA51" i="3"/>
  <c r="R51" i="3"/>
  <c r="N51" i="3"/>
  <c r="AP50" i="3"/>
  <c r="AK50" i="3"/>
  <c r="AA50" i="3"/>
  <c r="R50" i="3"/>
  <c r="N50" i="3"/>
  <c r="AP49" i="3"/>
  <c r="AK49" i="3"/>
  <c r="AA49" i="3"/>
  <c r="R49" i="3"/>
  <c r="N49" i="3"/>
  <c r="B49" i="3"/>
  <c r="AP48" i="3"/>
  <c r="AK48" i="3"/>
  <c r="AA48" i="3"/>
  <c r="R48" i="3"/>
  <c r="N48" i="3"/>
  <c r="B48" i="3"/>
  <c r="AP47" i="3"/>
  <c r="AK47" i="3"/>
  <c r="AA47" i="3"/>
  <c r="R47" i="3"/>
  <c r="N47" i="3"/>
  <c r="B47" i="3"/>
  <c r="AP46" i="3"/>
  <c r="AK46" i="3"/>
  <c r="R46" i="3"/>
  <c r="N46" i="3"/>
  <c r="B46" i="3"/>
  <c r="AP45" i="3"/>
  <c r="AK45" i="3"/>
  <c r="R45" i="3"/>
  <c r="N45" i="3"/>
  <c r="B45" i="3"/>
  <c r="AP44" i="3"/>
  <c r="AK44" i="3"/>
  <c r="R44" i="3"/>
  <c r="N44" i="3"/>
  <c r="AP43" i="3"/>
  <c r="AK43" i="3"/>
  <c r="R43" i="3"/>
  <c r="N43" i="3"/>
  <c r="AP42" i="3"/>
  <c r="AK42" i="3"/>
  <c r="R42" i="3"/>
  <c r="N42" i="3"/>
  <c r="AP41" i="3"/>
  <c r="AK41" i="3"/>
  <c r="R41" i="3"/>
  <c r="N41" i="3"/>
  <c r="AP40" i="3"/>
  <c r="AK40" i="3"/>
  <c r="R40" i="3"/>
  <c r="N40" i="3"/>
  <c r="AP39" i="3"/>
  <c r="AK39" i="3"/>
  <c r="R39" i="3"/>
  <c r="N39" i="3"/>
  <c r="AP38" i="3"/>
  <c r="AK38" i="3"/>
  <c r="R38" i="3"/>
  <c r="N38" i="3"/>
  <c r="AP37" i="3"/>
  <c r="AK37" i="3"/>
  <c r="R37" i="3"/>
  <c r="N37" i="3"/>
  <c r="AP36" i="3"/>
  <c r="AK36" i="3"/>
  <c r="R36" i="3"/>
  <c r="N36" i="3"/>
  <c r="AP35" i="3"/>
  <c r="AK35" i="3"/>
  <c r="R35" i="3"/>
  <c r="N35" i="3"/>
  <c r="AP34" i="3"/>
  <c r="AK34" i="3"/>
  <c r="R34" i="3"/>
  <c r="N34" i="3"/>
  <c r="AP33" i="3"/>
  <c r="AK33" i="3"/>
  <c r="R33" i="3"/>
  <c r="N33" i="3"/>
  <c r="AP32" i="3"/>
  <c r="AK32" i="3"/>
  <c r="R32" i="3"/>
  <c r="N32" i="3"/>
  <c r="AP31" i="3"/>
  <c r="AK31" i="3"/>
  <c r="R31" i="3"/>
  <c r="N31" i="3"/>
  <c r="AP30" i="3"/>
  <c r="AK30" i="3"/>
  <c r="R30" i="3"/>
  <c r="N30" i="3"/>
  <c r="AP29" i="3"/>
  <c r="AK29" i="3"/>
  <c r="R29" i="3"/>
  <c r="N29" i="3"/>
  <c r="AP28" i="3"/>
  <c r="AK28" i="3"/>
  <c r="R28" i="3"/>
  <c r="N28" i="3"/>
  <c r="AP27" i="3"/>
  <c r="AK27" i="3"/>
  <c r="R27" i="3"/>
  <c r="N27" i="3"/>
  <c r="R5" i="3"/>
  <c r="B3" i="3"/>
  <c r="J1" i="3"/>
  <c r="O34" i="3"/>
  <c r="O28" i="3"/>
  <c r="O32" i="3"/>
  <c r="O31" i="3"/>
  <c r="O48" i="3"/>
  <c r="O38" i="3"/>
  <c r="O44" i="3"/>
  <c r="O49" i="3"/>
  <c r="O33" i="3"/>
  <c r="O50" i="3"/>
  <c r="O52" i="3"/>
  <c r="O39" i="3"/>
  <c r="O46" i="3"/>
  <c r="O35" i="3"/>
  <c r="O30" i="3"/>
  <c r="O45" i="3"/>
  <c r="O53" i="3"/>
  <c r="O29" i="3"/>
  <c r="O37" i="3"/>
  <c r="O27" i="3"/>
  <c r="O41" i="3"/>
  <c r="O54" i="3"/>
  <c r="O36" i="3"/>
  <c r="O42" i="3"/>
  <c r="O51" i="3"/>
  <c r="O40" i="3"/>
  <c r="O43" i="3"/>
  <c r="O47" i="3"/>
  <c r="F50" i="13" l="1"/>
  <c r="E50" i="13"/>
  <c r="D50" i="13"/>
  <c r="C51" i="13"/>
  <c r="I1" i="3" a="1"/>
  <c r="I1" i="3" s="1"/>
  <c r="AB56" i="3"/>
  <c r="AC56" i="3" s="1"/>
  <c r="Q9" i="3"/>
  <c r="M30" i="3"/>
  <c r="M31" i="3"/>
  <c r="C49" i="3"/>
  <c r="Q10" i="3"/>
  <c r="M27" i="3"/>
  <c r="M44" i="3"/>
  <c r="M28" i="3"/>
  <c r="M29" i="3"/>
  <c r="M33" i="3"/>
  <c r="C45" i="3"/>
  <c r="H41" i="3"/>
  <c r="M32" i="3"/>
  <c r="M40" i="3"/>
  <c r="C46" i="3"/>
  <c r="H42" i="3"/>
  <c r="M34" i="3"/>
  <c r="M35" i="3"/>
  <c r="M39" i="3"/>
  <c r="C47" i="3"/>
  <c r="M41" i="3"/>
  <c r="M46" i="3"/>
  <c r="M48" i="3"/>
  <c r="M50" i="3"/>
  <c r="M36" i="3"/>
  <c r="M37" i="3"/>
  <c r="M38" i="3"/>
  <c r="C48" i="3"/>
  <c r="M42" i="3"/>
  <c r="M43" i="3"/>
  <c r="M49" i="3"/>
  <c r="M45" i="3"/>
  <c r="M47" i="3"/>
  <c r="M51" i="3"/>
  <c r="M52" i="3"/>
  <c r="M53" i="3"/>
  <c r="H66" i="3"/>
  <c r="G66" i="3" s="1"/>
  <c r="H75" i="3"/>
  <c r="G75" i="3" s="1"/>
  <c r="H115" i="3"/>
  <c r="G115" i="3" s="1"/>
  <c r="H119" i="3"/>
  <c r="G119" i="3" s="1"/>
  <c r="H126" i="3"/>
  <c r="G126" i="3" s="1"/>
  <c r="H134" i="3"/>
  <c r="G134" i="3" s="1"/>
  <c r="H67" i="3"/>
  <c r="G67" i="3" s="1"/>
  <c r="H76" i="3"/>
  <c r="G76" i="3" s="1"/>
  <c r="H116" i="3"/>
  <c r="G116" i="3" s="1"/>
  <c r="H120" i="3"/>
  <c r="G120" i="3" s="1"/>
  <c r="H127" i="3"/>
  <c r="G127" i="3" s="1"/>
  <c r="H135" i="3"/>
  <c r="G135" i="3" s="1"/>
  <c r="M54" i="3"/>
  <c r="H78" i="3"/>
  <c r="G78" i="3" s="1"/>
  <c r="H64" i="3"/>
  <c r="G64" i="3" s="1"/>
  <c r="H68" i="3"/>
  <c r="G68" i="3" s="1"/>
  <c r="H77" i="3"/>
  <c r="G77" i="3" s="1"/>
  <c r="H117" i="3"/>
  <c r="G117" i="3" s="1"/>
  <c r="H124" i="3"/>
  <c r="G124" i="3" s="1"/>
  <c r="H128" i="3"/>
  <c r="G128" i="3" s="1"/>
  <c r="H136" i="3"/>
  <c r="G136" i="3" s="1"/>
  <c r="H138" i="3"/>
  <c r="G138" i="3" s="1"/>
  <c r="H65" i="3"/>
  <c r="G65" i="3" s="1"/>
  <c r="H74" i="3"/>
  <c r="G74" i="3" s="1"/>
  <c r="H114" i="3"/>
  <c r="G114" i="3" s="1"/>
  <c r="H118" i="3"/>
  <c r="G118" i="3" s="1"/>
  <c r="H125" i="3"/>
  <c r="G125" i="3" s="1"/>
  <c r="H129" i="3"/>
  <c r="G129" i="3" s="1"/>
  <c r="H137" i="3"/>
  <c r="G137" i="3" s="1"/>
  <c r="AB57" i="3"/>
  <c r="AC57" i="3" s="1"/>
  <c r="AB58" i="3"/>
  <c r="AC58" i="3" s="1"/>
  <c r="U37" i="3"/>
  <c r="AL40" i="3"/>
  <c r="U29" i="3"/>
  <c r="AN37" i="3"/>
  <c r="AS41" i="3"/>
  <c r="AR43" i="3"/>
  <c r="AS44" i="3"/>
  <c r="AR52" i="3"/>
  <c r="AL38" i="3"/>
  <c r="AL51" i="3"/>
  <c r="AQ49" i="3"/>
  <c r="AN31" i="3"/>
  <c r="AQ28" i="3"/>
  <c r="AM31" i="3"/>
  <c r="AM39" i="3"/>
  <c r="AQ36" i="3"/>
  <c r="AS35" i="3"/>
  <c r="AQ46" i="3"/>
  <c r="AM28" i="3"/>
  <c r="AS45" i="3"/>
  <c r="AS51" i="3"/>
  <c r="AS40" i="3"/>
  <c r="AM51" i="3"/>
  <c r="AN47" i="3"/>
  <c r="AQ29" i="3"/>
  <c r="AM41" i="3"/>
  <c r="S47" i="3"/>
  <c r="U43" i="3"/>
  <c r="S31" i="3"/>
  <c r="S38" i="3"/>
  <c r="S41" i="3"/>
  <c r="S37" i="3"/>
  <c r="S54" i="3"/>
  <c r="U52" i="3"/>
  <c r="S49" i="3"/>
  <c r="AR44" i="3"/>
  <c r="AR40" i="3"/>
  <c r="U40" i="3"/>
  <c r="AL41" i="3"/>
  <c r="AN35" i="3"/>
  <c r="AS46" i="3"/>
  <c r="U32" i="3"/>
  <c r="AM46" i="3"/>
  <c r="AN29" i="3"/>
  <c r="AN51" i="3"/>
  <c r="AS36" i="3"/>
  <c r="AM30" i="3"/>
  <c r="AR31" i="3"/>
  <c r="AN54" i="3"/>
  <c r="AR48" i="3"/>
  <c r="AM43" i="3"/>
  <c r="AR28" i="3"/>
  <c r="AQ40" i="3"/>
  <c r="AS33" i="3"/>
  <c r="AN53" i="3"/>
  <c r="AS38" i="3"/>
  <c r="AR34" i="3"/>
  <c r="AM54" i="3"/>
  <c r="AN32" i="3"/>
  <c r="AN44" i="3"/>
  <c r="AR41" i="3"/>
  <c r="AN38" i="3"/>
  <c r="AN48" i="3"/>
  <c r="S40" i="3"/>
  <c r="U33" i="3"/>
  <c r="U47" i="3"/>
  <c r="S51" i="3"/>
  <c r="S36" i="3"/>
  <c r="U50" i="3"/>
  <c r="S44" i="3"/>
  <c r="S35" i="3"/>
  <c r="S48" i="3"/>
  <c r="AN50" i="3"/>
  <c r="AR35" i="3"/>
  <c r="U45" i="3"/>
  <c r="AR39" i="3"/>
  <c r="AL52" i="3"/>
  <c r="AQ34" i="3"/>
  <c r="U28" i="3"/>
  <c r="AQ41" i="3"/>
  <c r="AR42" i="3"/>
  <c r="AS32" i="3"/>
  <c r="AM49" i="3"/>
  <c r="AQ48" i="3"/>
  <c r="AR47" i="3"/>
  <c r="AL45" i="3"/>
  <c r="AL35" i="3"/>
  <c r="AQ27" i="3"/>
  <c r="AQ51" i="3"/>
  <c r="AL42" i="3"/>
  <c r="AM50" i="3"/>
  <c r="AS34" i="3"/>
  <c r="AN39" i="3"/>
  <c r="AQ32" i="3"/>
  <c r="AR32" i="3"/>
  <c r="AQ44" i="3"/>
  <c r="AQ38" i="3"/>
  <c r="AL44" i="3"/>
  <c r="AL30" i="3"/>
  <c r="AN42" i="3"/>
  <c r="U36" i="3"/>
  <c r="U46" i="3"/>
  <c r="U27" i="3"/>
  <c r="AL50" i="3"/>
  <c r="AM45" i="3"/>
  <c r="AR33" i="3"/>
  <c r="U51" i="3"/>
  <c r="AR45" i="3"/>
  <c r="AN33" i="3"/>
  <c r="AS53" i="3"/>
  <c r="AM27" i="3"/>
  <c r="AL31" i="3"/>
  <c r="AL37" i="3"/>
  <c r="AQ54" i="3"/>
  <c r="AL39" i="3"/>
  <c r="AQ30" i="3"/>
  <c r="AL46" i="3"/>
  <c r="AN46" i="3"/>
  <c r="AM35" i="3"/>
  <c r="AQ35" i="3"/>
  <c r="AM42" i="3"/>
  <c r="AS39" i="3"/>
  <c r="AN30" i="3"/>
  <c r="AQ47" i="3"/>
  <c r="AR53" i="3"/>
  <c r="AS52" i="3"/>
  <c r="AR27" i="3"/>
  <c r="AL47" i="3"/>
  <c r="S42" i="3"/>
  <c r="U30" i="3"/>
  <c r="S39" i="3"/>
  <c r="S29" i="3"/>
  <c r="S32" i="3"/>
  <c r="U54" i="3"/>
  <c r="S52" i="3"/>
  <c r="AR49" i="3"/>
  <c r="AL48" i="3"/>
  <c r="AR46" i="3"/>
  <c r="AM52" i="3"/>
  <c r="AN28" i="3"/>
  <c r="U44" i="3"/>
  <c r="AS37" i="3"/>
  <c r="AN52" i="3"/>
  <c r="AN40" i="3"/>
  <c r="S50" i="3"/>
  <c r="AQ43" i="3"/>
  <c r="AR30" i="3"/>
  <c r="AQ39" i="3"/>
  <c r="AQ45" i="3"/>
  <c r="AM34" i="3"/>
  <c r="AM33" i="3"/>
  <c r="AQ33" i="3"/>
  <c r="AS49" i="3"/>
  <c r="AM29" i="3"/>
  <c r="AS48" i="3"/>
  <c r="AQ53" i="3"/>
  <c r="AS54" i="3"/>
  <c r="AS27" i="3"/>
  <c r="AL33" i="3"/>
  <c r="AN49" i="3"/>
  <c r="AL53" i="3"/>
  <c r="AQ37" i="3"/>
  <c r="AR37" i="3"/>
  <c r="AM44" i="3"/>
  <c r="AM40" i="3"/>
  <c r="AS42" i="3"/>
  <c r="S53" i="3"/>
  <c r="S46" i="3"/>
  <c r="U49" i="3"/>
  <c r="S30" i="3"/>
  <c r="U38" i="3"/>
  <c r="U31" i="3"/>
  <c r="U35" i="3"/>
  <c r="S28" i="3"/>
  <c r="AM36" i="3"/>
  <c r="AS47" i="3"/>
  <c r="AS31" i="3"/>
  <c r="AN27" i="3"/>
  <c r="U41" i="3"/>
  <c r="S43" i="3"/>
  <c r="AN45" i="3"/>
  <c r="AQ31" i="3"/>
  <c r="AL43" i="3"/>
  <c r="S27" i="3"/>
  <c r="AS30" i="3"/>
  <c r="AS50" i="3"/>
  <c r="AN43" i="3"/>
  <c r="AL34" i="3"/>
  <c r="AR38" i="3"/>
  <c r="AL28" i="3"/>
  <c r="AM37" i="3"/>
  <c r="AM47" i="3"/>
  <c r="AN34" i="3"/>
  <c r="AN36" i="3"/>
  <c r="AN41" i="3"/>
  <c r="AL54" i="3"/>
  <c r="AM38" i="3"/>
  <c r="AL36" i="3"/>
  <c r="AM53" i="3"/>
  <c r="AS29" i="3"/>
  <c r="AL49" i="3"/>
  <c r="AL32" i="3"/>
  <c r="AM32" i="3"/>
  <c r="AQ42" i="3"/>
  <c r="AS28" i="3"/>
  <c r="U48" i="3"/>
  <c r="U34" i="3"/>
  <c r="S45" i="3"/>
  <c r="U39" i="3"/>
  <c r="U42" i="3"/>
  <c r="U53" i="3"/>
  <c r="AM48" i="3"/>
  <c r="AL29" i="3"/>
  <c r="AQ50" i="3"/>
  <c r="AS43" i="3"/>
  <c r="AR54" i="3"/>
  <c r="AR50" i="3"/>
  <c r="AR36" i="3"/>
  <c r="S33" i="3"/>
  <c r="AQ52" i="3"/>
  <c r="AR51" i="3"/>
  <c r="AL27" i="3"/>
  <c r="AR29" i="3"/>
  <c r="S34" i="3"/>
  <c r="F51" i="13" l="1"/>
  <c r="E51" i="13"/>
  <c r="C52" i="13"/>
  <c r="D51" i="13"/>
  <c r="J71" i="3"/>
  <c r="J142" i="3"/>
  <c r="J143" i="3"/>
  <c r="J141" i="3"/>
  <c r="J140" i="3"/>
  <c r="J65" i="3"/>
  <c r="J95" i="3"/>
  <c r="J118" i="3"/>
  <c r="J116" i="3"/>
  <c r="J97" i="3"/>
  <c r="J139" i="3"/>
  <c r="J75" i="3"/>
  <c r="J114" i="3"/>
  <c r="J104" i="3"/>
  <c r="J93" i="3"/>
  <c r="J135" i="3"/>
  <c r="J94" i="3"/>
  <c r="J137" i="3"/>
  <c r="J73" i="3"/>
  <c r="J115" i="3"/>
  <c r="J100" i="3"/>
  <c r="J90" i="3"/>
  <c r="J133" i="3"/>
  <c r="J79" i="3"/>
  <c r="J69" i="3"/>
  <c r="J101" i="3"/>
  <c r="J108" i="3"/>
  <c r="J136" i="3"/>
  <c r="J102" i="3"/>
  <c r="J76" i="3"/>
  <c r="J81" i="3"/>
  <c r="J123" i="3"/>
  <c r="J124" i="3"/>
  <c r="J98" i="3"/>
  <c r="J77" i="3"/>
  <c r="J119" i="3"/>
  <c r="J112" i="3"/>
  <c r="J78" i="3"/>
  <c r="J121" i="3"/>
  <c r="J120" i="3"/>
  <c r="J99" i="3"/>
  <c r="J138" i="3"/>
  <c r="J74" i="3"/>
  <c r="J117" i="3"/>
  <c r="J127" i="3"/>
  <c r="J88" i="3"/>
  <c r="J86" i="3"/>
  <c r="J129" i="3"/>
  <c r="J107" i="3"/>
  <c r="J72" i="3"/>
  <c r="J82" i="3"/>
  <c r="J125" i="3"/>
  <c r="J128" i="3"/>
  <c r="J103" i="3"/>
  <c r="J126" i="3"/>
  <c r="J64" i="3"/>
  <c r="J105" i="3"/>
  <c r="J68" i="3"/>
  <c r="J83" i="3"/>
  <c r="J122" i="3"/>
  <c r="J132" i="3"/>
  <c r="J111" i="3"/>
  <c r="J134" i="3"/>
  <c r="J70" i="3"/>
  <c r="J113" i="3"/>
  <c r="J96" i="3"/>
  <c r="J91" i="3"/>
  <c r="J130" i="3"/>
  <c r="J66" i="3"/>
  <c r="J109" i="3"/>
  <c r="J80" i="3"/>
  <c r="J87" i="3"/>
  <c r="J110" i="3"/>
  <c r="J92" i="3"/>
  <c r="J89" i="3"/>
  <c r="J131" i="3"/>
  <c r="J67" i="3"/>
  <c r="J106" i="3"/>
  <c r="J84" i="3"/>
  <c r="J85" i="3"/>
  <c r="E46" i="3"/>
  <c r="F46" i="3" s="1"/>
  <c r="P7" i="3"/>
  <c r="P4" i="3"/>
  <c r="P6" i="3"/>
  <c r="P8" i="3"/>
  <c r="X3" i="3" s="1"/>
  <c r="P5" i="3"/>
  <c r="R4" i="3"/>
  <c r="P3" i="3"/>
  <c r="AC19" i="3"/>
  <c r="U17" i="3"/>
  <c r="B148" i="3"/>
  <c r="C148" i="3" s="1"/>
  <c r="C54" i="3"/>
  <c r="B54" i="3" s="1"/>
  <c r="C56" i="3"/>
  <c r="B56" i="3" s="1"/>
  <c r="H43" i="3"/>
  <c r="C55" i="3"/>
  <c r="B55" i="3" s="1"/>
  <c r="F56" i="3"/>
  <c r="F57" i="3"/>
  <c r="F55" i="3"/>
  <c r="F54" i="3"/>
  <c r="C53" i="3"/>
  <c r="B53" i="3" s="1"/>
  <c r="F53" i="3"/>
  <c r="C57" i="3"/>
  <c r="B57" i="3" s="1"/>
  <c r="F52" i="13" l="1"/>
  <c r="E52" i="13"/>
  <c r="C53" i="13"/>
  <c r="D52" i="13"/>
  <c r="X5" i="3"/>
  <c r="X4" i="3"/>
  <c r="P9" i="3"/>
  <c r="AA30" i="3"/>
  <c r="W31" i="3"/>
  <c r="AB19" i="3"/>
  <c r="AD19" i="3"/>
  <c r="AE19" i="3"/>
  <c r="T25" i="3"/>
  <c r="E53" i="3"/>
  <c r="H53" i="3" s="1"/>
  <c r="E55" i="3"/>
  <c r="H55" i="3" s="1"/>
  <c r="E57" i="3"/>
  <c r="H57" i="3" s="1"/>
  <c r="E56" i="3"/>
  <c r="H56" i="3" s="1"/>
  <c r="T3" i="3"/>
  <c r="T5" i="3"/>
  <c r="T4" i="3"/>
  <c r="S4" i="3"/>
  <c r="R6" i="3"/>
  <c r="S5" i="3"/>
  <c r="S3" i="3"/>
  <c r="U5" i="3"/>
  <c r="U3" i="3"/>
  <c r="U4" i="3"/>
  <c r="E54" i="3"/>
  <c r="H54" i="3" s="1"/>
  <c r="V5" i="3"/>
  <c r="P10" i="3"/>
  <c r="V4" i="3"/>
  <c r="V3" i="3"/>
  <c r="W4" i="3"/>
  <c r="W3" i="3"/>
  <c r="W5" i="3"/>
  <c r="F53" i="13" l="1"/>
  <c r="E53" i="13"/>
  <c r="C54" i="13"/>
  <c r="D53" i="13"/>
  <c r="W21" i="3"/>
  <c r="X21" i="3" s="1"/>
  <c r="U21" i="3"/>
  <c r="V21" i="3" s="1"/>
  <c r="S21" i="3"/>
  <c r="T21" i="3" s="1"/>
  <c r="Y21" i="3"/>
  <c r="F54" i="13" l="1"/>
  <c r="E54" i="13"/>
  <c r="C55" i="13"/>
  <c r="D54" i="13"/>
  <c r="R15" i="3"/>
  <c r="F55" i="13" l="1"/>
  <c r="C56" i="13"/>
  <c r="E55" i="13"/>
  <c r="D55" i="13"/>
  <c r="L55" i="3"/>
  <c r="L57" i="3"/>
  <c r="K55" i="3" a="1"/>
  <c r="L56" i="3"/>
  <c r="E56" i="13" l="1"/>
  <c r="C57" i="13"/>
  <c r="F56" i="13"/>
  <c r="D56" i="13"/>
  <c r="K55" i="3"/>
  <c r="R55" i="3"/>
  <c r="N55" i="3"/>
  <c r="AP55" i="3"/>
  <c r="AK55" i="3"/>
  <c r="R56" i="3"/>
  <c r="AP56" i="3"/>
  <c r="AK56" i="3"/>
  <c r="N56" i="3"/>
  <c r="N57" i="3"/>
  <c r="R57" i="3"/>
  <c r="AK57" i="3"/>
  <c r="AP57" i="3"/>
  <c r="S57" i="3"/>
  <c r="J55" i="3" a="1"/>
  <c r="O55" i="3"/>
  <c r="J57" i="3" a="1"/>
  <c r="AL57" i="3"/>
  <c r="K56" i="3" a="1"/>
  <c r="U57" i="3"/>
  <c r="J56" i="3" a="1"/>
  <c r="AM57" i="3"/>
  <c r="O57" i="3"/>
  <c r="K57" i="3" a="1"/>
  <c r="S55" i="3"/>
  <c r="O56" i="3"/>
  <c r="U56" i="3"/>
  <c r="AR55" i="3"/>
  <c r="AS57" i="3"/>
  <c r="AM55" i="3"/>
  <c r="S56" i="3"/>
  <c r="AN56" i="3"/>
  <c r="AS56" i="3"/>
  <c r="U55" i="3"/>
  <c r="F57" i="13" l="1"/>
  <c r="E57" i="13"/>
  <c r="C58" i="13"/>
  <c r="D57" i="13"/>
  <c r="J57" i="3"/>
  <c r="Q57" i="3" s="1"/>
  <c r="K57" i="3"/>
  <c r="J55" i="3"/>
  <c r="Q55" i="3" s="1"/>
  <c r="J56" i="3"/>
  <c r="Q56" i="3" s="1"/>
  <c r="K56" i="3"/>
  <c r="AQ56" i="3"/>
  <c r="AS55" i="3"/>
  <c r="AQ55" i="3"/>
  <c r="AM56" i="3"/>
  <c r="AQ57" i="3"/>
  <c r="AL56" i="3"/>
  <c r="AR56" i="3"/>
  <c r="AL55" i="3"/>
  <c r="AN55" i="3"/>
  <c r="AR57" i="3"/>
  <c r="AN57" i="3"/>
  <c r="E58" i="13" l="1"/>
  <c r="C59" i="13"/>
  <c r="F58" i="13"/>
  <c r="D58" i="13"/>
  <c r="K58" i="3"/>
  <c r="M57" i="3"/>
  <c r="AQ58" i="3"/>
  <c r="AL58" i="3"/>
  <c r="J58" i="3"/>
  <c r="M55" i="3"/>
  <c r="M56" i="3"/>
  <c r="D59" i="13" l="1"/>
  <c r="F59" i="13"/>
  <c r="E59" i="13"/>
  <c r="C60" i="13"/>
  <c r="J59" i="3"/>
  <c r="E60" i="13" l="1"/>
  <c r="F60" i="13"/>
  <c r="C61" i="13"/>
  <c r="D60" i="13"/>
  <c r="M59" i="3"/>
  <c r="J60" i="3"/>
  <c r="K60" i="3" s="1"/>
  <c r="J61" i="3"/>
  <c r="K61" i="3" s="1"/>
  <c r="D28" i="3"/>
  <c r="D22" i="3"/>
  <c r="C22" i="3" s="1" a="1"/>
  <c r="C22" i="3" s="1"/>
  <c r="D21" i="3"/>
  <c r="B21" i="3" s="1" a="1"/>
  <c r="B21" i="3" s="1"/>
  <c r="F61" i="13" l="1"/>
  <c r="E61" i="13"/>
  <c r="C62" i="13"/>
  <c r="D61" i="13"/>
  <c r="D29" i="3"/>
  <c r="E29" i="3" s="1"/>
  <c r="F34" i="3" s="1"/>
  <c r="B20" i="3" a="1"/>
  <c r="B20" i="3" s="1"/>
  <c r="B19" i="3" a="1"/>
  <c r="B19" i="3" s="1"/>
  <c r="B22" i="3" a="1"/>
  <c r="B22" i="3" s="1"/>
  <c r="C21" i="3" a="1"/>
  <c r="C21" i="3" s="1"/>
  <c r="F62" i="13" l="1"/>
  <c r="E62" i="13"/>
  <c r="C63" i="13"/>
  <c r="D62" i="13"/>
  <c r="T43" i="3"/>
  <c r="T34" i="3"/>
  <c r="T54" i="3"/>
  <c r="T50" i="3"/>
  <c r="T28" i="3"/>
  <c r="T29" i="3"/>
  <c r="T52" i="3"/>
  <c r="T39" i="3"/>
  <c r="T30" i="3"/>
  <c r="T42" i="3"/>
  <c r="T47" i="3"/>
  <c r="T55" i="3"/>
  <c r="T45" i="3"/>
  <c r="T36" i="3"/>
  <c r="T46" i="3"/>
  <c r="T57" i="3"/>
  <c r="T27" i="3"/>
  <c r="D32" i="3"/>
  <c r="C32" i="3" s="1"/>
  <c r="E33" i="3" s="1"/>
  <c r="T37" i="3"/>
  <c r="T44" i="3"/>
  <c r="F19" i="3"/>
  <c r="T33" i="3"/>
  <c r="T31" i="3"/>
  <c r="T51" i="3"/>
  <c r="E27" i="3"/>
  <c r="E36" i="3" s="1"/>
  <c r="T38" i="3"/>
  <c r="T41" i="3"/>
  <c r="T40" i="3"/>
  <c r="T49" i="3"/>
  <c r="T32" i="3"/>
  <c r="T35" i="3"/>
  <c r="T56" i="3"/>
  <c r="T48" i="3"/>
  <c r="T53" i="3"/>
  <c r="E25" i="3"/>
  <c r="B36" i="3" s="1"/>
  <c r="E26" i="3"/>
  <c r="E24" i="3"/>
  <c r="C35" i="3" s="1"/>
  <c r="F36" i="3"/>
  <c r="F35" i="3"/>
  <c r="F63" i="13" l="1"/>
  <c r="E63" i="13"/>
  <c r="C64" i="13"/>
  <c r="D63" i="13"/>
  <c r="F33" i="3"/>
  <c r="B35" i="3"/>
  <c r="E34" i="3"/>
  <c r="B34" i="3"/>
  <c r="E35" i="3"/>
  <c r="C36" i="3"/>
  <c r="C34" i="3"/>
  <c r="D34" i="3"/>
  <c r="D35" i="3"/>
  <c r="D36" i="3"/>
  <c r="F64" i="13" l="1"/>
  <c r="E64" i="13"/>
  <c r="C65" i="13"/>
  <c r="D64" i="13"/>
  <c r="S6" i="13"/>
  <c r="F65" i="13" l="1"/>
  <c r="E65" i="13"/>
  <c r="C66" i="13"/>
  <c r="D65" i="13"/>
  <c r="AB55" i="3"/>
  <c r="AC55" i="3" s="1"/>
  <c r="F66" i="13" l="1"/>
  <c r="E66" i="13"/>
  <c r="C67" i="13"/>
  <c r="D66" i="13"/>
  <c r="AB54" i="3"/>
  <c r="AC54" i="3" s="1"/>
  <c r="AB52" i="3"/>
  <c r="AC52" i="3" s="1"/>
  <c r="AB47" i="3"/>
  <c r="AC47" i="3" s="1"/>
  <c r="E67" i="13" l="1"/>
  <c r="F67" i="13"/>
  <c r="C68" i="13"/>
  <c r="D67" i="13"/>
  <c r="AB51" i="3"/>
  <c r="AC51" i="3" s="1"/>
  <c r="AB50" i="3"/>
  <c r="AC50" i="3" s="1"/>
  <c r="AB49" i="3"/>
  <c r="AC49" i="3" s="1"/>
  <c r="AB53" i="3"/>
  <c r="AC53" i="3" s="1"/>
  <c r="AB48" i="3"/>
  <c r="AC48" i="3" s="1"/>
  <c r="F68" i="13" l="1"/>
  <c r="C69" i="13"/>
  <c r="E68" i="13"/>
  <c r="D68" i="13"/>
  <c r="AG35" i="3" a="1"/>
  <c r="AG35" i="3" s="1"/>
  <c r="AG34" i="3" a="1"/>
  <c r="AG34" i="3" s="1"/>
  <c r="AG36" i="3" a="1"/>
  <c r="AG36" i="3" s="1"/>
  <c r="D155" i="3"/>
  <c r="D160" i="3"/>
  <c r="E160" i="3"/>
  <c r="E156" i="3"/>
  <c r="E163" i="3"/>
  <c r="E159" i="3"/>
  <c r="E155" i="3"/>
  <c r="E162" i="3"/>
  <c r="E158" i="3"/>
  <c r="E154" i="3"/>
  <c r="E161" i="3"/>
  <c r="E157" i="3"/>
  <c r="E153" i="3"/>
  <c r="D157" i="3"/>
  <c r="D158" i="3"/>
  <c r="D159" i="3"/>
  <c r="D163" i="3"/>
  <c r="D156" i="3"/>
  <c r="D162" i="3"/>
  <c r="D161" i="3"/>
  <c r="AG43" i="3" a="1"/>
  <c r="AG43" i="3" s="1"/>
  <c r="F69" i="13" l="1"/>
  <c r="C70" i="13"/>
  <c r="E69" i="13"/>
  <c r="D69" i="13"/>
  <c r="D150" i="3"/>
  <c r="E150" i="3"/>
  <c r="F164" i="3"/>
  <c r="F70" i="13" l="1"/>
  <c r="E70" i="13"/>
  <c r="C71" i="13"/>
  <c r="D70" i="13"/>
  <c r="J17" i="3"/>
  <c r="F71" i="13" l="1"/>
  <c r="E71" i="13"/>
  <c r="C72" i="13"/>
  <c r="D71" i="13"/>
  <c r="J22" i="3"/>
  <c r="J21" i="3"/>
  <c r="J19" i="3"/>
  <c r="L151" i="3"/>
  <c r="J18" i="3"/>
  <c r="J20" i="3"/>
  <c r="F72" i="13" l="1"/>
  <c r="C73" i="13"/>
  <c r="E72" i="13"/>
  <c r="D72" i="13"/>
  <c r="J23" i="3"/>
  <c r="M19" i="3"/>
  <c r="K19" i="3"/>
  <c r="L19" i="3"/>
  <c r="N19" i="3"/>
  <c r="K22" i="3"/>
  <c r="L22" i="3"/>
  <c r="M22" i="3"/>
  <c r="N22" i="3"/>
  <c r="N20" i="3"/>
  <c r="K20" i="3"/>
  <c r="L20" i="3"/>
  <c r="M20" i="3"/>
  <c r="M18" i="3"/>
  <c r="K18" i="3"/>
  <c r="N18" i="3"/>
  <c r="L18" i="3"/>
  <c r="K21" i="3"/>
  <c r="L21" i="3"/>
  <c r="M21" i="3"/>
  <c r="N21" i="3"/>
  <c r="F73" i="13" l="1"/>
  <c r="E73" i="13"/>
  <c r="C74" i="13"/>
  <c r="D73" i="13"/>
  <c r="K23" i="3"/>
  <c r="N23" i="3"/>
  <c r="M23" i="3"/>
  <c r="L23" i="3"/>
  <c r="F74" i="13" l="1"/>
  <c r="E74" i="13"/>
  <c r="C75" i="13"/>
  <c r="D74" i="13"/>
  <c r="S7" i="13"/>
  <c r="K59" i="3" s="1"/>
  <c r="R9" i="3" s="1"/>
  <c r="S9" i="3" s="1"/>
  <c r="F75" i="13" l="1"/>
  <c r="E75" i="13"/>
  <c r="D75" i="13"/>
  <c r="C76" i="13"/>
  <c r="E76" i="13" l="1"/>
  <c r="F76" i="13"/>
  <c r="C77" i="13"/>
  <c r="D76" i="13"/>
  <c r="E77" i="13" l="1"/>
  <c r="D77" i="13"/>
  <c r="F77" i="13"/>
  <c r="C78" i="13"/>
  <c r="C79" i="13" l="1"/>
  <c r="F78" i="13"/>
  <c r="E78" i="13"/>
  <c r="D78" i="13"/>
  <c r="E79" i="13" l="1"/>
  <c r="F79" i="13"/>
  <c r="C80" i="13"/>
  <c r="D79" i="13"/>
  <c r="F80" i="13" l="1"/>
  <c r="E80" i="13"/>
  <c r="C81" i="13"/>
  <c r="D80" i="13"/>
  <c r="C82" i="13" l="1"/>
  <c r="F81" i="13"/>
  <c r="E81" i="13"/>
  <c r="D81" i="13"/>
  <c r="E82" i="13" l="1"/>
  <c r="F82" i="13"/>
  <c r="C83" i="13"/>
  <c r="D82" i="13"/>
  <c r="F83" i="13" l="1"/>
  <c r="E83" i="13"/>
  <c r="C84" i="13"/>
  <c r="D83" i="13"/>
  <c r="C85" i="13" l="1"/>
  <c r="D84" i="13"/>
  <c r="F84" i="13"/>
  <c r="E84" i="13"/>
  <c r="C86" i="13" l="1"/>
  <c r="D85" i="13"/>
  <c r="F85" i="13"/>
  <c r="E85" i="13"/>
  <c r="F86" i="13" l="1"/>
  <c r="C87" i="13"/>
  <c r="E86" i="13"/>
  <c r="D86" i="13"/>
  <c r="F87" i="13" l="1"/>
  <c r="E87" i="13"/>
  <c r="C88" i="13"/>
  <c r="D87" i="13"/>
  <c r="E88" i="13" l="1"/>
  <c r="F88" i="13"/>
  <c r="C89" i="13"/>
  <c r="D88" i="13"/>
  <c r="E89" i="13" l="1"/>
  <c r="F89" i="13"/>
  <c r="C90" i="13"/>
  <c r="D89" i="13"/>
  <c r="E90" i="13" l="1"/>
  <c r="F90" i="13"/>
  <c r="C91" i="13"/>
  <c r="D90" i="13"/>
  <c r="E91" i="13" l="1"/>
  <c r="F91" i="13"/>
  <c r="C92" i="13"/>
  <c r="D91" i="13"/>
  <c r="C93" i="13" l="1"/>
  <c r="F92" i="13"/>
  <c r="E92" i="13"/>
  <c r="D92" i="13"/>
  <c r="C94" i="13" l="1"/>
  <c r="E93" i="13"/>
  <c r="F93" i="13"/>
  <c r="D93" i="13"/>
  <c r="F94" i="13" l="1"/>
  <c r="C95" i="13"/>
  <c r="E94" i="13"/>
  <c r="D94" i="13"/>
  <c r="F95" i="13" l="1"/>
  <c r="E95" i="13"/>
  <c r="C96" i="13"/>
  <c r="D95" i="13"/>
  <c r="E96" i="13" l="1"/>
  <c r="F96" i="13"/>
  <c r="C97" i="13"/>
  <c r="D96" i="13"/>
  <c r="C98" i="13" l="1"/>
  <c r="F97" i="13"/>
  <c r="E97" i="13"/>
  <c r="D97" i="13"/>
  <c r="F98" i="13" l="1"/>
  <c r="E98" i="13"/>
  <c r="C99" i="13"/>
  <c r="D98" i="13"/>
  <c r="F99" i="13" l="1"/>
  <c r="E99" i="13"/>
  <c r="C100" i="13"/>
  <c r="D99" i="13"/>
  <c r="D100" i="13" l="1"/>
  <c r="F100" i="13"/>
  <c r="E100" i="13"/>
  <c r="C101" i="13"/>
  <c r="F101" i="13" l="1"/>
  <c r="C102" i="13"/>
  <c r="D101" i="13"/>
  <c r="E101" i="13"/>
  <c r="F102" i="13" l="1"/>
  <c r="E102" i="13"/>
  <c r="C103" i="13"/>
  <c r="D102" i="13"/>
  <c r="F103" i="13" l="1"/>
  <c r="E103" i="13"/>
  <c r="C104" i="13"/>
  <c r="D103" i="13"/>
  <c r="E104" i="13" l="1"/>
  <c r="F104" i="13"/>
  <c r="D104" i="13"/>
  <c r="C105" i="13"/>
  <c r="F105" i="13" l="1"/>
  <c r="E105" i="13"/>
  <c r="C106" i="13"/>
  <c r="D105" i="13"/>
  <c r="E106" i="13" l="1"/>
  <c r="D106" i="13"/>
  <c r="F106" i="13"/>
  <c r="C107" i="13"/>
  <c r="C108" i="13" l="1"/>
  <c r="F107" i="13"/>
  <c r="E107" i="13"/>
  <c r="D107" i="13"/>
  <c r="F108" i="13" l="1"/>
  <c r="C109" i="13"/>
  <c r="E108" i="13"/>
  <c r="D108" i="13"/>
  <c r="F109" i="13" l="1"/>
  <c r="E109" i="13"/>
  <c r="C110" i="13"/>
  <c r="D109" i="13"/>
  <c r="F110" i="13" l="1"/>
  <c r="E110" i="13"/>
  <c r="C111" i="13"/>
  <c r="D110" i="13"/>
  <c r="E111" i="13" l="1"/>
  <c r="F111" i="13"/>
  <c r="C112" i="13"/>
  <c r="D111" i="13"/>
  <c r="F112" i="13" l="1"/>
  <c r="E112" i="13"/>
  <c r="C113" i="13"/>
  <c r="D112" i="13"/>
  <c r="F113" i="13" l="1"/>
  <c r="E113" i="13"/>
  <c r="C114" i="13"/>
  <c r="D113" i="13"/>
  <c r="E114" i="13" l="1"/>
  <c r="F114" i="13"/>
  <c r="C115" i="13"/>
  <c r="D114" i="13"/>
  <c r="C116" i="13" l="1"/>
  <c r="F115" i="13"/>
  <c r="E115" i="13"/>
  <c r="D115" i="13"/>
  <c r="C117" i="13" l="1"/>
  <c r="F116" i="13"/>
  <c r="E116" i="13"/>
  <c r="D116" i="13"/>
  <c r="F117" i="13" l="1"/>
  <c r="E117" i="13"/>
  <c r="C118" i="13"/>
  <c r="D117" i="13"/>
  <c r="F118" i="13" l="1"/>
  <c r="C119" i="13"/>
  <c r="D118" i="13"/>
  <c r="E118" i="13"/>
  <c r="F119" i="13" l="1"/>
  <c r="E119" i="13"/>
  <c r="C120" i="13"/>
  <c r="D119" i="13"/>
  <c r="E120" i="13" l="1"/>
  <c r="F120" i="13"/>
  <c r="C121" i="13"/>
  <c r="D120" i="13"/>
  <c r="F121" i="13" l="1"/>
  <c r="C122" i="13"/>
  <c r="D121" i="13"/>
  <c r="E121" i="13"/>
  <c r="E122" i="13" l="1"/>
  <c r="F122" i="13"/>
  <c r="C123" i="13"/>
  <c r="D122" i="13"/>
  <c r="F123" i="13" l="1"/>
  <c r="E123" i="13"/>
  <c r="C124" i="13"/>
  <c r="D123" i="13"/>
  <c r="F124" i="13" l="1"/>
  <c r="C125" i="13"/>
  <c r="D124" i="13"/>
  <c r="E124" i="13"/>
  <c r="F125" i="13" l="1"/>
  <c r="E125" i="13"/>
  <c r="C126" i="13"/>
  <c r="D125" i="13"/>
  <c r="F126" i="13" l="1"/>
  <c r="E126" i="13"/>
  <c r="C127" i="13"/>
  <c r="D126" i="13"/>
  <c r="F127" i="13" l="1"/>
  <c r="E127" i="13"/>
  <c r="C128" i="13"/>
  <c r="D127" i="13"/>
  <c r="F128" i="13" l="1"/>
  <c r="D128" i="13"/>
  <c r="E128" i="13"/>
  <c r="C129" i="13"/>
  <c r="E129" i="13" l="1"/>
  <c r="F129" i="13"/>
  <c r="C130" i="13"/>
  <c r="D129" i="13"/>
  <c r="F130" i="13" l="1"/>
  <c r="E130" i="13"/>
  <c r="C131" i="13"/>
  <c r="D130" i="13"/>
  <c r="F131" i="13" l="1"/>
  <c r="E131" i="13"/>
  <c r="C132" i="13"/>
  <c r="D131" i="13"/>
  <c r="F132" i="13" l="1"/>
  <c r="E132" i="13"/>
  <c r="C133" i="13"/>
  <c r="D132" i="13"/>
  <c r="F133" i="13" l="1"/>
  <c r="C134" i="13"/>
  <c r="E133" i="13"/>
  <c r="D133" i="13"/>
  <c r="F134" i="13" l="1"/>
  <c r="E134" i="13"/>
  <c r="C135" i="13"/>
  <c r="D134" i="13"/>
  <c r="C136" i="13" l="1"/>
  <c r="F135" i="13"/>
  <c r="E135" i="13"/>
  <c r="D135" i="13"/>
  <c r="F136" i="13" l="1"/>
  <c r="E136" i="13"/>
  <c r="C137" i="13"/>
  <c r="D136" i="13"/>
  <c r="F137" i="13" l="1"/>
  <c r="E137" i="13"/>
  <c r="D137" i="13"/>
  <c r="C138" i="13"/>
  <c r="E138" i="13" l="1"/>
  <c r="F138" i="13"/>
  <c r="C139" i="13"/>
  <c r="D138" i="13"/>
  <c r="E139" i="13" l="1"/>
  <c r="F139" i="13"/>
  <c r="C140" i="13"/>
  <c r="D139" i="13"/>
  <c r="C141" i="13" l="1"/>
  <c r="F140" i="13"/>
  <c r="E140" i="13"/>
  <c r="D140" i="13"/>
  <c r="C142" i="13" l="1"/>
  <c r="D141" i="13"/>
  <c r="F141" i="13"/>
  <c r="E141" i="13"/>
  <c r="F142" i="13" l="1"/>
  <c r="C143" i="13"/>
  <c r="E142" i="13"/>
  <c r="D142" i="13"/>
  <c r="F143" i="13" l="1"/>
  <c r="C144" i="13"/>
  <c r="E143" i="13"/>
  <c r="D143" i="13"/>
  <c r="C145" i="13" l="1"/>
  <c r="F144" i="13"/>
  <c r="E144" i="13"/>
  <c r="D144" i="13"/>
  <c r="E145" i="13" l="1"/>
  <c r="F145" i="13"/>
  <c r="C146" i="13"/>
  <c r="D145" i="13"/>
  <c r="F146" i="13" l="1"/>
  <c r="E146" i="13"/>
  <c r="C147" i="13"/>
  <c r="D146" i="13"/>
  <c r="C148" i="13" l="1"/>
  <c r="F147" i="13"/>
  <c r="E147" i="13"/>
  <c r="D147" i="13"/>
  <c r="C149" i="13" l="1"/>
  <c r="D148" i="13"/>
  <c r="F148" i="13"/>
  <c r="E148" i="13"/>
  <c r="F149" i="13" l="1"/>
  <c r="E149" i="13"/>
  <c r="C150" i="13"/>
  <c r="D149" i="13"/>
  <c r="F150" i="13" l="1"/>
  <c r="C151" i="13"/>
  <c r="E150" i="13"/>
  <c r="D150" i="13"/>
  <c r="F151" i="13" l="1"/>
  <c r="E151" i="13"/>
  <c r="C152" i="13"/>
  <c r="D151" i="13"/>
  <c r="E152" i="13" l="1"/>
  <c r="F152" i="13"/>
  <c r="C153" i="13"/>
  <c r="D152" i="13"/>
  <c r="E153" i="13" l="1"/>
  <c r="D153" i="13"/>
  <c r="F153" i="13"/>
  <c r="C154" i="13"/>
  <c r="E154" i="13" l="1"/>
  <c r="F154" i="13"/>
  <c r="D154" i="13"/>
  <c r="C155" i="13"/>
  <c r="F155" i="13" l="1"/>
  <c r="C156" i="13"/>
  <c r="D155" i="13"/>
  <c r="E155" i="13"/>
  <c r="E156" i="13" l="1"/>
  <c r="D156" i="13"/>
  <c r="C157" i="13"/>
  <c r="F156" i="13"/>
  <c r="F157" i="13" l="1"/>
  <c r="C158" i="13"/>
  <c r="D157" i="13"/>
  <c r="E157" i="13"/>
  <c r="F158" i="13" l="1"/>
  <c r="C159" i="13"/>
  <c r="E158" i="13"/>
  <c r="D158" i="13"/>
  <c r="F159" i="13" l="1"/>
  <c r="C160" i="13"/>
  <c r="D159" i="13"/>
  <c r="E159" i="13"/>
  <c r="E160" i="13" l="1"/>
  <c r="C161" i="13"/>
  <c r="D160" i="13"/>
  <c r="F160" i="13"/>
  <c r="F161" i="13" l="1"/>
  <c r="C162" i="13"/>
  <c r="D161" i="13"/>
  <c r="E161" i="13"/>
  <c r="F162" i="13" l="1"/>
  <c r="C163" i="13"/>
  <c r="D162" i="13"/>
  <c r="E162" i="13"/>
  <c r="F163" i="13" l="1"/>
  <c r="C164" i="13"/>
  <c r="D163" i="13"/>
  <c r="E163" i="13"/>
  <c r="F164" i="13" l="1"/>
  <c r="C165" i="13"/>
  <c r="D164" i="13"/>
  <c r="E164" i="13"/>
  <c r="F165" i="13" l="1"/>
  <c r="C166" i="13"/>
  <c r="D165" i="13"/>
  <c r="E165" i="13"/>
  <c r="F166" i="13" l="1"/>
  <c r="C167" i="13"/>
  <c r="D166" i="13"/>
  <c r="E166" i="13"/>
  <c r="F167" i="13" l="1"/>
  <c r="C168" i="13"/>
  <c r="D167" i="13"/>
  <c r="E167" i="13"/>
  <c r="F168" i="13" l="1"/>
  <c r="C169" i="13"/>
  <c r="E168" i="13"/>
  <c r="D168" i="13"/>
  <c r="F169" i="13" l="1"/>
  <c r="C170" i="13"/>
  <c r="E169" i="13"/>
  <c r="D169" i="13"/>
  <c r="C171" i="13" l="1"/>
  <c r="F170" i="13"/>
  <c r="D170" i="13"/>
  <c r="E170" i="13"/>
  <c r="C172" i="13" l="1"/>
  <c r="F171" i="13"/>
  <c r="E171" i="13"/>
  <c r="D171" i="13"/>
  <c r="E172" i="13" l="1"/>
  <c r="C173" i="13"/>
  <c r="F172" i="13"/>
  <c r="D172" i="13"/>
  <c r="C174" i="13" l="1"/>
  <c r="E173" i="13"/>
  <c r="F173" i="13"/>
  <c r="D173" i="13"/>
  <c r="F174" i="13" l="1"/>
  <c r="C175" i="13"/>
  <c r="E174" i="13"/>
  <c r="D174" i="13"/>
  <c r="E175" i="13" l="1"/>
  <c r="C176" i="13"/>
  <c r="F175" i="13"/>
  <c r="D175" i="13"/>
  <c r="D176" i="13" l="1"/>
  <c r="F176" i="13"/>
  <c r="C177" i="13"/>
  <c r="E176" i="13"/>
  <c r="E177" i="13" l="1"/>
  <c r="F177" i="13"/>
  <c r="C178" i="13"/>
  <c r="D177" i="13"/>
  <c r="F178" i="13" l="1"/>
  <c r="E178" i="13"/>
  <c r="C179" i="13"/>
  <c r="D178" i="13"/>
  <c r="F179" i="13" l="1"/>
  <c r="C180" i="13"/>
  <c r="E179" i="13"/>
  <c r="D179" i="13"/>
  <c r="F180" i="13" l="1"/>
  <c r="C181" i="13"/>
  <c r="E180" i="13"/>
  <c r="D180" i="13"/>
  <c r="F181" i="13" l="1"/>
  <c r="C182" i="13"/>
  <c r="E181" i="13"/>
  <c r="D181" i="13"/>
  <c r="C183" i="13" l="1"/>
  <c r="F182" i="13"/>
  <c r="E182" i="13"/>
  <c r="D182" i="13"/>
  <c r="C184" i="13" l="1"/>
  <c r="F183" i="13"/>
  <c r="E183" i="13"/>
  <c r="D183" i="13"/>
  <c r="F184" i="13" l="1"/>
  <c r="E184" i="13"/>
  <c r="C185" i="13"/>
  <c r="D184" i="13"/>
  <c r="F185" i="13" l="1"/>
  <c r="E185" i="13"/>
  <c r="C186" i="13"/>
  <c r="D185" i="13"/>
  <c r="C187" i="13" l="1"/>
  <c r="F186" i="13"/>
  <c r="E186" i="13"/>
  <c r="D186" i="13"/>
  <c r="C188" i="13" l="1"/>
  <c r="F187" i="13"/>
  <c r="E187" i="13"/>
  <c r="D187" i="13"/>
  <c r="C189" i="13" l="1"/>
  <c r="F188" i="13"/>
  <c r="E188" i="13"/>
  <c r="D188" i="13"/>
  <c r="C190" i="13" l="1"/>
  <c r="F189" i="13"/>
  <c r="E189" i="13"/>
  <c r="D189" i="13"/>
  <c r="C191" i="13" l="1"/>
  <c r="F190" i="13"/>
  <c r="E190" i="13"/>
  <c r="D190" i="13"/>
  <c r="D191" i="13" l="1"/>
  <c r="E191" i="13"/>
  <c r="F191" i="13"/>
  <c r="C192" i="13"/>
  <c r="D192" i="13" l="1"/>
  <c r="E192" i="13"/>
  <c r="F192" i="13"/>
  <c r="C193" i="13"/>
  <c r="D193" i="13" l="1"/>
  <c r="F193" i="13"/>
  <c r="E193" i="13"/>
  <c r="C194" i="13"/>
  <c r="D194" i="13" l="1"/>
  <c r="F194" i="13"/>
  <c r="E194" i="13"/>
  <c r="C195" i="13"/>
  <c r="D195" i="13" l="1"/>
  <c r="F195" i="13"/>
  <c r="C196" i="13"/>
  <c r="E195" i="13"/>
  <c r="D196" i="13" l="1"/>
  <c r="C197" i="13"/>
  <c r="F196" i="13"/>
  <c r="E196" i="13"/>
  <c r="D197" i="13" l="1"/>
  <c r="C198" i="13"/>
  <c r="F197" i="13"/>
  <c r="E197" i="13"/>
  <c r="D198" i="13" l="1"/>
  <c r="F198" i="13"/>
  <c r="C199" i="13"/>
  <c r="E198" i="13"/>
  <c r="D199" i="13" l="1"/>
  <c r="F199" i="13"/>
  <c r="C200" i="13"/>
  <c r="E199" i="13"/>
  <c r="D200" i="13" l="1"/>
  <c r="F200" i="13"/>
  <c r="C201" i="13"/>
  <c r="E200" i="13"/>
  <c r="D201" i="13" l="1"/>
  <c r="F201" i="13"/>
  <c r="C202" i="13"/>
  <c r="E201" i="13"/>
  <c r="D202" i="13" l="1"/>
  <c r="F202" i="13"/>
  <c r="C203" i="13"/>
  <c r="E202" i="13"/>
  <c r="D203" i="13" l="1"/>
  <c r="F203" i="13"/>
  <c r="C204" i="13"/>
  <c r="E203" i="13"/>
  <c r="D204" i="13" l="1"/>
  <c r="F204" i="13"/>
  <c r="C205" i="13"/>
  <c r="E204" i="13"/>
  <c r="D205" i="13" l="1"/>
  <c r="F205" i="13"/>
  <c r="E205" i="13"/>
  <c r="C206" i="13"/>
  <c r="D206" i="13" l="1"/>
  <c r="C207" i="13"/>
  <c r="F206" i="13"/>
  <c r="E206" i="13"/>
  <c r="D207" i="13" l="1"/>
  <c r="F207" i="13"/>
  <c r="E207" i="13"/>
  <c r="C208" i="13"/>
  <c r="D208" i="13" l="1"/>
  <c r="F208" i="13"/>
  <c r="E208" i="13"/>
  <c r="C209" i="13"/>
  <c r="D209" i="13" l="1"/>
  <c r="F209" i="13"/>
  <c r="E209" i="13"/>
  <c r="C210" i="13"/>
  <c r="D210" i="13" l="1"/>
  <c r="F210" i="13"/>
  <c r="E210" i="13"/>
  <c r="C211" i="13"/>
  <c r="D211" i="13" l="1"/>
  <c r="F211" i="13"/>
  <c r="E211" i="13"/>
  <c r="C212" i="13"/>
  <c r="D212" i="13" l="1"/>
  <c r="F212" i="13"/>
  <c r="E212" i="13"/>
  <c r="C213" i="13"/>
  <c r="D213" i="13" l="1"/>
  <c r="F213" i="13"/>
  <c r="E213" i="13"/>
  <c r="C214" i="13"/>
  <c r="D214" i="13" l="1"/>
  <c r="F214" i="13"/>
  <c r="E214" i="13"/>
  <c r="C215" i="13"/>
  <c r="D215" i="13" l="1"/>
  <c r="F215" i="13"/>
  <c r="E215" i="13"/>
  <c r="C216" i="13"/>
  <c r="D216" i="13" l="1"/>
  <c r="F216" i="13"/>
  <c r="E216" i="13"/>
  <c r="C217" i="13"/>
  <c r="D217" i="13" l="1"/>
  <c r="F217" i="13"/>
  <c r="E217" i="13"/>
  <c r="C218" i="13"/>
  <c r="D218" i="13" l="1"/>
  <c r="F218" i="13"/>
  <c r="E218" i="13"/>
  <c r="C219" i="13"/>
  <c r="F219" i="13" l="1"/>
  <c r="E219" i="13"/>
  <c r="C220" i="13"/>
  <c r="D219" i="13"/>
  <c r="D220" i="13" l="1"/>
  <c r="F220" i="13"/>
  <c r="E220" i="13"/>
  <c r="C221" i="13"/>
  <c r="E221" i="13" l="1"/>
  <c r="F221" i="13"/>
  <c r="C222" i="13"/>
  <c r="D221" i="13"/>
  <c r="D222" i="13" l="1"/>
  <c r="F222" i="13"/>
  <c r="E222" i="13"/>
  <c r="C223" i="13"/>
  <c r="E223" i="13" l="1"/>
  <c r="F223" i="13"/>
  <c r="C224" i="13"/>
  <c r="D223" i="13"/>
  <c r="D224" i="13" l="1"/>
  <c r="F224" i="13"/>
  <c r="E224" i="13"/>
  <c r="C225" i="13"/>
  <c r="E225" i="13" l="1"/>
  <c r="F225" i="13"/>
  <c r="C226" i="13"/>
  <c r="D225" i="13"/>
  <c r="D226" i="13" l="1"/>
  <c r="F226" i="13"/>
  <c r="E226" i="13"/>
  <c r="C227" i="13"/>
  <c r="E227" i="13" l="1"/>
  <c r="F227" i="13"/>
  <c r="C228" i="13"/>
  <c r="D227" i="13"/>
  <c r="D228" i="13" l="1"/>
  <c r="F228" i="13"/>
  <c r="E228" i="13"/>
  <c r="C229" i="13"/>
  <c r="F229" i="13" l="1"/>
  <c r="C230" i="13"/>
  <c r="E229" i="13"/>
  <c r="D229" i="13"/>
  <c r="C231" i="13" l="1"/>
  <c r="D230" i="13"/>
  <c r="F230" i="13"/>
  <c r="E230" i="13"/>
  <c r="F231" i="13" l="1"/>
  <c r="E231" i="13"/>
  <c r="C232" i="13"/>
  <c r="D231" i="13"/>
  <c r="D232" i="13" l="1"/>
  <c r="F232" i="13"/>
  <c r="E232" i="13"/>
  <c r="C233" i="13"/>
  <c r="E233" i="13" l="1"/>
  <c r="F233" i="13"/>
  <c r="C234" i="13"/>
  <c r="D233" i="13"/>
  <c r="D234" i="13" l="1"/>
  <c r="F234" i="13"/>
  <c r="E234" i="13"/>
  <c r="C235" i="13"/>
  <c r="E235" i="13" l="1"/>
  <c r="F235" i="13"/>
  <c r="C236" i="13"/>
  <c r="D235" i="13"/>
  <c r="D236" i="13" l="1"/>
  <c r="E236" i="13"/>
  <c r="F236" i="13"/>
  <c r="C237" i="13"/>
  <c r="D237" i="13" l="1"/>
  <c r="F237" i="13"/>
  <c r="C238" i="13"/>
  <c r="E237" i="13"/>
  <c r="D238" i="13" l="1"/>
  <c r="F238" i="13"/>
  <c r="E238" i="13"/>
  <c r="C239" i="13"/>
  <c r="D239" i="13" l="1"/>
  <c r="F239" i="13"/>
  <c r="C240" i="13"/>
  <c r="E239" i="13"/>
  <c r="D240" i="13" l="1"/>
  <c r="F240" i="13"/>
  <c r="E240" i="13"/>
  <c r="C241" i="13"/>
  <c r="D241" i="13" l="1"/>
  <c r="F241" i="13"/>
  <c r="E241" i="13"/>
  <c r="C242" i="13"/>
  <c r="D242" i="13" l="1"/>
  <c r="F242" i="13"/>
  <c r="C243" i="13"/>
  <c r="E242" i="13"/>
  <c r="D243" i="13" l="1"/>
  <c r="F243" i="13"/>
  <c r="C244" i="13"/>
  <c r="E243" i="13"/>
  <c r="D244" i="13" l="1"/>
  <c r="F244" i="13"/>
  <c r="C245" i="13"/>
  <c r="E244" i="13"/>
  <c r="D245" i="13" l="1"/>
  <c r="F245" i="13"/>
  <c r="E245" i="13"/>
  <c r="C246" i="13"/>
  <c r="D246" i="13" l="1"/>
  <c r="F246" i="13"/>
  <c r="C247" i="13"/>
  <c r="E246" i="13"/>
  <c r="D247" i="13" l="1"/>
  <c r="F247" i="13"/>
  <c r="C248" i="13"/>
  <c r="E247" i="13"/>
  <c r="D248" i="13" l="1"/>
  <c r="F248" i="13"/>
  <c r="C249" i="13"/>
  <c r="E248" i="13"/>
  <c r="D249" i="13" l="1"/>
  <c r="F249" i="13"/>
  <c r="E249" i="13"/>
  <c r="C250" i="13"/>
  <c r="D250" i="13" l="1"/>
  <c r="F250" i="13"/>
  <c r="E250" i="13"/>
  <c r="C251" i="13"/>
  <c r="D251" i="13" l="1"/>
  <c r="F251" i="13"/>
  <c r="E251" i="13"/>
  <c r="C252" i="13"/>
  <c r="D252" i="13" l="1"/>
  <c r="F252" i="13"/>
  <c r="E252" i="13"/>
  <c r="C253" i="13"/>
  <c r="D253" i="13" l="1"/>
  <c r="F253" i="13"/>
  <c r="E253" i="13"/>
  <c r="C254" i="13"/>
  <c r="D254" i="13" l="1"/>
  <c r="F254" i="13"/>
  <c r="E254" i="13"/>
  <c r="C255" i="13"/>
  <c r="D255" i="13" l="1"/>
  <c r="F255" i="13"/>
  <c r="E255" i="13"/>
  <c r="C256" i="13"/>
  <c r="D256" i="13" l="1"/>
  <c r="F256" i="13"/>
  <c r="E256" i="13"/>
  <c r="C257" i="13"/>
  <c r="D257" i="13" l="1"/>
  <c r="F257" i="13"/>
  <c r="E257" i="13"/>
  <c r="C258" i="13"/>
  <c r="D258" i="13" l="1"/>
  <c r="F258" i="13"/>
  <c r="E258" i="13"/>
  <c r="C259" i="13"/>
  <c r="D259" i="13" l="1"/>
  <c r="F259" i="13"/>
  <c r="C260" i="13"/>
  <c r="E259" i="13"/>
  <c r="D260" i="13" l="1"/>
  <c r="F260" i="13"/>
  <c r="E260" i="13"/>
  <c r="C261" i="13"/>
  <c r="D261" i="13" l="1"/>
  <c r="F261" i="13"/>
  <c r="C262" i="13"/>
  <c r="E261" i="13"/>
  <c r="D262" i="13" l="1"/>
  <c r="F262" i="13"/>
  <c r="E262" i="13"/>
  <c r="C263" i="13"/>
  <c r="D263" i="13" l="1"/>
  <c r="F263" i="13"/>
  <c r="E263" i="13"/>
  <c r="C264" i="13"/>
  <c r="D264" i="13" l="1"/>
  <c r="F264" i="13"/>
  <c r="C265" i="13"/>
  <c r="E264" i="13"/>
  <c r="D265" i="13" l="1"/>
  <c r="F265" i="13"/>
  <c r="E265" i="13"/>
  <c r="C266" i="13"/>
  <c r="D266" i="13" l="1"/>
  <c r="F266" i="13"/>
  <c r="E266" i="13"/>
  <c r="C267" i="13"/>
  <c r="D267" i="13" l="1"/>
  <c r="F267" i="13"/>
  <c r="E267" i="13"/>
  <c r="C268" i="13"/>
  <c r="D268" i="13" l="1"/>
  <c r="C269" i="13"/>
  <c r="F268" i="13"/>
  <c r="E268" i="13"/>
  <c r="D269" i="13" l="1"/>
  <c r="C270" i="13"/>
  <c r="E269" i="13"/>
  <c r="F269" i="13"/>
  <c r="D270" i="13" l="1"/>
  <c r="F270" i="13"/>
  <c r="E270" i="13"/>
  <c r="C271" i="13"/>
  <c r="D271" i="13" l="1"/>
  <c r="F271" i="13"/>
  <c r="E271" i="13"/>
  <c r="C272" i="13"/>
  <c r="D272" i="13" l="1"/>
  <c r="E272" i="13"/>
  <c r="C273" i="13"/>
  <c r="F272" i="13"/>
  <c r="D273" i="13" l="1"/>
  <c r="F273" i="13"/>
  <c r="C274" i="13"/>
  <c r="E273" i="13"/>
  <c r="D274" i="13" l="1"/>
  <c r="F274" i="13"/>
  <c r="E274" i="13"/>
  <c r="C275" i="13"/>
  <c r="D275" i="13" l="1"/>
  <c r="F275" i="13"/>
  <c r="C276" i="13"/>
  <c r="E275" i="13"/>
  <c r="D276" i="13" l="1"/>
  <c r="F276" i="13"/>
  <c r="E276" i="13"/>
  <c r="C277" i="13"/>
  <c r="D277" i="13" l="1"/>
  <c r="F277" i="13"/>
  <c r="E277" i="13"/>
  <c r="C278" i="13"/>
  <c r="D278" i="13" l="1"/>
  <c r="F278" i="13"/>
  <c r="E278" i="13"/>
  <c r="C279" i="13"/>
  <c r="D279" i="13" l="1"/>
  <c r="F279" i="13"/>
  <c r="E279" i="13"/>
  <c r="C280" i="13"/>
  <c r="D280" i="13" l="1"/>
  <c r="F280" i="13"/>
  <c r="E280" i="13"/>
  <c r="C281" i="13"/>
  <c r="D281" i="13" l="1"/>
  <c r="F281" i="13"/>
  <c r="C282" i="13"/>
  <c r="E281" i="13"/>
  <c r="D282" i="13" l="1"/>
  <c r="F282" i="13"/>
  <c r="E282" i="13"/>
  <c r="C283" i="13"/>
  <c r="D283" i="13" l="1"/>
  <c r="F283" i="13"/>
  <c r="E283" i="13"/>
  <c r="C284" i="13"/>
  <c r="D284" i="13" l="1"/>
  <c r="F284" i="13"/>
  <c r="E284" i="13"/>
  <c r="C285" i="13"/>
  <c r="D285" i="13" l="1"/>
  <c r="F285" i="13"/>
  <c r="E285" i="13"/>
  <c r="C286" i="13"/>
  <c r="D286" i="13" l="1"/>
  <c r="F286" i="13"/>
  <c r="E286" i="13"/>
  <c r="C287" i="13"/>
  <c r="D287" i="13" l="1"/>
  <c r="F287" i="13"/>
  <c r="E287" i="13"/>
  <c r="C288" i="13"/>
  <c r="D288" i="13" l="1"/>
  <c r="F288" i="13"/>
  <c r="E288" i="13"/>
  <c r="C289" i="13"/>
  <c r="D289" i="13" l="1"/>
  <c r="F289" i="13"/>
  <c r="C290" i="13"/>
  <c r="E289" i="13"/>
  <c r="D290" i="13" l="1"/>
  <c r="E290" i="13"/>
  <c r="F290" i="13"/>
  <c r="C291" i="13"/>
  <c r="D291" i="13" l="1"/>
  <c r="C292" i="13"/>
  <c r="F291" i="13"/>
  <c r="E291" i="13"/>
  <c r="D292" i="13" l="1"/>
  <c r="E292" i="13"/>
  <c r="F292" i="13"/>
  <c r="C293" i="13"/>
  <c r="C294" i="13" l="1"/>
  <c r="C295" i="13"/>
  <c r="F293" i="13"/>
  <c r="E293" i="13"/>
  <c r="D293" i="13"/>
  <c r="D295" i="13" l="1"/>
  <c r="F295" i="13"/>
  <c r="E295" i="13"/>
  <c r="F294" i="13"/>
  <c r="E294" i="13"/>
  <c r="C296" i="13"/>
  <c r="D294" i="13"/>
  <c r="C297" i="13" l="1"/>
  <c r="D296" i="13"/>
  <c r="F296" i="13"/>
  <c r="E296" i="13"/>
  <c r="F297" i="13" l="1"/>
  <c r="E297" i="13"/>
  <c r="C298" i="13"/>
  <c r="D297" i="13"/>
  <c r="D298" i="13" l="1"/>
  <c r="F298" i="13"/>
  <c r="C299" i="13"/>
  <c r="E298" i="13"/>
  <c r="E299" i="13" l="1"/>
  <c r="F299" i="13"/>
  <c r="D299" i="13"/>
  <c r="C300" i="13"/>
  <c r="D300" i="13" l="1"/>
  <c r="F300" i="13"/>
  <c r="C301" i="13"/>
  <c r="E300" i="13"/>
  <c r="E301" i="13" l="1"/>
  <c r="F301" i="13"/>
  <c r="D301" i="13"/>
  <c r="C302" i="13"/>
  <c r="D302" i="13" l="1"/>
  <c r="E302" i="13"/>
  <c r="F302" i="13"/>
  <c r="C303" i="13"/>
  <c r="D303" i="13" l="1"/>
  <c r="E303" i="13"/>
  <c r="F303" i="13"/>
  <c r="C304" i="13"/>
  <c r="D304" i="13" l="1"/>
  <c r="F304" i="13"/>
  <c r="E304" i="13"/>
  <c r="C305" i="13"/>
  <c r="D305" i="13" l="1"/>
  <c r="F305" i="13"/>
  <c r="C306" i="13"/>
  <c r="E305" i="13"/>
  <c r="D306" i="13" l="1"/>
  <c r="F306" i="13"/>
  <c r="C309" i="13"/>
  <c r="E306" i="13"/>
  <c r="D309" i="13" l="1"/>
  <c r="F309" i="13"/>
  <c r="C313" i="13"/>
  <c r="E309" i="13"/>
  <c r="D313" i="13" l="1"/>
  <c r="C314" i="13"/>
  <c r="F313" i="13"/>
  <c r="E313" i="13"/>
  <c r="D314" i="13" l="1"/>
  <c r="F314" i="13"/>
  <c r="C315" i="13"/>
  <c r="E314" i="13"/>
  <c r="D315" i="13" l="1"/>
  <c r="F315" i="13"/>
  <c r="C320" i="13"/>
  <c r="E315" i="13"/>
  <c r="D320" i="13" l="1"/>
  <c r="F320" i="13"/>
  <c r="C323" i="13"/>
  <c r="E320" i="13"/>
  <c r="D323" i="13" l="1"/>
  <c r="F323" i="13"/>
  <c r="C327" i="13"/>
  <c r="E323" i="13"/>
  <c r="D327" i="13" l="1"/>
  <c r="F327" i="13"/>
  <c r="C331" i="13"/>
  <c r="E327" i="13"/>
  <c r="D331" i="13" l="1"/>
  <c r="F331" i="13"/>
  <c r="C336" i="13"/>
  <c r="E331" i="13"/>
  <c r="D336" i="13" l="1"/>
  <c r="F336" i="13"/>
  <c r="C337" i="13"/>
  <c r="E336" i="13"/>
  <c r="D337" i="13" l="1"/>
  <c r="F337" i="13"/>
  <c r="C338" i="13"/>
  <c r="E337" i="13"/>
  <c r="D338" i="13" l="1"/>
  <c r="F338" i="13"/>
  <c r="C339" i="13"/>
  <c r="E338" i="13"/>
  <c r="D339" i="13" l="1"/>
  <c r="F339" i="13"/>
  <c r="E339" i="13"/>
  <c r="C340" i="13"/>
  <c r="D340" i="13" l="1"/>
  <c r="F340" i="13"/>
  <c r="E340" i="13"/>
  <c r="C341" i="13"/>
  <c r="D341" i="13" l="1"/>
  <c r="F341" i="13"/>
  <c r="E341" i="13"/>
  <c r="C342" i="13"/>
  <c r="D342" i="13" l="1"/>
  <c r="F342" i="13"/>
  <c r="E342" i="13"/>
  <c r="C343" i="13"/>
  <c r="D343" i="13" l="1"/>
  <c r="F343" i="13"/>
  <c r="E343" i="13"/>
  <c r="C345" i="13"/>
  <c r="D345" i="13" l="1"/>
  <c r="F345" i="13"/>
  <c r="E345" i="13"/>
  <c r="C346" i="13"/>
  <c r="D346" i="13" l="1"/>
  <c r="F346" i="13"/>
  <c r="E346" i="13"/>
  <c r="C347" i="13"/>
  <c r="C349" i="13" l="1"/>
  <c r="C348" i="13"/>
  <c r="F347" i="13"/>
  <c r="E347" i="13"/>
  <c r="D347" i="13"/>
  <c r="F348" i="13" l="1"/>
  <c r="E348" i="13"/>
  <c r="C350" i="13"/>
  <c r="D348" i="13"/>
  <c r="F349" i="13"/>
  <c r="D349" i="13"/>
  <c r="E349" i="13"/>
  <c r="C351" i="13" l="1"/>
  <c r="D350" i="13"/>
  <c r="F350" i="13"/>
  <c r="E350" i="13"/>
  <c r="E351" i="13" l="1"/>
  <c r="C353" i="13"/>
  <c r="D351" i="13"/>
  <c r="F351" i="13"/>
  <c r="D353" i="13" l="1"/>
  <c r="F353" i="13"/>
  <c r="C358" i="13"/>
  <c r="E353" i="13"/>
  <c r="F358" i="13" l="1"/>
  <c r="D358" i="13"/>
  <c r="E358" i="13"/>
  <c r="C359" i="13"/>
  <c r="D359" i="13" l="1"/>
  <c r="F359" i="13"/>
  <c r="E359" i="13"/>
  <c r="C360" i="13"/>
  <c r="F360" i="13" l="1"/>
  <c r="D360" i="13"/>
  <c r="E360" i="13"/>
  <c r="C361" i="13"/>
  <c r="D361" i="13" l="1"/>
  <c r="F361" i="13"/>
  <c r="E361" i="13"/>
  <c r="C362" i="13"/>
  <c r="F362" i="13" l="1"/>
  <c r="D362" i="13"/>
  <c r="E362" i="13"/>
  <c r="C363" i="13"/>
  <c r="D363" i="13" l="1"/>
  <c r="F363" i="13"/>
  <c r="E363" i="13"/>
  <c r="C364" i="13"/>
  <c r="F364" i="13" l="1"/>
  <c r="E364" i="13"/>
  <c r="D364" i="13"/>
  <c r="C369" i="13"/>
  <c r="D369" i="13" l="1"/>
  <c r="F369" i="13"/>
  <c r="E369" i="13"/>
  <c r="C377" i="13"/>
  <c r="D377" i="13" l="1"/>
  <c r="F377" i="13"/>
  <c r="E377" i="13"/>
  <c r="C378" i="13"/>
  <c r="D378" i="13" l="1"/>
  <c r="F378" i="13"/>
  <c r="E378" i="13"/>
  <c r="C379" i="13"/>
  <c r="D379" i="13" l="1"/>
  <c r="E379" i="13"/>
  <c r="C380" i="13"/>
  <c r="F379" i="13"/>
  <c r="D380" i="13" l="1"/>
  <c r="F380" i="13"/>
  <c r="E380" i="13"/>
  <c r="C381" i="13"/>
  <c r="D381" i="13" l="1"/>
  <c r="F381" i="13"/>
  <c r="E381" i="13"/>
  <c r="C382" i="13"/>
  <c r="D382" i="13" l="1"/>
  <c r="F382" i="13"/>
  <c r="E382" i="13"/>
  <c r="C390" i="13"/>
  <c r="D390" i="13" l="1"/>
  <c r="F390" i="13"/>
  <c r="E390" i="13"/>
  <c r="C391" i="13"/>
  <c r="D391" i="13" l="1"/>
  <c r="F391" i="13"/>
  <c r="E391" i="13"/>
  <c r="C392" i="13"/>
  <c r="D392" i="13" l="1"/>
  <c r="F392" i="13"/>
  <c r="E392" i="13"/>
  <c r="C393" i="13"/>
  <c r="D393" i="13" l="1"/>
  <c r="F393" i="13"/>
  <c r="E393" i="13"/>
  <c r="C394" i="13"/>
  <c r="D394" i="13" l="1"/>
  <c r="F394" i="13"/>
  <c r="E394" i="13"/>
  <c r="C399" i="13"/>
  <c r="D399" i="13" l="1"/>
  <c r="E399" i="13"/>
  <c r="F399" i="13"/>
  <c r="C401" i="13"/>
  <c r="D401" i="13" l="1"/>
  <c r="F401" i="13"/>
  <c r="C402" i="13"/>
  <c r="E401" i="13"/>
  <c r="D402" i="13" l="1"/>
  <c r="C403" i="13"/>
  <c r="F402" i="13"/>
  <c r="E402" i="13"/>
  <c r="D403" i="13" l="1"/>
  <c r="F403" i="13"/>
  <c r="C405" i="13"/>
  <c r="E403" i="13"/>
  <c r="D405" i="13" l="1"/>
  <c r="F405" i="13"/>
  <c r="C406" i="13"/>
  <c r="E405" i="13"/>
  <c r="D406" i="13" l="1"/>
  <c r="F406" i="13"/>
  <c r="C409" i="13"/>
  <c r="E406" i="13"/>
  <c r="C411" i="13" l="1"/>
  <c r="C410" i="13"/>
  <c r="F409" i="13"/>
  <c r="D409" i="13"/>
  <c r="E409" i="13"/>
  <c r="F410" i="13" l="1"/>
  <c r="E410" i="13"/>
  <c r="C412" i="13"/>
  <c r="D410" i="13"/>
  <c r="D411" i="13"/>
  <c r="F411" i="13"/>
  <c r="E411" i="13"/>
  <c r="C413" i="13" l="1"/>
  <c r="D412" i="13"/>
  <c r="F412" i="13"/>
  <c r="E412" i="13"/>
  <c r="F413" i="13" l="1"/>
  <c r="E413" i="13"/>
  <c r="C414" i="13"/>
  <c r="D413" i="13"/>
  <c r="D414" i="13" l="1"/>
  <c r="F414" i="13"/>
  <c r="C415" i="13"/>
  <c r="E414" i="13"/>
  <c r="D415" i="13" l="1"/>
  <c r="E415" i="13"/>
  <c r="F415" i="13"/>
  <c r="C417" i="13"/>
  <c r="D417" i="13" l="1"/>
  <c r="F417" i="13"/>
  <c r="C418" i="13"/>
  <c r="E417" i="13"/>
  <c r="D418" i="13" l="1"/>
  <c r="F418" i="13"/>
  <c r="C420" i="13"/>
  <c r="E418" i="13"/>
  <c r="D420" i="13" l="1"/>
  <c r="F420" i="13"/>
  <c r="E420" i="13"/>
  <c r="C423" i="13"/>
  <c r="D423" i="13" l="1"/>
  <c r="F423" i="13"/>
  <c r="E423" i="13"/>
  <c r="C424" i="13"/>
  <c r="D424" i="13" l="1"/>
  <c r="F424" i="13"/>
  <c r="E424" i="13"/>
  <c r="C425" i="13"/>
  <c r="D425" i="13" l="1"/>
  <c r="F425" i="13"/>
  <c r="E425" i="13"/>
  <c r="C426" i="13"/>
  <c r="D426" i="13" l="1"/>
  <c r="F426" i="13"/>
  <c r="E426" i="13"/>
  <c r="C427" i="13"/>
  <c r="D427" i="13" l="1"/>
  <c r="F427" i="13"/>
  <c r="E427" i="13"/>
  <c r="C428" i="13"/>
  <c r="D428" i="13" l="1"/>
  <c r="F428" i="13"/>
  <c r="E428" i="13"/>
  <c r="C433" i="13"/>
  <c r="D433" i="13" l="1"/>
  <c r="F433" i="13"/>
  <c r="E433" i="13"/>
  <c r="C434" i="13"/>
  <c r="D434" i="13" l="1"/>
  <c r="F434" i="13"/>
  <c r="E434" i="13"/>
  <c r="C437" i="13"/>
  <c r="D437" i="13" l="1"/>
  <c r="E437" i="13"/>
  <c r="C438" i="13"/>
  <c r="F437" i="13"/>
  <c r="E438" i="13" l="1"/>
  <c r="C441" i="13"/>
  <c r="F438" i="13"/>
  <c r="D438" i="13"/>
  <c r="F441" i="13" l="1"/>
  <c r="C442" i="13"/>
  <c r="D441" i="13"/>
  <c r="E441" i="13"/>
  <c r="C443" i="13" l="1"/>
  <c r="F442" i="13"/>
  <c r="E442" i="13"/>
  <c r="D442" i="13"/>
  <c r="F443" i="13" l="1"/>
  <c r="C445" i="13"/>
  <c r="D443" i="13"/>
  <c r="E443" i="13"/>
  <c r="E445" i="13" l="1"/>
  <c r="F445" i="13"/>
  <c r="D445" i="13"/>
  <c r="C449" i="13"/>
  <c r="F449" i="13" l="1"/>
  <c r="E449" i="13"/>
  <c r="D449" i="13"/>
  <c r="C450" i="13"/>
  <c r="F450" i="13" l="1"/>
  <c r="C451" i="13"/>
  <c r="D450" i="13"/>
  <c r="E450" i="13"/>
  <c r="F451" i="13" l="1"/>
  <c r="D451" i="13"/>
  <c r="C452" i="13"/>
  <c r="E451" i="13"/>
  <c r="C453" i="13" l="1"/>
  <c r="F452" i="13"/>
  <c r="D452" i="13"/>
  <c r="E452" i="13"/>
  <c r="E453" i="13" l="1"/>
  <c r="D453" i="13"/>
  <c r="F453" i="13"/>
  <c r="C454" i="13"/>
  <c r="F454" i="13" l="1"/>
  <c r="C455" i="13"/>
  <c r="D454" i="13"/>
  <c r="E454" i="13"/>
  <c r="F455" i="13" l="1"/>
  <c r="D455" i="13"/>
  <c r="E455" i="13"/>
  <c r="C456" i="13"/>
  <c r="C457" i="13" l="1"/>
  <c r="D456" i="13"/>
  <c r="F456" i="13"/>
  <c r="E456" i="13"/>
  <c r="C458" i="13" l="1"/>
  <c r="D457" i="13"/>
  <c r="F457" i="13"/>
  <c r="E457" i="13"/>
  <c r="C459" i="13"/>
  <c r="D459" i="13" l="1"/>
  <c r="C464" i="13"/>
  <c r="C463" i="13"/>
  <c r="F459" i="13"/>
  <c r="E459" i="13"/>
  <c r="D458" i="13"/>
  <c r="C460" i="13"/>
  <c r="E458" i="13"/>
  <c r="C462" i="13"/>
  <c r="C461" i="13"/>
  <c r="F458" i="13"/>
  <c r="C465" i="13" l="1"/>
  <c r="D460" i="13"/>
  <c r="E460" i="13"/>
  <c r="F460" i="13"/>
  <c r="F463" i="13"/>
  <c r="E463" i="13"/>
  <c r="D463" i="13"/>
  <c r="D461" i="13"/>
  <c r="F461" i="13"/>
  <c r="E461" i="13"/>
  <c r="D464" i="13"/>
  <c r="F464" i="13"/>
  <c r="E464" i="13"/>
  <c r="F462" i="13"/>
  <c r="E462" i="13"/>
  <c r="D462" i="13"/>
  <c r="C466" i="13"/>
  <c r="C468" i="13"/>
  <c r="C467" i="13"/>
  <c r="D467" i="13" l="1"/>
  <c r="F467" i="13"/>
  <c r="E467" i="13"/>
  <c r="D468" i="13"/>
  <c r="E468" i="13"/>
  <c r="F468" i="13"/>
  <c r="E466" i="13"/>
  <c r="F466" i="13"/>
  <c r="D466" i="13"/>
  <c r="C469" i="13"/>
  <c r="D465" i="13"/>
  <c r="F465" i="13"/>
  <c r="E465" i="13"/>
  <c r="E469" i="13" l="1"/>
  <c r="F469" i="13"/>
  <c r="C470" i="13"/>
  <c r="D469" i="13"/>
  <c r="D470" i="13" l="1"/>
  <c r="E470" i="13"/>
  <c r="F470" i="13"/>
  <c r="C471" i="13"/>
  <c r="F471" i="13" l="1"/>
  <c r="C472" i="13"/>
  <c r="D471" i="13"/>
  <c r="E471" i="13"/>
  <c r="D472" i="13" l="1"/>
  <c r="E472" i="13"/>
  <c r="F472" i="13"/>
  <c r="C473" i="13"/>
  <c r="C475" i="13" l="1"/>
  <c r="C474" i="13"/>
  <c r="C477" i="13"/>
  <c r="F473" i="13"/>
  <c r="D473" i="13"/>
  <c r="E473" i="13"/>
  <c r="C476" i="13"/>
  <c r="F476" i="13" l="1"/>
  <c r="E476" i="13"/>
  <c r="D476" i="13"/>
  <c r="C478" i="13"/>
  <c r="F474" i="13"/>
  <c r="D474" i="13"/>
  <c r="E474" i="13"/>
  <c r="D477" i="13"/>
  <c r="C480" i="13"/>
  <c r="C479" i="13"/>
  <c r="F477" i="13"/>
  <c r="E477" i="13"/>
  <c r="E475" i="13"/>
  <c r="D475" i="13"/>
  <c r="F475" i="13"/>
  <c r="D478" i="13" l="1"/>
  <c r="F478" i="13"/>
  <c r="C481" i="13"/>
  <c r="E478" i="13"/>
  <c r="D479" i="13"/>
  <c r="F479" i="13"/>
  <c r="E479" i="13"/>
  <c r="E480" i="13"/>
  <c r="F480" i="13"/>
  <c r="D480" i="13"/>
  <c r="E481" i="13" l="1"/>
  <c r="C482" i="13"/>
  <c r="D481" i="13"/>
  <c r="F481" i="13"/>
  <c r="C484" i="13" l="1"/>
  <c r="C486" i="13"/>
  <c r="C485" i="13"/>
  <c r="C483" i="13"/>
  <c r="F482" i="13"/>
  <c r="E482" i="13"/>
  <c r="D482" i="13"/>
  <c r="F486" i="13" l="1"/>
  <c r="E486" i="13"/>
  <c r="D486" i="13"/>
  <c r="E483" i="13"/>
  <c r="C487" i="13"/>
  <c r="F483" i="13"/>
  <c r="D483" i="13"/>
  <c r="C488" i="13"/>
  <c r="F485" i="13"/>
  <c r="D485" i="13"/>
  <c r="E485" i="13"/>
  <c r="F484" i="13"/>
  <c r="E484" i="13"/>
  <c r="D484" i="13"/>
  <c r="F488" i="13" l="1"/>
  <c r="E488" i="13"/>
  <c r="D488" i="13"/>
  <c r="F487" i="13"/>
  <c r="E487" i="13"/>
  <c r="C489" i="13"/>
  <c r="D487" i="13"/>
  <c r="D489" i="13" l="1"/>
  <c r="C491" i="13"/>
  <c r="C490" i="13"/>
  <c r="F489" i="13"/>
  <c r="C493" i="13"/>
  <c r="C492" i="13"/>
  <c r="E489" i="13"/>
  <c r="F492" i="13" l="1"/>
  <c r="E492" i="13"/>
  <c r="D492" i="13"/>
  <c r="D493" i="13"/>
  <c r="F493" i="13"/>
  <c r="E493" i="13"/>
  <c r="F490" i="13"/>
  <c r="E490" i="13"/>
  <c r="D490" i="13"/>
  <c r="C494" i="13"/>
  <c r="D491" i="13"/>
  <c r="E491" i="13"/>
  <c r="F491" i="13"/>
  <c r="E494" i="13" l="1"/>
  <c r="D494" i="13"/>
  <c r="C495" i="13"/>
  <c r="F494" i="13"/>
  <c r="D495" i="13" l="1"/>
  <c r="F495" i="13"/>
  <c r="E495" i="13"/>
  <c r="C496" i="13"/>
  <c r="C497" i="13" l="1"/>
  <c r="C502" i="13"/>
  <c r="C500" i="13"/>
  <c r="E496" i="13"/>
  <c r="D496" i="13"/>
  <c r="C499" i="13"/>
  <c r="F496" i="13"/>
  <c r="C498" i="13"/>
  <c r="C501" i="13"/>
  <c r="E498" i="13" l="1"/>
  <c r="D498" i="13"/>
  <c r="F498" i="13"/>
  <c r="E499" i="13"/>
  <c r="D499" i="13"/>
  <c r="F499" i="13"/>
  <c r="D500" i="13"/>
  <c r="F500" i="13"/>
  <c r="E500" i="13"/>
  <c r="E502" i="13"/>
  <c r="D502" i="13"/>
  <c r="F502" i="13"/>
  <c r="E501" i="13"/>
  <c r="F501" i="13"/>
  <c r="D501" i="13"/>
  <c r="D497" i="13"/>
  <c r="F497" i="13"/>
  <c r="E497" i="13"/>
  <c r="C503" i="13"/>
  <c r="F503" i="13" l="1"/>
  <c r="E503" i="13"/>
  <c r="C504" i="13"/>
  <c r="D503" i="13"/>
  <c r="E504" i="13" l="1"/>
  <c r="D504" i="13"/>
  <c r="C505" i="13"/>
  <c r="C506" i="13"/>
  <c r="C507" i="13"/>
  <c r="F504" i="13"/>
  <c r="E507" i="13" l="1"/>
  <c r="D507" i="13"/>
  <c r="F507" i="13"/>
  <c r="D506" i="13"/>
  <c r="F506" i="13"/>
  <c r="E506" i="13"/>
  <c r="E505" i="13"/>
  <c r="C508" i="13"/>
  <c r="D505" i="13"/>
  <c r="F505" i="13"/>
  <c r="D508" i="13" l="1"/>
  <c r="F508" i="13"/>
  <c r="C509" i="13"/>
  <c r="E508" i="13"/>
  <c r="E509" i="13" l="1"/>
  <c r="C510" i="13"/>
  <c r="D509" i="13"/>
  <c r="F509" i="13"/>
  <c r="C512" i="13" l="1"/>
  <c r="F510" i="13"/>
  <c r="D510" i="13"/>
  <c r="C511" i="13"/>
  <c r="E510" i="13"/>
  <c r="C513" i="13" l="1"/>
  <c r="D511" i="13"/>
  <c r="E511" i="13"/>
  <c r="F511" i="13"/>
  <c r="D512" i="13"/>
  <c r="E512" i="13"/>
  <c r="F512" i="13"/>
  <c r="D513" i="13" l="1"/>
  <c r="E513" i="13"/>
  <c r="F513" i="13"/>
  <c r="C514" i="13"/>
  <c r="E514" i="13" l="1"/>
  <c r="D514" i="13"/>
  <c r="C515" i="13"/>
  <c r="F514" i="13"/>
  <c r="F515" i="13" l="1"/>
  <c r="E515" i="13"/>
  <c r="D515" i="13"/>
  <c r="C516" i="13"/>
  <c r="F516" i="13" l="1"/>
  <c r="E516" i="13"/>
  <c r="C517" i="13"/>
  <c r="D516" i="13"/>
  <c r="C518" i="13"/>
  <c r="D518" i="13" l="1"/>
  <c r="F518" i="13"/>
  <c r="E518" i="13"/>
  <c r="D517" i="13"/>
  <c r="E517" i="13"/>
  <c r="F517" i="13"/>
  <c r="C519" i="13"/>
  <c r="C523" i="13" l="1"/>
  <c r="C522" i="13"/>
  <c r="F519" i="13"/>
  <c r="E519" i="13"/>
  <c r="D519" i="13"/>
  <c r="C521" i="13"/>
  <c r="C520" i="13"/>
  <c r="D520" i="13" l="1"/>
  <c r="C524" i="13"/>
  <c r="F520" i="13"/>
  <c r="E520" i="13"/>
  <c r="F521" i="13"/>
  <c r="E521" i="13"/>
  <c r="D521" i="13"/>
  <c r="F522" i="13"/>
  <c r="E522" i="13"/>
  <c r="D522" i="13"/>
  <c r="D523" i="13"/>
  <c r="E523" i="13"/>
  <c r="F523" i="13"/>
  <c r="E524" i="13" l="1"/>
  <c r="D524" i="13"/>
  <c r="C525" i="13"/>
  <c r="C528" i="13"/>
  <c r="C527" i="13"/>
  <c r="C526" i="13"/>
  <c r="F524" i="13"/>
  <c r="D526" i="13" l="1"/>
  <c r="F526" i="13"/>
  <c r="E526" i="13"/>
  <c r="D528" i="13"/>
  <c r="F528" i="13"/>
  <c r="E528" i="13"/>
  <c r="D527" i="13"/>
  <c r="F527" i="13"/>
  <c r="E527" i="13"/>
  <c r="C529" i="13"/>
  <c r="D525" i="13"/>
  <c r="F525" i="13"/>
  <c r="E525" i="13"/>
  <c r="C530" i="13" l="1"/>
  <c r="D529" i="13"/>
  <c r="F529" i="13"/>
  <c r="E529" i="13"/>
  <c r="D530" i="13" l="1"/>
  <c r="E530" i="13"/>
  <c r="C531" i="13"/>
  <c r="F530" i="13"/>
  <c r="C534" i="13" l="1"/>
  <c r="C533" i="13"/>
  <c r="F531" i="13"/>
  <c r="D531" i="13"/>
  <c r="C532" i="13"/>
  <c r="E531" i="13"/>
  <c r="D532" i="13" l="1"/>
  <c r="F532" i="13"/>
  <c r="E532" i="13"/>
  <c r="C535" i="13"/>
  <c r="F533" i="13"/>
  <c r="E533" i="13"/>
  <c r="D533" i="13"/>
  <c r="D534" i="13"/>
  <c r="F534" i="13"/>
  <c r="E534" i="13"/>
  <c r="C536" i="13" l="1"/>
  <c r="D535" i="13"/>
  <c r="E535" i="13"/>
  <c r="F535" i="13"/>
  <c r="F536" i="13" l="1"/>
  <c r="E536" i="13"/>
  <c r="C537" i="13"/>
  <c r="D536" i="13"/>
  <c r="C538" i="13" l="1"/>
  <c r="D537" i="13"/>
  <c r="F537" i="13"/>
  <c r="E537" i="13"/>
  <c r="E538" i="13" l="1"/>
  <c r="F538" i="13"/>
  <c r="D538" i="13"/>
  <c r="C539" i="13"/>
  <c r="E539" i="13" l="1"/>
  <c r="F539" i="13"/>
  <c r="C540" i="13"/>
  <c r="D539" i="13"/>
  <c r="F540" i="13" l="1"/>
  <c r="C541" i="13"/>
  <c r="D540" i="13"/>
  <c r="E540" i="13"/>
  <c r="F541" i="13" l="1"/>
  <c r="D541" i="13"/>
  <c r="E541" i="13"/>
  <c r="C542" i="13"/>
  <c r="F542" i="13" l="1"/>
  <c r="C543" i="13"/>
  <c r="E542" i="13"/>
  <c r="D542" i="13"/>
  <c r="F543" i="13" l="1"/>
  <c r="E543" i="13"/>
  <c r="D543" i="13"/>
  <c r="C544" i="13"/>
  <c r="C545" i="13" l="1"/>
  <c r="D544" i="13"/>
  <c r="F544" i="13"/>
  <c r="E544" i="13"/>
  <c r="F545" i="13" l="1"/>
  <c r="E545" i="13"/>
  <c r="C546" i="13"/>
  <c r="D545" i="13"/>
  <c r="E546" i="13" l="1"/>
  <c r="F546" i="13"/>
  <c r="C547" i="13"/>
  <c r="D546" i="13"/>
  <c r="C548" i="13" l="1"/>
  <c r="F547" i="13"/>
  <c r="D547" i="13"/>
  <c r="E547" i="13"/>
  <c r="C551" i="13" l="1"/>
  <c r="F548" i="13"/>
  <c r="E548" i="13"/>
  <c r="D548" i="13"/>
  <c r="C550" i="13"/>
  <c r="C549" i="13"/>
  <c r="E549" i="13" l="1"/>
  <c r="C552" i="13"/>
  <c r="F549" i="13"/>
  <c r="D549" i="13"/>
  <c r="D550" i="13"/>
  <c r="E550" i="13"/>
  <c r="F550" i="13"/>
  <c r="F551" i="13"/>
  <c r="E551" i="13"/>
  <c r="D551" i="13"/>
  <c r="C553" i="13" l="1"/>
  <c r="D552" i="13"/>
  <c r="F552" i="13"/>
  <c r="E552" i="13"/>
  <c r="F553" i="13" l="1"/>
  <c r="C554" i="13"/>
  <c r="D553" i="13"/>
  <c r="E553" i="13"/>
  <c r="F554" i="13" l="1"/>
  <c r="C555" i="13"/>
  <c r="D554" i="13"/>
  <c r="E554" i="13"/>
  <c r="F555" i="13" l="1"/>
  <c r="E555" i="13"/>
  <c r="D555" i="13"/>
  <c r="C556" i="13"/>
  <c r="F556" i="13" l="1"/>
  <c r="C557" i="13"/>
  <c r="D556" i="13"/>
  <c r="E556" i="13"/>
  <c r="C558" i="13" l="1"/>
  <c r="D557" i="13"/>
  <c r="C559" i="13"/>
  <c r="F557" i="13"/>
  <c r="E557" i="13"/>
  <c r="E559" i="13" l="1"/>
  <c r="D559" i="13"/>
  <c r="F559" i="13"/>
  <c r="E558" i="13"/>
  <c r="C560" i="13"/>
  <c r="D558" i="13"/>
  <c r="F558" i="13"/>
  <c r="D560" i="13" l="1"/>
  <c r="F560" i="13"/>
  <c r="C561" i="13"/>
  <c r="E560" i="13"/>
  <c r="E561" i="13" l="1"/>
  <c r="C562" i="13"/>
  <c r="D561" i="13"/>
  <c r="F561" i="13"/>
  <c r="F562" i="13" l="1"/>
  <c r="C563" i="13"/>
  <c r="D562" i="13"/>
  <c r="E562" i="13"/>
  <c r="C566" i="13" l="1"/>
  <c r="C565" i="13"/>
  <c r="F563" i="13"/>
  <c r="D563" i="13"/>
  <c r="C564" i="13"/>
  <c r="E563" i="13"/>
  <c r="D564" i="13" l="1"/>
  <c r="E564" i="13"/>
  <c r="C567" i="13"/>
  <c r="F564" i="13"/>
  <c r="D565" i="13"/>
  <c r="E565" i="13"/>
  <c r="F565" i="13"/>
  <c r="D566" i="13"/>
  <c r="F566" i="13"/>
  <c r="E566" i="13"/>
  <c r="C568" i="13" l="1"/>
  <c r="D567" i="13"/>
  <c r="E567" i="13"/>
  <c r="F567" i="13"/>
  <c r="F568" i="13" l="1"/>
  <c r="E568" i="13"/>
  <c r="C569" i="13"/>
  <c r="D568" i="13"/>
  <c r="F569" i="13" l="1"/>
  <c r="D569" i="13"/>
  <c r="E569" i="13"/>
  <c r="C570" i="13"/>
  <c r="C572" i="13" l="1"/>
  <c r="C574" i="13"/>
  <c r="F570" i="13"/>
  <c r="D570" i="13"/>
  <c r="C571" i="13"/>
  <c r="E570" i="13"/>
  <c r="C573" i="13"/>
  <c r="F571" i="13" l="1"/>
  <c r="C575" i="13"/>
  <c r="E571" i="13"/>
  <c r="D571" i="13"/>
  <c r="F573" i="13"/>
  <c r="E573" i="13"/>
  <c r="D573" i="13"/>
  <c r="D574" i="13"/>
  <c r="C577" i="13"/>
  <c r="C576" i="13"/>
  <c r="F574" i="13"/>
  <c r="E574" i="13"/>
  <c r="F572" i="13"/>
  <c r="D572" i="13"/>
  <c r="E572" i="13"/>
  <c r="D576" i="13" l="1"/>
  <c r="F576" i="13"/>
  <c r="E576" i="13"/>
  <c r="C578" i="13"/>
  <c r="F575" i="13"/>
  <c r="E575" i="13"/>
  <c r="D575" i="13"/>
  <c r="E577" i="13"/>
  <c r="C580" i="13"/>
  <c r="F577" i="13"/>
  <c r="D577" i="13"/>
  <c r="C579" i="13"/>
  <c r="F579" i="13" l="1"/>
  <c r="E579" i="13"/>
  <c r="D579" i="13"/>
  <c r="F578" i="13"/>
  <c r="E578" i="13"/>
  <c r="D578" i="13"/>
  <c r="C581" i="13"/>
  <c r="D580" i="13"/>
  <c r="F580" i="13"/>
  <c r="C582" i="13"/>
  <c r="E580" i="13"/>
  <c r="C583" i="13"/>
  <c r="C585" i="13"/>
  <c r="C584" i="13"/>
  <c r="E581" i="13" l="1"/>
  <c r="C586" i="13"/>
  <c r="F581" i="13"/>
  <c r="D581" i="13"/>
  <c r="D584" i="13"/>
  <c r="F584" i="13"/>
  <c r="E584" i="13"/>
  <c r="F585" i="13"/>
  <c r="E585" i="13"/>
  <c r="D585" i="13"/>
  <c r="D583" i="13"/>
  <c r="F583" i="13"/>
  <c r="E583" i="13"/>
  <c r="D582" i="13"/>
  <c r="F582" i="13"/>
  <c r="E582" i="13"/>
  <c r="D586" i="13" l="1"/>
  <c r="C587" i="13"/>
  <c r="C588" i="13"/>
  <c r="F586" i="13"/>
  <c r="E586" i="13"/>
  <c r="F588" i="13" l="1"/>
  <c r="C591" i="13"/>
  <c r="C590" i="13"/>
  <c r="E588" i="13"/>
  <c r="D588" i="13"/>
  <c r="C592" i="13"/>
  <c r="C589" i="13"/>
  <c r="D587" i="13"/>
  <c r="E587" i="13"/>
  <c r="F587" i="13"/>
  <c r="F590" i="13" l="1"/>
  <c r="D590" i="13"/>
  <c r="E590" i="13"/>
  <c r="C593" i="13"/>
  <c r="D589" i="13"/>
  <c r="E589" i="13"/>
  <c r="F589" i="13"/>
  <c r="F592" i="13"/>
  <c r="C595" i="13"/>
  <c r="E592" i="13"/>
  <c r="C594" i="13"/>
  <c r="C596" i="13"/>
  <c r="D592" i="13"/>
  <c r="D591" i="13"/>
  <c r="F591" i="13"/>
  <c r="E591" i="13"/>
  <c r="E596" i="13" l="1"/>
  <c r="F596" i="13"/>
  <c r="D596" i="13"/>
  <c r="D593" i="13"/>
  <c r="C597" i="13"/>
  <c r="E593" i="13"/>
  <c r="F593" i="13"/>
  <c r="F594" i="13"/>
  <c r="D594" i="13"/>
  <c r="E594" i="13"/>
  <c r="E595" i="13"/>
  <c r="D595" i="13"/>
  <c r="F595" i="13"/>
  <c r="F597" i="13" l="1"/>
  <c r="E597" i="13"/>
  <c r="C598" i="13"/>
  <c r="D597" i="13"/>
  <c r="D598" i="13" l="1"/>
  <c r="F598" i="13"/>
  <c r="E598" i="13"/>
  <c r="C599" i="13"/>
  <c r="C602" i="13" l="1"/>
  <c r="E599" i="13"/>
  <c r="D599" i="13"/>
  <c r="F599" i="13"/>
  <c r="C601" i="13"/>
  <c r="C600" i="13"/>
  <c r="F600" i="13" l="1"/>
  <c r="E600" i="13"/>
  <c r="C603" i="13"/>
  <c r="D600" i="13"/>
  <c r="D601" i="13"/>
  <c r="E601" i="13"/>
  <c r="F601" i="13"/>
  <c r="F602" i="13"/>
  <c r="E602" i="13"/>
  <c r="D602" i="13"/>
  <c r="C604" i="13" l="1"/>
  <c r="D603" i="13"/>
  <c r="E603" i="13"/>
  <c r="F603" i="13"/>
  <c r="E604" i="13" l="1"/>
  <c r="C605" i="13"/>
  <c r="F604" i="13"/>
  <c r="D604" i="13"/>
  <c r="C607" i="13" l="1"/>
  <c r="C606" i="13"/>
  <c r="F605" i="13"/>
  <c r="D605" i="13"/>
  <c r="E605" i="13"/>
  <c r="C608" i="13"/>
  <c r="C609" i="13" l="1"/>
  <c r="F606" i="13"/>
  <c r="D606" i="13"/>
  <c r="E606" i="13"/>
  <c r="D608" i="13"/>
  <c r="E608" i="13"/>
  <c r="F608" i="13"/>
  <c r="F607" i="13"/>
  <c r="C610" i="13"/>
  <c r="D607" i="13"/>
  <c r="E607" i="13"/>
  <c r="F610" i="13" l="1"/>
  <c r="C612" i="13"/>
  <c r="E610" i="13"/>
  <c r="D610" i="13"/>
  <c r="C611" i="13"/>
  <c r="D609" i="13"/>
  <c r="F609" i="13"/>
  <c r="E609" i="13"/>
  <c r="D611" i="13" l="1"/>
  <c r="F611" i="13"/>
  <c r="E611" i="13"/>
  <c r="C613" i="13"/>
  <c r="D612" i="13"/>
  <c r="C616" i="13"/>
  <c r="C614" i="13"/>
  <c r="C615" i="13"/>
  <c r="F612" i="13"/>
  <c r="E612" i="13"/>
  <c r="E615" i="13" l="1"/>
  <c r="D615" i="13"/>
  <c r="F615" i="13"/>
  <c r="F614" i="13"/>
  <c r="E614" i="13"/>
  <c r="D614" i="13"/>
  <c r="D616" i="13"/>
  <c r="F616" i="13"/>
  <c r="E616" i="13"/>
  <c r="F613" i="13"/>
  <c r="E613" i="13"/>
  <c r="C617" i="13"/>
  <c r="D613" i="13"/>
  <c r="F617" i="13" l="1"/>
  <c r="E617" i="13"/>
  <c r="C618" i="13"/>
  <c r="D617" i="13"/>
  <c r="C621" i="13" l="1"/>
  <c r="C620" i="13"/>
  <c r="C619" i="13"/>
  <c r="C622" i="13"/>
  <c r="F618" i="13"/>
  <c r="D618" i="13"/>
  <c r="E618" i="13"/>
  <c r="D622" i="13" l="1"/>
  <c r="E622" i="13"/>
  <c r="F622" i="13"/>
  <c r="F619" i="13"/>
  <c r="E619" i="13"/>
  <c r="C623" i="13"/>
  <c r="D619" i="13"/>
  <c r="E620" i="13"/>
  <c r="D620" i="13"/>
  <c r="F620" i="13"/>
  <c r="F621" i="13"/>
  <c r="E621" i="13"/>
  <c r="D621" i="13"/>
  <c r="E623" i="13" l="1"/>
  <c r="D623" i="13"/>
  <c r="C624" i="13"/>
  <c r="F623" i="13"/>
  <c r="D624" i="13" l="1"/>
  <c r="F624" i="13"/>
  <c r="E624" i="13"/>
  <c r="C625" i="13"/>
  <c r="F625" i="13" l="1"/>
  <c r="C626" i="13"/>
  <c r="D625" i="13"/>
  <c r="E625" i="13"/>
  <c r="C627" i="13" l="1"/>
  <c r="E626" i="13"/>
  <c r="D626" i="13"/>
  <c r="F626" i="13"/>
  <c r="C628" i="13"/>
  <c r="D628" i="13" l="1"/>
  <c r="E628" i="13"/>
  <c r="F628" i="13"/>
  <c r="C629" i="13"/>
  <c r="D627" i="13"/>
  <c r="F627" i="13"/>
  <c r="E627" i="13"/>
  <c r="D629" i="13" l="1"/>
  <c r="F629" i="13"/>
  <c r="E629" i="13"/>
  <c r="C630" i="13"/>
  <c r="E630" i="13" l="1"/>
  <c r="D630" i="13"/>
  <c r="C633" i="13"/>
  <c r="C632" i="13"/>
  <c r="C634" i="13"/>
  <c r="C631" i="13"/>
  <c r="F630" i="13"/>
  <c r="D634" i="13" l="1"/>
  <c r="C636" i="13"/>
  <c r="C638" i="13"/>
  <c r="F634" i="13"/>
  <c r="C637" i="13"/>
  <c r="E634" i="13"/>
  <c r="E632" i="13"/>
  <c r="D632" i="13"/>
  <c r="F632" i="13"/>
  <c r="F633" i="13"/>
  <c r="E633" i="13"/>
  <c r="D633" i="13"/>
  <c r="F631" i="13"/>
  <c r="E631" i="13"/>
  <c r="D631" i="13"/>
  <c r="C635" i="13"/>
  <c r="E635" i="13" l="1"/>
  <c r="C639" i="13"/>
  <c r="D635" i="13"/>
  <c r="F635" i="13"/>
  <c r="E637" i="13"/>
  <c r="F637" i="13"/>
  <c r="D637" i="13"/>
  <c r="F638" i="13"/>
  <c r="E638" i="13"/>
  <c r="D638" i="13"/>
  <c r="D636" i="13"/>
  <c r="F636" i="13"/>
  <c r="E636" i="13"/>
  <c r="F639" i="13" l="1"/>
  <c r="E639" i="13"/>
  <c r="C640" i="13"/>
  <c r="D639" i="13"/>
  <c r="D640" i="13" l="1"/>
  <c r="F640" i="13"/>
  <c r="E640" i="13"/>
  <c r="C641" i="13"/>
  <c r="F641" i="13" l="1"/>
  <c r="E641" i="13"/>
  <c r="D641" i="13"/>
  <c r="C642" i="13"/>
  <c r="C643" i="13" l="1"/>
  <c r="C645" i="13"/>
  <c r="F642" i="13"/>
  <c r="D642" i="13"/>
  <c r="C644" i="13"/>
  <c r="E642" i="13"/>
  <c r="F645" i="13" l="1"/>
  <c r="E645" i="13"/>
  <c r="D645" i="13"/>
  <c r="F644" i="13"/>
  <c r="E644" i="13"/>
  <c r="D644" i="13"/>
  <c r="F643" i="13"/>
  <c r="E643" i="13"/>
  <c r="C646" i="13"/>
  <c r="D643" i="13"/>
  <c r="D646" i="13" l="1"/>
  <c r="C648" i="13"/>
  <c r="F646" i="13"/>
  <c r="C647" i="13"/>
  <c r="E646" i="13"/>
  <c r="C650" i="13" l="1"/>
  <c r="C651" i="13"/>
  <c r="F648" i="13"/>
  <c r="E648" i="13"/>
  <c r="D648" i="13"/>
  <c r="C649" i="13"/>
  <c r="D647" i="13"/>
  <c r="F647" i="13"/>
  <c r="E647" i="13"/>
  <c r="C652" i="13" l="1"/>
  <c r="E649" i="13"/>
  <c r="F649" i="13"/>
  <c r="D649" i="13"/>
  <c r="E651" i="13"/>
  <c r="F651" i="13"/>
  <c r="D651" i="13"/>
  <c r="F650" i="13"/>
  <c r="E650" i="13"/>
  <c r="D650" i="13"/>
  <c r="F652" i="13" l="1"/>
  <c r="E652" i="13"/>
  <c r="C653" i="13"/>
  <c r="D652" i="13"/>
  <c r="F653" i="13" l="1"/>
  <c r="E653" i="13"/>
  <c r="C654" i="13"/>
  <c r="D653" i="13"/>
  <c r="F654" i="13" l="1"/>
  <c r="C655" i="13"/>
  <c r="E654" i="13"/>
  <c r="D654" i="13"/>
  <c r="D655" i="13" l="1"/>
  <c r="F655" i="13"/>
  <c r="C656" i="13"/>
  <c r="E655" i="13"/>
  <c r="C657" i="13"/>
  <c r="D657" i="13" l="1"/>
  <c r="F657" i="13"/>
  <c r="E657" i="13"/>
  <c r="C658" i="13"/>
  <c r="D656" i="13"/>
  <c r="E656" i="13"/>
  <c r="F656" i="13"/>
  <c r="C660" i="13" l="1"/>
  <c r="F658" i="13"/>
  <c r="E658" i="13"/>
  <c r="D658" i="13"/>
  <c r="C659" i="13"/>
  <c r="C661" i="13" l="1"/>
  <c r="D659" i="13"/>
  <c r="F659" i="13"/>
  <c r="E659" i="13"/>
  <c r="F660" i="13"/>
  <c r="D660" i="13"/>
  <c r="E660" i="13"/>
  <c r="F661" i="13" l="1"/>
  <c r="D661" i="13"/>
  <c r="E661" i="13"/>
  <c r="C662" i="13"/>
  <c r="F662" i="13" l="1"/>
  <c r="D662" i="13"/>
  <c r="C663" i="13"/>
  <c r="E662" i="13"/>
  <c r="D663" i="13" l="1"/>
  <c r="E663" i="13"/>
  <c r="F663" i="13"/>
  <c r="C664" i="13"/>
  <c r="C665" i="13" l="1"/>
  <c r="E664" i="13"/>
  <c r="D664" i="13"/>
  <c r="F664" i="13"/>
  <c r="C667" i="13" l="1"/>
  <c r="E665" i="13"/>
  <c r="F665" i="13"/>
  <c r="D665" i="13"/>
  <c r="C666" i="13"/>
  <c r="D666" i="13" l="1"/>
  <c r="F666" i="13"/>
  <c r="C668" i="13"/>
  <c r="E666" i="13"/>
  <c r="D667" i="13"/>
  <c r="E667" i="13"/>
  <c r="F667" i="13"/>
  <c r="C672" i="13" l="1"/>
  <c r="C671" i="13"/>
  <c r="C669" i="13"/>
  <c r="E668" i="13"/>
  <c r="D668" i="13"/>
  <c r="F668" i="13"/>
  <c r="C670" i="13"/>
  <c r="D670" i="13" l="1"/>
  <c r="F670" i="13"/>
  <c r="E670" i="13"/>
  <c r="D671" i="13"/>
  <c r="E671" i="13"/>
  <c r="F671" i="13"/>
  <c r="C673" i="13"/>
  <c r="D669" i="13"/>
  <c r="F669" i="13"/>
  <c r="E669" i="13"/>
  <c r="E672" i="13"/>
  <c r="F672" i="13"/>
  <c r="D672" i="13"/>
  <c r="D673" i="13" l="1"/>
  <c r="E673" i="13"/>
  <c r="F673" i="13"/>
  <c r="C674" i="13"/>
  <c r="C677" i="13" l="1"/>
  <c r="C675" i="13"/>
  <c r="D674" i="13"/>
  <c r="E674" i="13"/>
  <c r="F674" i="13"/>
  <c r="C676" i="13"/>
  <c r="F676" i="13" l="1"/>
  <c r="D676" i="13"/>
  <c r="E676" i="13"/>
  <c r="E675" i="13"/>
  <c r="F675" i="13"/>
  <c r="C678" i="13"/>
  <c r="D675" i="13"/>
  <c r="C683" i="13"/>
  <c r="E677" i="13"/>
  <c r="C679" i="13"/>
  <c r="F677" i="13"/>
  <c r="C681" i="13"/>
  <c r="C682" i="13"/>
  <c r="C680" i="13"/>
  <c r="D677" i="13"/>
  <c r="F681" i="13" l="1"/>
  <c r="E681" i="13"/>
  <c r="D681" i="13"/>
  <c r="D683" i="13"/>
  <c r="E683" i="13"/>
  <c r="F683" i="13"/>
  <c r="F680" i="13"/>
  <c r="E680" i="13"/>
  <c r="D680" i="13"/>
  <c r="E678" i="13"/>
  <c r="F678" i="13"/>
  <c r="D678" i="13"/>
  <c r="C684" i="13"/>
  <c r="F682" i="13"/>
  <c r="D682" i="13"/>
  <c r="E682" i="13"/>
  <c r="F679" i="13"/>
  <c r="E679" i="13"/>
  <c r="D679" i="13"/>
  <c r="C686" i="13" l="1"/>
  <c r="C685" i="13"/>
  <c r="C687" i="13"/>
  <c r="D684" i="13"/>
  <c r="E684" i="13"/>
  <c r="F684" i="13"/>
  <c r="C688" i="13"/>
  <c r="C689" i="13"/>
  <c r="D689" i="13" l="1"/>
  <c r="E689" i="13"/>
  <c r="F689" i="13"/>
  <c r="F688" i="13"/>
  <c r="E688" i="13"/>
  <c r="D688" i="13"/>
  <c r="F687" i="13"/>
  <c r="E687" i="13"/>
  <c r="D687" i="13"/>
  <c r="D685" i="13"/>
  <c r="E685" i="13"/>
  <c r="C690" i="13"/>
  <c r="F685" i="13"/>
  <c r="E686" i="13"/>
  <c r="F686" i="13"/>
  <c r="D686" i="13"/>
  <c r="C691" i="13" l="1"/>
  <c r="E690" i="13"/>
  <c r="F690" i="13"/>
  <c r="D690" i="13"/>
  <c r="C692" i="13" l="1"/>
  <c r="D691" i="13"/>
  <c r="E691" i="13"/>
  <c r="F691" i="13"/>
  <c r="C693" i="13" l="1"/>
  <c r="D692" i="13"/>
  <c r="E692" i="13"/>
  <c r="F692" i="13"/>
  <c r="C694" i="13" l="1"/>
  <c r="D693" i="13"/>
  <c r="F693" i="13"/>
  <c r="E693" i="13"/>
  <c r="C695" i="13"/>
  <c r="C697" i="13"/>
  <c r="C698" i="13"/>
  <c r="C696" i="13"/>
  <c r="F697" i="13" l="1"/>
  <c r="E697" i="13"/>
  <c r="D697" i="13"/>
  <c r="F696" i="13"/>
  <c r="E696" i="13"/>
  <c r="D696" i="13"/>
  <c r="D695" i="13"/>
  <c r="F695" i="13"/>
  <c r="E695" i="13"/>
  <c r="F698" i="13"/>
  <c r="D698" i="13"/>
  <c r="E698" i="13"/>
  <c r="D694" i="13"/>
  <c r="F694" i="13"/>
  <c r="C699" i="13"/>
  <c r="E694" i="13"/>
  <c r="C700" i="13" l="1"/>
  <c r="D699" i="13"/>
  <c r="E699" i="13"/>
  <c r="F699" i="13"/>
  <c r="C701" i="13" l="1"/>
  <c r="D700" i="13"/>
  <c r="E700" i="13"/>
  <c r="F700" i="13"/>
  <c r="C702" i="13" l="1"/>
  <c r="D701" i="13"/>
  <c r="F701" i="13"/>
  <c r="E701" i="13"/>
  <c r="C703" i="13" l="1"/>
  <c r="E702" i="13"/>
  <c r="F702" i="13"/>
  <c r="D702" i="13"/>
  <c r="C704" i="13" l="1"/>
  <c r="D703" i="13"/>
  <c r="F703" i="13"/>
  <c r="E703" i="13"/>
  <c r="C705" i="13" l="1"/>
  <c r="D704" i="13"/>
  <c r="E704" i="13"/>
  <c r="F704" i="13"/>
  <c r="C706" i="13" l="1"/>
  <c r="D705" i="13"/>
  <c r="E705" i="13"/>
  <c r="F705" i="13"/>
  <c r="C707" i="13" l="1"/>
  <c r="E706" i="13"/>
  <c r="D706" i="13"/>
  <c r="F706" i="13"/>
  <c r="C708" i="13" l="1"/>
  <c r="D707" i="13"/>
  <c r="F707" i="13"/>
  <c r="E707" i="13"/>
  <c r="C709" i="13" l="1"/>
  <c r="D708" i="13"/>
  <c r="F708" i="13"/>
  <c r="E708" i="13"/>
  <c r="C710" i="13" l="1"/>
  <c r="D709" i="13"/>
  <c r="F709" i="13"/>
  <c r="E709" i="13"/>
  <c r="C711" i="13" l="1"/>
  <c r="E710" i="13"/>
  <c r="D710" i="13"/>
  <c r="F710" i="13"/>
  <c r="C712" i="13" l="1"/>
  <c r="D711" i="13"/>
  <c r="F711" i="13"/>
  <c r="E711" i="13"/>
  <c r="C713" i="13" l="1"/>
  <c r="D712" i="13"/>
  <c r="F712" i="13"/>
  <c r="E712" i="13"/>
  <c r="C714" i="13" l="1"/>
  <c r="D713" i="13"/>
  <c r="F713" i="13"/>
  <c r="E713" i="13"/>
  <c r="C715" i="13" l="1"/>
  <c r="E714" i="13"/>
  <c r="F714" i="13"/>
  <c r="D714" i="13"/>
  <c r="C716" i="13" l="1"/>
  <c r="D715" i="13"/>
  <c r="F715" i="13"/>
  <c r="E715" i="13"/>
  <c r="C717" i="13" l="1"/>
  <c r="D716" i="13"/>
  <c r="F716" i="13"/>
  <c r="E716" i="13"/>
  <c r="C718" i="13" l="1"/>
  <c r="D717" i="13"/>
  <c r="E717" i="13"/>
  <c r="F717" i="13"/>
  <c r="C719" i="13" l="1"/>
  <c r="E718" i="13"/>
  <c r="D718" i="13"/>
  <c r="F718" i="13"/>
  <c r="C720" i="13" l="1"/>
  <c r="D719" i="13"/>
  <c r="F719" i="13"/>
  <c r="E719" i="13"/>
  <c r="C721" i="13" l="1"/>
  <c r="D720" i="13"/>
  <c r="F720" i="13"/>
  <c r="E720" i="13"/>
  <c r="C722" i="13" l="1"/>
  <c r="E721" i="13"/>
  <c r="F721" i="13"/>
  <c r="D721" i="13"/>
  <c r="C723" i="13" l="1"/>
  <c r="E722" i="13"/>
  <c r="D722" i="13"/>
  <c r="F722" i="13"/>
  <c r="C724" i="13" l="1"/>
  <c r="D723" i="13"/>
  <c r="F723" i="13"/>
  <c r="E723" i="13"/>
  <c r="C725" i="13" l="1"/>
  <c r="D724" i="13"/>
  <c r="E724" i="13"/>
  <c r="F724" i="13"/>
  <c r="C726" i="13" l="1"/>
  <c r="D725" i="13"/>
  <c r="F725" i="13"/>
  <c r="E725" i="13"/>
  <c r="C727" i="13" l="1"/>
  <c r="E726" i="13"/>
  <c r="F726" i="13"/>
  <c r="D726" i="13"/>
  <c r="C728" i="13" l="1"/>
  <c r="D727" i="13"/>
  <c r="F727" i="13"/>
  <c r="E727" i="13"/>
  <c r="C729" i="13" l="1"/>
  <c r="D728" i="13"/>
  <c r="F728" i="13"/>
  <c r="E728" i="13"/>
  <c r="C730" i="13" l="1"/>
  <c r="D729" i="13"/>
  <c r="F729" i="13"/>
  <c r="E729" i="13"/>
  <c r="C731" i="13" l="1"/>
  <c r="D730" i="13"/>
  <c r="F730" i="13"/>
  <c r="E730" i="13"/>
  <c r="C732" i="13" l="1"/>
  <c r="D731" i="13"/>
  <c r="F731" i="13"/>
  <c r="E731" i="13"/>
  <c r="C733" i="13" l="1"/>
  <c r="D732" i="13"/>
  <c r="F732" i="13"/>
  <c r="E732" i="13"/>
  <c r="C734" i="13" l="1"/>
  <c r="D733" i="13"/>
  <c r="F733" i="13"/>
  <c r="E733" i="13"/>
  <c r="C735" i="13" l="1"/>
  <c r="E734" i="13"/>
  <c r="D734" i="13"/>
  <c r="F734" i="13"/>
  <c r="C736" i="13" l="1"/>
  <c r="D735" i="13"/>
  <c r="E735" i="13"/>
  <c r="F735" i="13"/>
  <c r="C737" i="13" l="1"/>
  <c r="D736" i="13"/>
  <c r="F736" i="13"/>
  <c r="E736" i="13"/>
  <c r="C738" i="13" l="1"/>
  <c r="D737" i="13"/>
  <c r="F737" i="13"/>
  <c r="E737" i="13"/>
  <c r="C739" i="13" l="1"/>
  <c r="E738" i="13"/>
  <c r="F738" i="13"/>
  <c r="D738" i="13"/>
  <c r="C740" i="13" l="1"/>
  <c r="D739" i="13"/>
  <c r="F739" i="13"/>
  <c r="E739" i="13"/>
  <c r="C741" i="13" l="1"/>
  <c r="D740" i="13"/>
  <c r="F740" i="13"/>
  <c r="E740" i="13"/>
  <c r="D741" i="13" l="1"/>
  <c r="C742" i="13"/>
  <c r="E741" i="13"/>
  <c r="F741" i="13"/>
  <c r="C743" i="13" l="1"/>
  <c r="E742" i="13"/>
  <c r="D742" i="13"/>
  <c r="F742" i="13"/>
  <c r="C744" i="13" l="1"/>
  <c r="D743" i="13"/>
  <c r="F743" i="13"/>
  <c r="E743" i="13"/>
  <c r="C745" i="13" l="1"/>
  <c r="D744" i="13"/>
  <c r="E744" i="13"/>
  <c r="F744" i="13"/>
  <c r="F745" i="13" l="1"/>
  <c r="C746" i="13"/>
  <c r="D745" i="13"/>
  <c r="E745" i="13"/>
  <c r="C747" i="13" l="1"/>
  <c r="E746" i="13"/>
  <c r="F746" i="13"/>
  <c r="D746" i="13"/>
  <c r="C748" i="13" l="1"/>
  <c r="D747" i="13"/>
  <c r="F747" i="13"/>
  <c r="E747" i="13"/>
  <c r="E748" i="13" l="1"/>
  <c r="C749" i="13"/>
  <c r="D748" i="13"/>
  <c r="F748" i="13"/>
  <c r="F749" i="13" l="1"/>
  <c r="C750" i="13"/>
  <c r="D749" i="13"/>
  <c r="E749" i="13"/>
  <c r="C751" i="13" l="1"/>
  <c r="E750" i="13"/>
  <c r="F750" i="13"/>
  <c r="D750" i="13"/>
  <c r="C752" i="13" l="1"/>
  <c r="D751" i="13"/>
  <c r="F751" i="13"/>
  <c r="E751" i="13"/>
  <c r="C753" i="13" l="1"/>
  <c r="D752" i="13"/>
  <c r="F752" i="13"/>
  <c r="E752" i="13"/>
  <c r="C754" i="13" l="1"/>
  <c r="D753" i="13"/>
  <c r="E753" i="13"/>
  <c r="F753" i="13"/>
  <c r="C755" i="13" l="1"/>
  <c r="F754" i="13"/>
  <c r="D754" i="13"/>
  <c r="E754" i="13"/>
  <c r="C756" i="13" l="1"/>
  <c r="E755" i="13"/>
  <c r="F755" i="13"/>
  <c r="D755" i="13"/>
  <c r="C757" i="13" l="1"/>
  <c r="D756" i="13"/>
  <c r="F756" i="13"/>
  <c r="E756" i="13"/>
  <c r="C758" i="13" l="1"/>
  <c r="D757" i="13"/>
  <c r="F757" i="13"/>
  <c r="E757" i="13"/>
  <c r="C759" i="13" l="1"/>
  <c r="E758" i="13"/>
  <c r="D758" i="13"/>
  <c r="F758" i="13"/>
  <c r="C760" i="13" l="1"/>
  <c r="D759" i="13"/>
  <c r="F759" i="13"/>
  <c r="E759" i="13"/>
  <c r="C761" i="13" l="1"/>
  <c r="D760" i="13"/>
  <c r="F760" i="13"/>
  <c r="E760" i="13"/>
  <c r="C762" i="13" l="1"/>
  <c r="D761" i="13"/>
  <c r="F761" i="13"/>
  <c r="E761" i="13"/>
  <c r="C763" i="13" l="1"/>
  <c r="E762" i="13"/>
  <c r="F762" i="13"/>
  <c r="D762" i="13"/>
  <c r="C764" i="13" l="1"/>
  <c r="D763" i="13"/>
  <c r="E763" i="13"/>
  <c r="F763" i="13"/>
  <c r="C765" i="13" l="1"/>
  <c r="D764" i="13"/>
  <c r="F764" i="13"/>
  <c r="E764" i="13"/>
  <c r="D765" i="13" l="1"/>
  <c r="C766" i="13"/>
  <c r="E765" i="13"/>
  <c r="F765" i="13"/>
  <c r="C767" i="13" l="1"/>
  <c r="E766" i="13"/>
  <c r="F766" i="13"/>
  <c r="D766" i="13"/>
  <c r="C768" i="13" l="1"/>
  <c r="D767" i="13"/>
  <c r="E767" i="13"/>
  <c r="F767" i="13"/>
  <c r="C769" i="13" l="1"/>
  <c r="D768" i="13"/>
  <c r="F768" i="13"/>
  <c r="E768" i="13"/>
  <c r="E769" i="13" l="1"/>
  <c r="C770" i="13"/>
  <c r="F769" i="13"/>
  <c r="D769" i="13"/>
  <c r="C771" i="13" l="1"/>
  <c r="E770" i="13"/>
  <c r="F770" i="13"/>
  <c r="D770" i="13"/>
  <c r="C772" i="13" l="1"/>
  <c r="D771" i="13"/>
  <c r="E771" i="13"/>
  <c r="F771" i="13"/>
  <c r="C773" i="13" l="1"/>
  <c r="D772" i="13"/>
  <c r="F772" i="13"/>
  <c r="E772" i="13"/>
  <c r="C774" i="13" l="1"/>
  <c r="D773" i="13"/>
  <c r="F773" i="13"/>
  <c r="E773" i="13"/>
  <c r="F774" i="13" l="1"/>
  <c r="C775" i="13"/>
  <c r="E774" i="13"/>
  <c r="D774" i="13"/>
  <c r="E775" i="13" l="1"/>
  <c r="C776" i="13"/>
  <c r="D775" i="13"/>
  <c r="F775" i="13"/>
  <c r="C777" i="13" l="1"/>
  <c r="D776" i="13"/>
  <c r="E776" i="13"/>
  <c r="F776" i="13"/>
  <c r="C778" i="13" l="1"/>
  <c r="D777" i="13"/>
  <c r="F777" i="13"/>
  <c r="E777" i="13"/>
  <c r="C779" i="13" l="1"/>
  <c r="D778" i="13"/>
  <c r="F778" i="13"/>
  <c r="E778" i="13"/>
  <c r="E779" i="13" l="1"/>
  <c r="F779" i="13"/>
  <c r="C780" i="13"/>
  <c r="D779" i="13"/>
  <c r="C781" i="13" l="1"/>
  <c r="D780" i="13"/>
  <c r="E780" i="13"/>
  <c r="F780" i="13"/>
  <c r="C782" i="13" l="1"/>
  <c r="D781" i="13"/>
  <c r="E781" i="13"/>
  <c r="F781" i="13"/>
  <c r="C783" i="13" l="1"/>
  <c r="D782" i="13"/>
  <c r="F782" i="13"/>
  <c r="E782" i="13"/>
  <c r="D783" i="13" l="1"/>
  <c r="E783" i="13"/>
  <c r="C784" i="13"/>
  <c r="F783" i="13"/>
  <c r="E784" i="13" l="1"/>
  <c r="C785" i="13"/>
  <c r="D784" i="13"/>
  <c r="F784" i="13"/>
  <c r="F785" i="13" l="1"/>
  <c r="E785" i="13"/>
  <c r="D785" i="13"/>
  <c r="C786" i="13"/>
  <c r="E786" i="13" l="1"/>
  <c r="C787" i="13"/>
  <c r="F786" i="13"/>
  <c r="D786" i="13"/>
  <c r="C788" i="13" l="1"/>
  <c r="D787" i="13"/>
  <c r="F787" i="13"/>
  <c r="E787" i="13"/>
  <c r="D788" i="13" l="1"/>
  <c r="E788" i="13"/>
  <c r="C789" i="13"/>
  <c r="F788" i="13"/>
  <c r="E789" i="13" l="1"/>
  <c r="C790" i="13"/>
  <c r="F789" i="13"/>
  <c r="D789" i="13"/>
  <c r="C791" i="13" l="1"/>
  <c r="F790" i="13"/>
  <c r="E790" i="13"/>
  <c r="D790" i="13"/>
  <c r="D791" i="13" l="1"/>
  <c r="C792" i="13"/>
  <c r="F791" i="13"/>
  <c r="E791" i="13"/>
  <c r="C793" i="13" l="1"/>
  <c r="D792" i="13"/>
  <c r="E792" i="13"/>
  <c r="F792" i="13"/>
  <c r="E793" i="13" l="1"/>
  <c r="C794" i="13"/>
  <c r="D793" i="13"/>
  <c r="F793" i="13"/>
  <c r="C795" i="13" l="1"/>
  <c r="F794" i="13"/>
  <c r="E794" i="13"/>
  <c r="D794" i="13"/>
  <c r="C796" i="13" l="1"/>
  <c r="D795" i="13"/>
  <c r="F795" i="13"/>
  <c r="E795" i="13"/>
  <c r="C797" i="13" l="1"/>
  <c r="E796" i="13"/>
  <c r="D796" i="13"/>
  <c r="F796" i="13"/>
  <c r="C798" i="13" l="1"/>
  <c r="E797" i="13"/>
  <c r="F797" i="13"/>
  <c r="D797" i="13"/>
  <c r="C799" i="13" l="1"/>
  <c r="F798" i="13"/>
  <c r="D798" i="13"/>
  <c r="E798" i="13"/>
  <c r="F799" i="13" l="1"/>
  <c r="C800" i="13"/>
  <c r="D799" i="13"/>
  <c r="E799" i="13"/>
  <c r="E800" i="13" l="1"/>
  <c r="C801" i="13"/>
  <c r="D800" i="13"/>
  <c r="F800" i="13"/>
  <c r="E801" i="13" l="1"/>
  <c r="C802" i="13"/>
  <c r="F801" i="13"/>
  <c r="D801" i="13"/>
  <c r="C803" i="13" l="1"/>
  <c r="F802" i="13"/>
  <c r="D802" i="13"/>
  <c r="E802" i="13"/>
  <c r="C804" i="13" l="1"/>
  <c r="D803" i="13"/>
  <c r="F803" i="13"/>
  <c r="E803" i="13"/>
  <c r="C805" i="13" l="1"/>
  <c r="D804" i="13"/>
  <c r="F804" i="13"/>
  <c r="E804" i="13"/>
  <c r="D805" i="13" l="1"/>
  <c r="C806" i="13"/>
  <c r="F805" i="13"/>
  <c r="E805" i="13"/>
  <c r="C807" i="13" l="1"/>
  <c r="F806" i="13"/>
  <c r="E806" i="13"/>
  <c r="D806" i="13"/>
  <c r="C808" i="13" l="1"/>
  <c r="D807" i="13"/>
  <c r="F807" i="13"/>
  <c r="E807" i="13"/>
  <c r="F808" i="13" l="1"/>
  <c r="C809" i="13"/>
  <c r="E808" i="13"/>
  <c r="D808" i="13"/>
  <c r="C810" i="13" l="1"/>
  <c r="F809" i="13"/>
  <c r="D809" i="13"/>
  <c r="E809" i="13"/>
  <c r="C811" i="13" l="1"/>
  <c r="F810" i="13"/>
  <c r="E810" i="13"/>
  <c r="D810" i="13"/>
  <c r="D811" i="13" l="1"/>
  <c r="C812" i="13"/>
  <c r="F811" i="13"/>
  <c r="E811" i="13"/>
  <c r="C813" i="13" l="1"/>
  <c r="E812" i="13"/>
  <c r="F812" i="13"/>
  <c r="D812" i="13"/>
  <c r="F813" i="13" l="1"/>
  <c r="D813" i="13"/>
  <c r="C814" i="13"/>
  <c r="E813" i="13"/>
  <c r="C815" i="13" l="1"/>
  <c r="F814" i="13"/>
  <c r="E814" i="13"/>
  <c r="D814" i="13"/>
  <c r="C816" i="13" l="1"/>
  <c r="D815" i="13"/>
  <c r="F815" i="13"/>
  <c r="E815" i="13"/>
  <c r="C817" i="13" l="1"/>
  <c r="E816" i="13"/>
  <c r="D816" i="13"/>
  <c r="F816" i="13"/>
  <c r="E817" i="13" l="1"/>
  <c r="C818" i="13"/>
  <c r="F817" i="13"/>
  <c r="D817" i="13"/>
  <c r="C819" i="13" l="1"/>
  <c r="F818" i="13"/>
  <c r="D818" i="13"/>
  <c r="E818" i="13"/>
  <c r="C820" i="13" l="1"/>
  <c r="E819" i="13"/>
  <c r="D819" i="13"/>
  <c r="F819" i="13"/>
  <c r="D820" i="13" l="1"/>
  <c r="C821" i="13"/>
  <c r="E820" i="13"/>
  <c r="F820" i="13"/>
  <c r="C822" i="13" l="1"/>
  <c r="F821" i="13"/>
  <c r="D821" i="13"/>
  <c r="E821" i="13"/>
  <c r="C823" i="13" l="1"/>
  <c r="F822" i="13"/>
  <c r="E822" i="13"/>
  <c r="D822" i="13"/>
  <c r="C831" i="13" l="1"/>
  <c r="C824" i="13"/>
  <c r="D823" i="13"/>
  <c r="C829" i="13"/>
  <c r="F823" i="13"/>
  <c r="E823" i="13"/>
  <c r="C827" i="13"/>
  <c r="C830" i="13"/>
  <c r="C828" i="13"/>
  <c r="C825" i="13"/>
  <c r="C826" i="13"/>
  <c r="E829" i="13" l="1"/>
  <c r="D829" i="13"/>
  <c r="F829" i="13"/>
  <c r="F826" i="13"/>
  <c r="D826" i="13"/>
  <c r="E826" i="13"/>
  <c r="E830" i="13"/>
  <c r="F830" i="13"/>
  <c r="D830" i="13"/>
  <c r="E827" i="13"/>
  <c r="F827" i="13"/>
  <c r="D827" i="13"/>
  <c r="D825" i="13"/>
  <c r="F825" i="13"/>
  <c r="E825" i="13"/>
  <c r="C832" i="13"/>
  <c r="E824" i="13"/>
  <c r="D824" i="13"/>
  <c r="F824" i="13"/>
  <c r="E828" i="13"/>
  <c r="D828" i="13"/>
  <c r="F828" i="13"/>
  <c r="C833" i="13"/>
  <c r="D831" i="13"/>
  <c r="E831" i="13"/>
  <c r="F831" i="13"/>
  <c r="D833" i="13" l="1"/>
  <c r="E833" i="13"/>
  <c r="F833" i="13"/>
  <c r="D832" i="13"/>
  <c r="C834" i="13"/>
  <c r="E832" i="13"/>
  <c r="F832" i="13"/>
  <c r="F834" i="13" l="1"/>
  <c r="E834" i="13"/>
  <c r="C835" i="13"/>
  <c r="D834" i="13"/>
  <c r="C836" i="13" l="1"/>
  <c r="D835" i="13"/>
  <c r="E835" i="13"/>
  <c r="F835" i="13"/>
  <c r="E836" i="13" l="1"/>
  <c r="D836" i="13"/>
  <c r="F836" i="13"/>
  <c r="C837" i="13"/>
  <c r="D837" i="13" l="1"/>
  <c r="C839" i="13"/>
  <c r="C840" i="13"/>
  <c r="C838" i="13"/>
  <c r="E837" i="13"/>
  <c r="F837" i="13"/>
  <c r="C841" i="13" l="1"/>
  <c r="E838" i="13"/>
  <c r="F838" i="13"/>
  <c r="D838" i="13"/>
  <c r="E840" i="13"/>
  <c r="F840" i="13"/>
  <c r="D840" i="13"/>
  <c r="C843" i="13"/>
  <c r="C842" i="13"/>
  <c r="F839" i="13"/>
  <c r="D839" i="13"/>
  <c r="E839" i="13"/>
  <c r="F843" i="13" l="1"/>
  <c r="E843" i="13"/>
  <c r="D843" i="13"/>
  <c r="F842" i="13"/>
  <c r="D842" i="13"/>
  <c r="E842" i="13"/>
  <c r="C844" i="13"/>
  <c r="D841" i="13"/>
  <c r="E841" i="13"/>
  <c r="F841" i="13"/>
  <c r="C846" i="13" l="1"/>
  <c r="C845" i="13"/>
  <c r="E844" i="13"/>
  <c r="D844" i="13"/>
  <c r="F844" i="13"/>
  <c r="C847" i="13" l="1"/>
  <c r="E845" i="13"/>
  <c r="F845" i="13"/>
  <c r="D845" i="13"/>
  <c r="D846" i="13"/>
  <c r="F846" i="13"/>
  <c r="E846" i="13"/>
  <c r="C848" i="13" l="1"/>
  <c r="E847" i="13"/>
  <c r="D847" i="13"/>
  <c r="F847" i="13"/>
  <c r="C851" i="13" l="1"/>
  <c r="D848" i="13"/>
  <c r="C849" i="13"/>
  <c r="E848" i="13"/>
  <c r="C852" i="13"/>
  <c r="C853" i="13"/>
  <c r="C850" i="13"/>
  <c r="F848" i="13"/>
  <c r="F853" i="13" l="1"/>
  <c r="D853" i="13"/>
  <c r="E853" i="13"/>
  <c r="D850" i="13"/>
  <c r="E850" i="13"/>
  <c r="F850" i="13"/>
  <c r="E849" i="13"/>
  <c r="D849" i="13"/>
  <c r="C854" i="13"/>
  <c r="F849" i="13"/>
  <c r="F852" i="13"/>
  <c r="D852" i="13"/>
  <c r="E852" i="13"/>
  <c r="E851" i="13"/>
  <c r="D851" i="13"/>
  <c r="F851" i="13"/>
  <c r="D854" i="13" l="1"/>
  <c r="F854" i="13"/>
  <c r="C856" i="13"/>
  <c r="C857" i="13"/>
  <c r="C855" i="13"/>
  <c r="E854" i="13"/>
  <c r="F855" i="13" l="1"/>
  <c r="C858" i="13"/>
  <c r="E855" i="13"/>
  <c r="D855" i="13"/>
  <c r="E857" i="13"/>
  <c r="F857" i="13"/>
  <c r="D857" i="13"/>
  <c r="F856" i="13"/>
  <c r="D856" i="13"/>
  <c r="E856" i="13"/>
  <c r="C860" i="13" l="1"/>
  <c r="C859" i="13"/>
  <c r="D858" i="13"/>
  <c r="E858" i="13"/>
  <c r="F858" i="13"/>
  <c r="D859" i="13" l="1"/>
  <c r="F859" i="13"/>
  <c r="C861" i="13"/>
  <c r="E859" i="13"/>
  <c r="F860" i="13"/>
  <c r="E860" i="13"/>
  <c r="D860" i="13"/>
  <c r="C862" i="13" l="1"/>
  <c r="E861" i="13"/>
  <c r="F861" i="13"/>
  <c r="D861" i="13"/>
  <c r="C864" i="13" l="1"/>
  <c r="E862" i="13"/>
  <c r="D862" i="13"/>
  <c r="F862" i="13"/>
  <c r="C863" i="13"/>
  <c r="C865" i="13" l="1"/>
  <c r="D863" i="13"/>
  <c r="E863" i="13"/>
  <c r="F863" i="13"/>
  <c r="D864" i="13"/>
  <c r="C866" i="13"/>
  <c r="C867" i="13"/>
  <c r="F864" i="13"/>
  <c r="E864" i="13"/>
  <c r="F866" i="13" l="1"/>
  <c r="D866" i="13"/>
  <c r="E866" i="13"/>
  <c r="C869" i="13"/>
  <c r="F867" i="13"/>
  <c r="D867" i="13"/>
  <c r="E867" i="13"/>
  <c r="C868" i="13"/>
  <c r="E865" i="13"/>
  <c r="D865" i="13"/>
  <c r="F865" i="13"/>
  <c r="D868" i="13" l="1"/>
  <c r="C870" i="13"/>
  <c r="E868" i="13"/>
  <c r="F868" i="13"/>
  <c r="C873" i="13"/>
  <c r="C871" i="13"/>
  <c r="C872" i="13"/>
  <c r="C874" i="13"/>
  <c r="F869" i="13"/>
  <c r="D869" i="13"/>
  <c r="E869" i="13"/>
  <c r="D871" i="13" l="1"/>
  <c r="E871" i="13"/>
  <c r="F871" i="13"/>
  <c r="C877" i="13"/>
  <c r="F874" i="13"/>
  <c r="D874" i="13"/>
  <c r="E874" i="13"/>
  <c r="C876" i="13"/>
  <c r="F872" i="13"/>
  <c r="E872" i="13"/>
  <c r="D872" i="13"/>
  <c r="F873" i="13"/>
  <c r="D873" i="13"/>
  <c r="E873" i="13"/>
  <c r="F870" i="13"/>
  <c r="D870" i="13"/>
  <c r="E870" i="13"/>
  <c r="C875" i="13"/>
  <c r="C878" i="13" l="1"/>
  <c r="D875" i="13"/>
  <c r="E875" i="13"/>
  <c r="F875" i="13"/>
  <c r="F876" i="13"/>
  <c r="E876" i="13"/>
  <c r="D876" i="13"/>
  <c r="C880" i="13"/>
  <c r="F877" i="13"/>
  <c r="D877" i="13"/>
  <c r="E877" i="13"/>
  <c r="C879" i="13"/>
  <c r="D879" i="13" l="1"/>
  <c r="F879" i="13"/>
  <c r="E879" i="13"/>
  <c r="F880" i="13"/>
  <c r="D880" i="13"/>
  <c r="E880" i="13"/>
  <c r="F878" i="13"/>
  <c r="E878" i="13"/>
  <c r="C881" i="13"/>
  <c r="D878" i="13"/>
  <c r="F881" i="13" l="1"/>
  <c r="C882" i="13"/>
  <c r="E881" i="13"/>
  <c r="D881" i="13"/>
  <c r="C884" i="13" l="1"/>
  <c r="E882" i="13"/>
  <c r="F882" i="13"/>
  <c r="D882" i="13"/>
  <c r="C883" i="13"/>
  <c r="C885" i="13" l="1"/>
  <c r="D883" i="13"/>
  <c r="E883" i="13"/>
  <c r="F883" i="13"/>
  <c r="E884" i="13"/>
  <c r="F884" i="13"/>
  <c r="D884" i="13"/>
  <c r="C889" i="13" l="1"/>
  <c r="C888" i="13"/>
  <c r="F885" i="13"/>
  <c r="C886" i="13"/>
  <c r="E885" i="13"/>
  <c r="D885" i="13"/>
  <c r="C887" i="13"/>
  <c r="F887" i="13" l="1"/>
  <c r="D887" i="13"/>
  <c r="E887" i="13"/>
  <c r="C890" i="13"/>
  <c r="E886" i="13"/>
  <c r="D886" i="13"/>
  <c r="F886" i="13"/>
  <c r="E888" i="13"/>
  <c r="D888" i="13"/>
  <c r="F888" i="13"/>
  <c r="E889" i="13"/>
  <c r="D889" i="13"/>
  <c r="F889" i="13"/>
  <c r="C892" i="13" l="1"/>
  <c r="F890" i="13"/>
  <c r="C891" i="13"/>
  <c r="E890" i="13"/>
  <c r="D890" i="13"/>
  <c r="D891" i="13" l="1"/>
  <c r="E891" i="13"/>
  <c r="F891" i="13"/>
  <c r="C893" i="13"/>
  <c r="C894" i="13"/>
  <c r="F892" i="13"/>
  <c r="D892" i="13"/>
  <c r="E892" i="13"/>
  <c r="F894" i="13" l="1"/>
  <c r="D894" i="13"/>
  <c r="E894" i="13"/>
  <c r="F893" i="13"/>
  <c r="E893" i="13"/>
  <c r="C895" i="13"/>
  <c r="D893" i="13"/>
  <c r="F895" i="13" l="1"/>
  <c r="C896" i="13"/>
  <c r="D895" i="13"/>
  <c r="E895" i="13"/>
  <c r="C898" i="13" l="1"/>
  <c r="C899" i="13"/>
  <c r="C897" i="13"/>
  <c r="E896" i="13"/>
  <c r="F896" i="13"/>
  <c r="D896" i="13"/>
  <c r="D897" i="13" l="1"/>
  <c r="F897" i="13"/>
  <c r="C900" i="13"/>
  <c r="E897" i="13"/>
  <c r="F899" i="13"/>
  <c r="D899" i="13"/>
  <c r="E899" i="13"/>
  <c r="D898" i="13"/>
  <c r="F898" i="13"/>
  <c r="E898" i="13"/>
  <c r="C901" i="13" l="1"/>
  <c r="E900" i="13"/>
  <c r="F900" i="13"/>
  <c r="D900" i="13"/>
  <c r="D901" i="13" l="1"/>
  <c r="F901" i="13"/>
  <c r="C902" i="13"/>
  <c r="E901" i="13"/>
  <c r="C903" i="13" l="1"/>
  <c r="E902" i="13"/>
  <c r="F902" i="13"/>
  <c r="D902" i="13"/>
  <c r="E903" i="13" l="1"/>
  <c r="F903" i="13"/>
  <c r="C906" i="13"/>
  <c r="D903" i="13"/>
  <c r="C905" i="13"/>
  <c r="C904" i="13"/>
  <c r="C907" i="13" l="1"/>
  <c r="E904" i="13"/>
  <c r="F904" i="13"/>
  <c r="D904" i="13"/>
  <c r="F905" i="13"/>
  <c r="D905" i="13"/>
  <c r="E905" i="13"/>
  <c r="D906" i="13"/>
  <c r="F906" i="13"/>
  <c r="E906" i="13"/>
  <c r="E907" i="13" l="1"/>
  <c r="C908" i="13"/>
  <c r="D907" i="13"/>
  <c r="F907" i="13"/>
  <c r="D908" i="13" l="1"/>
  <c r="C909" i="13"/>
  <c r="E908" i="13"/>
  <c r="F908" i="13"/>
  <c r="C910" i="13" l="1"/>
  <c r="D909" i="13"/>
  <c r="E909" i="13"/>
  <c r="F909" i="13"/>
  <c r="C911" i="13" l="1"/>
  <c r="E910" i="13"/>
  <c r="F910" i="13"/>
  <c r="D910" i="13"/>
  <c r="C912" i="13" l="1"/>
  <c r="E911" i="13"/>
  <c r="F911" i="13"/>
  <c r="D911" i="13"/>
  <c r="C913" i="13" l="1"/>
  <c r="E912" i="13"/>
  <c r="D912" i="13"/>
  <c r="F912" i="13"/>
  <c r="C916" i="13"/>
  <c r="C914" i="13"/>
  <c r="C915" i="13"/>
  <c r="C917" i="13"/>
  <c r="C921" i="13" l="1"/>
  <c r="F917" i="13"/>
  <c r="E917" i="13"/>
  <c r="D917" i="13"/>
  <c r="C920" i="13"/>
  <c r="C919" i="13"/>
  <c r="F915" i="13"/>
  <c r="D915" i="13"/>
  <c r="E915" i="13"/>
  <c r="E914" i="13"/>
  <c r="F914" i="13"/>
  <c r="D914" i="13"/>
  <c r="E916" i="13"/>
  <c r="D916" i="13"/>
  <c r="F916" i="13"/>
  <c r="E913" i="13"/>
  <c r="F913" i="13"/>
  <c r="C918" i="13"/>
  <c r="D913" i="13"/>
  <c r="F919" i="13" l="1"/>
  <c r="D919" i="13"/>
  <c r="E919" i="13"/>
  <c r="E920" i="13"/>
  <c r="F920" i="13"/>
  <c r="D920" i="13"/>
  <c r="C922" i="13"/>
  <c r="E918" i="13"/>
  <c r="D918" i="13"/>
  <c r="F918" i="13"/>
  <c r="C923" i="13"/>
  <c r="F921" i="13"/>
  <c r="D921" i="13"/>
  <c r="E921" i="13"/>
  <c r="C924" i="13" l="1"/>
  <c r="E922" i="13"/>
  <c r="D922" i="13"/>
  <c r="F922" i="13"/>
  <c r="D923" i="13"/>
  <c r="E923" i="13"/>
  <c r="F923" i="13"/>
  <c r="C925" i="13" l="1"/>
  <c r="E924" i="13"/>
  <c r="D924" i="13"/>
  <c r="F924" i="13"/>
  <c r="E925" i="13" l="1"/>
  <c r="D925" i="13"/>
  <c r="F925" i="13"/>
  <c r="C926" i="13"/>
  <c r="E926" i="13" l="1"/>
  <c r="D926" i="13"/>
  <c r="F926" i="13"/>
  <c r="C927" i="13"/>
  <c r="C928" i="13" l="1"/>
  <c r="E927" i="13"/>
  <c r="D927" i="13"/>
  <c r="F927" i="13"/>
  <c r="C929" i="13" l="1"/>
  <c r="F928" i="13"/>
  <c r="D928" i="13"/>
  <c r="E928" i="13"/>
  <c r="F929" i="13" l="1"/>
  <c r="C932" i="13"/>
  <c r="C930" i="13"/>
  <c r="D929" i="13"/>
  <c r="C931" i="13"/>
  <c r="E929" i="13"/>
  <c r="F931" i="13" l="1"/>
  <c r="D931" i="13"/>
  <c r="E931" i="13"/>
  <c r="C933" i="13"/>
  <c r="E930" i="13"/>
  <c r="D930" i="13"/>
  <c r="F930" i="13"/>
  <c r="C936" i="13"/>
  <c r="C934" i="13"/>
  <c r="C935" i="13"/>
  <c r="F932" i="13"/>
  <c r="D932" i="13"/>
  <c r="E932" i="13"/>
  <c r="F934" i="13" l="1"/>
  <c r="E934" i="13"/>
  <c r="D934" i="13"/>
  <c r="F936" i="13"/>
  <c r="D936" i="13"/>
  <c r="C938" i="13"/>
  <c r="E936" i="13"/>
  <c r="C939" i="13"/>
  <c r="C937" i="13"/>
  <c r="D933" i="13"/>
  <c r="E933" i="13"/>
  <c r="F933" i="13"/>
  <c r="D935" i="13"/>
  <c r="F935" i="13"/>
  <c r="E935" i="13"/>
  <c r="C941" i="13" l="1"/>
  <c r="F939" i="13"/>
  <c r="D939" i="13"/>
  <c r="E939" i="13"/>
  <c r="F938" i="13"/>
  <c r="E938" i="13"/>
  <c r="D938" i="13"/>
  <c r="F937" i="13"/>
  <c r="E937" i="13"/>
  <c r="C940" i="13"/>
  <c r="D937" i="13"/>
  <c r="D940" i="13" l="1"/>
  <c r="C942" i="13"/>
  <c r="E940" i="13"/>
  <c r="F940" i="13"/>
  <c r="E941" i="13"/>
  <c r="F941" i="13"/>
  <c r="D941" i="13"/>
  <c r="C943" i="13" l="1"/>
  <c r="F942" i="13"/>
  <c r="E942" i="13"/>
  <c r="D942" i="13"/>
  <c r="C944" i="13"/>
  <c r="C945" i="13"/>
  <c r="D945" i="13" l="1"/>
  <c r="F945" i="13"/>
  <c r="E945" i="13"/>
  <c r="D944" i="13"/>
  <c r="E944" i="13"/>
  <c r="F944" i="13"/>
  <c r="E943" i="13"/>
  <c r="D943" i="13"/>
  <c r="F943" i="13"/>
  <c r="C946" i="13"/>
  <c r="C949" i="13" l="1"/>
  <c r="E946" i="13"/>
  <c r="D946" i="13"/>
  <c r="F946" i="13"/>
  <c r="C947" i="13"/>
  <c r="C948" i="13"/>
  <c r="E948" i="13" l="1"/>
  <c r="F948" i="13"/>
  <c r="D948" i="13"/>
  <c r="D947" i="13"/>
  <c r="E947" i="13"/>
  <c r="F947" i="13"/>
  <c r="C950" i="13"/>
  <c r="C953" i="13"/>
  <c r="C951" i="13"/>
  <c r="C952" i="13"/>
  <c r="F949" i="13"/>
  <c r="D949" i="13"/>
  <c r="E949" i="13"/>
  <c r="C957" i="13" l="1"/>
  <c r="D953" i="13"/>
  <c r="E953" i="13"/>
  <c r="C955" i="13"/>
  <c r="C956" i="13"/>
  <c r="F953" i="13"/>
  <c r="C954" i="13"/>
  <c r="E950" i="13"/>
  <c r="D950" i="13"/>
  <c r="F950" i="13"/>
  <c r="F952" i="13"/>
  <c r="D952" i="13"/>
  <c r="E952" i="13"/>
  <c r="F951" i="13"/>
  <c r="D951" i="13"/>
  <c r="E951" i="13"/>
  <c r="D954" i="13" l="1"/>
  <c r="F954" i="13"/>
  <c r="C958" i="13"/>
  <c r="E954" i="13"/>
  <c r="F956" i="13"/>
  <c r="E956" i="13"/>
  <c r="D956" i="13"/>
  <c r="D955" i="13"/>
  <c r="F955" i="13"/>
  <c r="E955" i="13"/>
  <c r="C959" i="13"/>
  <c r="C960" i="13"/>
  <c r="E957" i="13"/>
  <c r="F957" i="13"/>
  <c r="D957" i="13"/>
  <c r="E960" i="13" l="1"/>
  <c r="F960" i="13"/>
  <c r="D960" i="13"/>
  <c r="F959" i="13"/>
  <c r="E959" i="13"/>
  <c r="D959" i="13"/>
  <c r="F958" i="13"/>
  <c r="C961" i="13"/>
  <c r="E958" i="13"/>
  <c r="D958" i="13"/>
  <c r="C962" i="13" l="1"/>
  <c r="D961" i="13"/>
  <c r="E961" i="13"/>
  <c r="F961" i="13"/>
  <c r="C969" i="13" l="1"/>
  <c r="D962" i="13"/>
  <c r="C964" i="13"/>
  <c r="C965" i="13"/>
  <c r="C966" i="13"/>
  <c r="C967" i="13"/>
  <c r="C963" i="13"/>
  <c r="F962" i="13"/>
  <c r="C968" i="13"/>
  <c r="E962" i="13"/>
  <c r="E963" i="13" l="1"/>
  <c r="D963" i="13"/>
  <c r="F963" i="13"/>
  <c r="C970" i="13"/>
  <c r="E967" i="13"/>
  <c r="F967" i="13"/>
  <c r="D967" i="13"/>
  <c r="E965" i="13"/>
  <c r="F965" i="13"/>
  <c r="D965" i="13"/>
  <c r="F966" i="13"/>
  <c r="D966" i="13"/>
  <c r="E966" i="13"/>
  <c r="D964" i="13"/>
  <c r="F964" i="13"/>
  <c r="E964" i="13"/>
  <c r="F968" i="13"/>
  <c r="E968" i="13"/>
  <c r="D968" i="13"/>
  <c r="E969" i="13"/>
  <c r="F969" i="13"/>
  <c r="D969" i="13"/>
  <c r="C972" i="13" l="1"/>
  <c r="E970" i="13"/>
  <c r="F970" i="13"/>
  <c r="D970" i="13"/>
  <c r="C971" i="13"/>
  <c r="C973" i="13" l="1"/>
  <c r="D971" i="13"/>
  <c r="F971" i="13"/>
  <c r="E971" i="13"/>
  <c r="F972" i="13"/>
  <c r="D972" i="13"/>
  <c r="E972" i="13"/>
  <c r="C975" i="13" l="1"/>
  <c r="C974" i="13"/>
  <c r="E973" i="13"/>
  <c r="F973" i="13"/>
  <c r="D973" i="13"/>
  <c r="C977" i="13" l="1"/>
  <c r="E974" i="13"/>
  <c r="D974" i="13"/>
  <c r="F974" i="13"/>
  <c r="C976" i="13"/>
  <c r="F975" i="13"/>
  <c r="D975" i="13"/>
  <c r="C979" i="13"/>
  <c r="E975" i="13"/>
  <c r="C978" i="13"/>
  <c r="C981" i="13" l="1"/>
  <c r="F979" i="13"/>
  <c r="D979" i="13"/>
  <c r="E979" i="13"/>
  <c r="E976" i="13"/>
  <c r="D976" i="13"/>
  <c r="F976" i="13"/>
  <c r="C980" i="13"/>
  <c r="F978" i="13"/>
  <c r="D978" i="13"/>
  <c r="E978" i="13"/>
  <c r="F977" i="13"/>
  <c r="E977" i="13"/>
  <c r="D977" i="13"/>
  <c r="C983" i="13" l="1"/>
  <c r="F980" i="13"/>
  <c r="D980" i="13"/>
  <c r="C982" i="13"/>
  <c r="E980" i="13"/>
  <c r="D981" i="13"/>
  <c r="E981" i="13"/>
  <c r="F981" i="13"/>
  <c r="D982" i="13" l="1"/>
  <c r="F982" i="13"/>
  <c r="C984" i="13"/>
  <c r="E982" i="13"/>
  <c r="C985" i="13"/>
  <c r="F983" i="13"/>
  <c r="D983" i="13"/>
  <c r="E983" i="13"/>
  <c r="C987" i="13" l="1"/>
  <c r="C986" i="13"/>
  <c r="E984" i="13"/>
  <c r="F984" i="13"/>
  <c r="D984" i="13"/>
  <c r="D985" i="13"/>
  <c r="E985" i="13"/>
  <c r="C988" i="13"/>
  <c r="C989" i="13"/>
  <c r="F985" i="13"/>
  <c r="F988" i="13" l="1"/>
  <c r="E988" i="13"/>
  <c r="D988" i="13"/>
  <c r="C990" i="13"/>
  <c r="E986" i="13"/>
  <c r="F986" i="13"/>
  <c r="D986" i="13"/>
  <c r="D989" i="13"/>
  <c r="F989" i="13"/>
  <c r="E989" i="13"/>
  <c r="F987" i="13"/>
  <c r="E987" i="13"/>
  <c r="D987" i="13"/>
  <c r="C996" i="13" l="1"/>
  <c r="D990" i="13"/>
  <c r="E990" i="13"/>
  <c r="C995" i="13"/>
  <c r="C993" i="13"/>
  <c r="C994" i="13"/>
  <c r="F990" i="13"/>
  <c r="C992" i="13"/>
  <c r="C991" i="13"/>
  <c r="F992" i="13" l="1"/>
  <c r="D992" i="13"/>
  <c r="E992" i="13"/>
  <c r="F993" i="13"/>
  <c r="E993" i="13"/>
  <c r="F994" i="13"/>
  <c r="E994" i="13"/>
  <c r="D994" i="13"/>
  <c r="C998" i="13"/>
  <c r="F995" i="13"/>
  <c r="D995" i="13"/>
  <c r="E995" i="13"/>
  <c r="D991" i="13"/>
  <c r="F991" i="13"/>
  <c r="C997" i="13"/>
  <c r="E991" i="13"/>
  <c r="E996" i="13"/>
  <c r="F996" i="13"/>
  <c r="D996" i="13"/>
  <c r="E997" i="13" l="1"/>
  <c r="C999" i="13"/>
  <c r="D997" i="13"/>
  <c r="F997" i="13"/>
  <c r="D998" i="13"/>
  <c r="E998" i="13"/>
  <c r="F998" i="13"/>
  <c r="C1003" i="13" l="1"/>
  <c r="C1002" i="13"/>
  <c r="F999" i="13"/>
  <c r="C1000" i="13"/>
  <c r="E999" i="13"/>
  <c r="D999" i="13"/>
  <c r="C1001" i="13"/>
  <c r="D1001" i="13" l="1"/>
  <c r="E1001" i="13"/>
  <c r="F1001" i="13"/>
  <c r="C1004" i="13"/>
  <c r="D1000" i="13"/>
  <c r="F1000" i="13"/>
  <c r="E1000" i="13"/>
  <c r="D1002" i="13"/>
  <c r="F1002" i="13"/>
  <c r="E1002" i="13"/>
  <c r="C1005" i="13"/>
  <c r="F1003" i="13"/>
  <c r="D1003" i="13"/>
  <c r="E1003" i="13"/>
  <c r="D1004" i="13" l="1"/>
  <c r="F1004" i="13"/>
  <c r="E1004" i="13"/>
  <c r="C1006" i="13"/>
  <c r="F1005" i="13"/>
  <c r="E1005" i="13"/>
  <c r="D1005" i="13"/>
  <c r="E1006" i="13" l="1"/>
  <c r="F1006" i="13"/>
  <c r="D1006" i="13"/>
  <c r="C1007" i="13"/>
  <c r="C1008" i="13" l="1"/>
  <c r="E1007" i="13"/>
  <c r="C1009" i="13"/>
  <c r="D1007" i="13"/>
  <c r="F1007" i="13"/>
  <c r="C1010" i="13"/>
  <c r="C1014" i="13" l="1"/>
  <c r="D1010" i="13"/>
  <c r="E1010" i="13"/>
  <c r="C1012" i="13"/>
  <c r="C1013" i="13"/>
  <c r="F1010" i="13"/>
  <c r="E1009" i="13"/>
  <c r="F1009" i="13"/>
  <c r="D1009" i="13"/>
  <c r="C1011" i="13"/>
  <c r="F1008" i="13"/>
  <c r="D1008" i="13"/>
  <c r="E1008" i="13"/>
  <c r="F1013" i="13" l="1"/>
  <c r="D1013" i="13"/>
  <c r="E1013" i="13"/>
  <c r="F1012" i="13"/>
  <c r="E1012" i="13"/>
  <c r="D1012" i="13"/>
  <c r="E1011" i="13"/>
  <c r="D1011" i="13"/>
  <c r="F1011" i="13"/>
  <c r="C1015" i="13"/>
  <c r="C1016" i="13"/>
  <c r="F1014" i="13"/>
  <c r="E1014" i="13"/>
  <c r="D1014" i="13"/>
  <c r="D1016" i="13" l="1"/>
  <c r="E1016" i="13"/>
  <c r="F1016" i="13"/>
  <c r="D1015" i="13"/>
  <c r="F1015" i="13"/>
  <c r="C1017" i="13"/>
  <c r="E1015" i="13"/>
  <c r="C1021" i="13" l="1"/>
  <c r="F1017" i="13"/>
  <c r="C1019" i="13"/>
  <c r="C1020" i="13"/>
  <c r="E1017" i="13"/>
  <c r="D1017" i="13"/>
  <c r="C1018" i="13"/>
  <c r="F1018" i="13" l="1"/>
  <c r="C1022" i="13"/>
  <c r="E1018" i="13"/>
  <c r="D1018" i="13"/>
  <c r="F1019" i="13"/>
  <c r="D1019" i="13"/>
  <c r="E1019" i="13"/>
  <c r="F1020" i="13"/>
  <c r="D1020" i="13"/>
  <c r="E1020" i="13"/>
  <c r="F1021" i="13"/>
  <c r="C1025" i="13"/>
  <c r="E1021" i="13"/>
  <c r="C1026" i="13"/>
  <c r="D1021" i="13"/>
  <c r="C1023" i="13"/>
  <c r="C1028" i="13"/>
  <c r="C1027" i="13"/>
  <c r="C1024" i="13"/>
  <c r="E1026" i="13" l="1"/>
  <c r="F1026" i="13"/>
  <c r="D1026" i="13"/>
  <c r="D1025" i="13"/>
  <c r="F1025" i="13"/>
  <c r="E1025" i="13"/>
  <c r="F1023" i="13"/>
  <c r="E1023" i="13"/>
  <c r="D1023" i="13"/>
  <c r="E1027" i="13"/>
  <c r="D1027" i="13"/>
  <c r="F1027" i="13"/>
  <c r="E1022" i="13"/>
  <c r="D1022" i="13"/>
  <c r="F1022" i="13"/>
  <c r="C1029" i="13"/>
  <c r="E1024" i="13"/>
  <c r="F1024" i="13"/>
  <c r="D1024" i="13"/>
  <c r="E1028" i="13"/>
  <c r="D1028" i="13"/>
  <c r="F1028" i="13"/>
  <c r="E1029" i="13" l="1"/>
  <c r="D1029" i="13"/>
  <c r="F1029" i="13"/>
  <c r="C1030" i="13"/>
  <c r="E1030" i="13" l="1"/>
  <c r="F1030" i="13"/>
  <c r="C1031" i="13"/>
  <c r="D1030" i="13"/>
  <c r="C1035" i="13" l="1"/>
  <c r="C1034" i="13"/>
  <c r="C1032" i="13"/>
  <c r="D1031" i="13"/>
  <c r="C1033" i="13"/>
  <c r="E1031" i="13"/>
  <c r="F1031" i="13"/>
  <c r="E1033" i="13" l="1"/>
  <c r="D1033" i="13"/>
  <c r="F1033" i="13"/>
  <c r="D1034" i="13"/>
  <c r="F1034" i="13"/>
  <c r="E1034" i="13"/>
  <c r="C1036" i="13"/>
  <c r="E1032" i="13"/>
  <c r="D1032" i="13"/>
  <c r="F1032" i="13"/>
  <c r="D1035" i="13"/>
  <c r="F1035" i="13"/>
  <c r="E1035" i="13"/>
  <c r="F1036" i="13" l="1"/>
  <c r="C1037" i="13"/>
  <c r="E1036" i="13"/>
  <c r="D1036" i="13"/>
  <c r="E1037" i="13" l="1"/>
  <c r="D1037" i="13"/>
  <c r="F1037" i="13"/>
  <c r="C1038" i="13"/>
  <c r="F1038" i="13" l="1"/>
  <c r="C1039" i="13"/>
  <c r="D1038" i="13"/>
  <c r="E1038" i="13"/>
  <c r="F1039" i="13" l="1"/>
  <c r="C1040" i="13"/>
  <c r="D1039" i="13"/>
  <c r="E1039" i="13"/>
  <c r="E1040" i="13" l="1"/>
  <c r="C1041" i="13"/>
  <c r="F1040" i="13"/>
  <c r="D1040" i="13"/>
  <c r="C1042" i="13" l="1"/>
  <c r="E1041" i="13"/>
  <c r="F1041" i="13"/>
  <c r="D1041" i="13"/>
  <c r="AG44" i="3" a="1"/>
  <c r="AG44" i="3" s="1"/>
  <c r="AG42" i="3" a="1"/>
  <c r="AG42" i="3" s="1"/>
  <c r="AG37" i="3" a="1"/>
  <c r="AG37" i="3" s="1"/>
  <c r="C1043" i="13" l="1"/>
  <c r="D1042" i="13"/>
  <c r="E1042" i="13"/>
  <c r="F1042" i="13"/>
  <c r="F1043" i="13" l="1"/>
  <c r="E1043" i="13"/>
  <c r="D1043" i="13"/>
  <c r="C1044" i="13"/>
  <c r="C1045" i="13" l="1"/>
  <c r="E1044" i="13"/>
  <c r="D1044" i="13"/>
  <c r="F1044" i="13"/>
  <c r="C1046" i="13"/>
  <c r="C1047" i="13"/>
  <c r="F1047" i="13" l="1"/>
  <c r="D1047" i="13"/>
  <c r="E1047" i="13"/>
  <c r="E1046" i="13"/>
  <c r="F1046" i="13"/>
  <c r="D1046" i="13"/>
  <c r="C1048" i="13"/>
  <c r="E1045" i="13"/>
  <c r="F1045" i="13"/>
  <c r="D1045" i="13"/>
  <c r="E1048" i="13" l="1"/>
  <c r="C1049" i="13"/>
  <c r="D1048" i="13"/>
  <c r="F1048" i="13"/>
  <c r="E1049" i="13" l="1"/>
  <c r="F1049" i="13"/>
  <c r="D1049" i="13"/>
  <c r="C1050" i="13"/>
  <c r="D1050" i="13" l="1"/>
  <c r="C1051" i="13"/>
  <c r="E1050" i="13"/>
  <c r="F1050" i="13"/>
  <c r="D1051" i="13" l="1"/>
  <c r="E1051" i="13"/>
  <c r="C1052" i="13"/>
  <c r="F1051" i="13"/>
  <c r="D1052" i="13" l="1"/>
  <c r="F1052" i="13"/>
  <c r="E1052" i="13"/>
  <c r="C1053" i="13"/>
  <c r="E1053" i="13" l="1"/>
  <c r="D1053" i="13"/>
  <c r="C1054" i="13"/>
  <c r="F1053" i="13"/>
  <c r="D1054" i="13" l="1"/>
  <c r="C1055" i="13"/>
  <c r="F1054" i="13"/>
  <c r="E1054" i="13"/>
  <c r="D1055" i="13" l="1"/>
  <c r="C1056" i="13"/>
  <c r="E1055" i="13"/>
  <c r="F1055" i="13"/>
  <c r="F1056" i="13" l="1"/>
  <c r="E1056" i="13"/>
  <c r="D1056" i="13"/>
  <c r="C1057" i="13"/>
  <c r="D1057" i="13" l="1"/>
  <c r="E1057" i="13"/>
  <c r="F1057" i="13"/>
  <c r="C1058" i="13"/>
  <c r="D1058" i="13" l="1"/>
  <c r="F1058" i="13"/>
  <c r="E1058" i="13"/>
  <c r="C1059" i="13"/>
  <c r="D1059" i="13" l="1"/>
  <c r="C1060" i="13"/>
  <c r="E1059" i="13"/>
  <c r="F1059" i="13"/>
  <c r="E1060" i="13" l="1"/>
  <c r="D1060" i="13"/>
  <c r="C1061" i="13"/>
  <c r="F1060" i="13"/>
  <c r="C1062" i="13" l="1"/>
  <c r="F1061" i="13"/>
  <c r="D1061" i="13"/>
  <c r="E1061" i="13"/>
  <c r="C1063" i="13" l="1"/>
  <c r="D1062" i="13"/>
  <c r="F1062" i="13"/>
  <c r="E1062" i="13"/>
  <c r="F1063" i="13" l="1"/>
  <c r="C1064" i="13"/>
  <c r="D1063" i="13"/>
  <c r="E1063" i="13"/>
  <c r="D1064" i="13" l="1"/>
  <c r="C1065" i="13"/>
  <c r="F1064" i="13"/>
  <c r="E1064" i="13"/>
  <c r="D1065" i="13" l="1"/>
  <c r="F1065" i="13"/>
  <c r="C1066" i="13"/>
  <c r="E1065" i="13"/>
  <c r="F1066" i="13" l="1"/>
  <c r="D1066" i="13"/>
  <c r="C1067" i="13"/>
  <c r="E1066" i="13"/>
  <c r="D1067" i="13" l="1"/>
  <c r="F1067" i="13"/>
  <c r="C1068" i="13"/>
  <c r="E1067" i="13"/>
  <c r="D1068" i="13" l="1"/>
  <c r="C1069" i="13"/>
  <c r="F1068" i="13"/>
  <c r="E1068" i="13"/>
  <c r="C1070" i="13" l="1"/>
  <c r="F1069" i="13"/>
  <c r="D1069" i="13"/>
  <c r="E1069" i="13"/>
  <c r="C1071" i="13" l="1"/>
  <c r="F1070" i="13"/>
  <c r="D1070" i="13"/>
  <c r="E1070" i="13"/>
  <c r="D1071" i="13" l="1"/>
  <c r="F1071" i="13"/>
  <c r="C1072" i="13"/>
  <c r="E1071" i="13"/>
  <c r="D1072" i="13" l="1"/>
  <c r="E1072" i="13"/>
  <c r="C1073" i="13"/>
  <c r="F1072" i="13"/>
  <c r="D1073" i="13" l="1"/>
  <c r="E1073" i="13"/>
  <c r="F1073" i="13"/>
  <c r="C1074" i="13"/>
  <c r="D1074" i="13" l="1"/>
  <c r="F1074" i="13"/>
  <c r="C1075" i="13"/>
  <c r="E1074" i="13"/>
  <c r="D1075" i="13" l="1"/>
  <c r="C1076" i="13"/>
  <c r="F1075" i="13"/>
  <c r="E1075" i="13"/>
  <c r="F1076" i="13" l="1"/>
  <c r="E1076" i="13"/>
  <c r="D1076" i="13"/>
  <c r="C1077" i="13"/>
  <c r="F1077" i="13" l="1"/>
  <c r="D1077" i="13"/>
  <c r="C1078" i="13"/>
  <c r="E1077" i="13"/>
  <c r="D1078" i="13" l="1"/>
  <c r="E1078" i="13"/>
  <c r="C1079" i="13"/>
  <c r="F1078" i="13"/>
  <c r="C1080" i="13" l="1"/>
  <c r="F1079" i="13"/>
  <c r="E1079" i="13"/>
  <c r="D1079" i="13"/>
  <c r="D1080" i="13" l="1"/>
  <c r="F1080" i="13"/>
  <c r="C1081" i="13"/>
  <c r="E1080" i="13"/>
  <c r="D1081" i="13" l="1"/>
  <c r="E1081" i="13"/>
  <c r="C1082" i="13"/>
  <c r="F1081" i="13"/>
  <c r="D1082" i="13" l="1"/>
  <c r="C1083" i="13"/>
  <c r="E1082" i="13"/>
  <c r="F1082" i="13"/>
  <c r="D1083" i="13" l="1"/>
  <c r="E1083" i="13"/>
  <c r="F1083" i="13"/>
  <c r="C1084" i="13"/>
  <c r="D1084" i="13" l="1"/>
  <c r="E1084" i="13"/>
  <c r="F1084" i="13"/>
  <c r="C1085" i="13"/>
  <c r="C1086" i="13" l="1"/>
  <c r="D1085" i="13"/>
  <c r="E1085" i="13"/>
  <c r="F1085" i="13"/>
  <c r="F1086" i="13" l="1"/>
  <c r="D1086" i="13"/>
  <c r="E1086" i="13"/>
  <c r="C1087" i="13"/>
  <c r="E1087" i="13" l="1"/>
  <c r="D1087" i="13"/>
  <c r="C1088" i="13"/>
  <c r="F1087" i="13"/>
  <c r="D1088" i="13" l="1"/>
  <c r="E1088" i="13"/>
  <c r="F1088" i="13"/>
  <c r="C1089" i="13"/>
  <c r="C1090" i="13" l="1"/>
  <c r="D1089" i="13"/>
  <c r="E1089" i="13"/>
  <c r="F1089" i="13"/>
  <c r="D1090" i="13" l="1"/>
  <c r="E1090" i="13"/>
  <c r="F1090" i="13"/>
  <c r="C1091" i="13"/>
  <c r="E1091" i="13" l="1"/>
  <c r="D1091" i="13"/>
  <c r="C1092" i="13"/>
  <c r="F1091" i="13"/>
  <c r="D1092" i="13" l="1"/>
  <c r="E1092" i="13"/>
  <c r="F1092" i="13"/>
  <c r="C1093" i="13"/>
  <c r="D1093" i="13" l="1"/>
  <c r="C1094" i="13"/>
  <c r="F1093" i="13"/>
  <c r="E1093" i="13"/>
  <c r="D1094" i="13" l="1"/>
  <c r="E1094" i="13"/>
  <c r="F1094" i="13"/>
  <c r="C1095" i="13"/>
  <c r="F1095" i="13" l="1"/>
  <c r="D1095" i="13"/>
  <c r="C1096" i="13"/>
  <c r="E1095" i="13"/>
  <c r="D1096" i="13" l="1"/>
  <c r="E1096" i="13"/>
  <c r="F1096" i="13"/>
  <c r="C1097" i="13"/>
  <c r="D1097" i="13" l="1"/>
  <c r="F1097" i="13"/>
  <c r="E1097" i="13"/>
  <c r="C1098" i="13"/>
  <c r="D1098" i="13" l="1"/>
  <c r="F1098" i="13"/>
  <c r="C1099" i="13"/>
  <c r="E1098" i="13"/>
  <c r="D1099" i="13" l="1"/>
  <c r="F1099" i="13"/>
  <c r="E1099" i="13"/>
  <c r="C1100" i="13"/>
  <c r="E1100" i="13" l="1"/>
  <c r="D1100" i="13"/>
  <c r="F1100" i="13"/>
  <c r="C1101" i="13"/>
  <c r="D1101" i="13" l="1"/>
  <c r="F1101" i="13"/>
  <c r="C1102" i="13"/>
  <c r="E1101" i="13"/>
  <c r="D1102" i="13" l="1"/>
  <c r="E1102" i="13"/>
  <c r="C1103" i="13"/>
  <c r="F1102" i="13"/>
  <c r="C1104" i="13" l="1"/>
  <c r="F1103" i="13"/>
  <c r="D1103" i="13"/>
  <c r="E1103" i="13"/>
  <c r="D1104" i="13" l="1"/>
  <c r="F1104" i="13"/>
  <c r="C1105" i="13"/>
  <c r="E1104" i="13"/>
  <c r="D1105" i="13" l="1"/>
  <c r="F1105" i="13"/>
  <c r="C1106" i="13"/>
  <c r="E1105" i="13"/>
  <c r="D1106" i="13" l="1"/>
  <c r="F1106" i="13"/>
  <c r="C1107" i="13"/>
  <c r="E1106" i="13"/>
  <c r="D1107" i="13" l="1"/>
  <c r="F1107" i="13"/>
  <c r="C1108" i="13"/>
  <c r="E1107" i="13"/>
  <c r="D1108" i="13" l="1"/>
  <c r="F1108" i="13"/>
  <c r="C1109" i="13"/>
  <c r="E1108" i="13"/>
  <c r="D1109" i="13" l="1"/>
  <c r="E1109" i="13"/>
  <c r="C1110" i="13"/>
  <c r="F1109" i="13"/>
  <c r="D1110" i="13" l="1"/>
  <c r="F1110" i="13"/>
  <c r="C1111" i="13"/>
  <c r="E1110" i="13"/>
  <c r="D1111" i="13" l="1"/>
  <c r="E1111" i="13"/>
  <c r="C1112" i="13"/>
  <c r="F1111" i="13"/>
  <c r="D1112" i="13" l="1"/>
  <c r="E1112" i="13"/>
  <c r="C1113" i="13"/>
  <c r="F1112" i="13"/>
  <c r="D1113" i="13" l="1"/>
  <c r="E1113" i="13"/>
  <c r="C1114" i="13"/>
  <c r="F1113" i="13"/>
  <c r="D1114" i="13" l="1"/>
  <c r="E1114" i="13"/>
  <c r="F1114" i="13"/>
  <c r="C1115" i="13"/>
  <c r="D1115" i="13" l="1"/>
  <c r="C1116" i="13"/>
  <c r="E1115" i="13"/>
  <c r="F1115" i="13"/>
  <c r="D1116" i="13" l="1"/>
  <c r="F1116" i="13"/>
  <c r="E1116" i="13"/>
  <c r="C1117" i="13"/>
  <c r="D1117" i="13" l="1"/>
  <c r="F1117" i="13"/>
  <c r="E1117" i="13"/>
  <c r="C1118" i="13"/>
  <c r="D1118" i="13" l="1"/>
  <c r="F1118" i="13"/>
  <c r="C1119" i="13"/>
  <c r="E1118" i="13"/>
  <c r="C1120" i="13" l="1"/>
  <c r="F1119" i="13"/>
  <c r="D1119" i="13"/>
  <c r="E1119" i="13"/>
  <c r="D1120" i="13" l="1"/>
  <c r="F1120" i="13"/>
  <c r="C1121" i="13"/>
  <c r="E1120" i="13"/>
  <c r="D1121" i="13" l="1"/>
  <c r="F1121" i="13"/>
  <c r="C1122" i="13"/>
  <c r="E1121" i="13"/>
  <c r="D1122" i="13" l="1"/>
  <c r="F1122" i="13"/>
  <c r="E1122" i="13"/>
  <c r="C1123" i="13"/>
  <c r="D1123" i="13" l="1"/>
  <c r="E1123" i="13"/>
  <c r="C1124" i="13"/>
  <c r="F1123" i="13"/>
  <c r="D1124" i="13" l="1"/>
  <c r="E1124" i="13"/>
  <c r="C1125" i="13"/>
  <c r="F1124" i="13"/>
  <c r="E1125" i="13" l="1"/>
  <c r="F1125" i="13"/>
  <c r="D1125" i="13"/>
  <c r="C1126" i="13"/>
  <c r="D1126" i="13" l="1"/>
  <c r="F1126" i="13"/>
  <c r="C1127" i="13"/>
  <c r="E1126" i="13"/>
  <c r="D1127" i="13" l="1"/>
  <c r="F1127" i="13"/>
  <c r="C1128" i="13"/>
  <c r="E1127" i="13"/>
  <c r="F1128" i="13" l="1"/>
  <c r="D1128" i="13"/>
  <c r="E1128" i="13"/>
  <c r="C1129" i="13"/>
  <c r="D1129" i="13" l="1"/>
  <c r="E1129" i="13"/>
  <c r="C1130" i="13"/>
  <c r="F1129" i="13"/>
  <c r="D1130" i="13" l="1"/>
  <c r="F1130" i="13"/>
  <c r="E1130" i="13"/>
  <c r="C1131" i="13"/>
  <c r="D1131" i="13" l="1"/>
  <c r="F1131" i="13"/>
  <c r="E1131" i="13"/>
  <c r="C1132" i="13"/>
  <c r="D1132" i="13" l="1"/>
  <c r="F1132" i="13"/>
  <c r="E1132" i="13"/>
  <c r="C1133" i="13"/>
  <c r="D1133" i="13" l="1"/>
  <c r="F1133" i="13"/>
  <c r="C1134" i="13"/>
  <c r="E1133" i="13"/>
  <c r="E1134" i="13" l="1"/>
  <c r="F1134" i="13"/>
  <c r="D1134" i="13"/>
  <c r="C1135" i="13"/>
  <c r="C1137" i="13" l="1"/>
  <c r="C1136" i="13"/>
  <c r="F1135" i="13"/>
  <c r="E1135" i="13"/>
  <c r="D1135" i="13"/>
  <c r="D1136" i="13" l="1"/>
  <c r="F1136" i="13"/>
  <c r="E1136" i="13"/>
  <c r="C1138" i="13"/>
  <c r="F1137" i="13"/>
  <c r="E1137" i="13"/>
  <c r="D1137" i="13"/>
  <c r="F1138" i="13" l="1"/>
  <c r="D1138" i="13"/>
  <c r="E1138" i="13"/>
  <c r="C1139" i="13"/>
  <c r="C1140" i="13" l="1"/>
  <c r="D1139" i="13"/>
  <c r="E1139" i="13"/>
  <c r="F1139" i="13"/>
  <c r="C1141" i="13" l="1"/>
  <c r="F1140" i="13"/>
  <c r="E1140" i="13"/>
  <c r="D1140" i="13"/>
  <c r="D1141" i="13" l="1"/>
  <c r="F1141" i="13"/>
  <c r="E1141" i="13"/>
  <c r="C1142" i="13"/>
  <c r="D1142" i="13" l="1"/>
  <c r="F1142" i="13"/>
  <c r="C1143" i="13"/>
  <c r="E1142" i="13"/>
  <c r="D1143" i="13" l="1"/>
  <c r="F1143" i="13"/>
  <c r="C1144" i="13"/>
  <c r="E1143" i="13"/>
  <c r="D1144" i="13" l="1"/>
  <c r="C1145" i="13"/>
  <c r="E1144" i="13"/>
  <c r="F1144" i="13"/>
  <c r="D1145" i="13" l="1"/>
  <c r="E1145" i="13"/>
  <c r="C1146" i="13"/>
  <c r="F1145" i="13"/>
  <c r="D1146" i="13" l="1"/>
  <c r="E1146" i="13"/>
  <c r="C1147" i="13"/>
  <c r="F1146" i="13"/>
  <c r="D1147" i="13" l="1"/>
  <c r="E1147" i="13"/>
  <c r="C1148" i="13"/>
  <c r="F1147" i="13"/>
  <c r="D1148" i="13" l="1"/>
  <c r="E1148" i="13"/>
  <c r="C1149" i="13"/>
  <c r="F1148" i="13"/>
  <c r="D1149" i="13" l="1"/>
  <c r="E1149" i="13"/>
  <c r="C1150" i="13"/>
  <c r="F1149" i="13"/>
  <c r="C1151" i="13" l="1"/>
  <c r="E1150" i="13"/>
  <c r="F1150" i="13"/>
  <c r="D1150" i="13"/>
  <c r="D1151" i="13" l="1"/>
  <c r="C1152" i="13"/>
  <c r="E1151" i="13"/>
  <c r="F1151" i="13"/>
  <c r="D1152" i="13" l="1"/>
  <c r="F1152" i="13"/>
  <c r="C1153" i="13"/>
  <c r="E1152" i="13"/>
  <c r="D1153" i="13" l="1"/>
  <c r="C1154" i="13"/>
  <c r="E1153" i="13"/>
  <c r="F1153" i="13"/>
  <c r="D1154" i="13" l="1"/>
  <c r="F1154" i="13"/>
  <c r="C1155" i="13"/>
  <c r="E1154" i="13"/>
  <c r="D1155" i="13" l="1"/>
  <c r="C1156" i="13"/>
  <c r="F1155" i="13"/>
  <c r="E1155" i="13"/>
  <c r="D1156" i="13" l="1"/>
  <c r="E1156" i="13"/>
  <c r="C1157" i="13"/>
  <c r="F1156" i="13"/>
  <c r="D1157" i="13" l="1"/>
  <c r="F1157" i="13"/>
  <c r="C1158" i="13"/>
  <c r="E1157" i="13"/>
  <c r="D1158" i="13" l="1"/>
  <c r="E1158" i="13"/>
  <c r="C1159" i="13"/>
  <c r="F1158" i="13"/>
  <c r="D1159" i="13" l="1"/>
  <c r="F1159" i="13"/>
  <c r="C1160" i="13"/>
  <c r="E1159" i="13"/>
  <c r="D1160" i="13" l="1"/>
  <c r="C1161" i="13"/>
  <c r="F1160" i="13"/>
  <c r="E1160" i="13"/>
  <c r="D1161" i="13" l="1"/>
  <c r="E1161" i="13"/>
  <c r="C1162" i="13"/>
  <c r="F1161" i="13"/>
  <c r="D1162" i="13" l="1"/>
  <c r="F1162" i="13"/>
  <c r="C1163" i="13"/>
  <c r="E1162" i="13"/>
  <c r="D1163" i="13" l="1"/>
  <c r="F1163" i="13"/>
  <c r="C1164" i="13"/>
  <c r="E1163" i="13"/>
  <c r="D1164" i="13" l="1"/>
  <c r="E1164" i="13"/>
  <c r="C1165" i="13"/>
  <c r="F1164" i="13"/>
  <c r="D1165" i="13" l="1"/>
  <c r="E1165" i="13"/>
  <c r="C1166" i="13"/>
  <c r="F1165" i="13"/>
  <c r="D1166" i="13" l="1"/>
  <c r="F1166" i="13"/>
  <c r="C1167" i="13"/>
  <c r="E1166" i="13"/>
  <c r="D1167" i="13" l="1"/>
  <c r="F1167" i="13"/>
  <c r="C1168" i="13"/>
  <c r="E1167" i="13"/>
  <c r="D1168" i="13" l="1"/>
  <c r="E1168" i="13"/>
  <c r="C1169" i="13"/>
  <c r="F1168" i="13"/>
  <c r="D1169" i="13" l="1"/>
  <c r="C1170" i="13"/>
  <c r="F1169" i="13"/>
  <c r="E1169" i="13"/>
  <c r="D1170" i="13" l="1"/>
  <c r="F1170" i="13"/>
  <c r="C1171" i="13"/>
  <c r="E1170" i="13"/>
  <c r="D1171" i="13" l="1"/>
  <c r="F1171" i="13"/>
  <c r="C1172" i="13"/>
  <c r="E1171" i="13"/>
  <c r="D1172" i="13" l="1"/>
  <c r="F1172" i="13"/>
  <c r="C1173" i="13"/>
  <c r="E1172" i="13"/>
  <c r="D1173" i="13" l="1"/>
  <c r="F1173" i="13"/>
  <c r="C1174" i="13"/>
  <c r="E1173" i="13"/>
  <c r="D1174" i="13" l="1"/>
  <c r="C1175" i="13"/>
  <c r="E1174" i="13"/>
  <c r="F1174" i="13"/>
  <c r="C1176" i="13" l="1"/>
  <c r="D1175" i="13"/>
  <c r="F1175" i="13"/>
  <c r="E1175" i="13"/>
  <c r="D1176" i="13" l="1"/>
  <c r="E1176" i="13"/>
  <c r="C1177" i="13"/>
  <c r="F1176" i="13"/>
  <c r="D1177" i="13" l="1"/>
  <c r="C1178" i="13"/>
  <c r="F1177" i="13"/>
  <c r="E1177" i="13"/>
  <c r="D1178" i="13" l="1"/>
  <c r="E1178" i="13"/>
  <c r="C1179" i="13"/>
  <c r="F1178" i="13"/>
  <c r="C1183" i="13" l="1"/>
  <c r="C1180" i="13"/>
  <c r="E1179" i="13"/>
  <c r="C1181" i="13"/>
  <c r="F1179" i="13"/>
  <c r="C1182" i="13"/>
  <c r="D1179" i="13"/>
  <c r="D1182" i="13" l="1"/>
  <c r="F1182" i="13"/>
  <c r="E1182" i="13"/>
  <c r="C1184" i="13"/>
  <c r="D1180" i="13"/>
  <c r="F1180" i="13"/>
  <c r="E1180" i="13"/>
  <c r="E1181" i="13"/>
  <c r="F1181" i="13"/>
  <c r="D1181" i="13"/>
  <c r="C1185" i="13"/>
  <c r="F1183" i="13"/>
  <c r="E1183" i="13"/>
  <c r="D1183" i="13"/>
  <c r="D1184" i="13" l="1"/>
  <c r="C1186" i="13"/>
  <c r="F1184" i="13"/>
  <c r="E1184" i="13"/>
  <c r="C1187" i="13"/>
  <c r="F1185" i="13"/>
  <c r="E1185" i="13"/>
  <c r="D1185" i="13"/>
  <c r="F1186" i="13" l="1"/>
  <c r="C1188" i="13"/>
  <c r="E1186" i="13"/>
  <c r="D1186" i="13"/>
  <c r="C1189" i="13"/>
  <c r="F1187" i="13"/>
  <c r="D1187" i="13"/>
  <c r="E1187" i="13"/>
  <c r="C1191" i="13" l="1"/>
  <c r="D1189" i="13"/>
  <c r="E1189" i="13"/>
  <c r="F1189" i="13"/>
  <c r="E1188" i="13"/>
  <c r="D1188" i="13"/>
  <c r="C1190" i="13"/>
  <c r="F1188" i="13"/>
  <c r="D1190" i="13" l="1"/>
  <c r="F1190" i="13"/>
  <c r="E1190" i="13"/>
  <c r="C1192" i="13"/>
  <c r="E1191" i="13"/>
  <c r="F1191" i="13"/>
  <c r="D1191" i="13"/>
  <c r="E1192" i="13" l="1"/>
  <c r="C1193" i="13"/>
  <c r="F1192" i="13"/>
  <c r="D1192" i="13"/>
  <c r="C1197" i="13" l="1"/>
  <c r="E1193" i="13"/>
  <c r="C1194" i="13"/>
  <c r="C1195" i="13"/>
  <c r="C1196" i="13"/>
  <c r="D1193" i="13"/>
  <c r="F1193" i="13"/>
  <c r="F1196" i="13" l="1"/>
  <c r="E1196" i="13"/>
  <c r="D1196" i="13"/>
  <c r="F1195" i="13"/>
  <c r="E1195" i="13"/>
  <c r="D1195" i="13"/>
  <c r="D1194" i="13"/>
  <c r="E1194" i="13"/>
  <c r="C1198" i="13"/>
  <c r="F1194" i="13"/>
  <c r="F1197" i="13"/>
  <c r="E1197" i="13"/>
  <c r="D1197" i="13"/>
  <c r="D1198" i="13" l="1"/>
  <c r="F1198" i="13"/>
  <c r="C1199" i="13"/>
  <c r="E1198" i="13"/>
  <c r="E1199" i="13" l="1"/>
  <c r="C1200" i="13"/>
  <c r="F1199" i="13"/>
  <c r="D1199" i="13"/>
  <c r="F1200" i="13" l="1"/>
  <c r="D1200" i="13"/>
  <c r="C1201" i="13"/>
  <c r="E1200" i="13"/>
  <c r="C1202" i="13" l="1"/>
  <c r="D1201" i="13"/>
  <c r="F1201" i="13"/>
  <c r="E1201" i="13"/>
  <c r="C1204" i="13" l="1"/>
  <c r="F1202" i="13"/>
  <c r="C1203" i="13"/>
  <c r="D1202" i="13"/>
  <c r="E1202" i="13"/>
  <c r="D1203" i="13" l="1"/>
  <c r="E1203" i="13"/>
  <c r="C1205" i="13"/>
  <c r="F1203" i="13"/>
  <c r="F1204" i="13"/>
  <c r="D1204" i="13"/>
  <c r="E1204" i="13"/>
  <c r="D1205" i="13" l="1"/>
  <c r="E1205" i="13"/>
  <c r="C1206" i="13"/>
  <c r="F1205" i="13"/>
  <c r="E1206" i="13" l="1"/>
  <c r="C1207" i="13"/>
  <c r="F1206" i="13"/>
  <c r="D1206" i="13"/>
  <c r="C1208" i="13" l="1"/>
  <c r="E1207" i="13"/>
  <c r="F1207" i="13"/>
  <c r="D1207" i="13"/>
  <c r="C1210" i="13" l="1"/>
  <c r="E1208" i="13"/>
  <c r="F1208" i="13"/>
  <c r="C1209" i="13"/>
  <c r="D1208" i="13"/>
  <c r="E1209" i="13" l="1"/>
  <c r="D1209" i="13"/>
  <c r="C1211" i="13"/>
  <c r="F1209" i="13"/>
  <c r="E1210" i="13"/>
  <c r="D1210" i="13"/>
  <c r="F1210" i="13"/>
  <c r="E1211" i="13" l="1"/>
  <c r="D1211" i="13"/>
  <c r="C1212" i="13"/>
  <c r="F1211" i="13"/>
  <c r="F1212" i="13" l="1"/>
  <c r="D1212" i="13"/>
  <c r="C1213" i="13"/>
  <c r="E1212" i="13"/>
  <c r="E1213" i="13" l="1"/>
  <c r="F1213" i="13"/>
  <c r="C1214" i="13"/>
  <c r="D1213" i="13"/>
  <c r="F1214" i="13" l="1"/>
  <c r="D1214" i="13"/>
  <c r="C1215" i="13"/>
  <c r="E1214" i="13"/>
  <c r="D1215" i="13" l="1"/>
  <c r="C1216" i="13"/>
  <c r="E1215" i="13"/>
  <c r="F1215" i="13"/>
  <c r="E1216" i="13" l="1"/>
  <c r="D1216" i="13"/>
  <c r="F1216" i="13"/>
  <c r="C1217" i="13"/>
  <c r="D1217" i="13" l="1"/>
  <c r="C1218" i="13"/>
  <c r="F1217" i="13"/>
  <c r="E1217" i="13"/>
  <c r="C1222" i="13" l="1"/>
  <c r="C1221" i="13"/>
  <c r="D1218" i="13"/>
  <c r="C1219" i="13"/>
  <c r="E1218" i="13"/>
  <c r="F1218" i="13"/>
  <c r="C1220" i="13"/>
  <c r="F1220" i="13" l="1"/>
  <c r="D1220" i="13"/>
  <c r="E1220" i="13"/>
  <c r="E1221" i="13"/>
  <c r="F1221" i="13"/>
  <c r="D1221" i="13"/>
  <c r="D1219" i="13"/>
  <c r="C1223" i="13"/>
  <c r="E1219" i="13"/>
  <c r="F1219" i="13"/>
  <c r="D1222" i="13"/>
  <c r="F1222" i="13"/>
  <c r="E1222" i="13"/>
  <c r="D1223" i="13" l="1"/>
  <c r="C1224" i="13"/>
  <c r="F1223" i="13"/>
  <c r="E1223" i="13"/>
  <c r="C1227" i="13" l="1"/>
  <c r="D1224" i="13"/>
  <c r="C1225" i="13"/>
  <c r="E1224" i="13"/>
  <c r="F1224" i="13"/>
  <c r="C1226" i="13"/>
  <c r="D1226" i="13" l="1"/>
  <c r="E1226" i="13"/>
  <c r="F1226" i="13"/>
  <c r="E1225" i="13"/>
  <c r="F1225" i="13"/>
  <c r="D1225" i="13"/>
  <c r="C1228" i="13"/>
  <c r="C1229" i="13"/>
  <c r="F1227" i="13"/>
  <c r="D1227" i="13"/>
  <c r="E1227" i="13"/>
  <c r="C1231" i="13" l="1"/>
  <c r="F1229" i="13"/>
  <c r="D1229" i="13"/>
  <c r="E1229" i="13"/>
  <c r="D1228" i="13"/>
  <c r="E1228" i="13"/>
  <c r="F1228" i="13"/>
  <c r="C1230" i="13"/>
  <c r="E1230" i="13" l="1"/>
  <c r="F1230" i="13"/>
  <c r="D1230" i="13"/>
  <c r="C1232" i="13"/>
  <c r="D1231" i="13"/>
  <c r="E1231" i="13"/>
  <c r="F1231" i="13"/>
  <c r="D1232" i="13" l="1"/>
  <c r="C1233" i="13"/>
  <c r="F1232" i="13"/>
  <c r="E1232" i="13"/>
  <c r="D1233" i="13" l="1"/>
  <c r="C1234" i="13"/>
  <c r="E1233" i="13"/>
  <c r="F1233" i="13"/>
  <c r="C1239" i="13" l="1"/>
  <c r="F1234" i="13"/>
  <c r="E1234" i="13"/>
  <c r="C1236" i="13"/>
  <c r="C1237" i="13"/>
  <c r="D1234" i="13"/>
  <c r="C1238" i="13"/>
  <c r="C1235" i="13"/>
  <c r="D1235" i="13" l="1"/>
  <c r="F1235" i="13"/>
  <c r="C1240" i="13"/>
  <c r="E1235" i="13"/>
  <c r="F1237" i="13"/>
  <c r="D1237" i="13"/>
  <c r="E1237" i="13"/>
  <c r="F1238" i="13"/>
  <c r="D1238" i="13"/>
  <c r="E1238" i="13"/>
  <c r="D1236" i="13"/>
  <c r="F1236" i="13"/>
  <c r="E1236" i="13"/>
  <c r="D1239" i="13"/>
  <c r="E1239" i="13"/>
  <c r="F1239" i="13"/>
  <c r="D1240" i="13" l="1"/>
  <c r="E1240" i="13"/>
  <c r="F1240" i="13"/>
  <c r="C1241" i="13"/>
  <c r="D1241" i="13" l="1"/>
  <c r="C1242" i="13"/>
  <c r="E1241" i="13"/>
  <c r="F1241" i="13"/>
  <c r="D1242" i="13" l="1"/>
  <c r="C1243" i="13"/>
  <c r="E1242" i="13"/>
  <c r="F1242" i="13"/>
  <c r="C1244" i="13" l="1"/>
  <c r="F1243" i="13"/>
  <c r="D1243" i="13"/>
  <c r="E1243" i="13"/>
  <c r="D1244" i="13" l="1"/>
  <c r="E1244" i="13"/>
  <c r="C1245" i="13"/>
  <c r="F1244" i="13"/>
  <c r="C1249" i="13" l="1"/>
  <c r="C1247" i="13"/>
  <c r="C1248" i="13"/>
  <c r="C1246" i="13"/>
  <c r="E1245" i="13"/>
  <c r="D1245" i="13"/>
  <c r="F1245" i="13"/>
  <c r="D1246" i="13" l="1"/>
  <c r="C1250" i="13"/>
  <c r="E1246" i="13"/>
  <c r="F1246" i="13"/>
  <c r="D1248" i="13"/>
  <c r="F1248" i="13"/>
  <c r="E1248" i="13"/>
  <c r="D1247" i="13"/>
  <c r="E1247" i="13"/>
  <c r="F1247" i="13"/>
  <c r="C1251" i="13"/>
  <c r="E1249" i="13"/>
  <c r="D1249" i="13"/>
  <c r="F1249" i="13"/>
  <c r="C1253" i="13" l="1"/>
  <c r="C1252" i="13"/>
  <c r="E1250" i="13"/>
  <c r="F1250" i="13"/>
  <c r="D1250" i="13"/>
  <c r="E1251" i="13"/>
  <c r="D1251" i="13"/>
  <c r="F1251" i="13"/>
  <c r="C1254" i="13" l="1"/>
  <c r="E1252" i="13"/>
  <c r="F1252" i="13"/>
  <c r="D1252" i="13"/>
  <c r="F1253" i="13"/>
  <c r="D1253" i="13"/>
  <c r="E1253" i="13"/>
  <c r="C1257" i="13" l="1"/>
  <c r="C1255" i="13"/>
  <c r="D1254" i="13"/>
  <c r="C1259" i="13"/>
  <c r="F1254" i="13"/>
  <c r="C1261" i="13"/>
  <c r="C1256" i="13"/>
  <c r="C1258" i="13"/>
  <c r="E1254" i="13"/>
  <c r="C1260" i="13"/>
  <c r="F1258" i="13" l="1"/>
  <c r="D1258" i="13"/>
  <c r="E1258" i="13"/>
  <c r="F1256" i="13"/>
  <c r="D1256" i="13"/>
  <c r="E1256" i="13"/>
  <c r="F1261" i="13"/>
  <c r="E1261" i="13"/>
  <c r="D1261" i="13"/>
  <c r="F1259" i="13"/>
  <c r="E1259" i="13"/>
  <c r="D1259" i="13"/>
  <c r="F1260" i="13"/>
  <c r="D1260" i="13"/>
  <c r="E1260" i="13"/>
  <c r="D1255" i="13"/>
  <c r="C1262" i="13"/>
  <c r="F1255" i="13"/>
  <c r="E1255" i="13"/>
  <c r="F1257" i="13"/>
  <c r="E1257" i="13"/>
  <c r="D1257" i="13"/>
  <c r="C1264" i="13" l="1"/>
  <c r="D1262" i="13"/>
  <c r="C1263" i="13"/>
  <c r="E1262" i="13"/>
  <c r="F1262" i="13"/>
  <c r="C1265" i="13" l="1"/>
  <c r="F1263" i="13"/>
  <c r="D1263" i="13"/>
  <c r="E1263" i="13"/>
  <c r="D1264" i="13"/>
  <c r="E1264" i="13"/>
  <c r="F1264" i="13"/>
  <c r="E1265" i="13" l="1"/>
  <c r="F1265" i="13"/>
  <c r="C1266" i="13"/>
  <c r="D1265" i="13"/>
  <c r="D1266" i="13" l="1"/>
  <c r="C1267" i="13"/>
  <c r="F1266" i="13"/>
  <c r="C1268" i="13"/>
  <c r="E1266" i="13"/>
  <c r="C1269" i="13"/>
  <c r="E1269" i="13" l="1"/>
  <c r="D1269" i="13"/>
  <c r="F1269" i="13"/>
  <c r="D1267" i="13"/>
  <c r="E1267" i="13"/>
  <c r="C1270" i="13"/>
  <c r="F1267" i="13"/>
  <c r="D1268" i="13"/>
  <c r="E1268" i="13"/>
  <c r="F1268" i="13"/>
  <c r="E1270" i="13" l="1"/>
  <c r="C1271" i="13"/>
  <c r="D1270" i="13"/>
  <c r="F1270" i="13"/>
  <c r="E1271" i="13" l="1"/>
  <c r="F1271" i="13"/>
  <c r="D1271" i="13"/>
  <c r="C1272" i="13"/>
  <c r="C1273" i="13" l="1"/>
  <c r="D1272" i="13"/>
  <c r="F1272" i="13"/>
  <c r="E1272" i="13"/>
  <c r="C1277" i="13" l="1"/>
  <c r="C1276" i="13"/>
  <c r="C1275" i="13"/>
  <c r="D1273" i="13"/>
  <c r="E1273" i="13"/>
  <c r="C1274" i="13"/>
  <c r="F1273" i="13"/>
  <c r="D1275" i="13" l="1"/>
  <c r="F1275" i="13"/>
  <c r="E1275" i="13"/>
  <c r="D1276" i="13"/>
  <c r="E1276" i="13"/>
  <c r="F1276" i="13"/>
  <c r="D1274" i="13"/>
  <c r="C1278" i="13"/>
  <c r="E1274" i="13"/>
  <c r="F1274" i="13"/>
  <c r="F1277" i="13"/>
  <c r="E1277" i="13"/>
  <c r="D1277" i="13"/>
  <c r="D1278" i="13" l="1"/>
  <c r="C1279" i="13"/>
  <c r="E1278" i="13"/>
  <c r="F1278" i="13"/>
  <c r="C1280" i="13" l="1"/>
  <c r="E1279" i="13"/>
  <c r="F1279" i="13"/>
  <c r="D1279" i="13"/>
  <c r="F1280" i="13" l="1"/>
  <c r="D1280" i="13"/>
  <c r="E1280" i="13"/>
  <c r="C1281" i="13"/>
  <c r="D1281" i="13" l="1"/>
  <c r="E1281" i="13"/>
  <c r="C1282" i="13"/>
  <c r="F1281" i="13"/>
  <c r="C1284" i="13" l="1"/>
  <c r="C1283" i="13"/>
  <c r="E1282" i="13"/>
  <c r="F1282" i="13"/>
  <c r="D1282" i="13"/>
  <c r="D1283" i="13" l="1"/>
  <c r="C1285" i="13"/>
  <c r="F1283" i="13"/>
  <c r="E1283" i="13"/>
  <c r="F1284" i="13"/>
  <c r="E1284" i="13"/>
  <c r="D1284" i="13"/>
  <c r="D1285" i="13" l="1"/>
  <c r="C1286" i="13"/>
  <c r="E1285" i="13"/>
  <c r="F1285" i="13"/>
  <c r="C1287" i="13" l="1"/>
  <c r="F1286" i="13"/>
  <c r="D1286" i="13"/>
  <c r="E1286" i="13"/>
  <c r="C1288" i="13" l="1"/>
  <c r="E1287" i="13"/>
  <c r="F1287" i="13"/>
  <c r="D1287" i="13"/>
  <c r="D1288" i="13" l="1"/>
  <c r="C1289" i="13"/>
  <c r="E1288" i="13"/>
  <c r="F1288" i="13"/>
  <c r="D1289" i="13" l="1"/>
  <c r="E1289" i="13"/>
  <c r="C1290" i="13"/>
  <c r="F1289" i="13"/>
  <c r="D1290" i="13" l="1"/>
  <c r="F1290" i="13"/>
  <c r="E1290" i="13"/>
  <c r="C1291" i="13"/>
  <c r="C1295" i="13" l="1"/>
  <c r="C1294" i="13"/>
  <c r="C1292" i="13"/>
  <c r="D1291" i="13"/>
  <c r="E1291" i="13"/>
  <c r="F1291" i="13"/>
  <c r="C1293" i="13"/>
  <c r="F1293" i="13" l="1"/>
  <c r="E1293" i="13"/>
  <c r="D1293" i="13"/>
  <c r="E1294" i="13"/>
  <c r="F1294" i="13"/>
  <c r="D1294" i="13"/>
  <c r="D1292" i="13"/>
  <c r="F1292" i="13"/>
  <c r="E1292" i="13"/>
  <c r="C1296" i="13"/>
  <c r="E1295" i="13"/>
  <c r="F1295" i="13"/>
  <c r="D1295" i="13"/>
  <c r="F1296" i="13" l="1"/>
  <c r="C1297" i="13"/>
  <c r="D1296" i="13"/>
  <c r="E1296" i="13"/>
  <c r="C1298" i="13" l="1"/>
  <c r="F1297" i="13"/>
  <c r="E1297" i="13"/>
  <c r="D1297" i="13"/>
  <c r="F1298" i="13" l="1"/>
  <c r="D1298" i="13"/>
  <c r="E1298" i="13"/>
  <c r="C1299" i="13"/>
  <c r="F1299" i="13" l="1"/>
  <c r="D1299" i="13"/>
  <c r="C1300" i="13"/>
  <c r="E1299" i="13"/>
  <c r="E1300" i="13" l="1"/>
  <c r="D1300" i="13"/>
  <c r="C1301" i="13"/>
  <c r="F1300" i="13"/>
  <c r="C1302" i="13" l="1"/>
  <c r="F1301" i="13"/>
  <c r="D1301" i="13"/>
  <c r="E1301" i="13"/>
  <c r="D1302" i="13" l="1"/>
  <c r="C1303" i="13"/>
  <c r="F1302" i="13"/>
  <c r="E1302" i="13"/>
  <c r="D1303" i="13" l="1"/>
  <c r="C1304" i="13"/>
  <c r="E1303" i="13"/>
  <c r="F1303" i="13"/>
  <c r="C1305" i="13" l="1"/>
  <c r="D1304" i="13"/>
  <c r="F1304" i="13"/>
  <c r="E1304" i="13"/>
  <c r="D1305" i="13" l="1"/>
  <c r="C1306" i="13"/>
  <c r="E1305" i="13"/>
  <c r="F1305" i="13"/>
  <c r="D1306" i="13" l="1"/>
  <c r="C1307" i="13"/>
  <c r="F1306" i="13"/>
  <c r="E1306" i="13"/>
  <c r="D1307" i="13" l="1"/>
  <c r="C1308" i="13"/>
  <c r="F1307" i="13"/>
  <c r="C1309" i="13"/>
  <c r="C1310" i="13"/>
  <c r="E1307" i="13"/>
  <c r="C1311" i="13" l="1"/>
  <c r="F1308" i="13"/>
  <c r="E1308" i="13"/>
  <c r="D1308" i="13"/>
  <c r="F1310" i="13"/>
  <c r="E1310" i="13"/>
  <c r="D1310" i="13"/>
  <c r="E1309" i="13"/>
  <c r="F1309" i="13"/>
  <c r="D1309" i="13"/>
  <c r="D1311" i="13" l="1"/>
  <c r="F1311" i="13"/>
  <c r="C1312" i="13"/>
  <c r="E1311" i="13"/>
  <c r="E1312" i="13" l="1"/>
  <c r="F1312" i="13"/>
  <c r="D1312" i="13"/>
  <c r="C1313" i="13"/>
  <c r="E1313" i="13" l="1"/>
  <c r="D1313" i="13"/>
  <c r="C1314" i="13"/>
  <c r="F1313" i="13"/>
  <c r="D1314" i="13" l="1"/>
  <c r="F1314" i="13"/>
  <c r="C1315" i="13"/>
  <c r="E1314" i="13"/>
  <c r="E1315" i="13" l="1"/>
  <c r="C1316" i="13"/>
  <c r="D1315" i="13"/>
  <c r="F1315" i="13"/>
  <c r="D1316" i="13" l="1"/>
  <c r="F1316" i="13"/>
  <c r="C1317" i="13"/>
  <c r="E1316" i="13"/>
  <c r="D1317" i="13" l="1"/>
  <c r="E1317" i="13"/>
  <c r="C1318" i="13"/>
  <c r="F1317" i="13"/>
  <c r="D1318" i="13" l="1"/>
  <c r="F1318" i="13"/>
  <c r="C1319" i="13"/>
  <c r="E1318" i="13"/>
  <c r="C1321" i="13" l="1"/>
  <c r="C1320" i="13"/>
  <c r="E1319" i="13"/>
  <c r="F1319" i="13"/>
  <c r="D1319" i="13"/>
  <c r="D1320" i="13" l="1"/>
  <c r="C1322" i="13"/>
  <c r="E1320" i="13"/>
  <c r="F1320" i="13"/>
  <c r="F1321" i="13"/>
  <c r="E1321" i="13"/>
  <c r="D1321" i="13"/>
  <c r="D1322" i="13" l="1"/>
  <c r="E1322" i="13"/>
  <c r="C1323" i="13"/>
  <c r="F1322" i="13"/>
  <c r="D1323" i="13" l="1"/>
  <c r="C1324" i="13"/>
  <c r="E1323" i="13"/>
  <c r="C1325" i="13"/>
  <c r="F1323" i="13"/>
  <c r="C1326" i="13"/>
  <c r="P53" i="3" a="1"/>
  <c r="P53" i="3" s="1"/>
  <c r="P28" i="3" a="1"/>
  <c r="P28" i="3" s="1"/>
  <c r="P29" i="3" a="1"/>
  <c r="P29" i="3" s="1"/>
  <c r="P51" i="3" a="1"/>
  <c r="P51" i="3" s="1"/>
  <c r="P45" i="3" a="1"/>
  <c r="P45" i="3" s="1"/>
  <c r="P32" i="3" a="1"/>
  <c r="P32" i="3" s="1"/>
  <c r="P25" i="3" a="1"/>
  <c r="P25" i="3" s="1"/>
  <c r="P39" i="3" a="1"/>
  <c r="P39" i="3" s="1"/>
  <c r="P52" i="3" a="1"/>
  <c r="P52" i="3" s="1"/>
  <c r="P57" i="3" a="1"/>
  <c r="P57" i="3" s="1"/>
  <c r="P36" i="3" a="1"/>
  <c r="P36" i="3" s="1"/>
  <c r="P34" i="3" a="1"/>
  <c r="P34" i="3" s="1"/>
  <c r="P41" i="3" a="1"/>
  <c r="P41" i="3" s="1"/>
  <c r="P55" i="3" a="1"/>
  <c r="P55" i="3" s="1"/>
  <c r="P37" i="3" a="1"/>
  <c r="P37" i="3" s="1"/>
  <c r="P30" i="3" a="1"/>
  <c r="P30" i="3" s="1"/>
  <c r="P46" i="3" a="1"/>
  <c r="P46" i="3" s="1"/>
  <c r="P40" i="3" a="1"/>
  <c r="P40" i="3" s="1"/>
  <c r="P48" i="3" a="1"/>
  <c r="P48" i="3" s="1"/>
  <c r="P38" i="3" a="1"/>
  <c r="P38" i="3" s="1"/>
  <c r="P44" i="3" a="1"/>
  <c r="P44" i="3" s="1"/>
  <c r="P33" i="3" a="1"/>
  <c r="P33" i="3" s="1"/>
  <c r="P31" i="3" a="1"/>
  <c r="P31" i="3" s="1"/>
  <c r="P56" i="3" a="1"/>
  <c r="P56" i="3" s="1"/>
  <c r="P27" i="3" a="1"/>
  <c r="P27" i="3" s="1"/>
  <c r="K151" i="3" s="1"/>
  <c r="K152" i="3" s="1"/>
  <c r="P42" i="3" a="1"/>
  <c r="P42" i="3" s="1"/>
  <c r="P50" i="3" a="1"/>
  <c r="P50" i="3" s="1"/>
  <c r="P35" i="3" a="1"/>
  <c r="P35" i="3" s="1"/>
  <c r="P47" i="3" a="1"/>
  <c r="P47" i="3" s="1"/>
  <c r="P54" i="3" a="1"/>
  <c r="P54" i="3" s="1"/>
  <c r="P49" i="3" a="1"/>
  <c r="P49" i="3" s="1"/>
  <c r="P43" i="3" a="1"/>
  <c r="P43" i="3" s="1"/>
  <c r="AG45" i="3" a="1"/>
  <c r="AG45" i="3" s="1"/>
  <c r="D1326" i="13" l="1"/>
  <c r="E1326" i="13"/>
  <c r="F1326" i="13"/>
  <c r="D1325" i="13"/>
  <c r="E1325" i="13"/>
  <c r="F1325" i="13"/>
  <c r="D1324" i="13"/>
  <c r="E1324" i="13"/>
  <c r="F1324" i="13"/>
  <c r="C1327" i="13"/>
  <c r="L152" i="3"/>
  <c r="K153" i="3"/>
  <c r="K154" i="3"/>
  <c r="L154" i="3" s="1"/>
  <c r="E1327" i="13" l="1"/>
  <c r="C1328" i="13"/>
  <c r="F1327" i="13"/>
  <c r="D1327" i="13"/>
  <c r="L153" i="3"/>
  <c r="L155" i="3"/>
  <c r="E1328" i="13" l="1"/>
  <c r="C1329" i="13"/>
  <c r="F1328" i="13"/>
  <c r="D1328" i="13"/>
  <c r="C1331" i="13" l="1"/>
  <c r="C1330" i="13"/>
  <c r="F1329" i="13"/>
  <c r="E1329" i="13"/>
  <c r="D1329" i="13"/>
  <c r="D1330" i="13" l="1"/>
  <c r="C1332" i="13"/>
  <c r="F1330" i="13"/>
  <c r="E1330" i="13"/>
  <c r="D1331" i="13"/>
  <c r="E1331" i="13"/>
  <c r="F1331" i="13"/>
  <c r="D1332" i="13" l="1"/>
  <c r="E1332" i="13"/>
  <c r="C1333" i="13"/>
  <c r="F1332" i="13"/>
  <c r="D1333" i="13" l="1"/>
  <c r="E1333" i="13"/>
  <c r="C1334" i="13"/>
  <c r="F1333" i="13"/>
  <c r="C1338" i="13" l="1"/>
  <c r="C1337" i="13"/>
  <c r="C1335" i="13"/>
  <c r="F1334" i="13"/>
  <c r="E1334" i="13"/>
  <c r="D1334" i="13"/>
  <c r="C1336" i="13"/>
  <c r="E1336" i="13" l="1"/>
  <c r="F1336" i="13"/>
  <c r="D1336" i="13"/>
  <c r="F1337" i="13"/>
  <c r="D1337" i="13"/>
  <c r="E1337" i="13"/>
  <c r="F1335" i="13"/>
  <c r="E1335" i="13"/>
  <c r="D1335" i="13"/>
  <c r="C1339" i="13"/>
  <c r="F1338" i="13"/>
  <c r="E1338" i="13"/>
  <c r="D1338" i="13"/>
  <c r="C1340" i="13" l="1"/>
  <c r="F1339" i="13"/>
  <c r="D1339" i="13"/>
  <c r="E1339" i="13"/>
  <c r="F1340" i="13" l="1"/>
  <c r="E1340" i="13"/>
  <c r="D1340" i="13"/>
  <c r="C1341" i="13"/>
  <c r="D1341" i="13" l="1"/>
  <c r="C1342" i="13"/>
  <c r="F1341" i="13"/>
  <c r="E1341" i="13"/>
  <c r="C1343" i="13" l="1"/>
  <c r="F1342" i="13"/>
  <c r="D1342" i="13"/>
  <c r="E1342" i="13"/>
  <c r="F1343" i="13" l="1"/>
  <c r="E1343" i="13"/>
  <c r="C1344" i="13"/>
  <c r="D1343" i="13"/>
  <c r="C1345" i="13" l="1"/>
  <c r="F1344" i="13"/>
  <c r="D1344" i="13"/>
  <c r="E1344" i="13"/>
  <c r="C1346" i="13" l="1"/>
  <c r="F1345" i="13"/>
  <c r="E1345" i="13"/>
  <c r="D1345" i="13"/>
  <c r="E1346" i="13" l="1"/>
  <c r="C1347" i="13"/>
  <c r="F1346" i="13"/>
  <c r="D1346" i="13"/>
  <c r="F1347" i="13" l="1"/>
  <c r="D1347" i="13"/>
  <c r="C1348" i="13"/>
  <c r="E1347" i="13"/>
  <c r="E1348" i="13" l="1"/>
  <c r="C1349" i="13"/>
  <c r="F1348" i="13"/>
  <c r="D1348" i="13"/>
  <c r="C1350" i="13" l="1"/>
  <c r="F1349" i="13"/>
  <c r="E1349" i="13"/>
  <c r="D1349" i="13"/>
  <c r="C1351" i="13" l="1"/>
  <c r="F1350" i="13"/>
  <c r="D1350" i="13"/>
  <c r="E1350" i="13"/>
  <c r="C1352" i="13" l="1"/>
  <c r="F1351" i="13"/>
  <c r="E1351" i="13"/>
  <c r="D1351" i="13"/>
  <c r="C1353" i="13" l="1"/>
  <c r="F1352" i="13"/>
  <c r="E1352" i="13"/>
  <c r="D1352" i="13"/>
  <c r="C1354" i="13" l="1"/>
  <c r="F1353" i="13"/>
  <c r="E1353" i="13"/>
  <c r="D1353" i="13"/>
  <c r="E1354" i="13" l="1"/>
  <c r="C1355" i="13"/>
  <c r="F1354" i="13"/>
  <c r="D1354" i="13"/>
  <c r="C1356" i="13" l="1"/>
  <c r="D1355" i="13"/>
  <c r="F1355" i="13"/>
  <c r="E1355" i="13"/>
  <c r="E1356" i="13" l="1"/>
  <c r="C1357" i="13"/>
  <c r="F1356" i="13"/>
  <c r="D1356" i="13"/>
  <c r="C1358" i="13" l="1"/>
  <c r="E1357" i="13"/>
  <c r="D1357" i="13"/>
  <c r="F1357" i="13"/>
  <c r="C1359" i="13" l="1"/>
  <c r="F1358" i="13"/>
  <c r="E1358" i="13"/>
  <c r="D1358" i="13"/>
  <c r="D1359" i="13" l="1"/>
  <c r="C1360" i="13"/>
  <c r="F1359" i="13"/>
  <c r="E1359" i="13"/>
  <c r="F1360" i="13" l="1"/>
  <c r="C1361" i="13"/>
  <c r="E1360" i="13"/>
  <c r="D1360" i="13"/>
  <c r="C1362" i="13" l="1"/>
  <c r="E1361" i="13"/>
  <c r="D1361" i="13"/>
  <c r="F1361" i="13"/>
  <c r="C1363" i="13" l="1"/>
  <c r="F1362" i="13"/>
  <c r="D1362" i="13"/>
  <c r="E1362" i="13"/>
  <c r="C1364" i="13" l="1"/>
  <c r="F1363" i="13"/>
  <c r="E1363" i="13"/>
  <c r="D1363" i="13"/>
  <c r="C1365" i="13" l="1"/>
  <c r="F1364" i="13"/>
  <c r="E1364" i="13"/>
  <c r="D1364" i="13"/>
  <c r="F1365" i="13" l="1"/>
  <c r="E1365" i="13"/>
  <c r="C1366" i="13"/>
  <c r="D1365" i="13"/>
  <c r="D1366" i="13" l="1"/>
  <c r="C1367" i="13"/>
  <c r="E1366" i="13"/>
  <c r="F1366" i="13"/>
  <c r="C1368" i="13" l="1"/>
  <c r="F1367" i="13"/>
  <c r="D1367" i="13"/>
  <c r="E1367" i="13"/>
  <c r="C1369" i="13" l="1"/>
  <c r="E1368" i="13"/>
  <c r="F1368" i="13"/>
  <c r="D1368" i="13"/>
  <c r="C1370" i="13" l="1"/>
  <c r="F1369" i="13"/>
  <c r="D1369" i="13"/>
  <c r="E1369" i="13"/>
  <c r="C1371" i="13" l="1"/>
  <c r="E1370" i="13"/>
  <c r="D1370" i="13"/>
  <c r="F1370" i="13"/>
  <c r="C1372" i="13" l="1"/>
  <c r="F1371" i="13"/>
  <c r="E1371" i="13"/>
  <c r="D1371" i="13"/>
  <c r="E1372" i="13" l="1"/>
  <c r="D1372" i="13"/>
  <c r="C1373" i="13"/>
  <c r="F1372" i="13"/>
  <c r="E1373" i="13" l="1"/>
  <c r="C1374" i="13"/>
  <c r="F1373" i="13"/>
  <c r="D1373" i="13"/>
  <c r="C1375" i="13" l="1"/>
  <c r="D1374" i="13"/>
  <c r="E1374" i="13"/>
  <c r="F1374" i="13"/>
  <c r="E1375" i="13" l="1"/>
  <c r="C1376" i="13"/>
  <c r="F1375" i="13"/>
  <c r="D1375" i="13"/>
  <c r="E1376" i="13" l="1"/>
  <c r="C1377" i="13"/>
  <c r="F1376" i="13"/>
  <c r="D1376" i="13"/>
  <c r="E1377" i="13" l="1"/>
  <c r="C1378" i="13"/>
  <c r="F1377" i="13"/>
  <c r="D1377" i="13"/>
  <c r="E1378" i="13" l="1"/>
  <c r="D1378" i="13"/>
  <c r="F1378" i="13"/>
  <c r="C1379" i="13"/>
  <c r="E1379" i="13" l="1"/>
  <c r="F1379" i="13"/>
  <c r="C1380" i="13"/>
  <c r="D1379" i="13"/>
  <c r="C1381" i="13" l="1"/>
  <c r="E1380" i="13"/>
  <c r="F1380" i="13"/>
  <c r="D1380" i="13"/>
  <c r="D1381" i="13" l="1"/>
  <c r="E1381" i="13"/>
  <c r="C1382" i="13"/>
  <c r="F1381" i="13"/>
  <c r="E1382" i="13" l="1"/>
  <c r="C1383" i="13"/>
  <c r="F1382" i="13"/>
  <c r="D1382" i="13"/>
  <c r="F1383" i="13" l="1"/>
  <c r="E1383" i="13"/>
  <c r="C1384" i="13"/>
  <c r="D1383" i="13"/>
  <c r="E1384" i="13" l="1"/>
  <c r="F1384" i="13"/>
  <c r="C1385" i="13"/>
  <c r="D1384" i="13"/>
  <c r="F1385" i="13" l="1"/>
  <c r="E1385" i="13"/>
  <c r="D1385" i="13"/>
  <c r="C1386" i="13"/>
  <c r="C1387" i="13" l="1"/>
  <c r="D1386" i="13"/>
  <c r="E1386" i="13"/>
  <c r="F1386" i="13"/>
  <c r="D1387" i="13" l="1"/>
  <c r="E1387" i="13"/>
  <c r="C1388" i="13"/>
  <c r="F1387" i="13"/>
  <c r="E1388" i="13" l="1"/>
  <c r="F1388" i="13"/>
  <c r="C1389" i="13"/>
  <c r="D1388" i="13"/>
  <c r="E1389" i="13" l="1"/>
  <c r="F1389" i="13"/>
  <c r="C1390" i="13"/>
  <c r="D1389" i="13"/>
  <c r="D1390" i="13" l="1"/>
  <c r="E1390" i="13"/>
  <c r="C1391" i="13"/>
  <c r="F1390" i="13"/>
  <c r="D1391" i="13" l="1"/>
  <c r="E1391" i="13"/>
  <c r="C1392" i="13"/>
  <c r="F1391" i="13"/>
  <c r="C1393" i="13" l="1"/>
  <c r="F1392" i="13"/>
  <c r="E1392" i="13"/>
  <c r="D1392" i="13"/>
  <c r="E1393" i="13" l="1"/>
  <c r="C1394" i="13"/>
  <c r="F1393" i="13"/>
  <c r="D1393" i="13"/>
  <c r="C1395" i="13" l="1"/>
  <c r="E1394" i="13"/>
  <c r="D1394" i="13"/>
  <c r="F1394" i="13"/>
  <c r="F1395" i="13" l="1"/>
  <c r="C1396" i="13"/>
  <c r="E1395" i="13"/>
  <c r="D1395" i="13"/>
  <c r="C1397" i="13" l="1"/>
  <c r="D1396" i="13"/>
  <c r="E1396" i="13"/>
  <c r="F1396" i="13"/>
  <c r="E1397" i="13" l="1"/>
  <c r="C1398" i="13"/>
  <c r="F1397" i="13"/>
  <c r="D1397" i="13"/>
  <c r="F1398" i="13" l="1"/>
  <c r="D1398" i="13"/>
  <c r="C1399" i="13"/>
  <c r="E1398" i="13"/>
  <c r="C1400" i="13" l="1"/>
  <c r="E1399" i="13"/>
  <c r="D1399" i="13"/>
  <c r="F1399" i="13"/>
  <c r="C1401" i="13" l="1"/>
  <c r="D1400" i="13"/>
  <c r="F1400" i="13"/>
  <c r="E1400" i="13"/>
  <c r="E1401" i="13" l="1"/>
  <c r="F1401" i="13"/>
  <c r="C1402" i="13"/>
  <c r="D1401" i="13"/>
  <c r="C1403" i="13" l="1"/>
  <c r="E1402" i="13"/>
  <c r="D1402" i="13"/>
  <c r="F1402" i="13"/>
  <c r="E1403" i="13" l="1"/>
  <c r="D1403" i="13"/>
  <c r="F1403" i="13"/>
  <c r="C1404" i="13"/>
  <c r="E1404" i="13" l="1"/>
  <c r="C1405" i="13"/>
  <c r="D1404" i="13"/>
  <c r="F1404" i="13"/>
  <c r="E1405" i="13" l="1"/>
  <c r="C1406" i="13"/>
  <c r="F1405" i="13"/>
  <c r="D1405" i="13"/>
  <c r="C1407" i="13" l="1"/>
  <c r="D1406" i="13"/>
  <c r="F1406" i="13"/>
  <c r="E1406" i="13"/>
  <c r="E1407" i="13" l="1"/>
  <c r="F1407" i="13"/>
  <c r="D1407" i="13"/>
  <c r="C1408" i="13"/>
  <c r="F1408" i="13" l="1"/>
  <c r="E1408" i="13"/>
  <c r="C1409" i="13"/>
  <c r="D1408" i="13"/>
  <c r="E1409" i="13" l="1"/>
  <c r="C1410" i="13"/>
  <c r="F1409" i="13"/>
  <c r="D1409" i="13"/>
  <c r="D1410" i="13" l="1"/>
  <c r="C1411" i="13"/>
  <c r="F1410" i="13"/>
  <c r="E1410" i="13"/>
  <c r="D1411" i="13" l="1"/>
  <c r="F1411" i="13"/>
  <c r="E1411" i="13"/>
  <c r="C1412" i="13"/>
  <c r="E1412" i="13" l="1"/>
  <c r="F1412" i="13"/>
  <c r="D1412" i="13"/>
  <c r="C1413" i="13"/>
  <c r="C1414" i="13" l="1"/>
  <c r="D1413" i="13"/>
  <c r="E1413" i="13"/>
  <c r="F1413" i="13"/>
  <c r="E1414" i="13" l="1"/>
  <c r="C1415" i="13"/>
  <c r="F1414" i="13"/>
  <c r="D1414" i="13"/>
  <c r="F1415" i="13" l="1"/>
  <c r="D1415" i="13"/>
  <c r="C1416" i="13"/>
  <c r="E1415" i="13"/>
  <c r="E1416" i="13" l="1"/>
  <c r="D1416" i="13"/>
  <c r="C1417" i="13"/>
  <c r="F1416" i="13"/>
  <c r="C1418" i="13" l="1"/>
  <c r="F1417" i="13"/>
  <c r="E1417" i="13"/>
  <c r="D1417" i="13"/>
  <c r="E1418" i="13" l="1"/>
  <c r="C1419" i="13"/>
  <c r="F1418" i="13"/>
  <c r="D1418" i="13"/>
  <c r="E1419" i="13" l="1"/>
  <c r="D1419" i="13"/>
  <c r="F1419" i="13"/>
  <c r="C1420" i="13"/>
  <c r="E1420" i="13" l="1"/>
  <c r="F1420" i="13"/>
  <c r="D1420" i="13"/>
  <c r="C1421" i="13"/>
  <c r="D1421" i="13" l="1"/>
  <c r="C1422" i="13"/>
  <c r="E1421" i="13"/>
  <c r="F1421" i="13"/>
  <c r="F1422" i="13" l="1"/>
  <c r="E1422" i="13"/>
  <c r="D1422" i="13"/>
  <c r="C1423" i="13"/>
  <c r="F1423" i="13" l="1"/>
  <c r="E1423" i="13"/>
  <c r="C1424" i="13"/>
  <c r="D1423" i="13"/>
  <c r="E1424" i="13" l="1"/>
  <c r="C1425" i="13"/>
  <c r="D1424" i="13"/>
  <c r="F1424" i="13"/>
  <c r="E1425" i="13" l="1"/>
  <c r="F1425" i="13"/>
  <c r="D1425" i="13"/>
  <c r="C1426" i="13"/>
  <c r="C1427" i="13" l="1"/>
  <c r="D1426" i="13"/>
  <c r="E1426" i="13"/>
  <c r="F1426" i="13"/>
  <c r="E1427" i="13" l="1"/>
  <c r="C1428" i="13"/>
  <c r="F1427" i="13"/>
  <c r="D1427" i="13"/>
  <c r="E1428" i="13" l="1"/>
  <c r="C1429" i="13"/>
  <c r="F1428" i="13"/>
  <c r="D1428" i="13"/>
  <c r="E1429" i="13" l="1"/>
  <c r="D1429" i="13"/>
  <c r="F1429" i="13"/>
  <c r="C1430" i="13"/>
  <c r="E1430" i="13" l="1"/>
  <c r="C1431" i="13"/>
  <c r="F1430" i="13"/>
  <c r="D1430" i="13"/>
  <c r="C1432" i="13" l="1"/>
  <c r="F1431" i="13"/>
  <c r="D1431" i="13"/>
  <c r="E1431" i="13"/>
  <c r="E1432" i="13" l="1"/>
  <c r="C1433" i="13"/>
  <c r="D1432" i="13"/>
  <c r="F1432" i="13"/>
  <c r="F1433" i="13" l="1"/>
  <c r="D1433" i="13"/>
  <c r="C1434" i="13"/>
  <c r="E1433" i="13"/>
  <c r="E1434" i="13" l="1"/>
  <c r="C1435" i="13"/>
  <c r="F1434" i="13"/>
  <c r="D1434" i="13"/>
  <c r="E1435" i="13" l="1"/>
  <c r="F1435" i="13"/>
  <c r="C1436" i="13"/>
  <c r="D1435" i="13"/>
  <c r="E1436" i="13" l="1"/>
  <c r="D1436" i="13"/>
  <c r="C1437" i="13"/>
  <c r="F1436" i="13"/>
  <c r="E1437" i="13" l="1"/>
  <c r="C1438" i="13"/>
  <c r="F1437" i="13"/>
  <c r="D1437" i="13"/>
  <c r="C1439" i="13" l="1"/>
  <c r="F1438" i="13"/>
  <c r="E1438" i="13"/>
  <c r="D1438" i="13"/>
  <c r="E1439" i="13" l="1"/>
  <c r="F1439" i="13"/>
  <c r="D1439" i="13"/>
  <c r="C1440" i="13"/>
  <c r="D1440" i="13" l="1"/>
  <c r="C1441" i="13"/>
  <c r="F1440" i="13"/>
  <c r="E1440" i="13"/>
  <c r="E1441" i="13" l="1"/>
  <c r="C1442" i="13"/>
  <c r="F1441" i="13"/>
  <c r="D1441" i="13"/>
  <c r="F1442" i="13" l="1"/>
  <c r="E1442" i="13"/>
  <c r="C1443" i="13"/>
  <c r="D1442" i="13"/>
  <c r="E1443" i="13" l="1"/>
  <c r="C1444" i="13"/>
  <c r="D1443" i="13"/>
  <c r="F1443" i="13"/>
  <c r="F1444" i="13" l="1"/>
  <c r="C1445" i="13"/>
  <c r="E1444" i="13"/>
  <c r="D1444" i="13"/>
  <c r="E1445" i="13" l="1"/>
  <c r="F1445" i="13"/>
  <c r="D1445" i="13"/>
  <c r="C1446" i="13"/>
  <c r="F1446" i="13" l="1"/>
  <c r="E1446" i="13"/>
  <c r="C1447" i="13"/>
  <c r="D1446" i="13"/>
  <c r="E1447" i="13" l="1"/>
  <c r="C1448" i="13"/>
  <c r="D1447" i="13"/>
  <c r="F1447" i="13"/>
  <c r="E1448" i="13" l="1"/>
  <c r="D1448" i="13"/>
  <c r="C1449" i="13"/>
  <c r="F1448" i="13"/>
  <c r="E1449" i="13" l="1"/>
  <c r="D1449" i="13"/>
  <c r="F1449" i="13"/>
  <c r="C1450" i="13"/>
  <c r="E1450" i="13" l="1"/>
  <c r="C1451" i="13"/>
  <c r="F1450" i="13"/>
  <c r="D1450" i="13"/>
  <c r="D1451" i="13" l="1"/>
  <c r="E1451" i="13"/>
  <c r="C1452" i="13"/>
  <c r="F1451" i="13"/>
  <c r="E1452" i="13" l="1"/>
  <c r="D1452" i="13"/>
  <c r="C1453" i="13"/>
  <c r="F1452" i="13"/>
  <c r="F1453" i="13" l="1"/>
  <c r="E1453" i="13"/>
  <c r="D1453" i="13"/>
  <c r="C1454" i="13"/>
  <c r="E1454" i="13" l="1"/>
  <c r="C1455" i="13"/>
  <c r="F1454" i="13"/>
  <c r="D1454" i="13"/>
  <c r="E1455" i="13" l="1"/>
  <c r="D1455" i="13"/>
  <c r="C1456" i="13"/>
  <c r="F1455" i="13"/>
  <c r="F1456" i="13" l="1"/>
  <c r="E1456" i="13"/>
  <c r="C1457" i="13"/>
  <c r="D1456" i="13"/>
  <c r="E1457" i="13" l="1"/>
  <c r="F1457" i="13"/>
  <c r="D1457" i="13"/>
  <c r="C1458" i="13"/>
  <c r="E1458" i="13" l="1"/>
  <c r="F1458" i="13"/>
  <c r="C1459" i="13"/>
  <c r="D1458" i="13"/>
  <c r="E1459" i="13" l="1"/>
  <c r="C1460" i="13"/>
  <c r="F1459" i="13"/>
  <c r="D1459" i="13"/>
  <c r="E1460" i="13" l="1"/>
  <c r="C1461" i="13"/>
  <c r="D1460" i="13"/>
  <c r="F1460" i="13"/>
  <c r="E1461" i="13" l="1"/>
  <c r="C1462" i="13"/>
  <c r="F1461" i="13"/>
  <c r="D1461" i="13"/>
  <c r="E1462" i="13" l="1"/>
  <c r="C1463" i="13"/>
  <c r="F1462" i="13"/>
  <c r="D1462" i="13"/>
  <c r="E1463" i="13" l="1"/>
  <c r="D1463" i="13"/>
  <c r="C1464" i="13"/>
  <c r="F1463" i="13"/>
  <c r="E1464" i="13" l="1"/>
  <c r="D1464" i="13"/>
  <c r="F1464" i="13"/>
  <c r="C1465" i="13"/>
  <c r="F1465" i="13" l="1"/>
  <c r="C1466" i="13"/>
  <c r="D1465" i="13"/>
  <c r="E1465" i="13"/>
  <c r="E1466" i="13" l="1"/>
  <c r="D1466" i="13"/>
  <c r="F1466" i="13"/>
  <c r="C1467" i="13"/>
  <c r="E1467" i="13" l="1"/>
  <c r="F1467" i="13"/>
  <c r="D1467" i="13"/>
  <c r="C1468" i="13"/>
  <c r="D1468" i="13" l="1"/>
  <c r="C1469" i="13"/>
  <c r="E1468" i="13"/>
  <c r="F1468" i="13"/>
  <c r="E1469" i="13" l="1"/>
  <c r="F1469" i="13"/>
  <c r="D1469" i="13"/>
  <c r="C1470" i="13"/>
  <c r="D1470" i="13" l="1"/>
  <c r="E1470" i="13"/>
  <c r="C1471" i="13"/>
  <c r="F1470" i="13"/>
  <c r="D1471" i="13" l="1"/>
  <c r="E1471" i="13"/>
  <c r="C1472" i="13"/>
  <c r="F1471" i="13"/>
  <c r="E1472" i="13" l="1"/>
  <c r="F1472" i="13"/>
  <c r="D1472" i="13"/>
  <c r="C1473" i="13"/>
  <c r="E1473" i="13" l="1"/>
  <c r="C1474" i="13"/>
  <c r="F1473" i="13"/>
  <c r="D1473" i="13"/>
  <c r="D1474" i="13" l="1"/>
  <c r="E1474" i="13"/>
  <c r="C1475" i="13"/>
  <c r="F1474" i="13"/>
  <c r="D1475" i="13" l="1"/>
  <c r="F1475" i="13"/>
  <c r="E1475" i="13"/>
  <c r="C1476" i="13"/>
  <c r="E1476" i="13" l="1"/>
  <c r="D1476" i="13"/>
  <c r="C1477" i="13"/>
  <c r="F1476" i="13"/>
  <c r="D1477" i="13" l="1"/>
  <c r="F1477" i="13"/>
  <c r="E1477" i="13"/>
  <c r="C1478" i="13"/>
  <c r="E1478" i="13" l="1"/>
  <c r="C1479" i="13"/>
  <c r="F1478" i="13"/>
  <c r="D1478" i="13"/>
  <c r="E1479" i="13" l="1"/>
  <c r="C1480" i="13"/>
  <c r="F1479" i="13"/>
  <c r="D1479" i="13"/>
  <c r="E1480" i="13" l="1"/>
  <c r="D1480" i="13"/>
  <c r="F1480" i="13"/>
  <c r="C1481" i="13"/>
  <c r="E1481" i="13" l="1"/>
  <c r="D1481" i="13"/>
  <c r="F1481" i="13"/>
  <c r="C1482" i="13"/>
  <c r="E1482" i="13" l="1"/>
  <c r="F1482" i="13"/>
  <c r="C1483" i="13"/>
  <c r="D1482" i="13"/>
  <c r="E1483" i="13" l="1"/>
  <c r="D1483" i="13"/>
  <c r="F1483" i="13"/>
  <c r="C1484" i="13"/>
  <c r="E1484" i="13" l="1"/>
  <c r="D1484" i="13"/>
  <c r="F1484" i="13"/>
  <c r="C1485" i="13"/>
  <c r="D1485" i="13" l="1"/>
  <c r="C1486" i="13"/>
  <c r="E1485" i="13"/>
  <c r="F1485" i="13"/>
  <c r="D1486" i="13" l="1"/>
  <c r="E1486" i="13"/>
  <c r="F1486" i="13"/>
  <c r="C1487" i="13"/>
  <c r="E1487" i="13" l="1"/>
  <c r="C1488" i="13"/>
  <c r="F1487" i="13"/>
  <c r="D1487" i="13"/>
  <c r="E1488" i="13" l="1"/>
  <c r="C1489" i="13"/>
  <c r="D1488" i="13"/>
  <c r="F1488" i="13"/>
  <c r="F1489" i="13" l="1"/>
  <c r="C1490" i="13"/>
  <c r="E1489" i="13"/>
  <c r="D1489" i="13"/>
  <c r="C1491" i="13" l="1"/>
  <c r="F1490" i="13"/>
  <c r="D1490" i="13"/>
  <c r="E1490" i="13"/>
  <c r="F1491" i="13" l="1"/>
  <c r="C1492" i="13"/>
  <c r="D1491" i="13"/>
  <c r="E1491" i="13"/>
  <c r="C1493" i="13" l="1"/>
  <c r="E1492" i="13"/>
  <c r="F1492" i="13"/>
  <c r="D1492" i="13"/>
  <c r="C1494" i="13" l="1"/>
  <c r="E1493" i="13"/>
  <c r="D1493" i="13"/>
  <c r="F1493" i="13"/>
  <c r="C1495" i="13" l="1"/>
  <c r="E1494" i="13"/>
  <c r="F1494" i="13"/>
  <c r="D1494" i="13"/>
  <c r="C1496" i="13" l="1"/>
  <c r="F1495" i="13"/>
  <c r="D1495" i="13"/>
  <c r="E1495" i="13"/>
  <c r="C1497" i="13" l="1"/>
  <c r="D1496" i="13"/>
  <c r="F1496" i="13"/>
  <c r="E1496" i="13"/>
  <c r="C1498" i="13" l="1"/>
  <c r="E1497" i="13"/>
  <c r="D1497" i="13"/>
  <c r="F1497" i="13"/>
  <c r="D1498" i="13" l="1"/>
  <c r="C1499" i="13"/>
  <c r="E1498" i="13"/>
  <c r="F1498" i="13"/>
  <c r="C1500" i="13" l="1"/>
  <c r="D1499" i="13"/>
  <c r="F1499" i="13"/>
  <c r="E1499" i="13"/>
  <c r="C1501" i="13" l="1"/>
  <c r="D1500" i="13"/>
  <c r="E1500" i="13"/>
  <c r="F1500" i="13"/>
  <c r="D1501" i="13" l="1"/>
  <c r="C1502" i="13"/>
  <c r="F1501" i="13"/>
  <c r="E1501" i="13"/>
  <c r="C1503" i="13" l="1"/>
  <c r="F1502" i="13"/>
  <c r="E1502" i="13"/>
  <c r="D1502" i="13"/>
  <c r="C1504" i="13" l="1"/>
  <c r="D1503" i="13"/>
  <c r="F1503" i="13"/>
  <c r="E1503" i="13"/>
  <c r="F1504" i="13" l="1"/>
  <c r="C1505" i="13"/>
  <c r="E1504" i="13"/>
  <c r="D1504" i="13"/>
  <c r="C1506" i="13" l="1"/>
  <c r="F1505" i="13"/>
  <c r="D1505" i="13"/>
  <c r="E1505" i="13"/>
  <c r="C1507" i="13" l="1"/>
  <c r="F1506" i="13"/>
  <c r="E1506" i="13"/>
  <c r="D1506" i="13"/>
  <c r="F1507" i="13" l="1"/>
  <c r="D1507" i="13"/>
  <c r="C1508" i="13"/>
  <c r="E1507" i="13"/>
  <c r="C1509" i="13" l="1"/>
  <c r="D1508" i="13"/>
  <c r="F1508" i="13"/>
  <c r="E1508" i="13"/>
  <c r="C1510" i="13" l="1"/>
  <c r="E1509" i="13"/>
  <c r="F1509" i="13"/>
  <c r="D1509" i="13"/>
  <c r="F1510" i="13" l="1"/>
  <c r="D1510" i="13"/>
  <c r="C1511" i="13"/>
  <c r="E1510" i="13"/>
  <c r="C1512" i="13" l="1"/>
  <c r="D1511" i="13"/>
  <c r="E1511" i="13"/>
  <c r="F1511" i="13"/>
  <c r="C1513" i="13" l="1"/>
  <c r="F1512" i="13"/>
  <c r="E1512" i="13"/>
  <c r="D1512" i="13"/>
  <c r="C1514" i="13" l="1"/>
  <c r="D1513" i="13"/>
  <c r="E1513" i="13"/>
  <c r="F1513" i="13"/>
  <c r="F1514" i="13" l="1"/>
  <c r="C1515" i="13"/>
  <c r="E1514" i="13"/>
  <c r="D1514" i="13"/>
  <c r="C1516" i="13" l="1"/>
  <c r="D1515" i="13"/>
  <c r="F1515" i="13"/>
  <c r="E1515" i="13"/>
  <c r="C1517" i="13" l="1"/>
  <c r="E1516" i="13"/>
  <c r="F1516" i="13"/>
  <c r="D1516" i="13"/>
  <c r="F1517" i="13" l="1"/>
  <c r="D1517" i="13"/>
  <c r="C1518" i="13"/>
  <c r="E1517" i="13"/>
  <c r="C1519" i="13" l="1"/>
  <c r="F1518" i="13"/>
  <c r="E1518" i="13"/>
  <c r="D1518" i="13"/>
  <c r="C1520" i="13" l="1"/>
  <c r="D1519" i="13"/>
  <c r="F1519" i="13"/>
  <c r="E1519" i="13"/>
  <c r="C1521" i="13" l="1"/>
  <c r="E1520" i="13"/>
  <c r="D1520" i="13"/>
  <c r="F1520" i="13"/>
  <c r="C1522" i="13" l="1"/>
  <c r="E1521" i="13"/>
  <c r="F1521" i="13"/>
  <c r="D1521" i="13"/>
  <c r="C1523" i="13" l="1"/>
  <c r="F1522" i="13"/>
  <c r="D1522" i="13"/>
  <c r="E1522" i="13"/>
  <c r="C1524" i="13" l="1"/>
  <c r="F1523" i="13"/>
  <c r="D1523" i="13"/>
  <c r="E1523" i="13"/>
  <c r="C1525" i="13" l="1"/>
  <c r="E1524" i="13"/>
  <c r="F1524" i="13"/>
  <c r="D1524" i="13"/>
  <c r="C1526" i="13" l="1"/>
  <c r="F1525" i="13"/>
  <c r="E1525" i="13"/>
  <c r="D1525" i="13"/>
  <c r="F1526" i="13" l="1"/>
  <c r="C1527" i="13"/>
  <c r="E1526" i="13"/>
  <c r="D1526" i="13"/>
  <c r="C1528" i="13" l="1"/>
  <c r="D1527" i="13"/>
  <c r="E1527" i="13"/>
  <c r="F1527" i="13"/>
  <c r="D1528" i="13" l="1"/>
  <c r="C1529" i="13"/>
  <c r="E1528" i="13"/>
  <c r="F1528" i="13"/>
  <c r="F1529" i="13" l="1"/>
  <c r="C1530" i="13"/>
  <c r="D1529" i="13"/>
  <c r="E1529" i="13"/>
  <c r="E1530" i="13" l="1"/>
  <c r="D1530" i="13"/>
  <c r="F1530" i="13"/>
  <c r="C1531" i="13"/>
  <c r="F1531" i="13" l="1"/>
  <c r="C1532" i="13"/>
  <c r="D1531" i="13"/>
  <c r="E1531" i="13"/>
  <c r="E1532" i="13" l="1"/>
  <c r="F1532" i="13"/>
  <c r="C1533" i="13"/>
  <c r="D1532" i="13"/>
  <c r="E1533" i="13" l="1"/>
  <c r="F1533" i="13"/>
  <c r="C1534" i="13"/>
  <c r="D1533" i="13"/>
  <c r="E1534" i="13" l="1"/>
  <c r="C1535" i="13"/>
  <c r="D1534" i="13"/>
  <c r="F1534" i="13"/>
  <c r="D1535" i="13" l="1"/>
  <c r="F1535" i="13"/>
  <c r="C1536" i="13"/>
  <c r="E1535" i="13"/>
  <c r="C1537" i="13" l="1"/>
  <c r="D1536" i="13"/>
  <c r="E1536" i="13"/>
  <c r="F1536" i="13"/>
  <c r="C1538" i="13" l="1"/>
  <c r="F1537" i="13"/>
  <c r="E1537" i="13"/>
  <c r="D1537" i="13"/>
  <c r="F1538" i="13" l="1"/>
  <c r="C1539" i="13"/>
  <c r="D1538" i="13"/>
  <c r="E1538" i="13"/>
  <c r="F1539" i="13" l="1"/>
  <c r="E1539" i="13"/>
  <c r="D1539" i="13"/>
  <c r="C1540" i="13"/>
  <c r="D1540" i="13" l="1"/>
  <c r="F1540" i="13"/>
  <c r="E1540" i="13"/>
  <c r="C1541" i="13"/>
  <c r="F1541" i="13" l="1"/>
  <c r="E1541" i="13"/>
  <c r="C1542" i="13"/>
  <c r="D1541" i="13"/>
  <c r="E1542" i="13" l="1"/>
  <c r="C1543" i="13"/>
  <c r="D1542" i="13"/>
  <c r="F1542" i="13"/>
  <c r="F1543" i="13" l="1"/>
  <c r="E1543" i="13"/>
  <c r="C1544" i="13"/>
  <c r="D1543" i="13"/>
  <c r="C1545" i="13" l="1"/>
  <c r="D1544" i="13"/>
  <c r="F1544" i="13"/>
  <c r="E1544" i="13"/>
  <c r="C1546" i="13" l="1"/>
  <c r="D1545" i="13"/>
  <c r="F1545" i="13"/>
  <c r="E1545" i="13"/>
  <c r="E1546" i="13" l="1"/>
  <c r="F1546" i="13"/>
  <c r="C1547" i="13"/>
  <c r="D1546" i="13"/>
  <c r="F1547" i="13" l="1"/>
  <c r="C1548" i="13"/>
  <c r="E1547" i="13"/>
  <c r="D1547" i="13"/>
  <c r="F1548" i="13" l="1"/>
  <c r="E1548" i="13"/>
  <c r="C1549" i="13"/>
  <c r="D1548" i="13"/>
  <c r="D1549" i="13" l="1"/>
  <c r="F1549" i="13"/>
  <c r="E1549" i="13"/>
  <c r="C1550" i="13"/>
  <c r="D1550" i="13" l="1"/>
  <c r="E1550" i="13"/>
  <c r="F1550" i="13"/>
  <c r="C1551" i="13"/>
  <c r="E1551" i="13" l="1"/>
  <c r="C1552" i="13"/>
  <c r="F1551" i="13"/>
  <c r="D1551" i="13"/>
  <c r="C1553" i="13" l="1"/>
  <c r="E1552" i="13"/>
  <c r="F1552" i="13"/>
  <c r="D1552" i="13"/>
  <c r="E1553" i="13" l="1"/>
  <c r="F1553" i="13"/>
  <c r="D1553" i="13"/>
  <c r="C1554" i="13"/>
  <c r="C1555" i="13" l="1"/>
  <c r="D1554" i="13"/>
  <c r="E1554" i="13"/>
  <c r="F1554" i="13"/>
  <c r="E1555" i="13" l="1"/>
  <c r="C1556" i="13"/>
  <c r="D1555" i="13"/>
  <c r="F1555" i="13"/>
  <c r="F1556" i="13" l="1"/>
  <c r="C1557" i="13"/>
  <c r="E1556" i="13"/>
  <c r="D1556" i="13"/>
  <c r="F1557" i="13" l="1"/>
  <c r="E1557" i="13"/>
  <c r="C1558" i="13"/>
  <c r="D1557" i="13"/>
  <c r="D1558" i="13" l="1"/>
  <c r="F1558" i="13"/>
  <c r="E1558" i="13"/>
  <c r="C1559" i="13"/>
  <c r="D1559" i="13" l="1"/>
  <c r="E1559" i="13"/>
  <c r="F1559" i="13"/>
  <c r="C1560" i="13"/>
  <c r="E1560" i="13" l="1"/>
  <c r="D1560" i="13"/>
  <c r="F1560" i="13"/>
  <c r="C1561" i="13"/>
  <c r="F1561" i="13" l="1"/>
  <c r="C1562" i="13"/>
  <c r="E1561" i="13"/>
  <c r="D1561" i="13"/>
  <c r="C1563" i="13" l="1"/>
  <c r="F1562" i="13"/>
  <c r="D1562" i="13"/>
  <c r="E1562" i="13"/>
  <c r="F1563" i="13" l="1"/>
  <c r="C1564" i="13"/>
  <c r="D1563" i="13"/>
  <c r="E1563" i="13"/>
  <c r="F1564" i="13" l="1"/>
  <c r="C1565" i="13"/>
  <c r="E1564" i="13"/>
  <c r="D1564" i="13"/>
  <c r="F1565" i="13" l="1"/>
  <c r="C1566" i="13"/>
  <c r="D1565" i="13"/>
  <c r="E1565" i="13"/>
  <c r="F1566" i="13" l="1"/>
  <c r="D1566" i="13"/>
  <c r="E1566" i="13"/>
  <c r="C1567" i="13"/>
  <c r="D1567" i="13" l="1"/>
  <c r="F1567" i="13"/>
  <c r="C1568" i="13"/>
  <c r="E1567" i="13"/>
  <c r="F1568" i="13" l="1"/>
  <c r="C1569" i="13"/>
  <c r="E1568" i="13"/>
  <c r="D1568" i="13"/>
  <c r="F1569" i="13" l="1"/>
  <c r="E1569" i="13"/>
  <c r="D1569" i="13"/>
  <c r="C1570" i="13"/>
  <c r="F1570" i="13" l="1"/>
  <c r="C1571" i="13"/>
  <c r="D1570" i="13"/>
  <c r="E1570" i="13"/>
  <c r="C1572" i="13" l="1"/>
  <c r="F1571" i="13"/>
  <c r="D1571" i="13"/>
  <c r="E1571" i="13"/>
  <c r="D1572" i="13" l="1"/>
  <c r="E1572" i="13"/>
  <c r="F1572" i="13"/>
  <c r="C1573" i="13"/>
  <c r="F1573" i="13" l="1"/>
  <c r="E1573" i="13"/>
  <c r="C1574" i="13"/>
  <c r="D1573" i="13"/>
  <c r="F1574" i="13" l="1"/>
  <c r="C1575" i="13"/>
  <c r="D1574" i="13"/>
  <c r="E1574" i="13"/>
  <c r="F1575" i="13" l="1"/>
  <c r="D1575" i="13"/>
  <c r="E1575" i="13"/>
  <c r="C1576" i="13"/>
  <c r="C1577" i="13" l="1"/>
  <c r="F1576" i="13"/>
  <c r="D1576" i="13"/>
  <c r="E1576" i="13"/>
  <c r="F1577" i="13" l="1"/>
  <c r="E1577" i="13"/>
  <c r="C1578" i="13"/>
  <c r="D1577" i="13"/>
  <c r="E1578" i="13" l="1"/>
  <c r="D1578" i="13"/>
  <c r="F1578" i="13"/>
  <c r="C1579" i="13"/>
  <c r="F1579" i="13" l="1"/>
  <c r="C1580" i="13"/>
  <c r="D1579" i="13"/>
  <c r="E1579" i="13"/>
  <c r="D1580" i="13" l="1"/>
  <c r="F1580" i="13"/>
  <c r="E1580" i="13"/>
  <c r="C1581" i="13"/>
  <c r="F1581" i="13" l="1"/>
  <c r="C1582" i="13"/>
  <c r="E1581" i="13"/>
  <c r="D1581" i="13"/>
  <c r="C1583" i="13" l="1"/>
  <c r="F1582" i="13"/>
  <c r="E1582" i="13"/>
  <c r="D1582" i="13"/>
  <c r="E1583" i="13" l="1"/>
  <c r="C1584" i="13"/>
  <c r="F1583" i="13"/>
  <c r="D1583" i="13"/>
  <c r="E1584" i="13" l="1"/>
  <c r="D1584" i="13"/>
  <c r="F1584" i="13"/>
  <c r="C1585" i="13"/>
  <c r="C1586" i="13" l="1"/>
  <c r="D1585" i="13"/>
  <c r="F1585" i="13"/>
  <c r="E1585" i="13"/>
  <c r="C1587" i="13" l="1"/>
  <c r="D1586" i="13"/>
  <c r="F1586" i="13"/>
  <c r="E1586" i="13"/>
  <c r="D1587" i="13" l="1"/>
  <c r="E1587" i="13"/>
  <c r="F1587" i="13"/>
  <c r="C1588" i="13"/>
  <c r="F1588" i="13" l="1"/>
  <c r="E1588" i="13"/>
  <c r="C1589" i="13"/>
  <c r="D1588" i="13"/>
  <c r="F1589" i="13" l="1"/>
  <c r="E1589" i="13"/>
  <c r="C1590" i="13"/>
  <c r="D1589" i="13"/>
  <c r="D1590" i="13" l="1"/>
  <c r="E1590" i="13"/>
  <c r="F1590" i="13"/>
  <c r="C1591" i="13"/>
  <c r="E1591" i="13" l="1"/>
  <c r="F1591" i="13"/>
  <c r="C1592" i="13"/>
  <c r="D1591" i="13"/>
  <c r="E1592" i="13" l="1"/>
  <c r="F1592" i="13"/>
  <c r="C1593" i="13"/>
  <c r="D1592" i="13"/>
  <c r="C1594" i="13" l="1"/>
  <c r="F1593" i="13"/>
  <c r="E1593" i="13"/>
  <c r="D1593" i="13"/>
  <c r="C1595" i="13" l="1"/>
  <c r="D1594" i="13"/>
  <c r="E1594" i="13"/>
  <c r="F1594" i="13"/>
  <c r="E1595" i="13" l="1"/>
  <c r="D1595" i="13"/>
  <c r="F1595" i="13"/>
  <c r="C1596" i="13"/>
  <c r="C1597" i="13" l="1"/>
  <c r="E1596" i="13"/>
  <c r="F1596" i="13"/>
  <c r="D1596" i="13"/>
  <c r="D1597" i="13" l="1"/>
  <c r="F1597" i="13"/>
  <c r="E1597" i="13"/>
  <c r="C1598" i="13"/>
  <c r="E1598" i="13" l="1"/>
  <c r="F1598" i="13"/>
  <c r="C1599" i="13"/>
  <c r="D1598" i="13"/>
  <c r="E1599" i="13" l="1"/>
  <c r="D1599" i="13"/>
  <c r="F1599" i="13"/>
  <c r="C1600" i="13"/>
  <c r="D1600" i="13" l="1"/>
  <c r="E1600" i="13"/>
  <c r="F1600" i="13"/>
  <c r="C1601" i="13"/>
  <c r="D1601" i="13" l="1"/>
  <c r="E1601" i="13"/>
  <c r="F1601" i="13"/>
  <c r="C1602" i="13"/>
  <c r="E1602" i="13" l="1"/>
  <c r="F1602" i="13"/>
  <c r="C1603" i="13"/>
  <c r="D1602" i="13"/>
  <c r="F1603" i="13" l="1"/>
  <c r="C1604" i="13"/>
  <c r="D1603" i="13"/>
  <c r="E1603" i="13"/>
  <c r="E1604" i="13" l="1"/>
  <c r="F1604" i="13"/>
  <c r="C1605" i="13"/>
  <c r="D1604" i="13"/>
  <c r="F1605" i="13" l="1"/>
  <c r="E1605" i="13"/>
  <c r="C1606" i="13"/>
  <c r="D1605" i="13"/>
  <c r="F1606" i="13" l="1"/>
  <c r="E1606" i="13"/>
  <c r="D1606" i="13"/>
  <c r="C1607" i="13"/>
  <c r="F1607" i="13" l="1"/>
  <c r="E1607" i="13"/>
  <c r="C1608" i="13"/>
  <c r="D1607" i="13"/>
  <c r="C1609" i="13" l="1"/>
  <c r="D1608" i="13"/>
  <c r="F1608" i="13"/>
  <c r="E1608" i="13"/>
  <c r="F1609" i="13" l="1"/>
  <c r="C1610" i="13"/>
  <c r="E1609" i="13"/>
  <c r="D1609" i="13"/>
  <c r="E1610" i="13" l="1"/>
  <c r="F1610" i="13"/>
  <c r="D1610" i="13"/>
  <c r="C1611" i="13"/>
  <c r="F1611" i="13" l="1"/>
  <c r="E1611" i="13"/>
  <c r="C1612" i="13"/>
  <c r="D1611" i="13"/>
  <c r="F1612" i="13" l="1"/>
  <c r="D1612" i="13"/>
  <c r="E1612" i="13"/>
  <c r="C1613" i="13"/>
  <c r="E1613" i="13" l="1"/>
  <c r="D1613" i="13"/>
  <c r="F1613" i="13"/>
  <c r="Z7" i="13"/>
  <c r="AE39" i="3"/>
  <c r="Z39" i="3" s="1"/>
  <c r="AB39" i="3"/>
  <c r="W39" i="3" s="1"/>
  <c r="AD42" i="3"/>
  <c r="Y42" i="3" s="1"/>
  <c r="AB45" i="3"/>
  <c r="W45" i="3" s="1"/>
  <c r="AC45" i="3"/>
  <c r="X45" i="3" s="1"/>
  <c r="AC35" i="3"/>
  <c r="X35" i="3" s="1"/>
  <c r="AE44" i="3"/>
  <c r="Z44" i="3" s="1"/>
  <c r="AE38" i="3"/>
  <c r="Z5" i="13"/>
  <c r="AB42" i="3"/>
  <c r="W42" i="3" s="1"/>
  <c r="AD35" i="3"/>
  <c r="Y35" i="3" s="1"/>
  <c r="AB34" i="3"/>
  <c r="W34" i="3" s="1"/>
  <c r="AC34" i="3"/>
  <c r="X34" i="3" s="1"/>
  <c r="AE36" i="3"/>
  <c r="Z36" i="3" s="1"/>
  <c r="AE37" i="3"/>
  <c r="Z37" i="3" s="1"/>
  <c r="AB40" i="3"/>
  <c r="W40" i="3" s="1"/>
  <c r="Z4" i="13"/>
  <c r="AC40" i="3"/>
  <c r="X40" i="3" s="1"/>
  <c r="AB35" i="3"/>
  <c r="W35" i="3" s="1"/>
  <c r="AD39" i="3"/>
  <c r="Y39" i="3" s="1"/>
  <c r="AB36" i="3"/>
  <c r="W36" i="3" s="1"/>
  <c r="Z12" i="13"/>
  <c r="AD45" i="3"/>
  <c r="Y45" i="3" s="1"/>
  <c r="Z6" i="13"/>
  <c r="AE34" i="3"/>
  <c r="Z34" i="3" s="1"/>
  <c r="AE35" i="3"/>
  <c r="Z35" i="3" s="1"/>
  <c r="AC39" i="3"/>
  <c r="X39" i="3" s="1"/>
  <c r="AE41" i="3"/>
  <c r="Z41" i="3" s="1"/>
  <c r="AB43" i="3"/>
  <c r="W43" i="3" s="1"/>
  <c r="Z13" i="13"/>
  <c r="AB37" i="3"/>
  <c r="W37" i="3" s="1"/>
  <c r="AC42" i="3"/>
  <c r="X42" i="3" s="1"/>
  <c r="AE42" i="3"/>
  <c r="Z42" i="3" s="1"/>
  <c r="AD34" i="3"/>
  <c r="Y34" i="3" s="1"/>
  <c r="Z11" i="13"/>
  <c r="Z14" i="13"/>
  <c r="AD44" i="3"/>
  <c r="Y44" i="3" s="1"/>
  <c r="AB41" i="3"/>
  <c r="W41" i="3" s="1"/>
  <c r="AD41" i="3"/>
  <c r="Y41" i="3" s="1"/>
  <c r="AE45" i="3"/>
  <c r="Z45" i="3" s="1"/>
  <c r="AC36" i="3"/>
  <c r="X36" i="3" s="1"/>
  <c r="AD38" i="3"/>
  <c r="AG38" i="3" a="1"/>
  <c r="AG38" i="3" s="1"/>
  <c r="AD37" i="3"/>
  <c r="Y37" i="3" s="1"/>
  <c r="Z10" i="13"/>
  <c r="AC41" i="3"/>
  <c r="X41" i="3" s="1"/>
  <c r="AC43" i="3"/>
  <c r="X43" i="3" s="1"/>
  <c r="AC38" i="3"/>
  <c r="AC44" i="3"/>
  <c r="X44" i="3" s="1"/>
  <c r="Z9" i="13"/>
  <c r="AD40" i="3"/>
  <c r="Y40" i="3" s="1"/>
  <c r="Z8" i="13"/>
  <c r="AE43" i="3"/>
  <c r="Z43" i="3" s="1"/>
  <c r="AD43" i="3"/>
  <c r="Y43" i="3" s="1"/>
  <c r="AC37" i="3"/>
  <c r="X37" i="3" s="1"/>
  <c r="AD36" i="3"/>
  <c r="Y36" i="3" s="1"/>
  <c r="AB44" i="3"/>
  <c r="W44" i="3" s="1"/>
  <c r="AB38" i="3"/>
  <c r="AE40" i="3"/>
  <c r="Z40" i="3" s="1"/>
  <c r="D10" i="3"/>
  <c r="E11" i="3"/>
  <c r="E16" i="3"/>
  <c r="D8" i="3"/>
  <c r="E14" i="3"/>
  <c r="E5" i="3"/>
  <c r="E8" i="3"/>
  <c r="D11" i="3"/>
  <c r="D13" i="3"/>
  <c r="D7" i="3"/>
  <c r="E13" i="3"/>
  <c r="E15" i="3"/>
  <c r="E12" i="3"/>
  <c r="D14" i="3"/>
  <c r="F14" i="3" s="1"/>
  <c r="D12" i="3"/>
  <c r="F12" i="3" s="1"/>
  <c r="E10" i="3"/>
  <c r="G10" i="3" s="1"/>
  <c r="D5" i="3"/>
  <c r="F5" i="3" s="1"/>
  <c r="D16" i="3"/>
  <c r="F16" i="3" s="1"/>
  <c r="D6" i="3"/>
  <c r="E6" i="3"/>
  <c r="G6" i="3" s="1"/>
  <c r="E9" i="3"/>
  <c r="D9" i="3"/>
  <c r="E7" i="3"/>
  <c r="G7" i="3" s="1"/>
  <c r="D15" i="3"/>
  <c r="F15" i="3" s="1"/>
  <c r="G8" i="3" l="1"/>
  <c r="G13" i="3"/>
  <c r="G11" i="3"/>
  <c r="F13" i="3"/>
  <c r="F10" i="3"/>
  <c r="X17" i="3"/>
  <c r="F11" i="3"/>
  <c r="W38" i="3"/>
  <c r="W28" i="3"/>
  <c r="Y28" i="3"/>
  <c r="Y38" i="3"/>
  <c r="F9" i="3"/>
  <c r="I5" i="3" s="1" a="1"/>
  <c r="I5" i="3" s="1"/>
  <c r="L10" i="3" s="1"/>
  <c r="J9" i="3"/>
  <c r="G5" i="3"/>
  <c r="J10" i="3"/>
  <c r="G9" i="3"/>
  <c r="J5" i="3" s="1" a="1"/>
  <c r="J5" i="3" s="1"/>
  <c r="M10" i="3" s="1"/>
  <c r="G12" i="3"/>
  <c r="G14" i="3"/>
  <c r="X28" i="3"/>
  <c r="X38" i="3"/>
  <c r="Z28" i="3"/>
  <c r="Z38" i="3"/>
  <c r="G15" i="3"/>
  <c r="F8" i="3"/>
  <c r="F6" i="3"/>
  <c r="G16" i="3"/>
  <c r="F7" i="3"/>
  <c r="W19" i="3" l="1"/>
  <c r="X29" i="3"/>
  <c r="AC28" i="3"/>
  <c r="AC20" i="3"/>
  <c r="Y29" i="3"/>
  <c r="AD20" i="3"/>
  <c r="AD28" i="3"/>
  <c r="U19" i="3"/>
  <c r="W29" i="3"/>
  <c r="Y19" i="3"/>
  <c r="Y20" i="3" s="1"/>
  <c r="AE22" i="3" s="1"/>
  <c r="AA28" i="3"/>
  <c r="AB20" i="3"/>
  <c r="AB28" i="3"/>
  <c r="AE20" i="3"/>
  <c r="V15" i="3"/>
  <c r="AE28" i="3"/>
  <c r="Z29" i="3"/>
  <c r="T24" i="3" s="1"/>
  <c r="S19" i="3"/>
  <c r="V19" i="3" l="1"/>
  <c r="U20" i="3"/>
  <c r="V20" i="3" s="1"/>
  <c r="T19" i="3"/>
  <c r="S20" i="3"/>
  <c r="S16" i="3"/>
  <c r="U15" i="3" s="1"/>
  <c r="AC22" i="3"/>
  <c r="AA29" i="3"/>
  <c r="W20" i="3"/>
  <c r="X19" i="3"/>
  <c r="X20" i="3" l="1"/>
  <c r="AD22" i="3"/>
  <c r="T20" i="3"/>
  <c r="AB22" i="3"/>
  <c r="R17" i="3" s="1"/>
  <c r="R19" i="3" s="1"/>
  <c r="R21" i="3" s="1"/>
</calcChain>
</file>

<file path=xl/sharedStrings.xml><?xml version="1.0" encoding="utf-8"?>
<sst xmlns="http://schemas.openxmlformats.org/spreadsheetml/2006/main" count="767" uniqueCount="279">
  <si>
    <t>Saldo</t>
  </si>
  <si>
    <t>Iniziale</t>
  </si>
  <si>
    <t>Attuale</t>
  </si>
  <si>
    <t>Carta</t>
  </si>
  <si>
    <t>Cash</t>
  </si>
  <si>
    <t>Conto Trading</t>
  </si>
  <si>
    <t>Totale</t>
  </si>
  <si>
    <t>Data</t>
  </si>
  <si>
    <t>Giorno</t>
  </si>
  <si>
    <t>Mese</t>
  </si>
  <si>
    <t>Anno</t>
  </si>
  <si>
    <t>Descrizione</t>
  </si>
  <si>
    <t>Categoria</t>
  </si>
  <si>
    <t>Uscite</t>
  </si>
  <si>
    <t>Uscite Fisse</t>
  </si>
  <si>
    <t>Altre Uscite</t>
  </si>
  <si>
    <t>Entrate</t>
  </si>
  <si>
    <t>Entrate Fisse</t>
  </si>
  <si>
    <t>Altre Entrate</t>
  </si>
  <si>
    <t>Prelievo</t>
  </si>
  <si>
    <t>Metodo</t>
  </si>
  <si>
    <t>Balance</t>
  </si>
  <si>
    <t>Business</t>
  </si>
  <si>
    <t>Securities</t>
  </si>
  <si>
    <t>Gold</t>
  </si>
  <si>
    <t>Real Estate</t>
  </si>
  <si>
    <t>Cryptocurrency</t>
  </si>
  <si>
    <t>Goal1</t>
  </si>
  <si>
    <t>Goal2</t>
  </si>
  <si>
    <t>Goal3</t>
  </si>
  <si>
    <t>Goal4</t>
  </si>
  <si>
    <t>Monthly Plan</t>
  </si>
  <si>
    <t>Trasporti</t>
  </si>
  <si>
    <t>Personali</t>
  </si>
  <si>
    <t>Casa</t>
  </si>
  <si>
    <t>Varie</t>
  </si>
  <si>
    <t>Bollette</t>
  </si>
  <si>
    <t>Abbigliamento</t>
  </si>
  <si>
    <t>Dashboard</t>
  </si>
  <si>
    <t>Year</t>
  </si>
  <si>
    <t>Month</t>
  </si>
  <si>
    <t>Calendar</t>
  </si>
  <si>
    <t>Today:</t>
  </si>
  <si>
    <t>Balance:</t>
  </si>
  <si>
    <t>Budget Plan</t>
  </si>
  <si>
    <t>Labels</t>
  </si>
  <si>
    <t>Pie Chart</t>
  </si>
  <si>
    <t>Daily Budgeting</t>
  </si>
  <si>
    <t>Personal Finance</t>
  </si>
  <si>
    <t>Ratio Income</t>
  </si>
  <si>
    <t>№</t>
  </si>
  <si>
    <t>Income</t>
  </si>
  <si>
    <t>Expenses</t>
  </si>
  <si>
    <t>Gennaio</t>
  </si>
  <si>
    <t>Febbraio</t>
  </si>
  <si>
    <t>Marzo</t>
  </si>
  <si>
    <t>Cursors</t>
  </si>
  <si>
    <t>Aprile</t>
  </si>
  <si>
    <t>X</t>
  </si>
  <si>
    <t>Y</t>
  </si>
  <si>
    <t>Used Budget</t>
  </si>
  <si>
    <t>Maggio</t>
  </si>
  <si>
    <t>Total Incom</t>
  </si>
  <si>
    <t>Giugno</t>
  </si>
  <si>
    <t>Total Expenses</t>
  </si>
  <si>
    <t>Luglio</t>
  </si>
  <si>
    <t>Agosto</t>
  </si>
  <si>
    <t>Settembre</t>
  </si>
  <si>
    <t>Financial Goals</t>
  </si>
  <si>
    <t>Ottobre</t>
  </si>
  <si>
    <t>Goal Decomposition</t>
  </si>
  <si>
    <t>label</t>
  </si>
  <si>
    <t>Novembre</t>
  </si>
  <si>
    <t>Dicembre</t>
  </si>
  <si>
    <t>Investments</t>
  </si>
  <si>
    <t>Debts</t>
  </si>
  <si>
    <t>Interest Rate</t>
  </si>
  <si>
    <t>Amount of Debt</t>
  </si>
  <si>
    <t>Top</t>
  </si>
  <si>
    <t>Plan ON</t>
  </si>
  <si>
    <t>Goal Management</t>
  </si>
  <si>
    <t>Done</t>
  </si>
  <si>
    <t>Finish</t>
  </si>
  <si>
    <t>Running</t>
  </si>
  <si>
    <t>Start</t>
  </si>
  <si>
    <t>Real estate</t>
  </si>
  <si>
    <t>Reserve</t>
  </si>
  <si>
    <t>Goal 1</t>
  </si>
  <si>
    <t>Goal 2</t>
  </si>
  <si>
    <t>Goal 3</t>
  </si>
  <si>
    <t>Goal 4</t>
  </si>
  <si>
    <t>Total Debt Amount</t>
  </si>
  <si>
    <t>Goal  4</t>
  </si>
  <si>
    <t>Goal  3</t>
  </si>
  <si>
    <t>Goal  2</t>
  </si>
  <si>
    <t>Goal  1</t>
  </si>
  <si>
    <t>Income Budget</t>
  </si>
  <si>
    <t>Expenses Budget</t>
  </si>
  <si>
    <t>Portfolio Capitalization</t>
  </si>
  <si>
    <t>Incom by Days</t>
  </si>
  <si>
    <t>Consumer Credit</t>
  </si>
  <si>
    <t>back</t>
  </si>
  <si>
    <t>Select Days</t>
  </si>
  <si>
    <t>Price</t>
  </si>
  <si>
    <t>Start Price</t>
  </si>
  <si>
    <t>Mirror</t>
  </si>
  <si>
    <t>Closing Debts</t>
  </si>
  <si>
    <t>Implementation</t>
  </si>
  <si>
    <t>Check List</t>
  </si>
  <si>
    <t>Distribution</t>
  </si>
  <si>
    <t>Fixed Incom</t>
  </si>
  <si>
    <t>Non-Fixed Incom</t>
  </si>
  <si>
    <t>Fixed Cost</t>
  </si>
  <si>
    <t>Non-Fixed Cost</t>
  </si>
  <si>
    <t>Credit Card</t>
  </si>
  <si>
    <t>Goals</t>
  </si>
  <si>
    <t>Total</t>
  </si>
  <si>
    <t>Total:</t>
  </si>
  <si>
    <t>Credit Funds</t>
  </si>
  <si>
    <t>Repayment</t>
  </si>
  <si>
    <t>Redeemed</t>
  </si>
  <si>
    <t>Left</t>
  </si>
  <si>
    <t>Start Debt</t>
  </si>
  <si>
    <t>Plan</t>
  </si>
  <si>
    <t>Total Values</t>
  </si>
  <si>
    <t>Used Credit Funds</t>
  </si>
  <si>
    <t>MAX</t>
  </si>
  <si>
    <t>Activity</t>
  </si>
  <si>
    <t>Loan Portfolio Distribution</t>
  </si>
  <si>
    <t>Months</t>
  </si>
  <si>
    <t>% Fact Plan</t>
  </si>
  <si>
    <t>Fixed vs Non-Fixed</t>
  </si>
  <si>
    <t>Income Share</t>
  </si>
  <si>
    <t>Id</t>
  </si>
  <si>
    <t>COUNTIF</t>
  </si>
  <si>
    <t>Number</t>
  </si>
  <si>
    <t>Income Ranking</t>
  </si>
  <si>
    <t>Ratio Budget</t>
  </si>
  <si>
    <t>Lable</t>
  </si>
  <si>
    <t>Cost Ranking</t>
  </si>
  <si>
    <t>Cost</t>
  </si>
  <si>
    <t>Alcohol</t>
  </si>
  <si>
    <t>Fixed Costs</t>
  </si>
  <si>
    <t>Food</t>
  </si>
  <si>
    <t>Medications</t>
  </si>
  <si>
    <t>Ratio Costs</t>
  </si>
  <si>
    <t>Price Change</t>
  </si>
  <si>
    <t>PCH</t>
  </si>
  <si>
    <t>TVL</t>
  </si>
  <si>
    <t>Total Value</t>
  </si>
  <si>
    <t>Cursor</t>
  </si>
  <si>
    <t>Drawdown</t>
  </si>
  <si>
    <t>Profit Portfolio</t>
  </si>
  <si>
    <t>Label</t>
  </si>
  <si>
    <t>Savings</t>
  </si>
  <si>
    <t>OTTOBRE</t>
  </si>
  <si>
    <t>GENNAIO</t>
  </si>
  <si>
    <t>FEBBRAIO</t>
  </si>
  <si>
    <t>MARZO</t>
  </si>
  <si>
    <t>APRILE</t>
  </si>
  <si>
    <t>MAGGIO</t>
  </si>
  <si>
    <t>GIUGNO</t>
  </si>
  <si>
    <t>LUGLIO</t>
  </si>
  <si>
    <t>AGOSTO</t>
  </si>
  <si>
    <t>SETTEMBRE</t>
  </si>
  <si>
    <t>NOVEMBRE</t>
  </si>
  <si>
    <t>DICEMBRE</t>
  </si>
  <si>
    <t>Sottocategoria</t>
  </si>
  <si>
    <t>Sottocategorie</t>
  </si>
  <si>
    <t>Fuori Casa</t>
  </si>
  <si>
    <t>-</t>
  </si>
  <si>
    <t>Ristorante</t>
  </si>
  <si>
    <t>Snacks On The Way</t>
  </si>
  <si>
    <t>Barba &amp; Capelli</t>
  </si>
  <si>
    <t>Cosmetici</t>
  </si>
  <si>
    <t>RowID</t>
  </si>
  <si>
    <t>Spese Impreviste</t>
  </si>
  <si>
    <t>Row Labels</t>
  </si>
  <si>
    <t>Grand Total</t>
  </si>
  <si>
    <t>Sum of Uscite</t>
  </si>
  <si>
    <t>Sum of Uscite Fisse</t>
  </si>
  <si>
    <t>Sum of Altre Uscite</t>
  </si>
  <si>
    <t>Sum of Entrate</t>
  </si>
  <si>
    <t>Sum of Entrate Fisse</t>
  </si>
  <si>
    <t>Sum of Altre Entrate</t>
  </si>
  <si>
    <t>Sum of Prelievo</t>
  </si>
  <si>
    <t>Sum of Balance</t>
  </si>
  <si>
    <t>Sum of Savings</t>
  </si>
  <si>
    <t>Affitto</t>
  </si>
  <si>
    <t>Varie Casa</t>
  </si>
  <si>
    <t>No Food</t>
  </si>
  <si>
    <t>Other</t>
  </si>
  <si>
    <t>Spesa</t>
  </si>
  <si>
    <t>Varie Uscite</t>
  </si>
  <si>
    <t>Varie Entrate</t>
  </si>
  <si>
    <t>Banca</t>
  </si>
  <si>
    <t>Conto &amp; Carte BNL</t>
  </si>
  <si>
    <t>Business Uscite</t>
  </si>
  <si>
    <t>Business Entrate</t>
  </si>
  <si>
    <t>(blank)</t>
  </si>
  <si>
    <t>Attrezzature Lavoro</t>
  </si>
  <si>
    <t>Month N°</t>
  </si>
  <si>
    <t>Uscite Totali</t>
  </si>
  <si>
    <t>Entrate Totali</t>
  </si>
  <si>
    <t>Entrate Fisse Business</t>
  </si>
  <si>
    <t>Entrate Fisse Securities</t>
  </si>
  <si>
    <t>Entrate Fisse Gold</t>
  </si>
  <si>
    <t>Entrate Fisse Cryptocurrency</t>
  </si>
  <si>
    <t>Entrate Business</t>
  </si>
  <si>
    <t>Entrate Securities</t>
  </si>
  <si>
    <t>Entrate Gold</t>
  </si>
  <si>
    <t>Entrate Real Estate</t>
  </si>
  <si>
    <t>Entrate Cryptocurrency</t>
  </si>
  <si>
    <t>Sum of Entrate Fisse Business</t>
  </si>
  <si>
    <t>Sum of Entrate Fisse Securities</t>
  </si>
  <si>
    <t>Sum of Entrate Fisse Cryptocurrency</t>
  </si>
  <si>
    <t>Sum of Entrate Fisse Gold</t>
  </si>
  <si>
    <t>Sum of Entrate Securities</t>
  </si>
  <si>
    <t>Sum of Entrate Real Estate</t>
  </si>
  <si>
    <t>Sum of Entrate Business</t>
  </si>
  <si>
    <t>Sum of Entrate Cryptocurrency</t>
  </si>
  <si>
    <t>Sum of Entrate Gold</t>
  </si>
  <si>
    <t>Entrate Fisse Real Estate</t>
  </si>
  <si>
    <t>Sum of Entrate Fisse Real Estate</t>
  </si>
  <si>
    <t>Inv. Business</t>
  </si>
  <si>
    <t>Inv. Securities</t>
  </si>
  <si>
    <t>Inv. Gold</t>
  </si>
  <si>
    <t>Inv. Real Estate</t>
  </si>
  <si>
    <t>Inv. Cryptocurrency</t>
  </si>
  <si>
    <t>Portfolio</t>
  </si>
  <si>
    <t>Totale Portfolio</t>
  </si>
  <si>
    <t>Sum of Totale Portfolio</t>
  </si>
  <si>
    <t>Debiti</t>
  </si>
  <si>
    <t>Mutuo</t>
  </si>
  <si>
    <t>Leasing Macchina</t>
  </si>
  <si>
    <t>Go To Dashboard</t>
  </si>
  <si>
    <t>Investment</t>
  </si>
  <si>
    <t>Sum of Mutuo</t>
  </si>
  <si>
    <t>Sum of Consumer Credit</t>
  </si>
  <si>
    <t>Sum of Leasing Macchina</t>
  </si>
  <si>
    <t>Sum of Credit Card</t>
  </si>
  <si>
    <t>Sum of Inv. Business</t>
  </si>
  <si>
    <t>Sum of Inv. Securities</t>
  </si>
  <si>
    <t>Sum of Inv. Gold</t>
  </si>
  <si>
    <t>Sum of Inv. Real Estate</t>
  </si>
  <si>
    <t>Sum of Inv. Cryptocurrency</t>
  </si>
  <si>
    <t>Month Name</t>
  </si>
  <si>
    <t>Formula Di Riserva per K59</t>
  </si>
  <si>
    <t>Del Saldo Totale</t>
  </si>
  <si>
    <t>Vecchia Formula</t>
  </si>
  <si>
    <t>Calcolo prima cella non vuota Dati[Totale Portfolio] senza tener conto dell'anno</t>
  </si>
  <si>
    <t>Non so a cosa serve</t>
  </si>
  <si>
    <t>Vedere Template</t>
  </si>
  <si>
    <t>Conto</t>
  </si>
  <si>
    <t>.</t>
  </si>
  <si>
    <t>Uscite Varie</t>
  </si>
  <si>
    <t>Start Of Calendar Day</t>
  </si>
  <si>
    <t>Utenze</t>
  </si>
  <si>
    <t>Regali</t>
  </si>
  <si>
    <t>I.B.(Marketing Data)</t>
  </si>
  <si>
    <t>CanoneContoBNL</t>
  </si>
  <si>
    <t>Telefono</t>
  </si>
  <si>
    <t>Internet</t>
  </si>
  <si>
    <t>BNL(Interessi Creditori)</t>
  </si>
  <si>
    <t>Start Year</t>
  </si>
  <si>
    <t>Start Month</t>
  </si>
  <si>
    <t>Polizza"NoProblem"BNL</t>
  </si>
  <si>
    <t>Taxi</t>
  </si>
  <si>
    <t>Biglietti Metro</t>
  </si>
  <si>
    <t>Affitto Lesina</t>
  </si>
  <si>
    <t>Ricarica Telefono</t>
  </si>
  <si>
    <t>Regali Cash</t>
  </si>
  <si>
    <t>Lavoro</t>
  </si>
  <si>
    <t>Tasse</t>
  </si>
  <si>
    <t>treno (Napoli-Milano)</t>
  </si>
  <si>
    <t>tappetino mouse</t>
  </si>
  <si>
    <t>2025</t>
  </si>
  <si>
    <t>Acconto Affito Lesina</t>
  </si>
  <si>
    <t>Healt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</si>
</sst>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164" formatCode="&quot;€&quot;#,##0.00_);[Red]\(&quot;€&quot;#,##0.00\)"/>
    <numFmt numFmtId="165" formatCode="#,##0.00\ &quot;€&quot;;[Red]#,##0.00\ &quot;€&quot;"/>
    <numFmt numFmtId="166" formatCode="_-[$$-409]* #,##0.00_ ;_-[$$-409]* \-#,##0.00\ ;_-[$$-409]* &quot;-&quot;??_ ;_-@_ "/>
    <numFmt numFmtId="167" formatCode="_-[$$-409]* #,##0_ ;_-[$$-409]* \-#,##0\ ;_-[$$-409]* &quot;-&quot;??_ ;_-@_ "/>
    <numFmt numFmtId="168" formatCode="\+#,##0.00;[Red]\-#,##0.00"/>
    <numFmt numFmtId="169" formatCode="#,##0.00\ &quot;€&quot;"/>
    <numFmt numFmtId="170" formatCode="yy"/>
    <numFmt numFmtId="171" formatCode="mmmm\ yyyy"/>
    <numFmt numFmtId="172" formatCode="_-[$€-2]\ * #,##0_-;\-[$€-2]\ * #,##0_-;_-[$€-2]\ * &quot;-&quot;_-;_-@_-"/>
    <numFmt numFmtId="173" formatCode="_-[$€-2]\ * #,##0.00_-;\-[$€-2]\ * #,##0.00_-;_-[$€-2]\ * &quot;-&quot;??_-;_-@_-"/>
    <numFmt numFmtId="174" formatCode="0.000"/>
    <numFmt numFmtId="175" formatCode="[$-F800]dddd\,\ mmmm\ dd\,\ yyyy"/>
    <numFmt numFmtId="176" formatCode="_-[$€-2]\ * #,##0_-;\-[$€-2]\ * #,##0_-;_-[$€-2]\ * &quot;-&quot;??_-;_-@_-"/>
    <numFmt numFmtId="177" formatCode="_-[$€-2]\ * #,##0.00_-;\-[$€-2]\ * #,##0.00_-;_-[$€-2]\ * &quot;-&quot;_-;_-@_-"/>
    <numFmt numFmtId="178" formatCode="_-[$€ -409]* #,##0_ ;_-[$€ -409]* \-\ #,##0\ ;_-[$€-409]* &quot;-&quot;??_ ;_-@_ "/>
    <numFmt numFmtId="179" formatCode="_-[$€ -409]* #,##0.00_ ;_-[$€ -409]* \-\ #,##0.00\ ;_-[$€-409]* &quot;-&quot;??_ ;_-@_ "/>
    <numFmt numFmtId="180" formatCode="0.0000%"/>
    <numFmt numFmtId="181" formatCode="_-[$€-2]\ * #,##0.00_-;[Red]\-[$€-2]\ * #,##0.00_-;_-[$€-2]\ * &quot;-&quot;??_-;_-@_-"/>
  </numFmts>
  <fonts count="19" x14ac:knownFonts="1">
    <font>
      <sz val="12"/>
      <color theme="1"/>
      <name val="Calibri"/>
      <family val="2"/>
      <scheme val="minor"/>
    </font>
    <font>
      <sz val="12"/>
      <color theme="1"/>
      <name val="Calibri"/>
      <family val="2"/>
      <scheme val="minor"/>
    </font>
    <font>
      <sz val="11"/>
      <color theme="1"/>
      <name val="Calibri"/>
      <family val="2"/>
      <charset val="204"/>
    </font>
    <font>
      <sz val="14"/>
      <color rgb="FF305496"/>
      <name val="Calibri"/>
      <family val="2"/>
    </font>
    <font>
      <b/>
      <sz val="14"/>
      <color rgb="FF366092"/>
      <name val="Calibri"/>
      <family val="2"/>
    </font>
    <font>
      <b/>
      <sz val="11"/>
      <color rgb="FF000000"/>
      <name val="Calibri"/>
      <family val="2"/>
      <charset val="204"/>
    </font>
    <font>
      <b/>
      <sz val="12"/>
      <color rgb="FF000000"/>
      <name val="Calibri"/>
      <family val="2"/>
      <charset val="204"/>
    </font>
    <font>
      <sz val="14"/>
      <color theme="1"/>
      <name val="Calibri"/>
      <family val="2"/>
    </font>
    <font>
      <sz val="11"/>
      <color rgb="FF000000"/>
      <name val="Calibri"/>
      <family val="2"/>
      <charset val="204"/>
    </font>
    <font>
      <sz val="18"/>
      <color rgb="FF000000"/>
      <name val="Calibri"/>
      <family val="2"/>
    </font>
    <font>
      <sz val="11"/>
      <color rgb="FF000000"/>
      <name val="Calibri"/>
      <family val="2"/>
      <charset val="204"/>
      <scheme val="minor"/>
    </font>
    <font>
      <b/>
      <sz val="11"/>
      <color rgb="FF000000"/>
      <name val="Calibri"/>
      <family val="2"/>
      <charset val="204"/>
      <scheme val="minor"/>
    </font>
    <font>
      <b/>
      <sz val="18"/>
      <color rgb="FF2F75B5"/>
      <name val="Calibri"/>
      <family val="2"/>
      <scheme val="minor"/>
    </font>
    <font>
      <b/>
      <sz val="14"/>
      <color rgb="FF305496"/>
      <name val="Calibri"/>
      <family val="2"/>
    </font>
    <font>
      <sz val="12"/>
      <color rgb="FF000000"/>
      <name val="Calibri"/>
      <family val="2"/>
      <scheme val="minor"/>
    </font>
    <font>
      <b/>
      <sz val="12"/>
      <color rgb="FF2F75B5"/>
      <name val="Calibri"/>
      <family val="2"/>
      <scheme val="minor"/>
    </font>
    <font>
      <b/>
      <sz val="14"/>
      <color rgb="FF2F75B5"/>
      <name val="Calibri"/>
      <family val="2"/>
      <scheme val="minor"/>
    </font>
    <font>
      <sz val="14"/>
      <color rgb="FF005493"/>
      <name val="Calibri (Body)"/>
    </font>
    <font>
      <sz val="12"/>
      <color rgb="FF005493"/>
      <name val="Calibri (Body)"/>
    </font>
  </fonts>
  <fills count="22">
    <fill>
      <patternFill patternType="none"/>
    </fill>
    <fill>
      <patternFill patternType="gray125"/>
    </fill>
    <fill>
      <patternFill patternType="solid">
        <fgColor theme="1"/>
        <bgColor indexed="64"/>
      </patternFill>
    </fill>
    <fill>
      <patternFill patternType="solid">
        <fgColor rgb="FFA555F6"/>
        <bgColor rgb="FF000000"/>
      </patternFill>
    </fill>
    <fill>
      <patternFill patternType="solid">
        <fgColor rgb="FFFF7E79"/>
        <bgColor indexed="64"/>
      </patternFill>
    </fill>
    <fill>
      <patternFill patternType="solid">
        <fgColor rgb="FF76D6FF"/>
        <bgColor indexed="64"/>
      </patternFill>
    </fill>
    <fill>
      <patternFill patternType="solid">
        <fgColor rgb="FFFFD579"/>
        <bgColor indexed="64"/>
      </patternFill>
    </fill>
    <fill>
      <patternFill patternType="solid">
        <fgColor rgb="FFFF1E46"/>
        <bgColor rgb="FFD9E1F2"/>
      </patternFill>
    </fill>
    <fill>
      <patternFill patternType="solid">
        <fgColor rgb="FF31B1DB"/>
        <bgColor rgb="FFD9E1F2"/>
      </patternFill>
    </fill>
    <fill>
      <patternFill patternType="solid">
        <fgColor rgb="FF51A64A"/>
        <bgColor rgb="FFD9E1F2"/>
      </patternFill>
    </fill>
    <fill>
      <patternFill patternType="solid">
        <fgColor rgb="FFFF9B79"/>
        <bgColor rgb="FFD9E1F2"/>
      </patternFill>
    </fill>
    <fill>
      <patternFill patternType="solid">
        <fgColor rgb="FFFFC000"/>
        <bgColor indexed="64"/>
      </patternFill>
    </fill>
    <fill>
      <patternFill patternType="solid">
        <fgColor rgb="FF74FB7A"/>
        <bgColor indexed="64"/>
      </patternFill>
    </fill>
    <fill>
      <patternFill patternType="solid">
        <fgColor rgb="FFE57CF8"/>
        <bgColor indexed="64"/>
      </patternFill>
    </fill>
    <fill>
      <patternFill patternType="solid">
        <fgColor rgb="FFED7D31"/>
        <bgColor indexed="64"/>
      </patternFill>
    </fill>
    <fill>
      <patternFill patternType="solid">
        <fgColor rgb="FFFCC203"/>
        <bgColor indexed="64"/>
      </patternFill>
    </fill>
    <fill>
      <patternFill patternType="solid">
        <fgColor rgb="FFF87E79"/>
        <bgColor indexed="64"/>
      </patternFill>
    </fill>
    <fill>
      <patternFill patternType="solid">
        <fgColor rgb="FF76D7FF"/>
        <bgColor indexed="64"/>
      </patternFill>
    </fill>
    <fill>
      <patternFill patternType="solid">
        <fgColor theme="0"/>
        <bgColor indexed="64"/>
      </patternFill>
    </fill>
    <fill>
      <patternFill patternType="solid">
        <fgColor theme="0"/>
        <bgColor rgb="FFD9E1F2"/>
      </patternFill>
    </fill>
    <fill>
      <patternFill patternType="solid">
        <fgColor rgb="FFDFECF8"/>
        <bgColor rgb="FFD9E1F2"/>
      </patternFill>
    </fill>
    <fill>
      <patternFill patternType="solid">
        <fgColor rgb="FFDFECF8"/>
        <bgColor indexed="64"/>
      </patternFill>
    </fill>
  </fills>
  <borders count="143">
    <border>
      <left/>
      <right/>
      <top/>
      <bottom/>
      <diagonal/>
    </border>
    <border>
      <left style="thin">
        <color indexed="64"/>
      </left>
      <right style="thin">
        <color indexed="64"/>
      </right>
      <top style="thin">
        <color indexed="64"/>
      </top>
      <bottom style="thin">
        <color indexed="64"/>
      </bottom>
      <diagonal/>
    </border>
    <border>
      <left/>
      <right/>
      <top style="thin">
        <color rgb="FF4F81BD"/>
      </top>
      <bottom style="thin">
        <color rgb="FF4F81BD"/>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style="thin">
        <color theme="4"/>
      </left>
      <right style="thin">
        <color theme="4"/>
      </right>
      <top style="thin">
        <color theme="4"/>
      </top>
      <bottom style="thin">
        <color theme="4"/>
      </bottom>
      <diagonal/>
    </border>
    <border>
      <left/>
      <right style="thin">
        <color theme="4"/>
      </right>
      <top/>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n">
        <color theme="4"/>
      </left>
      <right/>
      <top/>
      <bottom style="thin">
        <color rgb="FF4F81BD"/>
      </bottom>
      <diagonal/>
    </border>
    <border>
      <left/>
      <right style="thin">
        <color theme="4"/>
      </right>
      <top/>
      <bottom style="thin">
        <color rgb="FF4F81BD"/>
      </bottom>
      <diagonal/>
    </border>
    <border>
      <left style="thin">
        <color rgb="FF4F81BD"/>
      </left>
      <right/>
      <top style="thin">
        <color rgb="FF4F81BD"/>
      </top>
      <bottom style="thin">
        <color rgb="FF4F81BD"/>
      </bottom>
      <diagonal/>
    </border>
    <border>
      <left/>
      <right style="thin">
        <color rgb="FF4F81BD"/>
      </right>
      <top style="thin">
        <color rgb="FF4F81BD"/>
      </top>
      <bottom style="thin">
        <color rgb="FF4F81BD"/>
      </bottom>
      <diagonal/>
    </border>
    <border>
      <left style="medium">
        <color theme="1"/>
      </left>
      <right style="medium">
        <color theme="1"/>
      </right>
      <top style="medium">
        <color theme="1"/>
      </top>
      <bottom style="medium">
        <color theme="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1"/>
      </left>
      <right style="thin">
        <color theme="1"/>
      </right>
      <top style="thin">
        <color theme="1"/>
      </top>
      <bottom style="thin">
        <color theme="1"/>
      </bottom>
      <diagonal/>
    </border>
    <border>
      <left style="thin">
        <color theme="4"/>
      </left>
      <right/>
      <top style="thin">
        <color theme="4"/>
      </top>
      <bottom/>
      <diagonal/>
    </border>
    <border>
      <left/>
      <right style="thin">
        <color theme="4"/>
      </right>
      <top style="thin">
        <color theme="4"/>
      </top>
      <bottom/>
      <diagonal/>
    </border>
    <border>
      <left style="thin">
        <color rgb="FFFF0000"/>
      </left>
      <right style="thin">
        <color rgb="FFFF0000"/>
      </right>
      <top style="thin">
        <color rgb="FFFF0000"/>
      </top>
      <bottom style="thin">
        <color rgb="FFFF0000"/>
      </bottom>
      <diagonal/>
    </border>
    <border>
      <left style="medium">
        <color rgb="FFFFC000"/>
      </left>
      <right/>
      <top style="medium">
        <color rgb="FFFF0000"/>
      </top>
      <bottom/>
      <diagonal/>
    </border>
    <border>
      <left/>
      <right style="medium">
        <color rgb="FFFFC000"/>
      </right>
      <top style="medium">
        <color rgb="FFFF0000"/>
      </top>
      <bottom/>
      <diagonal/>
    </border>
    <border>
      <left style="medium">
        <color rgb="FFFFC000"/>
      </left>
      <right/>
      <top/>
      <bottom/>
      <diagonal/>
    </border>
    <border>
      <left/>
      <right style="medium">
        <color rgb="FFFFC000"/>
      </right>
      <top/>
      <bottom/>
      <diagonal/>
    </border>
    <border>
      <left/>
      <right/>
      <top style="medium">
        <color rgb="FF92D050"/>
      </top>
      <bottom/>
      <diagonal/>
    </border>
    <border>
      <left style="medium">
        <color rgb="FF92D050"/>
      </left>
      <right/>
      <top/>
      <bottom/>
      <diagonal/>
    </border>
    <border>
      <left/>
      <right style="medium">
        <color rgb="FF92D050"/>
      </right>
      <top/>
      <bottom/>
      <diagonal/>
    </border>
    <border>
      <left style="medium">
        <color rgb="FF92D050"/>
      </left>
      <right/>
      <top/>
      <bottom style="medium">
        <color rgb="FF92D050"/>
      </bottom>
      <diagonal/>
    </border>
    <border>
      <left style="medium">
        <color rgb="FF00B0F0"/>
      </left>
      <right/>
      <top style="medium">
        <color rgb="FF92D050"/>
      </top>
      <bottom/>
      <diagonal/>
    </border>
    <border>
      <left/>
      <right style="medium">
        <color rgb="FF00B0F0"/>
      </right>
      <top style="medium">
        <color rgb="FF92D050"/>
      </top>
      <bottom/>
      <diagonal/>
    </border>
    <border>
      <left style="medium">
        <color rgb="FF00B0F0"/>
      </left>
      <right/>
      <top/>
      <bottom/>
      <diagonal/>
    </border>
    <border>
      <left/>
      <right style="medium">
        <color rgb="FF00B0F0"/>
      </right>
      <top/>
      <bottom/>
      <diagonal/>
    </border>
    <border>
      <left style="medium">
        <color rgb="FF00B0F0"/>
      </left>
      <right/>
      <top/>
      <bottom style="medium">
        <color rgb="FF00B0F0"/>
      </bottom>
      <diagonal/>
    </border>
    <border>
      <left style="medium">
        <color rgb="FF7030A0"/>
      </left>
      <right/>
      <top style="medium">
        <color rgb="FF00B0F0"/>
      </top>
      <bottom/>
      <diagonal/>
    </border>
    <border>
      <left/>
      <right/>
      <top style="medium">
        <color rgb="FF00B0F0"/>
      </top>
      <bottom/>
      <diagonal/>
    </border>
    <border>
      <left/>
      <right style="medium">
        <color rgb="FF7030A0"/>
      </right>
      <top style="medium">
        <color rgb="FF00B0F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style="medium">
        <color theme="7" tint="0.39991454817346722"/>
      </left>
      <right/>
      <top style="medium">
        <color rgb="FF7030A0"/>
      </top>
      <bottom/>
      <diagonal/>
    </border>
    <border>
      <left/>
      <right/>
      <top style="medium">
        <color rgb="FF7030A0"/>
      </top>
      <bottom/>
      <diagonal/>
    </border>
    <border>
      <left/>
      <right style="medium">
        <color theme="7" tint="0.39991454817346722"/>
      </right>
      <top style="medium">
        <color rgb="FF7030A0"/>
      </top>
      <bottom/>
      <diagonal/>
    </border>
    <border>
      <left style="medium">
        <color theme="7" tint="0.39991454817346722"/>
      </left>
      <right/>
      <top/>
      <bottom/>
      <diagonal/>
    </border>
    <border>
      <left/>
      <right style="medium">
        <color theme="7" tint="0.39991454817346722"/>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4"/>
      </left>
      <right style="thin">
        <color theme="4"/>
      </right>
      <top style="thin">
        <color theme="4"/>
      </top>
      <bottom/>
      <diagonal/>
    </border>
    <border>
      <left style="thin">
        <color theme="4"/>
      </left>
      <right style="thin">
        <color theme="4"/>
      </right>
      <top/>
      <bottom style="thin">
        <color theme="4"/>
      </bottom>
      <diagonal/>
    </border>
    <border>
      <left style="thin">
        <color theme="4"/>
      </left>
      <right/>
      <top/>
      <bottom style="thin">
        <color theme="4"/>
      </bottom>
      <diagonal/>
    </border>
    <border>
      <left/>
      <right/>
      <top style="thin">
        <color theme="4"/>
      </top>
      <bottom style="thin">
        <color theme="4"/>
      </bottom>
      <diagonal/>
    </border>
    <border>
      <left style="thin">
        <color rgb="FFE57CF8"/>
      </left>
      <right/>
      <top style="thin">
        <color rgb="FFE57CF8"/>
      </top>
      <bottom/>
      <diagonal/>
    </border>
    <border>
      <left/>
      <right/>
      <top style="thin">
        <color rgb="FFE57CF8"/>
      </top>
      <bottom/>
      <diagonal/>
    </border>
    <border>
      <left/>
      <right style="thin">
        <color rgb="FFE57CF8"/>
      </right>
      <top style="thin">
        <color rgb="FFE57CF8"/>
      </top>
      <bottom/>
      <diagonal/>
    </border>
    <border>
      <left style="thin">
        <color rgb="FFE57CF8"/>
      </left>
      <right/>
      <top/>
      <bottom/>
      <diagonal/>
    </border>
    <border>
      <left/>
      <right style="thin">
        <color rgb="FFE57CF8"/>
      </right>
      <top/>
      <bottom/>
      <diagonal/>
    </border>
    <border>
      <left style="thin">
        <color rgb="FFE57CF8"/>
      </left>
      <right/>
      <top/>
      <bottom style="thin">
        <color rgb="FFE57CF8"/>
      </bottom>
      <diagonal/>
    </border>
    <border>
      <left/>
      <right/>
      <top/>
      <bottom style="thin">
        <color rgb="FFE57CF8"/>
      </bottom>
      <diagonal/>
    </border>
    <border>
      <left/>
      <right style="thin">
        <color rgb="FFE57CF8"/>
      </right>
      <top/>
      <bottom style="thin">
        <color rgb="FFE57CF8"/>
      </bottom>
      <diagonal/>
    </border>
    <border>
      <left style="thin">
        <color rgb="FF00B0F0"/>
      </left>
      <right/>
      <top style="thin">
        <color rgb="FF00B0F0"/>
      </top>
      <bottom/>
      <diagonal/>
    </border>
    <border>
      <left/>
      <right/>
      <top style="thin">
        <color rgb="FF00B0F0"/>
      </top>
      <bottom/>
      <diagonal/>
    </border>
    <border>
      <left style="thin">
        <color rgb="FF00B0F0"/>
      </left>
      <right/>
      <top/>
      <bottom/>
      <diagonal/>
    </border>
    <border>
      <left style="thin">
        <color rgb="FF00B0F0"/>
      </left>
      <right/>
      <top/>
      <bottom style="thin">
        <color rgb="FF00B0F0"/>
      </bottom>
      <diagonal/>
    </border>
    <border>
      <left/>
      <right/>
      <top/>
      <bottom style="thin">
        <color rgb="FF00B0F0"/>
      </bottom>
      <diagonal/>
    </border>
    <border>
      <left style="thin">
        <color rgb="FF74FB7A"/>
      </left>
      <right/>
      <top style="thin">
        <color rgb="FF74FB7A"/>
      </top>
      <bottom/>
      <diagonal/>
    </border>
    <border>
      <left/>
      <right/>
      <top style="thin">
        <color rgb="FF74FB7A"/>
      </top>
      <bottom/>
      <diagonal/>
    </border>
    <border>
      <left style="thin">
        <color rgb="FF74FB7A"/>
      </left>
      <right/>
      <top/>
      <bottom/>
      <diagonal/>
    </border>
    <border>
      <left style="thin">
        <color rgb="FF74FB7A"/>
      </left>
      <right/>
      <top/>
      <bottom style="thin">
        <color rgb="FF74FB7A"/>
      </bottom>
      <diagonal/>
    </border>
    <border>
      <left/>
      <right/>
      <top/>
      <bottom style="thin">
        <color rgb="FF74FB7A"/>
      </bottom>
      <diagonal/>
    </border>
    <border>
      <left/>
      <right/>
      <top style="medium">
        <color rgb="FF74FB7A"/>
      </top>
      <bottom/>
      <diagonal/>
    </border>
    <border>
      <left/>
      <right style="medium">
        <color rgb="FF74FB7A"/>
      </right>
      <top style="medium">
        <color rgb="FF74FB7A"/>
      </top>
      <bottom/>
      <diagonal/>
    </border>
    <border>
      <left style="medium">
        <color rgb="FF74FB7A"/>
      </left>
      <right/>
      <top/>
      <bottom/>
      <diagonal/>
    </border>
    <border>
      <left/>
      <right style="medium">
        <color rgb="FF74FB7A"/>
      </right>
      <top/>
      <bottom/>
      <diagonal/>
    </border>
    <border>
      <left style="medium">
        <color rgb="FF74FB7A"/>
      </left>
      <right/>
      <top/>
      <bottom style="medium">
        <color rgb="FF74FB7A"/>
      </bottom>
      <diagonal/>
    </border>
    <border>
      <left/>
      <right/>
      <top/>
      <bottom style="medium">
        <color rgb="FF74FB7A"/>
      </bottom>
      <diagonal/>
    </border>
    <border>
      <left/>
      <right style="medium">
        <color rgb="FF74FB7A"/>
      </right>
      <top/>
      <bottom style="medium">
        <color rgb="FF74FB7A"/>
      </bottom>
      <diagonal/>
    </border>
    <border>
      <left style="thin">
        <color theme="4"/>
      </left>
      <right style="thin">
        <color theme="4"/>
      </right>
      <top/>
      <bottom/>
      <diagonal/>
    </border>
    <border>
      <left style="thick">
        <color theme="4"/>
      </left>
      <right style="thick">
        <color theme="4"/>
      </right>
      <top style="thick">
        <color theme="4"/>
      </top>
      <bottom/>
      <diagonal/>
    </border>
    <border>
      <left style="thick">
        <color theme="4"/>
      </left>
      <right style="thick">
        <color theme="4"/>
      </right>
      <top/>
      <bottom style="thick">
        <color theme="4"/>
      </bottom>
      <diagonal/>
    </border>
    <border>
      <left style="thin">
        <color rgb="FF4F81BD"/>
      </left>
      <right style="thin">
        <color rgb="FF4F81BD"/>
      </right>
      <top style="thin">
        <color rgb="FF4F81BD"/>
      </top>
      <bottom style="thin">
        <color rgb="FF4F81BD"/>
      </bottom>
      <diagonal/>
    </border>
    <border>
      <left style="thin">
        <color theme="4"/>
      </left>
      <right/>
      <top style="thin">
        <color rgb="FF4F81BD"/>
      </top>
      <bottom style="thin">
        <color rgb="FF4F81BD"/>
      </bottom>
      <diagonal/>
    </border>
    <border>
      <left/>
      <right style="thin">
        <color theme="4"/>
      </right>
      <top style="thin">
        <color rgb="FF4F81BD"/>
      </top>
      <bottom style="thin">
        <color rgb="FF4F81BD"/>
      </bottom>
      <diagonal/>
    </border>
    <border>
      <left style="thin">
        <color rgb="FF4F81BD"/>
      </left>
      <right style="thin">
        <color rgb="FF4F81BD"/>
      </right>
      <top style="thin">
        <color rgb="FF4F81BD"/>
      </top>
      <bottom style="thin">
        <color theme="4"/>
      </bottom>
      <diagonal/>
    </border>
    <border>
      <left style="thin">
        <color rgb="FF4F81BD"/>
      </left>
      <right/>
      <top style="thin">
        <color rgb="FF4F81BD"/>
      </top>
      <bottom style="thin">
        <color theme="4"/>
      </bottom>
      <diagonal/>
    </border>
    <border>
      <left/>
      <right style="thin">
        <color rgb="FF4F81BD"/>
      </right>
      <top style="thin">
        <color rgb="FF4F81BD"/>
      </top>
      <bottom style="thin">
        <color theme="4"/>
      </bottom>
      <diagonal/>
    </border>
    <border>
      <left style="thin">
        <color theme="4"/>
      </left>
      <right style="thin">
        <color theme="4"/>
      </right>
      <top style="thin">
        <color rgb="FF4F81BD"/>
      </top>
      <bottom style="thin">
        <color theme="4"/>
      </bottom>
      <diagonal/>
    </border>
    <border>
      <left/>
      <right style="thin">
        <color rgb="FF4F81BD"/>
      </right>
      <top style="thin">
        <color rgb="FF4F81BD"/>
      </top>
      <bottom/>
      <diagonal/>
    </border>
    <border>
      <left/>
      <right style="thin">
        <color rgb="FF4F81BD"/>
      </right>
      <top/>
      <bottom/>
      <diagonal/>
    </border>
    <border>
      <left/>
      <right style="thin">
        <color rgb="FF4F81BD"/>
      </right>
      <top/>
      <bottom style="thin">
        <color rgb="FF4F81BD"/>
      </bottom>
      <diagonal/>
    </border>
    <border>
      <left style="thin">
        <color rgb="FF4F81BD"/>
      </left>
      <right style="thin">
        <color rgb="FF4F81BD"/>
      </right>
      <top style="thin">
        <color rgb="FF4F81BD"/>
      </top>
      <bottom/>
      <diagonal/>
    </border>
    <border>
      <left style="thin">
        <color rgb="FF4F81BD"/>
      </left>
      <right style="thin">
        <color rgb="FF4F81BD"/>
      </right>
      <top/>
      <bottom/>
      <diagonal/>
    </border>
    <border>
      <left style="thin">
        <color rgb="FF4F81BD"/>
      </left>
      <right style="thin">
        <color rgb="FF4F81BD"/>
      </right>
      <top/>
      <bottom style="thin">
        <color rgb="FF4F81BD"/>
      </bottom>
      <diagonal/>
    </border>
    <border>
      <left/>
      <right style="thick">
        <color rgb="FF74FB7A"/>
      </right>
      <top style="thick">
        <color rgb="FF74FB7A"/>
      </top>
      <bottom style="thick">
        <color rgb="FF74FB7A"/>
      </bottom>
      <diagonal/>
    </border>
    <border>
      <left style="thick">
        <color rgb="FF74FB7A"/>
      </left>
      <right/>
      <top style="thick">
        <color rgb="FF74FB7A"/>
      </top>
      <bottom style="thick">
        <color rgb="FF74FB7A"/>
      </bottom>
      <diagonal/>
    </border>
    <border>
      <left style="thin">
        <color indexed="64"/>
      </left>
      <right/>
      <top style="thin">
        <color indexed="64"/>
      </top>
      <bottom style="thin">
        <color indexed="64"/>
      </bottom>
      <diagonal/>
    </border>
    <border>
      <left/>
      <right style="thin">
        <color rgb="FF00B0F0"/>
      </right>
      <top style="thin">
        <color rgb="FF00B0F0"/>
      </top>
      <bottom/>
      <diagonal/>
    </border>
    <border>
      <left/>
      <right style="thin">
        <color rgb="FF00B0F0"/>
      </right>
      <top/>
      <bottom/>
      <diagonal/>
    </border>
    <border>
      <left/>
      <right style="thin">
        <color rgb="FF00B0F0"/>
      </right>
      <top/>
      <bottom style="thin">
        <color rgb="FF00B0F0"/>
      </bottom>
      <diagonal/>
    </border>
    <border>
      <left style="thick">
        <color rgb="FFFF0000"/>
      </left>
      <right style="thick">
        <color rgb="FFFF0000"/>
      </right>
      <top style="thick">
        <color rgb="FFFF0000"/>
      </top>
      <bottom style="thick">
        <color rgb="FFFF0000"/>
      </bottom>
      <diagonal/>
    </border>
    <border>
      <left/>
      <right/>
      <top style="thin">
        <color rgb="FF4F81BD"/>
      </top>
      <bottom/>
      <diagonal/>
    </border>
    <border>
      <left style="medium">
        <color rgb="FFFFC000"/>
      </left>
      <right/>
      <top/>
      <bottom style="medium">
        <color rgb="FFFFC000"/>
      </bottom>
      <diagonal/>
    </border>
    <border>
      <left/>
      <right/>
      <top style="medium">
        <color rgb="FFFFC000"/>
      </top>
      <bottom/>
      <diagonal/>
    </border>
    <border>
      <left style="medium">
        <color rgb="FFFF2F92"/>
      </left>
      <right/>
      <top style="medium">
        <color rgb="FFFFC000"/>
      </top>
      <bottom/>
      <diagonal/>
    </border>
    <border>
      <left/>
      <right style="medium">
        <color rgb="FFFF2F92"/>
      </right>
      <top style="medium">
        <color rgb="FFFFC000"/>
      </top>
      <bottom/>
      <diagonal/>
    </border>
    <border>
      <left style="medium">
        <color rgb="FFFF2F92"/>
      </left>
      <right/>
      <top/>
      <bottom/>
      <diagonal/>
    </border>
    <border>
      <left/>
      <right style="medium">
        <color rgb="FFFF2F92"/>
      </right>
      <top/>
      <bottom/>
      <diagonal/>
    </border>
    <border>
      <left style="medium">
        <color rgb="FFFF2F92"/>
      </left>
      <right/>
      <top/>
      <bottom style="medium">
        <color rgb="FFFF2F92"/>
      </bottom>
      <diagonal/>
    </border>
    <border>
      <left style="medium">
        <color rgb="FF005493"/>
      </left>
      <right/>
      <top style="medium">
        <color rgb="FFFF2F92"/>
      </top>
      <bottom/>
      <diagonal/>
    </border>
    <border>
      <left/>
      <right/>
      <top style="medium">
        <color rgb="FFFF2F92"/>
      </top>
      <bottom/>
      <diagonal/>
    </border>
    <border>
      <left/>
      <right style="medium">
        <color rgb="FF005493"/>
      </right>
      <top style="medium">
        <color rgb="FFFF2F92"/>
      </top>
      <bottom/>
      <diagonal/>
    </border>
    <border>
      <left style="medium">
        <color rgb="FF005493"/>
      </left>
      <right/>
      <top/>
      <bottom/>
      <diagonal/>
    </border>
    <border>
      <left/>
      <right style="medium">
        <color rgb="FF005493"/>
      </right>
      <top/>
      <bottom/>
      <diagonal/>
    </border>
    <border>
      <left style="medium">
        <color rgb="FF005493"/>
      </left>
      <right/>
      <top/>
      <bottom style="medium">
        <color rgb="FF005493"/>
      </bottom>
      <diagonal/>
    </border>
    <border>
      <left/>
      <right/>
      <top/>
      <bottom style="medium">
        <color rgb="FF005493"/>
      </bottom>
      <diagonal/>
    </border>
    <border>
      <left/>
      <right style="medium">
        <color rgb="FF005493"/>
      </right>
      <top/>
      <bottom style="medium">
        <color rgb="FF005493"/>
      </bottom>
      <diagonal/>
    </border>
    <border>
      <left style="medium">
        <color rgb="FF92D050"/>
      </left>
      <right/>
      <top style="medium">
        <color rgb="FF005493"/>
      </top>
      <bottom/>
      <diagonal/>
    </border>
    <border>
      <left style="medium">
        <color theme="7" tint="0.39991454817346722"/>
      </left>
      <right/>
      <top/>
      <bottom style="medium">
        <color theme="7" tint="0.39988402966399123"/>
      </bottom>
      <diagonal/>
    </border>
    <border>
      <left/>
      <right/>
      <top/>
      <bottom style="medium">
        <color theme="7" tint="0.39988402966399123"/>
      </bottom>
      <diagonal/>
    </border>
    <border>
      <left/>
      <right style="medium">
        <color theme="7" tint="0.39991454817346722"/>
      </right>
      <top/>
      <bottom style="medium">
        <color theme="7" tint="0.39988402966399123"/>
      </bottom>
      <diagonal/>
    </border>
    <border>
      <left style="thin">
        <color rgb="FFFDD679"/>
      </left>
      <right/>
      <top style="thin">
        <color rgb="FFFDD679"/>
      </top>
      <bottom/>
      <diagonal/>
    </border>
    <border>
      <left/>
      <right/>
      <top style="thin">
        <color rgb="FFFDD679"/>
      </top>
      <bottom/>
      <diagonal/>
    </border>
    <border>
      <left/>
      <right style="thin">
        <color rgb="FFFDD679"/>
      </right>
      <top style="thin">
        <color rgb="FFFDD679"/>
      </top>
      <bottom/>
      <diagonal/>
    </border>
    <border>
      <left style="thin">
        <color rgb="FFFDD679"/>
      </left>
      <right/>
      <top/>
      <bottom/>
      <diagonal/>
    </border>
    <border>
      <left/>
      <right style="thin">
        <color rgb="FFFDD679"/>
      </right>
      <top/>
      <bottom/>
      <diagonal/>
    </border>
    <border>
      <left style="thin">
        <color rgb="FFFDD679"/>
      </left>
      <right/>
      <top style="thin">
        <color indexed="64"/>
      </top>
      <bottom/>
      <diagonal/>
    </border>
    <border>
      <left style="thin">
        <color rgb="FFFDD679"/>
      </left>
      <right/>
      <top/>
      <bottom style="thin">
        <color indexed="64"/>
      </bottom>
      <diagonal/>
    </border>
    <border>
      <left style="thin">
        <color rgb="FFFDD679"/>
      </left>
      <right/>
      <top/>
      <bottom style="thin">
        <color rgb="FFFDD679"/>
      </bottom>
      <diagonal/>
    </border>
    <border>
      <left/>
      <right/>
      <top/>
      <bottom style="thin">
        <color rgb="FFFDD679"/>
      </bottom>
      <diagonal/>
    </border>
    <border>
      <left/>
      <right style="thin">
        <color rgb="FFFDD679"/>
      </right>
      <top/>
      <bottom style="thin">
        <color rgb="FFFDD679"/>
      </bottom>
      <diagonal/>
    </border>
    <border>
      <left style="thin">
        <color rgb="FF4F81BD"/>
      </left>
      <right/>
      <top style="thin">
        <color rgb="FF4F81BD"/>
      </top>
      <bottom/>
      <diagonal/>
    </border>
    <border>
      <left style="medium">
        <color indexed="64"/>
      </left>
      <right style="medium">
        <color indexed="64"/>
      </right>
      <top style="medium">
        <color indexed="64"/>
      </top>
      <bottom style="medium">
        <color indexed="64"/>
      </bottom>
      <diagonal/>
    </border>
    <border>
      <left style="thin">
        <color theme="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323">
    <xf numFmtId="0" fontId="0" fillId="0" borderId="0" xfId="0"/>
    <xf numFmtId="0" fontId="2" fillId="0" borderId="0" xfId="0" applyFont="1"/>
    <xf numFmtId="14" fontId="2" fillId="0" borderId="0" xfId="0" applyNumberFormat="1" applyFont="1"/>
    <xf numFmtId="0" fontId="0" fillId="2" borderId="1" xfId="0" applyFill="1" applyBorder="1"/>
    <xf numFmtId="0" fontId="5" fillId="0" borderId="0" xfId="0" applyFont="1" applyAlignment="1">
      <alignment horizontal="center" vertical="center"/>
    </xf>
    <xf numFmtId="166" fontId="2" fillId="0" borderId="0" xfId="0" applyNumberFormat="1" applyFont="1"/>
    <xf numFmtId="0" fontId="5" fillId="0" borderId="0" xfId="0" applyFont="1" applyAlignment="1">
      <alignment horizontal="center"/>
    </xf>
    <xf numFmtId="0" fontId="5" fillId="0" borderId="0" xfId="0" applyFont="1"/>
    <xf numFmtId="0" fontId="2" fillId="0" borderId="0" xfId="0" applyFont="1" applyAlignment="1">
      <alignment horizontal="right"/>
    </xf>
    <xf numFmtId="9" fontId="2" fillId="0" borderId="0" xfId="1" applyFont="1" applyFill="1" applyBorder="1"/>
    <xf numFmtId="9" fontId="2" fillId="0" borderId="0" xfId="0" applyNumberFormat="1" applyFont="1"/>
    <xf numFmtId="0" fontId="2" fillId="0" borderId="1" xfId="0" applyFont="1" applyBorder="1" applyAlignment="1">
      <alignment horizontal="center"/>
    </xf>
    <xf numFmtId="0" fontId="5" fillId="0" borderId="0" xfId="0" applyFont="1" applyAlignment="1">
      <alignment horizontal="right" vertical="center"/>
    </xf>
    <xf numFmtId="167" fontId="2" fillId="0" borderId="0" xfId="0" applyNumberFormat="1" applyFont="1"/>
    <xf numFmtId="9" fontId="2" fillId="0" borderId="0" xfId="0" applyNumberFormat="1" applyFont="1" applyAlignment="1">
      <alignment horizontal="right"/>
    </xf>
    <xf numFmtId="0" fontId="2" fillId="0" borderId="1" xfId="0" applyFont="1" applyBorder="1"/>
    <xf numFmtId="9" fontId="5" fillId="3" borderId="0" xfId="0" applyNumberFormat="1" applyFont="1" applyFill="1"/>
    <xf numFmtId="9" fontId="2" fillId="0" borderId="1" xfId="1" applyFont="1" applyFill="1" applyBorder="1"/>
    <xf numFmtId="0" fontId="5" fillId="0" borderId="0" xfId="0" applyFont="1" applyAlignment="1">
      <alignment horizontal="left"/>
    </xf>
    <xf numFmtId="9" fontId="5" fillId="0" borderId="0" xfId="0" applyNumberFormat="1" applyFont="1" applyAlignment="1">
      <alignment horizontal="right"/>
    </xf>
    <xf numFmtId="9" fontId="5" fillId="0" borderId="0" xfId="0" applyNumberFormat="1" applyFont="1"/>
    <xf numFmtId="0" fontId="5" fillId="0" borderId="0" xfId="0" applyFont="1" applyAlignment="1">
      <alignment horizontal="right"/>
    </xf>
    <xf numFmtId="9" fontId="5" fillId="0" borderId="0" xfId="0" applyNumberFormat="1" applyFont="1" applyAlignment="1">
      <alignment horizontal="center"/>
    </xf>
    <xf numFmtId="0" fontId="6" fillId="0" borderId="0" xfId="0" applyFont="1" applyAlignment="1">
      <alignment horizontal="left"/>
    </xf>
    <xf numFmtId="168" fontId="2" fillId="0" borderId="0" xfId="0" applyNumberFormat="1" applyFont="1"/>
    <xf numFmtId="10" fontId="2" fillId="0" borderId="0" xfId="0" applyNumberFormat="1" applyFont="1"/>
    <xf numFmtId="9" fontId="2" fillId="0" borderId="0" xfId="1" applyFont="1" applyFill="1" applyBorder="1" applyAlignment="1">
      <alignment horizontal="right"/>
    </xf>
    <xf numFmtId="0" fontId="0" fillId="2" borderId="0" xfId="0" applyFill="1"/>
    <xf numFmtId="169" fontId="2" fillId="0" borderId="0" xfId="0" applyNumberFormat="1" applyFont="1"/>
    <xf numFmtId="0" fontId="0" fillId="0" borderId="0" xfId="0" applyAlignment="1">
      <alignment horizontal="center"/>
    </xf>
    <xf numFmtId="0" fontId="2" fillId="0" borderId="6" xfId="0" applyFont="1" applyBorder="1" applyAlignment="1">
      <alignment horizontal="center" vertical="center" wrapText="1"/>
    </xf>
    <xf numFmtId="0" fontId="0" fillId="0" borderId="0" xfId="0" applyAlignment="1">
      <alignment horizontal="left"/>
    </xf>
    <xf numFmtId="0" fontId="0" fillId="0" borderId="0" xfId="0" pivotButton="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167" fontId="2" fillId="0" borderId="7" xfId="0" applyNumberFormat="1" applyFont="1" applyBorder="1"/>
    <xf numFmtId="167" fontId="2" fillId="0" borderId="8" xfId="0" applyNumberFormat="1" applyFont="1" applyBorder="1"/>
    <xf numFmtId="0" fontId="2" fillId="0" borderId="8" xfId="0" applyFont="1" applyBorder="1"/>
    <xf numFmtId="0" fontId="2" fillId="0" borderId="9" xfId="0" applyFont="1" applyBorder="1"/>
    <xf numFmtId="167" fontId="2" fillId="0" borderId="10" xfId="0" applyNumberFormat="1" applyFont="1" applyBorder="1"/>
    <xf numFmtId="0" fontId="2" fillId="0" borderId="11" xfId="0" applyFont="1" applyBorder="1"/>
    <xf numFmtId="0" fontId="2" fillId="0" borderId="10" xfId="0" applyFont="1" applyBorder="1"/>
    <xf numFmtId="0" fontId="2" fillId="0" borderId="12" xfId="0" applyFont="1" applyBorder="1"/>
    <xf numFmtId="0" fontId="2" fillId="0" borderId="13" xfId="0" applyFont="1" applyBorder="1"/>
    <xf numFmtId="167" fontId="2" fillId="0" borderId="13" xfId="0" applyNumberFormat="1" applyFont="1" applyBorder="1"/>
    <xf numFmtId="167" fontId="2" fillId="0" borderId="14" xfId="0" applyNumberFormat="1" applyFont="1" applyBorder="1"/>
    <xf numFmtId="9" fontId="2" fillId="0" borderId="1" xfId="1" applyFont="1" applyFill="1" applyBorder="1" applyAlignment="1">
      <alignment horizontal="right"/>
    </xf>
    <xf numFmtId="170" fontId="2" fillId="0" borderId="0" xfId="0" applyNumberFormat="1" applyFont="1"/>
    <xf numFmtId="14" fontId="0" fillId="0" borderId="0" xfId="0" applyNumberFormat="1" applyAlignment="1">
      <alignment horizontal="center"/>
    </xf>
    <xf numFmtId="0" fontId="10" fillId="0" borderId="0" xfId="0" applyFont="1"/>
    <xf numFmtId="0" fontId="11" fillId="0" borderId="0" xfId="0" applyFont="1"/>
    <xf numFmtId="172" fontId="2" fillId="0" borderId="0" xfId="0" applyNumberFormat="1" applyFont="1"/>
    <xf numFmtId="172" fontId="2" fillId="0" borderId="8" xfId="0" applyNumberFormat="1" applyFont="1" applyBorder="1"/>
    <xf numFmtId="172" fontId="2" fillId="0" borderId="19" xfId="0" applyNumberFormat="1" applyFont="1" applyBorder="1"/>
    <xf numFmtId="0" fontId="2" fillId="0" borderId="20" xfId="0" applyFont="1" applyBorder="1"/>
    <xf numFmtId="9" fontId="2" fillId="0" borderId="21" xfId="1" applyFont="1" applyFill="1" applyBorder="1"/>
    <xf numFmtId="172" fontId="2" fillId="0" borderId="22" xfId="0" applyNumberFormat="1" applyFont="1" applyBorder="1"/>
    <xf numFmtId="0" fontId="11" fillId="0" borderId="0" xfId="0" applyFont="1" applyAlignment="1">
      <alignment horizontal="center" vertical="center" wrapText="1"/>
    </xf>
    <xf numFmtId="173" fontId="0" fillId="0" borderId="0" xfId="0" applyNumberFormat="1"/>
    <xf numFmtId="172" fontId="10" fillId="0" borderId="0" xfId="0" applyNumberFormat="1" applyFont="1"/>
    <xf numFmtId="14" fontId="2" fillId="0" borderId="0" xfId="1" applyNumberFormat="1" applyFont="1" applyFill="1" applyBorder="1" applyAlignment="1">
      <alignment horizontal="center"/>
    </xf>
    <xf numFmtId="174" fontId="0" fillId="0" borderId="0" xfId="0" applyNumberFormat="1"/>
    <xf numFmtId="2" fontId="0" fillId="0" borderId="0" xfId="0" applyNumberFormat="1"/>
    <xf numFmtId="9" fontId="0" fillId="0" borderId="0" xfId="0" applyNumberFormat="1"/>
    <xf numFmtId="9" fontId="2" fillId="0" borderId="8" xfId="1" applyFont="1" applyFill="1" applyBorder="1"/>
    <xf numFmtId="0" fontId="2" fillId="0" borderId="27" xfId="0" applyFont="1" applyBorder="1"/>
    <xf numFmtId="0" fontId="2" fillId="0" borderId="29" xfId="0" applyFont="1" applyBorder="1"/>
    <xf numFmtId="0" fontId="2" fillId="0" borderId="30" xfId="0" applyFont="1" applyBorder="1"/>
    <xf numFmtId="172" fontId="2" fillId="0" borderId="30" xfId="0" applyNumberFormat="1" applyFont="1" applyBorder="1"/>
    <xf numFmtId="9" fontId="2" fillId="0" borderId="30" xfId="1" applyFont="1" applyFill="1" applyBorder="1"/>
    <xf numFmtId="0" fontId="2" fillId="0" borderId="32" xfId="0" applyFont="1" applyBorder="1"/>
    <xf numFmtId="0" fontId="2" fillId="0" borderId="35" xfId="0" applyFont="1" applyBorder="1"/>
    <xf numFmtId="0" fontId="2" fillId="0" borderId="37" xfId="0" applyFont="1" applyBorder="1"/>
    <xf numFmtId="0" fontId="2" fillId="0" borderId="40" xfId="0" applyFont="1" applyBorder="1"/>
    <xf numFmtId="172" fontId="2" fillId="0" borderId="40" xfId="0" applyNumberFormat="1" applyFont="1" applyBorder="1"/>
    <xf numFmtId="9" fontId="2" fillId="0" borderId="40" xfId="1" applyFont="1" applyFill="1" applyBorder="1"/>
    <xf numFmtId="0" fontId="2" fillId="0" borderId="41" xfId="0" applyFont="1" applyBorder="1"/>
    <xf numFmtId="0" fontId="2" fillId="0" borderId="43" xfId="0" applyFont="1" applyBorder="1"/>
    <xf numFmtId="0" fontId="2" fillId="0" borderId="46" xfId="0" applyFont="1" applyBorder="1"/>
    <xf numFmtId="172" fontId="2" fillId="0" borderId="46" xfId="0" applyNumberFormat="1" applyFont="1" applyBorder="1"/>
    <xf numFmtId="9" fontId="2" fillId="0" borderId="46" xfId="1" applyFont="1" applyFill="1" applyBorder="1"/>
    <xf numFmtId="0" fontId="2" fillId="0" borderId="47" xfId="0" applyFont="1" applyBorder="1"/>
    <xf numFmtId="0" fontId="2" fillId="0" borderId="49" xfId="0" applyFont="1" applyBorder="1"/>
    <xf numFmtId="175" fontId="2" fillId="0" borderId="50" xfId="0" applyNumberFormat="1" applyFont="1" applyBorder="1"/>
    <xf numFmtId="0" fontId="2" fillId="0" borderId="51" xfId="0" applyFont="1" applyBorder="1"/>
    <xf numFmtId="175" fontId="2" fillId="0" borderId="52" xfId="0" applyNumberFormat="1" applyFont="1" applyBorder="1"/>
    <xf numFmtId="0" fontId="2" fillId="0" borderId="53" xfId="0" applyFont="1" applyBorder="1"/>
    <xf numFmtId="175" fontId="5" fillId="0" borderId="52" xfId="0" applyNumberFormat="1" applyFont="1" applyBorder="1" applyAlignment="1">
      <alignment horizontal="center"/>
    </xf>
    <xf numFmtId="175" fontId="0" fillId="0" borderId="52" xfId="0" applyNumberFormat="1" applyBorder="1"/>
    <xf numFmtId="175" fontId="0" fillId="0" borderId="54" xfId="0" applyNumberFormat="1" applyBorder="1"/>
    <xf numFmtId="0" fontId="2" fillId="0" borderId="55" xfId="0" applyFont="1" applyBorder="1"/>
    <xf numFmtId="0" fontId="0" fillId="0" borderId="0" xfId="0" applyAlignment="1">
      <alignment horizontal="right"/>
    </xf>
    <xf numFmtId="10" fontId="0" fillId="0" borderId="0" xfId="0" applyNumberFormat="1"/>
    <xf numFmtId="49" fontId="2" fillId="0" borderId="0" xfId="0" applyNumberFormat="1" applyFont="1" applyAlignment="1">
      <alignment horizontal="right"/>
    </xf>
    <xf numFmtId="0" fontId="0" fillId="0" borderId="0" xfId="0" applyAlignment="1">
      <alignment horizontal="left" indent="4"/>
    </xf>
    <xf numFmtId="0" fontId="0" fillId="0" borderId="0" xfId="0" applyAlignment="1">
      <alignment horizontal="left" indent="5"/>
    </xf>
    <xf numFmtId="167" fontId="0" fillId="0" borderId="0" xfId="0" applyNumberFormat="1"/>
    <xf numFmtId="177" fontId="0" fillId="0" borderId="0" xfId="0" applyNumberFormat="1"/>
    <xf numFmtId="0" fontId="2" fillId="0" borderId="60" xfId="0" applyFont="1" applyBorder="1"/>
    <xf numFmtId="0" fontId="5" fillId="0" borderId="61" xfId="0" applyFont="1" applyBorder="1" applyAlignment="1">
      <alignment horizontal="center"/>
    </xf>
    <xf numFmtId="0" fontId="5" fillId="0" borderId="61" xfId="0" applyFont="1" applyBorder="1" applyAlignment="1">
      <alignment horizontal="left"/>
    </xf>
    <xf numFmtId="0" fontId="2" fillId="0" borderId="61" xfId="0" applyFont="1" applyBorder="1"/>
    <xf numFmtId="0" fontId="2" fillId="0" borderId="62" xfId="0" applyFont="1" applyBorder="1"/>
    <xf numFmtId="0" fontId="5" fillId="0" borderId="63" xfId="0" applyFont="1" applyBorder="1"/>
    <xf numFmtId="9" fontId="2" fillId="0" borderId="64" xfId="1" applyFont="1" applyFill="1" applyBorder="1"/>
    <xf numFmtId="0" fontId="2" fillId="0" borderId="64" xfId="0" applyFont="1" applyBorder="1"/>
    <xf numFmtId="0" fontId="2" fillId="0" borderId="63" xfId="0" applyFont="1" applyBorder="1"/>
    <xf numFmtId="9" fontId="2" fillId="0" borderId="63" xfId="1" applyFont="1" applyFill="1" applyBorder="1"/>
    <xf numFmtId="9" fontId="2" fillId="0" borderId="65" xfId="1" applyFont="1" applyFill="1" applyBorder="1"/>
    <xf numFmtId="9" fontId="2" fillId="0" borderId="66" xfId="1" applyFont="1" applyFill="1" applyBorder="1"/>
    <xf numFmtId="0" fontId="2" fillId="0" borderId="68" xfId="0" applyFont="1" applyBorder="1"/>
    <xf numFmtId="0" fontId="5" fillId="0" borderId="70" xfId="0" applyFont="1" applyBorder="1"/>
    <xf numFmtId="0" fontId="2" fillId="0" borderId="70" xfId="0" applyFont="1" applyBorder="1"/>
    <xf numFmtId="0" fontId="2" fillId="0" borderId="72" xfId="0" applyFont="1" applyBorder="1"/>
    <xf numFmtId="0" fontId="2" fillId="0" borderId="69" xfId="0" applyFont="1" applyBorder="1"/>
    <xf numFmtId="0" fontId="0" fillId="0" borderId="72" xfId="0" applyBorder="1"/>
    <xf numFmtId="0" fontId="2" fillId="0" borderId="73" xfId="0" applyFont="1" applyBorder="1"/>
    <xf numFmtId="0" fontId="2" fillId="0" borderId="74" xfId="0" applyFont="1" applyBorder="1"/>
    <xf numFmtId="167" fontId="2" fillId="0" borderId="74" xfId="0" applyNumberFormat="1" applyFont="1" applyBorder="1"/>
    <xf numFmtId="0" fontId="2" fillId="0" borderId="75" xfId="0" applyFont="1" applyBorder="1"/>
    <xf numFmtId="0" fontId="2" fillId="0" borderId="76" xfId="0" applyFont="1" applyBorder="1"/>
    <xf numFmtId="0" fontId="2" fillId="0" borderId="77" xfId="0" applyFont="1" applyBorder="1"/>
    <xf numFmtId="167" fontId="0" fillId="0" borderId="77" xfId="0" applyNumberFormat="1" applyBorder="1"/>
    <xf numFmtId="0" fontId="5" fillId="0" borderId="63" xfId="0" applyFont="1" applyBorder="1" applyAlignment="1">
      <alignment horizontal="center"/>
    </xf>
    <xf numFmtId="0" fontId="5" fillId="0" borderId="64" xfId="0" applyFont="1" applyBorder="1" applyAlignment="1">
      <alignment horizontal="center"/>
    </xf>
    <xf numFmtId="0" fontId="2" fillId="0" borderId="65" xfId="0" applyFont="1" applyBorder="1"/>
    <xf numFmtId="172" fontId="2" fillId="0" borderId="66" xfId="0" applyNumberFormat="1" applyFont="1" applyBorder="1"/>
    <xf numFmtId="0" fontId="2" fillId="0" borderId="67" xfId="0" applyFont="1" applyBorder="1"/>
    <xf numFmtId="14" fontId="0" fillId="0" borderId="0" xfId="0" applyNumberFormat="1"/>
    <xf numFmtId="0" fontId="2" fillId="0" borderId="78" xfId="0" applyFont="1" applyBorder="1"/>
    <xf numFmtId="0" fontId="2" fillId="0" borderId="79" xfId="0" applyFont="1" applyBorder="1"/>
    <xf numFmtId="0" fontId="2" fillId="0" borderId="80" xfId="0" applyFont="1" applyBorder="1" applyAlignment="1">
      <alignment horizontal="right"/>
    </xf>
    <xf numFmtId="172" fontId="2" fillId="0" borderId="81" xfId="0" applyNumberFormat="1" applyFont="1" applyBorder="1"/>
    <xf numFmtId="9" fontId="2" fillId="0" borderId="81" xfId="1" applyFont="1" applyFill="1" applyBorder="1" applyAlignment="1">
      <alignment horizontal="right"/>
    </xf>
    <xf numFmtId="0" fontId="2" fillId="0" borderId="81" xfId="0" applyFont="1" applyBorder="1"/>
    <xf numFmtId="0" fontId="2" fillId="0" borderId="82" xfId="0" applyFont="1" applyBorder="1"/>
    <xf numFmtId="9" fontId="2" fillId="0" borderId="83" xfId="0" applyNumberFormat="1" applyFont="1" applyBorder="1"/>
    <xf numFmtId="0" fontId="2" fillId="0" borderId="83" xfId="0" applyFont="1" applyBorder="1"/>
    <xf numFmtId="0" fontId="2" fillId="0" borderId="84" xfId="0" applyFont="1" applyBorder="1"/>
    <xf numFmtId="0" fontId="0" fillId="0" borderId="5" xfId="0" applyBorder="1" applyAlignment="1">
      <alignment horizontal="center"/>
    </xf>
    <xf numFmtId="0" fontId="0" fillId="4" borderId="5" xfId="0" applyFill="1" applyBorder="1" applyAlignment="1">
      <alignment horizontal="center"/>
    </xf>
    <xf numFmtId="0" fontId="0" fillId="5" borderId="5" xfId="0" applyFill="1" applyBorder="1" applyAlignment="1">
      <alignment horizontal="center"/>
    </xf>
    <xf numFmtId="0" fontId="0" fillId="6" borderId="5" xfId="0" applyFill="1" applyBorder="1" applyAlignment="1">
      <alignment horizontal="center"/>
    </xf>
    <xf numFmtId="0" fontId="0" fillId="11" borderId="5" xfId="0" applyFill="1" applyBorder="1" applyAlignment="1">
      <alignment horizontal="center"/>
    </xf>
    <xf numFmtId="0" fontId="0" fillId="12" borderId="5" xfId="0" applyFill="1" applyBorder="1" applyAlignment="1">
      <alignment horizontal="center"/>
    </xf>
    <xf numFmtId="0" fontId="0" fillId="13" borderId="5" xfId="0" applyFill="1" applyBorder="1" applyAlignment="1">
      <alignment horizontal="center"/>
    </xf>
    <xf numFmtId="165" fontId="3" fillId="0" borderId="92" xfId="0" applyNumberFormat="1" applyFont="1" applyBorder="1" applyAlignment="1">
      <alignment horizontal="center"/>
    </xf>
    <xf numFmtId="165" fontId="3" fillId="0" borderId="93" xfId="0" applyNumberFormat="1" applyFont="1" applyBorder="1" applyAlignment="1">
      <alignment horizontal="center"/>
    </xf>
    <xf numFmtId="165" fontId="3" fillId="0" borderId="91" xfId="0" applyNumberFormat="1" applyFont="1" applyBorder="1" applyAlignment="1">
      <alignment horizontal="center"/>
    </xf>
    <xf numFmtId="0" fontId="2" fillId="0" borderId="94" xfId="0" applyFont="1" applyBorder="1" applyAlignment="1">
      <alignment horizontal="center" vertical="center" wrapText="1"/>
    </xf>
    <xf numFmtId="0" fontId="2" fillId="0" borderId="56" xfId="0" applyFont="1" applyBorder="1" applyAlignment="1">
      <alignment horizontal="center" vertical="center" wrapText="1"/>
    </xf>
    <xf numFmtId="0" fontId="2" fillId="0" borderId="85" xfId="0" applyFont="1" applyBorder="1" applyAlignment="1">
      <alignment horizontal="center" vertical="center" wrapText="1"/>
    </xf>
    <xf numFmtId="0" fontId="2" fillId="0" borderId="57" xfId="0" applyFont="1" applyBorder="1" applyAlignment="1">
      <alignment horizontal="center" vertical="center" wrapText="1"/>
    </xf>
    <xf numFmtId="164" fontId="4" fillId="0" borderId="88" xfId="0" applyNumberFormat="1" applyFont="1" applyBorder="1" applyAlignment="1">
      <alignment horizontal="center" vertical="center" wrapText="1"/>
    </xf>
    <xf numFmtId="0" fontId="5" fillId="0" borderId="80" xfId="0" applyFont="1" applyBorder="1" applyAlignment="1">
      <alignment horizontal="center"/>
    </xf>
    <xf numFmtId="178" fontId="2" fillId="0" borderId="0" xfId="0" applyNumberFormat="1" applyFont="1"/>
    <xf numFmtId="178" fontId="2" fillId="0" borderId="83" xfId="0" applyNumberFormat="1" applyFont="1" applyBorder="1"/>
    <xf numFmtId="0" fontId="5" fillId="0" borderId="102" xfId="0" applyFont="1" applyBorder="1" applyAlignment="1">
      <alignment horizontal="center"/>
    </xf>
    <xf numFmtId="179" fontId="2" fillId="0" borderId="101" xfId="0" applyNumberFormat="1" applyFont="1" applyBorder="1"/>
    <xf numFmtId="0" fontId="2" fillId="0" borderId="0" xfId="1" applyNumberFormat="1" applyFont="1" applyFill="1" applyBorder="1"/>
    <xf numFmtId="9" fontId="2" fillId="0" borderId="78" xfId="1" applyFont="1" applyFill="1" applyBorder="1"/>
    <xf numFmtId="177" fontId="2" fillId="0" borderId="0" xfId="0" applyNumberFormat="1" applyFont="1"/>
    <xf numFmtId="0" fontId="2" fillId="0" borderId="103" xfId="0" applyFont="1" applyBorder="1" applyAlignment="1">
      <alignment horizontal="center"/>
    </xf>
    <xf numFmtId="0" fontId="2" fillId="0" borderId="68" xfId="0" applyFont="1" applyBorder="1" applyAlignment="1">
      <alignment horizontal="right"/>
    </xf>
    <xf numFmtId="0" fontId="10" fillId="0" borderId="104" xfId="0" applyFont="1" applyBorder="1"/>
    <xf numFmtId="0" fontId="2" fillId="0" borderId="70" xfId="0" applyFont="1" applyBorder="1" applyAlignment="1">
      <alignment horizontal="right"/>
    </xf>
    <xf numFmtId="0" fontId="10" fillId="0" borderId="105" xfId="0" applyFont="1" applyBorder="1"/>
    <xf numFmtId="0" fontId="2" fillId="0" borderId="71" xfId="0" applyFont="1" applyBorder="1" applyAlignment="1">
      <alignment horizontal="right"/>
    </xf>
    <xf numFmtId="0" fontId="10" fillId="0" borderId="106" xfId="0" applyFont="1" applyBorder="1"/>
    <xf numFmtId="172" fontId="2" fillId="0" borderId="78" xfId="0" applyNumberFormat="1" applyFont="1" applyBorder="1"/>
    <xf numFmtId="172" fontId="2" fillId="0" borderId="83" xfId="0" applyNumberFormat="1" applyFont="1" applyBorder="1"/>
    <xf numFmtId="10" fontId="2" fillId="0" borderId="0" xfId="1" applyNumberFormat="1" applyFont="1" applyFill="1" applyBorder="1"/>
    <xf numFmtId="180" fontId="2" fillId="0" borderId="0" xfId="0" applyNumberFormat="1" applyFont="1" applyAlignment="1">
      <alignment horizontal="right"/>
    </xf>
    <xf numFmtId="9" fontId="2" fillId="0" borderId="107" xfId="0" applyNumberFormat="1" applyFont="1" applyBorder="1"/>
    <xf numFmtId="172" fontId="2" fillId="0" borderId="77" xfId="0" applyNumberFormat="1" applyFont="1" applyBorder="1"/>
    <xf numFmtId="167" fontId="2" fillId="0" borderId="107" xfId="0" applyNumberFormat="1" applyFont="1" applyBorder="1"/>
    <xf numFmtId="0" fontId="2" fillId="0" borderId="71" xfId="0" applyFont="1" applyBorder="1"/>
    <xf numFmtId="0" fontId="0" fillId="0" borderId="0" xfId="0" applyAlignment="1">
      <alignment horizontal="left" indent="6"/>
    </xf>
    <xf numFmtId="0" fontId="2" fillId="0" borderId="110" xfId="0" applyFont="1" applyBorder="1"/>
    <xf numFmtId="172" fontId="2" fillId="0" borderId="110" xfId="0" applyNumberFormat="1" applyFont="1" applyBorder="1"/>
    <xf numFmtId="0" fontId="2" fillId="0" borderId="112" xfId="0" applyFont="1" applyBorder="1"/>
    <xf numFmtId="0" fontId="2" fillId="0" borderId="114" xfId="0" applyFont="1" applyBorder="1"/>
    <xf numFmtId="0" fontId="2" fillId="0" borderId="117" xfId="0" applyFont="1" applyBorder="1"/>
    <xf numFmtId="172" fontId="2" fillId="0" borderId="117" xfId="0" applyNumberFormat="1" applyFont="1" applyBorder="1"/>
    <xf numFmtId="0" fontId="2" fillId="0" borderId="118" xfId="0" applyFont="1" applyBorder="1"/>
    <xf numFmtId="0" fontId="2" fillId="0" borderId="120" xfId="0" applyFont="1" applyBorder="1"/>
    <xf numFmtId="0" fontId="2" fillId="0" borderId="122" xfId="0" applyFont="1" applyBorder="1"/>
    <xf numFmtId="172" fontId="2" fillId="0" borderId="122" xfId="0" applyNumberFormat="1" applyFont="1" applyBorder="1"/>
    <xf numFmtId="0" fontId="2" fillId="0" borderId="123" xfId="0" applyFont="1" applyBorder="1"/>
    <xf numFmtId="0" fontId="2" fillId="0" borderId="0" xfId="0" applyFont="1" applyAlignment="1">
      <alignment horizontal="center" vertical="center" wrapText="1"/>
    </xf>
    <xf numFmtId="0" fontId="2" fillId="0" borderId="126" xfId="0" applyFont="1" applyBorder="1"/>
    <xf numFmtId="172" fontId="2" fillId="0" borderId="126" xfId="0" applyNumberFormat="1" applyFont="1" applyBorder="1"/>
    <xf numFmtId="9" fontId="2" fillId="0" borderId="126" xfId="1" applyFont="1" applyFill="1" applyBorder="1"/>
    <xf numFmtId="0" fontId="2" fillId="0" borderId="127" xfId="0" applyFont="1" applyBorder="1"/>
    <xf numFmtId="9" fontId="2" fillId="0" borderId="128" xfId="0" applyNumberFormat="1" applyFont="1" applyBorder="1"/>
    <xf numFmtId="9" fontId="2" fillId="0" borderId="129" xfId="0" applyNumberFormat="1" applyFont="1" applyBorder="1"/>
    <xf numFmtId="0" fontId="2" fillId="0" borderId="129" xfId="0" applyFont="1" applyBorder="1"/>
    <xf numFmtId="0" fontId="2" fillId="0" borderId="130" xfId="0" applyFont="1" applyBorder="1"/>
    <xf numFmtId="0" fontId="5" fillId="0" borderId="131" xfId="0" applyFont="1" applyBorder="1"/>
    <xf numFmtId="0" fontId="2" fillId="0" borderId="132" xfId="0" applyFont="1" applyBorder="1"/>
    <xf numFmtId="0" fontId="2" fillId="0" borderId="133" xfId="0" applyFont="1" applyBorder="1"/>
    <xf numFmtId="0" fontId="0" fillId="0" borderId="132" xfId="0" applyBorder="1"/>
    <xf numFmtId="0" fontId="2" fillId="0" borderId="131" xfId="0" applyFont="1" applyBorder="1"/>
    <xf numFmtId="0" fontId="2" fillId="0" borderId="134" xfId="0" applyFont="1" applyBorder="1"/>
    <xf numFmtId="9" fontId="0" fillId="0" borderId="131" xfId="0" applyNumberFormat="1" applyBorder="1"/>
    <xf numFmtId="0" fontId="2" fillId="0" borderId="135" xfId="0" applyFont="1" applyBorder="1"/>
    <xf numFmtId="0" fontId="2" fillId="0" borderId="136" xfId="0" applyFont="1" applyBorder="1"/>
    <xf numFmtId="176" fontId="2" fillId="0" borderId="136" xfId="0" applyNumberFormat="1" applyFont="1" applyBorder="1"/>
    <xf numFmtId="0" fontId="2" fillId="0" borderId="137" xfId="0" applyFont="1" applyBorder="1"/>
    <xf numFmtId="173" fontId="14" fillId="0" borderId="0" xfId="0" applyNumberFormat="1" applyFont="1"/>
    <xf numFmtId="173" fontId="0" fillId="0" borderId="139" xfId="0" applyNumberFormat="1" applyBorder="1"/>
    <xf numFmtId="181" fontId="3" fillId="20" borderId="5" xfId="0" applyNumberFormat="1" applyFont="1" applyFill="1" applyBorder="1" applyAlignment="1">
      <alignment vertical="center"/>
    </xf>
    <xf numFmtId="10" fontId="3" fillId="20" borderId="98" xfId="0" applyNumberFormat="1" applyFont="1" applyFill="1" applyBorder="1" applyAlignment="1">
      <alignment vertical="center"/>
    </xf>
    <xf numFmtId="173" fontId="3" fillId="20" borderId="98" xfId="0" applyNumberFormat="1" applyFont="1" applyFill="1" applyBorder="1" applyAlignment="1">
      <alignment vertical="center"/>
    </xf>
    <xf numFmtId="173" fontId="7" fillId="21" borderId="98" xfId="0" applyNumberFormat="1" applyFont="1" applyFill="1" applyBorder="1" applyAlignment="1">
      <alignment vertical="center"/>
    </xf>
    <xf numFmtId="173" fontId="7" fillId="21" borderId="95" xfId="0" applyNumberFormat="1" applyFont="1" applyFill="1" applyBorder="1" applyAlignment="1">
      <alignment vertical="center"/>
    </xf>
    <xf numFmtId="165" fontId="3" fillId="0" borderId="99" xfId="0" applyNumberFormat="1" applyFont="1" applyBorder="1" applyAlignment="1">
      <alignment vertical="center"/>
    </xf>
    <xf numFmtId="173" fontId="7" fillId="0" borderId="99" xfId="0" applyNumberFormat="1" applyFont="1" applyBorder="1" applyAlignment="1">
      <alignment vertical="center"/>
    </xf>
    <xf numFmtId="173" fontId="7" fillId="0" borderId="96" xfId="0" applyNumberFormat="1" applyFont="1" applyBorder="1" applyAlignment="1">
      <alignment vertical="center"/>
    </xf>
    <xf numFmtId="10" fontId="3" fillId="20" borderId="99" xfId="0" applyNumberFormat="1" applyFont="1" applyFill="1" applyBorder="1" applyAlignment="1">
      <alignment vertical="center"/>
    </xf>
    <xf numFmtId="173" fontId="3" fillId="20" borderId="99" xfId="0" applyNumberFormat="1" applyFont="1" applyFill="1" applyBorder="1" applyAlignment="1">
      <alignment vertical="center"/>
    </xf>
    <xf numFmtId="173" fontId="7" fillId="21" borderId="99" xfId="0" applyNumberFormat="1" applyFont="1" applyFill="1" applyBorder="1" applyAlignment="1">
      <alignment vertical="center"/>
    </xf>
    <xf numFmtId="173" fontId="7" fillId="21" borderId="96" xfId="0" applyNumberFormat="1" applyFont="1" applyFill="1" applyBorder="1" applyAlignment="1">
      <alignment vertical="center"/>
    </xf>
    <xf numFmtId="165" fontId="3" fillId="21" borderId="99" xfId="0" applyNumberFormat="1" applyFont="1" applyFill="1" applyBorder="1" applyAlignment="1">
      <alignment vertical="center"/>
    </xf>
    <xf numFmtId="10" fontId="3" fillId="19" borderId="99" xfId="0" applyNumberFormat="1" applyFont="1" applyFill="1" applyBorder="1" applyAlignment="1">
      <alignment vertical="center"/>
    </xf>
    <xf numFmtId="173" fontId="3" fillId="19" borderId="99" xfId="0" applyNumberFormat="1" applyFont="1" applyFill="1" applyBorder="1" applyAlignment="1">
      <alignment vertical="center"/>
    </xf>
    <xf numFmtId="173" fontId="7" fillId="18" borderId="99" xfId="0" applyNumberFormat="1" applyFont="1" applyFill="1" applyBorder="1" applyAlignment="1">
      <alignment vertical="center"/>
    </xf>
    <xf numFmtId="173" fontId="7" fillId="18" borderId="96" xfId="0" applyNumberFormat="1" applyFont="1" applyFill="1" applyBorder="1" applyAlignment="1">
      <alignment vertical="center"/>
    </xf>
    <xf numFmtId="165" fontId="3" fillId="21" borderId="100" xfId="0" applyNumberFormat="1" applyFont="1" applyFill="1" applyBorder="1" applyAlignment="1">
      <alignment vertical="center"/>
    </xf>
    <xf numFmtId="173" fontId="3" fillId="21" borderId="100" xfId="0" applyNumberFormat="1" applyFont="1" applyFill="1" applyBorder="1" applyAlignment="1">
      <alignment vertical="center"/>
    </xf>
    <xf numFmtId="173" fontId="7" fillId="21" borderId="100" xfId="0" applyNumberFormat="1" applyFont="1" applyFill="1" applyBorder="1" applyAlignment="1">
      <alignment vertical="center"/>
    </xf>
    <xf numFmtId="173" fontId="7" fillId="21" borderId="97" xfId="0" applyNumberFormat="1" applyFont="1" applyFill="1" applyBorder="1" applyAlignment="1">
      <alignment vertical="center"/>
    </xf>
    <xf numFmtId="181" fontId="3" fillId="19" borderId="5" xfId="0" applyNumberFormat="1" applyFont="1" applyFill="1" applyBorder="1" applyAlignment="1">
      <alignment vertical="center"/>
    </xf>
    <xf numFmtId="181" fontId="3" fillId="19" borderId="4" xfId="0" applyNumberFormat="1" applyFont="1" applyFill="1" applyBorder="1" applyAlignment="1">
      <alignment vertical="center"/>
    </xf>
    <xf numFmtId="181" fontId="3" fillId="20" borderId="4" xfId="0" applyNumberFormat="1" applyFont="1" applyFill="1" applyBorder="1" applyAlignment="1">
      <alignment vertical="center"/>
    </xf>
    <xf numFmtId="0" fontId="0" fillId="0" borderId="56" xfId="0" applyBorder="1" applyAlignment="1">
      <alignment horizontal="center"/>
    </xf>
    <xf numFmtId="0" fontId="0" fillId="0" borderId="140" xfId="0" applyBorder="1"/>
    <xf numFmtId="0" fontId="5" fillId="0" borderId="141" xfId="0" applyFont="1" applyBorder="1" applyAlignment="1">
      <alignment horizontal="center" vertical="center"/>
    </xf>
    <xf numFmtId="0" fontId="2" fillId="0" borderId="142" xfId="0" applyFont="1" applyBorder="1"/>
    <xf numFmtId="0" fontId="2" fillId="0" borderId="142" xfId="0" applyFont="1" applyBorder="1" applyAlignment="1">
      <alignment horizontal="right"/>
    </xf>
    <xf numFmtId="0" fontId="8" fillId="0" borderId="141" xfId="0" applyFont="1" applyBorder="1"/>
    <xf numFmtId="171" fontId="8" fillId="0" borderId="142" xfId="0" applyNumberFormat="1" applyFont="1" applyBorder="1"/>
    <xf numFmtId="181" fontId="17" fillId="20" borderId="25" xfId="0" applyNumberFormat="1" applyFont="1" applyFill="1" applyBorder="1" applyAlignment="1">
      <alignment vertical="center"/>
    </xf>
    <xf numFmtId="181" fontId="18" fillId="0" borderId="0" xfId="0" applyNumberFormat="1" applyFont="1"/>
    <xf numFmtId="181" fontId="18" fillId="0" borderId="25" xfId="0" applyNumberFormat="1" applyFont="1" applyBorder="1"/>
    <xf numFmtId="0" fontId="15" fillId="12" borderId="3" xfId="0" applyFont="1" applyFill="1" applyBorder="1" applyAlignment="1">
      <alignment horizontal="center"/>
    </xf>
    <xf numFmtId="0" fontId="15" fillId="12" borderId="59" xfId="0" applyFont="1" applyFill="1" applyBorder="1" applyAlignment="1">
      <alignment horizontal="center"/>
    </xf>
    <xf numFmtId="0" fontId="15" fillId="12" borderId="4" xfId="0" applyFont="1" applyFill="1" applyBorder="1" applyAlignment="1">
      <alignment horizontal="center"/>
    </xf>
    <xf numFmtId="0" fontId="15" fillId="13" borderId="3" xfId="0" applyFont="1" applyFill="1" applyBorder="1" applyAlignment="1">
      <alignment horizontal="center"/>
    </xf>
    <xf numFmtId="0" fontId="15" fillId="13" borderId="59" xfId="0" applyFont="1" applyFill="1" applyBorder="1" applyAlignment="1">
      <alignment horizontal="center"/>
    </xf>
    <xf numFmtId="0" fontId="15" fillId="13" borderId="4" xfId="0" applyFont="1" applyFill="1" applyBorder="1" applyAlignment="1">
      <alignment horizontal="center"/>
    </xf>
    <xf numFmtId="164" fontId="4" fillId="0" borderId="138" xfId="0" applyNumberFormat="1" applyFont="1" applyBorder="1" applyAlignment="1">
      <alignment horizontal="center" vertical="center" wrapText="1"/>
    </xf>
    <xf numFmtId="164" fontId="4" fillId="0" borderId="108" xfId="0" applyNumberFormat="1" applyFont="1" applyBorder="1" applyAlignment="1">
      <alignment horizontal="center" vertical="center" wrapText="1"/>
    </xf>
    <xf numFmtId="164" fontId="4" fillId="0" borderId="95" xfId="0" applyNumberFormat="1" applyFont="1" applyBorder="1" applyAlignment="1">
      <alignment horizontal="center" vertical="center" wrapText="1"/>
    </xf>
    <xf numFmtId="0" fontId="12" fillId="13" borderId="56" xfId="0" applyFont="1" applyFill="1" applyBorder="1" applyAlignment="1">
      <alignment horizontal="center" vertical="center"/>
    </xf>
    <xf numFmtId="0" fontId="12" fillId="13" borderId="57" xfId="0" applyFont="1" applyFill="1" applyBorder="1" applyAlignment="1">
      <alignment horizontal="center" vertical="center"/>
    </xf>
    <xf numFmtId="164" fontId="4" fillId="0" borderId="17" xfId="0" applyNumberFormat="1" applyFont="1" applyBorder="1" applyAlignment="1">
      <alignment horizontal="center" vertical="center" wrapText="1"/>
    </xf>
    <xf numFmtId="164" fontId="4" fillId="0" borderId="2" xfId="0" applyNumberFormat="1" applyFont="1" applyBorder="1" applyAlignment="1">
      <alignment horizontal="center" vertical="center" wrapText="1"/>
    </xf>
    <xf numFmtId="164" fontId="4" fillId="0" borderId="18" xfId="0" applyNumberFormat="1" applyFont="1" applyBorder="1" applyAlignment="1">
      <alignment horizontal="center" vertical="center" wrapText="1"/>
    </xf>
    <xf numFmtId="0" fontId="16" fillId="14" borderId="86" xfId="0" applyFont="1" applyFill="1" applyBorder="1" applyAlignment="1">
      <alignment horizontal="center" vertical="center" wrapText="1"/>
    </xf>
    <xf numFmtId="0" fontId="16" fillId="14" borderId="87" xfId="0" applyFont="1" applyFill="1" applyBorder="1" applyAlignment="1">
      <alignment horizontal="center" vertical="center" wrapText="1"/>
    </xf>
    <xf numFmtId="0" fontId="15" fillId="15" borderId="3" xfId="0" applyFont="1" applyFill="1" applyBorder="1" applyAlignment="1">
      <alignment horizontal="center"/>
    </xf>
    <xf numFmtId="0" fontId="15" fillId="15" borderId="59" xfId="0" applyFont="1" applyFill="1" applyBorder="1" applyAlignment="1">
      <alignment horizontal="center"/>
    </xf>
    <xf numFmtId="0" fontId="15" fillId="15" borderId="4" xfId="0" applyFont="1" applyFill="1" applyBorder="1" applyAlignment="1">
      <alignment horizontal="center"/>
    </xf>
    <xf numFmtId="164" fontId="4" fillId="0" borderId="15" xfId="0" applyNumberFormat="1" applyFont="1" applyBorder="1" applyAlignment="1">
      <alignment horizontal="center" vertical="center" wrapText="1"/>
    </xf>
    <xf numFmtId="164" fontId="4" fillId="0" borderId="16" xfId="0" applyNumberFormat="1" applyFont="1" applyBorder="1" applyAlignment="1">
      <alignment horizontal="center" vertical="center" wrapText="1"/>
    </xf>
    <xf numFmtId="164" fontId="4" fillId="0" borderId="89" xfId="0" applyNumberFormat="1" applyFont="1" applyBorder="1" applyAlignment="1">
      <alignment horizontal="center" vertical="center" wrapText="1"/>
    </xf>
    <xf numFmtId="164" fontId="4" fillId="0" borderId="90" xfId="0" applyNumberFormat="1" applyFont="1" applyBorder="1" applyAlignment="1">
      <alignment horizontal="center" vertical="center" wrapText="1"/>
    </xf>
    <xf numFmtId="10" fontId="13" fillId="8" borderId="3" xfId="0" applyNumberFormat="1" applyFont="1" applyFill="1" applyBorder="1" applyAlignment="1">
      <alignment horizontal="center" vertical="center"/>
    </xf>
    <xf numFmtId="10" fontId="13" fillId="8" borderId="4" xfId="0" applyNumberFormat="1" applyFont="1" applyFill="1" applyBorder="1" applyAlignment="1">
      <alignment horizontal="center" vertical="center"/>
    </xf>
    <xf numFmtId="10" fontId="13" fillId="7" borderId="23" xfId="0" applyNumberFormat="1" applyFont="1" applyFill="1" applyBorder="1" applyAlignment="1">
      <alignment horizontal="center" vertical="center"/>
    </xf>
    <xf numFmtId="10" fontId="13" fillId="7" borderId="24" xfId="0" applyNumberFormat="1" applyFont="1" applyFill="1" applyBorder="1" applyAlignment="1">
      <alignment horizontal="center" vertical="center"/>
    </xf>
    <xf numFmtId="164" fontId="4" fillId="0" borderId="3" xfId="0" applyNumberFormat="1" applyFont="1" applyBorder="1" applyAlignment="1">
      <alignment horizontal="center" vertical="center" wrapText="1"/>
    </xf>
    <xf numFmtId="164" fontId="4" fillId="0" borderId="59" xfId="0" applyNumberFormat="1" applyFont="1" applyBorder="1" applyAlignment="1">
      <alignment horizontal="center" vertical="center" wrapText="1"/>
    </xf>
    <xf numFmtId="164" fontId="4" fillId="0" borderId="4" xfId="0" applyNumberFormat="1" applyFont="1" applyBorder="1" applyAlignment="1">
      <alignment horizontal="center" vertical="center" wrapText="1"/>
    </xf>
    <xf numFmtId="0" fontId="15" fillId="16" borderId="3" xfId="0" applyFont="1" applyFill="1" applyBorder="1" applyAlignment="1">
      <alignment horizontal="center"/>
    </xf>
    <xf numFmtId="0" fontId="15" fillId="16" borderId="59" xfId="0" applyFont="1" applyFill="1" applyBorder="1" applyAlignment="1">
      <alignment horizontal="center"/>
    </xf>
    <xf numFmtId="0" fontId="15" fillId="16" borderId="4" xfId="0" applyFont="1" applyFill="1" applyBorder="1" applyAlignment="1">
      <alignment horizontal="center"/>
    </xf>
    <xf numFmtId="0" fontId="15" fillId="17" borderId="3" xfId="0" applyFont="1" applyFill="1" applyBorder="1" applyAlignment="1">
      <alignment horizontal="center"/>
    </xf>
    <xf numFmtId="0" fontId="15" fillId="17" borderId="59" xfId="0" applyFont="1" applyFill="1" applyBorder="1" applyAlignment="1">
      <alignment horizontal="center"/>
    </xf>
    <xf numFmtId="0" fontId="15" fillId="17" borderId="4" xfId="0" applyFont="1" applyFill="1" applyBorder="1" applyAlignment="1">
      <alignment horizontal="center"/>
    </xf>
    <xf numFmtId="0" fontId="15" fillId="18" borderId="3" xfId="0" applyFont="1" applyFill="1" applyBorder="1" applyAlignment="1">
      <alignment horizontal="center"/>
    </xf>
    <xf numFmtId="0" fontId="15" fillId="18" borderId="59" xfId="0" applyFont="1" applyFill="1" applyBorder="1" applyAlignment="1">
      <alignment horizontal="center"/>
    </xf>
    <xf numFmtId="0" fontId="15" fillId="18" borderId="4" xfId="0" applyFont="1" applyFill="1" applyBorder="1" applyAlignment="1">
      <alignment horizontal="center"/>
    </xf>
    <xf numFmtId="0" fontId="12" fillId="4" borderId="56" xfId="0" applyFont="1" applyFill="1" applyBorder="1" applyAlignment="1">
      <alignment horizontal="center" vertical="center"/>
    </xf>
    <xf numFmtId="0" fontId="12" fillId="4" borderId="85" xfId="0" applyFont="1" applyFill="1" applyBorder="1" applyAlignment="1">
      <alignment horizontal="center" vertical="center"/>
    </xf>
    <xf numFmtId="0" fontId="12" fillId="5" borderId="56" xfId="0" applyFont="1" applyFill="1" applyBorder="1" applyAlignment="1">
      <alignment horizontal="center" vertical="center"/>
    </xf>
    <xf numFmtId="0" fontId="12" fillId="5" borderId="57" xfId="0" applyFont="1" applyFill="1" applyBorder="1" applyAlignment="1">
      <alignment horizontal="center" vertical="center"/>
    </xf>
    <xf numFmtId="10" fontId="13" fillId="9" borderId="3" xfId="0" applyNumberFormat="1" applyFont="1" applyFill="1" applyBorder="1" applyAlignment="1">
      <alignment horizontal="center" vertical="center"/>
    </xf>
    <xf numFmtId="10" fontId="13" fillId="9" borderId="4" xfId="0" applyNumberFormat="1" applyFont="1" applyFill="1" applyBorder="1" applyAlignment="1">
      <alignment horizontal="center" vertical="center"/>
    </xf>
    <xf numFmtId="10" fontId="13" fillId="10" borderId="3" xfId="0" applyNumberFormat="1" applyFont="1" applyFill="1" applyBorder="1" applyAlignment="1">
      <alignment horizontal="center" vertical="center"/>
    </xf>
    <xf numFmtId="10" fontId="13" fillId="10" borderId="4" xfId="0" applyNumberFormat="1" applyFont="1" applyFill="1" applyBorder="1" applyAlignment="1">
      <alignment horizontal="center" vertical="center"/>
    </xf>
    <xf numFmtId="0" fontId="12" fillId="15" borderId="23" xfId="0" applyFont="1" applyFill="1" applyBorder="1" applyAlignment="1">
      <alignment horizontal="center" vertical="center"/>
    </xf>
    <xf numFmtId="0" fontId="12" fillId="15" borderId="58" xfId="0" applyFont="1" applyFill="1" applyBorder="1" applyAlignment="1">
      <alignment horizontal="center" vertical="center"/>
    </xf>
    <xf numFmtId="0" fontId="12" fillId="12" borderId="56" xfId="0" applyFont="1" applyFill="1" applyBorder="1" applyAlignment="1">
      <alignment horizontal="center" vertical="center"/>
    </xf>
    <xf numFmtId="0" fontId="12" fillId="12" borderId="57" xfId="0" applyFont="1" applyFill="1" applyBorder="1" applyAlignment="1">
      <alignment horizontal="center" vertical="center"/>
    </xf>
    <xf numFmtId="0" fontId="5" fillId="0" borderId="69" xfId="0" applyFont="1" applyBorder="1" applyAlignment="1">
      <alignment horizontal="center" vertical="center" wrapText="1"/>
    </xf>
    <xf numFmtId="0" fontId="5" fillId="0" borderId="0" xfId="0" applyFont="1" applyAlignment="1">
      <alignment horizontal="center" vertical="center" wrapText="1"/>
    </xf>
    <xf numFmtId="0" fontId="6" fillId="0" borderId="124" xfId="0" applyFont="1" applyBorder="1" applyAlignment="1">
      <alignment horizontal="center" vertical="center"/>
    </xf>
    <xf numFmtId="0" fontId="6" fillId="0" borderId="31" xfId="0" applyFont="1" applyBorder="1" applyAlignment="1">
      <alignment horizontal="center" vertical="center"/>
    </xf>
    <xf numFmtId="0" fontId="6" fillId="0" borderId="33" xfId="0" applyFont="1" applyBorder="1" applyAlignment="1">
      <alignment horizontal="center" vertical="center"/>
    </xf>
    <xf numFmtId="0" fontId="6" fillId="0" borderId="34" xfId="0" applyFont="1" applyBorder="1" applyAlignment="1">
      <alignment horizontal="center" vertical="center"/>
    </xf>
    <xf numFmtId="0" fontId="6" fillId="0" borderId="36" xfId="0" applyFont="1" applyBorder="1" applyAlignment="1">
      <alignment horizontal="center" vertical="center"/>
    </xf>
    <xf numFmtId="0" fontId="6" fillId="0" borderId="38" xfId="0" applyFont="1" applyBorder="1" applyAlignment="1">
      <alignment horizontal="center" vertical="center"/>
    </xf>
    <xf numFmtId="0" fontId="6" fillId="0" borderId="39" xfId="0" applyFont="1" applyBorder="1" applyAlignment="1">
      <alignment horizontal="center" vertical="center"/>
    </xf>
    <xf numFmtId="0" fontId="6" fillId="0" borderId="42" xfId="0" applyFont="1" applyBorder="1" applyAlignment="1">
      <alignment horizontal="center" vertical="center"/>
    </xf>
    <xf numFmtId="0" fontId="6" fillId="0" borderId="44" xfId="0" applyFont="1" applyBorder="1" applyAlignment="1">
      <alignment horizontal="center" vertical="center"/>
    </xf>
    <xf numFmtId="0" fontId="6" fillId="0" borderId="45" xfId="0" applyFont="1" applyBorder="1" applyAlignment="1">
      <alignment horizontal="center" vertical="center"/>
    </xf>
    <xf numFmtId="0" fontId="6" fillId="0" borderId="48" xfId="0" applyFont="1" applyBorder="1" applyAlignment="1">
      <alignment horizontal="center" vertical="center"/>
    </xf>
    <xf numFmtId="0" fontId="6" fillId="0" borderId="125" xfId="0" applyFont="1" applyBorder="1" applyAlignment="1">
      <alignment horizontal="center" vertical="center"/>
    </xf>
    <xf numFmtId="0" fontId="6" fillId="0" borderId="7" xfId="0" applyFont="1" applyBorder="1" applyAlignment="1">
      <alignment horizontal="center" vertical="center"/>
    </xf>
    <xf numFmtId="0" fontId="6" fillId="0" borderId="10" xfId="0" applyFont="1" applyBorder="1" applyAlignment="1">
      <alignment horizontal="center" vertical="center"/>
    </xf>
    <xf numFmtId="0" fontId="6" fillId="0" borderId="12" xfId="0" applyFont="1" applyBorder="1" applyAlignment="1">
      <alignment horizontal="center" vertical="center"/>
    </xf>
    <xf numFmtId="0" fontId="6" fillId="0" borderId="26" xfId="0" applyFont="1" applyBorder="1" applyAlignment="1">
      <alignment horizontal="center" vertical="center"/>
    </xf>
    <xf numFmtId="0" fontId="6" fillId="0" borderId="28" xfId="0" applyFont="1" applyBorder="1" applyAlignment="1">
      <alignment horizontal="center" vertical="center"/>
    </xf>
    <xf numFmtId="0" fontId="6" fillId="0" borderId="109" xfId="0" applyFont="1" applyBorder="1" applyAlignment="1">
      <alignment horizontal="center" vertical="center"/>
    </xf>
    <xf numFmtId="0" fontId="6" fillId="0" borderId="111" xfId="0" applyFont="1" applyBorder="1" applyAlignment="1">
      <alignment horizontal="center" vertical="center"/>
    </xf>
    <xf numFmtId="0" fontId="6" fillId="0" borderId="113" xfId="0" applyFont="1" applyBorder="1" applyAlignment="1">
      <alignment horizontal="center" vertical="center"/>
    </xf>
    <xf numFmtId="0" fontId="6" fillId="0" borderId="115" xfId="0" applyFont="1" applyBorder="1" applyAlignment="1">
      <alignment horizontal="center" vertical="center"/>
    </xf>
    <xf numFmtId="0" fontId="6" fillId="0" borderId="116" xfId="0" applyFont="1" applyBorder="1" applyAlignment="1">
      <alignment horizontal="center" vertical="center"/>
    </xf>
    <xf numFmtId="0" fontId="6" fillId="0" borderId="119" xfId="0" applyFont="1" applyBorder="1" applyAlignment="1">
      <alignment horizontal="center" vertical="center"/>
    </xf>
    <xf numFmtId="0" fontId="6" fillId="0" borderId="121" xfId="0" applyFont="1" applyBorder="1" applyAlignment="1">
      <alignment horizontal="center" vertical="center"/>
    </xf>
  </cellXfs>
  <cellStyles count="2">
    <cellStyle name="Normal" xfId="0" builtinId="0"/>
    <cellStyle name="Percent" xfId="1" builtinId="5"/>
  </cellStyles>
  <dxfs count="385">
    <dxf>
      <numFmt numFmtId="174" formatCode="0.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font>
        <b val="0"/>
        <i val="0"/>
        <strike val="0"/>
        <condense val="0"/>
        <extend val="0"/>
        <outline val="0"/>
        <shadow val="0"/>
        <u val="none"/>
        <vertAlign val="baseline"/>
        <sz val="11"/>
        <color theme="1"/>
        <name val="Calibri"/>
        <family val="2"/>
        <charset val="204"/>
        <scheme val="none"/>
      </font>
      <fill>
        <patternFill patternType="none">
          <fgColor indexed="64"/>
          <bgColor indexed="65"/>
        </patternFill>
      </fill>
      <alignment horizontal="center" vertical="center" textRotation="0" wrapText="1" indent="0" justifyLastLine="0" shrinkToFit="0" readingOrder="0"/>
      <border diagonalUp="0" diagonalDown="0">
        <left/>
        <right style="thin">
          <color theme="4"/>
        </right>
        <top/>
        <bottom/>
        <vertical/>
        <horizontal/>
      </border>
    </dxf>
    <dxf>
      <font>
        <b val="0"/>
        <i val="0"/>
        <strike val="0"/>
        <condense val="0"/>
        <extend val="0"/>
        <outline val="0"/>
        <shadow val="0"/>
        <u val="none"/>
        <vertAlign val="baseline"/>
        <sz val="11"/>
        <color theme="1"/>
        <name val="Calibri"/>
        <family val="2"/>
        <charset val="204"/>
        <scheme val="none"/>
      </font>
      <fill>
        <patternFill patternType="none">
          <fgColor indexed="64"/>
          <bgColor indexed="65"/>
        </patternFill>
      </fill>
      <alignment horizontal="center" vertical="center" textRotation="0" wrapText="1" indent="0" justifyLastLine="0" shrinkToFit="0" readingOrder="0"/>
      <border diagonalUp="0" diagonalDown="0">
        <left style="thin">
          <color theme="4"/>
        </left>
        <right style="thin">
          <color theme="4"/>
        </right>
        <top/>
        <bottom/>
        <vertical/>
        <horizontal/>
      </border>
    </dxf>
    <dxf>
      <font>
        <b val="0"/>
        <i val="0"/>
        <strike val="0"/>
        <condense val="0"/>
        <extend val="0"/>
        <outline val="0"/>
        <shadow val="0"/>
        <u val="none"/>
        <vertAlign val="baseline"/>
        <sz val="11"/>
        <color theme="1"/>
        <name val="Calibri"/>
        <family val="2"/>
        <charset val="204"/>
        <scheme val="none"/>
      </font>
      <fill>
        <patternFill patternType="none">
          <fgColor indexed="64"/>
          <bgColor indexed="65"/>
        </patternFill>
      </fill>
      <alignment horizontal="center" vertical="center" textRotation="0" wrapText="1" indent="0" justifyLastLine="0" shrinkToFit="0" readingOrder="0"/>
      <border diagonalUp="0" diagonalDown="0">
        <left/>
        <right style="thin">
          <color theme="4"/>
        </right>
        <top/>
        <bottom/>
        <vertical/>
        <horizontal/>
      </border>
    </dxf>
    <dxf>
      <font>
        <b val="0"/>
        <i val="0"/>
        <strike val="0"/>
        <condense val="0"/>
        <extend val="0"/>
        <outline val="0"/>
        <shadow val="0"/>
        <u val="none"/>
        <vertAlign val="baseline"/>
        <sz val="11"/>
        <color theme="1"/>
        <name val="Calibri"/>
        <family val="2"/>
        <charset val="204"/>
        <scheme val="none"/>
      </font>
      <fill>
        <patternFill patternType="none">
          <fgColor indexed="64"/>
          <bgColor indexed="65"/>
        </patternFill>
      </fill>
      <alignment horizontal="center" vertical="center" textRotation="0" wrapText="1" indent="0" justifyLastLine="0" shrinkToFit="0" readingOrder="0"/>
      <border diagonalUp="0" diagonalDown="0">
        <left style="thin">
          <color theme="4"/>
        </left>
        <right style="thin">
          <color theme="4"/>
        </right>
        <top/>
        <bottom/>
        <vertical/>
        <horizontal/>
      </border>
    </dxf>
    <dxf>
      <border outline="0">
        <bottom style="thin">
          <color theme="4"/>
        </bottom>
      </border>
    </dxf>
    <dxf>
      <font>
        <b val="0"/>
        <i val="0"/>
        <strike val="0"/>
        <condense val="0"/>
        <extend val="0"/>
        <outline val="0"/>
        <shadow val="0"/>
        <u val="none"/>
        <vertAlign val="baseline"/>
        <sz val="11"/>
        <color theme="1"/>
        <name val="Calibri"/>
        <family val="2"/>
        <charset val="204"/>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theme="4"/>
        </left>
        <right style="thin">
          <color theme="4"/>
        </right>
        <top/>
        <bottom/>
      </border>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font>
        <b val="0"/>
        <i val="0"/>
        <strike val="0"/>
        <outline val="0"/>
        <shadow val="0"/>
        <u val="none"/>
        <vertAlign val="baseline"/>
        <color rgb="FF005493"/>
        <name val="Calibri (Body)"/>
      </font>
      <numFmt numFmtId="181" formatCode="_-[$€-2]\ * #,##0.00_-;[Red]\-[$€-2]\ * #,##0.00_-;_-[$€-2]\ * &quot;-&quot;??_-;_-@_-"/>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numFmt numFmtId="173" formatCode="_-[$€-2]\ * #,##0.00_-;\-[$€-2]\ * #,##0.00_-;_-[$€-2]\ * &quot;-&quot;??_-;_-@_-"/>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82" formatCode="dd/mm/yy"/>
      <alignment horizontal="center" vertical="bottom" textRotation="0" wrapText="0" indent="0" justifyLastLine="0" shrinkToFit="0" readingOrder="0"/>
    </dxf>
    <dxf>
      <numFmt numFmtId="0" formatCode="General"/>
      <border diagonalUp="0" diagonalDown="0">
        <left style="thin">
          <color theme="4"/>
        </left>
        <right/>
        <top/>
        <bottom/>
        <vertical/>
        <horizontal/>
      </border>
    </dxf>
    <dxf>
      <alignment horizontal="center" vertical="bottom" textRotation="0" wrapText="0" indent="0" justifyLastLine="0" shrinkToFit="0" readingOrder="0"/>
    </dxf>
    <dxf>
      <font>
        <b val="0"/>
        <i val="0"/>
        <strike val="0"/>
        <condense val="0"/>
        <extend val="0"/>
        <outline val="0"/>
        <shadow val="0"/>
        <u val="none"/>
        <vertAlign val="baseline"/>
        <sz val="14"/>
        <color rgb="FF305496"/>
        <name val="Calibri"/>
        <family val="2"/>
        <scheme val="none"/>
      </font>
      <numFmt numFmtId="173" formatCode="_-[$€-2]\ * #,##0.00_-;\-[$€-2]\ * #,##0.00_-;_-[$€-2]\ * &quot;-&quot;??_-;_-@_-"/>
      <fill>
        <patternFill patternType="solid">
          <fgColor rgb="FFD9E1F2"/>
          <bgColor rgb="FFD9E1F2"/>
        </patternFill>
      </fill>
      <alignment horizontal="general" vertical="center" textRotation="0" wrapText="0" indent="0" justifyLastLine="0" shrinkToFit="0" readingOrder="0"/>
      <border diagonalUp="0" diagonalDown="0" outline="0">
        <left/>
        <right style="thin">
          <color rgb="FF4F81BD"/>
        </right>
        <top/>
        <bottom/>
      </border>
    </dxf>
    <dxf>
      <font>
        <strike val="0"/>
        <outline val="0"/>
        <shadow val="0"/>
        <u val="none"/>
        <vertAlign val="baseline"/>
        <sz val="14"/>
        <color theme="1"/>
        <name val="Calibri"/>
        <family val="2"/>
        <scheme val="none"/>
      </font>
      <numFmt numFmtId="173" formatCode="_-[$€-2]\ * #,##0.00_-;\-[$€-2]\ * #,##0.00_-;_-[$€-2]\ * &quot;-&quot;??_-;_-@_-"/>
      <alignment horizontal="general" vertical="center" textRotation="0" wrapText="0" indent="0" justifyLastLine="0" shrinkToFit="0" readingOrder="0"/>
      <border diagonalUp="0" diagonalDown="0" outline="0">
        <left style="thin">
          <color rgb="FF4F81BD"/>
        </left>
        <right style="thin">
          <color rgb="FF4F81BD"/>
        </right>
        <top/>
        <bottom/>
      </border>
    </dxf>
    <dxf>
      <font>
        <strike val="0"/>
        <outline val="0"/>
        <shadow val="0"/>
        <u val="none"/>
        <vertAlign val="baseline"/>
        <sz val="14"/>
        <color theme="1"/>
        <name val="Calibri"/>
        <family val="2"/>
        <scheme val="none"/>
      </font>
      <numFmt numFmtId="173" formatCode="_-[$€-2]\ * #,##0.00_-;\-[$€-2]\ * #,##0.00_-;_-[$€-2]\ * &quot;-&quot;??_-;_-@_-"/>
      <alignment horizontal="general" vertical="center" textRotation="0" wrapText="0" indent="0" justifyLastLine="0" shrinkToFit="0" readingOrder="0"/>
      <border diagonalUp="0" diagonalDown="0" outline="0">
        <left style="thin">
          <color rgb="FF4F81BD"/>
        </left>
        <right style="thin">
          <color rgb="FF4F81BD"/>
        </right>
        <top/>
        <bottom/>
      </border>
    </dxf>
    <dxf>
      <font>
        <strike val="0"/>
        <outline val="0"/>
        <shadow val="0"/>
        <u val="none"/>
        <vertAlign val="baseline"/>
        <sz val="14"/>
        <color theme="1"/>
        <name val="Calibri"/>
        <family val="2"/>
        <scheme val="none"/>
      </font>
      <numFmt numFmtId="173" formatCode="_-[$€-2]\ * #,##0.00_-;\-[$€-2]\ * #,##0.00_-;_-[$€-2]\ * &quot;-&quot;??_-;_-@_-"/>
      <alignment horizontal="general" vertical="center" textRotation="0" wrapText="0" indent="0" justifyLastLine="0" shrinkToFit="0" readingOrder="0"/>
      <border diagonalUp="0" diagonalDown="0" outline="0">
        <left style="thin">
          <color rgb="FF4F81BD"/>
        </left>
        <right style="thin">
          <color rgb="FF4F81BD"/>
        </right>
        <top/>
        <bottom/>
      </border>
    </dxf>
    <dxf>
      <font>
        <b val="0"/>
        <i val="0"/>
        <strike val="0"/>
        <condense val="0"/>
        <extend val="0"/>
        <outline val="0"/>
        <shadow val="0"/>
        <u val="none"/>
        <vertAlign val="baseline"/>
        <sz val="14"/>
        <color rgb="FF305496"/>
        <name val="Calibri"/>
        <family val="2"/>
        <scheme val="none"/>
      </font>
      <numFmt numFmtId="173" formatCode="_-[$€-2]\ * #,##0.00_-;\-[$€-2]\ * #,##0.00_-;_-[$€-2]\ * &quot;-&quot;??_-;_-@_-"/>
      <fill>
        <patternFill patternType="solid">
          <fgColor rgb="FFD9E1F2"/>
          <bgColor rgb="FFD9E1F2"/>
        </patternFill>
      </fill>
      <alignment horizontal="general" vertical="center" textRotation="0" wrapText="0" indent="0" justifyLastLine="0" shrinkToFit="0" readingOrder="0"/>
      <border diagonalUp="0" diagonalDown="0" outline="0">
        <left style="thin">
          <color rgb="FF4F81BD"/>
        </left>
        <right style="thin">
          <color rgb="FF4F81BD"/>
        </right>
        <top/>
        <bottom/>
      </border>
    </dxf>
    <dxf>
      <font>
        <b val="0"/>
        <i val="0"/>
        <strike val="0"/>
        <condense val="0"/>
        <extend val="0"/>
        <outline val="0"/>
        <shadow val="0"/>
        <u val="none"/>
        <vertAlign val="baseline"/>
        <sz val="14"/>
        <color rgb="FF305496"/>
        <name val="Calibri"/>
        <family val="2"/>
        <scheme val="none"/>
      </font>
      <numFmt numFmtId="14" formatCode="0.00%"/>
      <fill>
        <patternFill patternType="solid">
          <fgColor rgb="FFD9E1F2"/>
          <bgColor rgb="FFD9E1F2"/>
        </patternFill>
      </fill>
      <alignment horizontal="general" vertical="center" textRotation="0" wrapText="0" indent="0" justifyLastLine="0" shrinkToFit="0" readingOrder="0"/>
      <border diagonalUp="0" diagonalDown="0" outline="0">
        <left style="thin">
          <color rgb="FF4F81BD"/>
        </left>
        <right style="thin">
          <color rgb="FF4F81BD"/>
        </right>
        <top/>
        <bottom/>
      </border>
    </dxf>
    <dxf>
      <border outline="0">
        <top style="thin">
          <color rgb="FF4F81BD"/>
        </top>
      </border>
    </dxf>
    <dxf>
      <font>
        <b val="0"/>
        <i val="0"/>
        <strike val="0"/>
        <condense val="0"/>
        <extend val="0"/>
        <outline val="0"/>
        <shadow val="0"/>
        <u val="none"/>
        <vertAlign val="baseline"/>
        <sz val="14"/>
        <color rgb="FF305496"/>
        <name val="Calibri"/>
        <family val="2"/>
        <scheme val="none"/>
      </font>
      <fill>
        <patternFill patternType="solid">
          <fgColor rgb="FFD9E1F2"/>
          <bgColor rgb="FFD9E1F2"/>
        </patternFill>
      </fill>
      <alignment horizontal="general" vertical="center" textRotation="0" wrapText="0" indent="0" justifyLastLine="0" shrinkToFit="0" readingOrder="0"/>
    </dxf>
    <dxf>
      <border outline="0">
        <bottom style="thin">
          <color rgb="FF4F81BD"/>
        </bottom>
      </border>
    </dxf>
    <dxf>
      <font>
        <b/>
        <i val="0"/>
        <strike val="0"/>
        <condense val="0"/>
        <extend val="0"/>
        <outline val="0"/>
        <shadow val="0"/>
        <u val="none"/>
        <vertAlign val="baseline"/>
        <sz val="14"/>
        <color rgb="FF366092"/>
        <name val="Calibri"/>
        <family val="2"/>
        <scheme val="none"/>
      </font>
      <numFmt numFmtId="164" formatCode="&quot;€&quot;#,##0.00_);[Red]\(&quot;€&quot;#,##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charset val="204"/>
        <scheme val="none"/>
      </font>
      <fill>
        <patternFill patternType="none">
          <fgColor indexed="64"/>
          <bgColor indexed="65"/>
        </patternFill>
      </fill>
      <alignment horizontal="center" vertical="center" textRotation="0" wrapText="1" indent="0" justifyLastLine="0" shrinkToFit="0" readingOrder="0"/>
      <border diagonalUp="0" diagonalDown="0">
        <left/>
        <right style="thin">
          <color theme="4"/>
        </right>
        <top/>
        <bottom/>
        <vertical/>
        <horizontal/>
      </border>
    </dxf>
    <dxf>
      <font>
        <b val="0"/>
        <i val="0"/>
        <strike val="0"/>
        <condense val="0"/>
        <extend val="0"/>
        <outline val="0"/>
        <shadow val="0"/>
        <u val="none"/>
        <vertAlign val="baseline"/>
        <sz val="11"/>
        <color theme="1"/>
        <name val="Calibri"/>
        <family val="2"/>
        <charset val="204"/>
        <scheme val="none"/>
      </font>
      <fill>
        <patternFill patternType="none">
          <fgColor indexed="64"/>
          <bgColor indexed="65"/>
        </patternFill>
      </fill>
      <alignment horizontal="center" vertical="center" textRotation="0" wrapText="1" indent="0" justifyLastLine="0" shrinkToFit="0" readingOrder="0"/>
      <border diagonalUp="0" diagonalDown="0">
        <left style="thin">
          <color theme="4"/>
        </left>
        <right style="thin">
          <color theme="4"/>
        </right>
        <top/>
        <bottom/>
        <vertical/>
        <horizontal/>
      </border>
    </dxf>
    <dxf>
      <font>
        <b val="0"/>
        <i val="0"/>
        <strike val="0"/>
        <condense val="0"/>
        <extend val="0"/>
        <outline val="0"/>
        <shadow val="0"/>
        <u val="none"/>
        <vertAlign val="baseline"/>
        <sz val="11"/>
        <color theme="1"/>
        <name val="Calibri"/>
        <family val="2"/>
        <charset val="204"/>
        <scheme val="none"/>
      </font>
      <fill>
        <patternFill patternType="none">
          <fgColor indexed="64"/>
          <bgColor indexed="65"/>
        </patternFill>
      </fill>
      <alignment horizontal="center" vertical="center" textRotation="0" wrapText="1" indent="0" justifyLastLine="0" shrinkToFit="0" readingOrder="0"/>
      <border diagonalUp="0" diagonalDown="0">
        <left style="thin">
          <color theme="4"/>
        </left>
        <right style="thin">
          <color theme="4"/>
        </right>
        <top/>
        <bottom/>
        <vertical/>
        <horizontal/>
      </border>
    </dxf>
    <dxf>
      <font>
        <b val="0"/>
        <i val="0"/>
        <strike val="0"/>
        <condense val="0"/>
        <extend val="0"/>
        <outline val="0"/>
        <shadow val="0"/>
        <u val="none"/>
        <vertAlign val="baseline"/>
        <sz val="11"/>
        <color theme="1"/>
        <name val="Calibri"/>
        <family val="2"/>
        <charset val="204"/>
        <scheme val="none"/>
      </font>
      <fill>
        <patternFill patternType="none">
          <fgColor indexed="64"/>
          <bgColor indexed="65"/>
        </patternFill>
      </fill>
      <alignment horizontal="center" vertical="center" textRotation="0" wrapText="1" indent="0" justifyLastLine="0" shrinkToFit="0" readingOrder="0"/>
      <border diagonalUp="0" diagonalDown="0">
        <left style="thin">
          <color theme="4"/>
        </left>
        <right style="thin">
          <color theme="4"/>
        </right>
        <top/>
        <bottom/>
        <vertical/>
        <horizontal/>
      </border>
    </dxf>
    <dxf>
      <font>
        <b val="0"/>
        <i val="0"/>
        <strike val="0"/>
        <condense val="0"/>
        <extend val="0"/>
        <outline val="0"/>
        <shadow val="0"/>
        <u val="none"/>
        <vertAlign val="baseline"/>
        <sz val="11"/>
        <color theme="1"/>
        <name val="Calibri"/>
        <family val="2"/>
        <charset val="204"/>
        <scheme val="none"/>
      </font>
      <fill>
        <patternFill patternType="none">
          <fgColor indexed="64"/>
          <bgColor indexed="65"/>
        </patternFill>
      </fill>
      <alignment horizontal="center" vertical="center" textRotation="0" wrapText="1" indent="0" justifyLastLine="0" shrinkToFit="0" readingOrder="0"/>
      <border diagonalUp="0" diagonalDown="0">
        <left style="thin">
          <color theme="4"/>
        </left>
        <right style="thin">
          <color theme="4"/>
        </right>
        <top/>
        <bottom/>
        <vertical/>
        <horizontal/>
      </border>
    </dxf>
    <dxf>
      <font>
        <b val="0"/>
        <i val="0"/>
        <strike val="0"/>
        <condense val="0"/>
        <extend val="0"/>
        <outline val="0"/>
        <shadow val="0"/>
        <u val="none"/>
        <vertAlign val="baseline"/>
        <sz val="11"/>
        <color theme="1"/>
        <name val="Calibri"/>
        <family val="2"/>
        <charset val="204"/>
        <scheme val="none"/>
      </font>
      <fill>
        <patternFill patternType="none">
          <fgColor indexed="64"/>
          <bgColor indexed="65"/>
        </patternFill>
      </fill>
      <alignment horizontal="center" vertical="center" textRotation="0" wrapText="1" indent="0" justifyLastLine="0" shrinkToFit="0" readingOrder="0"/>
      <border diagonalUp="0" diagonalDown="0">
        <left style="thin">
          <color theme="4"/>
        </left>
        <right style="thin">
          <color theme="4"/>
        </right>
        <top/>
        <bottom/>
        <vertical/>
        <horizontal/>
      </border>
    </dxf>
    <dxf>
      <font>
        <b val="0"/>
        <i val="0"/>
        <strike val="0"/>
        <condense val="0"/>
        <extend val="0"/>
        <outline val="0"/>
        <shadow val="0"/>
        <u val="none"/>
        <vertAlign val="baseline"/>
        <sz val="11"/>
        <color theme="1"/>
        <name val="Calibri"/>
        <family val="2"/>
        <charset val="204"/>
        <scheme val="none"/>
      </font>
      <fill>
        <patternFill patternType="none">
          <fgColor indexed="64"/>
          <bgColor indexed="65"/>
        </patternFill>
      </fill>
      <alignment horizontal="center" vertical="center" textRotation="0" wrapText="1" indent="0" justifyLastLine="0" shrinkToFit="0" readingOrder="0"/>
      <border diagonalUp="0" diagonalDown="0">
        <left/>
        <right style="thin">
          <color theme="4"/>
        </right>
        <top/>
        <bottom/>
        <vertical/>
        <horizontal/>
      </border>
    </dxf>
    <dxf>
      <font>
        <b val="0"/>
        <i val="0"/>
        <strike val="0"/>
        <condense val="0"/>
        <extend val="0"/>
        <outline val="0"/>
        <shadow val="0"/>
        <u val="none"/>
        <vertAlign val="baseline"/>
        <sz val="11"/>
        <color theme="1"/>
        <name val="Calibri"/>
        <family val="2"/>
        <charset val="204"/>
        <scheme val="none"/>
      </font>
      <fill>
        <patternFill patternType="none">
          <fgColor indexed="64"/>
          <bgColor indexed="65"/>
        </patternFill>
      </fill>
      <alignment horizontal="center" vertical="center" textRotation="0" wrapText="1" indent="0" justifyLastLine="0" shrinkToFit="0" readingOrder="0"/>
      <border diagonalUp="0" diagonalDown="0">
        <left style="thin">
          <color theme="4"/>
        </left>
        <right style="thin">
          <color theme="4"/>
        </right>
        <top/>
        <bottom/>
        <vertical/>
        <horizontal/>
      </border>
    </dxf>
    <dxf>
      <font>
        <b val="0"/>
        <i val="0"/>
        <strike val="0"/>
        <condense val="0"/>
        <extend val="0"/>
        <outline val="0"/>
        <shadow val="0"/>
        <u val="none"/>
        <vertAlign val="baseline"/>
        <sz val="11"/>
        <color theme="1"/>
        <name val="Calibri"/>
        <family val="2"/>
        <charset val="204"/>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charset val="204"/>
        <scheme val="none"/>
      </font>
      <fill>
        <patternFill patternType="none">
          <fgColor indexed="64"/>
          <bgColor indexed="65"/>
        </patternFill>
      </fill>
      <alignment horizontal="center" vertical="center" textRotation="0" wrapText="1" indent="0" justifyLastLine="0" shrinkToFit="0" readingOrder="0"/>
    </dxf>
    <dxf>
      <fill>
        <patternFill patternType="solid">
          <fgColor rgb="FFDDEBF7"/>
          <bgColor rgb="FFDDEBF7"/>
        </patternFill>
      </fill>
    </dxf>
    <dxf>
      <fill>
        <patternFill patternType="solid">
          <fgColor rgb="FFDDEBF7"/>
          <bgColor rgb="FFDDEBF7"/>
        </patternFill>
      </fill>
    </dxf>
    <dxf>
      <font>
        <b/>
        <color rgb="FF2F75B5"/>
      </font>
    </dxf>
    <dxf>
      <font>
        <b/>
        <color rgb="FF2F75B5"/>
      </font>
    </dxf>
    <dxf>
      <font>
        <b/>
        <color rgb="FF2F75B5"/>
      </font>
      <border>
        <top style="thin">
          <color rgb="FF5B9BD5"/>
        </top>
      </border>
    </dxf>
    <dxf>
      <font>
        <b/>
        <color rgb="FF2F75B5"/>
      </font>
      <border>
        <bottom style="thin">
          <color rgb="FF5B9BD5"/>
        </bottom>
      </border>
    </dxf>
    <dxf>
      <font>
        <color rgb="FF2F75B5"/>
      </font>
      <border>
        <top style="thin">
          <color rgb="FF5B9BD5"/>
        </top>
        <bottom style="thin">
          <color rgb="FF5B9BD5"/>
        </bottom>
      </border>
    </dxf>
    <dxf>
      <fill>
        <patternFill patternType="solid">
          <fgColor rgb="FFDCE6F1"/>
          <bgColor rgb="FFDCE6F1"/>
        </patternFill>
      </fill>
    </dxf>
    <dxf>
      <fill>
        <patternFill patternType="solid">
          <fgColor rgb="FFDCE6F1"/>
          <bgColor rgb="FFDCE6F1"/>
        </patternFill>
      </fill>
    </dxf>
    <dxf>
      <font>
        <b/>
        <color rgb="FF366092"/>
      </font>
    </dxf>
    <dxf>
      <font>
        <b/>
        <color rgb="FF366092"/>
      </font>
    </dxf>
    <dxf>
      <font>
        <b/>
        <color rgb="FF366092"/>
      </font>
      <border>
        <top style="thin">
          <color rgb="FF4F81BD"/>
        </top>
      </border>
    </dxf>
    <dxf>
      <font>
        <b/>
        <color rgb="FF366092"/>
      </font>
      <border>
        <bottom style="thin">
          <color rgb="FF4F81BD"/>
        </bottom>
      </border>
    </dxf>
    <dxf>
      <font>
        <color rgb="FF366092"/>
      </font>
      <border>
        <top style="thin">
          <color rgb="FF4F81BD"/>
        </top>
        <bottom style="thin">
          <color rgb="FF4F81BD"/>
        </bottom>
      </border>
    </dxf>
    <dxf>
      <font>
        <b/>
        <color theme="1"/>
      </font>
      <border>
        <bottom style="thin">
          <color theme="4"/>
        </bottom>
        <vertical/>
        <horizontal/>
      </border>
    </dxf>
    <dxf>
      <font>
        <color theme="1"/>
      </font>
      <fill>
        <patternFill>
          <bgColor rgb="FF242732"/>
        </patternFill>
      </fill>
      <border diagonalDown="1">
        <left/>
        <right/>
        <top/>
        <bottom/>
        <diagonal style="hair">
          <color theme="4"/>
        </diagonal>
        <vertical/>
        <horizontal/>
      </border>
    </dxf>
  </dxfs>
  <tableStyles count="3" defaultTableStyle="TableStyleMedium2" defaultPivotStyle="PivotStyleLight16">
    <tableStyle name="SlicerStyleLight1 2" pivot="0" table="0" count="10" xr9:uid="{9B33A2EE-0FCC-4D65-A090-D35098EE5AC2}">
      <tableStyleElement type="wholeTable" dxfId="384"/>
      <tableStyleElement type="headerRow" dxfId="383"/>
    </tableStyle>
    <tableStyle name="TableStyleLight2 2" pivot="0" count="7" xr9:uid="{00000000-0012-0000-FFFF-FFFF01000000}">
      <tableStyleElement type="wholeTable" dxfId="382"/>
      <tableStyleElement type="headerRow" dxfId="381"/>
      <tableStyleElement type="totalRow" dxfId="380"/>
      <tableStyleElement type="firstColumn" dxfId="379"/>
      <tableStyleElement type="lastColumn" dxfId="378"/>
      <tableStyleElement type="firstRowStripe" dxfId="377"/>
      <tableStyleElement type="firstColumnStripe" dxfId="376"/>
    </tableStyle>
    <tableStyle name="TableStyleLight6 2" pivot="0" count="7" xr9:uid="{00000000-0012-0000-FFFF-FFFF05000000}">
      <tableStyleElement type="wholeTable" dxfId="375"/>
      <tableStyleElement type="headerRow" dxfId="374"/>
      <tableStyleElement type="totalRow" dxfId="373"/>
      <tableStyleElement type="firstColumn" dxfId="372"/>
      <tableStyleElement type="lastColumn" dxfId="371"/>
      <tableStyleElement type="firstRowStripe" dxfId="370"/>
      <tableStyleElement type="firstColumnStripe" dxfId="369"/>
    </tableStyle>
  </tableStyles>
  <colors>
    <mruColors>
      <color rgb="FF005493"/>
      <color rgb="FFDFECF8"/>
      <color rgb="FF38C0E7"/>
      <color rgb="FFFDD679"/>
      <color rgb="FFFF2F92"/>
      <color rgb="FF74FB7A"/>
      <color rgb="FF76D7FF"/>
      <color rgb="FFF87E79"/>
      <color rgb="FFFCC203"/>
      <color rgb="FFED7D31"/>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0"/>
            <color theme="0"/>
          </font>
          <fill>
            <gradientFill degree="90">
              <stop position="0">
                <color rgb="FFF28F33"/>
              </stop>
              <stop position="1">
                <color rgb="FFFE2827"/>
              </stop>
            </gradientFill>
          </fill>
          <border>
            <left/>
            <right/>
            <top/>
            <bottom/>
            <vertical/>
            <horizontal/>
          </border>
        </dxf>
        <dxf>
          <font>
            <sz val="10"/>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sz val="10"/>
            <color theme="0"/>
          </font>
          <fill>
            <gradientFill degree="90">
              <stop position="0">
                <color rgb="FFF28F33"/>
              </stop>
              <stop position="1">
                <color rgb="FFFE2827"/>
              </stop>
            </gradientFill>
          </fill>
          <border>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10"/>
            <color theme="0" tint="-0.24994659260841701"/>
          </font>
          <fill>
            <patternFill patternType="solid">
              <fgColor rgb="FFFFFFFF"/>
              <bgColor rgb="FF242732"/>
            </patternFill>
          </fill>
          <border>
            <left style="thin">
              <color theme="1" tint="0.34998626667073579"/>
            </left>
            <right style="thin">
              <color theme="1" tint="0.34998626667073579"/>
            </right>
            <top style="thin">
              <color theme="1" tint="0.34998626667073579"/>
            </top>
            <bottom style="thin">
              <color theme="1" tint="0.34998626667073579"/>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9.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10.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11.xml"/></Relationships>
</file>

<file path=xl/charts/_rels/chart11.xml.rels><?xml version="1.0" encoding="UTF-8" standalone="yes"?>
<Relationships xmlns="http://schemas.openxmlformats.org/package/2006/relationships"><Relationship Id="rId3" Type="http://schemas.openxmlformats.org/officeDocument/2006/relationships/themeOverride" Target="../theme/themeOverride12.xml"/><Relationship Id="rId2" Type="http://schemas.microsoft.com/office/2011/relationships/chartColorStyle" Target="colors4.xml"/><Relationship Id="rId1" Type="http://schemas.microsoft.com/office/2011/relationships/chartStyle" Target="style4.xml"/></Relationships>
</file>

<file path=xl/charts/_rels/chart12.xml.rels><?xml version="1.0" encoding="UTF-8" standalone="yes"?>
<Relationships xmlns="http://schemas.openxmlformats.org/package/2006/relationships"><Relationship Id="rId3" Type="http://schemas.openxmlformats.org/officeDocument/2006/relationships/themeOverride" Target="../theme/themeOverride13.xml"/><Relationship Id="rId2" Type="http://schemas.microsoft.com/office/2011/relationships/chartColorStyle" Target="colors5.xml"/><Relationship Id="rId1" Type="http://schemas.microsoft.com/office/2011/relationships/chartStyle" Target="style5.xml"/></Relationships>
</file>

<file path=xl/charts/_rels/chart13.xml.rels><?xml version="1.0" encoding="UTF-8" standalone="yes"?>
<Relationships xmlns="http://schemas.openxmlformats.org/package/2006/relationships"><Relationship Id="rId1" Type="http://schemas.openxmlformats.org/officeDocument/2006/relationships/themeOverride" Target="../theme/themeOverride14.xml"/></Relationships>
</file>

<file path=xl/charts/_rels/chart14.xml.rels><?xml version="1.0" encoding="UTF-8" standalone="yes"?>
<Relationships xmlns="http://schemas.openxmlformats.org/package/2006/relationships"><Relationship Id="rId1" Type="http://schemas.openxmlformats.org/officeDocument/2006/relationships/themeOverride" Target="../theme/themeOverride15.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16.xml"/><Relationship Id="rId2" Type="http://schemas.microsoft.com/office/2011/relationships/chartColorStyle" Target="colors6.xml"/><Relationship Id="rId1" Type="http://schemas.microsoft.com/office/2011/relationships/chartStyle" Target="style6.xml"/></Relationships>
</file>

<file path=xl/charts/_rels/chart16.xml.rels><?xml version="1.0" encoding="UTF-8" standalone="yes"?>
<Relationships xmlns="http://schemas.openxmlformats.org/package/2006/relationships"><Relationship Id="rId3" Type="http://schemas.openxmlformats.org/officeDocument/2006/relationships/themeOverride" Target="../theme/themeOverride17.xml"/><Relationship Id="rId2" Type="http://schemas.microsoft.com/office/2011/relationships/chartColorStyle" Target="colors7.xml"/><Relationship Id="rId1" Type="http://schemas.microsoft.com/office/2011/relationships/chartStyle" Target="style7.xml"/></Relationships>
</file>

<file path=xl/charts/_rels/chart17.xml.rels><?xml version="1.0" encoding="UTF-8" standalone="yes"?>
<Relationships xmlns="http://schemas.openxmlformats.org/package/2006/relationships"><Relationship Id="rId1" Type="http://schemas.openxmlformats.org/officeDocument/2006/relationships/themeOverride" Target="../theme/themeOverride18.xml"/></Relationships>
</file>

<file path=xl/charts/_rels/chart18.xml.rels><?xml version="1.0" encoding="UTF-8" standalone="yes"?>
<Relationships xmlns="http://schemas.openxmlformats.org/package/2006/relationships"><Relationship Id="rId3" Type="http://schemas.openxmlformats.org/officeDocument/2006/relationships/themeOverride" Target="../theme/themeOverride19.xml"/><Relationship Id="rId2" Type="http://schemas.microsoft.com/office/2011/relationships/chartColorStyle" Target="colors8.xml"/><Relationship Id="rId1" Type="http://schemas.microsoft.com/office/2011/relationships/chartStyle" Target="style8.xml"/></Relationships>
</file>

<file path=xl/charts/_rels/chart19.xml.rels><?xml version="1.0" encoding="UTF-8" standalone="yes"?>
<Relationships xmlns="http://schemas.openxmlformats.org/package/2006/relationships"><Relationship Id="rId1" Type="http://schemas.openxmlformats.org/officeDocument/2006/relationships/themeOverride" Target="../theme/themeOverride20.xml"/></Relationships>
</file>

<file path=xl/charts/_rels/chart20.xml.rels><?xml version="1.0" encoding="UTF-8" standalone="yes"?>
<Relationships xmlns="http://schemas.openxmlformats.org/package/2006/relationships"><Relationship Id="rId1" Type="http://schemas.openxmlformats.org/officeDocument/2006/relationships/themeOverride" Target="../theme/themeOverride21.xml"/></Relationships>
</file>

<file path=xl/charts/_rels/chart21.xml.rels><?xml version="1.0" encoding="UTF-8" standalone="yes"?>
<Relationships xmlns="http://schemas.openxmlformats.org/package/2006/relationships"><Relationship Id="rId1" Type="http://schemas.openxmlformats.org/officeDocument/2006/relationships/themeOverride" Target="../theme/themeOverride22.xml"/></Relationships>
</file>

<file path=xl/charts/_rels/chart22.xml.rels><?xml version="1.0" encoding="UTF-8" standalone="yes"?>
<Relationships xmlns="http://schemas.openxmlformats.org/package/2006/relationships"><Relationship Id="rId3" Type="http://schemas.openxmlformats.org/officeDocument/2006/relationships/themeOverride" Target="../theme/themeOverride23.xml"/><Relationship Id="rId2" Type="http://schemas.microsoft.com/office/2011/relationships/chartColorStyle" Target="colors9.xml"/><Relationship Id="rId1" Type="http://schemas.microsoft.com/office/2011/relationships/chartStyle" Target="style9.xml"/></Relationships>
</file>

<file path=xl/charts/_rels/chart23.xml.rels><?xml version="1.0" encoding="UTF-8" standalone="yes"?>
<Relationships xmlns="http://schemas.openxmlformats.org/package/2006/relationships"><Relationship Id="rId1" Type="http://schemas.openxmlformats.org/officeDocument/2006/relationships/themeOverride" Target="../theme/themeOverride24.xml"/></Relationships>
</file>

<file path=xl/charts/_rels/chart24.xml.rels><?xml version="1.0" encoding="UTF-8" standalone="yes"?>
<Relationships xmlns="http://schemas.openxmlformats.org/package/2006/relationships"><Relationship Id="rId1" Type="http://schemas.openxmlformats.org/officeDocument/2006/relationships/themeOverride" Target="../theme/themeOverride25.xml"/></Relationships>
</file>

<file path=xl/charts/_rels/chart25.xml.rels><?xml version="1.0" encoding="UTF-8" standalone="yes"?>
<Relationships xmlns="http://schemas.openxmlformats.org/package/2006/relationships"><Relationship Id="rId1" Type="http://schemas.openxmlformats.org/officeDocument/2006/relationships/themeOverride" Target="../theme/themeOverride26.xml"/></Relationships>
</file>

<file path=xl/charts/_rels/chart26.xml.rels><?xml version="1.0" encoding="UTF-8" standalone="yes"?>
<Relationships xmlns="http://schemas.openxmlformats.org/package/2006/relationships"><Relationship Id="rId1" Type="http://schemas.openxmlformats.org/officeDocument/2006/relationships/themeOverride" Target="../theme/themeOverride27.xml"/></Relationships>
</file>

<file path=xl/charts/_rels/chart27.xml.rels><?xml version="1.0" encoding="UTF-8" standalone="yes"?>
<Relationships xmlns="http://schemas.openxmlformats.org/package/2006/relationships"><Relationship Id="rId1" Type="http://schemas.openxmlformats.org/officeDocument/2006/relationships/themeOverride" Target="../theme/themeOverride28.xml"/></Relationships>
</file>

<file path=xl/charts/_rels/chart28.xml.rels><?xml version="1.0" encoding="UTF-8" standalone="yes"?>
<Relationships xmlns="http://schemas.openxmlformats.org/package/2006/relationships"><Relationship Id="rId3" Type="http://schemas.openxmlformats.org/officeDocument/2006/relationships/themeOverride" Target="../theme/themeOverride29.xml"/><Relationship Id="rId2" Type="http://schemas.microsoft.com/office/2011/relationships/chartColorStyle" Target="colors10.xml"/><Relationship Id="rId1" Type="http://schemas.microsoft.com/office/2011/relationships/chartStyle" Target="style10.xml"/></Relationships>
</file>

<file path=xl/charts/_rels/chart29.xml.rels><?xml version="1.0" encoding="UTF-8" standalone="yes"?>
<Relationships xmlns="http://schemas.openxmlformats.org/package/2006/relationships"><Relationship Id="rId1" Type="http://schemas.openxmlformats.org/officeDocument/2006/relationships/themeOverride" Target="../theme/themeOverride30.xml"/></Relationships>
</file>

<file path=xl/charts/_rels/chart30.xml.rels><?xml version="1.0" encoding="UTF-8" standalone="yes"?>
<Relationships xmlns="http://schemas.openxmlformats.org/package/2006/relationships"><Relationship Id="rId3" Type="http://schemas.openxmlformats.org/officeDocument/2006/relationships/themeOverride" Target="../theme/themeOverride31.xml"/><Relationship Id="rId2" Type="http://schemas.microsoft.com/office/2011/relationships/chartColorStyle" Target="colors11.xml"/><Relationship Id="rId1" Type="http://schemas.microsoft.com/office/2011/relationships/chartStyle" Target="style11.xml"/></Relationships>
</file>

<file path=xl/charts/_rels/chart31.xml.rels><?xml version="1.0" encoding="UTF-8" standalone="yes"?>
<Relationships xmlns="http://schemas.openxmlformats.org/package/2006/relationships"><Relationship Id="rId3" Type="http://schemas.openxmlformats.org/officeDocument/2006/relationships/themeOverride" Target="../theme/themeOverride32.xml"/><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Processing!$B$3</c:f>
          <c:strCache>
            <c:ptCount val="1"/>
            <c:pt idx="0">
              <c:v>Income &amp; Expenses</c:v>
            </c:pt>
          </c:strCache>
        </c:strRef>
      </c:tx>
      <c:layout>
        <c:manualLayout>
          <c:xMode val="edge"/>
          <c:yMode val="edge"/>
          <c:x val="7.423849379231709E-2"/>
          <c:y val="2.672955478453769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it-IT"/>
        </a:p>
      </c:txPr>
    </c:title>
    <c:autoTitleDeleted val="0"/>
    <c:plotArea>
      <c:layout>
        <c:manualLayout>
          <c:layoutTarget val="inner"/>
          <c:xMode val="edge"/>
          <c:yMode val="edge"/>
          <c:x val="5.972706456312505E-2"/>
          <c:y val="0.13930555555555557"/>
          <c:w val="0.92282239560061519"/>
          <c:h val="0.75329505686789155"/>
        </c:manualLayout>
      </c:layout>
      <c:lineChart>
        <c:grouping val="standard"/>
        <c:varyColors val="0"/>
        <c:ser>
          <c:idx val="0"/>
          <c:order val="0"/>
          <c:tx>
            <c:strRef>
              <c:f>Processing!$D$4</c:f>
              <c:strCache>
                <c:ptCount val="1"/>
                <c:pt idx="0">
                  <c:v>Income</c:v>
                </c:pt>
              </c:strCache>
            </c:strRef>
          </c:tx>
          <c:spPr>
            <a:ln w="31750" cap="rnd">
              <a:gradFill>
                <a:gsLst>
                  <a:gs pos="10000">
                    <a:srgbClr val="9AC039"/>
                  </a:gs>
                  <a:gs pos="100000">
                    <a:srgbClr val="4E8F00"/>
                  </a:gs>
                </a:gsLst>
                <a:lin ang="0" scaled="0"/>
              </a:gradFill>
              <a:round/>
            </a:ln>
            <a:effectLst>
              <a:outerShdw blurRad="50800" dist="38100" dir="5400000" algn="t" rotWithShape="0">
                <a:prstClr val="black">
                  <a:alpha val="40000"/>
                </a:prstClr>
              </a:outerShdw>
            </a:effectLst>
          </c:spPr>
          <c:marker>
            <c:symbol val="none"/>
          </c:marker>
          <c:cat>
            <c:strRef>
              <c:f>Processing!$C$5:$C$16</c:f>
              <c:strCache>
                <c:ptCount val="12"/>
                <c:pt idx="0">
                  <c:v>Gennaio</c:v>
                </c:pt>
                <c:pt idx="1">
                  <c:v>Febbraio</c:v>
                </c:pt>
                <c:pt idx="2">
                  <c:v>Marzo</c:v>
                </c:pt>
                <c:pt idx="3">
                  <c:v>Aprile</c:v>
                </c:pt>
                <c:pt idx="4">
                  <c:v>Maggio</c:v>
                </c:pt>
                <c:pt idx="5">
                  <c:v>Giugno</c:v>
                </c:pt>
                <c:pt idx="6">
                  <c:v>Luglio</c:v>
                </c:pt>
                <c:pt idx="7">
                  <c:v>Agosto</c:v>
                </c:pt>
                <c:pt idx="8">
                  <c:v>Settembre</c:v>
                </c:pt>
                <c:pt idx="9">
                  <c:v>Ottobre</c:v>
                </c:pt>
                <c:pt idx="10">
                  <c:v>Novembre</c:v>
                </c:pt>
                <c:pt idx="11">
                  <c:v>Dicembre</c:v>
                </c:pt>
              </c:strCache>
            </c:strRef>
          </c:cat>
          <c:val>
            <c:numRef>
              <c:f>Processing!$D$5:$D$16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F392-AD4F-9C27-25B407E06A87}"/>
            </c:ext>
          </c:extLst>
        </c:ser>
        <c:ser>
          <c:idx val="1"/>
          <c:order val="1"/>
          <c:tx>
            <c:strRef>
              <c:f>Processing!$E$4</c:f>
              <c:strCache>
                <c:ptCount val="1"/>
                <c:pt idx="0">
                  <c:v>Expenses</c:v>
                </c:pt>
              </c:strCache>
            </c:strRef>
          </c:tx>
          <c:spPr>
            <a:ln w="31750" cap="rnd">
              <a:gradFill>
                <a:gsLst>
                  <a:gs pos="100000">
                    <a:srgbClr val="FF0000"/>
                  </a:gs>
                  <a:gs pos="8000">
                    <a:srgbClr val="F6823B"/>
                  </a:gs>
                </a:gsLst>
                <a:lin ang="0" scaled="0"/>
              </a:gradFill>
              <a:round/>
            </a:ln>
            <a:effectLst>
              <a:outerShdw blurRad="50800" dist="38100" dir="5400000" algn="t" rotWithShape="0">
                <a:prstClr val="black">
                  <a:alpha val="40000"/>
                </a:prstClr>
              </a:outerShdw>
            </a:effectLst>
          </c:spPr>
          <c:marker>
            <c:symbol val="none"/>
          </c:marker>
          <c:cat>
            <c:strRef>
              <c:f>Processing!$C$5:$C$16</c:f>
              <c:strCache>
                <c:ptCount val="12"/>
                <c:pt idx="0">
                  <c:v>Gennaio</c:v>
                </c:pt>
                <c:pt idx="1">
                  <c:v>Febbraio</c:v>
                </c:pt>
                <c:pt idx="2">
                  <c:v>Marzo</c:v>
                </c:pt>
                <c:pt idx="3">
                  <c:v>Aprile</c:v>
                </c:pt>
                <c:pt idx="4">
                  <c:v>Maggio</c:v>
                </c:pt>
                <c:pt idx="5">
                  <c:v>Giugno</c:v>
                </c:pt>
                <c:pt idx="6">
                  <c:v>Luglio</c:v>
                </c:pt>
                <c:pt idx="7">
                  <c:v>Agosto</c:v>
                </c:pt>
                <c:pt idx="8">
                  <c:v>Settembre</c:v>
                </c:pt>
                <c:pt idx="9">
                  <c:v>Ottobre</c:v>
                </c:pt>
                <c:pt idx="10">
                  <c:v>Novembre</c:v>
                </c:pt>
                <c:pt idx="11">
                  <c:v>Dicembre</c:v>
                </c:pt>
              </c:strCache>
            </c:strRef>
          </c:cat>
          <c:val>
            <c:numRef>
              <c:f>Processing!$E$5:$E$16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F392-AD4F-9C27-25B407E06A87}"/>
            </c:ext>
          </c:extLst>
        </c:ser>
        <c:dLbls>
          <c:showLegendKey val="0"/>
          <c:showVal val="0"/>
          <c:showCatName val="0"/>
          <c:showSerName val="0"/>
          <c:showPercent val="0"/>
          <c:showBubbleSize val="0"/>
        </c:dLbls>
        <c:marker val="1"/>
        <c:smooth val="0"/>
        <c:axId val="1070895696"/>
        <c:axId val="1070891856"/>
      </c:lineChart>
      <c:scatterChart>
        <c:scatterStyle val="lineMarker"/>
        <c:varyColors val="0"/>
        <c:ser>
          <c:idx val="2"/>
          <c:order val="2"/>
          <c:spPr>
            <a:ln w="25400" cap="rnd">
              <a:noFill/>
              <a:round/>
            </a:ln>
            <a:effectLst>
              <a:outerShdw blurRad="50800" dist="38100" dir="2700000" algn="tl" rotWithShape="0">
                <a:prstClr val="black">
                  <a:alpha val="40000"/>
                </a:prstClr>
              </a:outerShdw>
            </a:effectLst>
          </c:spPr>
          <c:marker>
            <c:symbol val="circle"/>
            <c:size val="10"/>
            <c:spPr>
              <a:solidFill>
                <a:schemeClr val="bg1">
                  <a:lumMod val="95000"/>
                </a:schemeClr>
              </a:solidFill>
              <a:ln w="19050">
                <a:solidFill>
                  <a:srgbClr val="70AD47">
                    <a:lumMod val="75000"/>
                  </a:srgbClr>
                </a:solidFill>
              </a:ln>
              <a:effectLst>
                <a:outerShdw blurRad="50800" dist="38100" dir="2700000" algn="tl" rotWithShape="0">
                  <a:prstClr val="black">
                    <a:alpha val="40000"/>
                  </a:prstClr>
                </a:outerShdw>
              </a:effectLst>
            </c:spPr>
          </c:marker>
          <c:errBars>
            <c:errDir val="x"/>
            <c:errBarType val="both"/>
            <c:errValType val="stdDev"/>
            <c:noEndCap val="0"/>
            <c:val val="1"/>
            <c:spPr>
              <a:noFill/>
              <a:ln w="9525" cap="flat" cmpd="sng" algn="ctr">
                <a:solidFill>
                  <a:schemeClr val="tx1">
                    <a:lumMod val="65000"/>
                    <a:lumOff val="35000"/>
                  </a:schemeClr>
                </a:solidFill>
                <a:round/>
              </a:ln>
              <a:effectLst/>
            </c:spPr>
          </c:errBars>
          <c:errBars>
            <c:errDir val="y"/>
            <c:errBarType val="minus"/>
            <c:errValType val="cust"/>
            <c:noEndCap val="1"/>
            <c:plus>
              <c:numLit>
                <c:formatCode>General</c:formatCode>
                <c:ptCount val="1"/>
                <c:pt idx="0">
                  <c:v>0</c:v>
                </c:pt>
              </c:numLit>
            </c:plus>
            <c:minus>
              <c:numRef>
                <c:f>Processing!$J$8</c:f>
                <c:numCache>
                  <c:formatCode>General</c:formatCode>
                  <c:ptCount val="1"/>
                  <c:pt idx="0">
                    <c:v>0</c:v>
                  </c:pt>
                </c:numCache>
              </c:numRef>
            </c:minus>
            <c:spPr>
              <a:noFill/>
              <a:ln w="9525" cap="flat" cmpd="sng" algn="ctr">
                <a:solidFill>
                  <a:schemeClr val="bg1">
                    <a:lumMod val="50000"/>
                  </a:schemeClr>
                </a:solidFill>
                <a:round/>
              </a:ln>
              <a:effectLst/>
            </c:spPr>
          </c:errBars>
          <c:xVal>
            <c:numRef>
              <c:f>Processing!$I$9</c:f>
              <c:numCache>
                <c:formatCode>General</c:formatCode>
                <c:ptCount val="1"/>
                <c:pt idx="0">
                  <c:v>5</c:v>
                </c:pt>
              </c:numCache>
            </c:numRef>
          </c:xVal>
          <c:yVal>
            <c:numRef>
              <c:f>Processing!$J$9</c:f>
              <c:numCache>
                <c:formatCode>_-[$€-2]\ * #,##0_-;\-[$€-2]\ * #,##0_-;_-[$€-2]\ * "-"_-;_-@_-</c:formatCode>
                <c:ptCount val="1"/>
                <c:pt idx="0">
                  <c:v>0</c:v>
                </c:pt>
              </c:numCache>
            </c:numRef>
          </c:yVal>
          <c:smooth val="0"/>
          <c:extLst>
            <c:ext xmlns:c16="http://schemas.microsoft.com/office/drawing/2014/chart" uri="{C3380CC4-5D6E-409C-BE32-E72D297353CC}">
              <c16:uniqueId val="{00000002-F392-AD4F-9C27-25B407E06A87}"/>
            </c:ext>
          </c:extLst>
        </c:ser>
        <c:ser>
          <c:idx val="3"/>
          <c:order val="3"/>
          <c:spPr>
            <a:ln w="25400" cap="rnd">
              <a:noFill/>
              <a:round/>
            </a:ln>
            <a:effectLst>
              <a:outerShdw blurRad="50800" dist="38100" dir="2700000" algn="tl" rotWithShape="0">
                <a:prstClr val="black">
                  <a:alpha val="40000"/>
                </a:prstClr>
              </a:outerShdw>
            </a:effectLst>
          </c:spPr>
          <c:marker>
            <c:symbol val="circle"/>
            <c:size val="9"/>
            <c:spPr>
              <a:solidFill>
                <a:schemeClr val="bg1"/>
              </a:solidFill>
              <a:ln w="19050">
                <a:solidFill>
                  <a:srgbClr val="FE2827">
                    <a:alpha val="97000"/>
                  </a:srgbClr>
                </a:solidFill>
              </a:ln>
              <a:effectLst>
                <a:outerShdw blurRad="50800" dist="38100" dir="2700000" algn="tl" rotWithShape="0">
                  <a:prstClr val="black">
                    <a:alpha val="40000"/>
                  </a:prstClr>
                </a:outerShdw>
              </a:effectLst>
            </c:spPr>
          </c:marker>
          <c:xVal>
            <c:numRef>
              <c:f>Processing!$I$10</c:f>
              <c:numCache>
                <c:formatCode>General</c:formatCode>
                <c:ptCount val="1"/>
                <c:pt idx="0">
                  <c:v>5</c:v>
                </c:pt>
              </c:numCache>
            </c:numRef>
          </c:xVal>
          <c:yVal>
            <c:numRef>
              <c:f>Processing!$J$10</c:f>
              <c:numCache>
                <c:formatCode>_-[$€-2]\ * #,##0_-;\-[$€-2]\ * #,##0_-;_-[$€-2]\ * "-"_-;_-@_-</c:formatCode>
                <c:ptCount val="1"/>
                <c:pt idx="0">
                  <c:v>0</c:v>
                </c:pt>
              </c:numCache>
            </c:numRef>
          </c:yVal>
          <c:smooth val="0"/>
          <c:extLst>
            <c:ext xmlns:c16="http://schemas.microsoft.com/office/drawing/2014/chart" uri="{C3380CC4-5D6E-409C-BE32-E72D297353CC}">
              <c16:uniqueId val="{00000003-F392-AD4F-9C27-25B407E06A87}"/>
            </c:ext>
          </c:extLst>
        </c:ser>
        <c:dLbls>
          <c:showLegendKey val="0"/>
          <c:showVal val="0"/>
          <c:showCatName val="0"/>
          <c:showSerName val="0"/>
          <c:showPercent val="0"/>
          <c:showBubbleSize val="0"/>
        </c:dLbls>
        <c:axId val="1070895696"/>
        <c:axId val="1070891856"/>
      </c:scatterChart>
      <c:catAx>
        <c:axId val="107089569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BFCDE4"/>
                </a:solidFill>
                <a:latin typeface="+mn-lt"/>
                <a:ea typeface="+mn-ea"/>
                <a:cs typeface="+mn-cs"/>
              </a:defRPr>
            </a:pPr>
            <a:endParaRPr lang="it-IT"/>
          </a:p>
        </c:txPr>
        <c:crossAx val="1070891856"/>
        <c:crosses val="autoZero"/>
        <c:auto val="1"/>
        <c:lblAlgn val="ctr"/>
        <c:lblOffset val="100"/>
        <c:noMultiLvlLbl val="0"/>
      </c:catAx>
      <c:valAx>
        <c:axId val="1070891856"/>
        <c:scaling>
          <c:orientation val="minMax"/>
          <c:min val="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070895696"/>
        <c:crosses val="autoZero"/>
        <c:crossBetween val="between"/>
        <c:majorUnit val="1000"/>
        <c:minorUnit val="500"/>
      </c:valAx>
      <c:spPr>
        <a:noFill/>
        <a:ln>
          <a:noFill/>
        </a:ln>
        <a:effectLst/>
      </c:spPr>
    </c:plotArea>
    <c:legend>
      <c:legendPos val="r"/>
      <c:legendEntry>
        <c:idx val="2"/>
        <c:delete val="1"/>
      </c:legendEntry>
      <c:legendEntry>
        <c:idx val="3"/>
        <c:delete val="1"/>
      </c:legendEntry>
      <c:layout>
        <c:manualLayout>
          <c:xMode val="edge"/>
          <c:yMode val="edge"/>
          <c:x val="0.87708857374407834"/>
          <c:y val="4.51082114317485E-2"/>
          <c:w val="0.10114180493544236"/>
          <c:h val="0.152756657007440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it-I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a:t>Ratio Income</a:t>
            </a:r>
          </a:p>
        </c:rich>
      </c:tx>
      <c:layout>
        <c:manualLayout>
          <c:xMode val="edge"/>
          <c:yMode val="edge"/>
          <c:x val="0.21376157977512786"/>
          <c:y val="0.10763059210617971"/>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it-IT"/>
        </a:p>
      </c:txPr>
    </c:title>
    <c:autoTitleDeleted val="0"/>
    <c:plotArea>
      <c:layout/>
      <c:doughnutChart>
        <c:varyColors val="1"/>
        <c:ser>
          <c:idx val="0"/>
          <c:order val="0"/>
          <c:spPr>
            <a:ln>
              <a:noFill/>
            </a:ln>
          </c:spPr>
          <c:dPt>
            <c:idx val="0"/>
            <c:bubble3D val="0"/>
            <c:spPr>
              <a:gradFill flip="none" rotWithShape="1">
                <a:gsLst>
                  <a:gs pos="0">
                    <a:srgbClr val="4472C4">
                      <a:lumMod val="5000"/>
                      <a:lumOff val="95000"/>
                    </a:srgbClr>
                  </a:gs>
                  <a:gs pos="74000">
                    <a:srgbClr val="5F9B0D"/>
                  </a:gs>
                  <a:gs pos="82000">
                    <a:srgbClr val="5F9B0D"/>
                  </a:gs>
                  <a:gs pos="100000">
                    <a:srgbClr val="5F9B0D"/>
                  </a:gs>
                </a:gsLst>
                <a:lin ang="5400000" scaled="1"/>
                <a:tileRect/>
              </a:gradFill>
              <a:ln w="19050">
                <a:noFill/>
              </a:ln>
              <a:effectLst/>
              <a:scene3d>
                <a:camera prst="orthographicFront"/>
                <a:lightRig rig="chilly" dir="t"/>
              </a:scene3d>
            </c:spPr>
            <c:extLst>
              <c:ext xmlns:c16="http://schemas.microsoft.com/office/drawing/2014/chart" uri="{C3380CC4-5D6E-409C-BE32-E72D297353CC}">
                <c16:uniqueId val="{00000001-5B8E-0F4E-A4B9-B75B0074824A}"/>
              </c:ext>
            </c:extLst>
          </c:dPt>
          <c:dPt>
            <c:idx val="1"/>
            <c:bubble3D val="0"/>
            <c:spPr>
              <a:gradFill>
                <a:gsLst>
                  <a:gs pos="0">
                    <a:srgbClr val="4472C4">
                      <a:lumMod val="5000"/>
                      <a:lumOff val="95000"/>
                    </a:srgbClr>
                  </a:gs>
                  <a:gs pos="74000">
                    <a:srgbClr val="F62301"/>
                  </a:gs>
                  <a:gs pos="82000">
                    <a:srgbClr val="F62301"/>
                  </a:gs>
                  <a:gs pos="100000">
                    <a:srgbClr val="F62301"/>
                  </a:gs>
                </a:gsLst>
                <a:lin ang="5400000" scaled="1"/>
              </a:gradFill>
              <a:ln w="19050">
                <a:noFill/>
              </a:ln>
              <a:effectLst/>
            </c:spPr>
            <c:extLst>
              <c:ext xmlns:c16="http://schemas.microsoft.com/office/drawing/2014/chart" uri="{C3380CC4-5D6E-409C-BE32-E72D297353CC}">
                <c16:uniqueId val="{00000003-5B8E-0F4E-A4B9-B75B0074824A}"/>
              </c:ext>
            </c:extLst>
          </c:dPt>
          <c:val>
            <c:numRef>
              <c:f>Processing!$I$5:$J$5</c:f>
              <c:numCache>
                <c:formatCode>0%</c:formatCode>
                <c:ptCount val="2"/>
                <c:pt idx="0">
                  <c:v>0</c:v>
                </c:pt>
                <c:pt idx="1">
                  <c:v>0</c:v>
                </c:pt>
              </c:numCache>
            </c:numRef>
          </c:val>
          <c:extLst>
            <c:ext xmlns:c16="http://schemas.microsoft.com/office/drawing/2014/chart" uri="{C3380CC4-5D6E-409C-BE32-E72D297353CC}">
              <c16:uniqueId val="{00000004-5B8E-0F4E-A4B9-B75B0074824A}"/>
            </c:ext>
          </c:extLst>
        </c:ser>
        <c:dLbls>
          <c:showLegendKey val="0"/>
          <c:showVal val="0"/>
          <c:showCatName val="0"/>
          <c:showSerName val="0"/>
          <c:showPercent val="0"/>
          <c:showBubbleSize val="0"/>
          <c:showLeaderLines val="1"/>
        </c:dLbls>
        <c:firstSliceAng val="0"/>
        <c:holeSize val="68"/>
      </c:doughnutChart>
      <c:scatterChart>
        <c:scatterStyle val="lineMarker"/>
        <c:varyColors val="0"/>
        <c:ser>
          <c:idx val="1"/>
          <c:order val="1"/>
          <c:spPr>
            <a:ln w="25400" cap="rnd">
              <a:noFill/>
              <a:round/>
            </a:ln>
            <a:effectLst/>
          </c:spPr>
          <c:marker>
            <c:symbol val="none"/>
          </c:marker>
          <c:dPt>
            <c:idx val="0"/>
            <c:marker>
              <c:symbol val="none"/>
            </c:marker>
            <c:bubble3D val="0"/>
            <c:extLst>
              <c:ext xmlns:c16="http://schemas.microsoft.com/office/drawing/2014/chart" uri="{C3380CC4-5D6E-409C-BE32-E72D297353CC}">
                <c16:uniqueId val="{00000005-5B8E-0F4E-A4B9-B75B0074824A}"/>
              </c:ext>
            </c:extLst>
          </c:dPt>
          <c:dPt>
            <c:idx val="1"/>
            <c:marker>
              <c:symbol val="none"/>
            </c:marker>
            <c:bubble3D val="0"/>
            <c:spPr>
              <a:ln w="25400" cap="rnd">
                <a:noFill/>
                <a:round/>
              </a:ln>
              <a:effectLst>
                <a:outerShdw blurRad="50800" dist="38100" dir="5400000" algn="t" rotWithShape="0">
                  <a:prstClr val="black">
                    <a:alpha val="40000"/>
                  </a:prstClr>
                </a:outerShdw>
              </a:effectLst>
            </c:spPr>
            <c:extLst>
              <c:ext xmlns:c16="http://schemas.microsoft.com/office/drawing/2014/chart" uri="{C3380CC4-5D6E-409C-BE32-E72D297353CC}">
                <c16:uniqueId val="{00000007-5B8E-0F4E-A4B9-B75B0074824A}"/>
              </c:ext>
            </c:extLst>
          </c:dPt>
          <c:xVal>
            <c:numRef>
              <c:f>Processing!$L$9:$L$10</c:f>
              <c:numCache>
                <c:formatCode>General</c:formatCode>
                <c:ptCount val="2"/>
                <c:pt idx="0">
                  <c:v>0</c:v>
                </c:pt>
                <c:pt idx="1">
                  <c:v>0</c:v>
                </c:pt>
              </c:numCache>
            </c:numRef>
          </c:xVal>
          <c:yVal>
            <c:numRef>
              <c:f>Processing!$M$9:$M$10</c:f>
              <c:numCache>
                <c:formatCode>General</c:formatCode>
                <c:ptCount val="2"/>
                <c:pt idx="0">
                  <c:v>1</c:v>
                </c:pt>
                <c:pt idx="1">
                  <c:v>1</c:v>
                </c:pt>
              </c:numCache>
            </c:numRef>
          </c:yVal>
          <c:smooth val="0"/>
          <c:extLst>
            <c:ext xmlns:c16="http://schemas.microsoft.com/office/drawing/2014/chart" uri="{C3380CC4-5D6E-409C-BE32-E72D297353CC}">
              <c16:uniqueId val="{00000008-5B8E-0F4E-A4B9-B75B0074824A}"/>
            </c:ext>
          </c:extLst>
        </c:ser>
        <c:dLbls>
          <c:showLegendKey val="0"/>
          <c:showVal val="0"/>
          <c:showCatName val="0"/>
          <c:showSerName val="0"/>
          <c:showPercent val="0"/>
          <c:showBubbleSize val="0"/>
        </c:dLbls>
        <c:axId val="1414053664"/>
        <c:axId val="1414077184"/>
      </c:scatterChart>
      <c:valAx>
        <c:axId val="1414053664"/>
        <c:scaling>
          <c:orientation val="minMax"/>
          <c:max val="1.2"/>
          <c:min val="-1.2"/>
        </c:scaling>
        <c:delete val="1"/>
        <c:axPos val="b"/>
        <c:numFmt formatCode="General" sourceLinked="1"/>
        <c:majorTickMark val="out"/>
        <c:minorTickMark val="none"/>
        <c:tickLblPos val="nextTo"/>
        <c:crossAx val="1414077184"/>
        <c:crosses val="autoZero"/>
        <c:crossBetween val="midCat"/>
      </c:valAx>
      <c:valAx>
        <c:axId val="1414077184"/>
        <c:scaling>
          <c:orientation val="minMax"/>
          <c:max val="1.2"/>
          <c:min val="-1.2"/>
        </c:scaling>
        <c:delete val="1"/>
        <c:axPos val="l"/>
        <c:numFmt formatCode="General" sourceLinked="1"/>
        <c:majorTickMark val="out"/>
        <c:minorTickMark val="none"/>
        <c:tickLblPos val="nextTo"/>
        <c:crossAx val="1414053664"/>
        <c:crosses val="autoZero"/>
        <c:crossBetween val="midCat"/>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Processing!$I$17</c:f>
          <c:strCache>
            <c:ptCount val="1"/>
            <c:pt idx="0">
              <c:v>Investments</c:v>
            </c:pt>
          </c:strCache>
        </c:strRef>
      </c:tx>
      <c:layout>
        <c:manualLayout>
          <c:xMode val="edge"/>
          <c:yMode val="edge"/>
          <c:x val="0.1606859385860166"/>
          <c:y val="0.12597520993752834"/>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bg1"/>
              </a:solidFill>
              <a:latin typeface="+mn-lt"/>
              <a:ea typeface="+mn-ea"/>
              <a:cs typeface="+mn-cs"/>
            </a:defRPr>
          </a:pPr>
          <a:endParaRPr lang="it-IT"/>
        </a:p>
      </c:txPr>
    </c:title>
    <c:autoTitleDeleted val="0"/>
    <c:plotArea>
      <c:layout>
        <c:manualLayout>
          <c:layoutTarget val="inner"/>
          <c:xMode val="edge"/>
          <c:yMode val="edge"/>
          <c:x val="0.29523882481565927"/>
          <c:y val="0.20490141690565486"/>
          <c:w val="0.44007792272372043"/>
          <c:h val="0.73346314977596971"/>
        </c:manualLayout>
      </c:layout>
      <c:doughnutChart>
        <c:varyColors val="1"/>
        <c:ser>
          <c:idx val="0"/>
          <c:order val="0"/>
          <c:spPr>
            <a:ln>
              <a:noFill/>
            </a:ln>
          </c:spPr>
          <c:dPt>
            <c:idx val="0"/>
            <c:bubble3D val="0"/>
            <c:spPr>
              <a:gradFill>
                <a:gsLst>
                  <a:gs pos="43000">
                    <a:srgbClr val="8701D9"/>
                  </a:gs>
                  <a:gs pos="100000">
                    <a:srgbClr val="AD27FE"/>
                  </a:gs>
                </a:gsLst>
                <a:path path="circle">
                  <a:fillToRect t="100000" r="100000"/>
                </a:path>
              </a:gradFill>
              <a:ln w="19050">
                <a:noFill/>
              </a:ln>
              <a:effectLst/>
            </c:spPr>
            <c:extLst>
              <c:ext xmlns:c16="http://schemas.microsoft.com/office/drawing/2014/chart" uri="{C3380CC4-5D6E-409C-BE32-E72D297353CC}">
                <c16:uniqueId val="{00000001-8AA5-C747-AD0C-B44587C62473}"/>
              </c:ext>
            </c:extLst>
          </c:dPt>
          <c:dPt>
            <c:idx val="1"/>
            <c:bubble3D val="0"/>
            <c:spPr>
              <a:solidFill>
                <a:srgbClr val="E57CF8"/>
              </a:solidFill>
              <a:ln w="19050">
                <a:noFill/>
              </a:ln>
              <a:effectLst/>
            </c:spPr>
            <c:extLst>
              <c:ext xmlns:c16="http://schemas.microsoft.com/office/drawing/2014/chart" uri="{C3380CC4-5D6E-409C-BE32-E72D297353CC}">
                <c16:uniqueId val="{00000003-8AA5-C747-AD0C-B44587C62473}"/>
              </c:ext>
            </c:extLst>
          </c:dPt>
          <c:dPt>
            <c:idx val="2"/>
            <c:bubble3D val="0"/>
            <c:spPr>
              <a:solidFill>
                <a:srgbClr val="FBF1BD"/>
              </a:solidFill>
              <a:ln w="19050">
                <a:noFill/>
              </a:ln>
              <a:effectLst/>
            </c:spPr>
            <c:extLst>
              <c:ext xmlns:c16="http://schemas.microsoft.com/office/drawing/2014/chart" uri="{C3380CC4-5D6E-409C-BE32-E72D297353CC}">
                <c16:uniqueId val="{00000005-8AA5-C747-AD0C-B44587C62473}"/>
              </c:ext>
            </c:extLst>
          </c:dPt>
          <c:dPt>
            <c:idx val="3"/>
            <c:bubble3D val="0"/>
            <c:spPr>
              <a:solidFill>
                <a:srgbClr val="BFCDE4"/>
              </a:solidFill>
              <a:ln w="19050">
                <a:noFill/>
              </a:ln>
              <a:effectLst/>
            </c:spPr>
            <c:extLst>
              <c:ext xmlns:c16="http://schemas.microsoft.com/office/drawing/2014/chart" uri="{C3380CC4-5D6E-409C-BE32-E72D297353CC}">
                <c16:uniqueId val="{00000007-8AA5-C747-AD0C-B44587C62473}"/>
              </c:ext>
            </c:extLst>
          </c:dPt>
          <c:dPt>
            <c:idx val="4"/>
            <c:bubble3D val="0"/>
            <c:spPr>
              <a:gradFill>
                <a:gsLst>
                  <a:gs pos="7000">
                    <a:srgbClr val="F28F33"/>
                  </a:gs>
                  <a:gs pos="72000">
                    <a:srgbClr val="FE2827"/>
                  </a:gs>
                </a:gsLst>
                <a:lin ang="5400000" scaled="1"/>
              </a:gradFill>
              <a:ln w="19050">
                <a:noFill/>
              </a:ln>
              <a:effectLst/>
            </c:spPr>
            <c:extLst>
              <c:ext xmlns:c16="http://schemas.microsoft.com/office/drawing/2014/chart" uri="{C3380CC4-5D6E-409C-BE32-E72D297353CC}">
                <c16:uniqueId val="{00000009-8AA5-C747-AD0C-B44587C62473}"/>
              </c:ext>
            </c:extLst>
          </c:dPt>
          <c:dPt>
            <c:idx val="5"/>
            <c:bubble3D val="0"/>
            <c:spPr>
              <a:noFill/>
              <a:ln w="19050">
                <a:noFill/>
              </a:ln>
              <a:effectLst/>
            </c:spPr>
            <c:extLst>
              <c:ext xmlns:c16="http://schemas.microsoft.com/office/drawing/2014/chart" uri="{C3380CC4-5D6E-409C-BE32-E72D297353CC}">
                <c16:uniqueId val="{0000000B-8AA5-C747-AD0C-B44587C62473}"/>
              </c:ext>
            </c:extLst>
          </c:dPt>
          <c:cat>
            <c:strRef>
              <c:f>Processing!$H$18:$H$22</c:f>
              <c:strCache>
                <c:ptCount val="5"/>
                <c:pt idx="0">
                  <c:v>Business</c:v>
                </c:pt>
                <c:pt idx="1">
                  <c:v>Securities</c:v>
                </c:pt>
                <c:pt idx="2">
                  <c:v>Gold</c:v>
                </c:pt>
                <c:pt idx="3">
                  <c:v>Real estate</c:v>
                </c:pt>
                <c:pt idx="4">
                  <c:v>Cryptocurrency</c:v>
                </c:pt>
              </c:strCache>
            </c:strRef>
          </c:cat>
          <c:val>
            <c:numRef>
              <c:f>Processing!$J$18:$J$23</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C-8AA5-C747-AD0C-B44587C62473}"/>
            </c:ext>
          </c:extLst>
        </c:ser>
        <c:ser>
          <c:idx val="1"/>
          <c:order val="1"/>
          <c:spPr>
            <a:ln>
              <a:noFill/>
            </a:ln>
          </c:spPr>
          <c:dPt>
            <c:idx val="0"/>
            <c:bubble3D val="0"/>
            <c:spPr>
              <a:gradFill>
                <a:gsLst>
                  <a:gs pos="43000">
                    <a:srgbClr val="8701D9"/>
                  </a:gs>
                  <a:gs pos="100000">
                    <a:srgbClr val="AD27FE"/>
                  </a:gs>
                </a:gsLst>
                <a:path path="circle">
                  <a:fillToRect t="100000" r="100000"/>
                </a:path>
              </a:gradFill>
              <a:ln w="19050">
                <a:noFill/>
              </a:ln>
              <a:effectLst/>
            </c:spPr>
            <c:extLst>
              <c:ext xmlns:c16="http://schemas.microsoft.com/office/drawing/2014/chart" uri="{C3380CC4-5D6E-409C-BE32-E72D297353CC}">
                <c16:uniqueId val="{0000000E-8AA5-C747-AD0C-B44587C62473}"/>
              </c:ext>
            </c:extLst>
          </c:dPt>
          <c:dPt>
            <c:idx val="1"/>
            <c:bubble3D val="0"/>
            <c:spPr>
              <a:solidFill>
                <a:srgbClr val="E57CF8"/>
              </a:solidFill>
              <a:ln w="19050">
                <a:noFill/>
              </a:ln>
              <a:effectLst/>
            </c:spPr>
            <c:extLst>
              <c:ext xmlns:c16="http://schemas.microsoft.com/office/drawing/2014/chart" uri="{C3380CC4-5D6E-409C-BE32-E72D297353CC}">
                <c16:uniqueId val="{00000010-8AA5-C747-AD0C-B44587C62473}"/>
              </c:ext>
            </c:extLst>
          </c:dPt>
          <c:dPt>
            <c:idx val="2"/>
            <c:bubble3D val="0"/>
            <c:spPr>
              <a:solidFill>
                <a:srgbClr val="FBF1BD"/>
              </a:solidFill>
              <a:ln w="19050">
                <a:noFill/>
              </a:ln>
              <a:effectLst/>
            </c:spPr>
            <c:extLst>
              <c:ext xmlns:c16="http://schemas.microsoft.com/office/drawing/2014/chart" uri="{C3380CC4-5D6E-409C-BE32-E72D297353CC}">
                <c16:uniqueId val="{00000012-8AA5-C747-AD0C-B44587C62473}"/>
              </c:ext>
            </c:extLst>
          </c:dPt>
          <c:dPt>
            <c:idx val="3"/>
            <c:bubble3D val="0"/>
            <c:spPr>
              <a:solidFill>
                <a:srgbClr val="BFCDE4"/>
              </a:solidFill>
              <a:ln w="19050">
                <a:noFill/>
              </a:ln>
              <a:effectLst/>
            </c:spPr>
            <c:extLst>
              <c:ext xmlns:c16="http://schemas.microsoft.com/office/drawing/2014/chart" uri="{C3380CC4-5D6E-409C-BE32-E72D297353CC}">
                <c16:uniqueId val="{00000014-8AA5-C747-AD0C-B44587C62473}"/>
              </c:ext>
            </c:extLst>
          </c:dPt>
          <c:dPt>
            <c:idx val="4"/>
            <c:bubble3D val="0"/>
            <c:spPr>
              <a:noFill/>
              <a:ln w="19050">
                <a:noFill/>
              </a:ln>
              <a:effectLst/>
            </c:spPr>
            <c:extLst>
              <c:ext xmlns:c16="http://schemas.microsoft.com/office/drawing/2014/chart" uri="{C3380CC4-5D6E-409C-BE32-E72D297353CC}">
                <c16:uniqueId val="{00000016-8AA5-C747-AD0C-B44587C62473}"/>
              </c:ext>
            </c:extLst>
          </c:dPt>
          <c:dPt>
            <c:idx val="5"/>
            <c:bubble3D val="0"/>
            <c:spPr>
              <a:noFill/>
              <a:ln w="19050">
                <a:noFill/>
              </a:ln>
              <a:effectLst/>
            </c:spPr>
            <c:extLst>
              <c:ext xmlns:c16="http://schemas.microsoft.com/office/drawing/2014/chart" uri="{C3380CC4-5D6E-409C-BE32-E72D297353CC}">
                <c16:uniqueId val="{00000018-8AA5-C747-AD0C-B44587C62473}"/>
              </c:ext>
            </c:extLst>
          </c:dPt>
          <c:cat>
            <c:strRef>
              <c:f>Processing!$H$18:$H$22</c:f>
              <c:strCache>
                <c:ptCount val="5"/>
                <c:pt idx="0">
                  <c:v>Business</c:v>
                </c:pt>
                <c:pt idx="1">
                  <c:v>Securities</c:v>
                </c:pt>
                <c:pt idx="2">
                  <c:v>Gold</c:v>
                </c:pt>
                <c:pt idx="3">
                  <c:v>Real estate</c:v>
                </c:pt>
                <c:pt idx="4">
                  <c:v>Cryptocurrency</c:v>
                </c:pt>
              </c:strCache>
            </c:strRef>
          </c:cat>
          <c:val>
            <c:numRef>
              <c:f>Processing!$K$18:$K$23</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19-8AA5-C747-AD0C-B44587C62473}"/>
            </c:ext>
          </c:extLst>
        </c:ser>
        <c:ser>
          <c:idx val="2"/>
          <c:order val="2"/>
          <c:spPr>
            <a:ln>
              <a:noFill/>
            </a:ln>
          </c:spPr>
          <c:dPt>
            <c:idx val="0"/>
            <c:bubble3D val="0"/>
            <c:spPr>
              <a:gradFill>
                <a:gsLst>
                  <a:gs pos="43000">
                    <a:srgbClr val="8701D9"/>
                  </a:gs>
                  <a:gs pos="100000">
                    <a:srgbClr val="AD27FE"/>
                  </a:gs>
                </a:gsLst>
                <a:path path="circle">
                  <a:fillToRect t="100000" r="100000"/>
                </a:path>
              </a:gradFill>
              <a:ln w="19050">
                <a:noFill/>
              </a:ln>
              <a:effectLst/>
            </c:spPr>
            <c:extLst>
              <c:ext xmlns:c16="http://schemas.microsoft.com/office/drawing/2014/chart" uri="{C3380CC4-5D6E-409C-BE32-E72D297353CC}">
                <c16:uniqueId val="{0000001B-8AA5-C747-AD0C-B44587C62473}"/>
              </c:ext>
            </c:extLst>
          </c:dPt>
          <c:dPt>
            <c:idx val="1"/>
            <c:bubble3D val="0"/>
            <c:spPr>
              <a:solidFill>
                <a:srgbClr val="E57CF8"/>
              </a:solidFill>
              <a:ln w="19050">
                <a:noFill/>
              </a:ln>
              <a:effectLst/>
            </c:spPr>
            <c:extLst>
              <c:ext xmlns:c16="http://schemas.microsoft.com/office/drawing/2014/chart" uri="{C3380CC4-5D6E-409C-BE32-E72D297353CC}">
                <c16:uniqueId val="{0000001D-8AA5-C747-AD0C-B44587C62473}"/>
              </c:ext>
            </c:extLst>
          </c:dPt>
          <c:dPt>
            <c:idx val="2"/>
            <c:bubble3D val="0"/>
            <c:spPr>
              <a:solidFill>
                <a:srgbClr val="FBF1BD"/>
              </a:solidFill>
              <a:ln w="19050">
                <a:noFill/>
              </a:ln>
              <a:effectLst/>
            </c:spPr>
            <c:extLst>
              <c:ext xmlns:c16="http://schemas.microsoft.com/office/drawing/2014/chart" uri="{C3380CC4-5D6E-409C-BE32-E72D297353CC}">
                <c16:uniqueId val="{0000001F-8AA5-C747-AD0C-B44587C62473}"/>
              </c:ext>
            </c:extLst>
          </c:dPt>
          <c:dPt>
            <c:idx val="3"/>
            <c:bubble3D val="0"/>
            <c:spPr>
              <a:noFill/>
              <a:ln w="19050">
                <a:noFill/>
              </a:ln>
              <a:effectLst/>
            </c:spPr>
            <c:extLst>
              <c:ext xmlns:c16="http://schemas.microsoft.com/office/drawing/2014/chart" uri="{C3380CC4-5D6E-409C-BE32-E72D297353CC}">
                <c16:uniqueId val="{00000021-8AA5-C747-AD0C-B44587C62473}"/>
              </c:ext>
            </c:extLst>
          </c:dPt>
          <c:dPt>
            <c:idx val="4"/>
            <c:bubble3D val="0"/>
            <c:spPr>
              <a:noFill/>
              <a:ln w="19050">
                <a:noFill/>
              </a:ln>
              <a:effectLst/>
            </c:spPr>
            <c:extLst>
              <c:ext xmlns:c16="http://schemas.microsoft.com/office/drawing/2014/chart" uri="{C3380CC4-5D6E-409C-BE32-E72D297353CC}">
                <c16:uniqueId val="{00000023-8AA5-C747-AD0C-B44587C62473}"/>
              </c:ext>
            </c:extLst>
          </c:dPt>
          <c:dPt>
            <c:idx val="5"/>
            <c:bubble3D val="0"/>
            <c:spPr>
              <a:noFill/>
              <a:ln w="19050">
                <a:noFill/>
              </a:ln>
              <a:effectLst/>
            </c:spPr>
            <c:extLst>
              <c:ext xmlns:c16="http://schemas.microsoft.com/office/drawing/2014/chart" uri="{C3380CC4-5D6E-409C-BE32-E72D297353CC}">
                <c16:uniqueId val="{00000025-8AA5-C747-AD0C-B44587C62473}"/>
              </c:ext>
            </c:extLst>
          </c:dPt>
          <c:cat>
            <c:strRef>
              <c:f>Processing!$H$18:$H$22</c:f>
              <c:strCache>
                <c:ptCount val="5"/>
                <c:pt idx="0">
                  <c:v>Business</c:v>
                </c:pt>
                <c:pt idx="1">
                  <c:v>Securities</c:v>
                </c:pt>
                <c:pt idx="2">
                  <c:v>Gold</c:v>
                </c:pt>
                <c:pt idx="3">
                  <c:v>Real estate</c:v>
                </c:pt>
                <c:pt idx="4">
                  <c:v>Cryptocurrency</c:v>
                </c:pt>
              </c:strCache>
            </c:strRef>
          </c:cat>
          <c:val>
            <c:numRef>
              <c:f>Processing!$L$18:$L$23</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26-8AA5-C747-AD0C-B44587C62473}"/>
            </c:ext>
          </c:extLst>
        </c:ser>
        <c:ser>
          <c:idx val="3"/>
          <c:order val="3"/>
          <c:spPr>
            <a:ln>
              <a:noFill/>
            </a:ln>
          </c:spPr>
          <c:dPt>
            <c:idx val="0"/>
            <c:bubble3D val="0"/>
            <c:spPr>
              <a:gradFill>
                <a:gsLst>
                  <a:gs pos="43000">
                    <a:srgbClr val="8701D9"/>
                  </a:gs>
                  <a:gs pos="100000">
                    <a:srgbClr val="AD27FE"/>
                  </a:gs>
                </a:gsLst>
                <a:path path="circle">
                  <a:fillToRect t="100000" r="100000"/>
                </a:path>
              </a:gradFill>
              <a:ln w="19050">
                <a:noFill/>
              </a:ln>
              <a:effectLst/>
            </c:spPr>
            <c:extLst>
              <c:ext xmlns:c16="http://schemas.microsoft.com/office/drawing/2014/chart" uri="{C3380CC4-5D6E-409C-BE32-E72D297353CC}">
                <c16:uniqueId val="{00000028-8AA5-C747-AD0C-B44587C62473}"/>
              </c:ext>
            </c:extLst>
          </c:dPt>
          <c:dPt>
            <c:idx val="1"/>
            <c:bubble3D val="0"/>
            <c:spPr>
              <a:solidFill>
                <a:srgbClr val="E57CF8"/>
              </a:solidFill>
              <a:ln w="19050">
                <a:noFill/>
              </a:ln>
              <a:effectLst/>
            </c:spPr>
            <c:extLst>
              <c:ext xmlns:c16="http://schemas.microsoft.com/office/drawing/2014/chart" uri="{C3380CC4-5D6E-409C-BE32-E72D297353CC}">
                <c16:uniqueId val="{0000002A-8AA5-C747-AD0C-B44587C62473}"/>
              </c:ext>
            </c:extLst>
          </c:dPt>
          <c:dPt>
            <c:idx val="2"/>
            <c:bubble3D val="0"/>
            <c:spPr>
              <a:noFill/>
              <a:ln w="19050">
                <a:noFill/>
              </a:ln>
              <a:effectLst/>
            </c:spPr>
            <c:extLst>
              <c:ext xmlns:c16="http://schemas.microsoft.com/office/drawing/2014/chart" uri="{C3380CC4-5D6E-409C-BE32-E72D297353CC}">
                <c16:uniqueId val="{0000002C-8AA5-C747-AD0C-B44587C62473}"/>
              </c:ext>
            </c:extLst>
          </c:dPt>
          <c:dPt>
            <c:idx val="3"/>
            <c:bubble3D val="0"/>
            <c:spPr>
              <a:noFill/>
              <a:ln w="19050">
                <a:noFill/>
              </a:ln>
              <a:effectLst/>
            </c:spPr>
            <c:extLst>
              <c:ext xmlns:c16="http://schemas.microsoft.com/office/drawing/2014/chart" uri="{C3380CC4-5D6E-409C-BE32-E72D297353CC}">
                <c16:uniqueId val="{0000002E-8AA5-C747-AD0C-B44587C62473}"/>
              </c:ext>
            </c:extLst>
          </c:dPt>
          <c:dPt>
            <c:idx val="4"/>
            <c:bubble3D val="0"/>
            <c:spPr>
              <a:noFill/>
              <a:ln w="19050">
                <a:noFill/>
              </a:ln>
              <a:effectLst/>
            </c:spPr>
            <c:extLst>
              <c:ext xmlns:c16="http://schemas.microsoft.com/office/drawing/2014/chart" uri="{C3380CC4-5D6E-409C-BE32-E72D297353CC}">
                <c16:uniqueId val="{00000030-8AA5-C747-AD0C-B44587C62473}"/>
              </c:ext>
            </c:extLst>
          </c:dPt>
          <c:dPt>
            <c:idx val="5"/>
            <c:bubble3D val="0"/>
            <c:spPr>
              <a:noFill/>
              <a:ln w="19050">
                <a:noFill/>
              </a:ln>
              <a:effectLst/>
            </c:spPr>
            <c:extLst>
              <c:ext xmlns:c16="http://schemas.microsoft.com/office/drawing/2014/chart" uri="{C3380CC4-5D6E-409C-BE32-E72D297353CC}">
                <c16:uniqueId val="{00000032-8AA5-C747-AD0C-B44587C62473}"/>
              </c:ext>
            </c:extLst>
          </c:dPt>
          <c:cat>
            <c:strRef>
              <c:f>Processing!$H$18:$H$22</c:f>
              <c:strCache>
                <c:ptCount val="5"/>
                <c:pt idx="0">
                  <c:v>Business</c:v>
                </c:pt>
                <c:pt idx="1">
                  <c:v>Securities</c:v>
                </c:pt>
                <c:pt idx="2">
                  <c:v>Gold</c:v>
                </c:pt>
                <c:pt idx="3">
                  <c:v>Real estate</c:v>
                </c:pt>
                <c:pt idx="4">
                  <c:v>Cryptocurrency</c:v>
                </c:pt>
              </c:strCache>
            </c:strRef>
          </c:cat>
          <c:val>
            <c:numRef>
              <c:f>Processing!$M$18:$M$23</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33-8AA5-C747-AD0C-B44587C62473}"/>
            </c:ext>
          </c:extLst>
        </c:ser>
        <c:ser>
          <c:idx val="4"/>
          <c:order val="4"/>
          <c:spPr>
            <a:ln>
              <a:noFill/>
            </a:ln>
          </c:spPr>
          <c:dPt>
            <c:idx val="0"/>
            <c:bubble3D val="0"/>
            <c:spPr>
              <a:gradFill>
                <a:gsLst>
                  <a:gs pos="43000">
                    <a:srgbClr val="8701D9"/>
                  </a:gs>
                  <a:gs pos="100000">
                    <a:srgbClr val="AD27FE"/>
                  </a:gs>
                </a:gsLst>
                <a:path path="circle">
                  <a:fillToRect t="100000" r="100000"/>
                </a:path>
              </a:gradFill>
              <a:ln w="19050">
                <a:noFill/>
              </a:ln>
              <a:effectLst/>
            </c:spPr>
            <c:extLst>
              <c:ext xmlns:c16="http://schemas.microsoft.com/office/drawing/2014/chart" uri="{C3380CC4-5D6E-409C-BE32-E72D297353CC}">
                <c16:uniqueId val="{00000035-8AA5-C747-AD0C-B44587C62473}"/>
              </c:ext>
            </c:extLst>
          </c:dPt>
          <c:dPt>
            <c:idx val="1"/>
            <c:bubble3D val="0"/>
            <c:spPr>
              <a:noFill/>
              <a:ln w="19050">
                <a:noFill/>
              </a:ln>
              <a:effectLst/>
            </c:spPr>
            <c:extLst>
              <c:ext xmlns:c16="http://schemas.microsoft.com/office/drawing/2014/chart" uri="{C3380CC4-5D6E-409C-BE32-E72D297353CC}">
                <c16:uniqueId val="{00000037-8AA5-C747-AD0C-B44587C62473}"/>
              </c:ext>
            </c:extLst>
          </c:dPt>
          <c:dPt>
            <c:idx val="2"/>
            <c:bubble3D val="0"/>
            <c:spPr>
              <a:noFill/>
              <a:ln w="19050">
                <a:noFill/>
              </a:ln>
              <a:effectLst/>
            </c:spPr>
            <c:extLst>
              <c:ext xmlns:c16="http://schemas.microsoft.com/office/drawing/2014/chart" uri="{C3380CC4-5D6E-409C-BE32-E72D297353CC}">
                <c16:uniqueId val="{00000039-8AA5-C747-AD0C-B44587C62473}"/>
              </c:ext>
            </c:extLst>
          </c:dPt>
          <c:dPt>
            <c:idx val="3"/>
            <c:bubble3D val="0"/>
            <c:spPr>
              <a:noFill/>
              <a:ln w="19050">
                <a:noFill/>
              </a:ln>
              <a:effectLst/>
            </c:spPr>
            <c:extLst>
              <c:ext xmlns:c16="http://schemas.microsoft.com/office/drawing/2014/chart" uri="{C3380CC4-5D6E-409C-BE32-E72D297353CC}">
                <c16:uniqueId val="{0000003B-8AA5-C747-AD0C-B44587C62473}"/>
              </c:ext>
            </c:extLst>
          </c:dPt>
          <c:dPt>
            <c:idx val="4"/>
            <c:bubble3D val="0"/>
            <c:spPr>
              <a:noFill/>
              <a:ln w="19050">
                <a:noFill/>
              </a:ln>
              <a:effectLst/>
            </c:spPr>
            <c:extLst>
              <c:ext xmlns:c16="http://schemas.microsoft.com/office/drawing/2014/chart" uri="{C3380CC4-5D6E-409C-BE32-E72D297353CC}">
                <c16:uniqueId val="{0000003D-8AA5-C747-AD0C-B44587C62473}"/>
              </c:ext>
            </c:extLst>
          </c:dPt>
          <c:dPt>
            <c:idx val="5"/>
            <c:bubble3D val="0"/>
            <c:spPr>
              <a:noFill/>
              <a:ln w="19050">
                <a:noFill/>
              </a:ln>
              <a:effectLst/>
            </c:spPr>
            <c:extLst>
              <c:ext xmlns:c16="http://schemas.microsoft.com/office/drawing/2014/chart" uri="{C3380CC4-5D6E-409C-BE32-E72D297353CC}">
                <c16:uniqueId val="{0000003F-8AA5-C747-AD0C-B44587C62473}"/>
              </c:ext>
            </c:extLst>
          </c:dPt>
          <c:cat>
            <c:strRef>
              <c:f>Processing!$H$18:$H$22</c:f>
              <c:strCache>
                <c:ptCount val="5"/>
                <c:pt idx="0">
                  <c:v>Business</c:v>
                </c:pt>
                <c:pt idx="1">
                  <c:v>Securities</c:v>
                </c:pt>
                <c:pt idx="2">
                  <c:v>Gold</c:v>
                </c:pt>
                <c:pt idx="3">
                  <c:v>Real estate</c:v>
                </c:pt>
                <c:pt idx="4">
                  <c:v>Cryptocurrency</c:v>
                </c:pt>
              </c:strCache>
            </c:strRef>
          </c:cat>
          <c:val>
            <c:numRef>
              <c:f>Processing!$N$18:$N$23</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40-8AA5-C747-AD0C-B44587C62473}"/>
            </c:ext>
          </c:extLst>
        </c:ser>
        <c:dLbls>
          <c:showLegendKey val="0"/>
          <c:showVal val="0"/>
          <c:showCatName val="0"/>
          <c:showSerName val="0"/>
          <c:showPercent val="0"/>
          <c:showBubbleSize val="0"/>
          <c:showLeaderLines val="1"/>
        </c:dLbls>
        <c:firstSliceAng val="270"/>
        <c:holeSize val="29"/>
      </c:doughnutChart>
    </c:plotArea>
    <c:legend>
      <c:legendPos val="b"/>
      <c:layout>
        <c:manualLayout>
          <c:xMode val="edge"/>
          <c:yMode val="edge"/>
          <c:x val="0.13224642915781057"/>
          <c:y val="0.60576281968481172"/>
          <c:w val="0.72955519671859048"/>
          <c:h val="7.1959448829861064E-2"/>
        </c:manualLayout>
      </c:layout>
      <c:overlay val="0"/>
      <c:txPr>
        <a:bodyPr/>
        <a:lstStyle/>
        <a:p>
          <a:pPr>
            <a:defRPr sz="800">
              <a:solidFill>
                <a:srgbClr val="BFCDE4"/>
              </a:solidFill>
            </a:defRPr>
          </a:pPr>
          <a:endParaRPr lang="it-IT"/>
        </a:p>
      </c:txPr>
    </c:legend>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1418133782443747"/>
          <c:y val="0.24851747975452654"/>
          <c:w val="0.78481332661566705"/>
          <c:h val="0.6707739410645539"/>
        </c:manualLayout>
      </c:layout>
      <c:scatterChart>
        <c:scatterStyle val="lineMarker"/>
        <c:varyColors val="0"/>
        <c:ser>
          <c:idx val="0"/>
          <c:order val="0"/>
          <c:tx>
            <c:strRef>
              <c:f>Processing!$B$18</c:f>
              <c:strCache>
                <c:ptCount val="1"/>
                <c:pt idx="0">
                  <c:v>Debts</c:v>
                </c:pt>
              </c:strCache>
            </c:strRef>
          </c:tx>
          <c:spPr>
            <a:ln w="19050">
              <a:noFill/>
            </a:ln>
          </c:spPr>
          <c:marker>
            <c:symbol val="circle"/>
            <c:size val="10"/>
            <c:spPr>
              <a:solidFill>
                <a:srgbClr val="43ADA9"/>
              </a:solidFill>
              <a:ln w="9525">
                <a:noFill/>
              </a:ln>
              <a:effectLst/>
            </c:spPr>
          </c:marker>
          <c:dPt>
            <c:idx val="0"/>
            <c:bubble3D val="0"/>
            <c:extLst>
              <c:ext xmlns:c16="http://schemas.microsoft.com/office/drawing/2014/chart" uri="{C3380CC4-5D6E-409C-BE32-E72D297353CC}">
                <c16:uniqueId val="{00000000-49DC-2141-AFF2-C286327D4F2E}"/>
              </c:ext>
            </c:extLst>
          </c:dPt>
          <c:xVal>
            <c:strRef>
              <c:f>Processing!$C$18</c:f>
              <c:strCache>
                <c:ptCount val="1"/>
                <c:pt idx="0">
                  <c:v>Interest Rate</c:v>
                </c:pt>
              </c:strCache>
            </c:strRef>
          </c:xVal>
          <c:yVal>
            <c:numRef>
              <c:f>Processing!$D$18</c:f>
              <c:numCache>
                <c:formatCode>General</c:formatCode>
                <c:ptCount val="1"/>
                <c:pt idx="0">
                  <c:v>0</c:v>
                </c:pt>
              </c:numCache>
            </c:numRef>
          </c:yVal>
          <c:smooth val="0"/>
          <c:extLst>
            <c:ext xmlns:c16="http://schemas.microsoft.com/office/drawing/2014/chart" uri="{C3380CC4-5D6E-409C-BE32-E72D297353CC}">
              <c16:uniqueId val="{00000001-49DC-2141-AFF2-C286327D4F2E}"/>
            </c:ext>
          </c:extLst>
        </c:ser>
        <c:ser>
          <c:idx val="1"/>
          <c:order val="1"/>
          <c:tx>
            <c:strRef>
              <c:f>Processing!$B$19</c:f>
              <c:strCache>
                <c:ptCount val="1"/>
                <c:pt idx="0">
                  <c:v>0</c:v>
                </c:pt>
              </c:strCache>
            </c:strRef>
          </c:tx>
          <c:spPr>
            <a:ln w="19050">
              <a:noFill/>
            </a:ln>
          </c:spPr>
          <c:marker>
            <c:symbol val="circle"/>
            <c:size val="40"/>
            <c:spPr>
              <a:solidFill>
                <a:srgbClr val="5EB2CD">
                  <a:alpha val="30000"/>
                </a:srgbClr>
              </a:solidFill>
              <a:ln w="9525">
                <a:solidFill>
                  <a:srgbClr val="5EB2CD"/>
                </a:solidFill>
              </a:ln>
              <a:effectLst/>
            </c:spPr>
          </c:marker>
          <c:xVal>
            <c:numRef>
              <c:f>Processing!$C$19</c:f>
              <c:numCache>
                <c:formatCode>0%</c:formatCode>
                <c:ptCount val="1"/>
                <c:pt idx="0">
                  <c:v>0</c:v>
                </c:pt>
              </c:numCache>
            </c:numRef>
          </c:xVal>
          <c:yVal>
            <c:numRef>
              <c:f>Processing!$D$19</c:f>
              <c:numCache>
                <c:formatCode>_-[$€-2]\ * #,##0_-;\-[$€-2]\ * #,##0_-;_-[$€-2]\ * "-"_-;_-@_-</c:formatCode>
                <c:ptCount val="1"/>
                <c:pt idx="0">
                  <c:v>0</c:v>
                </c:pt>
              </c:numCache>
            </c:numRef>
          </c:yVal>
          <c:smooth val="0"/>
          <c:extLst>
            <c:ext xmlns:c16="http://schemas.microsoft.com/office/drawing/2014/chart" uri="{C3380CC4-5D6E-409C-BE32-E72D297353CC}">
              <c16:uniqueId val="{00000002-49DC-2141-AFF2-C286327D4F2E}"/>
            </c:ext>
          </c:extLst>
        </c:ser>
        <c:ser>
          <c:idx val="2"/>
          <c:order val="2"/>
          <c:tx>
            <c:strRef>
              <c:f>Processing!$B$20</c:f>
              <c:strCache>
                <c:ptCount val="1"/>
                <c:pt idx="0">
                  <c:v>0</c:v>
                </c:pt>
              </c:strCache>
            </c:strRef>
          </c:tx>
          <c:spPr>
            <a:ln w="19050">
              <a:noFill/>
            </a:ln>
          </c:spPr>
          <c:marker>
            <c:symbol val="circle"/>
            <c:size val="35"/>
            <c:spPr>
              <a:solidFill>
                <a:srgbClr val="AD27FE">
                  <a:alpha val="30000"/>
                </a:srgbClr>
              </a:solidFill>
              <a:ln w="9525">
                <a:solidFill>
                  <a:srgbClr val="AD27FE"/>
                </a:solidFill>
              </a:ln>
              <a:effectLst/>
            </c:spPr>
          </c:marker>
          <c:xVal>
            <c:numRef>
              <c:f>Processing!$C$20</c:f>
              <c:numCache>
                <c:formatCode>0%</c:formatCode>
                <c:ptCount val="1"/>
                <c:pt idx="0">
                  <c:v>0</c:v>
                </c:pt>
              </c:numCache>
            </c:numRef>
          </c:xVal>
          <c:yVal>
            <c:numRef>
              <c:f>Processing!$D$20</c:f>
              <c:numCache>
                <c:formatCode>_-[$€-2]\ * #,##0_-;\-[$€-2]\ * #,##0_-;_-[$€-2]\ * "-"_-;_-@_-</c:formatCode>
                <c:ptCount val="1"/>
                <c:pt idx="0">
                  <c:v>0</c:v>
                </c:pt>
              </c:numCache>
            </c:numRef>
          </c:yVal>
          <c:smooth val="0"/>
          <c:extLst>
            <c:ext xmlns:c16="http://schemas.microsoft.com/office/drawing/2014/chart" uri="{C3380CC4-5D6E-409C-BE32-E72D297353CC}">
              <c16:uniqueId val="{00000003-49DC-2141-AFF2-C286327D4F2E}"/>
            </c:ext>
          </c:extLst>
        </c:ser>
        <c:ser>
          <c:idx val="6"/>
          <c:order val="3"/>
          <c:tx>
            <c:strRef>
              <c:f>Processing!$B$21</c:f>
              <c:strCache>
                <c:ptCount val="1"/>
                <c:pt idx="0">
                  <c:v>0</c:v>
                </c:pt>
              </c:strCache>
            </c:strRef>
          </c:tx>
          <c:spPr>
            <a:ln w="19050">
              <a:noFill/>
            </a:ln>
          </c:spPr>
          <c:marker>
            <c:symbol val="circle"/>
            <c:size val="25"/>
            <c:spPr>
              <a:solidFill>
                <a:srgbClr val="FBF1BD">
                  <a:alpha val="30000"/>
                </a:srgbClr>
              </a:solidFill>
              <a:ln w="9525">
                <a:solidFill>
                  <a:srgbClr val="FBF1BD">
                    <a:alpha val="94000"/>
                  </a:srgbClr>
                </a:solidFill>
              </a:ln>
              <a:effectLst/>
            </c:spPr>
          </c:marker>
          <c:xVal>
            <c:numRef>
              <c:f>Processing!$C$21</c:f>
              <c:numCache>
                <c:formatCode>0%</c:formatCode>
                <c:ptCount val="1"/>
                <c:pt idx="0">
                  <c:v>0</c:v>
                </c:pt>
              </c:numCache>
            </c:numRef>
          </c:xVal>
          <c:yVal>
            <c:numRef>
              <c:f>Processing!$D$21</c:f>
              <c:numCache>
                <c:formatCode>_-[$€-2]\ * #,##0_-;\-[$€-2]\ * #,##0_-;_-[$€-2]\ * "-"_-;_-@_-</c:formatCode>
                <c:ptCount val="1"/>
                <c:pt idx="0">
                  <c:v>0</c:v>
                </c:pt>
              </c:numCache>
            </c:numRef>
          </c:yVal>
          <c:smooth val="0"/>
          <c:extLst>
            <c:ext xmlns:c16="http://schemas.microsoft.com/office/drawing/2014/chart" uri="{C3380CC4-5D6E-409C-BE32-E72D297353CC}">
              <c16:uniqueId val="{00000004-49DC-2141-AFF2-C286327D4F2E}"/>
            </c:ext>
          </c:extLst>
        </c:ser>
        <c:ser>
          <c:idx val="3"/>
          <c:order val="4"/>
          <c:spPr>
            <a:ln w="19050">
              <a:noFill/>
            </a:ln>
          </c:spPr>
          <c:marker>
            <c:symbol val="circle"/>
            <c:size val="10"/>
            <c:spPr>
              <a:solidFill>
                <a:srgbClr val="43ADA9"/>
              </a:solidFill>
              <a:ln w="9525">
                <a:noFill/>
              </a:ln>
              <a:effectLst/>
            </c:spPr>
          </c:marker>
          <c:xVal>
            <c:strRef>
              <c:f>Processing!$C$18</c:f>
              <c:strCache>
                <c:ptCount val="1"/>
                <c:pt idx="0">
                  <c:v>Interest Rate</c:v>
                </c:pt>
              </c:strCache>
            </c:strRef>
          </c:xVal>
          <c:yVal>
            <c:numRef>
              <c:f>Processing!$D$18</c:f>
              <c:numCache>
                <c:formatCode>General</c:formatCode>
                <c:ptCount val="1"/>
                <c:pt idx="0">
                  <c:v>0</c:v>
                </c:pt>
              </c:numCache>
            </c:numRef>
          </c:yVal>
          <c:smooth val="0"/>
          <c:extLst>
            <c:ext xmlns:c16="http://schemas.microsoft.com/office/drawing/2014/chart" uri="{C3380CC4-5D6E-409C-BE32-E72D297353CC}">
              <c16:uniqueId val="{00000005-49DC-2141-AFF2-C286327D4F2E}"/>
            </c:ext>
          </c:extLst>
        </c:ser>
        <c:ser>
          <c:idx val="4"/>
          <c:order val="5"/>
          <c:spPr>
            <a:ln w="25400" cap="rnd">
              <a:noFill/>
              <a:round/>
            </a:ln>
            <a:effectLst/>
          </c:spPr>
          <c:marker>
            <c:symbol val="circle"/>
            <c:size val="9"/>
            <c:spPr>
              <a:solidFill>
                <a:srgbClr val="5EB2CD"/>
              </a:solidFill>
              <a:ln w="9525">
                <a:noFill/>
              </a:ln>
              <a:effectLst/>
            </c:spPr>
          </c:marker>
          <c:xVal>
            <c:numRef>
              <c:f>Processing!$C$19</c:f>
              <c:numCache>
                <c:formatCode>0%</c:formatCode>
                <c:ptCount val="1"/>
                <c:pt idx="0">
                  <c:v>0</c:v>
                </c:pt>
              </c:numCache>
            </c:numRef>
          </c:xVal>
          <c:yVal>
            <c:numRef>
              <c:f>Processing!$D$19</c:f>
              <c:numCache>
                <c:formatCode>_-[$€-2]\ * #,##0_-;\-[$€-2]\ * #,##0_-;_-[$€-2]\ * "-"_-;_-@_-</c:formatCode>
                <c:ptCount val="1"/>
                <c:pt idx="0">
                  <c:v>0</c:v>
                </c:pt>
              </c:numCache>
            </c:numRef>
          </c:yVal>
          <c:smooth val="0"/>
          <c:extLst>
            <c:ext xmlns:c16="http://schemas.microsoft.com/office/drawing/2014/chart" uri="{C3380CC4-5D6E-409C-BE32-E72D297353CC}">
              <c16:uniqueId val="{00000006-49DC-2141-AFF2-C286327D4F2E}"/>
            </c:ext>
          </c:extLst>
        </c:ser>
        <c:ser>
          <c:idx val="5"/>
          <c:order val="6"/>
          <c:spPr>
            <a:ln w="25400" cap="rnd">
              <a:noFill/>
              <a:round/>
            </a:ln>
            <a:effectLst/>
          </c:spPr>
          <c:marker>
            <c:symbol val="circle"/>
            <c:size val="8"/>
            <c:spPr>
              <a:solidFill>
                <a:srgbClr val="AD27FE"/>
              </a:solidFill>
              <a:ln w="9525">
                <a:noFill/>
              </a:ln>
              <a:effectLst/>
            </c:spPr>
          </c:marker>
          <c:xVal>
            <c:numRef>
              <c:f>Processing!$C$20</c:f>
              <c:numCache>
                <c:formatCode>0%</c:formatCode>
                <c:ptCount val="1"/>
                <c:pt idx="0">
                  <c:v>0</c:v>
                </c:pt>
              </c:numCache>
            </c:numRef>
          </c:xVal>
          <c:yVal>
            <c:numRef>
              <c:f>Processing!$D$20</c:f>
              <c:numCache>
                <c:formatCode>_-[$€-2]\ * #,##0_-;\-[$€-2]\ * #,##0_-;_-[$€-2]\ * "-"_-;_-@_-</c:formatCode>
                <c:ptCount val="1"/>
                <c:pt idx="0">
                  <c:v>0</c:v>
                </c:pt>
              </c:numCache>
            </c:numRef>
          </c:yVal>
          <c:smooth val="0"/>
          <c:extLst>
            <c:ext xmlns:c16="http://schemas.microsoft.com/office/drawing/2014/chart" uri="{C3380CC4-5D6E-409C-BE32-E72D297353CC}">
              <c16:uniqueId val="{00000007-49DC-2141-AFF2-C286327D4F2E}"/>
            </c:ext>
          </c:extLst>
        </c:ser>
        <c:ser>
          <c:idx val="7"/>
          <c:order val="7"/>
          <c:spPr>
            <a:ln w="25400" cap="rnd">
              <a:noFill/>
              <a:round/>
            </a:ln>
            <a:effectLst/>
          </c:spPr>
          <c:marker>
            <c:symbol val="circle"/>
            <c:size val="7"/>
            <c:spPr>
              <a:solidFill>
                <a:srgbClr val="FBF1BD"/>
              </a:solidFill>
              <a:ln w="9525">
                <a:noFill/>
              </a:ln>
              <a:effectLst/>
            </c:spPr>
          </c:marker>
          <c:xVal>
            <c:numRef>
              <c:f>Processing!$C$21</c:f>
              <c:numCache>
                <c:formatCode>0%</c:formatCode>
                <c:ptCount val="1"/>
                <c:pt idx="0">
                  <c:v>0</c:v>
                </c:pt>
              </c:numCache>
            </c:numRef>
          </c:xVal>
          <c:yVal>
            <c:numRef>
              <c:f>Processing!$D$21</c:f>
              <c:numCache>
                <c:formatCode>_-[$€-2]\ * #,##0_-;\-[$€-2]\ * #,##0_-;_-[$€-2]\ * "-"_-;_-@_-</c:formatCode>
                <c:ptCount val="1"/>
                <c:pt idx="0">
                  <c:v>0</c:v>
                </c:pt>
              </c:numCache>
            </c:numRef>
          </c:yVal>
          <c:smooth val="0"/>
          <c:extLst>
            <c:ext xmlns:c16="http://schemas.microsoft.com/office/drawing/2014/chart" uri="{C3380CC4-5D6E-409C-BE32-E72D297353CC}">
              <c16:uniqueId val="{00000008-49DC-2141-AFF2-C286327D4F2E}"/>
            </c:ext>
          </c:extLst>
        </c:ser>
        <c:dLbls>
          <c:showLegendKey val="0"/>
          <c:showVal val="0"/>
          <c:showCatName val="0"/>
          <c:showSerName val="0"/>
          <c:showPercent val="0"/>
          <c:showBubbleSize val="0"/>
        </c:dLbls>
        <c:axId val="2108640815"/>
        <c:axId val="363615919"/>
      </c:scatterChart>
      <c:valAx>
        <c:axId val="2108640815"/>
        <c:scaling>
          <c:orientation val="minMax"/>
        </c:scaling>
        <c:delete val="1"/>
        <c:axPos val="b"/>
        <c:numFmt formatCode="0%" sourceLinked="1"/>
        <c:majorTickMark val="out"/>
        <c:minorTickMark val="none"/>
        <c:tickLblPos val="nextTo"/>
        <c:crossAx val="363615919"/>
        <c:crosses val="autoZero"/>
        <c:crossBetween val="midCat"/>
      </c:valAx>
      <c:valAx>
        <c:axId val="363615919"/>
        <c:scaling>
          <c:orientation val="minMax"/>
        </c:scaling>
        <c:delete val="1"/>
        <c:axPos val="l"/>
        <c:numFmt formatCode="General" sourceLinked="1"/>
        <c:majorTickMark val="out"/>
        <c:minorTickMark val="none"/>
        <c:tickLblPos val="nextTo"/>
        <c:crossAx val="2108640815"/>
        <c:crosses val="autoZero"/>
        <c:crossBetween val="midCat"/>
      </c:valAx>
      <c:spPr>
        <a:noFill/>
      </c:spPr>
    </c:plotArea>
    <c:legend>
      <c:legendPos val="r"/>
      <c:legendEntry>
        <c:idx val="4"/>
        <c:delete val="1"/>
      </c:legendEntry>
      <c:legendEntry>
        <c:idx val="5"/>
        <c:delete val="1"/>
      </c:legendEntry>
      <c:legendEntry>
        <c:idx val="6"/>
        <c:delete val="1"/>
      </c:legendEntry>
      <c:legendEntry>
        <c:idx val="7"/>
        <c:delete val="1"/>
      </c:legendEntry>
      <c:layout>
        <c:manualLayout>
          <c:xMode val="edge"/>
          <c:yMode val="edge"/>
          <c:x val="0"/>
          <c:y val="0.60996757110943922"/>
          <c:w val="0.30566509347466542"/>
          <c:h val="0.38513112898058471"/>
        </c:manualLayout>
      </c:layout>
      <c:overlay val="0"/>
      <c:txPr>
        <a:bodyPr/>
        <a:lstStyle/>
        <a:p>
          <a:pPr>
            <a:defRPr sz="800">
              <a:solidFill>
                <a:srgbClr val="BFCDE4"/>
              </a:solidFill>
            </a:defRPr>
          </a:pPr>
          <a:endParaRPr lang="it-IT"/>
        </a:p>
      </c:txPr>
    </c:legend>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400" b="1" i="0" u="none" strike="noStrike" kern="1200" spc="0" baseline="0">
                <a:solidFill>
                  <a:schemeClr val="bg1"/>
                </a:solidFill>
                <a:latin typeface="+mn-lt"/>
                <a:ea typeface="+mn-ea"/>
                <a:cs typeface="+mn-cs"/>
              </a:defRPr>
            </a:pPr>
            <a:r>
              <a:rPr lang="en-US"/>
              <a:t>Financial Goals</a:t>
            </a:r>
          </a:p>
        </c:rich>
      </c:tx>
      <c:layout>
        <c:manualLayout>
          <c:xMode val="edge"/>
          <c:yMode val="edge"/>
          <c:x val="2.7002713267284823E-4"/>
          <c:y val="1.175690737409E-3"/>
        </c:manualLayout>
      </c:layout>
      <c:overlay val="0"/>
      <c:spPr>
        <a:noFill/>
        <a:ln>
          <a:noFill/>
        </a:ln>
        <a:effectLst/>
      </c:spPr>
    </c:title>
    <c:autoTitleDeleted val="0"/>
    <c:plotArea>
      <c:layout>
        <c:manualLayout>
          <c:layoutTarget val="inner"/>
          <c:xMode val="edge"/>
          <c:yMode val="edge"/>
          <c:x val="0.13754055821972699"/>
          <c:y val="0.1640645596640139"/>
          <c:w val="0.77993510684843681"/>
          <c:h val="0.63998383816361726"/>
        </c:manualLayout>
      </c:layout>
      <c:doughnutChart>
        <c:varyColors val="1"/>
        <c:ser>
          <c:idx val="0"/>
          <c:order val="0"/>
          <c:spPr>
            <a:ln>
              <a:noFill/>
            </a:ln>
          </c:spPr>
          <c:dPt>
            <c:idx val="0"/>
            <c:bubble3D val="0"/>
            <c:spPr>
              <a:gradFill>
                <a:gsLst>
                  <a:gs pos="1000">
                    <a:srgbClr val="F28F33"/>
                  </a:gs>
                  <a:gs pos="76000">
                    <a:srgbClr val="FE2827"/>
                  </a:gs>
                </a:gsLst>
                <a:path path="circle">
                  <a:fillToRect l="100000" t="100000"/>
                </a:path>
              </a:gradFill>
              <a:ln w="19050">
                <a:noFill/>
              </a:ln>
              <a:effectLst/>
            </c:spPr>
            <c:extLst>
              <c:ext xmlns:c16="http://schemas.microsoft.com/office/drawing/2014/chart" uri="{C3380CC4-5D6E-409C-BE32-E72D297353CC}">
                <c16:uniqueId val="{00000001-3880-48E5-839E-A87EF1D1611F}"/>
              </c:ext>
            </c:extLst>
          </c:dPt>
          <c:dPt>
            <c:idx val="1"/>
            <c:bubble3D val="0"/>
            <c:spPr>
              <a:solidFill>
                <a:srgbClr val="DABEF7"/>
              </a:solidFill>
              <a:ln w="19050">
                <a:noFill/>
              </a:ln>
              <a:effectLst/>
            </c:spPr>
            <c:extLst>
              <c:ext xmlns:c16="http://schemas.microsoft.com/office/drawing/2014/chart" uri="{C3380CC4-5D6E-409C-BE32-E72D297353CC}">
                <c16:uniqueId val="{00000003-3880-48E5-839E-A87EF1D1611F}"/>
              </c:ext>
            </c:extLst>
          </c:dPt>
          <c:dPt>
            <c:idx val="2"/>
            <c:bubble3D val="0"/>
            <c:spPr>
              <a:solidFill>
                <a:srgbClr val="DABEF7">
                  <a:alpha val="20000"/>
                </a:srgbClr>
              </a:solidFill>
              <a:ln w="19050">
                <a:noFill/>
              </a:ln>
              <a:effectLst/>
            </c:spPr>
            <c:extLst>
              <c:ext xmlns:c16="http://schemas.microsoft.com/office/drawing/2014/chart" uri="{C3380CC4-5D6E-409C-BE32-E72D297353CC}">
                <c16:uniqueId val="{00000005-3880-48E5-839E-A87EF1D1611F}"/>
              </c:ext>
            </c:extLst>
          </c:dPt>
          <c:dPt>
            <c:idx val="3"/>
            <c:bubble3D val="0"/>
            <c:spPr>
              <a:noFill/>
              <a:ln w="19050">
                <a:noFill/>
              </a:ln>
              <a:effectLst/>
            </c:spPr>
            <c:extLst>
              <c:ext xmlns:c16="http://schemas.microsoft.com/office/drawing/2014/chart" uri="{C3380CC4-5D6E-409C-BE32-E72D297353CC}">
                <c16:uniqueId val="{00000007-3880-48E5-839E-A87EF1D1611F}"/>
              </c:ext>
            </c:extLst>
          </c:dPt>
          <c:val>
            <c:numRef>
              <c:f>Processing!$S$19:$S$22</c:f>
              <c:numCache>
                <c:formatCode>0%</c:formatCode>
                <c:ptCount val="4"/>
                <c:pt idx="0">
                  <c:v>0</c:v>
                </c:pt>
                <c:pt idx="1">
                  <c:v>1</c:v>
                </c:pt>
                <c:pt idx="2">
                  <c:v>0</c:v>
                </c:pt>
                <c:pt idx="3">
                  <c:v>0.34</c:v>
                </c:pt>
              </c:numCache>
            </c:numRef>
          </c:val>
          <c:extLst>
            <c:ext xmlns:c16="http://schemas.microsoft.com/office/drawing/2014/chart" uri="{C3380CC4-5D6E-409C-BE32-E72D297353CC}">
              <c16:uniqueId val="{00000008-3880-48E5-839E-A87EF1D1611F}"/>
            </c:ext>
          </c:extLst>
        </c:ser>
        <c:ser>
          <c:idx val="1"/>
          <c:order val="1"/>
          <c:spPr>
            <a:ln>
              <a:noFill/>
            </a:ln>
          </c:spPr>
          <c:dPt>
            <c:idx val="0"/>
            <c:bubble3D val="0"/>
            <c:spPr>
              <a:noFill/>
              <a:ln w="19050">
                <a:noFill/>
              </a:ln>
              <a:effectLst/>
            </c:spPr>
            <c:extLst>
              <c:ext xmlns:c16="http://schemas.microsoft.com/office/drawing/2014/chart" uri="{C3380CC4-5D6E-409C-BE32-E72D297353CC}">
                <c16:uniqueId val="{0000000A-3880-48E5-839E-A87EF1D1611F}"/>
              </c:ext>
            </c:extLst>
          </c:dPt>
          <c:dPt>
            <c:idx val="1"/>
            <c:bubble3D val="0"/>
            <c:spPr>
              <a:noFill/>
              <a:ln w="19050">
                <a:noFill/>
              </a:ln>
              <a:effectLst/>
            </c:spPr>
            <c:extLst>
              <c:ext xmlns:c16="http://schemas.microsoft.com/office/drawing/2014/chart" uri="{C3380CC4-5D6E-409C-BE32-E72D297353CC}">
                <c16:uniqueId val="{0000000C-3880-48E5-839E-A87EF1D1611F}"/>
              </c:ext>
            </c:extLst>
          </c:dPt>
          <c:dPt>
            <c:idx val="2"/>
            <c:bubble3D val="0"/>
            <c:spPr>
              <a:noFill/>
              <a:ln w="19050">
                <a:noFill/>
              </a:ln>
              <a:effectLst/>
            </c:spPr>
            <c:extLst>
              <c:ext xmlns:c16="http://schemas.microsoft.com/office/drawing/2014/chart" uri="{C3380CC4-5D6E-409C-BE32-E72D297353CC}">
                <c16:uniqueId val="{0000000E-3880-48E5-839E-A87EF1D1611F}"/>
              </c:ext>
            </c:extLst>
          </c:dPt>
          <c:dPt>
            <c:idx val="3"/>
            <c:bubble3D val="0"/>
            <c:spPr>
              <a:noFill/>
              <a:ln w="19050">
                <a:noFill/>
              </a:ln>
              <a:effectLst/>
            </c:spPr>
            <c:extLst>
              <c:ext xmlns:c16="http://schemas.microsoft.com/office/drawing/2014/chart" uri="{C3380CC4-5D6E-409C-BE32-E72D297353CC}">
                <c16:uniqueId val="{00000010-3880-48E5-839E-A87EF1D1611F}"/>
              </c:ext>
            </c:extLst>
          </c:dPt>
          <c:val>
            <c:numRef>
              <c:f>Processing!$T$19:$T$22</c:f>
              <c:numCache>
                <c:formatCode>0%</c:formatCode>
                <c:ptCount val="4"/>
                <c:pt idx="0">
                  <c:v>0</c:v>
                </c:pt>
                <c:pt idx="1">
                  <c:v>1</c:v>
                </c:pt>
                <c:pt idx="2">
                  <c:v>0</c:v>
                </c:pt>
                <c:pt idx="3">
                  <c:v>0.34</c:v>
                </c:pt>
              </c:numCache>
            </c:numRef>
          </c:val>
          <c:extLst>
            <c:ext xmlns:c16="http://schemas.microsoft.com/office/drawing/2014/chart" uri="{C3380CC4-5D6E-409C-BE32-E72D297353CC}">
              <c16:uniqueId val="{00000011-3880-48E5-839E-A87EF1D1611F}"/>
            </c:ext>
          </c:extLst>
        </c:ser>
        <c:ser>
          <c:idx val="2"/>
          <c:order val="2"/>
          <c:spPr>
            <a:ln>
              <a:noFill/>
            </a:ln>
          </c:spPr>
          <c:dPt>
            <c:idx val="0"/>
            <c:bubble3D val="0"/>
            <c:spPr>
              <a:gradFill>
                <a:gsLst>
                  <a:gs pos="1000">
                    <a:srgbClr val="F28F33"/>
                  </a:gs>
                  <a:gs pos="76000">
                    <a:srgbClr val="FE2827"/>
                  </a:gs>
                </a:gsLst>
                <a:path path="circle">
                  <a:fillToRect l="100000" t="100000"/>
                </a:path>
              </a:gradFill>
              <a:ln w="19050">
                <a:noFill/>
              </a:ln>
              <a:effectLst/>
            </c:spPr>
            <c:extLst>
              <c:ext xmlns:c16="http://schemas.microsoft.com/office/drawing/2014/chart" uri="{C3380CC4-5D6E-409C-BE32-E72D297353CC}">
                <c16:uniqueId val="{00000013-3880-48E5-839E-A87EF1D1611F}"/>
              </c:ext>
            </c:extLst>
          </c:dPt>
          <c:dPt>
            <c:idx val="1"/>
            <c:bubble3D val="0"/>
            <c:spPr>
              <a:solidFill>
                <a:srgbClr val="DABEF7"/>
              </a:solidFill>
              <a:ln w="19050">
                <a:noFill/>
              </a:ln>
              <a:effectLst/>
            </c:spPr>
            <c:extLst>
              <c:ext xmlns:c16="http://schemas.microsoft.com/office/drawing/2014/chart" uri="{C3380CC4-5D6E-409C-BE32-E72D297353CC}">
                <c16:uniqueId val="{00000015-3880-48E5-839E-A87EF1D1611F}"/>
              </c:ext>
            </c:extLst>
          </c:dPt>
          <c:dPt>
            <c:idx val="2"/>
            <c:bubble3D val="0"/>
            <c:spPr>
              <a:solidFill>
                <a:srgbClr val="DABEF7">
                  <a:alpha val="20000"/>
                </a:srgbClr>
              </a:solidFill>
              <a:ln w="19050">
                <a:noFill/>
              </a:ln>
              <a:effectLst/>
            </c:spPr>
            <c:extLst>
              <c:ext xmlns:c16="http://schemas.microsoft.com/office/drawing/2014/chart" uri="{C3380CC4-5D6E-409C-BE32-E72D297353CC}">
                <c16:uniqueId val="{00000017-3880-48E5-839E-A87EF1D1611F}"/>
              </c:ext>
            </c:extLst>
          </c:dPt>
          <c:dPt>
            <c:idx val="3"/>
            <c:bubble3D val="0"/>
            <c:spPr>
              <a:noFill/>
              <a:ln w="19050">
                <a:noFill/>
              </a:ln>
              <a:effectLst/>
            </c:spPr>
            <c:extLst>
              <c:ext xmlns:c16="http://schemas.microsoft.com/office/drawing/2014/chart" uri="{C3380CC4-5D6E-409C-BE32-E72D297353CC}">
                <c16:uniqueId val="{00000019-3880-48E5-839E-A87EF1D1611F}"/>
              </c:ext>
            </c:extLst>
          </c:dPt>
          <c:val>
            <c:numRef>
              <c:f>Processing!$U$19:$U$22</c:f>
              <c:numCache>
                <c:formatCode>0%</c:formatCode>
                <c:ptCount val="4"/>
                <c:pt idx="0">
                  <c:v>0</c:v>
                </c:pt>
                <c:pt idx="1">
                  <c:v>0.83333333333333337</c:v>
                </c:pt>
                <c:pt idx="2">
                  <c:v>0.16666666666666663</c:v>
                </c:pt>
                <c:pt idx="3">
                  <c:v>0.34</c:v>
                </c:pt>
              </c:numCache>
            </c:numRef>
          </c:val>
          <c:extLst>
            <c:ext xmlns:c16="http://schemas.microsoft.com/office/drawing/2014/chart" uri="{C3380CC4-5D6E-409C-BE32-E72D297353CC}">
              <c16:uniqueId val="{0000001A-3880-48E5-839E-A87EF1D1611F}"/>
            </c:ext>
          </c:extLst>
        </c:ser>
        <c:ser>
          <c:idx val="3"/>
          <c:order val="3"/>
          <c:spPr>
            <a:noFill/>
            <a:ln>
              <a:noFill/>
            </a:ln>
          </c:spPr>
          <c:dPt>
            <c:idx val="0"/>
            <c:bubble3D val="0"/>
            <c:spPr>
              <a:noFill/>
              <a:ln w="19050">
                <a:noFill/>
              </a:ln>
              <a:effectLst/>
            </c:spPr>
            <c:extLst>
              <c:ext xmlns:c16="http://schemas.microsoft.com/office/drawing/2014/chart" uri="{C3380CC4-5D6E-409C-BE32-E72D297353CC}">
                <c16:uniqueId val="{0000001C-3880-48E5-839E-A87EF1D1611F}"/>
              </c:ext>
            </c:extLst>
          </c:dPt>
          <c:dPt>
            <c:idx val="1"/>
            <c:bubble3D val="0"/>
            <c:spPr>
              <a:noFill/>
              <a:ln w="19050">
                <a:noFill/>
              </a:ln>
              <a:effectLst/>
            </c:spPr>
            <c:extLst>
              <c:ext xmlns:c16="http://schemas.microsoft.com/office/drawing/2014/chart" uri="{C3380CC4-5D6E-409C-BE32-E72D297353CC}">
                <c16:uniqueId val="{0000001E-3880-48E5-839E-A87EF1D1611F}"/>
              </c:ext>
            </c:extLst>
          </c:dPt>
          <c:dPt>
            <c:idx val="2"/>
            <c:bubble3D val="0"/>
            <c:spPr>
              <a:noFill/>
              <a:ln w="19050">
                <a:noFill/>
              </a:ln>
              <a:effectLst/>
            </c:spPr>
            <c:extLst>
              <c:ext xmlns:c16="http://schemas.microsoft.com/office/drawing/2014/chart" uri="{C3380CC4-5D6E-409C-BE32-E72D297353CC}">
                <c16:uniqueId val="{00000020-3880-48E5-839E-A87EF1D1611F}"/>
              </c:ext>
            </c:extLst>
          </c:dPt>
          <c:dPt>
            <c:idx val="3"/>
            <c:bubble3D val="0"/>
            <c:spPr>
              <a:noFill/>
              <a:ln w="19050">
                <a:noFill/>
              </a:ln>
              <a:effectLst/>
            </c:spPr>
            <c:extLst>
              <c:ext xmlns:c16="http://schemas.microsoft.com/office/drawing/2014/chart" uri="{C3380CC4-5D6E-409C-BE32-E72D297353CC}">
                <c16:uniqueId val="{00000022-3880-48E5-839E-A87EF1D1611F}"/>
              </c:ext>
            </c:extLst>
          </c:dPt>
          <c:val>
            <c:numRef>
              <c:f>Processing!$V$19:$V$22</c:f>
              <c:numCache>
                <c:formatCode>0%</c:formatCode>
                <c:ptCount val="4"/>
                <c:pt idx="0">
                  <c:v>0</c:v>
                </c:pt>
                <c:pt idx="1">
                  <c:v>0.83333333333333337</c:v>
                </c:pt>
                <c:pt idx="2">
                  <c:v>0.16666666666666663</c:v>
                </c:pt>
                <c:pt idx="3">
                  <c:v>0.34</c:v>
                </c:pt>
              </c:numCache>
            </c:numRef>
          </c:val>
          <c:extLst>
            <c:ext xmlns:c16="http://schemas.microsoft.com/office/drawing/2014/chart" uri="{C3380CC4-5D6E-409C-BE32-E72D297353CC}">
              <c16:uniqueId val="{00000023-3880-48E5-839E-A87EF1D1611F}"/>
            </c:ext>
          </c:extLst>
        </c:ser>
        <c:ser>
          <c:idx val="4"/>
          <c:order val="4"/>
          <c:dPt>
            <c:idx val="0"/>
            <c:bubble3D val="0"/>
            <c:spPr>
              <a:gradFill>
                <a:gsLst>
                  <a:gs pos="1000">
                    <a:srgbClr val="F28F33"/>
                  </a:gs>
                  <a:gs pos="76000">
                    <a:srgbClr val="FE2827"/>
                  </a:gs>
                </a:gsLst>
                <a:path path="circle">
                  <a:fillToRect l="100000" t="100000"/>
                </a:path>
              </a:gradFill>
              <a:effectLst/>
            </c:spPr>
            <c:extLst>
              <c:ext xmlns:c16="http://schemas.microsoft.com/office/drawing/2014/chart" uri="{C3380CC4-5D6E-409C-BE32-E72D297353CC}">
                <c16:uniqueId val="{00000025-3880-48E5-839E-A87EF1D1611F}"/>
              </c:ext>
            </c:extLst>
          </c:dPt>
          <c:dPt>
            <c:idx val="1"/>
            <c:bubble3D val="0"/>
            <c:spPr>
              <a:solidFill>
                <a:srgbClr val="DABEF7"/>
              </a:solidFill>
              <a:effectLst/>
            </c:spPr>
            <c:extLst>
              <c:ext xmlns:c16="http://schemas.microsoft.com/office/drawing/2014/chart" uri="{C3380CC4-5D6E-409C-BE32-E72D297353CC}">
                <c16:uniqueId val="{00000027-3880-48E5-839E-A87EF1D1611F}"/>
              </c:ext>
            </c:extLst>
          </c:dPt>
          <c:dPt>
            <c:idx val="2"/>
            <c:bubble3D val="0"/>
            <c:spPr>
              <a:solidFill>
                <a:srgbClr val="DABEF7">
                  <a:alpha val="20000"/>
                </a:srgbClr>
              </a:solidFill>
              <a:effectLst/>
            </c:spPr>
            <c:extLst>
              <c:ext xmlns:c16="http://schemas.microsoft.com/office/drawing/2014/chart" uri="{C3380CC4-5D6E-409C-BE32-E72D297353CC}">
                <c16:uniqueId val="{00000029-3880-48E5-839E-A87EF1D1611F}"/>
              </c:ext>
            </c:extLst>
          </c:dPt>
          <c:dPt>
            <c:idx val="3"/>
            <c:bubble3D val="0"/>
            <c:spPr>
              <a:noFill/>
              <a:effectLst/>
            </c:spPr>
            <c:extLst>
              <c:ext xmlns:c16="http://schemas.microsoft.com/office/drawing/2014/chart" uri="{C3380CC4-5D6E-409C-BE32-E72D297353CC}">
                <c16:uniqueId val="{0000002B-3880-48E5-839E-A87EF1D1611F}"/>
              </c:ext>
            </c:extLst>
          </c:dPt>
          <c:val>
            <c:numRef>
              <c:f>Processing!$W$19:$W$22</c:f>
              <c:numCache>
                <c:formatCode>0%</c:formatCode>
                <c:ptCount val="4"/>
                <c:pt idx="0">
                  <c:v>0</c:v>
                </c:pt>
                <c:pt idx="1">
                  <c:v>0.69444444444444442</c:v>
                </c:pt>
                <c:pt idx="2">
                  <c:v>0.30555555555555558</c:v>
                </c:pt>
                <c:pt idx="3">
                  <c:v>0.34</c:v>
                </c:pt>
              </c:numCache>
            </c:numRef>
          </c:val>
          <c:extLst>
            <c:ext xmlns:c16="http://schemas.microsoft.com/office/drawing/2014/chart" uri="{C3380CC4-5D6E-409C-BE32-E72D297353CC}">
              <c16:uniqueId val="{0000002C-3880-48E5-839E-A87EF1D1611F}"/>
            </c:ext>
          </c:extLst>
        </c:ser>
        <c:ser>
          <c:idx val="5"/>
          <c:order val="5"/>
          <c:spPr>
            <a:noFill/>
          </c:spPr>
          <c:dPt>
            <c:idx val="0"/>
            <c:bubble3D val="0"/>
            <c:spPr>
              <a:noFill/>
              <a:effectLst/>
            </c:spPr>
            <c:extLst>
              <c:ext xmlns:c16="http://schemas.microsoft.com/office/drawing/2014/chart" uri="{C3380CC4-5D6E-409C-BE32-E72D297353CC}">
                <c16:uniqueId val="{0000002E-3880-48E5-839E-A87EF1D1611F}"/>
              </c:ext>
            </c:extLst>
          </c:dPt>
          <c:dPt>
            <c:idx val="1"/>
            <c:bubble3D val="0"/>
            <c:spPr>
              <a:noFill/>
              <a:effectLst/>
            </c:spPr>
            <c:extLst>
              <c:ext xmlns:c16="http://schemas.microsoft.com/office/drawing/2014/chart" uri="{C3380CC4-5D6E-409C-BE32-E72D297353CC}">
                <c16:uniqueId val="{00000030-3880-48E5-839E-A87EF1D1611F}"/>
              </c:ext>
            </c:extLst>
          </c:dPt>
          <c:dPt>
            <c:idx val="2"/>
            <c:bubble3D val="0"/>
            <c:spPr>
              <a:noFill/>
              <a:effectLst/>
            </c:spPr>
            <c:extLst>
              <c:ext xmlns:c16="http://schemas.microsoft.com/office/drawing/2014/chart" uri="{C3380CC4-5D6E-409C-BE32-E72D297353CC}">
                <c16:uniqueId val="{00000032-3880-48E5-839E-A87EF1D1611F}"/>
              </c:ext>
            </c:extLst>
          </c:dPt>
          <c:dPt>
            <c:idx val="3"/>
            <c:bubble3D val="0"/>
            <c:spPr>
              <a:noFill/>
              <a:effectLst/>
            </c:spPr>
            <c:extLst>
              <c:ext xmlns:c16="http://schemas.microsoft.com/office/drawing/2014/chart" uri="{C3380CC4-5D6E-409C-BE32-E72D297353CC}">
                <c16:uniqueId val="{00000034-3880-48E5-839E-A87EF1D1611F}"/>
              </c:ext>
            </c:extLst>
          </c:dPt>
          <c:val>
            <c:numRef>
              <c:f>Processing!$X$19:$X$22</c:f>
              <c:numCache>
                <c:formatCode>0%</c:formatCode>
                <c:ptCount val="4"/>
                <c:pt idx="0">
                  <c:v>0</c:v>
                </c:pt>
                <c:pt idx="1">
                  <c:v>0.69444444444444442</c:v>
                </c:pt>
                <c:pt idx="2">
                  <c:v>0.30555555555555558</c:v>
                </c:pt>
                <c:pt idx="3">
                  <c:v>0.34</c:v>
                </c:pt>
              </c:numCache>
            </c:numRef>
          </c:val>
          <c:extLst>
            <c:ext xmlns:c16="http://schemas.microsoft.com/office/drawing/2014/chart" uri="{C3380CC4-5D6E-409C-BE32-E72D297353CC}">
              <c16:uniqueId val="{00000035-3880-48E5-839E-A87EF1D1611F}"/>
            </c:ext>
          </c:extLst>
        </c:ser>
        <c:ser>
          <c:idx val="6"/>
          <c:order val="6"/>
          <c:dPt>
            <c:idx val="0"/>
            <c:bubble3D val="0"/>
            <c:spPr>
              <a:gradFill flip="none" rotWithShape="1">
                <a:gsLst>
                  <a:gs pos="1000">
                    <a:srgbClr val="F28F33"/>
                  </a:gs>
                  <a:gs pos="76000">
                    <a:srgbClr val="FE2827"/>
                  </a:gs>
                </a:gsLst>
                <a:path path="circle">
                  <a:fillToRect l="100000" t="100000"/>
                </a:path>
                <a:tileRect r="-100000" b="-100000"/>
              </a:gradFill>
              <a:effectLst/>
            </c:spPr>
            <c:extLst>
              <c:ext xmlns:c16="http://schemas.microsoft.com/office/drawing/2014/chart" uri="{C3380CC4-5D6E-409C-BE32-E72D297353CC}">
                <c16:uniqueId val="{00000037-3880-48E5-839E-A87EF1D1611F}"/>
              </c:ext>
            </c:extLst>
          </c:dPt>
          <c:dPt>
            <c:idx val="1"/>
            <c:bubble3D val="0"/>
            <c:spPr>
              <a:solidFill>
                <a:srgbClr val="DABEF7"/>
              </a:solidFill>
              <a:effectLst/>
            </c:spPr>
            <c:extLst>
              <c:ext xmlns:c16="http://schemas.microsoft.com/office/drawing/2014/chart" uri="{C3380CC4-5D6E-409C-BE32-E72D297353CC}">
                <c16:uniqueId val="{00000039-3880-48E5-839E-A87EF1D1611F}"/>
              </c:ext>
            </c:extLst>
          </c:dPt>
          <c:dPt>
            <c:idx val="2"/>
            <c:bubble3D val="0"/>
            <c:spPr>
              <a:solidFill>
                <a:srgbClr val="DABEF7">
                  <a:alpha val="20000"/>
                </a:srgbClr>
              </a:solidFill>
              <a:effectLst/>
            </c:spPr>
            <c:extLst>
              <c:ext xmlns:c16="http://schemas.microsoft.com/office/drawing/2014/chart" uri="{C3380CC4-5D6E-409C-BE32-E72D297353CC}">
                <c16:uniqueId val="{0000003B-3880-48E5-839E-A87EF1D1611F}"/>
              </c:ext>
            </c:extLst>
          </c:dPt>
          <c:dPt>
            <c:idx val="3"/>
            <c:bubble3D val="0"/>
            <c:spPr>
              <a:noFill/>
              <a:effectLst/>
            </c:spPr>
            <c:extLst>
              <c:ext xmlns:c16="http://schemas.microsoft.com/office/drawing/2014/chart" uri="{C3380CC4-5D6E-409C-BE32-E72D297353CC}">
                <c16:uniqueId val="{0000003D-3880-48E5-839E-A87EF1D1611F}"/>
              </c:ext>
            </c:extLst>
          </c:dPt>
          <c:val>
            <c:numRef>
              <c:f>Processing!$Y$19:$Y$22</c:f>
              <c:numCache>
                <c:formatCode>0%</c:formatCode>
                <c:ptCount val="4"/>
                <c:pt idx="0">
                  <c:v>0</c:v>
                </c:pt>
                <c:pt idx="1">
                  <c:v>0.55555555555555558</c:v>
                </c:pt>
                <c:pt idx="2">
                  <c:v>0.44444444444444442</c:v>
                </c:pt>
                <c:pt idx="3">
                  <c:v>0.34</c:v>
                </c:pt>
              </c:numCache>
            </c:numRef>
          </c:val>
          <c:extLst>
            <c:ext xmlns:c16="http://schemas.microsoft.com/office/drawing/2014/chart" uri="{C3380CC4-5D6E-409C-BE32-E72D297353CC}">
              <c16:uniqueId val="{0000003E-3880-48E5-839E-A87EF1D1611F}"/>
            </c:ext>
          </c:extLst>
        </c:ser>
        <c:dLbls>
          <c:showLegendKey val="0"/>
          <c:showVal val="0"/>
          <c:showCatName val="0"/>
          <c:showSerName val="0"/>
          <c:showPercent val="0"/>
          <c:showBubbleSize val="0"/>
          <c:showLeaderLines val="0"/>
        </c:dLbls>
        <c:firstSliceAng val="0"/>
        <c:holeSize val="50"/>
      </c:doughnutChart>
    </c:plotArea>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7.5169524117968539E-2"/>
          <c:y val="4.7718722659667541E-2"/>
          <c:w val="0.89698128993515913"/>
          <c:h val="0.84256415864683576"/>
        </c:manualLayout>
      </c:layout>
      <c:barChart>
        <c:barDir val="col"/>
        <c:grouping val="clustered"/>
        <c:varyColors val="0"/>
        <c:ser>
          <c:idx val="2"/>
          <c:order val="0"/>
          <c:invertIfNegative val="0"/>
          <c:cat>
            <c:numRef>
              <c:f>Processing!$I$27:$I$57</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Processing!$L$27:$L$57</c:f>
              <c:numCache>
                <c:formatCode>General</c:formatCode>
                <c:ptCount val="31"/>
                <c:pt idx="0">
                  <c:v>0</c:v>
                </c:pt>
                <c:pt idx="1">
                  <c:v>3.73</c:v>
                </c:pt>
                <c:pt idx="2">
                  <c:v>0</c:v>
                </c:pt>
                <c:pt idx="3">
                  <c:v>0</c:v>
                </c:pt>
                <c:pt idx="4">
                  <c:v>0</c:v>
                </c:pt>
                <c:pt idx="5">
                  <c:v>0</c:v>
                </c:pt>
                <c:pt idx="6">
                  <c:v>0</c:v>
                </c:pt>
                <c:pt idx="7">
                  <c:v>0</c:v>
                </c:pt>
                <c:pt idx="8">
                  <c:v>0</c:v>
                </c:pt>
                <c:pt idx="9">
                  <c:v>0</c:v>
                </c:pt>
                <c:pt idx="10">
                  <c:v>0</c:v>
                </c:pt>
                <c:pt idx="11">
                  <c:v>0</c:v>
                </c:pt>
                <c:pt idx="12">
                  <c:v>0</c:v>
                </c:pt>
                <c:pt idx="13">
                  <c:v>132</c:v>
                </c:pt>
                <c:pt idx="14">
                  <c:v>23.75</c:v>
                </c:pt>
                <c:pt idx="15">
                  <c:v>74.95</c:v>
                </c:pt>
                <c:pt idx="16">
                  <c:v>8.3800000000000008</c:v>
                </c:pt>
                <c:pt idx="17">
                  <c:v>16.100000000000001</c:v>
                </c:pt>
                <c:pt idx="18">
                  <c:v>0</c:v>
                </c:pt>
                <c:pt idx="19">
                  <c:v>0</c:v>
                </c:pt>
                <c:pt idx="20">
                  <c:v>49.040000000000006</c:v>
                </c:pt>
                <c:pt idx="21">
                  <c:v>0</c:v>
                </c:pt>
                <c:pt idx="22">
                  <c:v>0</c:v>
                </c:pt>
                <c:pt idx="23">
                  <c:v>0</c:v>
                </c:pt>
                <c:pt idx="24">
                  <c:v>0</c:v>
                </c:pt>
                <c:pt idx="25">
                  <c:v>0</c:v>
                </c:pt>
                <c:pt idx="26">
                  <c:v>50.68</c:v>
                </c:pt>
                <c:pt idx="27">
                  <c:v>0</c:v>
                </c:pt>
                <c:pt idx="28">
                  <c:v>0</c:v>
                </c:pt>
                <c:pt idx="29">
                  <c:v>0</c:v>
                </c:pt>
                <c:pt idx="30">
                  <c:v>0</c:v>
                </c:pt>
              </c:numCache>
            </c:numRef>
          </c:val>
          <c:extLst>
            <c:ext xmlns:c16="http://schemas.microsoft.com/office/drawing/2014/chart" uri="{C3380CC4-5D6E-409C-BE32-E72D297353CC}">
              <c16:uniqueId val="{00000000-15A2-45EA-927E-FC137815B592}"/>
            </c:ext>
          </c:extLst>
        </c:ser>
        <c:ser>
          <c:idx val="0"/>
          <c:order val="1"/>
          <c:spPr>
            <a:gradFill>
              <a:gsLst>
                <a:gs pos="0">
                  <a:srgbClr val="55E7F9"/>
                </a:gs>
                <a:gs pos="100000">
                  <a:srgbClr val="0C68BE"/>
                </a:gs>
              </a:gsLst>
              <a:lin ang="5400000" scaled="1"/>
            </a:gradFill>
            <a:ln>
              <a:noFill/>
            </a:ln>
            <a:effectLst>
              <a:outerShdw blurRad="50800" dist="38100" dir="16200000" rotWithShape="0">
                <a:prstClr val="black">
                  <a:alpha val="40000"/>
                </a:prstClr>
              </a:outerShdw>
            </a:effectLst>
          </c:spPr>
          <c:invertIfNegative val="0"/>
          <c:cat>
            <c:numRef>
              <c:f>Processing!$I$27:$I$57</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Processing!$J$27:$J$57</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1000</c:v>
                </c:pt>
                <c:pt idx="14">
                  <c:v>0</c:v>
                </c:pt>
                <c:pt idx="15">
                  <c:v>0</c:v>
                </c:pt>
                <c:pt idx="16">
                  <c:v>0</c:v>
                </c:pt>
                <c:pt idx="17">
                  <c:v>0</c:v>
                </c:pt>
                <c:pt idx="18">
                  <c:v>0</c:v>
                </c:pt>
                <c:pt idx="19">
                  <c:v>0</c:v>
                </c:pt>
                <c:pt idx="20">
                  <c:v>0</c:v>
                </c:pt>
                <c:pt idx="21">
                  <c:v>0</c:v>
                </c:pt>
                <c:pt idx="22">
                  <c:v>3000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EFD1-4968-93D5-0ECB462752A0}"/>
            </c:ext>
          </c:extLst>
        </c:ser>
        <c:dLbls>
          <c:showLegendKey val="0"/>
          <c:showVal val="0"/>
          <c:showCatName val="0"/>
          <c:showSerName val="0"/>
          <c:showPercent val="0"/>
          <c:showBubbleSize val="0"/>
        </c:dLbls>
        <c:gapWidth val="150"/>
        <c:overlap val="100"/>
        <c:axId val="1851983647"/>
        <c:axId val="1474135967"/>
      </c:barChart>
      <c:lineChart>
        <c:grouping val="standard"/>
        <c:varyColors val="0"/>
        <c:ser>
          <c:idx val="1"/>
          <c:order val="2"/>
          <c:spPr>
            <a:ln w="28575" cap="rnd">
              <a:solidFill>
                <a:schemeClr val="bg1"/>
              </a:solidFill>
              <a:round/>
            </a:ln>
            <a:effectLst>
              <a:outerShdw blurRad="50800" dist="38100" dir="16200000" rotWithShape="0">
                <a:prstClr val="black">
                  <a:alpha val="40000"/>
                </a:prstClr>
              </a:outerShdw>
            </a:effectLst>
          </c:spPr>
          <c:marker>
            <c:symbol val="none"/>
          </c:marker>
          <c:val>
            <c:numRef>
              <c:f>Processing!$K$27:$K$57</c:f>
              <c:numCache>
                <c:formatCode>General</c:formatCode>
                <c:ptCount val="31"/>
                <c:pt idx="0">
                  <c:v>0</c:v>
                </c:pt>
                <c:pt idx="1">
                  <c:v>3.73</c:v>
                </c:pt>
                <c:pt idx="2">
                  <c:v>0</c:v>
                </c:pt>
                <c:pt idx="3">
                  <c:v>0</c:v>
                </c:pt>
                <c:pt idx="4">
                  <c:v>0</c:v>
                </c:pt>
                <c:pt idx="5">
                  <c:v>0</c:v>
                </c:pt>
                <c:pt idx="6">
                  <c:v>0</c:v>
                </c:pt>
                <c:pt idx="7">
                  <c:v>0</c:v>
                </c:pt>
                <c:pt idx="8">
                  <c:v>0</c:v>
                </c:pt>
                <c:pt idx="9">
                  <c:v>0</c:v>
                </c:pt>
                <c:pt idx="10">
                  <c:v>0</c:v>
                </c:pt>
                <c:pt idx="11">
                  <c:v>0</c:v>
                </c:pt>
                <c:pt idx="12">
                  <c:v>0</c:v>
                </c:pt>
                <c:pt idx="13">
                  <c:v>132</c:v>
                </c:pt>
                <c:pt idx="14">
                  <c:v>23.75</c:v>
                </c:pt>
                <c:pt idx="15">
                  <c:v>74.95</c:v>
                </c:pt>
                <c:pt idx="16">
                  <c:v>8.3800000000000008</c:v>
                </c:pt>
                <c:pt idx="17">
                  <c:v>16.100000000000001</c:v>
                </c:pt>
                <c:pt idx="18">
                  <c:v>0</c:v>
                </c:pt>
                <c:pt idx="19">
                  <c:v>0</c:v>
                </c:pt>
                <c:pt idx="20">
                  <c:v>49.040000000000006</c:v>
                </c:pt>
                <c:pt idx="21">
                  <c:v>0</c:v>
                </c:pt>
                <c:pt idx="22">
                  <c:v>0</c:v>
                </c:pt>
                <c:pt idx="23">
                  <c:v>0</c:v>
                </c:pt>
                <c:pt idx="24">
                  <c:v>0</c:v>
                </c:pt>
                <c:pt idx="25">
                  <c:v>0</c:v>
                </c:pt>
                <c:pt idx="26">
                  <c:v>50.68</c:v>
                </c:pt>
                <c:pt idx="27">
                  <c:v>0</c:v>
                </c:pt>
                <c:pt idx="28">
                  <c:v>0</c:v>
                </c:pt>
                <c:pt idx="29">
                  <c:v>0</c:v>
                </c:pt>
                <c:pt idx="30">
                  <c:v>0</c:v>
                </c:pt>
              </c:numCache>
            </c:numRef>
          </c:val>
          <c:smooth val="1"/>
          <c:extLst>
            <c:ext xmlns:c16="http://schemas.microsoft.com/office/drawing/2014/chart" uri="{C3380CC4-5D6E-409C-BE32-E72D297353CC}">
              <c16:uniqueId val="{00000001-EFD1-4968-93D5-0ECB462752A0}"/>
            </c:ext>
          </c:extLst>
        </c:ser>
        <c:dLbls>
          <c:showLegendKey val="0"/>
          <c:showVal val="0"/>
          <c:showCatName val="0"/>
          <c:showSerName val="0"/>
          <c:showPercent val="0"/>
          <c:showBubbleSize val="0"/>
        </c:dLbls>
        <c:marker val="1"/>
        <c:smooth val="0"/>
        <c:axId val="1851983647"/>
        <c:axId val="1474135967"/>
      </c:lineChart>
      <c:catAx>
        <c:axId val="1851983647"/>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900" b="0" i="0" u="none" strike="noStrike" kern="1200" baseline="0">
                <a:solidFill>
                  <a:srgbClr val="BFCDE4"/>
                </a:solidFill>
                <a:latin typeface="+mn-lt"/>
                <a:ea typeface="+mn-ea"/>
                <a:cs typeface="+mn-cs"/>
              </a:defRPr>
            </a:pPr>
            <a:endParaRPr lang="it-IT"/>
          </a:p>
        </c:txPr>
        <c:crossAx val="1474135967"/>
        <c:crosses val="autoZero"/>
        <c:auto val="1"/>
        <c:lblAlgn val="ctr"/>
        <c:lblOffset val="100"/>
        <c:noMultiLvlLbl val="0"/>
      </c:catAx>
      <c:valAx>
        <c:axId val="1474135967"/>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rgbClr val="BFCDE4"/>
                </a:solidFill>
                <a:latin typeface="+mn-lt"/>
                <a:ea typeface="+mn-ea"/>
                <a:cs typeface="+mn-cs"/>
              </a:defRPr>
            </a:pPr>
            <a:endParaRPr lang="it-IT"/>
          </a:p>
        </c:txPr>
        <c:crossAx val="1851983647"/>
        <c:crosses val="autoZero"/>
        <c:crossBetween val="between"/>
      </c:valAx>
      <c:spPr>
        <a:noFill/>
      </c:spPr>
    </c:plotArea>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8.1584367009810449E-2"/>
          <c:y val="8.1584367009810449E-2"/>
          <c:w val="0.8654578869346149"/>
          <c:h val="0.8654578869346149"/>
        </c:manualLayout>
      </c:layout>
      <c:doughnutChart>
        <c:varyColors val="1"/>
        <c:ser>
          <c:idx val="0"/>
          <c:order val="0"/>
          <c:spPr>
            <a:ln>
              <a:noFill/>
            </a:ln>
          </c:spPr>
          <c:dPt>
            <c:idx val="0"/>
            <c:bubble3D val="0"/>
            <c:spPr>
              <a:gradFill flip="none" rotWithShape="1">
                <a:gsLst>
                  <a:gs pos="0">
                    <a:srgbClr val="55E7F9"/>
                  </a:gs>
                  <a:gs pos="88000">
                    <a:srgbClr val="0C68BE"/>
                  </a:gs>
                </a:gsLst>
                <a:path path="circle">
                  <a:fillToRect l="100000" t="100000"/>
                </a:path>
                <a:tileRect r="-100000" b="-100000"/>
              </a:gradFill>
              <a:ln w="19050">
                <a:noFill/>
              </a:ln>
              <a:effectLst/>
            </c:spPr>
            <c:extLst>
              <c:ext xmlns:c16="http://schemas.microsoft.com/office/drawing/2014/chart" uri="{C3380CC4-5D6E-409C-BE32-E72D297353CC}">
                <c16:uniqueId val="{00000001-F595-4ECB-A58E-9781ACBF93B6}"/>
              </c:ext>
            </c:extLst>
          </c:dPt>
          <c:dPt>
            <c:idx val="1"/>
            <c:bubble3D val="0"/>
            <c:spPr>
              <a:solidFill>
                <a:schemeClr val="bg1"/>
              </a:solidFill>
              <a:ln w="19050">
                <a:noFill/>
              </a:ln>
              <a:effectLst/>
            </c:spPr>
            <c:extLst>
              <c:ext xmlns:c16="http://schemas.microsoft.com/office/drawing/2014/chart" uri="{C3380CC4-5D6E-409C-BE32-E72D297353CC}">
                <c16:uniqueId val="{00000003-F595-4ECB-A58E-9781ACBF93B6}"/>
              </c:ext>
            </c:extLst>
          </c:dPt>
          <c:val>
            <c:numRef>
              <c:f>Processing!$J$60:$K$60</c:f>
              <c:numCache>
                <c:formatCode>0%</c:formatCode>
                <c:ptCount val="2"/>
                <c:pt idx="0">
                  <c:v>0.91034249999999994</c:v>
                </c:pt>
                <c:pt idx="1">
                  <c:v>8.9657500000000057E-2</c:v>
                </c:pt>
              </c:numCache>
            </c:numRef>
          </c:val>
          <c:extLst>
            <c:ext xmlns:c16="http://schemas.microsoft.com/office/drawing/2014/chart" uri="{C3380CC4-5D6E-409C-BE32-E72D297353CC}">
              <c16:uniqueId val="{00000004-F595-4ECB-A58E-9781ACBF93B6}"/>
            </c:ext>
          </c:extLst>
        </c:ser>
        <c:dLbls>
          <c:showLegendKey val="0"/>
          <c:showVal val="0"/>
          <c:showCatName val="0"/>
          <c:showSerName val="0"/>
          <c:showPercent val="0"/>
          <c:showBubbleSize val="0"/>
          <c:showLeaderLines val="1"/>
        </c:dLbls>
        <c:firstSliceAng val="0"/>
        <c:holeSize val="75"/>
      </c:doughnutChart>
      <c:doughnutChart>
        <c:varyColors val="1"/>
        <c:ser>
          <c:idx val="1"/>
          <c:order val="1"/>
          <c:spPr>
            <a:ln>
              <a:noFill/>
            </a:ln>
          </c:spPr>
          <c:dPt>
            <c:idx val="0"/>
            <c:bubble3D val="0"/>
            <c:spPr>
              <a:solidFill>
                <a:srgbClr val="FE2827"/>
              </a:solidFill>
              <a:ln w="19050">
                <a:noFill/>
              </a:ln>
              <a:effectLst/>
            </c:spPr>
            <c:extLst>
              <c:ext xmlns:c16="http://schemas.microsoft.com/office/drawing/2014/chart" uri="{C3380CC4-5D6E-409C-BE32-E72D297353CC}">
                <c16:uniqueId val="{00000006-F595-4ECB-A58E-9781ACBF93B6}"/>
              </c:ext>
            </c:extLst>
          </c:dPt>
          <c:dPt>
            <c:idx val="1"/>
            <c:bubble3D val="0"/>
            <c:spPr>
              <a:noFill/>
              <a:ln w="19050">
                <a:noFill/>
              </a:ln>
              <a:effectLst/>
            </c:spPr>
            <c:extLst>
              <c:ext xmlns:c16="http://schemas.microsoft.com/office/drawing/2014/chart" uri="{C3380CC4-5D6E-409C-BE32-E72D297353CC}">
                <c16:uniqueId val="{00000008-F595-4ECB-A58E-9781ACBF93B6}"/>
              </c:ext>
            </c:extLst>
          </c:dPt>
          <c:val>
            <c:numRef>
              <c:f>Processing!$J$61:$K$61</c:f>
              <c:numCache>
                <c:formatCode>0%</c:formatCode>
                <c:ptCount val="2"/>
                <c:pt idx="0">
                  <c:v>0</c:v>
                </c:pt>
                <c:pt idx="1">
                  <c:v>1</c:v>
                </c:pt>
              </c:numCache>
            </c:numRef>
          </c:val>
          <c:extLst>
            <c:ext xmlns:c16="http://schemas.microsoft.com/office/drawing/2014/chart" uri="{C3380CC4-5D6E-409C-BE32-E72D297353CC}">
              <c16:uniqueId val="{00000009-F595-4ECB-A58E-9781ACBF93B6}"/>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8954399998762678"/>
          <c:y val="2.2682686367417288E-2"/>
          <c:w val="0.62091200293511695"/>
          <c:h val="0.9892045614212569"/>
        </c:manualLayout>
      </c:layout>
      <c:doughnutChart>
        <c:varyColors val="1"/>
        <c:ser>
          <c:idx val="0"/>
          <c:order val="0"/>
          <c:tx>
            <c:strRef>
              <c:f>Processing!$S$2:$X$2</c:f>
              <c:strCache>
                <c:ptCount val="6"/>
                <c:pt idx="0">
                  <c:v>Entrate</c:v>
                </c:pt>
                <c:pt idx="1">
                  <c:v>Entrate Fisse</c:v>
                </c:pt>
                <c:pt idx="2">
                  <c:v>Altre Entrate</c:v>
                </c:pt>
                <c:pt idx="3">
                  <c:v>Uscite</c:v>
                </c:pt>
                <c:pt idx="4">
                  <c:v>Uscite Fisse</c:v>
                </c:pt>
                <c:pt idx="5">
                  <c:v>Altre Uscite</c:v>
                </c:pt>
              </c:strCache>
            </c:strRef>
          </c:tx>
          <c:spPr>
            <a:ln w="127000">
              <a:noFill/>
            </a:ln>
          </c:spPr>
          <c:dPt>
            <c:idx val="0"/>
            <c:bubble3D val="0"/>
            <c:spPr>
              <a:solidFill>
                <a:srgbClr val="FBF1BD"/>
              </a:solidFill>
              <a:ln w="127000">
                <a:noFill/>
              </a:ln>
              <a:effectLst/>
            </c:spPr>
            <c:extLst>
              <c:ext xmlns:c16="http://schemas.microsoft.com/office/drawing/2014/chart" uri="{C3380CC4-5D6E-409C-BE32-E72D297353CC}">
                <c16:uniqueId val="{00000001-F029-4D41-8AA6-079676C8A8B5}"/>
              </c:ext>
            </c:extLst>
          </c:dPt>
          <c:dPt>
            <c:idx val="1"/>
            <c:bubble3D val="0"/>
            <c:spPr>
              <a:solidFill>
                <a:schemeClr val="accent2"/>
              </a:solidFill>
              <a:ln w="127000">
                <a:noFill/>
              </a:ln>
              <a:effectLst/>
            </c:spPr>
            <c:extLst>
              <c:ext xmlns:c16="http://schemas.microsoft.com/office/drawing/2014/chart" uri="{C3380CC4-5D6E-409C-BE32-E72D297353CC}">
                <c16:uniqueId val="{00000003-F029-4D41-8AA6-079676C8A8B5}"/>
              </c:ext>
            </c:extLst>
          </c:dPt>
          <c:dPt>
            <c:idx val="2"/>
            <c:bubble3D val="0"/>
            <c:spPr>
              <a:noFill/>
              <a:ln w="127000">
                <a:noFill/>
              </a:ln>
              <a:effectLst/>
            </c:spPr>
            <c:extLst>
              <c:ext xmlns:c16="http://schemas.microsoft.com/office/drawing/2014/chart" uri="{C3380CC4-5D6E-409C-BE32-E72D297353CC}">
                <c16:uniqueId val="{00000005-F029-4D41-8AA6-079676C8A8B5}"/>
              </c:ext>
            </c:extLst>
          </c:dPt>
          <c:dPt>
            <c:idx val="3"/>
            <c:bubble3D val="0"/>
            <c:spPr>
              <a:solidFill>
                <a:srgbClr val="C3B4EF"/>
              </a:solidFill>
              <a:ln w="127000">
                <a:noFill/>
              </a:ln>
              <a:effectLst/>
            </c:spPr>
            <c:extLst>
              <c:ext xmlns:c16="http://schemas.microsoft.com/office/drawing/2014/chart" uri="{C3380CC4-5D6E-409C-BE32-E72D297353CC}">
                <c16:uniqueId val="{00000007-F029-4D41-8AA6-079676C8A8B5}"/>
              </c:ext>
            </c:extLst>
          </c:dPt>
          <c:dPt>
            <c:idx val="5"/>
            <c:bubble3D val="0"/>
            <c:spPr>
              <a:noFill/>
              <a:ln w="127000">
                <a:noFill/>
              </a:ln>
            </c:spPr>
            <c:extLst>
              <c:ext xmlns:c16="http://schemas.microsoft.com/office/drawing/2014/chart" uri="{C3380CC4-5D6E-409C-BE32-E72D297353CC}">
                <c16:uniqueId val="{00000009-F029-4D41-8AA6-079676C8A8B5}"/>
              </c:ext>
            </c:extLst>
          </c:dPt>
          <c:cat>
            <c:strRef>
              <c:f>Processing!$S$2:$X$2</c:f>
              <c:strCache>
                <c:ptCount val="6"/>
                <c:pt idx="0">
                  <c:v>Entrate</c:v>
                </c:pt>
                <c:pt idx="1">
                  <c:v>Entrate Fisse</c:v>
                </c:pt>
                <c:pt idx="2">
                  <c:v>Altre Entrate</c:v>
                </c:pt>
                <c:pt idx="3">
                  <c:v>Uscite</c:v>
                </c:pt>
                <c:pt idx="4">
                  <c:v>Uscite Fisse</c:v>
                </c:pt>
                <c:pt idx="5">
                  <c:v>Altre Uscite</c:v>
                </c:pt>
              </c:strCache>
            </c:strRef>
          </c:cat>
          <c:val>
            <c:numRef>
              <c:f>Processing!$S$3:$X$3</c:f>
              <c:numCache>
                <c:formatCode>0%</c:formatCode>
                <c:ptCount val="6"/>
                <c:pt idx="0">
                  <c:v>0</c:v>
                </c:pt>
                <c:pt idx="1">
                  <c:v>0.91771955866866417</c:v>
                </c:pt>
                <c:pt idx="2">
                  <c:v>0</c:v>
                </c:pt>
                <c:pt idx="3">
                  <c:v>3.2441386398937282E-2</c:v>
                </c:pt>
                <c:pt idx="4">
                  <c:v>4.9839054932398485E-2</c:v>
                </c:pt>
                <c:pt idx="5">
                  <c:v>0</c:v>
                </c:pt>
              </c:numCache>
            </c:numRef>
          </c:val>
          <c:extLst>
            <c:ext xmlns:c16="http://schemas.microsoft.com/office/drawing/2014/chart" uri="{C3380CC4-5D6E-409C-BE32-E72D297353CC}">
              <c16:uniqueId val="{0000000A-F029-4D41-8AA6-079676C8A8B5}"/>
            </c:ext>
          </c:extLst>
        </c:ser>
        <c:ser>
          <c:idx val="1"/>
          <c:order val="1"/>
          <c:tx>
            <c:strRef>
              <c:f>Processing!$S$2:$X$2</c:f>
              <c:strCache>
                <c:ptCount val="6"/>
                <c:pt idx="0">
                  <c:v>Entrate</c:v>
                </c:pt>
                <c:pt idx="1">
                  <c:v>Entrate Fisse</c:v>
                </c:pt>
                <c:pt idx="2">
                  <c:v>Altre Entrate</c:v>
                </c:pt>
                <c:pt idx="3">
                  <c:v>Uscite</c:v>
                </c:pt>
                <c:pt idx="4">
                  <c:v>Uscite Fisse</c:v>
                </c:pt>
                <c:pt idx="5">
                  <c:v>Altre Uscite</c:v>
                </c:pt>
              </c:strCache>
            </c:strRef>
          </c:tx>
          <c:spPr>
            <a:noFill/>
            <a:ln>
              <a:noFill/>
            </a:ln>
          </c:spPr>
          <c:dPt>
            <c:idx val="0"/>
            <c:bubble3D val="0"/>
            <c:spPr>
              <a:noFill/>
              <a:ln w="19050">
                <a:noFill/>
              </a:ln>
              <a:effectLst/>
            </c:spPr>
            <c:extLst>
              <c:ext xmlns:c16="http://schemas.microsoft.com/office/drawing/2014/chart" uri="{C3380CC4-5D6E-409C-BE32-E72D297353CC}">
                <c16:uniqueId val="{0000000C-F029-4D41-8AA6-079676C8A8B5}"/>
              </c:ext>
            </c:extLst>
          </c:dPt>
          <c:dPt>
            <c:idx val="1"/>
            <c:bubble3D val="0"/>
            <c:spPr>
              <a:noFill/>
              <a:ln w="19050">
                <a:noFill/>
              </a:ln>
              <a:effectLst/>
            </c:spPr>
            <c:extLst>
              <c:ext xmlns:c16="http://schemas.microsoft.com/office/drawing/2014/chart" uri="{C3380CC4-5D6E-409C-BE32-E72D297353CC}">
                <c16:uniqueId val="{0000000E-F029-4D41-8AA6-079676C8A8B5}"/>
              </c:ext>
            </c:extLst>
          </c:dPt>
          <c:dPt>
            <c:idx val="2"/>
            <c:bubble3D val="0"/>
            <c:spPr>
              <a:noFill/>
              <a:ln w="19050">
                <a:noFill/>
              </a:ln>
              <a:effectLst/>
            </c:spPr>
            <c:extLst>
              <c:ext xmlns:c16="http://schemas.microsoft.com/office/drawing/2014/chart" uri="{C3380CC4-5D6E-409C-BE32-E72D297353CC}">
                <c16:uniqueId val="{00000010-F029-4D41-8AA6-079676C8A8B5}"/>
              </c:ext>
            </c:extLst>
          </c:dPt>
          <c:dPt>
            <c:idx val="3"/>
            <c:bubble3D val="0"/>
            <c:spPr>
              <a:noFill/>
              <a:ln w="19050">
                <a:noFill/>
              </a:ln>
              <a:effectLst/>
            </c:spPr>
            <c:extLst>
              <c:ext xmlns:c16="http://schemas.microsoft.com/office/drawing/2014/chart" uri="{C3380CC4-5D6E-409C-BE32-E72D297353CC}">
                <c16:uniqueId val="{00000012-F029-4D41-8AA6-079676C8A8B5}"/>
              </c:ext>
            </c:extLst>
          </c:dPt>
          <c:cat>
            <c:strRef>
              <c:f>Processing!$S$2:$X$2</c:f>
              <c:strCache>
                <c:ptCount val="6"/>
                <c:pt idx="0">
                  <c:v>Entrate</c:v>
                </c:pt>
                <c:pt idx="1">
                  <c:v>Entrate Fisse</c:v>
                </c:pt>
                <c:pt idx="2">
                  <c:v>Altre Entrate</c:v>
                </c:pt>
                <c:pt idx="3">
                  <c:v>Uscite</c:v>
                </c:pt>
                <c:pt idx="4">
                  <c:v>Uscite Fisse</c:v>
                </c:pt>
                <c:pt idx="5">
                  <c:v>Altre Uscite</c:v>
                </c:pt>
              </c:strCache>
            </c:strRef>
          </c:cat>
          <c:val>
            <c:numRef>
              <c:f>Processing!$S$4:$X$4</c:f>
              <c:numCache>
                <c:formatCode>0%</c:formatCode>
                <c:ptCount val="6"/>
                <c:pt idx="0">
                  <c:v>0</c:v>
                </c:pt>
                <c:pt idx="1">
                  <c:v>0.91771955866866417</c:v>
                </c:pt>
                <c:pt idx="2">
                  <c:v>0</c:v>
                </c:pt>
                <c:pt idx="3">
                  <c:v>3.2441386398937282E-2</c:v>
                </c:pt>
                <c:pt idx="4">
                  <c:v>4.9839054932398485E-2</c:v>
                </c:pt>
                <c:pt idx="5">
                  <c:v>0</c:v>
                </c:pt>
              </c:numCache>
            </c:numRef>
          </c:val>
          <c:extLst>
            <c:ext xmlns:c16="http://schemas.microsoft.com/office/drawing/2014/chart" uri="{C3380CC4-5D6E-409C-BE32-E72D297353CC}">
              <c16:uniqueId val="{00000013-F029-4D41-8AA6-079676C8A8B5}"/>
            </c:ext>
          </c:extLst>
        </c:ser>
        <c:dLbls>
          <c:showLegendKey val="0"/>
          <c:showVal val="0"/>
          <c:showCatName val="0"/>
          <c:showSerName val="0"/>
          <c:showPercent val="0"/>
          <c:showBubbleSize val="0"/>
          <c:showLeaderLines val="1"/>
        </c:dLbls>
        <c:firstSliceAng val="0"/>
        <c:holeSize val="35"/>
      </c:doughnutChart>
      <c:doughnutChart>
        <c:varyColors val="1"/>
        <c:ser>
          <c:idx val="2"/>
          <c:order val="2"/>
          <c:tx>
            <c:strRef>
              <c:f>Processing!$S$2:$X$2</c:f>
              <c:strCache>
                <c:ptCount val="6"/>
                <c:pt idx="0">
                  <c:v>Entrate</c:v>
                </c:pt>
                <c:pt idx="1">
                  <c:v>Entrate Fisse</c:v>
                </c:pt>
                <c:pt idx="2">
                  <c:v>Altre Entrate</c:v>
                </c:pt>
                <c:pt idx="3">
                  <c:v>Uscite</c:v>
                </c:pt>
                <c:pt idx="4">
                  <c:v>Uscite Fisse</c:v>
                </c:pt>
                <c:pt idx="5">
                  <c:v>Altre Uscite</c:v>
                </c:pt>
              </c:strCache>
            </c:strRef>
          </c:tx>
          <c:spPr>
            <a:ln>
              <a:noFill/>
            </a:ln>
          </c:spPr>
          <c:dPt>
            <c:idx val="0"/>
            <c:bubble3D val="0"/>
            <c:spPr>
              <a:noFill/>
              <a:ln w="19050">
                <a:noFill/>
              </a:ln>
              <a:effectLst/>
            </c:spPr>
            <c:extLst>
              <c:ext xmlns:c16="http://schemas.microsoft.com/office/drawing/2014/chart" uri="{C3380CC4-5D6E-409C-BE32-E72D297353CC}">
                <c16:uniqueId val="{00000015-F029-4D41-8AA6-079676C8A8B5}"/>
              </c:ext>
            </c:extLst>
          </c:dPt>
          <c:dPt>
            <c:idx val="1"/>
            <c:bubble3D val="0"/>
            <c:spPr>
              <a:gradFill>
                <a:gsLst>
                  <a:gs pos="7000">
                    <a:srgbClr val="F28F33"/>
                  </a:gs>
                  <a:gs pos="72000">
                    <a:srgbClr val="FE2827"/>
                  </a:gs>
                </a:gsLst>
                <a:lin ang="5400000" scaled="1"/>
              </a:gradFill>
              <a:ln w="19050">
                <a:noFill/>
              </a:ln>
              <a:effectLst/>
            </c:spPr>
            <c:extLst>
              <c:ext xmlns:c16="http://schemas.microsoft.com/office/drawing/2014/chart" uri="{C3380CC4-5D6E-409C-BE32-E72D297353CC}">
                <c16:uniqueId val="{00000017-F029-4D41-8AA6-079676C8A8B5}"/>
              </c:ext>
            </c:extLst>
          </c:dPt>
          <c:dPt>
            <c:idx val="2"/>
            <c:bubble3D val="0"/>
            <c:spPr>
              <a:noFill/>
              <a:ln w="19050">
                <a:noFill/>
              </a:ln>
              <a:effectLst/>
            </c:spPr>
            <c:extLst>
              <c:ext xmlns:c16="http://schemas.microsoft.com/office/drawing/2014/chart" uri="{C3380CC4-5D6E-409C-BE32-E72D297353CC}">
                <c16:uniqueId val="{00000019-F029-4D41-8AA6-079676C8A8B5}"/>
              </c:ext>
            </c:extLst>
          </c:dPt>
          <c:dPt>
            <c:idx val="3"/>
            <c:bubble3D val="0"/>
            <c:spPr>
              <a:noFill/>
              <a:ln w="19050">
                <a:noFill/>
              </a:ln>
              <a:effectLst/>
            </c:spPr>
            <c:extLst>
              <c:ext xmlns:c16="http://schemas.microsoft.com/office/drawing/2014/chart" uri="{C3380CC4-5D6E-409C-BE32-E72D297353CC}">
                <c16:uniqueId val="{0000001B-F029-4D41-8AA6-079676C8A8B5}"/>
              </c:ext>
            </c:extLst>
          </c:dPt>
          <c:dPt>
            <c:idx val="4"/>
            <c:bubble3D val="0"/>
            <c:spPr>
              <a:gradFill flip="none" rotWithShape="1">
                <a:gsLst>
                  <a:gs pos="43000">
                    <a:srgbClr val="8701D9"/>
                  </a:gs>
                  <a:gs pos="100000">
                    <a:srgbClr val="AD27FE"/>
                  </a:gs>
                </a:gsLst>
                <a:path path="circle">
                  <a:fillToRect t="100000" r="100000"/>
                </a:path>
                <a:tileRect l="-100000" b="-100000"/>
              </a:gradFill>
              <a:ln>
                <a:noFill/>
              </a:ln>
            </c:spPr>
            <c:extLst>
              <c:ext xmlns:c16="http://schemas.microsoft.com/office/drawing/2014/chart" uri="{C3380CC4-5D6E-409C-BE32-E72D297353CC}">
                <c16:uniqueId val="{0000001D-F029-4D41-8AA6-079676C8A8B5}"/>
              </c:ext>
            </c:extLst>
          </c:dPt>
          <c:dPt>
            <c:idx val="5"/>
            <c:bubble3D val="0"/>
            <c:spPr>
              <a:noFill/>
              <a:ln>
                <a:noFill/>
              </a:ln>
            </c:spPr>
            <c:extLst>
              <c:ext xmlns:c16="http://schemas.microsoft.com/office/drawing/2014/chart" uri="{C3380CC4-5D6E-409C-BE32-E72D297353CC}">
                <c16:uniqueId val="{0000001F-F029-4D41-8AA6-079676C8A8B5}"/>
              </c:ext>
            </c:extLst>
          </c:dPt>
          <c:dLbls>
            <c:dLbl>
              <c:idx val="2"/>
              <c:layout>
                <c:manualLayout>
                  <c:x val="-3.6959431930621033E-2"/>
                  <c:y val="-5.800464465716732E-17"/>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9-F029-4D41-8AA6-079676C8A8B5}"/>
                </c:ext>
              </c:extLst>
            </c:dLbl>
            <c:dLbl>
              <c:idx val="3"/>
              <c:layout>
                <c:manualLayout>
                  <c:x val="2.9567545544496827E-2"/>
                  <c:y val="4.7458893871449866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B-F029-4D41-8AA6-079676C8A8B5}"/>
                </c:ext>
              </c:extLst>
            </c:dLbl>
            <c:dLbl>
              <c:idx val="5"/>
              <c:layout>
                <c:manualLayout>
                  <c:x val="3.5220125786163431E-2"/>
                  <c:y val="-5.2626829277276611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F-F029-4D41-8AA6-079676C8A8B5}"/>
                </c:ext>
              </c:extLst>
            </c:dLbl>
            <c:spPr>
              <a:solidFill>
                <a:srgbClr val="A5A5A5">
                  <a:alpha val="20000"/>
                </a:srgbClr>
              </a:solidFill>
              <a:ln>
                <a:solidFill>
                  <a:sysClr val="windowText" lastClr="000000">
                    <a:lumMod val="65000"/>
                    <a:lumOff val="35000"/>
                  </a:sysClr>
                </a:solidFill>
              </a:ln>
              <a:effectLst>
                <a:outerShdw blurRad="50800" dist="38100" dir="5400000" algn="t" rotWithShape="0">
                  <a:prstClr val="black">
                    <a:alpha val="40000"/>
                  </a:prstClr>
                </a:outerShdw>
              </a:effectLst>
            </c:spPr>
            <c:txPr>
              <a:bodyPr vertOverflow="overflow" horzOverflow="overflow" wrap="none">
                <a:spAutoFit/>
              </a:bodyPr>
              <a:lstStyle/>
              <a:p>
                <a:pPr>
                  <a:defRPr sz="1000">
                    <a:solidFill>
                      <a:schemeClr val="bg1"/>
                    </a:solidFill>
                  </a:defRPr>
                </a:pPr>
                <a:endParaRPr lang="it-IT"/>
              </a:p>
            </c:txPr>
            <c:showLegendKey val="0"/>
            <c:showVal val="1"/>
            <c:showCatName val="1"/>
            <c:showSerName val="0"/>
            <c:showPercent val="0"/>
            <c:showBubbleSize val="0"/>
            <c:separator>
</c:separator>
            <c:showLeaderLines val="1"/>
            <c:extLst>
              <c:ext xmlns:c15="http://schemas.microsoft.com/office/drawing/2012/chart" uri="{CE6537A1-D6FC-4f65-9D91-7224C49458BB}">
                <c15:spPr xmlns:c15="http://schemas.microsoft.com/office/drawing/2012/chart">
                  <a:prstGeom prst="roundRect">
                    <a:avLst/>
                  </a:prstGeom>
                </c15:spPr>
              </c:ext>
            </c:extLst>
          </c:dLbls>
          <c:cat>
            <c:strRef>
              <c:f>Processing!$S$2:$X$2</c:f>
              <c:strCache>
                <c:ptCount val="6"/>
                <c:pt idx="0">
                  <c:v>Entrate</c:v>
                </c:pt>
                <c:pt idx="1">
                  <c:v>Entrate Fisse</c:v>
                </c:pt>
                <c:pt idx="2">
                  <c:v>Altre Entrate</c:v>
                </c:pt>
                <c:pt idx="3">
                  <c:v>Uscite</c:v>
                </c:pt>
                <c:pt idx="4">
                  <c:v>Uscite Fisse</c:v>
                </c:pt>
                <c:pt idx="5">
                  <c:v>Altre Uscite</c:v>
                </c:pt>
              </c:strCache>
            </c:strRef>
          </c:cat>
          <c:val>
            <c:numRef>
              <c:f>Processing!$S$5:$X$5</c:f>
              <c:numCache>
                <c:formatCode>0%</c:formatCode>
                <c:ptCount val="6"/>
                <c:pt idx="0">
                  <c:v>0</c:v>
                </c:pt>
                <c:pt idx="1">
                  <c:v>0.91771955866866417</c:v>
                </c:pt>
                <c:pt idx="2">
                  <c:v>0</c:v>
                </c:pt>
                <c:pt idx="3">
                  <c:v>3.2441386398937282E-2</c:v>
                </c:pt>
                <c:pt idx="4">
                  <c:v>4.9839054932398485E-2</c:v>
                </c:pt>
                <c:pt idx="5">
                  <c:v>0</c:v>
                </c:pt>
              </c:numCache>
            </c:numRef>
          </c:val>
          <c:extLst>
            <c:ext xmlns:c16="http://schemas.microsoft.com/office/drawing/2014/chart" uri="{C3380CC4-5D6E-409C-BE32-E72D297353CC}">
              <c16:uniqueId val="{00000020-F029-4D41-8AA6-079676C8A8B5}"/>
            </c:ext>
          </c:extLst>
        </c:ser>
        <c:dLbls>
          <c:showLegendKey val="0"/>
          <c:showVal val="0"/>
          <c:showCatName val="0"/>
          <c:showSerName val="0"/>
          <c:showPercent val="0"/>
          <c:showBubbleSize val="0"/>
          <c:showLeaderLines val="1"/>
        </c:dLbls>
        <c:firstSliceAng val="0"/>
        <c:holeSize val="28"/>
      </c:doughnutChart>
    </c:plotArea>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7.5169524117968539E-2"/>
          <c:y val="4.7718722659667541E-2"/>
          <c:w val="0.89698128993515913"/>
          <c:h val="0.84256415864683576"/>
        </c:manualLayout>
      </c:layout>
      <c:barChart>
        <c:barDir val="col"/>
        <c:grouping val="clustered"/>
        <c:varyColors val="0"/>
        <c:ser>
          <c:idx val="0"/>
          <c:order val="0"/>
          <c:spPr>
            <a:solidFill>
              <a:srgbClr val="3A3F50"/>
            </a:solidFill>
          </c:spPr>
          <c:invertIfNegative val="0"/>
          <c:cat>
            <c:numRef>
              <c:f>Processing!$I$27:$I$57</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Processing!$AN$27:$AN$57</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1000</c:v>
                </c:pt>
                <c:pt idx="14">
                  <c:v>0</c:v>
                </c:pt>
                <c:pt idx="15">
                  <c:v>0</c:v>
                </c:pt>
                <c:pt idx="16">
                  <c:v>0</c:v>
                </c:pt>
                <c:pt idx="17">
                  <c:v>0</c:v>
                </c:pt>
                <c:pt idx="18">
                  <c:v>0</c:v>
                </c:pt>
                <c:pt idx="19">
                  <c:v>0</c:v>
                </c:pt>
                <c:pt idx="20">
                  <c:v>0</c:v>
                </c:pt>
                <c:pt idx="21">
                  <c:v>0</c:v>
                </c:pt>
                <c:pt idx="22">
                  <c:v>3000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85F4-AD4F-B958-2ECD5B813522}"/>
            </c:ext>
          </c:extLst>
        </c:ser>
        <c:ser>
          <c:idx val="1"/>
          <c:order val="1"/>
          <c:spPr>
            <a:gradFill>
              <a:gsLst>
                <a:gs pos="75000">
                  <a:srgbClr val="F28F33"/>
                </a:gs>
                <a:gs pos="3000">
                  <a:srgbClr val="FE2827"/>
                </a:gs>
              </a:gsLst>
              <a:lin ang="5400000" scaled="1"/>
            </a:gradFill>
          </c:spPr>
          <c:invertIfNegative val="0"/>
          <c:cat>
            <c:numRef>
              <c:f>Processing!$I$27:$I$57</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Processing!$AL$27:$AL$57</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1000</c:v>
                </c:pt>
                <c:pt idx="14">
                  <c:v>0</c:v>
                </c:pt>
                <c:pt idx="15">
                  <c:v>0</c:v>
                </c:pt>
                <c:pt idx="16">
                  <c:v>0</c:v>
                </c:pt>
                <c:pt idx="17">
                  <c:v>0</c:v>
                </c:pt>
                <c:pt idx="18">
                  <c:v>0</c:v>
                </c:pt>
                <c:pt idx="19">
                  <c:v>0</c:v>
                </c:pt>
                <c:pt idx="20">
                  <c:v>0</c:v>
                </c:pt>
                <c:pt idx="21">
                  <c:v>0</c:v>
                </c:pt>
                <c:pt idx="22">
                  <c:v>3000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85F4-AD4F-B958-2ECD5B813522}"/>
            </c:ext>
          </c:extLst>
        </c:ser>
        <c:ser>
          <c:idx val="2"/>
          <c:order val="2"/>
          <c:spPr>
            <a:gradFill>
              <a:gsLst>
                <a:gs pos="0">
                  <a:srgbClr val="C4FEF9"/>
                </a:gs>
                <a:gs pos="100000">
                  <a:srgbClr val="00FFFF"/>
                </a:gs>
              </a:gsLst>
              <a:lin ang="5400000" scaled="1"/>
            </a:gradFill>
          </c:spPr>
          <c:invertIfNegative val="0"/>
          <c:cat>
            <c:numRef>
              <c:f>Processing!$I$27:$I$57</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Processing!$AM$27:$AM$57</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85F4-AD4F-B958-2ECD5B813522}"/>
            </c:ext>
          </c:extLst>
        </c:ser>
        <c:dLbls>
          <c:showLegendKey val="0"/>
          <c:showVal val="0"/>
          <c:showCatName val="0"/>
          <c:showSerName val="0"/>
          <c:showPercent val="0"/>
          <c:showBubbleSize val="0"/>
        </c:dLbls>
        <c:gapWidth val="150"/>
        <c:overlap val="100"/>
        <c:axId val="1851983647"/>
        <c:axId val="1474135967"/>
      </c:barChart>
      <c:catAx>
        <c:axId val="1851983647"/>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900" b="0" i="0" u="none" strike="noStrike" kern="1200" baseline="0">
                <a:solidFill>
                  <a:srgbClr val="BFCDE4"/>
                </a:solidFill>
                <a:latin typeface="+mn-lt"/>
                <a:ea typeface="+mn-ea"/>
                <a:cs typeface="+mn-cs"/>
              </a:defRPr>
            </a:pPr>
            <a:endParaRPr lang="it-IT"/>
          </a:p>
        </c:txPr>
        <c:crossAx val="1474135967"/>
        <c:crosses val="autoZero"/>
        <c:auto val="1"/>
        <c:lblAlgn val="ctr"/>
        <c:lblOffset val="100"/>
        <c:noMultiLvlLbl val="0"/>
      </c:catAx>
      <c:valAx>
        <c:axId val="1474135967"/>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rgbClr val="BFCDE4"/>
                </a:solidFill>
                <a:latin typeface="+mn-lt"/>
                <a:ea typeface="+mn-ea"/>
                <a:cs typeface="+mn-cs"/>
              </a:defRPr>
            </a:pPr>
            <a:endParaRPr lang="it-IT"/>
          </a:p>
        </c:txPr>
        <c:crossAx val="1851983647"/>
        <c:crosses val="autoZero"/>
        <c:crossBetween val="between"/>
      </c:valAx>
      <c:spPr>
        <a:noFill/>
      </c:spPr>
    </c:plotArea>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a:t>Ratio Income</a:t>
            </a:r>
          </a:p>
        </c:rich>
      </c:tx>
      <c:layout>
        <c:manualLayout>
          <c:xMode val="edge"/>
          <c:yMode val="edge"/>
          <c:x val="0.24013005207369617"/>
          <c:y val="7.50551648074015E-2"/>
        </c:manualLayout>
      </c:layout>
      <c:overlay val="0"/>
      <c:spPr>
        <a:noFill/>
        <a:ln>
          <a:noFill/>
        </a:ln>
        <a:effectLst/>
      </c:spPr>
    </c:title>
    <c:autoTitleDeleted val="0"/>
    <c:plotArea>
      <c:layout/>
      <c:doughnutChart>
        <c:varyColors val="1"/>
        <c:ser>
          <c:idx val="0"/>
          <c:order val="0"/>
          <c:spPr>
            <a:gradFill>
              <a:gsLst>
                <a:gs pos="77000">
                  <a:srgbClr val="B871FF"/>
                </a:gs>
                <a:gs pos="32000">
                  <a:srgbClr val="C7D5ED"/>
                </a:gs>
              </a:gsLst>
              <a:lin ang="2700000" scaled="1"/>
            </a:gradFill>
            <a:ln>
              <a:noFill/>
            </a:ln>
          </c:spPr>
          <c:dPt>
            <c:idx val="0"/>
            <c:bubble3D val="0"/>
            <c:spPr>
              <a:gradFill>
                <a:gsLst>
                  <a:gs pos="77000">
                    <a:srgbClr val="FE2827"/>
                  </a:gs>
                  <a:gs pos="32000">
                    <a:srgbClr val="F28F33"/>
                  </a:gs>
                </a:gsLst>
                <a:lin ang="2700000" scaled="1"/>
              </a:gradFill>
              <a:ln w="19050">
                <a:noFill/>
              </a:ln>
              <a:effectLst/>
            </c:spPr>
            <c:extLst>
              <c:ext xmlns:c16="http://schemas.microsoft.com/office/drawing/2014/chart" uri="{C3380CC4-5D6E-409C-BE32-E72D297353CC}">
                <c16:uniqueId val="{00000007-0F74-40E9-BF74-3E9C87C78BD5}"/>
              </c:ext>
            </c:extLst>
          </c:dPt>
          <c:dPt>
            <c:idx val="1"/>
            <c:bubble3D val="0"/>
            <c:spPr>
              <a:gradFill flip="none" rotWithShape="1">
                <a:gsLst>
                  <a:gs pos="98000">
                    <a:srgbClr val="00FFFF"/>
                  </a:gs>
                  <a:gs pos="0">
                    <a:srgbClr val="C4FEF9"/>
                  </a:gs>
                </a:gsLst>
                <a:lin ang="13500000" scaled="1"/>
                <a:tileRect/>
              </a:gradFill>
              <a:ln w="19050">
                <a:noFill/>
              </a:ln>
              <a:effectLst/>
            </c:spPr>
            <c:extLst>
              <c:ext xmlns:c16="http://schemas.microsoft.com/office/drawing/2014/chart" uri="{C3380CC4-5D6E-409C-BE32-E72D297353CC}">
                <c16:uniqueId val="{00000009-0F74-40E9-BF74-3E9C87C78BD5}"/>
              </c:ext>
            </c:extLst>
          </c:dPt>
          <c:dLbls>
            <c:dLbl>
              <c:idx val="0"/>
              <c:delete val="1"/>
              <c:extLst>
                <c:ext xmlns:c15="http://schemas.microsoft.com/office/drawing/2012/chart" uri="{CE6537A1-D6FC-4f65-9D91-7224C49458BB}"/>
                <c:ext xmlns:c16="http://schemas.microsoft.com/office/drawing/2014/chart" uri="{C3380CC4-5D6E-409C-BE32-E72D297353CC}">
                  <c16:uniqueId val="{00000007-0F74-40E9-BF74-3E9C87C78BD5}"/>
                </c:ext>
              </c:extLst>
            </c:dLbl>
            <c:dLbl>
              <c:idx val="1"/>
              <c:layout>
                <c:manualLayout>
                  <c:x val="-0.167851761782665"/>
                  <c:y val="-7.2387254713365032E-2"/>
                </c:manualLayout>
              </c:layout>
              <c:spPr>
                <a:noFill/>
                <a:ln>
                  <a:solidFill>
                    <a:schemeClr val="bg1">
                      <a:alpha val="33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it-IT"/>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prstGeom>
                  </c15:spPr>
                </c:ext>
                <c:ext xmlns:c16="http://schemas.microsoft.com/office/drawing/2014/chart" uri="{C3380CC4-5D6E-409C-BE32-E72D297353CC}">
                  <c16:uniqueId val="{00000009-0F74-40E9-BF74-3E9C87C78BD5}"/>
                </c:ext>
              </c:extLst>
            </c:dLbl>
            <c:spPr>
              <a:noFill/>
              <a:ln>
                <a:solidFill>
                  <a:schemeClr val="bg1">
                    <a:alpha val="33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it-I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Processing!$E$46:$F$46</c:f>
              <c:numCache>
                <c:formatCode>0%</c:formatCode>
                <c:ptCount val="2"/>
                <c:pt idx="0">
                  <c:v>0</c:v>
                </c:pt>
                <c:pt idx="1">
                  <c:v>1</c:v>
                </c:pt>
              </c:numCache>
            </c:numRef>
          </c:val>
          <c:extLst>
            <c:ext xmlns:c16="http://schemas.microsoft.com/office/drawing/2014/chart" uri="{C3380CC4-5D6E-409C-BE32-E72D297353CC}">
              <c16:uniqueId val="{0000000A-0F74-40E9-BF74-3E9C87C78BD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stacked"/>
        <c:varyColors val="0"/>
        <c:ser>
          <c:idx val="0"/>
          <c:order val="0"/>
          <c:tx>
            <c:strRef>
              <c:f>Processing!$C$40</c:f>
              <c:strCache>
                <c:ptCount val="1"/>
                <c:pt idx="0">
                  <c:v>Business</c:v>
                </c:pt>
              </c:strCache>
            </c:strRef>
          </c:tx>
          <c:spPr>
            <a:solidFill>
              <a:srgbClr val="9E7CF9"/>
            </a:solidFill>
            <a:ln>
              <a:noFill/>
            </a:ln>
            <a:effectLst/>
          </c:spPr>
          <c:invertIfNegative val="0"/>
          <c:cat>
            <c:strRef>
              <c:f>Processing!$B$41:$B$42</c:f>
              <c:strCache>
                <c:ptCount val="2"/>
                <c:pt idx="0">
                  <c:v>Entrate Fisse</c:v>
                </c:pt>
                <c:pt idx="1">
                  <c:v>Entrate</c:v>
                </c:pt>
              </c:strCache>
            </c:strRef>
          </c:cat>
          <c:val>
            <c:numRef>
              <c:f>Processing!$C$41:$C$42</c:f>
              <c:numCache>
                <c:formatCode>_-[$€-2]\ * #,##0_-;\-[$€-2]\ * #,##0_-;_-[$€-2]\ * "-"_-;_-@_-</c:formatCode>
                <c:ptCount val="2"/>
                <c:pt idx="0">
                  <c:v>0</c:v>
                </c:pt>
                <c:pt idx="1">
                  <c:v>0</c:v>
                </c:pt>
              </c:numCache>
            </c:numRef>
          </c:val>
          <c:extLst>
            <c:ext xmlns:c16="http://schemas.microsoft.com/office/drawing/2014/chart" uri="{C3380CC4-5D6E-409C-BE32-E72D297353CC}">
              <c16:uniqueId val="{00000000-0282-3243-B312-DF4C81A50201}"/>
            </c:ext>
          </c:extLst>
        </c:ser>
        <c:ser>
          <c:idx val="3"/>
          <c:order val="1"/>
          <c:tx>
            <c:strRef>
              <c:f>Processing!$D$40</c:f>
              <c:strCache>
                <c:ptCount val="1"/>
                <c:pt idx="0">
                  <c:v>Securities</c:v>
                </c:pt>
              </c:strCache>
            </c:strRef>
          </c:tx>
          <c:spPr>
            <a:solidFill>
              <a:srgbClr val="E57CF8"/>
            </a:solidFill>
            <a:ln>
              <a:noFill/>
            </a:ln>
            <a:effectLst/>
          </c:spPr>
          <c:invertIfNegative val="0"/>
          <c:cat>
            <c:strRef>
              <c:f>Processing!$B$41:$B$42</c:f>
              <c:strCache>
                <c:ptCount val="2"/>
                <c:pt idx="0">
                  <c:v>Entrate Fisse</c:v>
                </c:pt>
                <c:pt idx="1">
                  <c:v>Entrate</c:v>
                </c:pt>
              </c:strCache>
            </c:strRef>
          </c:cat>
          <c:val>
            <c:numRef>
              <c:f>Processing!$D$41:$D$42</c:f>
              <c:numCache>
                <c:formatCode>_-[$€-2]\ * #,##0_-;\-[$€-2]\ * #,##0_-;_-[$€-2]\ * "-"_-;_-@_-</c:formatCode>
                <c:ptCount val="2"/>
                <c:pt idx="0">
                  <c:v>0</c:v>
                </c:pt>
                <c:pt idx="1">
                  <c:v>0</c:v>
                </c:pt>
              </c:numCache>
            </c:numRef>
          </c:val>
          <c:extLst>
            <c:ext xmlns:c16="http://schemas.microsoft.com/office/drawing/2014/chart" uri="{C3380CC4-5D6E-409C-BE32-E72D297353CC}">
              <c16:uniqueId val="{00000001-0282-3243-B312-DF4C81A50201}"/>
            </c:ext>
          </c:extLst>
        </c:ser>
        <c:ser>
          <c:idx val="2"/>
          <c:order val="2"/>
          <c:tx>
            <c:strRef>
              <c:f>Processing!$E$40</c:f>
              <c:strCache>
                <c:ptCount val="1"/>
                <c:pt idx="0">
                  <c:v>Gold</c:v>
                </c:pt>
              </c:strCache>
            </c:strRef>
          </c:tx>
          <c:spPr>
            <a:solidFill>
              <a:srgbClr val="FBF2BE"/>
            </a:solidFill>
            <a:ln>
              <a:noFill/>
            </a:ln>
            <a:effectLst/>
          </c:spPr>
          <c:invertIfNegative val="0"/>
          <c:cat>
            <c:strRef>
              <c:f>Processing!$B$41:$B$42</c:f>
              <c:strCache>
                <c:ptCount val="2"/>
                <c:pt idx="0">
                  <c:v>Entrate Fisse</c:v>
                </c:pt>
                <c:pt idx="1">
                  <c:v>Entrate</c:v>
                </c:pt>
              </c:strCache>
            </c:strRef>
          </c:cat>
          <c:val>
            <c:numRef>
              <c:f>Processing!$E$41:$E$42</c:f>
              <c:numCache>
                <c:formatCode>_-[$€-2]\ * #,##0_-;\-[$€-2]\ * #,##0_-;_-[$€-2]\ * "-"_-;_-@_-</c:formatCode>
                <c:ptCount val="2"/>
                <c:pt idx="0">
                  <c:v>0</c:v>
                </c:pt>
                <c:pt idx="1">
                  <c:v>0</c:v>
                </c:pt>
              </c:numCache>
            </c:numRef>
          </c:val>
          <c:extLst>
            <c:ext xmlns:c16="http://schemas.microsoft.com/office/drawing/2014/chart" uri="{C3380CC4-5D6E-409C-BE32-E72D297353CC}">
              <c16:uniqueId val="{00000002-0282-3243-B312-DF4C81A50201}"/>
            </c:ext>
          </c:extLst>
        </c:ser>
        <c:ser>
          <c:idx val="1"/>
          <c:order val="3"/>
          <c:tx>
            <c:strRef>
              <c:f>Processing!$F$40</c:f>
              <c:strCache>
                <c:ptCount val="1"/>
                <c:pt idx="0">
                  <c:v>Real Estate</c:v>
                </c:pt>
              </c:strCache>
            </c:strRef>
          </c:tx>
          <c:spPr>
            <a:solidFill>
              <a:srgbClr val="BFCDE4"/>
            </a:solidFill>
            <a:ln>
              <a:noFill/>
            </a:ln>
            <a:effectLst/>
          </c:spPr>
          <c:invertIfNegative val="0"/>
          <c:cat>
            <c:strRef>
              <c:f>Processing!$B$41:$B$42</c:f>
              <c:strCache>
                <c:ptCount val="2"/>
                <c:pt idx="0">
                  <c:v>Entrate Fisse</c:v>
                </c:pt>
                <c:pt idx="1">
                  <c:v>Entrate</c:v>
                </c:pt>
              </c:strCache>
            </c:strRef>
          </c:cat>
          <c:val>
            <c:numRef>
              <c:f>Processing!$F$41:$F$42</c:f>
              <c:numCache>
                <c:formatCode>_-[$€-2]\ * #,##0_-;\-[$€-2]\ * #,##0_-;_-[$€-2]\ * "-"_-;_-@_-</c:formatCode>
                <c:ptCount val="2"/>
                <c:pt idx="0">
                  <c:v>0</c:v>
                </c:pt>
                <c:pt idx="1">
                  <c:v>0</c:v>
                </c:pt>
              </c:numCache>
            </c:numRef>
          </c:val>
          <c:extLst>
            <c:ext xmlns:c16="http://schemas.microsoft.com/office/drawing/2014/chart" uri="{C3380CC4-5D6E-409C-BE32-E72D297353CC}">
              <c16:uniqueId val="{00000003-0282-3243-B312-DF4C81A50201}"/>
            </c:ext>
          </c:extLst>
        </c:ser>
        <c:ser>
          <c:idx val="4"/>
          <c:order val="4"/>
          <c:tx>
            <c:strRef>
              <c:f>Processing!$G$40</c:f>
              <c:strCache>
                <c:ptCount val="1"/>
                <c:pt idx="0">
                  <c:v>Cryptocurrency</c:v>
                </c:pt>
              </c:strCache>
            </c:strRef>
          </c:tx>
          <c:spPr>
            <a:solidFill>
              <a:srgbClr val="F7562B"/>
            </a:solidFill>
            <a:ln>
              <a:noFill/>
            </a:ln>
            <a:effectLst/>
          </c:spPr>
          <c:invertIfNegative val="0"/>
          <c:cat>
            <c:strRef>
              <c:f>Processing!$B$41:$B$42</c:f>
              <c:strCache>
                <c:ptCount val="2"/>
                <c:pt idx="0">
                  <c:v>Entrate Fisse</c:v>
                </c:pt>
                <c:pt idx="1">
                  <c:v>Entrate</c:v>
                </c:pt>
              </c:strCache>
            </c:strRef>
          </c:cat>
          <c:val>
            <c:numRef>
              <c:f>Processing!$G$41:$G$42</c:f>
              <c:numCache>
                <c:formatCode>_-[$€-2]\ * #,##0_-;\-[$€-2]\ * #,##0_-;_-[$€-2]\ * "-"_-;_-@_-</c:formatCode>
                <c:ptCount val="2"/>
                <c:pt idx="0">
                  <c:v>0</c:v>
                </c:pt>
                <c:pt idx="1">
                  <c:v>0</c:v>
                </c:pt>
              </c:numCache>
            </c:numRef>
          </c:val>
          <c:extLst>
            <c:ext xmlns:c16="http://schemas.microsoft.com/office/drawing/2014/chart" uri="{C3380CC4-5D6E-409C-BE32-E72D297353CC}">
              <c16:uniqueId val="{00000004-0282-3243-B312-DF4C81A50201}"/>
            </c:ext>
          </c:extLst>
        </c:ser>
        <c:dLbls>
          <c:showLegendKey val="0"/>
          <c:showVal val="0"/>
          <c:showCatName val="0"/>
          <c:showSerName val="0"/>
          <c:showPercent val="0"/>
          <c:showBubbleSize val="0"/>
        </c:dLbls>
        <c:gapWidth val="150"/>
        <c:overlap val="100"/>
        <c:axId val="1064797391"/>
        <c:axId val="1064797871"/>
      </c:barChart>
      <c:catAx>
        <c:axId val="1064797391"/>
        <c:scaling>
          <c:orientation val="minMax"/>
        </c:scaling>
        <c:delete val="0"/>
        <c:axPos val="b"/>
        <c:numFmt formatCode="General" sourceLinked="1"/>
        <c:majorTickMark val="none"/>
        <c:minorTickMark val="none"/>
        <c:tickLblPos val="nextTo"/>
        <c:spPr>
          <a:noFill/>
          <a:ln w="9525" cap="flat" cmpd="sng" algn="ctr">
            <a:solidFill>
              <a:schemeClr val="tx1">
                <a:lumMod val="65000"/>
                <a:lumOff val="3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it-IT"/>
          </a:p>
        </c:txPr>
        <c:crossAx val="1064797871"/>
        <c:crosses val="autoZero"/>
        <c:auto val="1"/>
        <c:lblAlgn val="ctr"/>
        <c:lblOffset val="100"/>
        <c:noMultiLvlLbl val="0"/>
      </c:catAx>
      <c:valAx>
        <c:axId val="1064797871"/>
        <c:scaling>
          <c:orientation val="minMax"/>
        </c:scaling>
        <c:delete val="0"/>
        <c:axPos val="l"/>
        <c:majorGridlines>
          <c:spPr>
            <a:ln w="9525" cap="flat" cmpd="sng" algn="ctr">
              <a:solidFill>
                <a:schemeClr val="tx1">
                  <a:lumMod val="75000"/>
                  <a:lumOff val="25000"/>
                </a:schemeClr>
              </a:solidFill>
              <a:round/>
            </a:ln>
            <a:effectLst/>
          </c:spPr>
        </c:majorGridlines>
        <c:numFmt formatCode="_-[$€-2]\ * #,##0_-;\-[$€-2]\ * #,##0_-;_-[$€-2]\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BFCDE4"/>
                </a:solidFill>
                <a:latin typeface="+mn-lt"/>
                <a:ea typeface="+mn-ea"/>
                <a:cs typeface="+mn-cs"/>
              </a:defRPr>
            </a:pPr>
            <a:endParaRPr lang="it-IT"/>
          </a:p>
        </c:txPr>
        <c:crossAx val="1064797391"/>
        <c:crosses val="autoZero"/>
        <c:crossBetween val="between"/>
      </c:valAx>
      <c:spPr>
        <a:noFill/>
        <a:ln>
          <a:noFill/>
        </a:ln>
        <a:effectLst/>
      </c:spPr>
    </c:plotArea>
    <c:legend>
      <c:legendPos val="b"/>
      <c:layout>
        <c:manualLayout>
          <c:xMode val="edge"/>
          <c:yMode val="edge"/>
          <c:x val="6.9620435474369502E-3"/>
          <c:y val="0.94957852449664293"/>
          <c:w val="0.96814341928316339"/>
          <c:h val="3.2883651034424768E-2"/>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BFCDE4"/>
              </a:solidFill>
              <a:latin typeface="+mn-lt"/>
              <a:ea typeface="+mn-ea"/>
              <a:cs typeface="+mn-cs"/>
            </a:defRPr>
          </a:pPr>
          <a:endParaRPr lang="it-I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6994223613614562"/>
          <c:y val="4.6218372703412072E-2"/>
          <c:w val="0.65007536708513847"/>
          <c:h val="0.64747506561679791"/>
        </c:manualLayout>
      </c:layout>
      <c:pieChart>
        <c:varyColors val="1"/>
        <c:ser>
          <c:idx val="0"/>
          <c:order val="0"/>
          <c:spPr>
            <a:effectLst>
              <a:outerShdw blurRad="50800" dist="38100" dir="2700000" algn="tl" rotWithShape="0">
                <a:prstClr val="black">
                  <a:alpha val="40000"/>
                </a:prstClr>
              </a:outerShdw>
            </a:effectLst>
          </c:spPr>
          <c:dPt>
            <c:idx val="0"/>
            <c:bubble3D val="0"/>
            <c:spPr>
              <a:solidFill>
                <a:srgbClr val="9E7CF9"/>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2FEF-F941-AD41-AFF175AA412D}"/>
              </c:ext>
            </c:extLst>
          </c:dPt>
          <c:dPt>
            <c:idx val="1"/>
            <c:bubble3D val="0"/>
            <c:spPr>
              <a:solidFill>
                <a:srgbClr val="E57CF8"/>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2FEF-F941-AD41-AFF175AA412D}"/>
              </c:ext>
            </c:extLst>
          </c:dPt>
          <c:dPt>
            <c:idx val="2"/>
            <c:bubble3D val="0"/>
            <c:spPr>
              <a:solidFill>
                <a:srgbClr val="FBF2BE"/>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2FEF-F941-AD41-AFF175AA412D}"/>
              </c:ext>
            </c:extLst>
          </c:dPt>
          <c:dPt>
            <c:idx val="3"/>
            <c:bubble3D val="0"/>
            <c:spPr>
              <a:solidFill>
                <a:srgbClr val="BFCDE4"/>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2FEF-F941-AD41-AFF175AA412D}"/>
              </c:ext>
            </c:extLst>
          </c:dPt>
          <c:dPt>
            <c:idx val="4"/>
            <c:bubble3D val="0"/>
            <c:spPr>
              <a:solidFill>
                <a:srgbClr val="F7562B"/>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2FEF-F941-AD41-AFF175AA412D}"/>
              </c:ext>
            </c:extLst>
          </c:dPt>
          <c:dLbls>
            <c:spPr>
              <a:solidFill>
                <a:schemeClr val="lt1"/>
              </a:solidFill>
              <a:ln>
                <a:solidFill>
                  <a:schemeClr val="dk1">
                    <a:lumMod val="25000"/>
                    <a:lumOff val="75000"/>
                  </a:schemeClr>
                </a:solidFill>
              </a:ln>
              <a:effectLst/>
            </c:spPr>
            <c:txPr>
              <a:bodyPr rot="0" spcFirstLastPara="1" vertOverflow="overflow" horzOverflow="overflow"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t-IT"/>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oundRect">
                    <a:avLst/>
                  </a:prstGeom>
                  <a:noFill/>
                  <a:ln>
                    <a:noFill/>
                  </a:ln>
                </c15:spPr>
              </c:ext>
            </c:extLst>
          </c:dLbls>
          <c:cat>
            <c:strRef>
              <c:f>Processing!$B$45:$B$49</c:f>
              <c:strCache>
                <c:ptCount val="5"/>
                <c:pt idx="0">
                  <c:v>Business</c:v>
                </c:pt>
                <c:pt idx="1">
                  <c:v>Securities</c:v>
                </c:pt>
                <c:pt idx="2">
                  <c:v>Gold</c:v>
                </c:pt>
                <c:pt idx="3">
                  <c:v>Real Estate</c:v>
                </c:pt>
                <c:pt idx="4">
                  <c:v>Cryptocurrency</c:v>
                </c:pt>
              </c:strCache>
            </c:strRef>
          </c:cat>
          <c:val>
            <c:numRef>
              <c:f>Processing!$C$45:$C$49</c:f>
              <c:numCache>
                <c:formatCode>_-[$€-2]\ * #,##0_-;\-[$€-2]\ * #,##0_-;_-[$€-2]\ * "-"_-;_-@_-</c:formatCode>
                <c:ptCount val="5"/>
                <c:pt idx="0">
                  <c:v>0</c:v>
                </c:pt>
                <c:pt idx="1">
                  <c:v>0</c:v>
                </c:pt>
                <c:pt idx="2">
                  <c:v>0</c:v>
                </c:pt>
                <c:pt idx="3">
                  <c:v>0</c:v>
                </c:pt>
                <c:pt idx="4">
                  <c:v>0</c:v>
                </c:pt>
              </c:numCache>
            </c:numRef>
          </c:val>
          <c:extLst>
            <c:ext xmlns:c16="http://schemas.microsoft.com/office/drawing/2014/chart" uri="{C3380CC4-5D6E-409C-BE32-E72D297353CC}">
              <c16:uniqueId val="{0000000A-2FEF-F941-AD41-AFF175AA412D}"/>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14705488621151269"/>
          <c:y val="0.74033044619422572"/>
          <c:w val="0.85294511378848725"/>
          <c:h val="0.22090472440944883"/>
        </c:manualLayout>
      </c:layout>
      <c:overlay val="0"/>
      <c:spPr>
        <a:noFill/>
        <a:ln>
          <a:noFill/>
        </a:ln>
        <a:effectLst/>
      </c:spPr>
      <c:txPr>
        <a:bodyPr rot="0" spcFirstLastPara="1" vertOverflow="ellipsis" vert="horz" wrap="square" anchor="ctr" anchorCtr="1"/>
        <a:lstStyle/>
        <a:p>
          <a:pPr>
            <a:defRPr sz="1100" b="0" i="0" u="none" strike="noStrike" kern="1200" baseline="0">
              <a:solidFill>
                <a:srgbClr val="BFCDE4"/>
              </a:solidFill>
              <a:latin typeface="+mn-lt"/>
              <a:ea typeface="+mn-ea"/>
              <a:cs typeface="+mn-cs"/>
            </a:defRPr>
          </a:pPr>
          <a:endParaRPr lang="it-I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9604339468832475"/>
          <c:y val="5.3624592537544889E-2"/>
          <c:w val="0.63333097805535166"/>
          <c:h val="0.89275081492491026"/>
        </c:manualLayout>
      </c:layout>
      <c:barChart>
        <c:barDir val="bar"/>
        <c:grouping val="clustered"/>
        <c:varyColors val="0"/>
        <c:ser>
          <c:idx val="0"/>
          <c:order val="0"/>
          <c:tx>
            <c:strRef>
              <c:f>Processing!$F$52</c:f>
              <c:strCache>
                <c:ptCount val="1"/>
                <c:pt idx="0">
                  <c:v>Income</c:v>
                </c:pt>
              </c:strCache>
            </c:strRef>
          </c:tx>
          <c:spPr>
            <a:gradFill>
              <a:gsLst>
                <a:gs pos="96000">
                  <a:srgbClr val="F28F33"/>
                </a:gs>
                <a:gs pos="26000">
                  <a:srgbClr val="FE2827"/>
                </a:gs>
              </a:gsLst>
              <a:lin ang="10800000" scaled="0"/>
            </a:gradFill>
            <a:ln>
              <a:noFill/>
            </a:ln>
            <a:effectLst/>
          </c:spPr>
          <c:invertIfNegative val="0"/>
          <c:dLbls>
            <c:spPr>
              <a:noFill/>
              <a:ln>
                <a:noFill/>
              </a:ln>
              <a:effectLst/>
            </c:spPr>
            <c:txPr>
              <a:bodyPr wrap="square" lIns="38100" tIns="19050" rIns="38100" bIns="19050" anchor="ctr">
                <a:spAutoFit/>
              </a:bodyPr>
              <a:lstStyle/>
              <a:p>
                <a:pPr>
                  <a:defRPr>
                    <a:solidFill>
                      <a:schemeClr val="bg1"/>
                    </a:solidFill>
                  </a:defRPr>
                </a:pPr>
                <a:endParaRPr lang="it-IT"/>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Processing!$E$53:$E$57</c:f>
              <c:strCache>
                <c:ptCount val="5"/>
                <c:pt idx="0">
                  <c:v>Business</c:v>
                </c:pt>
                <c:pt idx="1">
                  <c:v>Securities</c:v>
                </c:pt>
                <c:pt idx="2">
                  <c:v>Gold</c:v>
                </c:pt>
                <c:pt idx="3">
                  <c:v>Real Estate</c:v>
                </c:pt>
                <c:pt idx="4">
                  <c:v>Cryptocurrency</c:v>
                </c:pt>
              </c:strCache>
            </c:strRef>
          </c:cat>
          <c:val>
            <c:numRef>
              <c:f>Processing!$F$53:$F$57</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C38D-8D4F-BC1D-C362037A1561}"/>
            </c:ext>
          </c:extLst>
        </c:ser>
        <c:dLbls>
          <c:showLegendKey val="0"/>
          <c:showVal val="0"/>
          <c:showCatName val="0"/>
          <c:showSerName val="0"/>
          <c:showPercent val="0"/>
          <c:showBubbleSize val="0"/>
        </c:dLbls>
        <c:gapWidth val="110"/>
        <c:axId val="1266661168"/>
        <c:axId val="1266672208"/>
      </c:barChart>
      <c:catAx>
        <c:axId val="1266661168"/>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BFCDE4"/>
                </a:solidFill>
                <a:latin typeface="+mn-lt"/>
                <a:ea typeface="+mn-ea"/>
                <a:cs typeface="+mn-cs"/>
              </a:defRPr>
            </a:pPr>
            <a:endParaRPr lang="it-IT"/>
          </a:p>
        </c:txPr>
        <c:crossAx val="1266672208"/>
        <c:crosses val="autoZero"/>
        <c:auto val="1"/>
        <c:lblAlgn val="ctr"/>
        <c:lblOffset val="100"/>
        <c:noMultiLvlLbl val="0"/>
      </c:catAx>
      <c:valAx>
        <c:axId val="1266672208"/>
        <c:scaling>
          <c:orientation val="minMax"/>
        </c:scaling>
        <c:delete val="1"/>
        <c:axPos val="t"/>
        <c:numFmt formatCode="General" sourceLinked="1"/>
        <c:majorTickMark val="none"/>
        <c:minorTickMark val="none"/>
        <c:tickLblPos val="nextTo"/>
        <c:crossAx val="1266661168"/>
        <c:crosses val="autoZero"/>
        <c:crossBetween val="between"/>
      </c:valAx>
      <c:spPr>
        <a:noFill/>
      </c:spPr>
    </c:plotArea>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7.5169524117968539E-2"/>
          <c:y val="4.7718722659667541E-2"/>
          <c:w val="0.89698128993515913"/>
          <c:h val="0.84256415864683576"/>
        </c:manualLayout>
      </c:layout>
      <c:barChart>
        <c:barDir val="col"/>
        <c:grouping val="clustered"/>
        <c:varyColors val="0"/>
        <c:ser>
          <c:idx val="0"/>
          <c:order val="0"/>
          <c:spPr>
            <a:solidFill>
              <a:srgbClr val="3A3F50"/>
            </a:solidFill>
          </c:spPr>
          <c:invertIfNegative val="0"/>
          <c:cat>
            <c:numRef>
              <c:f>Processing!$I$27:$I$57</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Processing!$AS$27:$AS$57</c:f>
              <c:numCache>
                <c:formatCode>General</c:formatCode>
                <c:ptCount val="31"/>
                <c:pt idx="0">
                  <c:v>0</c:v>
                </c:pt>
                <c:pt idx="1">
                  <c:v>3.73</c:v>
                </c:pt>
                <c:pt idx="2">
                  <c:v>0</c:v>
                </c:pt>
                <c:pt idx="3">
                  <c:v>0</c:v>
                </c:pt>
                <c:pt idx="4">
                  <c:v>0</c:v>
                </c:pt>
                <c:pt idx="5">
                  <c:v>0</c:v>
                </c:pt>
                <c:pt idx="6">
                  <c:v>0</c:v>
                </c:pt>
                <c:pt idx="7">
                  <c:v>0</c:v>
                </c:pt>
                <c:pt idx="8">
                  <c:v>0</c:v>
                </c:pt>
                <c:pt idx="9">
                  <c:v>0</c:v>
                </c:pt>
                <c:pt idx="10">
                  <c:v>0</c:v>
                </c:pt>
                <c:pt idx="11">
                  <c:v>0</c:v>
                </c:pt>
                <c:pt idx="12">
                  <c:v>0</c:v>
                </c:pt>
                <c:pt idx="13">
                  <c:v>132</c:v>
                </c:pt>
                <c:pt idx="14">
                  <c:v>23.75</c:v>
                </c:pt>
                <c:pt idx="15">
                  <c:v>74.95</c:v>
                </c:pt>
                <c:pt idx="16">
                  <c:v>8.3800000000000008</c:v>
                </c:pt>
                <c:pt idx="17">
                  <c:v>16.100000000000001</c:v>
                </c:pt>
                <c:pt idx="18">
                  <c:v>0</c:v>
                </c:pt>
                <c:pt idx="19">
                  <c:v>0</c:v>
                </c:pt>
                <c:pt idx="20">
                  <c:v>49.040000000000006</c:v>
                </c:pt>
                <c:pt idx="21">
                  <c:v>0</c:v>
                </c:pt>
                <c:pt idx="22">
                  <c:v>0</c:v>
                </c:pt>
                <c:pt idx="23">
                  <c:v>0</c:v>
                </c:pt>
                <c:pt idx="24">
                  <c:v>0</c:v>
                </c:pt>
                <c:pt idx="25">
                  <c:v>0</c:v>
                </c:pt>
                <c:pt idx="26">
                  <c:v>50.68</c:v>
                </c:pt>
                <c:pt idx="27">
                  <c:v>0</c:v>
                </c:pt>
                <c:pt idx="28">
                  <c:v>0</c:v>
                </c:pt>
                <c:pt idx="29">
                  <c:v>0</c:v>
                </c:pt>
                <c:pt idx="30">
                  <c:v>0</c:v>
                </c:pt>
              </c:numCache>
            </c:numRef>
          </c:val>
          <c:extLst>
            <c:ext xmlns:c16="http://schemas.microsoft.com/office/drawing/2014/chart" uri="{C3380CC4-5D6E-409C-BE32-E72D297353CC}">
              <c16:uniqueId val="{00000000-113B-4F2B-8DD3-3B61E008E307}"/>
            </c:ext>
          </c:extLst>
        </c:ser>
        <c:ser>
          <c:idx val="1"/>
          <c:order val="1"/>
          <c:spPr>
            <a:gradFill>
              <a:gsLst>
                <a:gs pos="13000">
                  <a:srgbClr val="B871FF"/>
                </a:gs>
                <a:gs pos="76000">
                  <a:srgbClr val="C7D5ED"/>
                </a:gs>
              </a:gsLst>
              <a:lin ang="2700000" scaled="1"/>
            </a:gradFill>
          </c:spPr>
          <c:invertIfNegative val="0"/>
          <c:cat>
            <c:numRef>
              <c:f>Processing!$I$27:$I$57</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Processing!$AQ$27:$AQ$57</c:f>
              <c:numCache>
                <c:formatCode>General</c:formatCode>
                <c:ptCount val="31"/>
                <c:pt idx="0">
                  <c:v>0</c:v>
                </c:pt>
                <c:pt idx="1">
                  <c:v>3.73</c:v>
                </c:pt>
                <c:pt idx="2">
                  <c:v>0</c:v>
                </c:pt>
                <c:pt idx="3">
                  <c:v>0</c:v>
                </c:pt>
                <c:pt idx="4">
                  <c:v>0</c:v>
                </c:pt>
                <c:pt idx="5">
                  <c:v>0</c:v>
                </c:pt>
                <c:pt idx="6">
                  <c:v>0</c:v>
                </c:pt>
                <c:pt idx="7">
                  <c:v>0</c:v>
                </c:pt>
                <c:pt idx="8">
                  <c:v>0</c:v>
                </c:pt>
                <c:pt idx="9">
                  <c:v>0</c:v>
                </c:pt>
                <c:pt idx="10">
                  <c:v>0</c:v>
                </c:pt>
                <c:pt idx="11">
                  <c:v>0</c:v>
                </c:pt>
                <c:pt idx="12">
                  <c:v>0</c:v>
                </c:pt>
                <c:pt idx="13">
                  <c:v>132</c:v>
                </c:pt>
                <c:pt idx="14">
                  <c:v>23.75</c:v>
                </c:pt>
                <c:pt idx="15">
                  <c:v>74.95</c:v>
                </c:pt>
                <c:pt idx="16">
                  <c:v>8.3800000000000008</c:v>
                </c:pt>
                <c:pt idx="17">
                  <c:v>16.100000000000001</c:v>
                </c:pt>
                <c:pt idx="18">
                  <c:v>0</c:v>
                </c:pt>
                <c:pt idx="19">
                  <c:v>0</c:v>
                </c:pt>
                <c:pt idx="20">
                  <c:v>49.040000000000006</c:v>
                </c:pt>
                <c:pt idx="21">
                  <c:v>0</c:v>
                </c:pt>
                <c:pt idx="22">
                  <c:v>0</c:v>
                </c:pt>
                <c:pt idx="23">
                  <c:v>0</c:v>
                </c:pt>
                <c:pt idx="24">
                  <c:v>0</c:v>
                </c:pt>
                <c:pt idx="25">
                  <c:v>0</c:v>
                </c:pt>
                <c:pt idx="26">
                  <c:v>50.68</c:v>
                </c:pt>
                <c:pt idx="27">
                  <c:v>0</c:v>
                </c:pt>
                <c:pt idx="28">
                  <c:v>0</c:v>
                </c:pt>
                <c:pt idx="29">
                  <c:v>0</c:v>
                </c:pt>
                <c:pt idx="30">
                  <c:v>0</c:v>
                </c:pt>
              </c:numCache>
            </c:numRef>
          </c:val>
          <c:extLst>
            <c:ext xmlns:c16="http://schemas.microsoft.com/office/drawing/2014/chart" uri="{C3380CC4-5D6E-409C-BE32-E72D297353CC}">
              <c16:uniqueId val="{00000001-113B-4F2B-8DD3-3B61E008E307}"/>
            </c:ext>
          </c:extLst>
        </c:ser>
        <c:ser>
          <c:idx val="2"/>
          <c:order val="2"/>
          <c:spPr>
            <a:gradFill>
              <a:gsLst>
                <a:gs pos="0">
                  <a:srgbClr val="55E7F9"/>
                </a:gs>
                <a:gs pos="100000">
                  <a:srgbClr val="0C68BE"/>
                </a:gs>
              </a:gsLst>
              <a:lin ang="5400000" scaled="1"/>
            </a:gradFill>
          </c:spPr>
          <c:invertIfNegative val="0"/>
          <c:cat>
            <c:numRef>
              <c:f>Processing!$I$27:$I$57</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Processing!$AR$27:$AR$57</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117</c:v>
                </c:pt>
                <c:pt idx="14">
                  <c:v>4.4000000000000004</c:v>
                </c:pt>
                <c:pt idx="15">
                  <c:v>9</c:v>
                </c:pt>
                <c:pt idx="16">
                  <c:v>4.4000000000000004</c:v>
                </c:pt>
                <c:pt idx="17">
                  <c:v>4.4000000000000004</c:v>
                </c:pt>
                <c:pt idx="18">
                  <c:v>0</c:v>
                </c:pt>
                <c:pt idx="19">
                  <c:v>0</c:v>
                </c:pt>
                <c:pt idx="20">
                  <c:v>2.2000000000000002</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F95C-4C07-8D0E-E213E7B61FED}"/>
            </c:ext>
          </c:extLst>
        </c:ser>
        <c:dLbls>
          <c:showLegendKey val="0"/>
          <c:showVal val="0"/>
          <c:showCatName val="0"/>
          <c:showSerName val="0"/>
          <c:showPercent val="0"/>
          <c:showBubbleSize val="0"/>
        </c:dLbls>
        <c:gapWidth val="150"/>
        <c:overlap val="100"/>
        <c:axId val="1851983647"/>
        <c:axId val="1474135967"/>
      </c:barChart>
      <c:catAx>
        <c:axId val="1851983647"/>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900" b="0" i="0" u="none" strike="noStrike" kern="1200" baseline="0">
                <a:solidFill>
                  <a:srgbClr val="BFCDE4"/>
                </a:solidFill>
                <a:latin typeface="+mn-lt"/>
                <a:ea typeface="+mn-ea"/>
                <a:cs typeface="+mn-cs"/>
              </a:defRPr>
            </a:pPr>
            <a:endParaRPr lang="it-IT"/>
          </a:p>
        </c:txPr>
        <c:crossAx val="1474135967"/>
        <c:crosses val="autoZero"/>
        <c:auto val="1"/>
        <c:lblAlgn val="ctr"/>
        <c:lblOffset val="100"/>
        <c:noMultiLvlLbl val="0"/>
      </c:catAx>
      <c:valAx>
        <c:axId val="1474135967"/>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rgbClr val="BFCDE4"/>
                </a:solidFill>
                <a:latin typeface="+mn-lt"/>
                <a:ea typeface="+mn-ea"/>
                <a:cs typeface="+mn-cs"/>
              </a:defRPr>
            </a:pPr>
            <a:endParaRPr lang="it-IT"/>
          </a:p>
        </c:txPr>
        <c:crossAx val="1851983647"/>
        <c:crosses val="autoZero"/>
        <c:crossBetween val="between"/>
      </c:valAx>
      <c:spPr>
        <a:noFill/>
      </c:spPr>
    </c:plotArea>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bar"/>
        <c:grouping val="clustered"/>
        <c:varyColors val="0"/>
        <c:ser>
          <c:idx val="0"/>
          <c:order val="0"/>
          <c:tx>
            <c:strRef>
              <c:f>Processing!$K$63</c:f>
              <c:strCache>
                <c:ptCount val="1"/>
                <c:pt idx="0">
                  <c:v>Cost</c:v>
                </c:pt>
              </c:strCache>
            </c:strRef>
          </c:tx>
          <c:spPr>
            <a:gradFill flip="none" rotWithShape="1">
              <a:gsLst>
                <a:gs pos="13000">
                  <a:srgbClr val="B871FF"/>
                </a:gs>
                <a:gs pos="76000">
                  <a:srgbClr val="C7D5ED"/>
                </a:gs>
              </a:gsLst>
              <a:lin ang="27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40000"/>
                        <a:lumOff val="60000"/>
                      </a:schemeClr>
                    </a:solidFill>
                    <a:latin typeface="+mn-lt"/>
                    <a:ea typeface="+mn-ea"/>
                    <a:cs typeface="+mn-cs"/>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Processing!$J$64:$J$143</c:f>
              <c:strCache>
                <c:ptCount val="80"/>
                <c:pt idx="0">
                  <c:v>Food</c:v>
                </c:pt>
                <c:pt idx="1">
                  <c:v>Trasporti</c:v>
                </c:pt>
                <c:pt idx="2">
                  <c:v>Internet</c:v>
                </c:pt>
                <c:pt idx="3">
                  <c:v>Attrezzature Lavoro</c:v>
                </c:pt>
                <c:pt idx="4">
                  <c:v>Conto &amp; Carte BNL</c:v>
                </c:pt>
                <c:pt idx="5">
                  <c:v>Telefono</c:v>
                </c:pt>
                <c:pt idx="6">
                  <c:v>Ristorante</c:v>
                </c:pt>
                <c:pt idx="7">
                  <c:v>Snacks On The Way</c:v>
                </c:pt>
                <c:pt idx="8">
                  <c:v>Alcohol</c:v>
                </c:pt>
                <c:pt idx="9">
                  <c:v>-</c:v>
                </c:pt>
                <c:pt idx="10">
                  <c:v>-</c:v>
                </c:pt>
                <c:pt idx="11">
                  <c:v>-</c:v>
                </c:pt>
                <c:pt idx="12">
                  <c:v>-</c:v>
                </c:pt>
                <c:pt idx="13">
                  <c:v>-</c:v>
                </c:pt>
                <c:pt idx="14">
                  <c:v>-</c:v>
                </c:pt>
                <c:pt idx="15">
                  <c:v>.</c:v>
                </c:pt>
                <c:pt idx="16">
                  <c:v>Spese Impreviste</c:v>
                </c:pt>
                <c:pt idx="17">
                  <c:v>Varie Casa</c:v>
                </c:pt>
                <c:pt idx="18">
                  <c:v>Varie</c:v>
                </c:pt>
                <c:pt idx="19">
                  <c:v>Regali</c:v>
                </c:pt>
                <c:pt idx="20">
                  <c:v>-</c:v>
                </c:pt>
                <c:pt idx="21">
                  <c:v>-</c:v>
                </c:pt>
                <c:pt idx="22">
                  <c:v>-</c:v>
                </c:pt>
                <c:pt idx="23">
                  <c:v>-</c:v>
                </c:pt>
                <c:pt idx="24">
                  <c:v>-</c:v>
                </c:pt>
                <c:pt idx="25">
                  <c:v>Abbigliamento</c:v>
                </c:pt>
                <c:pt idx="26">
                  <c:v>Medications</c:v>
                </c:pt>
                <c:pt idx="27">
                  <c:v>Barba &amp; Capelli</c:v>
                </c:pt>
                <c:pt idx="28">
                  <c:v>Cosmetici</c:v>
                </c:pt>
                <c:pt idx="29">
                  <c:v>Healt</c:v>
                </c:pt>
                <c:pt idx="30">
                  <c:v>-</c:v>
                </c:pt>
                <c:pt idx="31">
                  <c:v>-</c:v>
                </c:pt>
                <c:pt idx="32">
                  <c:v>-</c:v>
                </c:pt>
                <c:pt idx="33">
                  <c:v>-</c:v>
                </c:pt>
                <c:pt idx="34">
                  <c:v>-</c:v>
                </c:pt>
                <c:pt idx="35">
                  <c:v>-</c:v>
                </c:pt>
                <c:pt idx="36">
                  <c:v>-</c:v>
                </c:pt>
                <c:pt idx="37">
                  <c:v>-</c:v>
                </c:pt>
                <c:pt idx="38">
                  <c:v>-</c:v>
                </c:pt>
                <c:pt idx="39">
                  <c:v>-</c:v>
                </c:pt>
                <c:pt idx="40">
                  <c:v>-</c:v>
                </c:pt>
                <c:pt idx="41">
                  <c:v>-</c:v>
                </c:pt>
                <c:pt idx="42">
                  <c:v>-</c:v>
                </c:pt>
                <c:pt idx="43">
                  <c:v>-</c:v>
                </c:pt>
                <c:pt idx="44">
                  <c:v>No Food</c:v>
                </c:pt>
                <c:pt idx="45">
                  <c:v>-</c:v>
                </c:pt>
                <c:pt idx="46">
                  <c:v>-</c:v>
                </c:pt>
                <c:pt idx="47">
                  <c:v>-</c:v>
                </c:pt>
                <c:pt idx="48">
                  <c:v>-</c:v>
                </c:pt>
                <c:pt idx="49">
                  <c:v>-</c:v>
                </c:pt>
                <c:pt idx="50">
                  <c:v>-</c:v>
                </c:pt>
                <c:pt idx="51">
                  <c:v>-</c:v>
                </c:pt>
                <c:pt idx="52">
                  <c:v>-</c:v>
                </c:pt>
                <c:pt idx="53">
                  <c:v>Bollette</c:v>
                </c:pt>
                <c:pt idx="54">
                  <c:v>Tasse</c:v>
                </c:pt>
                <c:pt idx="55">
                  <c:v>-</c:v>
                </c:pt>
                <c:pt idx="56">
                  <c:v>-</c:v>
                </c:pt>
                <c:pt idx="57">
                  <c:v>-</c:v>
                </c:pt>
                <c:pt idx="58">
                  <c:v>-</c:v>
                </c:pt>
                <c:pt idx="59">
                  <c:v>-</c:v>
                </c:pt>
                <c:pt idx="60">
                  <c:v>-</c:v>
                </c:pt>
                <c:pt idx="61">
                  <c:v>-</c:v>
                </c:pt>
                <c:pt idx="62">
                  <c:v>I.B.(Marketing Data)</c:v>
                </c:pt>
                <c:pt idx="63">
                  <c:v>-</c:v>
                </c:pt>
                <c:pt idx="64">
                  <c:v>-</c:v>
                </c:pt>
                <c:pt idx="65">
                  <c:v>-</c:v>
                </c:pt>
                <c:pt idx="66">
                  <c:v>-</c:v>
                </c:pt>
                <c:pt idx="67">
                  <c:v>-</c:v>
                </c:pt>
                <c:pt idx="68">
                  <c:v>-</c:v>
                </c:pt>
                <c:pt idx="69">
                  <c:v>-</c:v>
                </c:pt>
                <c:pt idx="70">
                  <c:v>-</c:v>
                </c:pt>
                <c:pt idx="71">
                  <c:v>-</c:v>
                </c:pt>
                <c:pt idx="72">
                  <c:v>-</c:v>
                </c:pt>
                <c:pt idx="73">
                  <c:v>-</c:v>
                </c:pt>
                <c:pt idx="74">
                  <c:v>-</c:v>
                </c:pt>
                <c:pt idx="75">
                  <c:v>-</c:v>
                </c:pt>
                <c:pt idx="76">
                  <c:v>-</c:v>
                </c:pt>
                <c:pt idx="77">
                  <c:v>-</c:v>
                </c:pt>
                <c:pt idx="78">
                  <c:v>-</c:v>
                </c:pt>
                <c:pt idx="79">
                  <c:v>-</c:v>
                </c:pt>
              </c:strCache>
            </c:strRef>
          </c:cat>
          <c:val>
            <c:numRef>
              <c:f>Processing!$K$64:$K$143</c:f>
              <c:numCache>
                <c:formatCode>General</c:formatCode>
                <c:ptCount val="80"/>
                <c:pt idx="0">
                  <c:v>191.50000000000003</c:v>
                </c:pt>
                <c:pt idx="1">
                  <c:v>132.4</c:v>
                </c:pt>
                <c:pt idx="2">
                  <c:v>15</c:v>
                </c:pt>
                <c:pt idx="3">
                  <c:v>9</c:v>
                </c:pt>
                <c:pt idx="4">
                  <c:v>5.73</c:v>
                </c:pt>
                <c:pt idx="5">
                  <c:v>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numCache>
            </c:numRef>
          </c:val>
          <c:extLst>
            <c:ext xmlns:c16="http://schemas.microsoft.com/office/drawing/2014/chart" uri="{C3380CC4-5D6E-409C-BE32-E72D297353CC}">
              <c16:uniqueId val="{00000000-E388-8146-BEB8-DC5F855BA7C9}"/>
            </c:ext>
          </c:extLst>
        </c:ser>
        <c:dLbls>
          <c:showLegendKey val="0"/>
          <c:showVal val="0"/>
          <c:showCatName val="0"/>
          <c:showSerName val="0"/>
          <c:showPercent val="0"/>
          <c:showBubbleSize val="0"/>
        </c:dLbls>
        <c:gapWidth val="110"/>
        <c:axId val="1266661168"/>
        <c:axId val="1266672208"/>
      </c:barChart>
      <c:catAx>
        <c:axId val="1266661168"/>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100" b="0" i="0" u="none" strike="noStrike" kern="1200" baseline="0">
                <a:solidFill>
                  <a:srgbClr val="BFCDE4"/>
                </a:solidFill>
                <a:latin typeface="+mn-lt"/>
                <a:ea typeface="+mn-ea"/>
                <a:cs typeface="+mn-cs"/>
              </a:defRPr>
            </a:pPr>
            <a:endParaRPr lang="it-IT"/>
          </a:p>
        </c:txPr>
        <c:crossAx val="1266672208"/>
        <c:crosses val="autoZero"/>
        <c:auto val="1"/>
        <c:lblAlgn val="ctr"/>
        <c:lblOffset val="100"/>
        <c:noMultiLvlLbl val="0"/>
      </c:catAx>
      <c:valAx>
        <c:axId val="1266672208"/>
        <c:scaling>
          <c:orientation val="minMax"/>
        </c:scaling>
        <c:delete val="0"/>
        <c:axPos val="t"/>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rgbClr val="BFCDE4"/>
                </a:solidFill>
                <a:latin typeface="+mn-lt"/>
                <a:ea typeface="+mn-ea"/>
                <a:cs typeface="+mn-cs"/>
              </a:defRPr>
            </a:pPr>
            <a:endParaRPr lang="it-IT"/>
          </a:p>
        </c:txPr>
        <c:crossAx val="1266661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bar"/>
        <c:grouping val="clustered"/>
        <c:varyColors val="0"/>
        <c:ser>
          <c:idx val="0"/>
          <c:order val="0"/>
          <c:spPr>
            <a:solidFill>
              <a:srgbClr val="BD94F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BFCDE4"/>
                    </a:solidFill>
                    <a:latin typeface="+mn-lt"/>
                    <a:ea typeface="+mn-ea"/>
                    <a:cs typeface="+mn-cs"/>
                  </a:defRPr>
                </a:pPr>
                <a:endParaRPr lang="it-I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Processing!$B$104:$C$143</c:f>
              <c:multiLvlStrCache>
                <c:ptCount val="40"/>
                <c:lvl>
                  <c:pt idx="0">
                    <c:v>Food</c:v>
                  </c:pt>
                  <c:pt idx="1">
                    <c:v>No Food</c:v>
                  </c:pt>
                  <c:pt idx="2">
                    <c:v>-</c:v>
                  </c:pt>
                  <c:pt idx="3">
                    <c:v>-</c:v>
                  </c:pt>
                  <c:pt idx="4">
                    <c:v>-</c:v>
                  </c:pt>
                  <c:pt idx="5">
                    <c:v>-</c:v>
                  </c:pt>
                  <c:pt idx="6">
                    <c:v>-</c:v>
                  </c:pt>
                  <c:pt idx="7">
                    <c:v>-</c:v>
                  </c:pt>
                  <c:pt idx="8">
                    <c:v>-</c:v>
                  </c:pt>
                  <c:pt idx="9">
                    <c:v>-</c:v>
                  </c:pt>
                  <c:pt idx="10">
                    <c:v>Bollette</c:v>
                  </c:pt>
                  <c:pt idx="11">
                    <c:v>Telefono</c:v>
                  </c:pt>
                  <c:pt idx="12">
                    <c:v>Tasse</c:v>
                  </c:pt>
                  <c:pt idx="13">
                    <c:v>-</c:v>
                  </c:pt>
                  <c:pt idx="14">
                    <c:v>-</c:v>
                  </c:pt>
                  <c:pt idx="15">
                    <c:v>-</c:v>
                  </c:pt>
                  <c:pt idx="16">
                    <c:v>-</c:v>
                  </c:pt>
                  <c:pt idx="17">
                    <c:v>-</c:v>
                  </c:pt>
                  <c:pt idx="18">
                    <c:v>-</c:v>
                  </c:pt>
                  <c:pt idx="19">
                    <c:v>-</c:v>
                  </c:pt>
                  <c:pt idx="20">
                    <c:v>I.B.(Marketing Data)</c:v>
                  </c:pt>
                  <c:pt idx="21">
                    <c:v>Internet</c:v>
                  </c:pt>
                  <c:pt idx="22">
                    <c:v>-</c:v>
                  </c:pt>
                  <c:pt idx="23">
                    <c:v>-</c:v>
                  </c:pt>
                  <c:pt idx="24">
                    <c:v>-</c:v>
                  </c:pt>
                  <c:pt idx="25">
                    <c:v>-</c:v>
                  </c:pt>
                  <c:pt idx="26">
                    <c:v>-</c:v>
                  </c:pt>
                  <c:pt idx="27">
                    <c:v>-</c:v>
                  </c:pt>
                  <c:pt idx="28">
                    <c:v>-</c:v>
                  </c:pt>
                  <c:pt idx="29">
                    <c:v>-</c:v>
                  </c:pt>
                  <c:pt idx="30">
                    <c:v>Conto &amp; Carte BNL</c:v>
                  </c:pt>
                  <c:pt idx="31">
                    <c:v>-</c:v>
                  </c:pt>
                  <c:pt idx="32">
                    <c:v>-</c:v>
                  </c:pt>
                  <c:pt idx="33">
                    <c:v>-</c:v>
                  </c:pt>
                  <c:pt idx="34">
                    <c:v>-</c:v>
                  </c:pt>
                  <c:pt idx="35">
                    <c:v>-</c:v>
                  </c:pt>
                  <c:pt idx="36">
                    <c:v>-</c:v>
                  </c:pt>
                  <c:pt idx="37">
                    <c:v>-</c:v>
                  </c:pt>
                  <c:pt idx="38">
                    <c:v>-</c:v>
                  </c:pt>
                  <c:pt idx="39">
                    <c:v>-</c:v>
                  </c:pt>
                </c:lvl>
                <c:lvl>
                  <c:pt idx="0">
                    <c:v>Casa</c:v>
                  </c:pt>
                  <c:pt idx="10">
                    <c:v>Utenze</c:v>
                  </c:pt>
                  <c:pt idx="20">
                    <c:v>Business Uscite</c:v>
                  </c:pt>
                  <c:pt idx="30">
                    <c:v>Banca</c:v>
                  </c:pt>
                </c:lvl>
              </c:multiLvlStrCache>
            </c:multiLvlStrRef>
          </c:cat>
          <c:val>
            <c:numRef>
              <c:f>Processing!$D$104:$D$143</c:f>
              <c:numCache>
                <c:formatCode>_-[$€-2]\ * #,##0_-;\-[$€-2]\ * #,##0_-;_-[$€-2]\ * "-"_-;_-@_-</c:formatCode>
                <c:ptCount val="40"/>
                <c:pt idx="0">
                  <c:v>191.50000000000003</c:v>
                </c:pt>
                <c:pt idx="1">
                  <c:v>0</c:v>
                </c:pt>
                <c:pt idx="2">
                  <c:v>0</c:v>
                </c:pt>
                <c:pt idx="3">
                  <c:v>0</c:v>
                </c:pt>
                <c:pt idx="4">
                  <c:v>0</c:v>
                </c:pt>
                <c:pt idx="5">
                  <c:v>0</c:v>
                </c:pt>
                <c:pt idx="6">
                  <c:v>0</c:v>
                </c:pt>
                <c:pt idx="7">
                  <c:v>0</c:v>
                </c:pt>
                <c:pt idx="8">
                  <c:v>0</c:v>
                </c:pt>
                <c:pt idx="9">
                  <c:v>0</c:v>
                </c:pt>
                <c:pt idx="10">
                  <c:v>0</c:v>
                </c:pt>
                <c:pt idx="11">
                  <c:v>5</c:v>
                </c:pt>
                <c:pt idx="12">
                  <c:v>0</c:v>
                </c:pt>
                <c:pt idx="13">
                  <c:v>0</c:v>
                </c:pt>
                <c:pt idx="14">
                  <c:v>0</c:v>
                </c:pt>
                <c:pt idx="15">
                  <c:v>0</c:v>
                </c:pt>
                <c:pt idx="16">
                  <c:v>0</c:v>
                </c:pt>
                <c:pt idx="17">
                  <c:v>0</c:v>
                </c:pt>
                <c:pt idx="18">
                  <c:v>0</c:v>
                </c:pt>
                <c:pt idx="19">
                  <c:v>0</c:v>
                </c:pt>
                <c:pt idx="20">
                  <c:v>0</c:v>
                </c:pt>
                <c:pt idx="21">
                  <c:v>15</c:v>
                </c:pt>
                <c:pt idx="22">
                  <c:v>0</c:v>
                </c:pt>
                <c:pt idx="23">
                  <c:v>0</c:v>
                </c:pt>
                <c:pt idx="24">
                  <c:v>0</c:v>
                </c:pt>
                <c:pt idx="25">
                  <c:v>0</c:v>
                </c:pt>
                <c:pt idx="26">
                  <c:v>0</c:v>
                </c:pt>
                <c:pt idx="27">
                  <c:v>0</c:v>
                </c:pt>
                <c:pt idx="28">
                  <c:v>0</c:v>
                </c:pt>
                <c:pt idx="29">
                  <c:v>0</c:v>
                </c:pt>
                <c:pt idx="30">
                  <c:v>5.73</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50C8-0646-8AC2-186B934472C2}"/>
            </c:ext>
          </c:extLst>
        </c:ser>
        <c:dLbls>
          <c:showLegendKey val="0"/>
          <c:showVal val="0"/>
          <c:showCatName val="0"/>
          <c:showSerName val="0"/>
          <c:showPercent val="0"/>
          <c:showBubbleSize val="0"/>
        </c:dLbls>
        <c:gapWidth val="50"/>
        <c:axId val="1512398784"/>
        <c:axId val="1512406944"/>
      </c:barChart>
      <c:catAx>
        <c:axId val="151239878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BFCDE4"/>
                </a:solidFill>
                <a:latin typeface="+mn-lt"/>
                <a:ea typeface="+mn-ea"/>
                <a:cs typeface="+mn-cs"/>
              </a:defRPr>
            </a:pPr>
            <a:endParaRPr lang="it-IT"/>
          </a:p>
        </c:txPr>
        <c:crossAx val="1512406944"/>
        <c:crosses val="autoZero"/>
        <c:auto val="1"/>
        <c:lblAlgn val="ctr"/>
        <c:lblOffset val="100"/>
        <c:noMultiLvlLbl val="0"/>
      </c:catAx>
      <c:valAx>
        <c:axId val="1512406944"/>
        <c:scaling>
          <c:orientation val="minMax"/>
        </c:scaling>
        <c:delete val="1"/>
        <c:axPos val="t"/>
        <c:numFmt formatCode="_-[$€-2]\ * #,##0_-;\-[$€-2]\ * #,##0_-;_-[$€-2]\ * &quot;-&quot;_-;_-@_-" sourceLinked="1"/>
        <c:majorTickMark val="none"/>
        <c:minorTickMark val="none"/>
        <c:tickLblPos val="nextTo"/>
        <c:crossAx val="1512398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bar"/>
        <c:grouping val="clustered"/>
        <c:varyColors val="0"/>
        <c:ser>
          <c:idx val="0"/>
          <c:order val="0"/>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BFCDE4"/>
                    </a:solidFill>
                    <a:latin typeface="+mn-lt"/>
                    <a:ea typeface="+mn-ea"/>
                    <a:cs typeface="+mn-cs"/>
                  </a:defRPr>
                </a:pPr>
                <a:endParaRPr lang="it-I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Processing!$B$64:$C$103</c:f>
              <c:multiLvlStrCache>
                <c:ptCount val="40"/>
                <c:lvl>
                  <c:pt idx="0">
                    <c:v>Ristorante</c:v>
                  </c:pt>
                  <c:pt idx="1">
                    <c:v>Snacks On The Way</c:v>
                  </c:pt>
                  <c:pt idx="2">
                    <c:v>Alcohol</c:v>
                  </c:pt>
                  <c:pt idx="3">
                    <c:v>-</c:v>
                  </c:pt>
                  <c:pt idx="4">
                    <c:v>-</c:v>
                  </c:pt>
                  <c:pt idx="5">
                    <c:v>-</c:v>
                  </c:pt>
                  <c:pt idx="6">
                    <c:v>-</c:v>
                  </c:pt>
                  <c:pt idx="7">
                    <c:v>-</c:v>
                  </c:pt>
                  <c:pt idx="8">
                    <c:v>-</c:v>
                  </c:pt>
                  <c:pt idx="9">
                    <c:v>.</c:v>
                  </c:pt>
                  <c:pt idx="10">
                    <c:v>Trasporti</c:v>
                  </c:pt>
                  <c:pt idx="11">
                    <c:v>Spese Impreviste</c:v>
                  </c:pt>
                  <c:pt idx="12">
                    <c:v>Varie Casa</c:v>
                  </c:pt>
                  <c:pt idx="13">
                    <c:v>Varie</c:v>
                  </c:pt>
                  <c:pt idx="14">
                    <c:v>Regali</c:v>
                  </c:pt>
                  <c:pt idx="15">
                    <c:v>-</c:v>
                  </c:pt>
                  <c:pt idx="16">
                    <c:v>-</c:v>
                  </c:pt>
                  <c:pt idx="17">
                    <c:v>-</c:v>
                  </c:pt>
                  <c:pt idx="18">
                    <c:v>-</c:v>
                  </c:pt>
                  <c:pt idx="19">
                    <c:v>-</c:v>
                  </c:pt>
                  <c:pt idx="20">
                    <c:v>Abbigliamento</c:v>
                  </c:pt>
                  <c:pt idx="21">
                    <c:v>Medications</c:v>
                  </c:pt>
                  <c:pt idx="22">
                    <c:v>Barba &amp; Capelli</c:v>
                  </c:pt>
                  <c:pt idx="23">
                    <c:v>Cosmetici</c:v>
                  </c:pt>
                  <c:pt idx="24">
                    <c:v>Healt</c:v>
                  </c:pt>
                  <c:pt idx="25">
                    <c:v>-</c:v>
                  </c:pt>
                  <c:pt idx="26">
                    <c:v>-</c:v>
                  </c:pt>
                  <c:pt idx="27">
                    <c:v>-</c:v>
                  </c:pt>
                  <c:pt idx="28">
                    <c:v>-</c:v>
                  </c:pt>
                  <c:pt idx="29">
                    <c:v>-</c:v>
                  </c:pt>
                  <c:pt idx="30">
                    <c:v>Attrezzature Lavoro</c:v>
                  </c:pt>
                  <c:pt idx="31">
                    <c:v>-</c:v>
                  </c:pt>
                  <c:pt idx="32">
                    <c:v>-</c:v>
                  </c:pt>
                  <c:pt idx="33">
                    <c:v>-</c:v>
                  </c:pt>
                  <c:pt idx="34">
                    <c:v>-</c:v>
                  </c:pt>
                  <c:pt idx="35">
                    <c:v>-</c:v>
                  </c:pt>
                  <c:pt idx="36">
                    <c:v>-</c:v>
                  </c:pt>
                  <c:pt idx="37">
                    <c:v>-</c:v>
                  </c:pt>
                  <c:pt idx="38">
                    <c:v>-</c:v>
                  </c:pt>
                  <c:pt idx="39">
                    <c:v>-</c:v>
                  </c:pt>
                </c:lvl>
                <c:lvl>
                  <c:pt idx="0">
                    <c:v>Fuori Casa</c:v>
                  </c:pt>
                  <c:pt idx="10">
                    <c:v>Varie Uscite</c:v>
                  </c:pt>
                  <c:pt idx="20">
                    <c:v>Personali</c:v>
                  </c:pt>
                  <c:pt idx="30">
                    <c:v>Lavoro</c:v>
                  </c:pt>
                </c:lvl>
              </c:multiLvlStrCache>
            </c:multiLvlStrRef>
          </c:cat>
          <c:val>
            <c:numRef>
              <c:f>Processing!$D$64:$D$103</c:f>
              <c:numCache>
                <c:formatCode>_-[$€-2]\ * #,##0_-;\-[$€-2]\ * #,##0_-;_-[$€-2]\ * "-"_-;_-@_-</c:formatCode>
                <c:ptCount val="40"/>
                <c:pt idx="0">
                  <c:v>0</c:v>
                </c:pt>
                <c:pt idx="1">
                  <c:v>0</c:v>
                </c:pt>
                <c:pt idx="2">
                  <c:v>0</c:v>
                </c:pt>
                <c:pt idx="3">
                  <c:v>0</c:v>
                </c:pt>
                <c:pt idx="4">
                  <c:v>0</c:v>
                </c:pt>
                <c:pt idx="5">
                  <c:v>0</c:v>
                </c:pt>
                <c:pt idx="6">
                  <c:v>0</c:v>
                </c:pt>
                <c:pt idx="7">
                  <c:v>0</c:v>
                </c:pt>
                <c:pt idx="8">
                  <c:v>0</c:v>
                </c:pt>
                <c:pt idx="9">
                  <c:v>0</c:v>
                </c:pt>
                <c:pt idx="10">
                  <c:v>132.4</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9</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CD92-244E-AA6E-35A65BCC216B}"/>
            </c:ext>
          </c:extLst>
        </c:ser>
        <c:dLbls>
          <c:showLegendKey val="0"/>
          <c:showVal val="0"/>
          <c:showCatName val="0"/>
          <c:showSerName val="0"/>
          <c:showPercent val="0"/>
          <c:showBubbleSize val="0"/>
        </c:dLbls>
        <c:gapWidth val="125"/>
        <c:axId val="1512398784"/>
        <c:axId val="1512406944"/>
      </c:barChart>
      <c:catAx>
        <c:axId val="151239878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BFCDE4"/>
                </a:solidFill>
                <a:latin typeface="+mn-lt"/>
                <a:ea typeface="+mn-ea"/>
                <a:cs typeface="+mn-cs"/>
              </a:defRPr>
            </a:pPr>
            <a:endParaRPr lang="it-IT"/>
          </a:p>
        </c:txPr>
        <c:crossAx val="1512406944"/>
        <c:crosses val="autoZero"/>
        <c:auto val="1"/>
        <c:lblAlgn val="ctr"/>
        <c:lblOffset val="100"/>
        <c:noMultiLvlLbl val="0"/>
      </c:catAx>
      <c:valAx>
        <c:axId val="1512406944"/>
        <c:scaling>
          <c:orientation val="minMax"/>
        </c:scaling>
        <c:delete val="1"/>
        <c:axPos val="t"/>
        <c:numFmt formatCode="_-[$€-2]\ * #,##0_-;\-[$€-2]\ * #,##0_-;_-[$€-2]\ * &quot;-&quot;_-;_-@_-" sourceLinked="1"/>
        <c:majorTickMark val="none"/>
        <c:minorTickMark val="none"/>
        <c:tickLblPos val="nextTo"/>
        <c:crossAx val="1512398784"/>
        <c:crosses val="autoZero"/>
        <c:crossBetween val="between"/>
      </c:valAx>
      <c:spPr>
        <a:noFill/>
      </c:spPr>
    </c:plotArea>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doughnutChart>
        <c:varyColors val="1"/>
        <c:ser>
          <c:idx val="0"/>
          <c:order val="0"/>
          <c:spPr>
            <a:gradFill>
              <a:gsLst>
                <a:gs pos="77000">
                  <a:srgbClr val="B871FF"/>
                </a:gs>
                <a:gs pos="32000">
                  <a:srgbClr val="C7D5ED"/>
                </a:gs>
              </a:gsLst>
              <a:lin ang="2700000" scaled="1"/>
            </a:gradFill>
            <a:ln>
              <a:noFill/>
            </a:ln>
          </c:spPr>
          <c:dPt>
            <c:idx val="0"/>
            <c:bubble3D val="0"/>
            <c:spPr>
              <a:gradFill>
                <a:gsLst>
                  <a:gs pos="77000">
                    <a:srgbClr val="B871FF"/>
                  </a:gs>
                  <a:gs pos="32000">
                    <a:srgbClr val="C7D5ED"/>
                  </a:gs>
                </a:gsLst>
                <a:lin ang="2700000" scaled="1"/>
              </a:gradFill>
              <a:ln w="19050">
                <a:noFill/>
              </a:ln>
              <a:effectLst/>
            </c:spPr>
            <c:extLst>
              <c:ext xmlns:c16="http://schemas.microsoft.com/office/drawing/2014/chart" uri="{C3380CC4-5D6E-409C-BE32-E72D297353CC}">
                <c16:uniqueId val="{00000001-8FDB-40D3-939F-AF900856F0A5}"/>
              </c:ext>
            </c:extLst>
          </c:dPt>
          <c:dPt>
            <c:idx val="1"/>
            <c:bubble3D val="0"/>
            <c:spPr>
              <a:gradFill>
                <a:gsLst>
                  <a:gs pos="98000">
                    <a:srgbClr val="0C68BE"/>
                  </a:gs>
                  <a:gs pos="0">
                    <a:srgbClr val="55E7F9"/>
                  </a:gs>
                </a:gsLst>
                <a:lin ang="2700000" scaled="1"/>
              </a:gradFill>
              <a:ln w="19050">
                <a:noFill/>
              </a:ln>
              <a:effectLst/>
            </c:spPr>
            <c:extLst>
              <c:ext xmlns:c16="http://schemas.microsoft.com/office/drawing/2014/chart" uri="{C3380CC4-5D6E-409C-BE32-E72D297353CC}">
                <c16:uniqueId val="{00000003-8FDB-40D3-939F-AF900856F0A5}"/>
              </c:ext>
            </c:extLst>
          </c:dPt>
          <c:dLbls>
            <c:dLbl>
              <c:idx val="0"/>
              <c:delete val="1"/>
              <c:extLst>
                <c:ext xmlns:c15="http://schemas.microsoft.com/office/drawing/2012/chart" uri="{CE6537A1-D6FC-4f65-9D91-7224C49458BB}"/>
                <c:ext xmlns:c16="http://schemas.microsoft.com/office/drawing/2014/chart" uri="{C3380CC4-5D6E-409C-BE32-E72D297353CC}">
                  <c16:uniqueId val="{00000001-8FDB-40D3-939F-AF900856F0A5}"/>
                </c:ext>
              </c:extLst>
            </c:dLbl>
            <c:dLbl>
              <c:idx val="1"/>
              <c:layout>
                <c:manualLayout>
                  <c:x val="-0.167851761782665"/>
                  <c:y val="-7.2387254713365032E-2"/>
                </c:manualLayout>
              </c:layout>
              <c:spPr>
                <a:noFill/>
                <a:ln>
                  <a:solidFill>
                    <a:schemeClr val="bg1">
                      <a:alpha val="33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it-IT"/>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prstGeom>
                    <a:noFill/>
                    <a:ln>
                      <a:noFill/>
                    </a:ln>
                  </c15:spPr>
                </c:ext>
                <c:ext xmlns:c16="http://schemas.microsoft.com/office/drawing/2014/chart" uri="{C3380CC4-5D6E-409C-BE32-E72D297353CC}">
                  <c16:uniqueId val="{00000003-8FDB-40D3-939F-AF900856F0A5}"/>
                </c:ext>
              </c:extLst>
            </c:dLbl>
            <c:spPr>
              <a:noFill/>
              <a:ln>
                <a:solidFill>
                  <a:schemeClr val="bg1">
                    <a:alpha val="33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it-I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Processing!$B$148:$C$148</c:f>
              <c:numCache>
                <c:formatCode>0%</c:formatCode>
                <c:ptCount val="2"/>
                <c:pt idx="0">
                  <c:v>0.60572177453085363</c:v>
                </c:pt>
                <c:pt idx="1">
                  <c:v>0.39427822546914637</c:v>
                </c:pt>
              </c:numCache>
            </c:numRef>
          </c:val>
          <c:extLst>
            <c:ext xmlns:c16="http://schemas.microsoft.com/office/drawing/2014/chart" uri="{C3380CC4-5D6E-409C-BE32-E72D297353CC}">
              <c16:uniqueId val="{00000004-8FDB-40D3-939F-AF900856F0A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9523882481565927"/>
          <c:y val="0.20490141690565486"/>
          <c:w val="0.44007792272372043"/>
          <c:h val="0.73346314977596971"/>
        </c:manualLayout>
      </c:layout>
      <c:doughnutChart>
        <c:varyColors val="1"/>
        <c:ser>
          <c:idx val="0"/>
          <c:order val="0"/>
          <c:spPr>
            <a:ln>
              <a:noFill/>
            </a:ln>
          </c:spPr>
          <c:dPt>
            <c:idx val="0"/>
            <c:bubble3D val="0"/>
            <c:spPr>
              <a:gradFill>
                <a:gsLst>
                  <a:gs pos="43000">
                    <a:srgbClr val="8701D9"/>
                  </a:gs>
                  <a:gs pos="100000">
                    <a:srgbClr val="AD27FE"/>
                  </a:gs>
                </a:gsLst>
                <a:path path="circle">
                  <a:fillToRect t="100000" r="100000"/>
                </a:path>
              </a:gradFill>
              <a:ln w="19050">
                <a:noFill/>
              </a:ln>
              <a:effectLst/>
            </c:spPr>
            <c:extLst>
              <c:ext xmlns:c16="http://schemas.microsoft.com/office/drawing/2014/chart" uri="{C3380CC4-5D6E-409C-BE32-E72D297353CC}">
                <c16:uniqueId val="{00000001-C033-4F46-96CC-598366C58550}"/>
              </c:ext>
            </c:extLst>
          </c:dPt>
          <c:dPt>
            <c:idx val="1"/>
            <c:bubble3D val="0"/>
            <c:spPr>
              <a:solidFill>
                <a:srgbClr val="E57CF8"/>
              </a:solidFill>
              <a:ln w="19050">
                <a:noFill/>
              </a:ln>
              <a:effectLst/>
            </c:spPr>
            <c:extLst>
              <c:ext xmlns:c16="http://schemas.microsoft.com/office/drawing/2014/chart" uri="{C3380CC4-5D6E-409C-BE32-E72D297353CC}">
                <c16:uniqueId val="{00000003-C033-4F46-96CC-598366C58550}"/>
              </c:ext>
            </c:extLst>
          </c:dPt>
          <c:dPt>
            <c:idx val="2"/>
            <c:bubble3D val="0"/>
            <c:spPr>
              <a:solidFill>
                <a:srgbClr val="FBF1BD"/>
              </a:solidFill>
              <a:ln w="19050">
                <a:noFill/>
              </a:ln>
              <a:effectLst/>
            </c:spPr>
            <c:extLst>
              <c:ext xmlns:c16="http://schemas.microsoft.com/office/drawing/2014/chart" uri="{C3380CC4-5D6E-409C-BE32-E72D297353CC}">
                <c16:uniqueId val="{00000005-C033-4F46-96CC-598366C58550}"/>
              </c:ext>
            </c:extLst>
          </c:dPt>
          <c:dPt>
            <c:idx val="3"/>
            <c:bubble3D val="0"/>
            <c:spPr>
              <a:solidFill>
                <a:srgbClr val="BFCDE4"/>
              </a:solidFill>
              <a:ln w="19050">
                <a:noFill/>
              </a:ln>
              <a:effectLst/>
            </c:spPr>
            <c:extLst>
              <c:ext xmlns:c16="http://schemas.microsoft.com/office/drawing/2014/chart" uri="{C3380CC4-5D6E-409C-BE32-E72D297353CC}">
                <c16:uniqueId val="{00000007-C033-4F46-96CC-598366C58550}"/>
              </c:ext>
            </c:extLst>
          </c:dPt>
          <c:dPt>
            <c:idx val="4"/>
            <c:bubble3D val="0"/>
            <c:spPr>
              <a:gradFill>
                <a:gsLst>
                  <a:gs pos="7000">
                    <a:srgbClr val="F28F33"/>
                  </a:gs>
                  <a:gs pos="72000">
                    <a:srgbClr val="FE2827"/>
                  </a:gs>
                </a:gsLst>
                <a:lin ang="5400000" scaled="1"/>
              </a:gradFill>
              <a:ln w="19050">
                <a:noFill/>
              </a:ln>
              <a:effectLst/>
            </c:spPr>
            <c:extLst>
              <c:ext xmlns:c16="http://schemas.microsoft.com/office/drawing/2014/chart" uri="{C3380CC4-5D6E-409C-BE32-E72D297353CC}">
                <c16:uniqueId val="{00000009-C033-4F46-96CC-598366C58550}"/>
              </c:ext>
            </c:extLst>
          </c:dPt>
          <c:dPt>
            <c:idx val="5"/>
            <c:bubble3D val="0"/>
            <c:spPr>
              <a:noFill/>
              <a:ln w="19050">
                <a:noFill/>
              </a:ln>
              <a:effectLst/>
            </c:spPr>
            <c:extLst>
              <c:ext xmlns:c16="http://schemas.microsoft.com/office/drawing/2014/chart" uri="{C3380CC4-5D6E-409C-BE32-E72D297353CC}">
                <c16:uniqueId val="{0000000B-C033-4F46-96CC-598366C58550}"/>
              </c:ext>
            </c:extLst>
          </c:dPt>
          <c:cat>
            <c:strRef>
              <c:f>Processing!$H$18:$H$23</c:f>
              <c:strCache>
                <c:ptCount val="5"/>
                <c:pt idx="0">
                  <c:v>Business</c:v>
                </c:pt>
                <c:pt idx="1">
                  <c:v>Securities</c:v>
                </c:pt>
                <c:pt idx="2">
                  <c:v>Gold</c:v>
                </c:pt>
                <c:pt idx="3">
                  <c:v>Real estate</c:v>
                </c:pt>
                <c:pt idx="4">
                  <c:v>Cryptocurrency</c:v>
                </c:pt>
              </c:strCache>
            </c:strRef>
          </c:cat>
          <c:val>
            <c:numRef>
              <c:f>Processing!$J$18:$J$23</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C-C033-4F46-96CC-598366C58550}"/>
            </c:ext>
          </c:extLst>
        </c:ser>
        <c:ser>
          <c:idx val="1"/>
          <c:order val="1"/>
          <c:spPr>
            <a:ln>
              <a:noFill/>
            </a:ln>
          </c:spPr>
          <c:dPt>
            <c:idx val="0"/>
            <c:bubble3D val="0"/>
            <c:spPr>
              <a:gradFill>
                <a:gsLst>
                  <a:gs pos="43000">
                    <a:srgbClr val="8701D9"/>
                  </a:gs>
                  <a:gs pos="100000">
                    <a:srgbClr val="AD27FE"/>
                  </a:gs>
                </a:gsLst>
                <a:path path="circle">
                  <a:fillToRect t="100000" r="100000"/>
                </a:path>
              </a:gradFill>
              <a:ln w="19050">
                <a:noFill/>
              </a:ln>
              <a:effectLst/>
            </c:spPr>
            <c:extLst>
              <c:ext xmlns:c16="http://schemas.microsoft.com/office/drawing/2014/chart" uri="{C3380CC4-5D6E-409C-BE32-E72D297353CC}">
                <c16:uniqueId val="{0000000E-C033-4F46-96CC-598366C58550}"/>
              </c:ext>
            </c:extLst>
          </c:dPt>
          <c:dPt>
            <c:idx val="1"/>
            <c:bubble3D val="0"/>
            <c:spPr>
              <a:solidFill>
                <a:srgbClr val="E57CF8"/>
              </a:solidFill>
              <a:ln w="19050">
                <a:noFill/>
              </a:ln>
              <a:effectLst/>
            </c:spPr>
            <c:extLst>
              <c:ext xmlns:c16="http://schemas.microsoft.com/office/drawing/2014/chart" uri="{C3380CC4-5D6E-409C-BE32-E72D297353CC}">
                <c16:uniqueId val="{00000010-C033-4F46-96CC-598366C58550}"/>
              </c:ext>
            </c:extLst>
          </c:dPt>
          <c:dPt>
            <c:idx val="2"/>
            <c:bubble3D val="0"/>
            <c:spPr>
              <a:solidFill>
                <a:srgbClr val="FBF1BD"/>
              </a:solidFill>
              <a:ln w="19050">
                <a:noFill/>
              </a:ln>
              <a:effectLst/>
            </c:spPr>
            <c:extLst>
              <c:ext xmlns:c16="http://schemas.microsoft.com/office/drawing/2014/chart" uri="{C3380CC4-5D6E-409C-BE32-E72D297353CC}">
                <c16:uniqueId val="{00000012-C033-4F46-96CC-598366C58550}"/>
              </c:ext>
            </c:extLst>
          </c:dPt>
          <c:dPt>
            <c:idx val="3"/>
            <c:bubble3D val="0"/>
            <c:spPr>
              <a:solidFill>
                <a:srgbClr val="BFCDE4"/>
              </a:solidFill>
              <a:ln w="19050">
                <a:noFill/>
              </a:ln>
              <a:effectLst/>
            </c:spPr>
            <c:extLst>
              <c:ext xmlns:c16="http://schemas.microsoft.com/office/drawing/2014/chart" uri="{C3380CC4-5D6E-409C-BE32-E72D297353CC}">
                <c16:uniqueId val="{00000014-C033-4F46-96CC-598366C58550}"/>
              </c:ext>
            </c:extLst>
          </c:dPt>
          <c:dPt>
            <c:idx val="4"/>
            <c:bubble3D val="0"/>
            <c:spPr>
              <a:noFill/>
              <a:ln w="19050">
                <a:noFill/>
              </a:ln>
              <a:effectLst/>
            </c:spPr>
            <c:extLst>
              <c:ext xmlns:c16="http://schemas.microsoft.com/office/drawing/2014/chart" uri="{C3380CC4-5D6E-409C-BE32-E72D297353CC}">
                <c16:uniqueId val="{00000016-C033-4F46-96CC-598366C58550}"/>
              </c:ext>
            </c:extLst>
          </c:dPt>
          <c:dPt>
            <c:idx val="5"/>
            <c:bubble3D val="0"/>
            <c:spPr>
              <a:noFill/>
              <a:ln w="19050">
                <a:noFill/>
              </a:ln>
              <a:effectLst/>
            </c:spPr>
            <c:extLst>
              <c:ext xmlns:c16="http://schemas.microsoft.com/office/drawing/2014/chart" uri="{C3380CC4-5D6E-409C-BE32-E72D297353CC}">
                <c16:uniqueId val="{00000018-C033-4F46-96CC-598366C58550}"/>
              </c:ext>
            </c:extLst>
          </c:dPt>
          <c:cat>
            <c:strRef>
              <c:f>Processing!$H$18:$H$23</c:f>
              <c:strCache>
                <c:ptCount val="5"/>
                <c:pt idx="0">
                  <c:v>Business</c:v>
                </c:pt>
                <c:pt idx="1">
                  <c:v>Securities</c:v>
                </c:pt>
                <c:pt idx="2">
                  <c:v>Gold</c:v>
                </c:pt>
                <c:pt idx="3">
                  <c:v>Real estate</c:v>
                </c:pt>
                <c:pt idx="4">
                  <c:v>Cryptocurrency</c:v>
                </c:pt>
              </c:strCache>
            </c:strRef>
          </c:cat>
          <c:val>
            <c:numRef>
              <c:f>Processing!$K$18:$K$23</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19-C033-4F46-96CC-598366C58550}"/>
            </c:ext>
          </c:extLst>
        </c:ser>
        <c:ser>
          <c:idx val="2"/>
          <c:order val="2"/>
          <c:spPr>
            <a:ln>
              <a:noFill/>
            </a:ln>
          </c:spPr>
          <c:dPt>
            <c:idx val="0"/>
            <c:bubble3D val="0"/>
            <c:spPr>
              <a:gradFill>
                <a:gsLst>
                  <a:gs pos="43000">
                    <a:srgbClr val="8701D9"/>
                  </a:gs>
                  <a:gs pos="100000">
                    <a:srgbClr val="AD27FE"/>
                  </a:gs>
                </a:gsLst>
                <a:path path="circle">
                  <a:fillToRect t="100000" r="100000"/>
                </a:path>
              </a:gradFill>
              <a:ln w="19050">
                <a:noFill/>
              </a:ln>
              <a:effectLst/>
            </c:spPr>
            <c:extLst>
              <c:ext xmlns:c16="http://schemas.microsoft.com/office/drawing/2014/chart" uri="{C3380CC4-5D6E-409C-BE32-E72D297353CC}">
                <c16:uniqueId val="{0000001B-C033-4F46-96CC-598366C58550}"/>
              </c:ext>
            </c:extLst>
          </c:dPt>
          <c:dPt>
            <c:idx val="1"/>
            <c:bubble3D val="0"/>
            <c:spPr>
              <a:solidFill>
                <a:srgbClr val="E57CF8"/>
              </a:solidFill>
              <a:ln w="19050">
                <a:noFill/>
              </a:ln>
              <a:effectLst/>
            </c:spPr>
            <c:extLst>
              <c:ext xmlns:c16="http://schemas.microsoft.com/office/drawing/2014/chart" uri="{C3380CC4-5D6E-409C-BE32-E72D297353CC}">
                <c16:uniqueId val="{0000001D-C033-4F46-96CC-598366C58550}"/>
              </c:ext>
            </c:extLst>
          </c:dPt>
          <c:dPt>
            <c:idx val="2"/>
            <c:bubble3D val="0"/>
            <c:spPr>
              <a:solidFill>
                <a:srgbClr val="FBF1BD"/>
              </a:solidFill>
              <a:ln w="19050">
                <a:noFill/>
              </a:ln>
              <a:effectLst/>
            </c:spPr>
            <c:extLst>
              <c:ext xmlns:c16="http://schemas.microsoft.com/office/drawing/2014/chart" uri="{C3380CC4-5D6E-409C-BE32-E72D297353CC}">
                <c16:uniqueId val="{0000001F-C033-4F46-96CC-598366C58550}"/>
              </c:ext>
            </c:extLst>
          </c:dPt>
          <c:dPt>
            <c:idx val="3"/>
            <c:bubble3D val="0"/>
            <c:spPr>
              <a:noFill/>
              <a:ln w="19050">
                <a:noFill/>
              </a:ln>
              <a:effectLst/>
            </c:spPr>
            <c:extLst>
              <c:ext xmlns:c16="http://schemas.microsoft.com/office/drawing/2014/chart" uri="{C3380CC4-5D6E-409C-BE32-E72D297353CC}">
                <c16:uniqueId val="{00000021-C033-4F46-96CC-598366C58550}"/>
              </c:ext>
            </c:extLst>
          </c:dPt>
          <c:dPt>
            <c:idx val="4"/>
            <c:bubble3D val="0"/>
            <c:spPr>
              <a:noFill/>
              <a:ln w="19050">
                <a:noFill/>
              </a:ln>
              <a:effectLst/>
            </c:spPr>
            <c:extLst>
              <c:ext xmlns:c16="http://schemas.microsoft.com/office/drawing/2014/chart" uri="{C3380CC4-5D6E-409C-BE32-E72D297353CC}">
                <c16:uniqueId val="{00000023-C033-4F46-96CC-598366C58550}"/>
              </c:ext>
            </c:extLst>
          </c:dPt>
          <c:dPt>
            <c:idx val="5"/>
            <c:bubble3D val="0"/>
            <c:spPr>
              <a:noFill/>
              <a:ln w="19050">
                <a:noFill/>
              </a:ln>
              <a:effectLst/>
            </c:spPr>
            <c:extLst>
              <c:ext xmlns:c16="http://schemas.microsoft.com/office/drawing/2014/chart" uri="{C3380CC4-5D6E-409C-BE32-E72D297353CC}">
                <c16:uniqueId val="{00000025-C033-4F46-96CC-598366C58550}"/>
              </c:ext>
            </c:extLst>
          </c:dPt>
          <c:dLbls>
            <c:dLbl>
              <c:idx val="5"/>
              <c:delete val="1"/>
              <c:extLst>
                <c:ext xmlns:c15="http://schemas.microsoft.com/office/drawing/2012/chart" uri="{CE6537A1-D6FC-4f65-9D91-7224C49458BB}"/>
                <c:ext xmlns:c16="http://schemas.microsoft.com/office/drawing/2014/chart" uri="{C3380CC4-5D6E-409C-BE32-E72D297353CC}">
                  <c16:uniqueId val="{00000025-C033-4F46-96CC-598366C58550}"/>
                </c:ext>
              </c:extLst>
            </c:dLbl>
            <c:spPr>
              <a:solidFill>
                <a:sysClr val="window" lastClr="FFFFFF"/>
              </a:solidFill>
              <a:ln>
                <a:solidFill>
                  <a:sysClr val="windowText" lastClr="000000">
                    <a:lumMod val="65000"/>
                    <a:lumOff val="35000"/>
                  </a:sysClr>
                </a:solidFill>
              </a:ln>
              <a:effectLst/>
            </c:spPr>
            <c:txPr>
              <a:bodyPr vertOverflow="clip" horzOverflow="clip">
                <a:spAutoFit/>
              </a:bodyPr>
              <a:lstStyle/>
              <a:p>
                <a:pPr>
                  <a:defRPr sz="1000"/>
                </a:pPr>
                <a:endParaRPr lang="it-IT"/>
              </a:p>
            </c:txPr>
            <c:showLegendKey val="0"/>
            <c:showVal val="1"/>
            <c:showCatName val="0"/>
            <c:showSerName val="0"/>
            <c:showPercent val="0"/>
            <c:showBubbleSize val="0"/>
            <c:showLeaderLines val="1"/>
            <c:extLst>
              <c:ext xmlns:c15="http://schemas.microsoft.com/office/drawing/2012/chart" uri="{CE6537A1-D6FC-4f65-9D91-7224C49458BB}">
                <c15:spPr xmlns:c15="http://schemas.microsoft.com/office/drawing/2012/chart">
                  <a:prstGeom prst="roundRect">
                    <a:avLst/>
                  </a:prstGeom>
                </c15:spPr>
              </c:ext>
            </c:extLst>
          </c:dLbls>
          <c:cat>
            <c:strRef>
              <c:f>Processing!$H$18:$H$23</c:f>
              <c:strCache>
                <c:ptCount val="5"/>
                <c:pt idx="0">
                  <c:v>Business</c:v>
                </c:pt>
                <c:pt idx="1">
                  <c:v>Securities</c:v>
                </c:pt>
                <c:pt idx="2">
                  <c:v>Gold</c:v>
                </c:pt>
                <c:pt idx="3">
                  <c:v>Real estate</c:v>
                </c:pt>
                <c:pt idx="4">
                  <c:v>Cryptocurrency</c:v>
                </c:pt>
              </c:strCache>
            </c:strRef>
          </c:cat>
          <c:val>
            <c:numRef>
              <c:f>Processing!$L$18:$L$23</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26-C033-4F46-96CC-598366C58550}"/>
            </c:ext>
          </c:extLst>
        </c:ser>
        <c:ser>
          <c:idx val="3"/>
          <c:order val="3"/>
          <c:spPr>
            <a:ln>
              <a:noFill/>
            </a:ln>
          </c:spPr>
          <c:dPt>
            <c:idx val="0"/>
            <c:bubble3D val="0"/>
            <c:spPr>
              <a:gradFill>
                <a:gsLst>
                  <a:gs pos="43000">
                    <a:srgbClr val="8701D9"/>
                  </a:gs>
                  <a:gs pos="100000">
                    <a:srgbClr val="AD27FE"/>
                  </a:gs>
                </a:gsLst>
                <a:path path="circle">
                  <a:fillToRect t="100000" r="100000"/>
                </a:path>
              </a:gradFill>
              <a:ln w="19050">
                <a:noFill/>
              </a:ln>
              <a:effectLst/>
            </c:spPr>
            <c:extLst>
              <c:ext xmlns:c16="http://schemas.microsoft.com/office/drawing/2014/chart" uri="{C3380CC4-5D6E-409C-BE32-E72D297353CC}">
                <c16:uniqueId val="{00000028-C033-4F46-96CC-598366C58550}"/>
              </c:ext>
            </c:extLst>
          </c:dPt>
          <c:dPt>
            <c:idx val="1"/>
            <c:bubble3D val="0"/>
            <c:spPr>
              <a:solidFill>
                <a:srgbClr val="E57CF8"/>
              </a:solidFill>
              <a:ln w="19050">
                <a:noFill/>
              </a:ln>
              <a:effectLst/>
            </c:spPr>
            <c:extLst>
              <c:ext xmlns:c16="http://schemas.microsoft.com/office/drawing/2014/chart" uri="{C3380CC4-5D6E-409C-BE32-E72D297353CC}">
                <c16:uniqueId val="{0000002A-C033-4F46-96CC-598366C58550}"/>
              </c:ext>
            </c:extLst>
          </c:dPt>
          <c:dPt>
            <c:idx val="2"/>
            <c:bubble3D val="0"/>
            <c:spPr>
              <a:noFill/>
              <a:ln w="19050">
                <a:noFill/>
              </a:ln>
              <a:effectLst/>
            </c:spPr>
            <c:extLst>
              <c:ext xmlns:c16="http://schemas.microsoft.com/office/drawing/2014/chart" uri="{C3380CC4-5D6E-409C-BE32-E72D297353CC}">
                <c16:uniqueId val="{0000002C-C033-4F46-96CC-598366C58550}"/>
              </c:ext>
            </c:extLst>
          </c:dPt>
          <c:dPt>
            <c:idx val="3"/>
            <c:bubble3D val="0"/>
            <c:spPr>
              <a:noFill/>
              <a:ln w="19050">
                <a:noFill/>
              </a:ln>
              <a:effectLst/>
            </c:spPr>
            <c:extLst>
              <c:ext xmlns:c16="http://schemas.microsoft.com/office/drawing/2014/chart" uri="{C3380CC4-5D6E-409C-BE32-E72D297353CC}">
                <c16:uniqueId val="{0000002E-C033-4F46-96CC-598366C58550}"/>
              </c:ext>
            </c:extLst>
          </c:dPt>
          <c:dPt>
            <c:idx val="4"/>
            <c:bubble3D val="0"/>
            <c:spPr>
              <a:noFill/>
              <a:ln w="19050">
                <a:noFill/>
              </a:ln>
              <a:effectLst/>
            </c:spPr>
            <c:extLst>
              <c:ext xmlns:c16="http://schemas.microsoft.com/office/drawing/2014/chart" uri="{C3380CC4-5D6E-409C-BE32-E72D297353CC}">
                <c16:uniqueId val="{00000030-C033-4F46-96CC-598366C58550}"/>
              </c:ext>
            </c:extLst>
          </c:dPt>
          <c:dPt>
            <c:idx val="5"/>
            <c:bubble3D val="0"/>
            <c:spPr>
              <a:noFill/>
              <a:ln w="19050">
                <a:noFill/>
              </a:ln>
              <a:effectLst/>
            </c:spPr>
            <c:extLst>
              <c:ext xmlns:c16="http://schemas.microsoft.com/office/drawing/2014/chart" uri="{C3380CC4-5D6E-409C-BE32-E72D297353CC}">
                <c16:uniqueId val="{00000032-C033-4F46-96CC-598366C58550}"/>
              </c:ext>
            </c:extLst>
          </c:dPt>
          <c:cat>
            <c:strRef>
              <c:f>Processing!$H$18:$H$23</c:f>
              <c:strCache>
                <c:ptCount val="5"/>
                <c:pt idx="0">
                  <c:v>Business</c:v>
                </c:pt>
                <c:pt idx="1">
                  <c:v>Securities</c:v>
                </c:pt>
                <c:pt idx="2">
                  <c:v>Gold</c:v>
                </c:pt>
                <c:pt idx="3">
                  <c:v>Real estate</c:v>
                </c:pt>
                <c:pt idx="4">
                  <c:v>Cryptocurrency</c:v>
                </c:pt>
              </c:strCache>
            </c:strRef>
          </c:cat>
          <c:val>
            <c:numRef>
              <c:f>Processing!$M$18:$M$23</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33-C033-4F46-96CC-598366C58550}"/>
            </c:ext>
          </c:extLst>
        </c:ser>
        <c:ser>
          <c:idx val="4"/>
          <c:order val="4"/>
          <c:spPr>
            <a:ln>
              <a:noFill/>
            </a:ln>
          </c:spPr>
          <c:dPt>
            <c:idx val="0"/>
            <c:bubble3D val="0"/>
            <c:spPr>
              <a:gradFill>
                <a:gsLst>
                  <a:gs pos="43000">
                    <a:srgbClr val="8701D9"/>
                  </a:gs>
                  <a:gs pos="100000">
                    <a:srgbClr val="AD27FE"/>
                  </a:gs>
                </a:gsLst>
                <a:path path="circle">
                  <a:fillToRect t="100000" r="100000"/>
                </a:path>
              </a:gradFill>
              <a:ln w="19050">
                <a:noFill/>
              </a:ln>
              <a:effectLst/>
            </c:spPr>
            <c:extLst>
              <c:ext xmlns:c16="http://schemas.microsoft.com/office/drawing/2014/chart" uri="{C3380CC4-5D6E-409C-BE32-E72D297353CC}">
                <c16:uniqueId val="{00000035-C033-4F46-96CC-598366C58550}"/>
              </c:ext>
            </c:extLst>
          </c:dPt>
          <c:dPt>
            <c:idx val="1"/>
            <c:bubble3D val="0"/>
            <c:spPr>
              <a:noFill/>
              <a:ln w="19050">
                <a:noFill/>
              </a:ln>
              <a:effectLst/>
            </c:spPr>
            <c:extLst>
              <c:ext xmlns:c16="http://schemas.microsoft.com/office/drawing/2014/chart" uri="{C3380CC4-5D6E-409C-BE32-E72D297353CC}">
                <c16:uniqueId val="{00000037-C033-4F46-96CC-598366C58550}"/>
              </c:ext>
            </c:extLst>
          </c:dPt>
          <c:dPt>
            <c:idx val="2"/>
            <c:bubble3D val="0"/>
            <c:spPr>
              <a:noFill/>
              <a:ln w="19050">
                <a:noFill/>
              </a:ln>
              <a:effectLst/>
            </c:spPr>
            <c:extLst>
              <c:ext xmlns:c16="http://schemas.microsoft.com/office/drawing/2014/chart" uri="{C3380CC4-5D6E-409C-BE32-E72D297353CC}">
                <c16:uniqueId val="{00000039-C033-4F46-96CC-598366C58550}"/>
              </c:ext>
            </c:extLst>
          </c:dPt>
          <c:dPt>
            <c:idx val="3"/>
            <c:bubble3D val="0"/>
            <c:spPr>
              <a:noFill/>
              <a:ln w="19050">
                <a:noFill/>
              </a:ln>
              <a:effectLst/>
            </c:spPr>
            <c:extLst>
              <c:ext xmlns:c16="http://schemas.microsoft.com/office/drawing/2014/chart" uri="{C3380CC4-5D6E-409C-BE32-E72D297353CC}">
                <c16:uniqueId val="{0000003B-C033-4F46-96CC-598366C58550}"/>
              </c:ext>
            </c:extLst>
          </c:dPt>
          <c:dPt>
            <c:idx val="4"/>
            <c:bubble3D val="0"/>
            <c:spPr>
              <a:noFill/>
              <a:ln w="19050">
                <a:noFill/>
              </a:ln>
              <a:effectLst/>
            </c:spPr>
            <c:extLst>
              <c:ext xmlns:c16="http://schemas.microsoft.com/office/drawing/2014/chart" uri="{C3380CC4-5D6E-409C-BE32-E72D297353CC}">
                <c16:uniqueId val="{0000003D-C033-4F46-96CC-598366C58550}"/>
              </c:ext>
            </c:extLst>
          </c:dPt>
          <c:dPt>
            <c:idx val="5"/>
            <c:bubble3D val="0"/>
            <c:spPr>
              <a:noFill/>
              <a:ln w="19050">
                <a:noFill/>
              </a:ln>
              <a:effectLst/>
            </c:spPr>
            <c:extLst>
              <c:ext xmlns:c16="http://schemas.microsoft.com/office/drawing/2014/chart" uri="{C3380CC4-5D6E-409C-BE32-E72D297353CC}">
                <c16:uniqueId val="{0000003F-C033-4F46-96CC-598366C58550}"/>
              </c:ext>
            </c:extLst>
          </c:dPt>
          <c:cat>
            <c:strRef>
              <c:f>Processing!$H$18:$H$23</c:f>
              <c:strCache>
                <c:ptCount val="5"/>
                <c:pt idx="0">
                  <c:v>Business</c:v>
                </c:pt>
                <c:pt idx="1">
                  <c:v>Securities</c:v>
                </c:pt>
                <c:pt idx="2">
                  <c:v>Gold</c:v>
                </c:pt>
                <c:pt idx="3">
                  <c:v>Real estate</c:v>
                </c:pt>
                <c:pt idx="4">
                  <c:v>Cryptocurrency</c:v>
                </c:pt>
              </c:strCache>
            </c:strRef>
          </c:cat>
          <c:val>
            <c:numRef>
              <c:f>Processing!$N$18:$N$23</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40-C033-4F46-96CC-598366C58550}"/>
            </c:ext>
          </c:extLst>
        </c:ser>
        <c:dLbls>
          <c:showLegendKey val="0"/>
          <c:showVal val="0"/>
          <c:showCatName val="0"/>
          <c:showSerName val="0"/>
          <c:showPercent val="0"/>
          <c:showBubbleSize val="0"/>
          <c:showLeaderLines val="1"/>
        </c:dLbls>
        <c:firstSliceAng val="270"/>
        <c:holeSize val="29"/>
      </c:doughnutChart>
    </c:plotArea>
    <c:legend>
      <c:legendPos val="b"/>
      <c:layout>
        <c:manualLayout>
          <c:xMode val="edge"/>
          <c:yMode val="edge"/>
          <c:x val="0.27683648810902389"/>
          <c:y val="0.62072047270505171"/>
          <c:w val="0.45395602295254095"/>
          <c:h val="7.1959448829861064E-2"/>
        </c:manualLayout>
      </c:layout>
      <c:overlay val="0"/>
      <c:txPr>
        <a:bodyPr/>
        <a:lstStyle/>
        <a:p>
          <a:pPr>
            <a:defRPr sz="1000">
              <a:solidFill>
                <a:srgbClr val="BFCDE4"/>
              </a:solidFill>
            </a:defRPr>
          </a:pPr>
          <a:endParaRPr lang="it-IT"/>
        </a:p>
      </c:txPr>
    </c:legend>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7.5169524117968539E-2"/>
          <c:y val="4.7718722659667541E-2"/>
          <c:w val="0.89698128993515913"/>
          <c:h val="0.84256415864683576"/>
        </c:manualLayout>
      </c:layout>
      <c:barChart>
        <c:barDir val="col"/>
        <c:grouping val="clustered"/>
        <c:varyColors val="0"/>
        <c:ser>
          <c:idx val="1"/>
          <c:order val="0"/>
          <c:spPr>
            <a:solidFill>
              <a:srgbClr val="FE2827"/>
            </a:solidFill>
          </c:spPr>
          <c:invertIfNegative val="0"/>
          <c:val>
            <c:numRef>
              <c:f>Processing!$P$27:$P$57</c:f>
              <c:numCache>
                <c:formatCode>_-[$€-2]\ * #,##0_-;\-[$€-2]\ * #,##0_-;_-[$€-2]\ * "-"_-;_-@_-</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93A7-4807-93AB-5C0A80F3753B}"/>
            </c:ext>
          </c:extLst>
        </c:ser>
        <c:ser>
          <c:idx val="0"/>
          <c:order val="1"/>
          <c:spPr>
            <a:gradFill>
              <a:gsLst>
                <a:gs pos="0">
                  <a:srgbClr val="C4FEF9"/>
                </a:gs>
                <a:gs pos="94000">
                  <a:srgbClr val="7CF89B"/>
                </a:gs>
              </a:gsLst>
              <a:lin ang="5400000" scaled="1"/>
            </a:gradFill>
          </c:spPr>
          <c:invertIfNegative val="0"/>
          <c:val>
            <c:numRef>
              <c:f>Processing!$O$27:$O$57</c:f>
              <c:numCache>
                <c:formatCode>_-[$€-2]\ * #,##0_-;\-[$€-2]\ * #,##0_-;_-[$€-2]\ * "-"_-;_-@_-</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93A7-4807-93AB-5C0A80F3753B}"/>
            </c:ext>
          </c:extLst>
        </c:ser>
        <c:ser>
          <c:idx val="2"/>
          <c:order val="2"/>
          <c:tx>
            <c:strRef>
              <c:f>Processing!$Q$26</c:f>
              <c:strCache>
                <c:ptCount val="1"/>
                <c:pt idx="0">
                  <c:v>Mirror</c:v>
                </c:pt>
              </c:strCache>
            </c:strRef>
          </c:tx>
          <c:spPr>
            <a:solidFill>
              <a:srgbClr val="3A3F50"/>
            </a:solidFill>
          </c:spPr>
          <c:invertIfNegative val="0"/>
          <c:val>
            <c:numRef>
              <c:f>Processing!$Q$27:$Q$57</c:f>
              <c:numCache>
                <c:formatCode>_-[$$-409]* #,##0_ ;_-[$$-409]* \-#,##0\ ;_-[$$-409]* "-"??_ ;_-@_ </c:formatCode>
                <c:ptCount val="3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extLst>
            <c:ext xmlns:c16="http://schemas.microsoft.com/office/drawing/2014/chart" uri="{C3380CC4-5D6E-409C-BE32-E72D297353CC}">
              <c16:uniqueId val="{00000001-0FDD-4874-B909-3F682E95094B}"/>
            </c:ext>
          </c:extLst>
        </c:ser>
        <c:dLbls>
          <c:showLegendKey val="0"/>
          <c:showVal val="0"/>
          <c:showCatName val="0"/>
          <c:showSerName val="0"/>
          <c:showPercent val="0"/>
          <c:showBubbleSize val="0"/>
        </c:dLbls>
        <c:gapWidth val="120"/>
        <c:overlap val="100"/>
        <c:axId val="1851983647"/>
        <c:axId val="1474135967"/>
      </c:barChart>
      <c:catAx>
        <c:axId val="1851983647"/>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900" b="0" i="0" u="none" strike="noStrike" kern="1200" baseline="0">
                <a:solidFill>
                  <a:srgbClr val="BFCDE4"/>
                </a:solidFill>
                <a:latin typeface="+mn-lt"/>
                <a:ea typeface="+mn-ea"/>
                <a:cs typeface="+mn-cs"/>
              </a:defRPr>
            </a:pPr>
            <a:endParaRPr lang="it-IT"/>
          </a:p>
        </c:txPr>
        <c:crossAx val="1474135967"/>
        <c:crosses val="autoZero"/>
        <c:auto val="1"/>
        <c:lblAlgn val="ctr"/>
        <c:lblOffset val="100"/>
        <c:noMultiLvlLbl val="0"/>
      </c:catAx>
      <c:valAx>
        <c:axId val="1474135967"/>
        <c:scaling>
          <c:orientation val="minMax"/>
        </c:scaling>
        <c:delete val="0"/>
        <c:axPos val="l"/>
        <c:numFmt formatCode="_-[$€-2]\ * #,##0_-;\-[$€-2]\ * #,##0_-;_-[$€-2]\ * &quot;-&quot;_-;_-@_-"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rgbClr val="BFCDE4"/>
                </a:solidFill>
                <a:latin typeface="+mn-lt"/>
                <a:ea typeface="+mn-ea"/>
                <a:cs typeface="+mn-cs"/>
              </a:defRPr>
            </a:pPr>
            <a:endParaRPr lang="it-IT"/>
          </a:p>
        </c:txPr>
        <c:crossAx val="1851983647"/>
        <c:crosses val="autoZero"/>
        <c:crossBetween val="between"/>
      </c:valAx>
      <c:spPr>
        <a:noFill/>
      </c:spPr>
    </c:plotArea>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8.1584367009810449E-2"/>
          <c:y val="8.1584367009810449E-2"/>
          <c:w val="0.8654578869346149"/>
          <c:h val="0.8654578869346149"/>
        </c:manualLayout>
      </c:layout>
      <c:doughnutChart>
        <c:varyColors val="1"/>
        <c:ser>
          <c:idx val="0"/>
          <c:order val="0"/>
          <c:spPr>
            <a:solidFill>
              <a:srgbClr val="3A3F50"/>
            </a:solidFill>
          </c:spPr>
          <c:dPt>
            <c:idx val="0"/>
            <c:bubble3D val="0"/>
            <c:spPr>
              <a:solidFill>
                <a:srgbClr val="7CF89B"/>
              </a:solidFill>
            </c:spPr>
            <c:extLst>
              <c:ext xmlns:c16="http://schemas.microsoft.com/office/drawing/2014/chart" uri="{C3380CC4-5D6E-409C-BE32-E72D297353CC}">
                <c16:uniqueId val="{00000001-36AE-4FF6-8CFE-C6E50D1DC011}"/>
              </c:ext>
            </c:extLst>
          </c:dPt>
          <c:val>
            <c:numRef>
              <c:f>Processing!$K$153:$L$153</c:f>
              <c:numCache>
                <c:formatCode>0%</c:formatCode>
                <c:ptCount val="2"/>
                <c:pt idx="0">
                  <c:v>0</c:v>
                </c:pt>
                <c:pt idx="1">
                  <c:v>1</c:v>
                </c:pt>
              </c:numCache>
            </c:numRef>
          </c:val>
          <c:extLst>
            <c:ext xmlns:c16="http://schemas.microsoft.com/office/drawing/2014/chart" uri="{C3380CC4-5D6E-409C-BE32-E72D297353CC}">
              <c16:uniqueId val="{00000004-36AE-4FF6-8CFE-C6E50D1DC011}"/>
            </c:ext>
          </c:extLst>
        </c:ser>
        <c:dLbls>
          <c:showLegendKey val="0"/>
          <c:showVal val="0"/>
          <c:showCatName val="0"/>
          <c:showSerName val="0"/>
          <c:showPercent val="0"/>
          <c:showBubbleSize val="0"/>
          <c:showLeaderLines val="1"/>
        </c:dLbls>
        <c:firstSliceAng val="0"/>
        <c:holeSize val="75"/>
      </c:doughnutChart>
      <c:doughnutChart>
        <c:varyColors val="1"/>
        <c:ser>
          <c:idx val="1"/>
          <c:order val="1"/>
          <c:spPr>
            <a:solidFill>
              <a:srgbClr val="FE2827"/>
            </a:solidFill>
          </c:spPr>
          <c:dPt>
            <c:idx val="0"/>
            <c:bubble3D val="0"/>
            <c:spPr>
              <a:noFill/>
            </c:spPr>
            <c:extLst>
              <c:ext xmlns:c16="http://schemas.microsoft.com/office/drawing/2014/chart" uri="{C3380CC4-5D6E-409C-BE32-E72D297353CC}">
                <c16:uniqueId val="{00000006-36AE-4FF6-8CFE-C6E50D1DC011}"/>
              </c:ext>
            </c:extLst>
          </c:dPt>
          <c:val>
            <c:numRef>
              <c:f>Processing!$K$154:$L$154</c:f>
              <c:numCache>
                <c:formatCode>0%</c:formatCode>
                <c:ptCount val="2"/>
                <c:pt idx="0">
                  <c:v>0</c:v>
                </c:pt>
                <c:pt idx="1">
                  <c:v>1</c:v>
                </c:pt>
              </c:numCache>
            </c:numRef>
          </c:val>
          <c:extLst>
            <c:ext xmlns:c16="http://schemas.microsoft.com/office/drawing/2014/chart" uri="{C3380CC4-5D6E-409C-BE32-E72D297353CC}">
              <c16:uniqueId val="{00000009-36AE-4FF6-8CFE-C6E50D1DC011}"/>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clustered"/>
        <c:varyColors val="0"/>
        <c:ser>
          <c:idx val="0"/>
          <c:order val="0"/>
          <c:spPr>
            <a:solidFill>
              <a:schemeClr val="accent1"/>
            </a:solidFill>
            <a:ln>
              <a:noFill/>
            </a:ln>
            <a:effectLst/>
          </c:spPr>
          <c:invertIfNegative val="0"/>
          <c:val>
            <c:numRef>
              <c:f>Processing!$H$151:$H$151</c:f>
              <c:numCache>
                <c:formatCode>General</c:formatCode>
                <c:ptCount val="1"/>
                <c:pt idx="0">
                  <c:v>0</c:v>
                </c:pt>
              </c:numCache>
            </c:numRef>
          </c:val>
          <c:extLst>
            <c:ext xmlns:c16="http://schemas.microsoft.com/office/drawing/2014/chart" uri="{C3380CC4-5D6E-409C-BE32-E72D297353CC}">
              <c16:uniqueId val="{00000002-0B19-124D-8ECF-25EFE836BF9D}"/>
            </c:ext>
          </c:extLst>
        </c:ser>
        <c:dLbls>
          <c:showLegendKey val="0"/>
          <c:showVal val="0"/>
          <c:showCatName val="0"/>
          <c:showSerName val="0"/>
          <c:showPercent val="0"/>
          <c:showBubbleSize val="0"/>
        </c:dLbls>
        <c:gapWidth val="500"/>
        <c:axId val="628852896"/>
        <c:axId val="628856736"/>
      </c:barChart>
      <c:catAx>
        <c:axId val="628852896"/>
        <c:scaling>
          <c:orientation val="minMax"/>
        </c:scaling>
        <c:delete val="1"/>
        <c:axPos val="b"/>
        <c:majorTickMark val="none"/>
        <c:minorTickMark val="none"/>
        <c:tickLblPos val="nextTo"/>
        <c:crossAx val="628856736"/>
        <c:crosses val="autoZero"/>
        <c:auto val="1"/>
        <c:lblAlgn val="ctr"/>
        <c:lblOffset val="100"/>
        <c:noMultiLvlLbl val="0"/>
      </c:catAx>
      <c:valAx>
        <c:axId val="628856736"/>
        <c:scaling>
          <c:orientation val="minMax"/>
        </c:scaling>
        <c:delete val="1"/>
        <c:axPos val="l"/>
        <c:numFmt formatCode="General" sourceLinked="1"/>
        <c:majorTickMark val="none"/>
        <c:minorTickMark val="none"/>
        <c:tickLblPos val="nextTo"/>
        <c:crossAx val="628852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7.5169524117968539E-2"/>
          <c:y val="4.7718722659667541E-2"/>
          <c:w val="0.89698128993515913"/>
          <c:h val="0.84256415864683576"/>
        </c:manualLayout>
      </c:layout>
      <c:barChart>
        <c:barDir val="col"/>
        <c:grouping val="clustered"/>
        <c:varyColors val="0"/>
        <c:ser>
          <c:idx val="2"/>
          <c:order val="0"/>
          <c:spPr>
            <a:solidFill>
              <a:srgbClr val="3A3F50"/>
            </a:solidFill>
          </c:spPr>
          <c:invertIfNegative val="0"/>
          <c:cat>
            <c:numRef>
              <c:f>Processing!$I$27:$I$57</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Processing!$U$27:$U$57</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974E-6544-BDFA-4DF5E01385FC}"/>
            </c:ext>
          </c:extLst>
        </c:ser>
        <c:ser>
          <c:idx val="0"/>
          <c:order val="1"/>
          <c:spPr>
            <a:gradFill>
              <a:gsLst>
                <a:gs pos="0">
                  <a:srgbClr val="55E7F9"/>
                </a:gs>
                <a:gs pos="100000">
                  <a:srgbClr val="0C68BE"/>
                </a:gs>
              </a:gsLst>
              <a:lin ang="5400000" scaled="1"/>
            </a:gradFill>
          </c:spPr>
          <c:invertIfNegative val="0"/>
          <c:cat>
            <c:numRef>
              <c:f>Processing!$I$27:$I$57</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Processing!$S$27:$S$57</c:f>
              <c:numCache>
                <c:formatCode>_-[$€-2]\ * #,##0_-;\-[$€-2]\ * #,##0_-;_-[$€-2]\ * "-"_-;_-@_-</c:formatCode>
                <c:ptCount val="3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extLst>
            <c:ext xmlns:c16="http://schemas.microsoft.com/office/drawing/2014/chart" uri="{C3380CC4-5D6E-409C-BE32-E72D297353CC}">
              <c16:uniqueId val="{00000001-974E-6544-BDFA-4DF5E01385FC}"/>
            </c:ext>
          </c:extLst>
        </c:ser>
        <c:dLbls>
          <c:showLegendKey val="0"/>
          <c:showVal val="0"/>
          <c:showCatName val="0"/>
          <c:showSerName val="0"/>
          <c:showPercent val="0"/>
          <c:showBubbleSize val="0"/>
        </c:dLbls>
        <c:gapWidth val="150"/>
        <c:overlap val="100"/>
        <c:axId val="1851983647"/>
        <c:axId val="1474135967"/>
      </c:barChart>
      <c:lineChart>
        <c:grouping val="standard"/>
        <c:varyColors val="0"/>
        <c:ser>
          <c:idx val="1"/>
          <c:order val="2"/>
          <c:spPr>
            <a:ln w="22225">
              <a:solidFill>
                <a:schemeClr val="bg1"/>
              </a:solidFill>
            </a:ln>
          </c:spPr>
          <c:marker>
            <c:symbol val="square"/>
            <c:size val="2"/>
            <c:spPr>
              <a:solidFill>
                <a:schemeClr val="bg1"/>
              </a:solidFill>
              <a:ln>
                <a:noFill/>
              </a:ln>
            </c:spPr>
          </c:marker>
          <c:val>
            <c:numRef>
              <c:f>Processing!$T$27:$T$57</c:f>
              <c:numCache>
                <c:formatCode>_-[$€-2]\ * #,##0_-;\-[$€-2]\ * #,##0_-;_-[$€-2]\ * "-"_-;_-@_-</c:formatCode>
                <c:ptCount val="3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smooth val="0"/>
          <c:extLst>
            <c:ext xmlns:c16="http://schemas.microsoft.com/office/drawing/2014/chart" uri="{C3380CC4-5D6E-409C-BE32-E72D297353CC}">
              <c16:uniqueId val="{00000002-974E-6544-BDFA-4DF5E01385FC}"/>
            </c:ext>
          </c:extLst>
        </c:ser>
        <c:dLbls>
          <c:showLegendKey val="0"/>
          <c:showVal val="0"/>
          <c:showCatName val="0"/>
          <c:showSerName val="0"/>
          <c:showPercent val="0"/>
          <c:showBubbleSize val="0"/>
        </c:dLbls>
        <c:marker val="1"/>
        <c:smooth val="0"/>
        <c:axId val="1851983647"/>
        <c:axId val="1474135967"/>
      </c:lineChart>
      <c:catAx>
        <c:axId val="1851983647"/>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900" b="0" i="0" u="none" strike="noStrike" kern="1200" baseline="0">
                <a:solidFill>
                  <a:srgbClr val="BFCDE4"/>
                </a:solidFill>
                <a:latin typeface="+mn-lt"/>
                <a:ea typeface="+mn-ea"/>
                <a:cs typeface="+mn-cs"/>
              </a:defRPr>
            </a:pPr>
            <a:endParaRPr lang="it-IT"/>
          </a:p>
        </c:txPr>
        <c:crossAx val="1474135967"/>
        <c:crosses val="autoZero"/>
        <c:auto val="1"/>
        <c:lblAlgn val="ctr"/>
        <c:lblOffset val="100"/>
        <c:noMultiLvlLbl val="0"/>
      </c:catAx>
      <c:valAx>
        <c:axId val="1474135967"/>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rgbClr val="BFCDE4"/>
                </a:solidFill>
                <a:latin typeface="+mn-lt"/>
                <a:ea typeface="+mn-ea"/>
                <a:cs typeface="+mn-cs"/>
              </a:defRPr>
            </a:pPr>
            <a:endParaRPr lang="it-IT"/>
          </a:p>
        </c:txPr>
        <c:crossAx val="1851983647"/>
        <c:crosses val="autoZero"/>
        <c:crossBetween val="between"/>
      </c:valAx>
      <c:spPr>
        <a:noFill/>
      </c:spPr>
    </c:plotArea>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doughnutChart>
        <c:varyColors val="1"/>
        <c:ser>
          <c:idx val="1"/>
          <c:order val="1"/>
          <c:spPr>
            <a:ln>
              <a:noFill/>
            </a:ln>
          </c:spPr>
          <c:dPt>
            <c:idx val="0"/>
            <c:bubble3D val="0"/>
            <c:spPr>
              <a:solidFill>
                <a:srgbClr val="AD27FE"/>
              </a:solidFill>
              <a:ln w="19050">
                <a:noFill/>
              </a:ln>
              <a:effectLst/>
            </c:spPr>
            <c:extLst>
              <c:ext xmlns:c16="http://schemas.microsoft.com/office/drawing/2014/chart" uri="{C3380CC4-5D6E-409C-BE32-E72D297353CC}">
                <c16:uniqueId val="{00000001-5846-0C4F-B69B-9047EFB5A803}"/>
              </c:ext>
            </c:extLst>
          </c:dPt>
          <c:dPt>
            <c:idx val="1"/>
            <c:bubble3D val="0"/>
            <c:spPr>
              <a:solidFill>
                <a:schemeClr val="accent2"/>
              </a:solidFill>
              <a:ln w="19050">
                <a:noFill/>
              </a:ln>
              <a:effectLst/>
            </c:spPr>
            <c:extLst>
              <c:ext xmlns:c16="http://schemas.microsoft.com/office/drawing/2014/chart" uri="{C3380CC4-5D6E-409C-BE32-E72D297353CC}">
                <c16:uniqueId val="{00000003-5846-0C4F-B69B-9047EFB5A803}"/>
              </c:ext>
            </c:extLst>
          </c:dPt>
          <c:dPt>
            <c:idx val="2"/>
            <c:bubble3D val="0"/>
            <c:spPr>
              <a:solidFill>
                <a:srgbClr val="FBF1BD"/>
              </a:solidFill>
              <a:ln w="19050">
                <a:noFill/>
              </a:ln>
              <a:effectLst/>
            </c:spPr>
            <c:extLst>
              <c:ext xmlns:c16="http://schemas.microsoft.com/office/drawing/2014/chart" uri="{C3380CC4-5D6E-409C-BE32-E72D297353CC}">
                <c16:uniqueId val="{00000005-5846-0C4F-B69B-9047EFB5A803}"/>
              </c:ext>
            </c:extLst>
          </c:dPt>
          <c:dPt>
            <c:idx val="3"/>
            <c:bubble3D val="0"/>
            <c:spPr>
              <a:solidFill>
                <a:srgbClr val="5EB2CD"/>
              </a:solidFill>
              <a:ln w="19050">
                <a:noFill/>
              </a:ln>
              <a:effectLst/>
            </c:spPr>
            <c:extLst>
              <c:ext xmlns:c16="http://schemas.microsoft.com/office/drawing/2014/chart" uri="{C3380CC4-5D6E-409C-BE32-E72D297353CC}">
                <c16:uniqueId val="{00000007-5846-0C4F-B69B-9047EFB5A803}"/>
              </c:ext>
            </c:extLst>
          </c:dPt>
          <c:dPt>
            <c:idx val="4"/>
            <c:bubble3D val="0"/>
            <c:spPr>
              <a:noFill/>
              <a:ln w="19050">
                <a:noFill/>
              </a:ln>
              <a:effectLst/>
            </c:spPr>
            <c:extLst>
              <c:ext xmlns:c16="http://schemas.microsoft.com/office/drawing/2014/chart" uri="{C3380CC4-5D6E-409C-BE32-E72D297353CC}">
                <c16:uniqueId val="{00000009-5846-0C4F-B69B-9047EFB5A803}"/>
              </c:ext>
            </c:extLst>
          </c:dPt>
          <c:dLbls>
            <c:dLbl>
              <c:idx val="4"/>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t-IT"/>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prstGeom>
                  </c15:spPr>
                </c:ext>
                <c:ext xmlns:c16="http://schemas.microsoft.com/office/drawing/2014/chart" uri="{C3380CC4-5D6E-409C-BE32-E72D297353CC}">
                  <c16:uniqueId val="{00000009-5846-0C4F-B69B-9047EFB5A80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t-IT"/>
              </a:p>
            </c:txPr>
            <c:showLegendKey val="0"/>
            <c:showVal val="0"/>
            <c:showCatName val="0"/>
            <c:showSerName val="0"/>
            <c:showPercent val="0"/>
            <c:showBubbleSize val="0"/>
            <c:extLst>
              <c:ext xmlns:c15="http://schemas.microsoft.com/office/drawing/2012/chart" uri="{CE6537A1-D6FC-4f65-9D91-7224C49458BB}"/>
            </c:extLst>
          </c:dLbls>
          <c:val>
            <c:numRef>
              <c:f>Processing!$B$34:$F$34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5846-0C4F-B69B-9047EFB5A803}"/>
            </c:ext>
          </c:extLst>
        </c:ser>
        <c:ser>
          <c:idx val="2"/>
          <c:order val="2"/>
          <c:spPr>
            <a:ln>
              <a:noFill/>
            </a:ln>
          </c:spPr>
          <c:dPt>
            <c:idx val="0"/>
            <c:bubble3D val="0"/>
            <c:spPr>
              <a:noFill/>
              <a:ln w="19050">
                <a:noFill/>
              </a:ln>
              <a:effectLst/>
            </c:spPr>
            <c:extLst>
              <c:ext xmlns:c16="http://schemas.microsoft.com/office/drawing/2014/chart" uri="{C3380CC4-5D6E-409C-BE32-E72D297353CC}">
                <c16:uniqueId val="{0000000C-5846-0C4F-B69B-9047EFB5A803}"/>
              </c:ext>
            </c:extLst>
          </c:dPt>
          <c:dPt>
            <c:idx val="1"/>
            <c:bubble3D val="0"/>
            <c:spPr>
              <a:solidFill>
                <a:schemeClr val="accent2"/>
              </a:solidFill>
              <a:ln w="19050">
                <a:noFill/>
              </a:ln>
              <a:effectLst/>
            </c:spPr>
            <c:extLst>
              <c:ext xmlns:c16="http://schemas.microsoft.com/office/drawing/2014/chart" uri="{C3380CC4-5D6E-409C-BE32-E72D297353CC}">
                <c16:uniqueId val="{0000000E-5846-0C4F-B69B-9047EFB5A803}"/>
              </c:ext>
            </c:extLst>
          </c:dPt>
          <c:dPt>
            <c:idx val="2"/>
            <c:bubble3D val="0"/>
            <c:spPr>
              <a:noFill/>
              <a:ln w="19050">
                <a:noFill/>
              </a:ln>
              <a:effectLst/>
            </c:spPr>
            <c:extLst>
              <c:ext xmlns:c16="http://schemas.microsoft.com/office/drawing/2014/chart" uri="{C3380CC4-5D6E-409C-BE32-E72D297353CC}">
                <c16:uniqueId val="{00000010-5846-0C4F-B69B-9047EFB5A803}"/>
              </c:ext>
            </c:extLst>
          </c:dPt>
          <c:dPt>
            <c:idx val="3"/>
            <c:bubble3D val="0"/>
            <c:spPr>
              <a:noFill/>
              <a:ln w="19050">
                <a:noFill/>
              </a:ln>
              <a:effectLst/>
            </c:spPr>
            <c:extLst>
              <c:ext xmlns:c16="http://schemas.microsoft.com/office/drawing/2014/chart" uri="{C3380CC4-5D6E-409C-BE32-E72D297353CC}">
                <c16:uniqueId val="{00000012-5846-0C4F-B69B-9047EFB5A803}"/>
              </c:ext>
            </c:extLst>
          </c:dPt>
          <c:dPt>
            <c:idx val="4"/>
            <c:bubble3D val="0"/>
            <c:spPr>
              <a:noFill/>
              <a:ln w="19050">
                <a:noFill/>
              </a:ln>
              <a:effectLst/>
            </c:spPr>
            <c:extLst>
              <c:ext xmlns:c16="http://schemas.microsoft.com/office/drawing/2014/chart" uri="{C3380CC4-5D6E-409C-BE32-E72D297353CC}">
                <c16:uniqueId val="{00000014-5846-0C4F-B69B-9047EFB5A803}"/>
              </c:ext>
            </c:extLst>
          </c:dPt>
          <c:val>
            <c:numRef>
              <c:f>Processing!$B$35:$F$35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15-5846-0C4F-B69B-9047EFB5A803}"/>
            </c:ext>
          </c:extLst>
        </c:ser>
        <c:dLbls>
          <c:showLegendKey val="0"/>
          <c:showVal val="0"/>
          <c:showCatName val="0"/>
          <c:showSerName val="0"/>
          <c:showPercent val="0"/>
          <c:showBubbleSize val="0"/>
          <c:showLeaderLines val="1"/>
        </c:dLbls>
        <c:firstSliceAng val="0"/>
        <c:holeSize val="45"/>
      </c:doughnutChart>
      <c:doughnut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17-5846-0C4F-B69B-9047EFB5A803}"/>
              </c:ext>
            </c:extLst>
          </c:dPt>
          <c:dPt>
            <c:idx val="1"/>
            <c:bubble3D val="0"/>
            <c:spPr>
              <a:gradFill>
                <a:gsLst>
                  <a:gs pos="2000">
                    <a:srgbClr val="00FFFF"/>
                  </a:gs>
                  <a:gs pos="79000">
                    <a:srgbClr val="009999"/>
                  </a:gs>
                </a:gsLst>
                <a:path path="circle">
                  <a:fillToRect l="100000" b="100000"/>
                </a:path>
              </a:gradFill>
              <a:ln w="19050">
                <a:noFill/>
              </a:ln>
              <a:effectLst/>
            </c:spPr>
            <c:extLst>
              <c:ext xmlns:c16="http://schemas.microsoft.com/office/drawing/2014/chart" uri="{C3380CC4-5D6E-409C-BE32-E72D297353CC}">
                <c16:uniqueId val="{00000019-5846-0C4F-B69B-9047EFB5A803}"/>
              </c:ext>
            </c:extLst>
          </c:dPt>
          <c:dPt>
            <c:idx val="2"/>
            <c:bubble3D val="0"/>
            <c:spPr>
              <a:noFill/>
              <a:ln w="19050">
                <a:noFill/>
              </a:ln>
              <a:effectLst/>
            </c:spPr>
            <c:extLst>
              <c:ext xmlns:c16="http://schemas.microsoft.com/office/drawing/2014/chart" uri="{C3380CC4-5D6E-409C-BE32-E72D297353CC}">
                <c16:uniqueId val="{0000001B-5846-0C4F-B69B-9047EFB5A803}"/>
              </c:ext>
            </c:extLst>
          </c:dPt>
          <c:dPt>
            <c:idx val="3"/>
            <c:bubble3D val="0"/>
            <c:spPr>
              <a:noFill/>
              <a:ln w="19050">
                <a:noFill/>
              </a:ln>
              <a:effectLst/>
            </c:spPr>
            <c:extLst>
              <c:ext xmlns:c16="http://schemas.microsoft.com/office/drawing/2014/chart" uri="{C3380CC4-5D6E-409C-BE32-E72D297353CC}">
                <c16:uniqueId val="{0000001D-5846-0C4F-B69B-9047EFB5A803}"/>
              </c:ext>
            </c:extLst>
          </c:dPt>
          <c:dPt>
            <c:idx val="4"/>
            <c:bubble3D val="0"/>
            <c:spPr>
              <a:noFill/>
              <a:ln w="19050">
                <a:noFill/>
              </a:ln>
              <a:effectLst/>
            </c:spPr>
            <c:extLst>
              <c:ext xmlns:c16="http://schemas.microsoft.com/office/drawing/2014/chart" uri="{C3380CC4-5D6E-409C-BE32-E72D297353CC}">
                <c16:uniqueId val="{0000001F-5846-0C4F-B69B-9047EFB5A803}"/>
              </c:ext>
            </c:extLst>
          </c:dPt>
          <c:val>
            <c:numRef>
              <c:f>Processing!$B$33:$F$33</c:f>
              <c:numCache>
                <c:formatCode>General</c:formatCode>
                <c:ptCount val="5"/>
                <c:pt idx="0">
                  <c:v>0</c:v>
                </c:pt>
                <c:pt idx="3">
                  <c:v>0</c:v>
                </c:pt>
                <c:pt idx="4">
                  <c:v>1</c:v>
                </c:pt>
              </c:numCache>
            </c:numRef>
          </c:val>
          <c:extLst>
            <c:ext xmlns:c16="http://schemas.microsoft.com/office/drawing/2014/chart" uri="{C3380CC4-5D6E-409C-BE32-E72D297353CC}">
              <c16:uniqueId val="{00000020-5846-0C4F-B69B-9047EFB5A803}"/>
            </c:ext>
          </c:extLst>
        </c:ser>
        <c:dLbls>
          <c:showLegendKey val="0"/>
          <c:showVal val="0"/>
          <c:showCatName val="0"/>
          <c:showSerName val="0"/>
          <c:showPercent val="0"/>
          <c:showBubbleSize val="0"/>
          <c:showLeaderLines val="1"/>
        </c:dLbls>
        <c:firstSliceAng val="0"/>
        <c:holeSize val="4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8.647938222948337E-2"/>
          <c:y val="7.6182651855247904E-2"/>
          <c:w val="0.44879772539560964"/>
          <c:h val="0.77292420665264505"/>
        </c:manualLayout>
      </c:layout>
      <c:scatterChart>
        <c:scatterStyle val="lineMarker"/>
        <c:varyColors val="0"/>
        <c:ser>
          <c:idx val="0"/>
          <c:order val="0"/>
          <c:tx>
            <c:strRef>
              <c:f>Processing!$B$19</c:f>
              <c:strCache>
                <c:ptCount val="1"/>
                <c:pt idx="0">
                  <c:v>0</c:v>
                </c:pt>
              </c:strCache>
            </c:strRef>
          </c:tx>
          <c:spPr>
            <a:ln w="19050">
              <a:noFill/>
            </a:ln>
          </c:spPr>
          <c:marker>
            <c:symbol val="circle"/>
            <c:size val="40"/>
            <c:spPr>
              <a:solidFill>
                <a:srgbClr val="43ADA9">
                  <a:alpha val="30000"/>
                </a:srgbClr>
              </a:solidFill>
              <a:ln w="9525">
                <a:solidFill>
                  <a:srgbClr val="43ADA9"/>
                </a:solidFill>
              </a:ln>
              <a:effectLst>
                <a:outerShdw blurRad="50800" dist="38100" dir="2700000" algn="tl" rotWithShape="0">
                  <a:prstClr val="black">
                    <a:alpha val="40000"/>
                  </a:prstClr>
                </a:outerShdw>
              </a:effectLst>
            </c:spPr>
          </c:marker>
          <c:dPt>
            <c:idx val="0"/>
            <c:marker>
              <c:spPr>
                <a:solidFill>
                  <a:srgbClr val="5EB2CD">
                    <a:alpha val="30000"/>
                  </a:srgbClr>
                </a:solidFill>
                <a:ln w="9525">
                  <a:solidFill>
                    <a:srgbClr val="5EB2CD"/>
                  </a:solidFill>
                </a:ln>
                <a:effectLst>
                  <a:outerShdw blurRad="50800" dist="38100" dir="2700000" algn="tl" rotWithShape="0">
                    <a:prstClr val="black">
                      <a:alpha val="40000"/>
                    </a:prstClr>
                  </a:outerShdw>
                </a:effectLst>
              </c:spPr>
            </c:marker>
            <c:bubble3D val="0"/>
            <c:extLst>
              <c:ext xmlns:c16="http://schemas.microsoft.com/office/drawing/2014/chart" uri="{C3380CC4-5D6E-409C-BE32-E72D297353CC}">
                <c16:uniqueId val="{00000000-1186-0E4F-A308-C012159B5497}"/>
              </c:ext>
            </c:extLst>
          </c:dPt>
          <c:xVal>
            <c:numRef>
              <c:f>Processing!$C$19</c:f>
              <c:numCache>
                <c:formatCode>0%</c:formatCode>
                <c:ptCount val="1"/>
                <c:pt idx="0">
                  <c:v>0</c:v>
                </c:pt>
              </c:numCache>
            </c:numRef>
          </c:xVal>
          <c:yVal>
            <c:numRef>
              <c:f>Processing!$D$19</c:f>
              <c:numCache>
                <c:formatCode>_-[$€-2]\ * #,##0_-;\-[$€-2]\ * #,##0_-;_-[$€-2]\ * "-"_-;_-@_-</c:formatCode>
                <c:ptCount val="1"/>
                <c:pt idx="0">
                  <c:v>0</c:v>
                </c:pt>
              </c:numCache>
            </c:numRef>
          </c:yVal>
          <c:smooth val="0"/>
          <c:extLst>
            <c:ext xmlns:c16="http://schemas.microsoft.com/office/drawing/2014/chart" uri="{C3380CC4-5D6E-409C-BE32-E72D297353CC}">
              <c16:uniqueId val="{00000001-1186-0E4F-A308-C012159B5497}"/>
            </c:ext>
          </c:extLst>
        </c:ser>
        <c:ser>
          <c:idx val="1"/>
          <c:order val="1"/>
          <c:tx>
            <c:strRef>
              <c:f>Processing!$B$20</c:f>
              <c:strCache>
                <c:ptCount val="1"/>
                <c:pt idx="0">
                  <c:v>0</c:v>
                </c:pt>
              </c:strCache>
            </c:strRef>
          </c:tx>
          <c:spPr>
            <a:ln w="19050">
              <a:noFill/>
            </a:ln>
          </c:spPr>
          <c:marker>
            <c:symbol val="circle"/>
            <c:size val="35"/>
            <c:spPr>
              <a:solidFill>
                <a:srgbClr val="AD27FE">
                  <a:alpha val="30000"/>
                </a:srgbClr>
              </a:solidFill>
              <a:ln w="9525">
                <a:solidFill>
                  <a:srgbClr val="AD27FE"/>
                </a:solidFill>
              </a:ln>
              <a:effectLst>
                <a:outerShdw blurRad="50800" dist="38100" dir="2700000" algn="tl" rotWithShape="0">
                  <a:prstClr val="black">
                    <a:alpha val="40000"/>
                  </a:prstClr>
                </a:outerShdw>
              </a:effectLst>
            </c:spPr>
          </c:marker>
          <c:xVal>
            <c:numRef>
              <c:f>Processing!$C$20</c:f>
              <c:numCache>
                <c:formatCode>0%</c:formatCode>
                <c:ptCount val="1"/>
                <c:pt idx="0">
                  <c:v>0</c:v>
                </c:pt>
              </c:numCache>
            </c:numRef>
          </c:xVal>
          <c:yVal>
            <c:numRef>
              <c:f>Processing!$D$20</c:f>
              <c:numCache>
                <c:formatCode>_-[$€-2]\ * #,##0_-;\-[$€-2]\ * #,##0_-;_-[$€-2]\ * "-"_-;_-@_-</c:formatCode>
                <c:ptCount val="1"/>
                <c:pt idx="0">
                  <c:v>0</c:v>
                </c:pt>
              </c:numCache>
            </c:numRef>
          </c:yVal>
          <c:smooth val="0"/>
          <c:extLst>
            <c:ext xmlns:c16="http://schemas.microsoft.com/office/drawing/2014/chart" uri="{C3380CC4-5D6E-409C-BE32-E72D297353CC}">
              <c16:uniqueId val="{00000002-1186-0E4F-A308-C012159B5497}"/>
            </c:ext>
          </c:extLst>
        </c:ser>
        <c:ser>
          <c:idx val="2"/>
          <c:order val="2"/>
          <c:tx>
            <c:strRef>
              <c:f>Processing!$B$21</c:f>
              <c:strCache>
                <c:ptCount val="1"/>
                <c:pt idx="0">
                  <c:v>0</c:v>
                </c:pt>
              </c:strCache>
            </c:strRef>
          </c:tx>
          <c:spPr>
            <a:ln w="19050">
              <a:noFill/>
            </a:ln>
          </c:spPr>
          <c:marker>
            <c:symbol val="circle"/>
            <c:size val="25"/>
            <c:spPr>
              <a:solidFill>
                <a:srgbClr val="FBF1BD">
                  <a:alpha val="30000"/>
                </a:srgbClr>
              </a:solidFill>
              <a:ln w="9525">
                <a:solidFill>
                  <a:srgbClr val="FBF1BD">
                    <a:alpha val="94000"/>
                  </a:srgbClr>
                </a:solidFill>
              </a:ln>
              <a:effectLst>
                <a:outerShdw blurRad="50800" dist="38100" dir="2700000" algn="tl" rotWithShape="0">
                  <a:prstClr val="black">
                    <a:alpha val="40000"/>
                  </a:prstClr>
                </a:outerShdw>
              </a:effectLst>
            </c:spPr>
          </c:marker>
          <c:xVal>
            <c:numRef>
              <c:f>Processing!$C$21</c:f>
              <c:numCache>
                <c:formatCode>0%</c:formatCode>
                <c:ptCount val="1"/>
                <c:pt idx="0">
                  <c:v>0</c:v>
                </c:pt>
              </c:numCache>
            </c:numRef>
          </c:xVal>
          <c:yVal>
            <c:numRef>
              <c:f>Processing!$D$21</c:f>
              <c:numCache>
                <c:formatCode>_-[$€-2]\ * #,##0_-;\-[$€-2]\ * #,##0_-;_-[$€-2]\ * "-"_-;_-@_-</c:formatCode>
                <c:ptCount val="1"/>
                <c:pt idx="0">
                  <c:v>0</c:v>
                </c:pt>
              </c:numCache>
            </c:numRef>
          </c:yVal>
          <c:smooth val="0"/>
          <c:extLst>
            <c:ext xmlns:c16="http://schemas.microsoft.com/office/drawing/2014/chart" uri="{C3380CC4-5D6E-409C-BE32-E72D297353CC}">
              <c16:uniqueId val="{00000003-1186-0E4F-A308-C012159B5497}"/>
            </c:ext>
          </c:extLst>
        </c:ser>
        <c:ser>
          <c:idx val="6"/>
          <c:order val="3"/>
          <c:tx>
            <c:strRef>
              <c:f>Processing!$B$22</c:f>
              <c:strCache>
                <c:ptCount val="1"/>
                <c:pt idx="0">
                  <c:v>0</c:v>
                </c:pt>
              </c:strCache>
            </c:strRef>
          </c:tx>
          <c:spPr>
            <a:ln w="19050">
              <a:noFill/>
            </a:ln>
          </c:spPr>
          <c:marker>
            <c:symbol val="circle"/>
            <c:size val="25"/>
            <c:spPr>
              <a:solidFill>
                <a:srgbClr val="FBF1BD">
                  <a:alpha val="30000"/>
                </a:srgbClr>
              </a:solidFill>
              <a:ln w="9525">
                <a:solidFill>
                  <a:srgbClr val="FBF1BD">
                    <a:alpha val="94000"/>
                  </a:srgbClr>
                </a:solidFill>
              </a:ln>
              <a:effectLst>
                <a:outerShdw blurRad="50800" dist="38100" dir="2700000" algn="tl" rotWithShape="0">
                  <a:prstClr val="black">
                    <a:alpha val="40000"/>
                  </a:prstClr>
                </a:outerShdw>
              </a:effectLst>
            </c:spPr>
          </c:marker>
          <c:xVal>
            <c:numRef>
              <c:f>Processing!$C$22</c:f>
              <c:numCache>
                <c:formatCode>0%</c:formatCode>
                <c:ptCount val="1"/>
                <c:pt idx="0">
                  <c:v>0</c:v>
                </c:pt>
              </c:numCache>
            </c:numRef>
          </c:xVal>
          <c:yVal>
            <c:numRef>
              <c:f>Processing!$D$22</c:f>
              <c:numCache>
                <c:formatCode>_-[$€-2]\ * #,##0_-;\-[$€-2]\ * #,##0_-;_-[$€-2]\ * "-"_-;_-@_-</c:formatCode>
                <c:ptCount val="1"/>
                <c:pt idx="0">
                  <c:v>0</c:v>
                </c:pt>
              </c:numCache>
            </c:numRef>
          </c:yVal>
          <c:smooth val="0"/>
          <c:extLst>
            <c:ext xmlns:c16="http://schemas.microsoft.com/office/drawing/2014/chart" uri="{C3380CC4-5D6E-409C-BE32-E72D297353CC}">
              <c16:uniqueId val="{00000004-1186-0E4F-A308-C012159B5497}"/>
            </c:ext>
          </c:extLst>
        </c:ser>
        <c:ser>
          <c:idx val="3"/>
          <c:order val="4"/>
          <c:spPr>
            <a:ln w="19050">
              <a:noFill/>
            </a:ln>
          </c:spPr>
          <c:marker>
            <c:symbol val="circle"/>
            <c:size val="9"/>
            <c:spPr>
              <a:solidFill>
                <a:srgbClr val="5EB2CD"/>
              </a:solidFill>
              <a:ln w="9525">
                <a:noFill/>
              </a:ln>
              <a:effectLst/>
            </c:spPr>
          </c:marker>
          <c:errBars>
            <c:errDir val="x"/>
            <c:errBarType val="minus"/>
            <c:errValType val="cust"/>
            <c:noEndCap val="1"/>
            <c:plus>
              <c:numLit>
                <c:formatCode>General</c:formatCode>
                <c:ptCount val="1"/>
                <c:pt idx="0">
                  <c:v>0</c:v>
                </c:pt>
              </c:numLit>
            </c:plus>
            <c:minus>
              <c:numRef>
                <c:f>Processing!$C$23</c:f>
                <c:numCache>
                  <c:formatCode>General</c:formatCode>
                  <c:ptCount val="1"/>
                </c:numCache>
              </c:numRef>
            </c:minus>
            <c:spPr>
              <a:ln>
                <a:solidFill>
                  <a:schemeClr val="tx1">
                    <a:lumMod val="75000"/>
                    <a:lumOff val="25000"/>
                  </a:schemeClr>
                </a:solidFill>
              </a:ln>
            </c:spPr>
          </c:errBars>
          <c:errBars>
            <c:errDir val="y"/>
            <c:errBarType val="minus"/>
            <c:errValType val="cust"/>
            <c:noEndCap val="1"/>
            <c:plus>
              <c:numLit>
                <c:formatCode>General</c:formatCode>
                <c:ptCount val="1"/>
                <c:pt idx="0">
                  <c:v>1</c:v>
                </c:pt>
              </c:numLit>
            </c:plus>
            <c:minus>
              <c:numRef>
                <c:f>Processing!$D$23</c:f>
                <c:numCache>
                  <c:formatCode>General</c:formatCode>
                  <c:ptCount val="1"/>
                </c:numCache>
              </c:numRef>
            </c:minus>
            <c:spPr>
              <a:ln>
                <a:solidFill>
                  <a:schemeClr val="tx1">
                    <a:lumMod val="75000"/>
                    <a:lumOff val="25000"/>
                  </a:schemeClr>
                </a:solidFill>
              </a:ln>
            </c:spPr>
          </c:errBars>
          <c:xVal>
            <c:numRef>
              <c:f>Processing!$C$19</c:f>
              <c:numCache>
                <c:formatCode>0%</c:formatCode>
                <c:ptCount val="1"/>
                <c:pt idx="0">
                  <c:v>0</c:v>
                </c:pt>
              </c:numCache>
            </c:numRef>
          </c:xVal>
          <c:yVal>
            <c:numRef>
              <c:f>Processing!$D$19</c:f>
              <c:numCache>
                <c:formatCode>_-[$€-2]\ * #,##0_-;\-[$€-2]\ * #,##0_-;_-[$€-2]\ * "-"_-;_-@_-</c:formatCode>
                <c:ptCount val="1"/>
                <c:pt idx="0">
                  <c:v>0</c:v>
                </c:pt>
              </c:numCache>
            </c:numRef>
          </c:yVal>
          <c:smooth val="0"/>
          <c:extLst>
            <c:ext xmlns:c16="http://schemas.microsoft.com/office/drawing/2014/chart" uri="{C3380CC4-5D6E-409C-BE32-E72D297353CC}">
              <c16:uniqueId val="{00000005-1186-0E4F-A308-C012159B5497}"/>
            </c:ext>
          </c:extLst>
        </c:ser>
        <c:ser>
          <c:idx val="4"/>
          <c:order val="5"/>
          <c:spPr>
            <a:ln w="25400" cap="rnd">
              <a:noFill/>
              <a:round/>
            </a:ln>
            <a:effectLst>
              <a:outerShdw blurRad="50800" dist="38100" dir="2700000" algn="tl" rotWithShape="0">
                <a:prstClr val="black">
                  <a:alpha val="40000"/>
                </a:prstClr>
              </a:outerShdw>
            </a:effectLst>
          </c:spPr>
          <c:marker>
            <c:symbol val="circle"/>
            <c:size val="35"/>
            <c:spPr>
              <a:solidFill>
                <a:srgbClr val="AD27FE"/>
              </a:solidFill>
              <a:ln w="9525">
                <a:noFill/>
              </a:ln>
              <a:effectLst/>
            </c:spPr>
          </c:marker>
          <c:errBars>
            <c:errDir val="y"/>
            <c:errBarType val="minus"/>
            <c:errValType val="cust"/>
            <c:noEndCap val="1"/>
            <c:plus>
              <c:numLit>
                <c:formatCode>General</c:formatCode>
                <c:ptCount val="1"/>
                <c:pt idx="0">
                  <c:v>1</c:v>
                </c:pt>
              </c:numLit>
            </c:plus>
            <c:minus>
              <c:numRef>
                <c:f>Processing!$D$26</c:f>
                <c:numCache>
                  <c:formatCode>General</c:formatCode>
                  <c:ptCount val="1"/>
                  <c:pt idx="0">
                    <c:v>0</c:v>
                  </c:pt>
                </c:numCache>
              </c:numRef>
            </c:minus>
            <c:spPr>
              <a:ln>
                <a:solidFill>
                  <a:schemeClr val="tx1">
                    <a:lumMod val="75000"/>
                    <a:lumOff val="25000"/>
                  </a:schemeClr>
                </a:solidFill>
              </a:ln>
            </c:spPr>
          </c:errBars>
          <c:errBars>
            <c:errDir val="x"/>
            <c:errBarType val="minus"/>
            <c:errValType val="cust"/>
            <c:noEndCap val="1"/>
            <c:plus>
              <c:numLit>
                <c:formatCode>General</c:formatCode>
                <c:ptCount val="1"/>
                <c:pt idx="0">
                  <c:v>1</c:v>
                </c:pt>
              </c:numLit>
            </c:plus>
            <c:minus>
              <c:numRef>
                <c:f>Processing!$C$26</c:f>
                <c:numCache>
                  <c:formatCode>General</c:formatCode>
                  <c:ptCount val="1"/>
                  <c:pt idx="0">
                    <c:v>0</c:v>
                  </c:pt>
                </c:numCache>
              </c:numRef>
            </c:minus>
            <c:spPr>
              <a:ln>
                <a:solidFill>
                  <a:schemeClr val="tx1">
                    <a:lumMod val="75000"/>
                    <a:lumOff val="25000"/>
                  </a:schemeClr>
                </a:solidFill>
              </a:ln>
            </c:spPr>
          </c:errBars>
          <c:xVal>
            <c:numRef>
              <c:f>Processing!$C$20</c:f>
              <c:numCache>
                <c:formatCode>0%</c:formatCode>
                <c:ptCount val="1"/>
                <c:pt idx="0">
                  <c:v>0</c:v>
                </c:pt>
              </c:numCache>
            </c:numRef>
          </c:xVal>
          <c:yVal>
            <c:numRef>
              <c:f>Processing!$D$20</c:f>
              <c:numCache>
                <c:formatCode>_-[$€-2]\ * #,##0_-;\-[$€-2]\ * #,##0_-;_-[$€-2]\ * "-"_-;_-@_-</c:formatCode>
                <c:ptCount val="1"/>
                <c:pt idx="0">
                  <c:v>0</c:v>
                </c:pt>
              </c:numCache>
            </c:numRef>
          </c:yVal>
          <c:smooth val="0"/>
          <c:extLst>
            <c:ext xmlns:c16="http://schemas.microsoft.com/office/drawing/2014/chart" uri="{C3380CC4-5D6E-409C-BE32-E72D297353CC}">
              <c16:uniqueId val="{00000006-1186-0E4F-A308-C012159B5497}"/>
            </c:ext>
          </c:extLst>
        </c:ser>
        <c:ser>
          <c:idx val="5"/>
          <c:order val="6"/>
          <c:spPr>
            <a:ln w="25400" cap="rnd">
              <a:noFill/>
              <a:round/>
            </a:ln>
            <a:effectLst>
              <a:outerShdw blurRad="50800" dist="38100" dir="2700000" algn="tl" rotWithShape="0">
                <a:prstClr val="black">
                  <a:alpha val="40000"/>
                </a:prstClr>
              </a:outerShdw>
            </a:effectLst>
          </c:spPr>
          <c:marker>
            <c:symbol val="circle"/>
            <c:size val="25"/>
            <c:spPr>
              <a:solidFill>
                <a:srgbClr val="FBF1BD"/>
              </a:solidFill>
              <a:ln w="9525">
                <a:noFill/>
              </a:ln>
              <a:effectLst/>
            </c:spPr>
          </c:marker>
          <c:errBars>
            <c:errDir val="y"/>
            <c:errBarType val="minus"/>
            <c:errValType val="cust"/>
            <c:noEndCap val="1"/>
            <c:plus>
              <c:numLit>
                <c:formatCode>General</c:formatCode>
                <c:ptCount val="1"/>
                <c:pt idx="0">
                  <c:v>0</c:v>
                </c:pt>
              </c:numLit>
            </c:plus>
            <c:minus>
              <c:numRef>
                <c:f>Processing!$D$24</c:f>
                <c:numCache>
                  <c:formatCode>General</c:formatCode>
                  <c:ptCount val="1"/>
                  <c:pt idx="0">
                    <c:v>0</c:v>
                  </c:pt>
                </c:numCache>
              </c:numRef>
            </c:minus>
            <c:spPr>
              <a:ln>
                <a:solidFill>
                  <a:schemeClr val="tx1">
                    <a:lumMod val="75000"/>
                    <a:lumOff val="25000"/>
                  </a:schemeClr>
                </a:solidFill>
              </a:ln>
            </c:spPr>
          </c:errBars>
          <c:errBars>
            <c:errDir val="x"/>
            <c:errBarType val="both"/>
            <c:errValType val="cust"/>
            <c:noEndCap val="1"/>
            <c:plus>
              <c:numLit>
                <c:formatCode>General</c:formatCode>
                <c:ptCount val="1"/>
                <c:pt idx="0">
                  <c:v>0</c:v>
                </c:pt>
              </c:numLit>
            </c:plus>
            <c:minus>
              <c:numRef>
                <c:f>Processing!$C$24</c:f>
                <c:numCache>
                  <c:formatCode>General</c:formatCode>
                  <c:ptCount val="1"/>
                  <c:pt idx="0">
                    <c:v>0</c:v>
                  </c:pt>
                </c:numCache>
              </c:numRef>
            </c:minus>
            <c:spPr>
              <a:ln>
                <a:solidFill>
                  <a:schemeClr val="tx1">
                    <a:lumMod val="75000"/>
                    <a:lumOff val="25000"/>
                  </a:schemeClr>
                </a:solidFill>
              </a:ln>
            </c:spPr>
          </c:errBars>
          <c:xVal>
            <c:numRef>
              <c:f>Processing!$C$21</c:f>
              <c:numCache>
                <c:formatCode>0%</c:formatCode>
                <c:ptCount val="1"/>
                <c:pt idx="0">
                  <c:v>0</c:v>
                </c:pt>
              </c:numCache>
            </c:numRef>
          </c:xVal>
          <c:yVal>
            <c:numRef>
              <c:f>Processing!$D$21</c:f>
              <c:numCache>
                <c:formatCode>_-[$€-2]\ * #,##0_-;\-[$€-2]\ * #,##0_-;_-[$€-2]\ * "-"_-;_-@_-</c:formatCode>
                <c:ptCount val="1"/>
                <c:pt idx="0">
                  <c:v>0</c:v>
                </c:pt>
              </c:numCache>
            </c:numRef>
          </c:yVal>
          <c:smooth val="0"/>
          <c:extLst>
            <c:ext xmlns:c16="http://schemas.microsoft.com/office/drawing/2014/chart" uri="{C3380CC4-5D6E-409C-BE32-E72D297353CC}">
              <c16:uniqueId val="{00000007-1186-0E4F-A308-C012159B5497}"/>
            </c:ext>
          </c:extLst>
        </c:ser>
        <c:ser>
          <c:idx val="7"/>
          <c:order val="7"/>
          <c:spPr>
            <a:ln w="19050">
              <a:noFill/>
            </a:ln>
          </c:spPr>
          <c:marker>
            <c:symbol val="circle"/>
            <c:size val="25"/>
            <c:spPr>
              <a:solidFill>
                <a:srgbClr val="FBF1BD"/>
              </a:solidFill>
              <a:ln w="9525">
                <a:noFill/>
              </a:ln>
              <a:effectLst/>
            </c:spPr>
          </c:marker>
          <c:errBars>
            <c:errDir val="x"/>
            <c:errBarType val="minus"/>
            <c:errValType val="cust"/>
            <c:noEndCap val="1"/>
            <c:plus>
              <c:numLit>
                <c:formatCode>General</c:formatCode>
                <c:ptCount val="1"/>
                <c:pt idx="0">
                  <c:v>0</c:v>
                </c:pt>
              </c:numLit>
            </c:plus>
            <c:minus>
              <c:numRef>
                <c:f>Processing!$C$25</c:f>
                <c:numCache>
                  <c:formatCode>General</c:formatCode>
                  <c:ptCount val="1"/>
                  <c:pt idx="0">
                    <c:v>0</c:v>
                  </c:pt>
                </c:numCache>
              </c:numRef>
            </c:minus>
            <c:spPr>
              <a:ln>
                <a:solidFill>
                  <a:schemeClr val="tx1">
                    <a:lumMod val="75000"/>
                    <a:lumOff val="25000"/>
                  </a:schemeClr>
                </a:solidFill>
              </a:ln>
            </c:spPr>
          </c:errBars>
          <c:errBars>
            <c:errDir val="y"/>
            <c:errBarType val="minus"/>
            <c:errValType val="cust"/>
            <c:noEndCap val="1"/>
            <c:plus>
              <c:numLit>
                <c:formatCode>General</c:formatCode>
                <c:ptCount val="1"/>
                <c:pt idx="0">
                  <c:v>1</c:v>
                </c:pt>
              </c:numLit>
            </c:plus>
            <c:minus>
              <c:numRef>
                <c:f>Processing!$D$25</c:f>
                <c:numCache>
                  <c:formatCode>General</c:formatCode>
                  <c:ptCount val="1"/>
                  <c:pt idx="0">
                    <c:v>0</c:v>
                  </c:pt>
                </c:numCache>
              </c:numRef>
            </c:minus>
            <c:spPr>
              <a:ln>
                <a:solidFill>
                  <a:schemeClr val="tx1">
                    <a:lumMod val="75000"/>
                    <a:lumOff val="25000"/>
                  </a:schemeClr>
                </a:solidFill>
              </a:ln>
            </c:spPr>
          </c:errBars>
          <c:xVal>
            <c:numRef>
              <c:f>Processing!$C$22</c:f>
              <c:numCache>
                <c:formatCode>0%</c:formatCode>
                <c:ptCount val="1"/>
                <c:pt idx="0">
                  <c:v>0</c:v>
                </c:pt>
              </c:numCache>
            </c:numRef>
          </c:xVal>
          <c:yVal>
            <c:numRef>
              <c:f>Processing!$D$22</c:f>
              <c:numCache>
                <c:formatCode>_-[$€-2]\ * #,##0_-;\-[$€-2]\ * #,##0_-;_-[$€-2]\ * "-"_-;_-@_-</c:formatCode>
                <c:ptCount val="1"/>
                <c:pt idx="0">
                  <c:v>0</c:v>
                </c:pt>
              </c:numCache>
            </c:numRef>
          </c:yVal>
          <c:smooth val="0"/>
          <c:extLst>
            <c:ext xmlns:c16="http://schemas.microsoft.com/office/drawing/2014/chart" uri="{C3380CC4-5D6E-409C-BE32-E72D297353CC}">
              <c16:uniqueId val="{00000008-1186-0E4F-A308-C012159B5497}"/>
            </c:ext>
          </c:extLst>
        </c:ser>
        <c:dLbls>
          <c:showLegendKey val="0"/>
          <c:showVal val="0"/>
          <c:showCatName val="0"/>
          <c:showSerName val="0"/>
          <c:showPercent val="0"/>
          <c:showBubbleSize val="0"/>
        </c:dLbls>
        <c:axId val="2108640815"/>
        <c:axId val="363615919"/>
      </c:scatterChart>
      <c:valAx>
        <c:axId val="2108640815"/>
        <c:scaling>
          <c:orientation val="minMax"/>
        </c:scaling>
        <c:delete val="0"/>
        <c:axPos val="b"/>
        <c:numFmt formatCode="0%" sourceLinked="1"/>
        <c:majorTickMark val="out"/>
        <c:minorTickMark val="none"/>
        <c:tickLblPos val="nextTo"/>
        <c:txPr>
          <a:bodyPr/>
          <a:lstStyle/>
          <a:p>
            <a:pPr>
              <a:defRPr>
                <a:solidFill>
                  <a:srgbClr val="BFCDE4"/>
                </a:solidFill>
              </a:defRPr>
            </a:pPr>
            <a:endParaRPr lang="it-IT"/>
          </a:p>
        </c:txPr>
        <c:crossAx val="363615919"/>
        <c:crosses val="autoZero"/>
        <c:crossBetween val="midCat"/>
        <c:majorUnit val="1.0000000000000002E-2"/>
      </c:valAx>
      <c:valAx>
        <c:axId val="363615919"/>
        <c:scaling>
          <c:orientation val="minMax"/>
        </c:scaling>
        <c:delete val="0"/>
        <c:axPos val="l"/>
        <c:numFmt formatCode="_-[$€-2]\ * #,##0_-;\-[$€-2]\ * #,##0_-;_-[$€-2]\ * &quot;-&quot;_-;_-@_-" sourceLinked="1"/>
        <c:majorTickMark val="out"/>
        <c:minorTickMark val="none"/>
        <c:tickLblPos val="nextTo"/>
        <c:txPr>
          <a:bodyPr/>
          <a:lstStyle/>
          <a:p>
            <a:pPr>
              <a:defRPr>
                <a:solidFill>
                  <a:srgbClr val="BFCDE4"/>
                </a:solidFill>
              </a:defRPr>
            </a:pPr>
            <a:endParaRPr lang="it-IT"/>
          </a:p>
        </c:txPr>
        <c:crossAx val="2108640815"/>
        <c:crosses val="autoZero"/>
        <c:crossBetween val="midCat"/>
      </c:valAx>
      <c:spPr>
        <a:noFill/>
      </c:spPr>
    </c:plotArea>
    <c:legend>
      <c:legendPos val="r"/>
      <c:legendEntry>
        <c:idx val="4"/>
        <c:delete val="1"/>
      </c:legendEntry>
      <c:legendEntry>
        <c:idx val="5"/>
        <c:delete val="1"/>
      </c:legendEntry>
      <c:legendEntry>
        <c:idx val="6"/>
        <c:delete val="1"/>
      </c:legendEntry>
      <c:legendEntry>
        <c:idx val="7"/>
        <c:delete val="1"/>
      </c:legendEntry>
      <c:layout>
        <c:manualLayout>
          <c:xMode val="edge"/>
          <c:yMode val="edge"/>
          <c:x val="0.56661131182193925"/>
          <c:y val="0.84698632024143572"/>
          <c:w val="0.43145950742676659"/>
          <c:h val="8.8742741674154385E-2"/>
        </c:manualLayout>
      </c:layout>
      <c:overlay val="0"/>
      <c:txPr>
        <a:bodyPr/>
        <a:lstStyle/>
        <a:p>
          <a:pPr>
            <a:defRPr sz="1200">
              <a:solidFill>
                <a:srgbClr val="BFCDE4"/>
              </a:solidFill>
            </a:defRPr>
          </a:pPr>
          <a:endParaRPr lang="it-IT"/>
        </a:p>
      </c:txPr>
    </c:legend>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doughnutChart>
        <c:varyColors val="1"/>
        <c:ser>
          <c:idx val="0"/>
          <c:order val="0"/>
          <c:spPr>
            <a:ln>
              <a:noFill/>
            </a:ln>
          </c:spPr>
          <c:dPt>
            <c:idx val="0"/>
            <c:bubble3D val="0"/>
            <c:spPr>
              <a:gradFill flip="none" rotWithShape="1">
                <a:gsLst>
                  <a:gs pos="0">
                    <a:srgbClr val="55E7F9"/>
                  </a:gs>
                  <a:gs pos="65000">
                    <a:srgbClr val="0C68BE"/>
                  </a:gs>
                </a:gsLst>
                <a:path path="circle">
                  <a:fillToRect l="100000" t="100000"/>
                </a:path>
                <a:tileRect r="-100000" b="-100000"/>
              </a:gradFill>
              <a:ln w="19050">
                <a:noFill/>
              </a:ln>
              <a:effectLst/>
            </c:spPr>
            <c:extLst>
              <c:ext xmlns:c16="http://schemas.microsoft.com/office/drawing/2014/chart" uri="{C3380CC4-5D6E-409C-BE32-E72D297353CC}">
                <c16:uniqueId val="{0000000B-7417-475D-A5EC-DEDD6CBCA77D}"/>
              </c:ext>
            </c:extLst>
          </c:dPt>
          <c:dPt>
            <c:idx val="1"/>
            <c:bubble3D val="0"/>
            <c:spPr>
              <a:solidFill>
                <a:srgbClr val="3A3D47"/>
              </a:solidFill>
              <a:ln w="19050">
                <a:noFill/>
              </a:ln>
              <a:effectLst/>
            </c:spPr>
            <c:extLst>
              <c:ext xmlns:c16="http://schemas.microsoft.com/office/drawing/2014/chart" uri="{C3380CC4-5D6E-409C-BE32-E72D297353CC}">
                <c16:uniqueId val="{0000000D-7417-475D-A5EC-DEDD6CBCA77D}"/>
              </c:ext>
            </c:extLst>
          </c:dPt>
          <c:val>
            <c:numRef>
              <c:f>Processing!$C$32:$D$32</c:f>
              <c:numCache>
                <c:formatCode>0%</c:formatCode>
                <c:ptCount val="2"/>
                <c:pt idx="0">
                  <c:v>0</c:v>
                </c:pt>
                <c:pt idx="1">
                  <c:v>0</c:v>
                </c:pt>
              </c:numCache>
            </c:numRef>
          </c:val>
          <c:extLst>
            <c:ext xmlns:c16="http://schemas.microsoft.com/office/drawing/2014/chart" uri="{C3380CC4-5D6E-409C-BE32-E72D297353CC}">
              <c16:uniqueId val="{0000000E-7417-475D-A5EC-DEDD6CBCA77D}"/>
            </c:ext>
          </c:extLst>
        </c:ser>
        <c:dLbls>
          <c:showLegendKey val="0"/>
          <c:showVal val="0"/>
          <c:showCatName val="0"/>
          <c:showSerName val="0"/>
          <c:showPercent val="0"/>
          <c:showBubbleSize val="0"/>
          <c:showLeaderLines val="1"/>
        </c:dLbls>
        <c:firstSliceAng val="0"/>
        <c:holeSize val="68"/>
      </c:doughnutChart>
      <c:scatterChart>
        <c:scatterStyle val="lineMarker"/>
        <c:varyColors val="0"/>
        <c:ser>
          <c:idx val="1"/>
          <c:order val="1"/>
          <c:spPr>
            <a:ln w="25400" cap="rnd">
              <a:noFill/>
              <a:round/>
            </a:ln>
            <a:effectLst/>
          </c:spPr>
          <c:marker>
            <c:symbol val="circle"/>
            <c:size val="15"/>
            <c:spPr>
              <a:solidFill>
                <a:schemeClr val="accent2"/>
              </a:solidFill>
              <a:ln w="9525">
                <a:solidFill>
                  <a:schemeClr val="accent2"/>
                </a:solidFill>
              </a:ln>
              <a:effectLst/>
            </c:spPr>
          </c:marker>
          <c:dPt>
            <c:idx val="0"/>
            <c:marker>
              <c:symbol val="circle"/>
              <c:size val="17"/>
              <c:spPr>
                <a:solidFill>
                  <a:srgbClr val="0C68BE"/>
                </a:solidFill>
                <a:ln w="9525">
                  <a:solidFill>
                    <a:srgbClr val="0C68BE"/>
                  </a:solidFill>
                </a:ln>
                <a:effectLst/>
              </c:spPr>
            </c:marker>
            <c:bubble3D val="0"/>
            <c:extLst>
              <c:ext xmlns:c16="http://schemas.microsoft.com/office/drawing/2014/chart" uri="{C3380CC4-5D6E-409C-BE32-E72D297353CC}">
                <c16:uniqueId val="{00000010-7417-475D-A5EC-DEDD6CBCA77D}"/>
              </c:ext>
            </c:extLst>
          </c:dPt>
          <c:dPt>
            <c:idx val="1"/>
            <c:marker>
              <c:symbol val="circle"/>
              <c:size val="17"/>
              <c:spPr>
                <a:solidFill>
                  <a:srgbClr val="0C68BE"/>
                </a:solidFill>
                <a:ln w="22225">
                  <a:solidFill>
                    <a:schemeClr val="bg1"/>
                  </a:solidFill>
                </a:ln>
                <a:effectLst>
                  <a:outerShdw blurRad="50800" dist="38100" dir="5400000" algn="t" rotWithShape="0">
                    <a:prstClr val="black">
                      <a:alpha val="40000"/>
                    </a:prstClr>
                  </a:outerShdw>
                </a:effectLst>
              </c:spPr>
            </c:marker>
            <c:bubble3D val="0"/>
            <c:spPr>
              <a:ln w="25400" cap="rnd">
                <a:noFill/>
                <a:round/>
              </a:ln>
              <a:effectLst>
                <a:outerShdw blurRad="50800" dist="38100" dir="5400000" algn="t" rotWithShape="0">
                  <a:prstClr val="black">
                    <a:alpha val="40000"/>
                  </a:prstClr>
                </a:outerShdw>
              </a:effectLst>
            </c:spPr>
            <c:extLst>
              <c:ext xmlns:c16="http://schemas.microsoft.com/office/drawing/2014/chart" uri="{C3380CC4-5D6E-409C-BE32-E72D297353CC}">
                <c16:uniqueId val="{00000012-7417-475D-A5EC-DEDD6CBCA77D}"/>
              </c:ext>
            </c:extLst>
          </c:dPt>
          <c:xVal>
            <c:numRef>
              <c:f>Processing!$E$32:$E$33</c:f>
              <c:numCache>
                <c:formatCode>General</c:formatCode>
                <c:ptCount val="2"/>
                <c:pt idx="0">
                  <c:v>0</c:v>
                </c:pt>
                <c:pt idx="1">
                  <c:v>0</c:v>
                </c:pt>
              </c:numCache>
            </c:numRef>
          </c:xVal>
          <c:yVal>
            <c:numRef>
              <c:f>Processing!$F$32:$F$33</c:f>
              <c:numCache>
                <c:formatCode>General</c:formatCode>
                <c:ptCount val="2"/>
                <c:pt idx="0">
                  <c:v>1</c:v>
                </c:pt>
                <c:pt idx="1">
                  <c:v>1</c:v>
                </c:pt>
              </c:numCache>
            </c:numRef>
          </c:yVal>
          <c:smooth val="0"/>
          <c:extLst>
            <c:ext xmlns:c16="http://schemas.microsoft.com/office/drawing/2014/chart" uri="{C3380CC4-5D6E-409C-BE32-E72D297353CC}">
              <c16:uniqueId val="{00000013-7417-475D-A5EC-DEDD6CBCA77D}"/>
            </c:ext>
          </c:extLst>
        </c:ser>
        <c:dLbls>
          <c:showLegendKey val="0"/>
          <c:showVal val="0"/>
          <c:showCatName val="0"/>
          <c:showSerName val="0"/>
          <c:showPercent val="0"/>
          <c:showBubbleSize val="0"/>
        </c:dLbls>
        <c:axId val="1414053664"/>
        <c:axId val="1414077184"/>
      </c:scatterChart>
      <c:valAx>
        <c:axId val="1414053664"/>
        <c:scaling>
          <c:orientation val="minMax"/>
          <c:max val="1.2"/>
          <c:min val="-1.2"/>
        </c:scaling>
        <c:delete val="1"/>
        <c:axPos val="b"/>
        <c:numFmt formatCode="General" sourceLinked="1"/>
        <c:majorTickMark val="out"/>
        <c:minorTickMark val="none"/>
        <c:tickLblPos val="nextTo"/>
        <c:crossAx val="1414077184"/>
        <c:crosses val="autoZero"/>
        <c:crossBetween val="midCat"/>
      </c:valAx>
      <c:valAx>
        <c:axId val="1414077184"/>
        <c:scaling>
          <c:orientation val="minMax"/>
          <c:max val="1.2"/>
          <c:min val="-1.2"/>
        </c:scaling>
        <c:delete val="1"/>
        <c:axPos val="l"/>
        <c:numFmt formatCode="General" sourceLinked="1"/>
        <c:majorTickMark val="out"/>
        <c:minorTickMark val="none"/>
        <c:tickLblPos val="nextTo"/>
        <c:crossAx val="1414053664"/>
        <c:crosses val="autoZero"/>
        <c:crossBetween val="midCat"/>
      </c:valAx>
      <c:spPr>
        <a:noFill/>
      </c:spPr>
    </c:plotArea>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1983356509458892E-2"/>
          <c:y val="3.9863770235740198E-2"/>
          <c:w val="0.95769490688395897"/>
          <c:h val="0.81075993874305907"/>
        </c:manualLayout>
      </c:layout>
      <c:doughnutChart>
        <c:varyColors val="1"/>
        <c:ser>
          <c:idx val="0"/>
          <c:order val="0"/>
          <c:spPr>
            <a:ln>
              <a:noFill/>
            </a:ln>
          </c:spPr>
          <c:dPt>
            <c:idx val="0"/>
            <c:bubble3D val="0"/>
            <c:spPr>
              <a:gradFill>
                <a:gsLst>
                  <a:gs pos="1000">
                    <a:srgbClr val="F28F33"/>
                  </a:gs>
                  <a:gs pos="76000">
                    <a:srgbClr val="FE2827"/>
                  </a:gs>
                </a:gsLst>
                <a:path path="circle">
                  <a:fillToRect l="100000" t="100000"/>
                </a:path>
              </a:gradFill>
              <a:ln w="19050">
                <a:noFill/>
              </a:ln>
              <a:effectLst/>
            </c:spPr>
            <c:extLst>
              <c:ext xmlns:c16="http://schemas.microsoft.com/office/drawing/2014/chart" uri="{C3380CC4-5D6E-409C-BE32-E72D297353CC}">
                <c16:uniqueId val="{00000001-343D-4B33-A2D3-D841484D6901}"/>
              </c:ext>
            </c:extLst>
          </c:dPt>
          <c:dPt>
            <c:idx val="1"/>
            <c:bubble3D val="0"/>
            <c:spPr>
              <a:solidFill>
                <a:srgbClr val="C4FEF9"/>
              </a:solidFill>
              <a:ln w="19050">
                <a:noFill/>
              </a:ln>
              <a:effectLst/>
            </c:spPr>
            <c:extLst>
              <c:ext xmlns:c16="http://schemas.microsoft.com/office/drawing/2014/chart" uri="{C3380CC4-5D6E-409C-BE32-E72D297353CC}">
                <c16:uniqueId val="{00000003-343D-4B33-A2D3-D841484D6901}"/>
              </c:ext>
            </c:extLst>
          </c:dPt>
          <c:dPt>
            <c:idx val="2"/>
            <c:bubble3D val="0"/>
            <c:spPr>
              <a:solidFill>
                <a:srgbClr val="C4FEF9">
                  <a:alpha val="20000"/>
                </a:srgbClr>
              </a:solidFill>
              <a:ln w="19050">
                <a:noFill/>
              </a:ln>
              <a:effectLst/>
            </c:spPr>
            <c:extLst>
              <c:ext xmlns:c16="http://schemas.microsoft.com/office/drawing/2014/chart" uri="{C3380CC4-5D6E-409C-BE32-E72D297353CC}">
                <c16:uniqueId val="{00000005-343D-4B33-A2D3-D841484D6901}"/>
              </c:ext>
            </c:extLst>
          </c:dPt>
          <c:dPt>
            <c:idx val="3"/>
            <c:bubble3D val="0"/>
            <c:spPr>
              <a:noFill/>
              <a:ln w="19050">
                <a:noFill/>
              </a:ln>
              <a:effectLst/>
            </c:spPr>
            <c:extLst>
              <c:ext xmlns:c16="http://schemas.microsoft.com/office/drawing/2014/chart" uri="{C3380CC4-5D6E-409C-BE32-E72D297353CC}">
                <c16:uniqueId val="{00000007-343D-4B33-A2D3-D841484D6901}"/>
              </c:ext>
            </c:extLst>
          </c:dPt>
          <c:val>
            <c:numRef>
              <c:f>Processing!$S$19:$S$22</c:f>
              <c:numCache>
                <c:formatCode>0%</c:formatCode>
                <c:ptCount val="4"/>
                <c:pt idx="0">
                  <c:v>0</c:v>
                </c:pt>
                <c:pt idx="1">
                  <c:v>1</c:v>
                </c:pt>
                <c:pt idx="2">
                  <c:v>0</c:v>
                </c:pt>
                <c:pt idx="3">
                  <c:v>0.34</c:v>
                </c:pt>
              </c:numCache>
            </c:numRef>
          </c:val>
          <c:extLst>
            <c:ext xmlns:c16="http://schemas.microsoft.com/office/drawing/2014/chart" uri="{C3380CC4-5D6E-409C-BE32-E72D297353CC}">
              <c16:uniqueId val="{00000008-343D-4B33-A2D3-D841484D6901}"/>
            </c:ext>
          </c:extLst>
        </c:ser>
        <c:ser>
          <c:idx val="1"/>
          <c:order val="1"/>
          <c:spPr>
            <a:ln>
              <a:noFill/>
            </a:ln>
          </c:spPr>
          <c:dPt>
            <c:idx val="0"/>
            <c:bubble3D val="0"/>
            <c:spPr>
              <a:noFill/>
              <a:ln w="19050">
                <a:noFill/>
              </a:ln>
              <a:effectLst/>
            </c:spPr>
            <c:extLst>
              <c:ext xmlns:c16="http://schemas.microsoft.com/office/drawing/2014/chart" uri="{C3380CC4-5D6E-409C-BE32-E72D297353CC}">
                <c16:uniqueId val="{0000000A-343D-4B33-A2D3-D841484D6901}"/>
              </c:ext>
            </c:extLst>
          </c:dPt>
          <c:dPt>
            <c:idx val="1"/>
            <c:bubble3D val="0"/>
            <c:spPr>
              <a:noFill/>
              <a:ln w="19050">
                <a:noFill/>
              </a:ln>
              <a:effectLst/>
            </c:spPr>
            <c:extLst>
              <c:ext xmlns:c16="http://schemas.microsoft.com/office/drawing/2014/chart" uri="{C3380CC4-5D6E-409C-BE32-E72D297353CC}">
                <c16:uniqueId val="{0000000C-343D-4B33-A2D3-D841484D6901}"/>
              </c:ext>
            </c:extLst>
          </c:dPt>
          <c:dPt>
            <c:idx val="2"/>
            <c:bubble3D val="0"/>
            <c:spPr>
              <a:noFill/>
              <a:ln w="19050">
                <a:noFill/>
              </a:ln>
              <a:effectLst/>
            </c:spPr>
            <c:extLst>
              <c:ext xmlns:c16="http://schemas.microsoft.com/office/drawing/2014/chart" uri="{C3380CC4-5D6E-409C-BE32-E72D297353CC}">
                <c16:uniqueId val="{0000000E-343D-4B33-A2D3-D841484D6901}"/>
              </c:ext>
            </c:extLst>
          </c:dPt>
          <c:dPt>
            <c:idx val="3"/>
            <c:bubble3D val="0"/>
            <c:spPr>
              <a:noFill/>
              <a:ln w="19050">
                <a:noFill/>
              </a:ln>
              <a:effectLst/>
            </c:spPr>
            <c:extLst>
              <c:ext xmlns:c16="http://schemas.microsoft.com/office/drawing/2014/chart" uri="{C3380CC4-5D6E-409C-BE32-E72D297353CC}">
                <c16:uniqueId val="{00000010-343D-4B33-A2D3-D841484D6901}"/>
              </c:ext>
            </c:extLst>
          </c:dPt>
          <c:val>
            <c:numRef>
              <c:f>Processing!$T$19:$T$22</c:f>
              <c:numCache>
                <c:formatCode>0%</c:formatCode>
                <c:ptCount val="4"/>
                <c:pt idx="0">
                  <c:v>0</c:v>
                </c:pt>
                <c:pt idx="1">
                  <c:v>1</c:v>
                </c:pt>
                <c:pt idx="2">
                  <c:v>0</c:v>
                </c:pt>
                <c:pt idx="3">
                  <c:v>0.34</c:v>
                </c:pt>
              </c:numCache>
            </c:numRef>
          </c:val>
          <c:extLst>
            <c:ext xmlns:c16="http://schemas.microsoft.com/office/drawing/2014/chart" uri="{C3380CC4-5D6E-409C-BE32-E72D297353CC}">
              <c16:uniqueId val="{00000011-343D-4B33-A2D3-D841484D6901}"/>
            </c:ext>
          </c:extLst>
        </c:ser>
        <c:ser>
          <c:idx val="2"/>
          <c:order val="2"/>
          <c:spPr>
            <a:ln>
              <a:noFill/>
            </a:ln>
          </c:spPr>
          <c:dPt>
            <c:idx val="0"/>
            <c:bubble3D val="0"/>
            <c:spPr>
              <a:gradFill>
                <a:gsLst>
                  <a:gs pos="1000">
                    <a:srgbClr val="F28F33"/>
                  </a:gs>
                  <a:gs pos="76000">
                    <a:srgbClr val="FE2827"/>
                  </a:gs>
                </a:gsLst>
                <a:path path="circle">
                  <a:fillToRect l="100000" t="100000"/>
                </a:path>
              </a:gradFill>
              <a:ln w="19050">
                <a:noFill/>
              </a:ln>
              <a:effectLst/>
            </c:spPr>
            <c:extLst>
              <c:ext xmlns:c16="http://schemas.microsoft.com/office/drawing/2014/chart" uri="{C3380CC4-5D6E-409C-BE32-E72D297353CC}">
                <c16:uniqueId val="{00000013-343D-4B33-A2D3-D841484D6901}"/>
              </c:ext>
            </c:extLst>
          </c:dPt>
          <c:dPt>
            <c:idx val="1"/>
            <c:bubble3D val="0"/>
            <c:spPr>
              <a:solidFill>
                <a:srgbClr val="C4FEF9"/>
              </a:solidFill>
              <a:ln w="19050">
                <a:noFill/>
              </a:ln>
              <a:effectLst/>
            </c:spPr>
            <c:extLst>
              <c:ext xmlns:c16="http://schemas.microsoft.com/office/drawing/2014/chart" uri="{C3380CC4-5D6E-409C-BE32-E72D297353CC}">
                <c16:uniqueId val="{00000015-343D-4B33-A2D3-D841484D6901}"/>
              </c:ext>
            </c:extLst>
          </c:dPt>
          <c:dPt>
            <c:idx val="2"/>
            <c:bubble3D val="0"/>
            <c:spPr>
              <a:solidFill>
                <a:srgbClr val="C4FEF9">
                  <a:alpha val="20000"/>
                </a:srgbClr>
              </a:solidFill>
              <a:ln w="19050">
                <a:noFill/>
              </a:ln>
              <a:effectLst/>
            </c:spPr>
            <c:extLst>
              <c:ext xmlns:c16="http://schemas.microsoft.com/office/drawing/2014/chart" uri="{C3380CC4-5D6E-409C-BE32-E72D297353CC}">
                <c16:uniqueId val="{00000017-343D-4B33-A2D3-D841484D6901}"/>
              </c:ext>
            </c:extLst>
          </c:dPt>
          <c:dPt>
            <c:idx val="3"/>
            <c:bubble3D val="0"/>
            <c:spPr>
              <a:noFill/>
              <a:ln w="19050">
                <a:noFill/>
              </a:ln>
              <a:effectLst/>
            </c:spPr>
            <c:extLst>
              <c:ext xmlns:c16="http://schemas.microsoft.com/office/drawing/2014/chart" uri="{C3380CC4-5D6E-409C-BE32-E72D297353CC}">
                <c16:uniqueId val="{00000019-343D-4B33-A2D3-D841484D6901}"/>
              </c:ext>
            </c:extLst>
          </c:dPt>
          <c:val>
            <c:numRef>
              <c:f>Processing!$U$19:$U$22</c:f>
              <c:numCache>
                <c:formatCode>0%</c:formatCode>
                <c:ptCount val="4"/>
                <c:pt idx="0">
                  <c:v>0</c:v>
                </c:pt>
                <c:pt idx="1">
                  <c:v>0.83333333333333337</c:v>
                </c:pt>
                <c:pt idx="2">
                  <c:v>0.16666666666666663</c:v>
                </c:pt>
                <c:pt idx="3">
                  <c:v>0.34</c:v>
                </c:pt>
              </c:numCache>
            </c:numRef>
          </c:val>
          <c:extLst>
            <c:ext xmlns:c16="http://schemas.microsoft.com/office/drawing/2014/chart" uri="{C3380CC4-5D6E-409C-BE32-E72D297353CC}">
              <c16:uniqueId val="{0000001A-343D-4B33-A2D3-D841484D6901}"/>
            </c:ext>
          </c:extLst>
        </c:ser>
        <c:ser>
          <c:idx val="3"/>
          <c:order val="3"/>
          <c:spPr>
            <a:noFill/>
            <a:ln>
              <a:noFill/>
            </a:ln>
          </c:spPr>
          <c:dPt>
            <c:idx val="0"/>
            <c:bubble3D val="0"/>
            <c:spPr>
              <a:noFill/>
              <a:ln w="19050">
                <a:noFill/>
              </a:ln>
              <a:effectLst/>
            </c:spPr>
            <c:extLst>
              <c:ext xmlns:c16="http://schemas.microsoft.com/office/drawing/2014/chart" uri="{C3380CC4-5D6E-409C-BE32-E72D297353CC}">
                <c16:uniqueId val="{0000001C-343D-4B33-A2D3-D841484D6901}"/>
              </c:ext>
            </c:extLst>
          </c:dPt>
          <c:dPt>
            <c:idx val="1"/>
            <c:bubble3D val="0"/>
            <c:spPr>
              <a:noFill/>
              <a:ln w="19050">
                <a:noFill/>
              </a:ln>
              <a:effectLst/>
            </c:spPr>
            <c:extLst>
              <c:ext xmlns:c16="http://schemas.microsoft.com/office/drawing/2014/chart" uri="{C3380CC4-5D6E-409C-BE32-E72D297353CC}">
                <c16:uniqueId val="{0000001E-343D-4B33-A2D3-D841484D6901}"/>
              </c:ext>
            </c:extLst>
          </c:dPt>
          <c:dPt>
            <c:idx val="2"/>
            <c:bubble3D val="0"/>
            <c:spPr>
              <a:noFill/>
              <a:ln w="19050">
                <a:noFill/>
              </a:ln>
              <a:effectLst/>
            </c:spPr>
            <c:extLst>
              <c:ext xmlns:c16="http://schemas.microsoft.com/office/drawing/2014/chart" uri="{C3380CC4-5D6E-409C-BE32-E72D297353CC}">
                <c16:uniqueId val="{00000020-343D-4B33-A2D3-D841484D6901}"/>
              </c:ext>
            </c:extLst>
          </c:dPt>
          <c:dPt>
            <c:idx val="3"/>
            <c:bubble3D val="0"/>
            <c:spPr>
              <a:noFill/>
              <a:ln w="19050">
                <a:noFill/>
              </a:ln>
              <a:effectLst/>
            </c:spPr>
            <c:extLst>
              <c:ext xmlns:c16="http://schemas.microsoft.com/office/drawing/2014/chart" uri="{C3380CC4-5D6E-409C-BE32-E72D297353CC}">
                <c16:uniqueId val="{00000022-343D-4B33-A2D3-D841484D6901}"/>
              </c:ext>
            </c:extLst>
          </c:dPt>
          <c:val>
            <c:numRef>
              <c:f>Processing!$V$19:$V$22</c:f>
              <c:numCache>
                <c:formatCode>0%</c:formatCode>
                <c:ptCount val="4"/>
                <c:pt idx="0">
                  <c:v>0</c:v>
                </c:pt>
                <c:pt idx="1">
                  <c:v>0.83333333333333337</c:v>
                </c:pt>
                <c:pt idx="2">
                  <c:v>0.16666666666666663</c:v>
                </c:pt>
                <c:pt idx="3">
                  <c:v>0.34</c:v>
                </c:pt>
              </c:numCache>
            </c:numRef>
          </c:val>
          <c:extLst>
            <c:ext xmlns:c16="http://schemas.microsoft.com/office/drawing/2014/chart" uri="{C3380CC4-5D6E-409C-BE32-E72D297353CC}">
              <c16:uniqueId val="{00000023-343D-4B33-A2D3-D841484D6901}"/>
            </c:ext>
          </c:extLst>
        </c:ser>
        <c:ser>
          <c:idx val="4"/>
          <c:order val="4"/>
          <c:dPt>
            <c:idx val="0"/>
            <c:bubble3D val="0"/>
            <c:spPr>
              <a:gradFill>
                <a:gsLst>
                  <a:gs pos="1000">
                    <a:srgbClr val="F28F33"/>
                  </a:gs>
                  <a:gs pos="76000">
                    <a:srgbClr val="FE2827"/>
                  </a:gs>
                </a:gsLst>
                <a:path path="circle">
                  <a:fillToRect l="100000" t="100000"/>
                </a:path>
              </a:gradFill>
              <a:effectLst/>
            </c:spPr>
            <c:extLst>
              <c:ext xmlns:c16="http://schemas.microsoft.com/office/drawing/2014/chart" uri="{C3380CC4-5D6E-409C-BE32-E72D297353CC}">
                <c16:uniqueId val="{00000025-343D-4B33-A2D3-D841484D6901}"/>
              </c:ext>
            </c:extLst>
          </c:dPt>
          <c:dPt>
            <c:idx val="1"/>
            <c:bubble3D val="0"/>
            <c:spPr>
              <a:solidFill>
                <a:srgbClr val="C4FEF9"/>
              </a:solidFill>
              <a:effectLst/>
            </c:spPr>
            <c:extLst>
              <c:ext xmlns:c16="http://schemas.microsoft.com/office/drawing/2014/chart" uri="{C3380CC4-5D6E-409C-BE32-E72D297353CC}">
                <c16:uniqueId val="{00000027-343D-4B33-A2D3-D841484D6901}"/>
              </c:ext>
            </c:extLst>
          </c:dPt>
          <c:dPt>
            <c:idx val="2"/>
            <c:bubble3D val="0"/>
            <c:spPr>
              <a:solidFill>
                <a:srgbClr val="C4FEF9">
                  <a:alpha val="20000"/>
                </a:srgbClr>
              </a:solidFill>
              <a:effectLst/>
            </c:spPr>
            <c:extLst>
              <c:ext xmlns:c16="http://schemas.microsoft.com/office/drawing/2014/chart" uri="{C3380CC4-5D6E-409C-BE32-E72D297353CC}">
                <c16:uniqueId val="{00000029-343D-4B33-A2D3-D841484D6901}"/>
              </c:ext>
            </c:extLst>
          </c:dPt>
          <c:dPt>
            <c:idx val="3"/>
            <c:bubble3D val="0"/>
            <c:spPr>
              <a:noFill/>
              <a:effectLst/>
            </c:spPr>
            <c:extLst>
              <c:ext xmlns:c16="http://schemas.microsoft.com/office/drawing/2014/chart" uri="{C3380CC4-5D6E-409C-BE32-E72D297353CC}">
                <c16:uniqueId val="{0000002B-343D-4B33-A2D3-D841484D6901}"/>
              </c:ext>
            </c:extLst>
          </c:dPt>
          <c:val>
            <c:numRef>
              <c:f>Processing!$W$19:$W$22</c:f>
              <c:numCache>
                <c:formatCode>0%</c:formatCode>
                <c:ptCount val="4"/>
                <c:pt idx="0">
                  <c:v>0</c:v>
                </c:pt>
                <c:pt idx="1">
                  <c:v>0.69444444444444442</c:v>
                </c:pt>
                <c:pt idx="2">
                  <c:v>0.30555555555555558</c:v>
                </c:pt>
                <c:pt idx="3">
                  <c:v>0.34</c:v>
                </c:pt>
              </c:numCache>
            </c:numRef>
          </c:val>
          <c:extLst>
            <c:ext xmlns:c16="http://schemas.microsoft.com/office/drawing/2014/chart" uri="{C3380CC4-5D6E-409C-BE32-E72D297353CC}">
              <c16:uniqueId val="{0000002C-343D-4B33-A2D3-D841484D6901}"/>
            </c:ext>
          </c:extLst>
        </c:ser>
        <c:ser>
          <c:idx val="5"/>
          <c:order val="5"/>
          <c:spPr>
            <a:noFill/>
          </c:spPr>
          <c:dPt>
            <c:idx val="0"/>
            <c:bubble3D val="0"/>
            <c:spPr>
              <a:noFill/>
              <a:effectLst/>
            </c:spPr>
            <c:extLst>
              <c:ext xmlns:c16="http://schemas.microsoft.com/office/drawing/2014/chart" uri="{C3380CC4-5D6E-409C-BE32-E72D297353CC}">
                <c16:uniqueId val="{0000002E-343D-4B33-A2D3-D841484D6901}"/>
              </c:ext>
            </c:extLst>
          </c:dPt>
          <c:dPt>
            <c:idx val="1"/>
            <c:bubble3D val="0"/>
            <c:spPr>
              <a:noFill/>
              <a:effectLst/>
            </c:spPr>
            <c:extLst>
              <c:ext xmlns:c16="http://schemas.microsoft.com/office/drawing/2014/chart" uri="{C3380CC4-5D6E-409C-BE32-E72D297353CC}">
                <c16:uniqueId val="{00000030-343D-4B33-A2D3-D841484D6901}"/>
              </c:ext>
            </c:extLst>
          </c:dPt>
          <c:dPt>
            <c:idx val="2"/>
            <c:bubble3D val="0"/>
            <c:spPr>
              <a:noFill/>
              <a:effectLst/>
            </c:spPr>
            <c:extLst>
              <c:ext xmlns:c16="http://schemas.microsoft.com/office/drawing/2014/chart" uri="{C3380CC4-5D6E-409C-BE32-E72D297353CC}">
                <c16:uniqueId val="{00000032-343D-4B33-A2D3-D841484D6901}"/>
              </c:ext>
            </c:extLst>
          </c:dPt>
          <c:dPt>
            <c:idx val="3"/>
            <c:bubble3D val="0"/>
            <c:spPr>
              <a:noFill/>
              <a:effectLst/>
            </c:spPr>
            <c:extLst>
              <c:ext xmlns:c16="http://schemas.microsoft.com/office/drawing/2014/chart" uri="{C3380CC4-5D6E-409C-BE32-E72D297353CC}">
                <c16:uniqueId val="{00000034-343D-4B33-A2D3-D841484D6901}"/>
              </c:ext>
            </c:extLst>
          </c:dPt>
          <c:val>
            <c:numRef>
              <c:f>Processing!$X$19:$X$22</c:f>
              <c:numCache>
                <c:formatCode>0%</c:formatCode>
                <c:ptCount val="4"/>
                <c:pt idx="0">
                  <c:v>0</c:v>
                </c:pt>
                <c:pt idx="1">
                  <c:v>0.69444444444444442</c:v>
                </c:pt>
                <c:pt idx="2">
                  <c:v>0.30555555555555558</c:v>
                </c:pt>
                <c:pt idx="3">
                  <c:v>0.34</c:v>
                </c:pt>
              </c:numCache>
            </c:numRef>
          </c:val>
          <c:extLst>
            <c:ext xmlns:c16="http://schemas.microsoft.com/office/drawing/2014/chart" uri="{C3380CC4-5D6E-409C-BE32-E72D297353CC}">
              <c16:uniqueId val="{00000035-343D-4B33-A2D3-D841484D6901}"/>
            </c:ext>
          </c:extLst>
        </c:ser>
        <c:ser>
          <c:idx val="6"/>
          <c:order val="6"/>
          <c:dPt>
            <c:idx val="0"/>
            <c:bubble3D val="0"/>
            <c:spPr>
              <a:gradFill flip="none" rotWithShape="1">
                <a:gsLst>
                  <a:gs pos="1000">
                    <a:srgbClr val="F28F33"/>
                  </a:gs>
                  <a:gs pos="76000">
                    <a:srgbClr val="FE2827"/>
                  </a:gs>
                </a:gsLst>
                <a:path path="circle">
                  <a:fillToRect l="100000" t="100000"/>
                </a:path>
                <a:tileRect r="-100000" b="-100000"/>
              </a:gradFill>
              <a:effectLst/>
            </c:spPr>
            <c:extLst>
              <c:ext xmlns:c16="http://schemas.microsoft.com/office/drawing/2014/chart" uri="{C3380CC4-5D6E-409C-BE32-E72D297353CC}">
                <c16:uniqueId val="{00000037-343D-4B33-A2D3-D841484D6901}"/>
              </c:ext>
            </c:extLst>
          </c:dPt>
          <c:dPt>
            <c:idx val="1"/>
            <c:bubble3D val="0"/>
            <c:spPr>
              <a:solidFill>
                <a:srgbClr val="C4FEF9"/>
              </a:solidFill>
              <a:effectLst/>
            </c:spPr>
            <c:extLst>
              <c:ext xmlns:c16="http://schemas.microsoft.com/office/drawing/2014/chart" uri="{C3380CC4-5D6E-409C-BE32-E72D297353CC}">
                <c16:uniqueId val="{00000039-343D-4B33-A2D3-D841484D6901}"/>
              </c:ext>
            </c:extLst>
          </c:dPt>
          <c:dPt>
            <c:idx val="2"/>
            <c:bubble3D val="0"/>
            <c:spPr>
              <a:solidFill>
                <a:srgbClr val="DABEF7">
                  <a:alpha val="20000"/>
                </a:srgbClr>
              </a:solidFill>
              <a:effectLst/>
            </c:spPr>
            <c:extLst>
              <c:ext xmlns:c16="http://schemas.microsoft.com/office/drawing/2014/chart" uri="{C3380CC4-5D6E-409C-BE32-E72D297353CC}">
                <c16:uniqueId val="{0000003B-343D-4B33-A2D3-D841484D6901}"/>
              </c:ext>
            </c:extLst>
          </c:dPt>
          <c:dPt>
            <c:idx val="3"/>
            <c:bubble3D val="0"/>
            <c:spPr>
              <a:noFill/>
              <a:effectLst/>
            </c:spPr>
            <c:extLst>
              <c:ext xmlns:c16="http://schemas.microsoft.com/office/drawing/2014/chart" uri="{C3380CC4-5D6E-409C-BE32-E72D297353CC}">
                <c16:uniqueId val="{0000003D-343D-4B33-A2D3-D841484D6901}"/>
              </c:ext>
            </c:extLst>
          </c:dPt>
          <c:val>
            <c:numRef>
              <c:f>Processing!$Y$19:$Y$22</c:f>
              <c:numCache>
                <c:formatCode>0%</c:formatCode>
                <c:ptCount val="4"/>
                <c:pt idx="0">
                  <c:v>0</c:v>
                </c:pt>
                <c:pt idx="1">
                  <c:v>0.55555555555555558</c:v>
                </c:pt>
                <c:pt idx="2">
                  <c:v>0.44444444444444442</c:v>
                </c:pt>
                <c:pt idx="3">
                  <c:v>0.34</c:v>
                </c:pt>
              </c:numCache>
            </c:numRef>
          </c:val>
          <c:extLst>
            <c:ext xmlns:c16="http://schemas.microsoft.com/office/drawing/2014/chart" uri="{C3380CC4-5D6E-409C-BE32-E72D297353CC}">
              <c16:uniqueId val="{0000003E-343D-4B33-A2D3-D841484D6901}"/>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7152084403399478"/>
          <c:y val="0.1334777689744398"/>
          <c:w val="0.65064931069873488"/>
          <c:h val="0.75010457881938375"/>
        </c:manualLayout>
      </c:layout>
      <c:radarChart>
        <c:radarStyle val="filled"/>
        <c:varyColors val="0"/>
        <c:ser>
          <c:idx val="0"/>
          <c:order val="0"/>
          <c:tx>
            <c:strRef>
              <c:f>Processing!$AA$19</c:f>
              <c:strCache>
                <c:ptCount val="1"/>
                <c:pt idx="0">
                  <c:v>Finish</c:v>
                </c:pt>
              </c:strCache>
            </c:strRef>
          </c:tx>
          <c:spPr>
            <a:solidFill>
              <a:srgbClr val="BFCDE4">
                <a:alpha val="20000"/>
              </a:srgbClr>
            </a:solidFill>
            <a:ln w="12700" cap="rnd">
              <a:solidFill>
                <a:srgbClr val="FF3300"/>
              </a:solidFill>
              <a:round/>
            </a:ln>
            <a:effectLst/>
          </c:spPr>
          <c:cat>
            <c:strRef>
              <c:f>Processing!$AB$21:$AE$21</c:f>
              <c:strCache>
                <c:ptCount val="4"/>
                <c:pt idx="0">
                  <c:v>Goal 1</c:v>
                </c:pt>
                <c:pt idx="1">
                  <c:v>Goal 2</c:v>
                </c:pt>
                <c:pt idx="2">
                  <c:v>Goal 3</c:v>
                </c:pt>
                <c:pt idx="3">
                  <c:v>Goal 4</c:v>
                </c:pt>
              </c:strCache>
            </c:strRef>
          </c:cat>
          <c:val>
            <c:numRef>
              <c:f>Processing!$AB$19:$AE$19</c:f>
              <c:numCache>
                <c:formatCode>_-[$€-2]\ * #,##0_-;\-[$€-2]\ * #,##0_-;_-[$€-2]\ * "-"_-;_-@_-</c:formatCode>
                <c:ptCount val="4"/>
                <c:pt idx="0">
                  <c:v>1000</c:v>
                </c:pt>
                <c:pt idx="1">
                  <c:v>1250</c:v>
                </c:pt>
                <c:pt idx="2">
                  <c:v>1500</c:v>
                </c:pt>
                <c:pt idx="3">
                  <c:v>1800</c:v>
                </c:pt>
              </c:numCache>
            </c:numRef>
          </c:val>
          <c:extLst>
            <c:ext xmlns:c16="http://schemas.microsoft.com/office/drawing/2014/chart" uri="{C3380CC4-5D6E-409C-BE32-E72D297353CC}">
              <c16:uniqueId val="{00000000-662B-4D26-802E-7EA4A5D23DEF}"/>
            </c:ext>
          </c:extLst>
        </c:ser>
        <c:ser>
          <c:idx val="1"/>
          <c:order val="1"/>
          <c:tx>
            <c:strRef>
              <c:f>Processing!$AA$20</c:f>
              <c:strCache>
                <c:ptCount val="1"/>
                <c:pt idx="0">
                  <c:v>Start</c:v>
                </c:pt>
              </c:strCache>
            </c:strRef>
          </c:tx>
          <c:spPr>
            <a:gradFill>
              <a:gsLst>
                <a:gs pos="14000">
                  <a:srgbClr val="00FAE3"/>
                </a:gs>
                <a:gs pos="75000">
                  <a:srgbClr val="009688"/>
                </a:gs>
              </a:gsLst>
              <a:path path="circle">
                <a:fillToRect r="100000" b="100000"/>
              </a:path>
            </a:gradFill>
            <a:ln>
              <a:noFill/>
            </a:ln>
            <a:effectLst>
              <a:outerShdw blurRad="50800" dist="38100" dir="2700000" algn="tl" rotWithShape="0">
                <a:prstClr val="black">
                  <a:alpha val="40000"/>
                </a:prstClr>
              </a:outerShdw>
            </a:effectLst>
          </c:spPr>
          <c:cat>
            <c:strRef>
              <c:f>Processing!$AB$21:$AE$21</c:f>
              <c:strCache>
                <c:ptCount val="4"/>
                <c:pt idx="0">
                  <c:v>Goal 1</c:v>
                </c:pt>
                <c:pt idx="1">
                  <c:v>Goal 2</c:v>
                </c:pt>
                <c:pt idx="2">
                  <c:v>Goal 3</c:v>
                </c:pt>
                <c:pt idx="3">
                  <c:v>Goal 4</c:v>
                </c:pt>
              </c:strCache>
            </c:strRef>
          </c:cat>
          <c:val>
            <c:numRef>
              <c:f>Processing!$AB$20:$AE$20</c:f>
              <c:numCache>
                <c:formatCode>_-[$€-2]\ * #,##0_-;\-[$€-2]\ * #,##0_-;_-[$€-2]\ * "-"_-;_-@_-</c:formatCode>
                <c:ptCount val="4"/>
                <c:pt idx="0">
                  <c:v>0</c:v>
                </c:pt>
                <c:pt idx="1">
                  <c:v>0</c:v>
                </c:pt>
                <c:pt idx="2">
                  <c:v>0</c:v>
                </c:pt>
                <c:pt idx="3">
                  <c:v>0</c:v>
                </c:pt>
              </c:numCache>
            </c:numRef>
          </c:val>
          <c:extLst>
            <c:ext xmlns:c16="http://schemas.microsoft.com/office/drawing/2014/chart" uri="{C3380CC4-5D6E-409C-BE32-E72D297353CC}">
              <c16:uniqueId val="{00000001-662B-4D26-802E-7EA4A5D23DEF}"/>
            </c:ext>
          </c:extLst>
        </c:ser>
        <c:dLbls>
          <c:showLegendKey val="0"/>
          <c:showVal val="0"/>
          <c:showCatName val="0"/>
          <c:showSerName val="0"/>
          <c:showPercent val="0"/>
          <c:showBubbleSize val="0"/>
        </c:dLbls>
        <c:axId val="1692620048"/>
        <c:axId val="1692616688"/>
      </c:radarChart>
      <c:radarChart>
        <c:radarStyle val="marker"/>
        <c:varyColors val="0"/>
        <c:ser>
          <c:idx val="2"/>
          <c:order val="2"/>
          <c:tx>
            <c:v>Market</c:v>
          </c:tx>
          <c:spPr>
            <a:ln w="15875" cap="rnd">
              <a:noFill/>
              <a:round/>
            </a:ln>
            <a:effectLst>
              <a:outerShdw blurRad="50800" dist="38100" dir="2700000" algn="tl" rotWithShape="0">
                <a:prstClr val="black">
                  <a:alpha val="40000"/>
                </a:prstClr>
              </a:outerShdw>
            </a:effectLst>
          </c:spPr>
          <c:marker>
            <c:symbol val="circle"/>
            <c:size val="8"/>
            <c:spPr>
              <a:gradFill>
                <a:gsLst>
                  <a:gs pos="0">
                    <a:srgbClr val="C4FEF9"/>
                  </a:gs>
                  <a:gs pos="100000">
                    <a:srgbClr val="10FAE5"/>
                  </a:gs>
                </a:gsLst>
                <a:lin ang="5400000" scaled="1"/>
              </a:gradFill>
              <a:ln w="9525">
                <a:noFill/>
              </a:ln>
              <a:effectLst>
                <a:outerShdw blurRad="50800" dist="38100" dir="2700000" algn="tl" rotWithShape="0">
                  <a:prstClr val="black">
                    <a:alpha val="40000"/>
                  </a:prstClr>
                </a:outerShdw>
              </a:effectLst>
            </c:spPr>
          </c:marker>
          <c:val>
            <c:numRef>
              <c:f>Processing!$AB$20:$AE$20</c:f>
              <c:numCache>
                <c:formatCode>_-[$€-2]\ * #,##0_-;\-[$€-2]\ * #,##0_-;_-[$€-2]\ * "-"_-;_-@_-</c:formatCode>
                <c:ptCount val="4"/>
                <c:pt idx="0">
                  <c:v>0</c:v>
                </c:pt>
                <c:pt idx="1">
                  <c:v>0</c:v>
                </c:pt>
                <c:pt idx="2">
                  <c:v>0</c:v>
                </c:pt>
                <c:pt idx="3">
                  <c:v>0</c:v>
                </c:pt>
              </c:numCache>
            </c:numRef>
          </c:val>
          <c:extLst>
            <c:ext xmlns:c16="http://schemas.microsoft.com/office/drawing/2014/chart" uri="{C3380CC4-5D6E-409C-BE32-E72D297353CC}">
              <c16:uniqueId val="{00000002-662B-4D26-802E-7EA4A5D23DEF}"/>
            </c:ext>
          </c:extLst>
        </c:ser>
        <c:dLbls>
          <c:showLegendKey val="0"/>
          <c:showVal val="0"/>
          <c:showCatName val="0"/>
          <c:showSerName val="0"/>
          <c:showPercent val="0"/>
          <c:showBubbleSize val="0"/>
        </c:dLbls>
        <c:axId val="1692620048"/>
        <c:axId val="1692616688"/>
      </c:radarChart>
      <c:catAx>
        <c:axId val="1692620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rgbClr val="BFCDE4"/>
                </a:solidFill>
                <a:latin typeface="+mn-lt"/>
                <a:ea typeface="+mn-ea"/>
                <a:cs typeface="+mn-cs"/>
              </a:defRPr>
            </a:pPr>
            <a:endParaRPr lang="it-IT"/>
          </a:p>
        </c:txPr>
        <c:crossAx val="1692616688"/>
        <c:crosses val="autoZero"/>
        <c:auto val="1"/>
        <c:lblAlgn val="ctr"/>
        <c:lblOffset val="100"/>
        <c:noMultiLvlLbl val="0"/>
      </c:catAx>
      <c:valAx>
        <c:axId val="1692616688"/>
        <c:scaling>
          <c:orientation val="minMax"/>
        </c:scaling>
        <c:delete val="1"/>
        <c:axPos val="l"/>
        <c:majorGridlines>
          <c:spPr>
            <a:ln w="9525" cap="flat" cmpd="sng" algn="ctr">
              <a:solidFill>
                <a:srgbClr val="304C5E"/>
              </a:solidFill>
              <a:round/>
            </a:ln>
            <a:effectLst/>
          </c:spPr>
        </c:majorGridlines>
        <c:numFmt formatCode="_-[$€-2]\ * #,##0_-;\-[$€-2]\ * #,##0_-;_-[$€-2]\ * &quot;-&quot;_-;_-@_-" sourceLinked="1"/>
        <c:majorTickMark val="none"/>
        <c:minorTickMark val="none"/>
        <c:tickLblPos val="nextTo"/>
        <c:crossAx val="1692620048"/>
        <c:crosses val="autoZero"/>
        <c:crossBetween val="between"/>
      </c:valAx>
      <c:spPr>
        <a:noFill/>
        <a:ln>
          <a:noFill/>
        </a:ln>
        <a:effectLst/>
      </c:spPr>
    </c:plotArea>
    <c:legend>
      <c:legendPos val="r"/>
      <c:legendEntry>
        <c:idx val="2"/>
        <c:delete val="1"/>
      </c:legendEntry>
      <c:layout>
        <c:manualLayout>
          <c:xMode val="edge"/>
          <c:yMode val="edge"/>
          <c:x val="0.87234433275879897"/>
          <c:y val="0.73244721422712555"/>
          <c:w val="0.12765566724120092"/>
          <c:h val="0.13167662214040401"/>
        </c:manualLayout>
      </c:layout>
      <c:overlay val="0"/>
      <c:spPr>
        <a:noFill/>
        <a:ln>
          <a:noFill/>
        </a:ln>
        <a:effectLst/>
      </c:spPr>
      <c:txPr>
        <a:bodyPr rot="0" spcFirstLastPara="1" vertOverflow="ellipsis" vert="horz" wrap="square" anchor="ctr" anchorCtr="1"/>
        <a:lstStyle/>
        <a:p>
          <a:pPr>
            <a:defRPr sz="1100" b="0" i="0" u="none" strike="noStrike" kern="1200" baseline="0">
              <a:solidFill>
                <a:srgbClr val="BFCDE4"/>
              </a:solidFill>
              <a:latin typeface="+mn-lt"/>
              <a:ea typeface="+mn-ea"/>
              <a:cs typeface="+mn-cs"/>
            </a:defRPr>
          </a:pPr>
          <a:endParaRPr lang="it-IT"/>
        </a:p>
      </c:txPr>
    </c:legend>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0416362926982848"/>
          <c:y val="0.12995986666325421"/>
          <c:w val="0.3961259800573016"/>
          <c:h val="0.73394751036653116"/>
        </c:manualLayout>
      </c:layout>
      <c:doughnutChart>
        <c:varyColors val="1"/>
        <c:ser>
          <c:idx val="0"/>
          <c:order val="0"/>
          <c:dPt>
            <c:idx val="0"/>
            <c:bubble3D val="0"/>
            <c:spPr>
              <a:solidFill>
                <a:srgbClr val="0D6796"/>
              </a:solidFill>
              <a:ln w="19050">
                <a:noFill/>
              </a:ln>
              <a:effectLst/>
            </c:spPr>
            <c:extLst>
              <c:ext xmlns:c16="http://schemas.microsoft.com/office/drawing/2014/chart" uri="{C3380CC4-5D6E-409C-BE32-E72D297353CC}">
                <c16:uniqueId val="{00000001-B8F2-468A-9E03-05FD5DE1A6DA}"/>
              </c:ext>
            </c:extLst>
          </c:dPt>
          <c:dPt>
            <c:idx val="1"/>
            <c:bubble3D val="0"/>
            <c:spPr>
              <a:solidFill>
                <a:srgbClr val="04B7DF"/>
              </a:solidFill>
              <a:ln w="19050">
                <a:noFill/>
              </a:ln>
              <a:effectLst/>
            </c:spPr>
            <c:extLst>
              <c:ext xmlns:c16="http://schemas.microsoft.com/office/drawing/2014/chart" uri="{C3380CC4-5D6E-409C-BE32-E72D297353CC}">
                <c16:uniqueId val="{00000003-B8F2-468A-9E03-05FD5DE1A6DA}"/>
              </c:ext>
            </c:extLst>
          </c:dPt>
          <c:dPt>
            <c:idx val="2"/>
            <c:bubble3D val="0"/>
            <c:spPr>
              <a:solidFill>
                <a:srgbClr val="00FFFF"/>
              </a:solidFill>
              <a:ln w="19050">
                <a:noFill/>
              </a:ln>
              <a:effectLst/>
            </c:spPr>
            <c:extLst>
              <c:ext xmlns:c16="http://schemas.microsoft.com/office/drawing/2014/chart" uri="{C3380CC4-5D6E-409C-BE32-E72D297353CC}">
                <c16:uniqueId val="{00000005-B8F2-468A-9E03-05FD5DE1A6DA}"/>
              </c:ext>
            </c:extLst>
          </c:dPt>
          <c:dPt>
            <c:idx val="3"/>
            <c:bubble3D val="0"/>
            <c:spPr>
              <a:solidFill>
                <a:schemeClr val="bg1"/>
              </a:solidFill>
              <a:ln w="19050">
                <a:noFill/>
              </a:ln>
              <a:effectLst/>
            </c:spPr>
            <c:extLst>
              <c:ext xmlns:c16="http://schemas.microsoft.com/office/drawing/2014/chart" uri="{C3380CC4-5D6E-409C-BE32-E72D297353CC}">
                <c16:uniqueId val="{00000007-B8F2-468A-9E03-05FD5DE1A6DA}"/>
              </c:ext>
            </c:extLst>
          </c:dPt>
          <c:dLbls>
            <c:dLbl>
              <c:idx val="3"/>
              <c:layout>
                <c:manualLayout>
                  <c:x val="-0.10717703349282297"/>
                  <c:y val="-9.569377990430622E-2"/>
                </c:manualLayout>
              </c:layout>
              <c:spPr>
                <a:noFill/>
                <a:ln>
                  <a:solidFill>
                    <a:srgbClr val="00FFFF"/>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00FFFF"/>
                      </a:solidFill>
                      <a:latin typeface="+mn-lt"/>
                      <a:ea typeface="+mn-ea"/>
                      <a:cs typeface="+mn-cs"/>
                    </a:defRPr>
                  </a:pPr>
                  <a:endParaRPr lang="it-IT"/>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7-B8F2-468A-9E03-05FD5DE1A6D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t-IT"/>
              </a:p>
            </c:txPr>
            <c:showLegendKey val="0"/>
            <c:showVal val="0"/>
            <c:showCatName val="0"/>
            <c:showSerName val="0"/>
            <c:showPercent val="0"/>
            <c:showBubbleSize val="0"/>
            <c:extLst>
              <c:ext xmlns:c15="http://schemas.microsoft.com/office/drawing/2012/chart" uri="{CE6537A1-D6FC-4f65-9D91-7224C49458BB}"/>
            </c:extLst>
          </c:dLbls>
          <c:cat>
            <c:strRef>
              <c:f>Processing!$AB$27:$AE$27</c:f>
              <c:strCache>
                <c:ptCount val="4"/>
                <c:pt idx="0">
                  <c:v>Goal 1</c:v>
                </c:pt>
                <c:pt idx="1">
                  <c:v>Goal 2</c:v>
                </c:pt>
                <c:pt idx="2">
                  <c:v>Goal 3</c:v>
                </c:pt>
                <c:pt idx="3">
                  <c:v>Goal 4</c:v>
                </c:pt>
              </c:strCache>
            </c:strRef>
          </c:cat>
          <c:val>
            <c:numRef>
              <c:f>Processing!$AB$28:$AE$28</c:f>
              <c:numCache>
                <c:formatCode>_-[$€-2]\ * #,##0_-;\-[$€-2]\ * #,##0_-;_-[$€-2]\ * "-"_-;_-@_-</c:formatCode>
                <c:ptCount val="4"/>
                <c:pt idx="0">
                  <c:v>0</c:v>
                </c:pt>
                <c:pt idx="1">
                  <c:v>0</c:v>
                </c:pt>
                <c:pt idx="2">
                  <c:v>0</c:v>
                </c:pt>
                <c:pt idx="3">
                  <c:v>0</c:v>
                </c:pt>
              </c:numCache>
            </c:numRef>
          </c:val>
          <c:extLst>
            <c:ext xmlns:c16="http://schemas.microsoft.com/office/drawing/2014/chart" uri="{C3380CC4-5D6E-409C-BE32-E72D297353CC}">
              <c16:uniqueId val="{00000008-B8F2-468A-9E03-05FD5DE1A6DA}"/>
            </c:ext>
          </c:extLst>
        </c:ser>
        <c:ser>
          <c:idx val="1"/>
          <c:order val="1"/>
          <c:spPr>
            <a:ln>
              <a:noFill/>
            </a:ln>
          </c:spPr>
          <c:dPt>
            <c:idx val="0"/>
            <c:bubble3D val="0"/>
            <c:spPr>
              <a:solidFill>
                <a:srgbClr val="0D6796"/>
              </a:solidFill>
              <a:ln w="19050">
                <a:noFill/>
              </a:ln>
              <a:effectLst/>
            </c:spPr>
            <c:extLst>
              <c:ext xmlns:c16="http://schemas.microsoft.com/office/drawing/2014/chart" uri="{C3380CC4-5D6E-409C-BE32-E72D297353CC}">
                <c16:uniqueId val="{0000000A-B8F2-468A-9E03-05FD5DE1A6DA}"/>
              </c:ext>
            </c:extLst>
          </c:dPt>
          <c:dPt>
            <c:idx val="1"/>
            <c:bubble3D val="0"/>
            <c:spPr>
              <a:solidFill>
                <a:srgbClr val="04B7DF"/>
              </a:solidFill>
              <a:ln w="19050">
                <a:noFill/>
              </a:ln>
              <a:effectLst/>
            </c:spPr>
            <c:extLst>
              <c:ext xmlns:c16="http://schemas.microsoft.com/office/drawing/2014/chart" uri="{C3380CC4-5D6E-409C-BE32-E72D297353CC}">
                <c16:uniqueId val="{0000000C-B8F2-468A-9E03-05FD5DE1A6DA}"/>
              </c:ext>
            </c:extLst>
          </c:dPt>
          <c:dPt>
            <c:idx val="2"/>
            <c:bubble3D val="0"/>
            <c:spPr>
              <a:solidFill>
                <a:srgbClr val="00FFFF"/>
              </a:solidFill>
              <a:ln w="19050">
                <a:noFill/>
              </a:ln>
              <a:effectLst/>
            </c:spPr>
            <c:extLst>
              <c:ext xmlns:c16="http://schemas.microsoft.com/office/drawing/2014/chart" uri="{C3380CC4-5D6E-409C-BE32-E72D297353CC}">
                <c16:uniqueId val="{0000000E-B8F2-468A-9E03-05FD5DE1A6DA}"/>
              </c:ext>
            </c:extLst>
          </c:dPt>
          <c:dPt>
            <c:idx val="3"/>
            <c:bubble3D val="0"/>
            <c:spPr>
              <a:noFill/>
              <a:ln w="19050">
                <a:noFill/>
              </a:ln>
              <a:effectLst/>
            </c:spPr>
            <c:extLst>
              <c:ext xmlns:c16="http://schemas.microsoft.com/office/drawing/2014/chart" uri="{C3380CC4-5D6E-409C-BE32-E72D297353CC}">
                <c16:uniqueId val="{00000010-B8F2-468A-9E03-05FD5DE1A6DA}"/>
              </c:ext>
            </c:extLst>
          </c:dPt>
          <c:cat>
            <c:strRef>
              <c:f>Processing!$AB$27:$AE$27</c:f>
              <c:strCache>
                <c:ptCount val="4"/>
                <c:pt idx="0">
                  <c:v>Goal 1</c:v>
                </c:pt>
                <c:pt idx="1">
                  <c:v>Goal 2</c:v>
                </c:pt>
                <c:pt idx="2">
                  <c:v>Goal 3</c:v>
                </c:pt>
                <c:pt idx="3">
                  <c:v>Goal 4</c:v>
                </c:pt>
              </c:strCache>
            </c:strRef>
          </c:cat>
          <c:val>
            <c:numRef>
              <c:f>Processing!$AB$28:$AE$28</c:f>
              <c:numCache>
                <c:formatCode>_-[$€-2]\ * #,##0_-;\-[$€-2]\ * #,##0_-;_-[$€-2]\ * "-"_-;_-@_-</c:formatCode>
                <c:ptCount val="4"/>
                <c:pt idx="0">
                  <c:v>0</c:v>
                </c:pt>
                <c:pt idx="1">
                  <c:v>0</c:v>
                </c:pt>
                <c:pt idx="2">
                  <c:v>0</c:v>
                </c:pt>
                <c:pt idx="3">
                  <c:v>0</c:v>
                </c:pt>
              </c:numCache>
            </c:numRef>
          </c:val>
          <c:extLst>
            <c:ext xmlns:c16="http://schemas.microsoft.com/office/drawing/2014/chart" uri="{C3380CC4-5D6E-409C-BE32-E72D297353CC}">
              <c16:uniqueId val="{00000011-B8F2-468A-9E03-05FD5DE1A6DA}"/>
            </c:ext>
          </c:extLst>
        </c:ser>
        <c:ser>
          <c:idx val="2"/>
          <c:order val="2"/>
          <c:spPr>
            <a:ln>
              <a:noFill/>
            </a:ln>
          </c:spPr>
          <c:dPt>
            <c:idx val="0"/>
            <c:bubble3D val="0"/>
            <c:spPr>
              <a:solidFill>
                <a:srgbClr val="0D6796"/>
              </a:solidFill>
              <a:ln w="19050">
                <a:noFill/>
              </a:ln>
              <a:effectLst/>
            </c:spPr>
            <c:extLst>
              <c:ext xmlns:c16="http://schemas.microsoft.com/office/drawing/2014/chart" uri="{C3380CC4-5D6E-409C-BE32-E72D297353CC}">
                <c16:uniqueId val="{00000013-B8F2-468A-9E03-05FD5DE1A6DA}"/>
              </c:ext>
            </c:extLst>
          </c:dPt>
          <c:dPt>
            <c:idx val="1"/>
            <c:bubble3D val="0"/>
            <c:spPr>
              <a:solidFill>
                <a:srgbClr val="04B7DF"/>
              </a:solidFill>
              <a:ln w="19050">
                <a:noFill/>
              </a:ln>
              <a:effectLst/>
            </c:spPr>
            <c:extLst>
              <c:ext xmlns:c16="http://schemas.microsoft.com/office/drawing/2014/chart" uri="{C3380CC4-5D6E-409C-BE32-E72D297353CC}">
                <c16:uniqueId val="{00000015-B8F2-468A-9E03-05FD5DE1A6DA}"/>
              </c:ext>
            </c:extLst>
          </c:dPt>
          <c:dPt>
            <c:idx val="2"/>
            <c:bubble3D val="0"/>
            <c:spPr>
              <a:noFill/>
              <a:ln w="19050">
                <a:noFill/>
              </a:ln>
              <a:effectLst/>
            </c:spPr>
            <c:extLst>
              <c:ext xmlns:c16="http://schemas.microsoft.com/office/drawing/2014/chart" uri="{C3380CC4-5D6E-409C-BE32-E72D297353CC}">
                <c16:uniqueId val="{00000017-B8F2-468A-9E03-05FD5DE1A6DA}"/>
              </c:ext>
            </c:extLst>
          </c:dPt>
          <c:dPt>
            <c:idx val="3"/>
            <c:bubble3D val="0"/>
            <c:spPr>
              <a:noFill/>
              <a:ln w="19050">
                <a:noFill/>
              </a:ln>
              <a:effectLst/>
            </c:spPr>
            <c:extLst>
              <c:ext xmlns:c16="http://schemas.microsoft.com/office/drawing/2014/chart" uri="{C3380CC4-5D6E-409C-BE32-E72D297353CC}">
                <c16:uniqueId val="{00000019-B8F2-468A-9E03-05FD5DE1A6DA}"/>
              </c:ext>
            </c:extLst>
          </c:dPt>
          <c:dLbls>
            <c:dLbl>
              <c:idx val="1"/>
              <c:layout>
                <c:manualLayout>
                  <c:x val="-2.501841985168729E-2"/>
                  <c:y val="0.13308112184889462"/>
                </c:manualLayout>
              </c:layout>
              <c:spPr>
                <a:noFill/>
                <a:ln>
                  <a:solidFill>
                    <a:srgbClr val="00FFFF"/>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00FFFF"/>
                      </a:solidFill>
                      <a:latin typeface="+mn-lt"/>
                      <a:ea typeface="+mn-ea"/>
                      <a:cs typeface="+mn-cs"/>
                    </a:defRPr>
                  </a:pPr>
                  <a:endParaRPr lang="it-IT"/>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5-B8F2-468A-9E03-05FD5DE1A6DA}"/>
                </c:ext>
              </c:extLst>
            </c:dLbl>
            <c:dLbl>
              <c:idx val="2"/>
              <c:layout>
                <c:manualLayout>
                  <c:x val="-0.12631578947368421"/>
                  <c:y val="8.4730437403458536E-2"/>
                </c:manualLayout>
              </c:layout>
              <c:spPr>
                <a:noFill/>
                <a:ln w="9525" cap="flat" cmpd="sng" algn="ctr">
                  <a:solidFill>
                    <a:srgbClr val="00FFFF"/>
                  </a:solidFill>
                  <a:prstDash val="solid"/>
                  <a:round/>
                  <a:headEnd type="none" w="med" len="med"/>
                  <a:tailEnd type="none" w="med" len="med"/>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00FFFF"/>
                      </a:solidFill>
                      <a:latin typeface="+mn-lt"/>
                      <a:ea typeface="+mn-ea"/>
                      <a:cs typeface="+mn-cs"/>
                    </a:defRPr>
                  </a:pPr>
                  <a:endParaRPr lang="it-IT"/>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161455"/>
                        <a:gd name="adj2" fmla="val -114283"/>
                      </a:avLst>
                    </a:prstGeom>
                  </c15:spPr>
                </c:ext>
                <c:ext xmlns:c16="http://schemas.microsoft.com/office/drawing/2014/chart" uri="{C3380CC4-5D6E-409C-BE32-E72D297353CC}">
                  <c16:uniqueId val="{00000017-B8F2-468A-9E03-05FD5DE1A6DA}"/>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t-IT"/>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c15:spPr>
              </c:ext>
            </c:extLst>
          </c:dLbls>
          <c:cat>
            <c:strRef>
              <c:f>Processing!$AB$27:$AE$27</c:f>
              <c:strCache>
                <c:ptCount val="4"/>
                <c:pt idx="0">
                  <c:v>Goal 1</c:v>
                </c:pt>
                <c:pt idx="1">
                  <c:v>Goal 2</c:v>
                </c:pt>
                <c:pt idx="2">
                  <c:v>Goal 3</c:v>
                </c:pt>
                <c:pt idx="3">
                  <c:v>Goal 4</c:v>
                </c:pt>
              </c:strCache>
            </c:strRef>
          </c:cat>
          <c:val>
            <c:numRef>
              <c:f>Processing!$AB$28:$AE$28</c:f>
              <c:numCache>
                <c:formatCode>_-[$€-2]\ * #,##0_-;\-[$€-2]\ * #,##0_-;_-[$€-2]\ * "-"_-;_-@_-</c:formatCode>
                <c:ptCount val="4"/>
                <c:pt idx="0">
                  <c:v>0</c:v>
                </c:pt>
                <c:pt idx="1">
                  <c:v>0</c:v>
                </c:pt>
                <c:pt idx="2">
                  <c:v>0</c:v>
                </c:pt>
                <c:pt idx="3">
                  <c:v>0</c:v>
                </c:pt>
              </c:numCache>
            </c:numRef>
          </c:val>
          <c:extLst>
            <c:ext xmlns:c16="http://schemas.microsoft.com/office/drawing/2014/chart" uri="{C3380CC4-5D6E-409C-BE32-E72D297353CC}">
              <c16:uniqueId val="{0000001A-B8F2-468A-9E03-05FD5DE1A6DA}"/>
            </c:ext>
          </c:extLst>
        </c:ser>
        <c:ser>
          <c:idx val="3"/>
          <c:order val="3"/>
          <c:spPr>
            <a:noFill/>
            <a:ln>
              <a:noFill/>
            </a:ln>
          </c:spPr>
          <c:dPt>
            <c:idx val="0"/>
            <c:bubble3D val="0"/>
            <c:spPr>
              <a:solidFill>
                <a:srgbClr val="0D6796"/>
              </a:solidFill>
              <a:ln w="19050">
                <a:noFill/>
              </a:ln>
              <a:effectLst/>
            </c:spPr>
            <c:extLst>
              <c:ext xmlns:c16="http://schemas.microsoft.com/office/drawing/2014/chart" uri="{C3380CC4-5D6E-409C-BE32-E72D297353CC}">
                <c16:uniqueId val="{0000001C-B8F2-468A-9E03-05FD5DE1A6DA}"/>
              </c:ext>
            </c:extLst>
          </c:dPt>
          <c:dPt>
            <c:idx val="1"/>
            <c:bubble3D val="0"/>
            <c:spPr>
              <a:noFill/>
              <a:ln w="19050">
                <a:noFill/>
              </a:ln>
              <a:effectLst/>
            </c:spPr>
            <c:extLst>
              <c:ext xmlns:c16="http://schemas.microsoft.com/office/drawing/2014/chart" uri="{C3380CC4-5D6E-409C-BE32-E72D297353CC}">
                <c16:uniqueId val="{0000001E-B8F2-468A-9E03-05FD5DE1A6DA}"/>
              </c:ext>
            </c:extLst>
          </c:dPt>
          <c:dPt>
            <c:idx val="2"/>
            <c:bubble3D val="0"/>
            <c:spPr>
              <a:noFill/>
              <a:ln w="19050">
                <a:noFill/>
              </a:ln>
              <a:effectLst/>
            </c:spPr>
            <c:extLst>
              <c:ext xmlns:c16="http://schemas.microsoft.com/office/drawing/2014/chart" uri="{C3380CC4-5D6E-409C-BE32-E72D297353CC}">
                <c16:uniqueId val="{00000020-B8F2-468A-9E03-05FD5DE1A6DA}"/>
              </c:ext>
            </c:extLst>
          </c:dPt>
          <c:dPt>
            <c:idx val="3"/>
            <c:bubble3D val="0"/>
            <c:spPr>
              <a:noFill/>
              <a:ln w="19050">
                <a:noFill/>
              </a:ln>
              <a:effectLst/>
            </c:spPr>
            <c:extLst>
              <c:ext xmlns:c16="http://schemas.microsoft.com/office/drawing/2014/chart" uri="{C3380CC4-5D6E-409C-BE32-E72D297353CC}">
                <c16:uniqueId val="{00000022-B8F2-468A-9E03-05FD5DE1A6DA}"/>
              </c:ext>
            </c:extLst>
          </c:dPt>
          <c:dLbls>
            <c:dLbl>
              <c:idx val="0"/>
              <c:layout>
                <c:manualLayout>
                  <c:x val="0.11100478468899508"/>
                  <c:y val="-7.6555023923444973E-2"/>
                </c:manualLayout>
              </c:layout>
              <c:spPr>
                <a:noFill/>
                <a:ln>
                  <a:solidFill>
                    <a:srgbClr val="00FFFF"/>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00FFFF"/>
                      </a:solidFill>
                      <a:latin typeface="+mn-lt"/>
                      <a:ea typeface="+mn-ea"/>
                      <a:cs typeface="+mn-cs"/>
                    </a:defRPr>
                  </a:pPr>
                  <a:endParaRPr lang="it-IT"/>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C-B8F2-468A-9E03-05FD5DE1A6DA}"/>
                </c:ext>
              </c:extLst>
            </c:dLbl>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t-IT"/>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c15:spPr>
              </c:ext>
            </c:extLst>
          </c:dLbls>
          <c:cat>
            <c:strRef>
              <c:f>Processing!$AB$27:$AE$27</c:f>
              <c:strCache>
                <c:ptCount val="4"/>
                <c:pt idx="0">
                  <c:v>Goal 1</c:v>
                </c:pt>
                <c:pt idx="1">
                  <c:v>Goal 2</c:v>
                </c:pt>
                <c:pt idx="2">
                  <c:v>Goal 3</c:v>
                </c:pt>
                <c:pt idx="3">
                  <c:v>Goal 4</c:v>
                </c:pt>
              </c:strCache>
            </c:strRef>
          </c:cat>
          <c:val>
            <c:numRef>
              <c:f>Processing!$AB$28:$AE$28</c:f>
              <c:numCache>
                <c:formatCode>_-[$€-2]\ * #,##0_-;\-[$€-2]\ * #,##0_-;_-[$€-2]\ * "-"_-;_-@_-</c:formatCode>
                <c:ptCount val="4"/>
                <c:pt idx="0">
                  <c:v>0</c:v>
                </c:pt>
                <c:pt idx="1">
                  <c:v>0</c:v>
                </c:pt>
                <c:pt idx="2">
                  <c:v>0</c:v>
                </c:pt>
                <c:pt idx="3">
                  <c:v>0</c:v>
                </c:pt>
              </c:numCache>
            </c:numRef>
          </c:val>
          <c:extLst>
            <c:ext xmlns:c16="http://schemas.microsoft.com/office/drawing/2014/chart" uri="{C3380CC4-5D6E-409C-BE32-E72D297353CC}">
              <c16:uniqueId val="{00000023-B8F2-468A-9E03-05FD5DE1A6DA}"/>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1300" b="0" i="0" u="none" strike="noStrike" kern="1200" baseline="0">
              <a:solidFill>
                <a:schemeClr val="bg1"/>
              </a:solidFill>
              <a:latin typeface="+mn-lt"/>
              <a:ea typeface="+mn-ea"/>
              <a:cs typeface="+mn-cs"/>
            </a:defRPr>
          </a:pPr>
          <a:endParaRPr lang="it-IT"/>
        </a:p>
      </c:txPr>
    </c:legend>
    <c:plotVisOnly val="1"/>
    <c:dispBlanksAs val="gap"/>
    <c:showDLblsOverMax val="0"/>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7191733904192281E-2"/>
          <c:y val="3.483605658033908E-3"/>
          <c:w val="0.92561653219161544"/>
          <c:h val="0.91363842728982625"/>
        </c:manualLayout>
      </c:layout>
      <c:barChart>
        <c:barDir val="col"/>
        <c:grouping val="stacked"/>
        <c:varyColors val="0"/>
        <c:ser>
          <c:idx val="0"/>
          <c:order val="0"/>
          <c:spPr>
            <a:gradFill flip="none" rotWithShape="1">
              <a:gsLst>
                <a:gs pos="1000">
                  <a:srgbClr val="F28F33"/>
                </a:gs>
                <a:gs pos="76000">
                  <a:srgbClr val="FE2827"/>
                </a:gs>
              </a:gsLst>
              <a:path path="circle">
                <a:fillToRect r="100000" b="100000"/>
              </a:path>
              <a:tileRect l="-100000" t="-100000"/>
            </a:gradFill>
            <a:ln>
              <a:noFill/>
            </a:ln>
            <a:effectLst/>
          </c:spPr>
          <c:invertIfNegative val="0"/>
          <c:cat>
            <c:strRef>
              <c:f>Processing!$AB$27:$AE$27</c:f>
              <c:strCache>
                <c:ptCount val="4"/>
                <c:pt idx="0">
                  <c:v>Goal 1</c:v>
                </c:pt>
                <c:pt idx="1">
                  <c:v>Goal 2</c:v>
                </c:pt>
                <c:pt idx="2">
                  <c:v>Goal 3</c:v>
                </c:pt>
                <c:pt idx="3">
                  <c:v>Goal 4</c:v>
                </c:pt>
              </c:strCache>
            </c:strRef>
          </c:cat>
          <c:val>
            <c:numRef>
              <c:f>Processing!$W$28:$Z$28</c:f>
              <c:numCache>
                <c:formatCode>_-[$€-2]\ * #,##0_-;\-[$€-2]\ * #,##0_-;_-[$€-2]\ * "-"_-;_-@_-</c:formatCode>
                <c:ptCount val="4"/>
                <c:pt idx="0">
                  <c:v>0</c:v>
                </c:pt>
                <c:pt idx="1">
                  <c:v>0</c:v>
                </c:pt>
                <c:pt idx="2">
                  <c:v>0</c:v>
                </c:pt>
                <c:pt idx="3">
                  <c:v>0</c:v>
                </c:pt>
              </c:numCache>
            </c:numRef>
          </c:val>
          <c:extLst>
            <c:ext xmlns:c16="http://schemas.microsoft.com/office/drawing/2014/chart" uri="{C3380CC4-5D6E-409C-BE32-E72D297353CC}">
              <c16:uniqueId val="{00000000-89BC-43AB-A4C9-CE8758AA8B28}"/>
            </c:ext>
          </c:extLst>
        </c:ser>
        <c:ser>
          <c:idx val="1"/>
          <c:order val="1"/>
          <c:spPr>
            <a:gradFill>
              <a:gsLst>
                <a:gs pos="0">
                  <a:schemeClr val="bg1"/>
                </a:gs>
                <a:gs pos="100000">
                  <a:srgbClr val="10FAE5"/>
                </a:gs>
              </a:gsLst>
              <a:lin ang="5400000" scaled="1"/>
            </a:gradFill>
            <a:ln>
              <a:noFill/>
            </a:ln>
            <a:effectLst/>
          </c:spPr>
          <c:invertIfNegative val="0"/>
          <c:cat>
            <c:strRef>
              <c:f>Processing!$AB$27:$AE$27</c:f>
              <c:strCache>
                <c:ptCount val="4"/>
                <c:pt idx="0">
                  <c:v>Goal 1</c:v>
                </c:pt>
                <c:pt idx="1">
                  <c:v>Goal 2</c:v>
                </c:pt>
                <c:pt idx="2">
                  <c:v>Goal 3</c:v>
                </c:pt>
                <c:pt idx="3">
                  <c:v>Goal 4</c:v>
                </c:pt>
              </c:strCache>
            </c:strRef>
          </c:cat>
          <c:val>
            <c:numRef>
              <c:f>Processing!$W$29:$Z$29</c:f>
              <c:numCache>
                <c:formatCode>_-[$€-2]\ * #,##0_-;\-[$€-2]\ * #,##0_-;_-[$€-2]\ * "-"_-;_-@_-</c:formatCode>
                <c:ptCount val="4"/>
                <c:pt idx="0">
                  <c:v>1000</c:v>
                </c:pt>
                <c:pt idx="1">
                  <c:v>1250</c:v>
                </c:pt>
                <c:pt idx="2">
                  <c:v>1500</c:v>
                </c:pt>
                <c:pt idx="3">
                  <c:v>1800</c:v>
                </c:pt>
              </c:numCache>
            </c:numRef>
          </c:val>
          <c:extLst>
            <c:ext xmlns:c16="http://schemas.microsoft.com/office/drawing/2014/chart" uri="{C3380CC4-5D6E-409C-BE32-E72D297353CC}">
              <c16:uniqueId val="{00000001-89BC-43AB-A4C9-CE8758AA8B28}"/>
            </c:ext>
          </c:extLst>
        </c:ser>
        <c:dLbls>
          <c:showLegendKey val="0"/>
          <c:showVal val="0"/>
          <c:showCatName val="0"/>
          <c:showSerName val="0"/>
          <c:showPercent val="0"/>
          <c:showBubbleSize val="0"/>
        </c:dLbls>
        <c:gapWidth val="399"/>
        <c:overlap val="100"/>
        <c:axId val="633022959"/>
        <c:axId val="633016239"/>
      </c:barChart>
      <c:barChart>
        <c:barDir val="col"/>
        <c:grouping val="clustered"/>
        <c:varyColors val="0"/>
        <c:ser>
          <c:idx val="2"/>
          <c:order val="2"/>
          <c:spPr>
            <a:noFill/>
            <a:ln>
              <a:noFill/>
            </a:ln>
            <a:effectLst/>
          </c:spPr>
          <c:invertIfNegative val="0"/>
          <c:dLbls>
            <c:numFmt formatCode="_-[$$-409]* #,##0_ ;_-[$$-409]* \-#,##0\ ;_-[$$-409]* &quot;-&quot;_ ;_-@_ " sourceLinked="0"/>
            <c:spPr>
              <a:noFill/>
              <a:ln>
                <a:noFill/>
              </a:ln>
              <a:effectLst/>
            </c:spPr>
            <c:txPr>
              <a:bodyPr rot="0" spcFirstLastPara="1" vertOverflow="clip" horzOverflow="clip" vert="horz" wrap="none" lIns="38100" tIns="19050" rIns="38100" bIns="19050" anchor="ctr" anchorCtr="1">
                <a:noAutofit/>
              </a:bodyPr>
              <a:lstStyle/>
              <a:p>
                <a:pPr>
                  <a:defRPr sz="1100" b="0" i="0" u="none" strike="noStrike" kern="1200" baseline="0">
                    <a:solidFill>
                      <a:srgbClr val="BFCDE4"/>
                    </a:solidFill>
                    <a:latin typeface="+mn-lt"/>
                    <a:ea typeface="+mn-ea"/>
                    <a:cs typeface="+mn-cs"/>
                  </a:defRPr>
                </a:pPr>
                <a:endParaRPr lang="it-IT"/>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strRef>
              <c:f>Processing!$AB$27:$AE$27</c:f>
              <c:strCache>
                <c:ptCount val="4"/>
                <c:pt idx="0">
                  <c:v>Goal 1</c:v>
                </c:pt>
                <c:pt idx="1">
                  <c:v>Goal 2</c:v>
                </c:pt>
                <c:pt idx="2">
                  <c:v>Goal 3</c:v>
                </c:pt>
                <c:pt idx="3">
                  <c:v>Goal 4</c:v>
                </c:pt>
              </c:strCache>
            </c:strRef>
          </c:cat>
          <c:val>
            <c:numRef>
              <c:f>Processing!$W$30:$Z$30</c:f>
              <c:numCache>
                <c:formatCode>_-[$€-2]\ * #,##0_-;\-[$€-2]\ * #,##0_-;_-[$€-2]\ * "-"_-;_-@_-</c:formatCode>
                <c:ptCount val="4"/>
                <c:pt idx="0">
                  <c:v>1000</c:v>
                </c:pt>
                <c:pt idx="1">
                  <c:v>1250</c:v>
                </c:pt>
                <c:pt idx="2">
                  <c:v>1500</c:v>
                </c:pt>
                <c:pt idx="3">
                  <c:v>1800</c:v>
                </c:pt>
              </c:numCache>
            </c:numRef>
          </c:val>
          <c:extLst>
            <c:ext xmlns:c16="http://schemas.microsoft.com/office/drawing/2014/chart" uri="{C3380CC4-5D6E-409C-BE32-E72D297353CC}">
              <c16:uniqueId val="{00000002-89BC-43AB-A4C9-CE8758AA8B28}"/>
            </c:ext>
          </c:extLst>
        </c:ser>
        <c:dLbls>
          <c:showLegendKey val="0"/>
          <c:showVal val="0"/>
          <c:showCatName val="0"/>
          <c:showSerName val="0"/>
          <c:showPercent val="0"/>
          <c:showBubbleSize val="0"/>
        </c:dLbls>
        <c:gapWidth val="500"/>
        <c:axId val="14103871"/>
        <c:axId val="14106751"/>
      </c:barChart>
      <c:catAx>
        <c:axId val="63302295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t" anchorCtr="0"/>
          <a:lstStyle/>
          <a:p>
            <a:pPr>
              <a:defRPr sz="900" b="0" i="0" u="none" strike="noStrike" kern="1200" baseline="0">
                <a:solidFill>
                  <a:srgbClr val="BFCDE4"/>
                </a:solidFill>
                <a:latin typeface="+mn-lt"/>
                <a:ea typeface="+mn-ea"/>
                <a:cs typeface="+mn-cs"/>
              </a:defRPr>
            </a:pPr>
            <a:endParaRPr lang="it-IT"/>
          </a:p>
        </c:txPr>
        <c:crossAx val="633016239"/>
        <c:crosses val="autoZero"/>
        <c:auto val="1"/>
        <c:lblAlgn val="ctr"/>
        <c:lblOffset val="100"/>
        <c:noMultiLvlLbl val="0"/>
      </c:catAx>
      <c:valAx>
        <c:axId val="633016239"/>
        <c:scaling>
          <c:orientation val="minMax"/>
        </c:scaling>
        <c:delete val="1"/>
        <c:axPos val="l"/>
        <c:numFmt formatCode="_-[$€-2]\ * #,##0_-;\-[$€-2]\ * #,##0_-;_-[$€-2]\ * &quot;-&quot;_-;_-@_-" sourceLinked="1"/>
        <c:majorTickMark val="none"/>
        <c:minorTickMark val="none"/>
        <c:tickLblPos val="nextTo"/>
        <c:crossAx val="633022959"/>
        <c:crosses val="autoZero"/>
        <c:crossBetween val="between"/>
      </c:valAx>
      <c:valAx>
        <c:axId val="14106751"/>
        <c:scaling>
          <c:orientation val="minMax"/>
        </c:scaling>
        <c:delete val="1"/>
        <c:axPos val="r"/>
        <c:numFmt formatCode="_-[$€-2]\ * #,##0_-;\-[$€-2]\ * #,##0_-;_-[$€-2]\ * &quot;-&quot;_-;_-@_-" sourceLinked="1"/>
        <c:majorTickMark val="out"/>
        <c:minorTickMark val="none"/>
        <c:tickLblPos val="nextTo"/>
        <c:crossAx val="14103871"/>
        <c:crosses val="max"/>
        <c:crossBetween val="between"/>
      </c:valAx>
      <c:catAx>
        <c:axId val="14103871"/>
        <c:scaling>
          <c:orientation val="minMax"/>
        </c:scaling>
        <c:delete val="1"/>
        <c:axPos val="b"/>
        <c:numFmt formatCode="General" sourceLinked="1"/>
        <c:majorTickMark val="out"/>
        <c:minorTickMark val="none"/>
        <c:tickLblPos val="nextTo"/>
        <c:crossAx val="14106751"/>
        <c:crosses val="autoZero"/>
        <c:auto val="1"/>
        <c:lblAlgn val="ctr"/>
        <c:lblOffset val="100"/>
        <c:noMultiLvlLbl val="0"/>
      </c:cat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9.5993395286034566E-2"/>
          <c:y val="6.5202192137838455E-2"/>
          <c:w val="0.87380633825119924"/>
          <c:h val="0.62199447743210201"/>
        </c:manualLayout>
      </c:layout>
      <c:barChart>
        <c:barDir val="col"/>
        <c:grouping val="stacked"/>
        <c:varyColors val="0"/>
        <c:ser>
          <c:idx val="0"/>
          <c:order val="1"/>
          <c:tx>
            <c:strRef>
              <c:f>Processing!$W$33</c:f>
              <c:strCache>
                <c:ptCount val="1"/>
                <c:pt idx="0">
                  <c:v>Goal 1</c:v>
                </c:pt>
              </c:strCache>
            </c:strRef>
          </c:tx>
          <c:spPr>
            <a:solidFill>
              <a:srgbClr val="0D6796"/>
            </a:solidFill>
            <a:ln>
              <a:noFill/>
            </a:ln>
            <a:effectLst/>
          </c:spPr>
          <c:invertIfNegative val="0"/>
          <c:cat>
            <c:strRef>
              <c:f>Processing!$V$34:$V$45</c:f>
              <c:strCache>
                <c:ptCount val="12"/>
                <c:pt idx="0">
                  <c:v>GENNAIO</c:v>
                </c:pt>
                <c:pt idx="1">
                  <c:v>FEBBRAIO</c:v>
                </c:pt>
                <c:pt idx="2">
                  <c:v>MARZO</c:v>
                </c:pt>
                <c:pt idx="3">
                  <c:v>APRILE</c:v>
                </c:pt>
                <c:pt idx="4">
                  <c:v>MAGGIO</c:v>
                </c:pt>
                <c:pt idx="5">
                  <c:v>GIUGNO</c:v>
                </c:pt>
                <c:pt idx="6">
                  <c:v>LUGLIO</c:v>
                </c:pt>
                <c:pt idx="7">
                  <c:v>AGOSTO</c:v>
                </c:pt>
                <c:pt idx="8">
                  <c:v>SETTEMBRE</c:v>
                </c:pt>
                <c:pt idx="9">
                  <c:v>OTTOBRE</c:v>
                </c:pt>
                <c:pt idx="10">
                  <c:v>NOVEMBRE</c:v>
                </c:pt>
                <c:pt idx="11">
                  <c:v>DICEMBRE</c:v>
                </c:pt>
              </c:strCache>
            </c:strRef>
          </c:cat>
          <c:val>
            <c:numRef>
              <c:f>Processing!$W$34:$W$45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15EC-354E-BDF4-4DCE53EDC229}"/>
            </c:ext>
          </c:extLst>
        </c:ser>
        <c:ser>
          <c:idx val="1"/>
          <c:order val="2"/>
          <c:tx>
            <c:strRef>
              <c:f>Processing!$X$33</c:f>
              <c:strCache>
                <c:ptCount val="1"/>
                <c:pt idx="0">
                  <c:v>Goal 2</c:v>
                </c:pt>
              </c:strCache>
            </c:strRef>
          </c:tx>
          <c:spPr>
            <a:solidFill>
              <a:srgbClr val="04B7DF"/>
            </a:solidFill>
            <a:ln>
              <a:noFill/>
            </a:ln>
            <a:effectLst/>
          </c:spPr>
          <c:invertIfNegative val="0"/>
          <c:cat>
            <c:strRef>
              <c:f>Processing!$V$34:$V$45</c:f>
              <c:strCache>
                <c:ptCount val="12"/>
                <c:pt idx="0">
                  <c:v>GENNAIO</c:v>
                </c:pt>
                <c:pt idx="1">
                  <c:v>FEBBRAIO</c:v>
                </c:pt>
                <c:pt idx="2">
                  <c:v>MARZO</c:v>
                </c:pt>
                <c:pt idx="3">
                  <c:v>APRILE</c:v>
                </c:pt>
                <c:pt idx="4">
                  <c:v>MAGGIO</c:v>
                </c:pt>
                <c:pt idx="5">
                  <c:v>GIUGNO</c:v>
                </c:pt>
                <c:pt idx="6">
                  <c:v>LUGLIO</c:v>
                </c:pt>
                <c:pt idx="7">
                  <c:v>AGOSTO</c:v>
                </c:pt>
                <c:pt idx="8">
                  <c:v>SETTEMBRE</c:v>
                </c:pt>
                <c:pt idx="9">
                  <c:v>OTTOBRE</c:v>
                </c:pt>
                <c:pt idx="10">
                  <c:v>NOVEMBRE</c:v>
                </c:pt>
                <c:pt idx="11">
                  <c:v>DICEMBRE</c:v>
                </c:pt>
              </c:strCache>
            </c:strRef>
          </c:cat>
          <c:val>
            <c:numRef>
              <c:f>Processing!$X$34:$X$45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15EC-354E-BDF4-4DCE53EDC229}"/>
            </c:ext>
          </c:extLst>
        </c:ser>
        <c:ser>
          <c:idx val="2"/>
          <c:order val="3"/>
          <c:tx>
            <c:strRef>
              <c:f>Processing!$Y$33</c:f>
              <c:strCache>
                <c:ptCount val="1"/>
                <c:pt idx="0">
                  <c:v>Goal 3</c:v>
                </c:pt>
              </c:strCache>
            </c:strRef>
          </c:tx>
          <c:spPr>
            <a:solidFill>
              <a:srgbClr val="00FFFF"/>
            </a:solidFill>
            <a:ln>
              <a:noFill/>
            </a:ln>
            <a:effectLst/>
          </c:spPr>
          <c:invertIfNegative val="0"/>
          <c:cat>
            <c:strRef>
              <c:f>Processing!$V$34:$V$45</c:f>
              <c:strCache>
                <c:ptCount val="12"/>
                <c:pt idx="0">
                  <c:v>GENNAIO</c:v>
                </c:pt>
                <c:pt idx="1">
                  <c:v>FEBBRAIO</c:v>
                </c:pt>
                <c:pt idx="2">
                  <c:v>MARZO</c:v>
                </c:pt>
                <c:pt idx="3">
                  <c:v>APRILE</c:v>
                </c:pt>
                <c:pt idx="4">
                  <c:v>MAGGIO</c:v>
                </c:pt>
                <c:pt idx="5">
                  <c:v>GIUGNO</c:v>
                </c:pt>
                <c:pt idx="6">
                  <c:v>LUGLIO</c:v>
                </c:pt>
                <c:pt idx="7">
                  <c:v>AGOSTO</c:v>
                </c:pt>
                <c:pt idx="8">
                  <c:v>SETTEMBRE</c:v>
                </c:pt>
                <c:pt idx="9">
                  <c:v>OTTOBRE</c:v>
                </c:pt>
                <c:pt idx="10">
                  <c:v>NOVEMBRE</c:v>
                </c:pt>
                <c:pt idx="11">
                  <c:v>DICEMBRE</c:v>
                </c:pt>
              </c:strCache>
            </c:strRef>
          </c:cat>
          <c:val>
            <c:numRef>
              <c:f>Processing!$Y$34:$Y$45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15EC-354E-BDF4-4DCE53EDC229}"/>
            </c:ext>
          </c:extLst>
        </c:ser>
        <c:ser>
          <c:idx val="3"/>
          <c:order val="4"/>
          <c:tx>
            <c:strRef>
              <c:f>Processing!$Z$33</c:f>
              <c:strCache>
                <c:ptCount val="1"/>
                <c:pt idx="0">
                  <c:v>Goal 4</c:v>
                </c:pt>
              </c:strCache>
            </c:strRef>
          </c:tx>
          <c:spPr>
            <a:solidFill>
              <a:schemeClr val="bg1"/>
            </a:solidFill>
            <a:ln>
              <a:noFill/>
            </a:ln>
            <a:effectLst/>
          </c:spPr>
          <c:invertIfNegative val="0"/>
          <c:cat>
            <c:strRef>
              <c:f>Processing!$V$34:$V$45</c:f>
              <c:strCache>
                <c:ptCount val="12"/>
                <c:pt idx="0">
                  <c:v>GENNAIO</c:v>
                </c:pt>
                <c:pt idx="1">
                  <c:v>FEBBRAIO</c:v>
                </c:pt>
                <c:pt idx="2">
                  <c:v>MARZO</c:v>
                </c:pt>
                <c:pt idx="3">
                  <c:v>APRILE</c:v>
                </c:pt>
                <c:pt idx="4">
                  <c:v>MAGGIO</c:v>
                </c:pt>
                <c:pt idx="5">
                  <c:v>GIUGNO</c:v>
                </c:pt>
                <c:pt idx="6">
                  <c:v>LUGLIO</c:v>
                </c:pt>
                <c:pt idx="7">
                  <c:v>AGOSTO</c:v>
                </c:pt>
                <c:pt idx="8">
                  <c:v>SETTEMBRE</c:v>
                </c:pt>
                <c:pt idx="9">
                  <c:v>OTTOBRE</c:v>
                </c:pt>
                <c:pt idx="10">
                  <c:v>NOVEMBRE</c:v>
                </c:pt>
                <c:pt idx="11">
                  <c:v>DICEMBRE</c:v>
                </c:pt>
              </c:strCache>
            </c:strRef>
          </c:cat>
          <c:val>
            <c:numRef>
              <c:f>Processing!$Z$34:$Z$45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15EC-354E-BDF4-4DCE53EDC229}"/>
            </c:ext>
          </c:extLst>
        </c:ser>
        <c:dLbls>
          <c:showLegendKey val="0"/>
          <c:showVal val="0"/>
          <c:showCatName val="0"/>
          <c:showSerName val="0"/>
          <c:showPercent val="0"/>
          <c:showBubbleSize val="0"/>
        </c:dLbls>
        <c:gapWidth val="150"/>
        <c:overlap val="100"/>
        <c:axId val="1629593232"/>
        <c:axId val="1629593712"/>
      </c:barChart>
      <c:barChart>
        <c:barDir val="col"/>
        <c:grouping val="clustered"/>
        <c:varyColors val="0"/>
        <c:ser>
          <c:idx val="4"/>
          <c:order val="0"/>
          <c:tx>
            <c:strRef>
              <c:f>Processing!$AG$33</c:f>
              <c:strCache>
                <c:ptCount val="1"/>
                <c:pt idx="0">
                  <c:v>% Fact Plan</c:v>
                </c:pt>
              </c:strCache>
            </c:strRef>
          </c:tx>
          <c:spPr>
            <a:solidFill>
              <a:schemeClr val="accent1">
                <a:alpha val="0"/>
              </a:schemeClr>
            </a:solidFill>
            <a:ln>
              <a:noFill/>
            </a:ln>
            <a:effectLst/>
          </c:spPr>
          <c:invertIfNegative val="0"/>
          <c:dLbls>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t-IT"/>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val>
            <c:numRef>
              <c:f>Processing!$AG$34:$AG$45</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15EC-354E-BDF4-4DCE53EDC229}"/>
            </c:ext>
          </c:extLst>
        </c:ser>
        <c:dLbls>
          <c:showLegendKey val="0"/>
          <c:showVal val="0"/>
          <c:showCatName val="0"/>
          <c:showSerName val="0"/>
          <c:showPercent val="0"/>
          <c:showBubbleSize val="0"/>
        </c:dLbls>
        <c:gapWidth val="150"/>
        <c:axId val="1027938223"/>
        <c:axId val="1027931983"/>
      </c:barChart>
      <c:catAx>
        <c:axId val="1629593232"/>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BFCDE4"/>
                </a:solidFill>
                <a:latin typeface="+mn-lt"/>
                <a:ea typeface="+mn-ea"/>
                <a:cs typeface="+mn-cs"/>
              </a:defRPr>
            </a:pPr>
            <a:endParaRPr lang="it-IT"/>
          </a:p>
        </c:txPr>
        <c:crossAx val="1629593712"/>
        <c:crosses val="autoZero"/>
        <c:auto val="1"/>
        <c:lblAlgn val="ctr"/>
        <c:lblOffset val="100"/>
        <c:noMultiLvlLbl val="0"/>
      </c:catAx>
      <c:valAx>
        <c:axId val="16295937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BFCDE4"/>
                </a:solidFill>
                <a:latin typeface="+mn-lt"/>
                <a:ea typeface="+mn-ea"/>
                <a:cs typeface="+mn-cs"/>
              </a:defRPr>
            </a:pPr>
            <a:endParaRPr lang="it-IT"/>
          </a:p>
        </c:txPr>
        <c:crossAx val="1629593232"/>
        <c:crosses val="autoZero"/>
        <c:crossBetween val="between"/>
      </c:valAx>
      <c:valAx>
        <c:axId val="1027931983"/>
        <c:scaling>
          <c:orientation val="minMax"/>
          <c:max val="1.2"/>
          <c:min val="0"/>
        </c:scaling>
        <c:delete val="1"/>
        <c:axPos val="r"/>
        <c:numFmt formatCode="0.00%" sourceLinked="1"/>
        <c:majorTickMark val="out"/>
        <c:minorTickMark val="none"/>
        <c:tickLblPos val="nextTo"/>
        <c:crossAx val="1027938223"/>
        <c:crosses val="max"/>
        <c:crossBetween val="between"/>
      </c:valAx>
      <c:catAx>
        <c:axId val="1027938223"/>
        <c:scaling>
          <c:orientation val="minMax"/>
        </c:scaling>
        <c:delete val="1"/>
        <c:axPos val="b"/>
        <c:majorTickMark val="out"/>
        <c:minorTickMark val="none"/>
        <c:tickLblPos val="nextTo"/>
        <c:crossAx val="1027931983"/>
        <c:crosses val="autoZero"/>
        <c:auto val="1"/>
        <c:lblAlgn val="ctr"/>
        <c:lblOffset val="100"/>
        <c:noMultiLvlLbl val="0"/>
      </c:catAx>
      <c:spPr>
        <a:noFill/>
        <a:ln>
          <a:noFill/>
        </a:ln>
        <a:effectLst/>
      </c:spPr>
    </c:plotArea>
    <c:legend>
      <c:legendPos val="b"/>
      <c:layout>
        <c:manualLayout>
          <c:xMode val="edge"/>
          <c:yMode val="edge"/>
          <c:x val="0.25946232817539105"/>
          <c:y val="0.89819393055269081"/>
          <c:w val="0.51854607655425633"/>
          <c:h val="8.2293866830753543E-2"/>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BFCDE4"/>
              </a:solidFill>
              <a:latin typeface="+mn-lt"/>
              <a:ea typeface="+mn-ea"/>
              <a:cs typeface="+mn-cs"/>
            </a:defRPr>
          </a:pPr>
          <a:endParaRPr lang="it-I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_xlchart.v1.3</cx:f>
      </cx:strDim>
      <cx:numDim type="size">
        <cx:f dir="row">_xlchart.v1.4</cx:f>
      </cx:numDim>
    </cx:data>
    <cx:data id="1">
      <cx:numDim type="size">
        <cx:f dir="row">_xlchart.v1.5</cx:f>
      </cx:numDim>
    </cx:data>
    <cx:data id="2">
      <cx:numDim type="size">
        <cx:f dir="row">_xlchart.v1.6</cx:f>
      </cx:numDim>
    </cx:data>
  </cx:chartData>
  <cx:chart>
    <cx:plotArea>
      <cx:plotAreaRegion>
        <cx:series layoutId="sunburst" uniqueId="{00000000-AED6-AA4E-900D-B99C1A1EADD8}" formatIdx="0">
          <cx:tx>
            <cx:txData>
              <cx:f>_xlchart.v1.0</cx:f>
              <cx:v>Entrate</cx:v>
            </cx:txData>
          </cx:tx>
          <cx:dataLabels>
            <cx:txPr>
              <a:bodyPr spcFirstLastPara="1" vertOverflow="ellipsis" horzOverflow="overflow" wrap="square" lIns="0" tIns="0" rIns="0" bIns="0" anchor="ctr" anchorCtr="1"/>
              <a:lstStyle/>
              <a:p>
                <a:pPr algn="ctr" rtl="0">
                  <a:defRPr sz="1200" b="1"/>
                </a:pPr>
                <a:endParaRPr lang="en-US" sz="1200" b="1" i="0" u="none" strike="noStrike" baseline="0">
                  <a:solidFill>
                    <a:sysClr val="window" lastClr="FFFFFF">
                      <a:lumMod val="95000"/>
                    </a:sysClr>
                  </a:solidFill>
                  <a:latin typeface="Calibri" panose="020F0502020204030204"/>
                </a:endParaRPr>
              </a:p>
            </cx:txPr>
            <cx:visibility seriesName="0" categoryName="0" value="1"/>
          </cx:dataLabels>
          <cx:dataId val="0"/>
        </cx:series>
        <cx:series layoutId="sunburst" hidden="1" uniqueId="{00000001-AED6-AA4E-900D-B99C1A1EADD8}" formatIdx="1">
          <cx:tx>
            <cx:txData>
              <cx:f>_xlchart.v1.1</cx:f>
              <cx:v>Entrate Fisse</cx:v>
            </cx:txData>
          </cx:tx>
          <cx:dataId val="1"/>
        </cx:series>
        <cx:series layoutId="sunburst" hidden="1" uniqueId="{00000002-AED6-AA4E-900D-B99C1A1EADD8}" formatIdx="2">
          <cx:tx>
            <cx:txData>
              <cx:f>_xlchart.v1.2</cx:f>
              <cx:v>Altre Entrate</cx:v>
            </cx:txData>
          </cx:tx>
          <cx:dataId val="2"/>
        </cx:series>
      </cx:plotAreaRegion>
    </cx:plotArea>
    <cx:legend pos="b" align="ctr" overlay="0">
      <cx:txPr>
        <a:bodyPr spcFirstLastPara="1" vertOverflow="ellipsis" horzOverflow="overflow" wrap="square" lIns="0" tIns="0" rIns="0" bIns="0" anchor="ctr" anchorCtr="1"/>
        <a:lstStyle/>
        <a:p>
          <a:pPr algn="ctr" rtl="0">
            <a:defRPr>
              <a:ln>
                <a:noFill/>
              </a:ln>
            </a:defRPr>
          </a:pPr>
          <a:endParaRPr lang="en-US" sz="900" b="0" i="0" u="none" strike="noStrike" baseline="0">
            <a:ln>
              <a:noFill/>
            </a:ln>
            <a:solidFill>
              <a:sysClr val="window" lastClr="FFFFFF">
                <a:lumMod val="95000"/>
              </a:sysClr>
            </a:solidFill>
            <a:latin typeface="Calibri" panose="020F0502020204030204"/>
          </a:endParaRPr>
        </a:p>
      </cx:txPr>
    </cx:legend>
  </cx:chart>
  <cx:spPr>
    <a:noFill/>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acrossLinear" id="2">
  <a:schemeClr val="accent1"/>
  <a:schemeClr val="accent2"/>
  <a:schemeClr val="accent3"/>
  <a:schemeClr val="accent4"/>
  <a:schemeClr val="accent5"/>
  <a:schemeClr val="accent6"/>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8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Debts!A1"/><Relationship Id="rId13" Type="http://schemas.openxmlformats.org/officeDocument/2006/relationships/hyperlink" Target="#Data!A1"/><Relationship Id="rId3" Type="http://schemas.microsoft.com/office/2014/relationships/chartEx" Target="../charts/chartEx1.xml"/><Relationship Id="rId7" Type="http://schemas.openxmlformats.org/officeDocument/2006/relationships/hyperlink" Target="#Investments!A1"/><Relationship Id="rId12"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Expenses!A1"/><Relationship Id="rId11" Type="http://schemas.openxmlformats.org/officeDocument/2006/relationships/chart" Target="../charts/chart4.xml"/><Relationship Id="rId5" Type="http://schemas.openxmlformats.org/officeDocument/2006/relationships/hyperlink" Target="#Budgeting!A1"/><Relationship Id="rId10" Type="http://schemas.openxmlformats.org/officeDocument/2006/relationships/chart" Target="../charts/chart3.xml"/><Relationship Id="rId4" Type="http://schemas.openxmlformats.org/officeDocument/2006/relationships/hyperlink" Target="#Income!A1"/><Relationship Id="rId9" Type="http://schemas.openxmlformats.org/officeDocument/2006/relationships/hyperlink" Target="#'Financial Goals'!A1"/></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hyperlink" Target="#Expenses!A1"/><Relationship Id="rId7" Type="http://schemas.openxmlformats.org/officeDocument/2006/relationships/chart" Target="../charts/chart6.xml"/><Relationship Id="rId2" Type="http://schemas.openxmlformats.org/officeDocument/2006/relationships/hyperlink" Target="#Income!A1"/><Relationship Id="rId1" Type="http://schemas.openxmlformats.org/officeDocument/2006/relationships/hyperlink" Target="#Dashboard!A1"/><Relationship Id="rId6" Type="http://schemas.openxmlformats.org/officeDocument/2006/relationships/hyperlink" Target="#'Financial Goals'!A1"/><Relationship Id="rId5" Type="http://schemas.openxmlformats.org/officeDocument/2006/relationships/hyperlink" Target="#Debts!A1"/><Relationship Id="rId10" Type="http://schemas.openxmlformats.org/officeDocument/2006/relationships/chart" Target="../charts/chart8.xml"/><Relationship Id="rId4" Type="http://schemas.openxmlformats.org/officeDocument/2006/relationships/hyperlink" Target="#Investments!A1"/><Relationship Id="rId9" Type="http://schemas.openxmlformats.org/officeDocument/2006/relationships/hyperlink" Target="#Data!A1"/></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hyperlink" Target="#Expenses!A1"/><Relationship Id="rId7" Type="http://schemas.openxmlformats.org/officeDocument/2006/relationships/chart" Target="../charts/chart9.xml"/><Relationship Id="rId12" Type="http://schemas.openxmlformats.org/officeDocument/2006/relationships/hyperlink" Target="#Data!A1"/><Relationship Id="rId2" Type="http://schemas.openxmlformats.org/officeDocument/2006/relationships/hyperlink" Target="#Budgeting!A1"/><Relationship Id="rId1" Type="http://schemas.openxmlformats.org/officeDocument/2006/relationships/hyperlink" Target="#DASHBOARD!A1"/><Relationship Id="rId6" Type="http://schemas.openxmlformats.org/officeDocument/2006/relationships/hyperlink" Target="#'Financial Goals'!A1"/><Relationship Id="rId11" Type="http://schemas.openxmlformats.org/officeDocument/2006/relationships/chart" Target="../charts/chart13.xml"/><Relationship Id="rId5" Type="http://schemas.openxmlformats.org/officeDocument/2006/relationships/hyperlink" Target="#Debts!A1"/><Relationship Id="rId10" Type="http://schemas.openxmlformats.org/officeDocument/2006/relationships/chart" Target="../charts/chart12.xml"/><Relationship Id="rId4" Type="http://schemas.openxmlformats.org/officeDocument/2006/relationships/hyperlink" Target="#Investments!A1"/><Relationship Id="rId9"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hyperlink" Target="#Income!A1"/><Relationship Id="rId7" Type="http://schemas.openxmlformats.org/officeDocument/2006/relationships/chart" Target="../charts/chart14.xml"/><Relationship Id="rId12" Type="http://schemas.openxmlformats.org/officeDocument/2006/relationships/chart" Target="../charts/chart18.xml"/><Relationship Id="rId2" Type="http://schemas.openxmlformats.org/officeDocument/2006/relationships/hyperlink" Target="#Budgeting!A1"/><Relationship Id="rId1" Type="http://schemas.openxmlformats.org/officeDocument/2006/relationships/hyperlink" Target="#Dashboard!A1"/><Relationship Id="rId6" Type="http://schemas.openxmlformats.org/officeDocument/2006/relationships/hyperlink" Target="#'Financial Goals'!A1"/><Relationship Id="rId11" Type="http://schemas.openxmlformats.org/officeDocument/2006/relationships/hyperlink" Target="#Data!A1"/><Relationship Id="rId5" Type="http://schemas.openxmlformats.org/officeDocument/2006/relationships/hyperlink" Target="#Debts!A1"/><Relationship Id="rId10" Type="http://schemas.openxmlformats.org/officeDocument/2006/relationships/chart" Target="../charts/chart17.xml"/><Relationship Id="rId4" Type="http://schemas.openxmlformats.org/officeDocument/2006/relationships/hyperlink" Target="#Investments!A1"/><Relationship Id="rId9"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hyperlink" Target="#Budgeting!A1"/><Relationship Id="rId7" Type="http://schemas.openxmlformats.org/officeDocument/2006/relationships/hyperlink" Target="#'Financial Goals'!A1"/><Relationship Id="rId2" Type="http://schemas.openxmlformats.org/officeDocument/2006/relationships/hyperlink" Target="#DASHBOARD!A1"/><Relationship Id="rId1" Type="http://schemas.openxmlformats.org/officeDocument/2006/relationships/chart" Target="../charts/chart19.xml"/><Relationship Id="rId6" Type="http://schemas.openxmlformats.org/officeDocument/2006/relationships/hyperlink" Target="#Debts!A1"/><Relationship Id="rId11" Type="http://schemas.openxmlformats.org/officeDocument/2006/relationships/hyperlink" Target="#Data!A1"/><Relationship Id="rId5" Type="http://schemas.openxmlformats.org/officeDocument/2006/relationships/hyperlink" Target="#Expenses!A1"/><Relationship Id="rId10" Type="http://schemas.openxmlformats.org/officeDocument/2006/relationships/chart" Target="../charts/chart22.xml"/><Relationship Id="rId4" Type="http://schemas.openxmlformats.org/officeDocument/2006/relationships/hyperlink" Target="#Income!A1"/><Relationship Id="rId9" Type="http://schemas.openxmlformats.org/officeDocument/2006/relationships/chart" Target="../charts/chart2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4.xml"/><Relationship Id="rId3" Type="http://schemas.openxmlformats.org/officeDocument/2006/relationships/hyperlink" Target="#Income!A1"/><Relationship Id="rId7" Type="http://schemas.openxmlformats.org/officeDocument/2006/relationships/chart" Target="../charts/chart23.xml"/><Relationship Id="rId2" Type="http://schemas.openxmlformats.org/officeDocument/2006/relationships/hyperlink" Target="#Budgeting!A1"/><Relationship Id="rId1" Type="http://schemas.openxmlformats.org/officeDocument/2006/relationships/hyperlink" Target="#DASHBOARD!A1"/><Relationship Id="rId6" Type="http://schemas.openxmlformats.org/officeDocument/2006/relationships/hyperlink" Target="#'Financial Goals'!A1"/><Relationship Id="rId11" Type="http://schemas.openxmlformats.org/officeDocument/2006/relationships/hyperlink" Target="#Data!A1"/><Relationship Id="rId5" Type="http://schemas.openxmlformats.org/officeDocument/2006/relationships/hyperlink" Target="#Investments!A1"/><Relationship Id="rId10" Type="http://schemas.openxmlformats.org/officeDocument/2006/relationships/chart" Target="../charts/chart26.xml"/><Relationship Id="rId4" Type="http://schemas.openxmlformats.org/officeDocument/2006/relationships/hyperlink" Target="#Expenses!A1"/><Relationship Id="rId9" Type="http://schemas.openxmlformats.org/officeDocument/2006/relationships/chart" Target="../charts/chart25.xml"/></Relationships>
</file>

<file path=xl/drawings/_rels/drawing7.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hyperlink" Target="#Income!A1"/><Relationship Id="rId7" Type="http://schemas.openxmlformats.org/officeDocument/2006/relationships/chart" Target="../charts/chart27.xml"/><Relationship Id="rId12" Type="http://schemas.openxmlformats.org/officeDocument/2006/relationships/hyperlink" Target="#Data!A1"/><Relationship Id="rId2" Type="http://schemas.openxmlformats.org/officeDocument/2006/relationships/hyperlink" Target="#Budgeting!A1"/><Relationship Id="rId1" Type="http://schemas.openxmlformats.org/officeDocument/2006/relationships/hyperlink" Target="#DASHBOARD!A1"/><Relationship Id="rId6" Type="http://schemas.openxmlformats.org/officeDocument/2006/relationships/hyperlink" Target="#Debts!A1"/><Relationship Id="rId11" Type="http://schemas.openxmlformats.org/officeDocument/2006/relationships/chart" Target="../charts/chart31.xml"/><Relationship Id="rId5" Type="http://schemas.openxmlformats.org/officeDocument/2006/relationships/hyperlink" Target="#Investments!A1"/><Relationship Id="rId10" Type="http://schemas.openxmlformats.org/officeDocument/2006/relationships/chart" Target="../charts/chart30.xml"/><Relationship Id="rId4" Type="http://schemas.openxmlformats.org/officeDocument/2006/relationships/hyperlink" Target="#Expenses!A1"/><Relationship Id="rId9" Type="http://schemas.openxmlformats.org/officeDocument/2006/relationships/chart" Target="../charts/chart29.xml"/></Relationships>
</file>

<file path=xl/drawings/_rels/drawing8.xml.rels><?xml version="1.0" encoding="UTF-8" standalone="yes"?>
<Relationships xmlns="http://schemas.openxmlformats.org/package/2006/relationships"><Relationship Id="rId3" Type="http://schemas.openxmlformats.org/officeDocument/2006/relationships/hyperlink" Target="#Data!T16"/><Relationship Id="rId2" Type="http://schemas.openxmlformats.org/officeDocument/2006/relationships/hyperlink" Target="#Data!N16"/><Relationship Id="rId1" Type="http://schemas.openxmlformats.org/officeDocument/2006/relationships/hyperlink" Target="#Data!K16"/><Relationship Id="rId6" Type="http://schemas.openxmlformats.org/officeDocument/2006/relationships/hyperlink" Target="#Dashboard!A1"/><Relationship Id="rId5" Type="http://schemas.openxmlformats.org/officeDocument/2006/relationships/hyperlink" Target="#Data!AJ16"/><Relationship Id="rId4" Type="http://schemas.openxmlformats.org/officeDocument/2006/relationships/hyperlink" Target="#Data!AD16"/></Relationships>
</file>

<file path=xl/drawings/drawing1.xml><?xml version="1.0" encoding="utf-8"?>
<xdr:wsDr xmlns:xdr="http://schemas.openxmlformats.org/drawingml/2006/spreadsheetDrawing" xmlns:a="http://schemas.openxmlformats.org/drawingml/2006/main">
  <xdr:twoCellAnchor>
    <xdr:from>
      <xdr:col>3</xdr:col>
      <xdr:colOff>323476</xdr:colOff>
      <xdr:row>5</xdr:row>
      <xdr:rowOff>131482</xdr:rowOff>
    </xdr:from>
    <xdr:to>
      <xdr:col>22</xdr:col>
      <xdr:colOff>263712</xdr:colOff>
      <xdr:row>8</xdr:row>
      <xdr:rowOff>165100</xdr:rowOff>
    </xdr:to>
    <xdr:sp macro="" textlink="">
      <xdr:nvSpPr>
        <xdr:cNvPr id="242" name="Rectangle: Rounded Corners 15">
          <a:extLst>
            <a:ext uri="{FF2B5EF4-FFF2-40B4-BE49-F238E27FC236}">
              <a16:creationId xmlns:a16="http://schemas.microsoft.com/office/drawing/2014/main" id="{00000000-0008-0000-0000-0000F2000000}"/>
            </a:ext>
          </a:extLst>
        </xdr:cNvPr>
        <xdr:cNvSpPr/>
      </xdr:nvSpPr>
      <xdr:spPr>
        <a:xfrm>
          <a:off x="2799976" y="1147482"/>
          <a:ext cx="15624736" cy="643218"/>
        </a:xfrm>
        <a:prstGeom prst="roundRect">
          <a:avLst>
            <a:gd name="adj" fmla="val 15178"/>
          </a:avLst>
        </a:prstGeom>
        <a:solidFill>
          <a:srgbClr val="242732"/>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ru-RU" sz="24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0</xdr:colOff>
      <xdr:row>0</xdr:row>
      <xdr:rowOff>0</xdr:rowOff>
    </xdr:from>
    <xdr:to>
      <xdr:col>3</xdr:col>
      <xdr:colOff>8964</xdr:colOff>
      <xdr:row>113</xdr:row>
      <xdr:rowOff>61258</xdr:rowOff>
    </xdr:to>
    <xdr:sp macro="" textlink="">
      <xdr:nvSpPr>
        <xdr:cNvPr id="234" name="Rectangle 233">
          <a:extLst>
            <a:ext uri="{FF2B5EF4-FFF2-40B4-BE49-F238E27FC236}">
              <a16:creationId xmlns:a16="http://schemas.microsoft.com/office/drawing/2014/main" id="{00000000-0008-0000-0000-0000EA000000}"/>
            </a:ext>
          </a:extLst>
        </xdr:cNvPr>
        <xdr:cNvSpPr/>
      </xdr:nvSpPr>
      <xdr:spPr>
        <a:xfrm>
          <a:off x="0" y="0"/>
          <a:ext cx="2485464" cy="23022858"/>
        </a:xfrm>
        <a:prstGeom prst="rect">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17</xdr:col>
      <xdr:colOff>406400</xdr:colOff>
      <xdr:row>9</xdr:row>
      <xdr:rowOff>199464</xdr:rowOff>
    </xdr:from>
    <xdr:to>
      <xdr:col>22</xdr:col>
      <xdr:colOff>290606</xdr:colOff>
      <xdr:row>25</xdr:row>
      <xdr:rowOff>198764</xdr:rowOff>
    </xdr:to>
    <xdr:sp macro="" textlink="">
      <xdr:nvSpPr>
        <xdr:cNvPr id="235" name="Rectangle: Rounded Corners 3">
          <a:extLst>
            <a:ext uri="{FF2B5EF4-FFF2-40B4-BE49-F238E27FC236}">
              <a16:creationId xmlns:a16="http://schemas.microsoft.com/office/drawing/2014/main" id="{00000000-0008-0000-0000-0000EB000000}"/>
            </a:ext>
          </a:extLst>
        </xdr:cNvPr>
        <xdr:cNvSpPr/>
      </xdr:nvSpPr>
      <xdr:spPr>
        <a:xfrm>
          <a:off x="14439900" y="2028264"/>
          <a:ext cx="4011706" cy="3250500"/>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323476</xdr:colOff>
      <xdr:row>9</xdr:row>
      <xdr:rowOff>199464</xdr:rowOff>
    </xdr:from>
    <xdr:to>
      <xdr:col>17</xdr:col>
      <xdr:colOff>155388</xdr:colOff>
      <xdr:row>25</xdr:row>
      <xdr:rowOff>198764</xdr:rowOff>
    </xdr:to>
    <xdr:sp macro="" textlink="">
      <xdr:nvSpPr>
        <xdr:cNvPr id="236" name="Rectangle: Rounded Corners 4">
          <a:extLst>
            <a:ext uri="{FF2B5EF4-FFF2-40B4-BE49-F238E27FC236}">
              <a16:creationId xmlns:a16="http://schemas.microsoft.com/office/drawing/2014/main" id="{00000000-0008-0000-0000-0000EC000000}"/>
            </a:ext>
          </a:extLst>
        </xdr:cNvPr>
        <xdr:cNvSpPr/>
      </xdr:nvSpPr>
      <xdr:spPr>
        <a:xfrm>
          <a:off x="2799976" y="2028264"/>
          <a:ext cx="11388912" cy="3250500"/>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323476</xdr:colOff>
      <xdr:row>27</xdr:row>
      <xdr:rowOff>71719</xdr:rowOff>
    </xdr:from>
    <xdr:to>
      <xdr:col>7</xdr:col>
      <xdr:colOff>593165</xdr:colOff>
      <xdr:row>46</xdr:row>
      <xdr:rowOff>193486</xdr:rowOff>
    </xdr:to>
    <xdr:sp macro="" textlink="">
      <xdr:nvSpPr>
        <xdr:cNvPr id="237" name="Rectangle: Rounded Corners 5">
          <a:extLst>
            <a:ext uri="{FF2B5EF4-FFF2-40B4-BE49-F238E27FC236}">
              <a16:creationId xmlns:a16="http://schemas.microsoft.com/office/drawing/2014/main" id="{00000000-0008-0000-0000-0000ED000000}"/>
            </a:ext>
          </a:extLst>
        </xdr:cNvPr>
        <xdr:cNvSpPr/>
      </xdr:nvSpPr>
      <xdr:spPr>
        <a:xfrm>
          <a:off x="2799976" y="5558119"/>
          <a:ext cx="3571689" cy="3982567"/>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17</xdr:col>
      <xdr:colOff>406400</xdr:colOff>
      <xdr:row>27</xdr:row>
      <xdr:rowOff>71719</xdr:rowOff>
    </xdr:from>
    <xdr:to>
      <xdr:col>22</xdr:col>
      <xdr:colOff>290606</xdr:colOff>
      <xdr:row>46</xdr:row>
      <xdr:rowOff>193486</xdr:rowOff>
    </xdr:to>
    <xdr:sp macro="" textlink="">
      <xdr:nvSpPr>
        <xdr:cNvPr id="238" name="Rectangle: Rounded Corners 6">
          <a:extLst>
            <a:ext uri="{FF2B5EF4-FFF2-40B4-BE49-F238E27FC236}">
              <a16:creationId xmlns:a16="http://schemas.microsoft.com/office/drawing/2014/main" id="{00000000-0008-0000-0000-0000EE000000}"/>
            </a:ext>
          </a:extLst>
        </xdr:cNvPr>
        <xdr:cNvSpPr/>
      </xdr:nvSpPr>
      <xdr:spPr>
        <a:xfrm>
          <a:off x="14439900" y="5558119"/>
          <a:ext cx="4011706" cy="3982567"/>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8</xdr:col>
      <xdr:colOff>14194</xdr:colOff>
      <xdr:row>27</xdr:row>
      <xdr:rowOff>71718</xdr:rowOff>
    </xdr:from>
    <xdr:to>
      <xdr:col>12</xdr:col>
      <xdr:colOff>401171</xdr:colOff>
      <xdr:row>36</xdr:row>
      <xdr:rowOff>100977</xdr:rowOff>
    </xdr:to>
    <xdr:sp macro="" textlink="">
      <xdr:nvSpPr>
        <xdr:cNvPr id="239" name="Rectangle: Rounded Corners 7">
          <a:extLst>
            <a:ext uri="{FF2B5EF4-FFF2-40B4-BE49-F238E27FC236}">
              <a16:creationId xmlns:a16="http://schemas.microsoft.com/office/drawing/2014/main" id="{00000000-0008-0000-0000-0000EF000000}"/>
            </a:ext>
          </a:extLst>
        </xdr:cNvPr>
        <xdr:cNvSpPr/>
      </xdr:nvSpPr>
      <xdr:spPr>
        <a:xfrm>
          <a:off x="6618194" y="5558118"/>
          <a:ext cx="3688977" cy="1858059"/>
        </a:xfrm>
        <a:prstGeom prst="roundRect">
          <a:avLst>
            <a:gd name="adj" fmla="val 8670"/>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12</xdr:col>
      <xdr:colOff>647699</xdr:colOff>
      <xdr:row>27</xdr:row>
      <xdr:rowOff>71719</xdr:rowOff>
    </xdr:from>
    <xdr:to>
      <xdr:col>17</xdr:col>
      <xdr:colOff>155388</xdr:colOff>
      <xdr:row>46</xdr:row>
      <xdr:rowOff>193486</xdr:rowOff>
    </xdr:to>
    <xdr:sp macro="" textlink="">
      <xdr:nvSpPr>
        <xdr:cNvPr id="240" name="Rectangle: Rounded Corners 12">
          <a:extLst>
            <a:ext uri="{FF2B5EF4-FFF2-40B4-BE49-F238E27FC236}">
              <a16:creationId xmlns:a16="http://schemas.microsoft.com/office/drawing/2014/main" id="{00000000-0008-0000-0000-0000F0000000}"/>
            </a:ext>
          </a:extLst>
        </xdr:cNvPr>
        <xdr:cNvSpPr/>
      </xdr:nvSpPr>
      <xdr:spPr>
        <a:xfrm>
          <a:off x="10553699" y="5558119"/>
          <a:ext cx="3635189" cy="3982567"/>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8</xdr:col>
      <xdr:colOff>14194</xdr:colOff>
      <xdr:row>37</xdr:row>
      <xdr:rowOff>164227</xdr:rowOff>
    </xdr:from>
    <xdr:to>
      <xdr:col>12</xdr:col>
      <xdr:colOff>401171</xdr:colOff>
      <xdr:row>46</xdr:row>
      <xdr:rowOff>193486</xdr:rowOff>
    </xdr:to>
    <xdr:sp macro="" textlink="">
      <xdr:nvSpPr>
        <xdr:cNvPr id="241" name="Rectangle: Rounded Corners 14">
          <a:extLst>
            <a:ext uri="{FF2B5EF4-FFF2-40B4-BE49-F238E27FC236}">
              <a16:creationId xmlns:a16="http://schemas.microsoft.com/office/drawing/2014/main" id="{00000000-0008-0000-0000-0000F1000000}"/>
            </a:ext>
          </a:extLst>
        </xdr:cNvPr>
        <xdr:cNvSpPr/>
      </xdr:nvSpPr>
      <xdr:spPr>
        <a:xfrm>
          <a:off x="6618194" y="7682627"/>
          <a:ext cx="3688977" cy="1858059"/>
        </a:xfrm>
        <a:prstGeom prst="roundRect">
          <a:avLst>
            <a:gd name="adj" fmla="val 866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323476</xdr:colOff>
      <xdr:row>1</xdr:row>
      <xdr:rowOff>34365</xdr:rowOff>
    </xdr:from>
    <xdr:to>
      <xdr:col>22</xdr:col>
      <xdr:colOff>265476</xdr:colOff>
      <xdr:row>4</xdr:row>
      <xdr:rowOff>34366</xdr:rowOff>
    </xdr:to>
    <xdr:sp macro="" textlink="">
      <xdr:nvSpPr>
        <xdr:cNvPr id="243" name="Rectangle: Rounded Corners 16">
          <a:extLst>
            <a:ext uri="{FF2B5EF4-FFF2-40B4-BE49-F238E27FC236}">
              <a16:creationId xmlns:a16="http://schemas.microsoft.com/office/drawing/2014/main" id="{00000000-0008-0000-0000-0000F3000000}"/>
            </a:ext>
          </a:extLst>
        </xdr:cNvPr>
        <xdr:cNvSpPr/>
      </xdr:nvSpPr>
      <xdr:spPr>
        <a:xfrm>
          <a:off x="2799976" y="237565"/>
          <a:ext cx="15626500" cy="609601"/>
        </a:xfrm>
        <a:prstGeom prst="roundRect">
          <a:avLst>
            <a:gd name="adj" fmla="val 15178"/>
          </a:avLst>
        </a:prstGeom>
        <a:solidFill>
          <a:srgbClr val="242732"/>
        </a:solidFill>
        <a:ln w="12700" cap="flat" cmpd="sng" algn="ctr">
          <a:noFill/>
          <a:prstDash val="solid"/>
          <a:miter lim="800000"/>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ru-RU" sz="2400" b="1" i="0" u="none" strike="noStrike" kern="0" cap="none" spc="0" normalizeH="0" baseline="0" noProof="0">
              <a:ln>
                <a:noFill/>
              </a:ln>
              <a:solidFill>
                <a:sysClr val="window" lastClr="FFFFFF"/>
              </a:solidFill>
              <a:effectLst/>
              <a:uLnTx/>
              <a:uFillTx/>
              <a:latin typeface="Calibri" panose="020F0502020204030204"/>
              <a:ea typeface="+mn-ea"/>
              <a:cs typeface="+mn-cs"/>
            </a:rPr>
            <a:t>				</a:t>
          </a: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Personal Finance Dashboard</a:t>
          </a:r>
          <a:endParaRPr kumimoji="0" lang="ru-RU" sz="24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17</xdr:col>
      <xdr:colOff>50096</xdr:colOff>
      <xdr:row>2</xdr:row>
      <xdr:rowOff>29286</xdr:rowOff>
    </xdr:from>
    <xdr:to>
      <xdr:col>17</xdr:col>
      <xdr:colOff>271195</xdr:colOff>
      <xdr:row>3</xdr:row>
      <xdr:rowOff>39445</xdr:rowOff>
    </xdr:to>
    <xdr:grpSp>
      <xdr:nvGrpSpPr>
        <xdr:cNvPr id="244" name="Group 243">
          <a:extLst>
            <a:ext uri="{FF2B5EF4-FFF2-40B4-BE49-F238E27FC236}">
              <a16:creationId xmlns:a16="http://schemas.microsoft.com/office/drawing/2014/main" id="{00000000-0008-0000-0000-0000F4000000}"/>
            </a:ext>
          </a:extLst>
        </xdr:cNvPr>
        <xdr:cNvGrpSpPr/>
      </xdr:nvGrpSpPr>
      <xdr:grpSpPr>
        <a:xfrm>
          <a:off x="14083596" y="422986"/>
          <a:ext cx="221099" cy="207009"/>
          <a:chOff x="6535559" y="690283"/>
          <a:chExt cx="274908" cy="248639"/>
        </a:xfrm>
      </xdr:grpSpPr>
      <xdr:sp macro="" textlink="">
        <xdr:nvSpPr>
          <xdr:cNvPr id="245" name="Moon">
            <a:extLst>
              <a:ext uri="{FF2B5EF4-FFF2-40B4-BE49-F238E27FC236}">
                <a16:creationId xmlns:a16="http://schemas.microsoft.com/office/drawing/2014/main" id="{00000000-0008-0000-0000-0000F5000000}"/>
              </a:ext>
            </a:extLst>
          </xdr:cNvPr>
          <xdr:cNvSpPr/>
        </xdr:nvSpPr>
        <xdr:spPr>
          <a:xfrm>
            <a:off x="6535559" y="690283"/>
            <a:ext cx="140283" cy="245398"/>
          </a:xfrm>
          <a:prstGeom prst="moon">
            <a:avLst/>
          </a:prstGeom>
          <a:gradFill>
            <a:gsLst>
              <a:gs pos="0">
                <a:srgbClr val="FB6F32"/>
              </a:gs>
              <a:gs pos="72000">
                <a:srgbClr val="ED3229"/>
              </a:gs>
            </a:gsLst>
            <a:lin ang="8100000" scaled="1"/>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246" name="Big Star">
            <a:extLst>
              <a:ext uri="{FF2B5EF4-FFF2-40B4-BE49-F238E27FC236}">
                <a16:creationId xmlns:a16="http://schemas.microsoft.com/office/drawing/2014/main" id="{00000000-0008-0000-0000-0000F6000000}"/>
              </a:ext>
            </a:extLst>
          </xdr:cNvPr>
          <xdr:cNvSpPr/>
        </xdr:nvSpPr>
        <xdr:spPr>
          <a:xfrm>
            <a:off x="6675270" y="773921"/>
            <a:ext cx="108000" cy="107972"/>
          </a:xfrm>
          <a:prstGeom prst="star4">
            <a:avLst/>
          </a:prstGeom>
          <a:gradFill>
            <a:gsLst>
              <a:gs pos="0">
                <a:srgbClr val="FB6F32"/>
              </a:gs>
              <a:gs pos="72000">
                <a:srgbClr val="ED3229"/>
              </a:gs>
            </a:gsLst>
            <a:lin ang="8100000" scaled="1"/>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247" name="Star">
            <a:extLst>
              <a:ext uri="{FF2B5EF4-FFF2-40B4-BE49-F238E27FC236}">
                <a16:creationId xmlns:a16="http://schemas.microsoft.com/office/drawing/2014/main" id="{00000000-0008-0000-0000-0000F7000000}"/>
              </a:ext>
            </a:extLst>
          </xdr:cNvPr>
          <xdr:cNvSpPr/>
        </xdr:nvSpPr>
        <xdr:spPr>
          <a:xfrm>
            <a:off x="6756467" y="881723"/>
            <a:ext cx="54000" cy="57199"/>
          </a:xfrm>
          <a:prstGeom prst="star4">
            <a:avLst/>
          </a:prstGeom>
          <a:gradFill>
            <a:gsLst>
              <a:gs pos="0">
                <a:srgbClr val="FB6F32"/>
              </a:gs>
              <a:gs pos="72000">
                <a:srgbClr val="ED3229"/>
              </a:gs>
            </a:gsLst>
            <a:lin ang="8100000" scaled="1"/>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15</xdr:col>
      <xdr:colOff>748541</xdr:colOff>
      <xdr:row>2</xdr:row>
      <xdr:rowOff>29286</xdr:rowOff>
    </xdr:from>
    <xdr:to>
      <xdr:col>16</xdr:col>
      <xdr:colOff>131506</xdr:colOff>
      <xdr:row>3</xdr:row>
      <xdr:rowOff>39445</xdr:rowOff>
    </xdr:to>
    <xdr:grpSp>
      <xdr:nvGrpSpPr>
        <xdr:cNvPr id="248" name="Группа 7203">
          <a:extLst>
            <a:ext uri="{FF2B5EF4-FFF2-40B4-BE49-F238E27FC236}">
              <a16:creationId xmlns:a16="http://schemas.microsoft.com/office/drawing/2014/main" id="{00000000-0008-0000-0000-0000F8000000}"/>
            </a:ext>
          </a:extLst>
        </xdr:cNvPr>
        <xdr:cNvGrpSpPr/>
      </xdr:nvGrpSpPr>
      <xdr:grpSpPr>
        <a:xfrm>
          <a:off x="13131041" y="422986"/>
          <a:ext cx="208465" cy="207009"/>
          <a:chOff x="14630400" y="0"/>
          <a:chExt cx="1320905" cy="1291901"/>
        </a:xfrm>
        <a:effectLst/>
      </xdr:grpSpPr>
      <xdr:sp macro="" textlink="">
        <xdr:nvSpPr>
          <xdr:cNvPr id="249" name="Lights">
            <a:extLst>
              <a:ext uri="{FF2B5EF4-FFF2-40B4-BE49-F238E27FC236}">
                <a16:creationId xmlns:a16="http://schemas.microsoft.com/office/drawing/2014/main" id="{00000000-0008-0000-0000-0000F9000000}"/>
              </a:ext>
            </a:extLst>
          </xdr:cNvPr>
          <xdr:cNvSpPr/>
        </xdr:nvSpPr>
        <xdr:spPr>
          <a:xfrm rot="19122911">
            <a:off x="14630400" y="0"/>
            <a:ext cx="1320905" cy="1291901"/>
          </a:xfrm>
          <a:custGeom>
            <a:avLst/>
            <a:gdLst>
              <a:gd name="connsiteX0" fmla="*/ 721625 w 2541582"/>
              <a:gd name="connsiteY0" fmla="*/ 1903961 h 2517378"/>
              <a:gd name="connsiteX1" fmla="*/ 721626 w 2541582"/>
              <a:gd name="connsiteY1" fmla="*/ 2056116 h 2517378"/>
              <a:gd name="connsiteX2" fmla="*/ 721626 w 2541582"/>
              <a:gd name="connsiteY2" fmla="*/ 2056119 h 2517378"/>
              <a:gd name="connsiteX3" fmla="*/ 573702 w 2541582"/>
              <a:gd name="connsiteY3" fmla="*/ 2208278 h 2517378"/>
              <a:gd name="connsiteX4" fmla="*/ 573701 w 2541582"/>
              <a:gd name="connsiteY4" fmla="*/ 2208277 h 2517378"/>
              <a:gd name="connsiteX5" fmla="*/ 425777 w 2541582"/>
              <a:gd name="connsiteY5" fmla="*/ 2208278 h 2517378"/>
              <a:gd name="connsiteX6" fmla="*/ 425777 w 2541582"/>
              <a:gd name="connsiteY6" fmla="*/ 2056123 h 2517378"/>
              <a:gd name="connsiteX7" fmla="*/ 425777 w 2541582"/>
              <a:gd name="connsiteY7" fmla="*/ 2056120 h 2517378"/>
              <a:gd name="connsiteX8" fmla="*/ 573701 w 2541582"/>
              <a:gd name="connsiteY8" fmla="*/ 1903962 h 2517378"/>
              <a:gd name="connsiteX9" fmla="*/ 573702 w 2541582"/>
              <a:gd name="connsiteY9" fmla="*/ 1903962 h 2517378"/>
              <a:gd name="connsiteX10" fmla="*/ 519727 w 2541582"/>
              <a:gd name="connsiteY10" fmla="*/ 1624038 h 2517378"/>
              <a:gd name="connsiteX11" fmla="*/ 458680 w 2541582"/>
              <a:gd name="connsiteY11" fmla="*/ 1763409 h 2517378"/>
              <a:gd name="connsiteX12" fmla="*/ 458678 w 2541582"/>
              <a:gd name="connsiteY12" fmla="*/ 1763413 h 2517378"/>
              <a:gd name="connsiteX13" fmla="*/ 262134 w 2541582"/>
              <a:gd name="connsiteY13" fmla="*/ 1843437 h 2517378"/>
              <a:gd name="connsiteX14" fmla="*/ 262133 w 2541582"/>
              <a:gd name="connsiteY14" fmla="*/ 1843437 h 2517378"/>
              <a:gd name="connsiteX15" fmla="*/ 126637 w 2541582"/>
              <a:gd name="connsiteY15" fmla="*/ 1784087 h 2517378"/>
              <a:gd name="connsiteX16" fmla="*/ 187684 w 2541582"/>
              <a:gd name="connsiteY16" fmla="*/ 1644716 h 2517378"/>
              <a:gd name="connsiteX17" fmla="*/ 187686 w 2541582"/>
              <a:gd name="connsiteY17" fmla="*/ 1644713 h 2517378"/>
              <a:gd name="connsiteX18" fmla="*/ 384230 w 2541582"/>
              <a:gd name="connsiteY18" fmla="*/ 1564688 h 2517378"/>
              <a:gd name="connsiteX19" fmla="*/ 384231 w 2541582"/>
              <a:gd name="connsiteY19" fmla="*/ 1564689 h 2517378"/>
              <a:gd name="connsiteX20" fmla="*/ 1009078 w 2541582"/>
              <a:gd name="connsiteY20" fmla="*/ 2051827 h 2517378"/>
              <a:gd name="connsiteX21" fmla="*/ 1066442 w 2541582"/>
              <a:gd name="connsiteY21" fmla="*/ 2192754 h 2517378"/>
              <a:gd name="connsiteX22" fmla="*/ 1066444 w 2541582"/>
              <a:gd name="connsiteY22" fmla="*/ 2192757 h 2517378"/>
              <a:gd name="connsiteX23" fmla="*/ 986801 w 2541582"/>
              <a:gd name="connsiteY23" fmla="*/ 2389456 h 2517378"/>
              <a:gd name="connsiteX24" fmla="*/ 986801 w 2541582"/>
              <a:gd name="connsiteY24" fmla="*/ 2389457 h 2517378"/>
              <a:gd name="connsiteX25" fmla="*/ 849793 w 2541582"/>
              <a:gd name="connsiteY25" fmla="*/ 2445226 h 2517378"/>
              <a:gd name="connsiteX26" fmla="*/ 792428 w 2541582"/>
              <a:gd name="connsiteY26" fmla="*/ 2304299 h 2517378"/>
              <a:gd name="connsiteX27" fmla="*/ 792426 w 2541582"/>
              <a:gd name="connsiteY27" fmla="*/ 2304296 h 2517378"/>
              <a:gd name="connsiteX28" fmla="*/ 872069 w 2541582"/>
              <a:gd name="connsiteY28" fmla="*/ 2107597 h 2517378"/>
              <a:gd name="connsiteX29" fmla="*/ 872070 w 2541582"/>
              <a:gd name="connsiteY29" fmla="*/ 2107597 h 2517378"/>
              <a:gd name="connsiteX30" fmla="*/ 1307640 w 2541582"/>
              <a:gd name="connsiteY30" fmla="*/ 2093057 h 2517378"/>
              <a:gd name="connsiteX31" fmla="*/ 1411294 w 2541582"/>
              <a:gd name="connsiteY31" fmla="*/ 2204442 h 2517378"/>
              <a:gd name="connsiteX32" fmla="*/ 1411296 w 2541582"/>
              <a:gd name="connsiteY32" fmla="*/ 2204445 h 2517378"/>
              <a:gd name="connsiteX33" fmla="*/ 1406663 w 2541582"/>
              <a:gd name="connsiteY33" fmla="*/ 2416606 h 2517378"/>
              <a:gd name="connsiteX34" fmla="*/ 1406663 w 2541582"/>
              <a:gd name="connsiteY34" fmla="*/ 2416606 h 2517378"/>
              <a:gd name="connsiteX35" fmla="*/ 1298374 w 2541582"/>
              <a:gd name="connsiteY35" fmla="*/ 2517378 h 2517378"/>
              <a:gd name="connsiteX36" fmla="*/ 1194720 w 2541582"/>
              <a:gd name="connsiteY36" fmla="*/ 2405992 h 2517378"/>
              <a:gd name="connsiteX37" fmla="*/ 1194718 w 2541582"/>
              <a:gd name="connsiteY37" fmla="*/ 2405989 h 2517378"/>
              <a:gd name="connsiteX38" fmla="*/ 1199351 w 2541582"/>
              <a:gd name="connsiteY38" fmla="*/ 2193829 h 2517378"/>
              <a:gd name="connsiteX39" fmla="*/ 1199351 w 2541582"/>
              <a:gd name="connsiteY39" fmla="*/ 2193828 h 2517378"/>
              <a:gd name="connsiteX40" fmla="*/ 323549 w 2541582"/>
              <a:gd name="connsiteY40" fmla="*/ 1188033 h 2517378"/>
              <a:gd name="connsiteX41" fmla="*/ 323549 w 2541582"/>
              <a:gd name="connsiteY41" fmla="*/ 1188033 h 2517378"/>
              <a:gd name="connsiteX42" fmla="*/ 424321 w 2541582"/>
              <a:gd name="connsiteY42" fmla="*/ 1296322 h 2517378"/>
              <a:gd name="connsiteX43" fmla="*/ 312935 w 2541582"/>
              <a:gd name="connsiteY43" fmla="*/ 1399976 h 2517378"/>
              <a:gd name="connsiteX44" fmla="*/ 312933 w 2541582"/>
              <a:gd name="connsiteY44" fmla="*/ 1399979 h 2517378"/>
              <a:gd name="connsiteX45" fmla="*/ 100772 w 2541582"/>
              <a:gd name="connsiteY45" fmla="*/ 1395346 h 2517378"/>
              <a:gd name="connsiteX46" fmla="*/ 100771 w 2541582"/>
              <a:gd name="connsiteY46" fmla="*/ 1395345 h 2517378"/>
              <a:gd name="connsiteX47" fmla="*/ 0 w 2541582"/>
              <a:gd name="connsiteY47" fmla="*/ 1287056 h 2517378"/>
              <a:gd name="connsiteX48" fmla="*/ 111385 w 2541582"/>
              <a:gd name="connsiteY48" fmla="*/ 1183403 h 2517378"/>
              <a:gd name="connsiteX49" fmla="*/ 111388 w 2541582"/>
              <a:gd name="connsiteY49" fmla="*/ 1183400 h 2517378"/>
              <a:gd name="connsiteX50" fmla="*/ 323549 w 2541582"/>
              <a:gd name="connsiteY50" fmla="*/ 1188033 h 2517378"/>
              <a:gd name="connsiteX51" fmla="*/ 1826146 w 2541582"/>
              <a:gd name="connsiteY51" fmla="*/ 2118023 h 2517378"/>
              <a:gd name="connsiteX52" fmla="*/ 1856583 w 2541582"/>
              <a:gd name="connsiteY52" fmla="*/ 2280157 h 2517378"/>
              <a:gd name="connsiteX53" fmla="*/ 1856583 w 2541582"/>
              <a:gd name="connsiteY53" fmla="*/ 2280157 h 2517378"/>
              <a:gd name="connsiteX54" fmla="*/ 1797234 w 2541582"/>
              <a:gd name="connsiteY54" fmla="*/ 2415653 h 2517378"/>
              <a:gd name="connsiteX55" fmla="*/ 1657863 w 2541582"/>
              <a:gd name="connsiteY55" fmla="*/ 2354606 h 2517378"/>
              <a:gd name="connsiteX56" fmla="*/ 1657859 w 2541582"/>
              <a:gd name="connsiteY56" fmla="*/ 2354605 h 2517378"/>
              <a:gd name="connsiteX57" fmla="*/ 1577835 w 2541582"/>
              <a:gd name="connsiteY57" fmla="*/ 2158060 h 2517378"/>
              <a:gd name="connsiteX58" fmla="*/ 1577835 w 2541582"/>
              <a:gd name="connsiteY58" fmla="*/ 2158060 h 2517378"/>
              <a:gd name="connsiteX59" fmla="*/ 1637185 w 2541582"/>
              <a:gd name="connsiteY59" fmla="*/ 2022564 h 2517378"/>
              <a:gd name="connsiteX60" fmla="*/ 1776555 w 2541582"/>
              <a:gd name="connsiteY60" fmla="*/ 2083611 h 2517378"/>
              <a:gd name="connsiteX61" fmla="*/ 1776559 w 2541582"/>
              <a:gd name="connsiteY61" fmla="*/ 2083612 h 2517378"/>
              <a:gd name="connsiteX62" fmla="*/ 1826146 w 2541582"/>
              <a:gd name="connsiteY62" fmla="*/ 2118023 h 2517378"/>
              <a:gd name="connsiteX63" fmla="*/ 377553 w 2541582"/>
              <a:gd name="connsiteY63" fmla="*/ 807593 h 2517378"/>
              <a:gd name="connsiteX64" fmla="*/ 410335 w 2541582"/>
              <a:gd name="connsiteY64" fmla="*/ 856415 h 2517378"/>
              <a:gd name="connsiteX65" fmla="*/ 410336 w 2541582"/>
              <a:gd name="connsiteY65" fmla="*/ 856415 h 2517378"/>
              <a:gd name="connsiteX66" fmla="*/ 466105 w 2541582"/>
              <a:gd name="connsiteY66" fmla="*/ 993423 h 2517378"/>
              <a:gd name="connsiteX67" fmla="*/ 325178 w 2541582"/>
              <a:gd name="connsiteY67" fmla="*/ 1050787 h 2517378"/>
              <a:gd name="connsiteX68" fmla="*/ 325175 w 2541582"/>
              <a:gd name="connsiteY68" fmla="*/ 1050789 h 2517378"/>
              <a:gd name="connsiteX69" fmla="*/ 128476 w 2541582"/>
              <a:gd name="connsiteY69" fmla="*/ 971146 h 2517378"/>
              <a:gd name="connsiteX70" fmla="*/ 128476 w 2541582"/>
              <a:gd name="connsiteY70" fmla="*/ 971146 h 2517378"/>
              <a:gd name="connsiteX71" fmla="*/ 72706 w 2541582"/>
              <a:gd name="connsiteY71" fmla="*/ 834138 h 2517378"/>
              <a:gd name="connsiteX72" fmla="*/ 213633 w 2541582"/>
              <a:gd name="connsiteY72" fmla="*/ 776773 h 2517378"/>
              <a:gd name="connsiteX73" fmla="*/ 213636 w 2541582"/>
              <a:gd name="connsiteY73" fmla="*/ 776772 h 2517378"/>
              <a:gd name="connsiteX74" fmla="*/ 377553 w 2541582"/>
              <a:gd name="connsiteY74" fmla="*/ 807593 h 2517378"/>
              <a:gd name="connsiteX75" fmla="*/ 2166386 w 2541582"/>
              <a:gd name="connsiteY75" fmla="*/ 1843414 h 2517378"/>
              <a:gd name="connsiteX76" fmla="*/ 2210952 w 2541582"/>
              <a:gd name="connsiteY76" fmla="*/ 1948012 h 2517378"/>
              <a:gd name="connsiteX77" fmla="*/ 2210952 w 2541582"/>
              <a:gd name="connsiteY77" fmla="*/ 1948012 h 2517378"/>
              <a:gd name="connsiteX78" fmla="*/ 2210952 w 2541582"/>
              <a:gd name="connsiteY78" fmla="*/ 2095936 h 2517378"/>
              <a:gd name="connsiteX79" fmla="*/ 2058798 w 2541582"/>
              <a:gd name="connsiteY79" fmla="*/ 2095936 h 2517378"/>
              <a:gd name="connsiteX80" fmla="*/ 2058794 w 2541582"/>
              <a:gd name="connsiteY80" fmla="*/ 2095937 h 2517378"/>
              <a:gd name="connsiteX81" fmla="*/ 1906636 w 2541582"/>
              <a:gd name="connsiteY81" fmla="*/ 1948012 h 2517378"/>
              <a:gd name="connsiteX82" fmla="*/ 1906636 w 2541582"/>
              <a:gd name="connsiteY82" fmla="*/ 1948012 h 2517378"/>
              <a:gd name="connsiteX83" fmla="*/ 1906636 w 2541582"/>
              <a:gd name="connsiteY83" fmla="*/ 1800088 h 2517378"/>
              <a:gd name="connsiteX84" fmla="*/ 2058790 w 2541582"/>
              <a:gd name="connsiteY84" fmla="*/ 1800088 h 2517378"/>
              <a:gd name="connsiteX85" fmla="*/ 2058794 w 2541582"/>
              <a:gd name="connsiteY85" fmla="*/ 1800088 h 2517378"/>
              <a:gd name="connsiteX86" fmla="*/ 2166386 w 2541582"/>
              <a:gd name="connsiteY86" fmla="*/ 1843414 h 2517378"/>
              <a:gd name="connsiteX87" fmla="*/ 592924 w 2541582"/>
              <a:gd name="connsiteY87" fmla="*/ 461833 h 2517378"/>
              <a:gd name="connsiteX88" fmla="*/ 637491 w 2541582"/>
              <a:gd name="connsiteY88" fmla="*/ 566431 h 2517378"/>
              <a:gd name="connsiteX89" fmla="*/ 637490 w 2541582"/>
              <a:gd name="connsiteY89" fmla="*/ 566431 h 2517378"/>
              <a:gd name="connsiteX90" fmla="*/ 637490 w 2541582"/>
              <a:gd name="connsiteY90" fmla="*/ 714355 h 2517378"/>
              <a:gd name="connsiteX91" fmla="*/ 485336 w 2541582"/>
              <a:gd name="connsiteY91" fmla="*/ 714355 h 2517378"/>
              <a:gd name="connsiteX92" fmla="*/ 485333 w 2541582"/>
              <a:gd name="connsiteY92" fmla="*/ 714356 h 2517378"/>
              <a:gd name="connsiteX93" fmla="*/ 333174 w 2541582"/>
              <a:gd name="connsiteY93" fmla="*/ 566431 h 2517378"/>
              <a:gd name="connsiteX94" fmla="*/ 333175 w 2541582"/>
              <a:gd name="connsiteY94" fmla="*/ 566431 h 2517378"/>
              <a:gd name="connsiteX95" fmla="*/ 333175 w 2541582"/>
              <a:gd name="connsiteY95" fmla="*/ 418507 h 2517378"/>
              <a:gd name="connsiteX96" fmla="*/ 485329 w 2541582"/>
              <a:gd name="connsiteY96" fmla="*/ 418507 h 2517378"/>
              <a:gd name="connsiteX97" fmla="*/ 485333 w 2541582"/>
              <a:gd name="connsiteY97" fmla="*/ 418507 h 2517378"/>
              <a:gd name="connsiteX98" fmla="*/ 592924 w 2541582"/>
              <a:gd name="connsiteY98" fmla="*/ 461833 h 2517378"/>
              <a:gd name="connsiteX99" fmla="*/ 2378656 w 2541582"/>
              <a:gd name="connsiteY99" fmla="*/ 1501946 h 2517378"/>
              <a:gd name="connsiteX100" fmla="*/ 2411439 w 2541582"/>
              <a:gd name="connsiteY100" fmla="*/ 1550768 h 2517378"/>
              <a:gd name="connsiteX101" fmla="*/ 2411439 w 2541582"/>
              <a:gd name="connsiteY101" fmla="*/ 1550768 h 2517378"/>
              <a:gd name="connsiteX102" fmla="*/ 2467208 w 2541582"/>
              <a:gd name="connsiteY102" fmla="*/ 1687776 h 2517378"/>
              <a:gd name="connsiteX103" fmla="*/ 2326282 w 2541582"/>
              <a:gd name="connsiteY103" fmla="*/ 1745141 h 2517378"/>
              <a:gd name="connsiteX104" fmla="*/ 2326278 w 2541582"/>
              <a:gd name="connsiteY104" fmla="*/ 1745142 h 2517378"/>
              <a:gd name="connsiteX105" fmla="*/ 2129579 w 2541582"/>
              <a:gd name="connsiteY105" fmla="*/ 1665499 h 2517378"/>
              <a:gd name="connsiteX106" fmla="*/ 2129579 w 2541582"/>
              <a:gd name="connsiteY106" fmla="*/ 1665499 h 2517378"/>
              <a:gd name="connsiteX107" fmla="*/ 2073809 w 2541582"/>
              <a:gd name="connsiteY107" fmla="*/ 1528491 h 2517378"/>
              <a:gd name="connsiteX108" fmla="*/ 2214736 w 2541582"/>
              <a:gd name="connsiteY108" fmla="*/ 1471127 h 2517378"/>
              <a:gd name="connsiteX109" fmla="*/ 2214739 w 2541582"/>
              <a:gd name="connsiteY109" fmla="*/ 1471125 h 2517378"/>
              <a:gd name="connsiteX110" fmla="*/ 2378656 w 2541582"/>
              <a:gd name="connsiteY110" fmla="*/ 1501946 h 2517378"/>
              <a:gd name="connsiteX111" fmla="*/ 928939 w 2541582"/>
              <a:gd name="connsiteY111" fmla="*/ 199283 h 2517378"/>
              <a:gd name="connsiteX112" fmla="*/ 959377 w 2541582"/>
              <a:gd name="connsiteY112" fmla="*/ 361416 h 2517378"/>
              <a:gd name="connsiteX113" fmla="*/ 959376 w 2541582"/>
              <a:gd name="connsiteY113" fmla="*/ 361417 h 2517378"/>
              <a:gd name="connsiteX114" fmla="*/ 900027 w 2541582"/>
              <a:gd name="connsiteY114" fmla="*/ 496913 h 2517378"/>
              <a:gd name="connsiteX115" fmla="*/ 760656 w 2541582"/>
              <a:gd name="connsiteY115" fmla="*/ 435866 h 2517378"/>
              <a:gd name="connsiteX116" fmla="*/ 760652 w 2541582"/>
              <a:gd name="connsiteY116" fmla="*/ 435865 h 2517378"/>
              <a:gd name="connsiteX117" fmla="*/ 680628 w 2541582"/>
              <a:gd name="connsiteY117" fmla="*/ 239320 h 2517378"/>
              <a:gd name="connsiteX118" fmla="*/ 680628 w 2541582"/>
              <a:gd name="connsiteY118" fmla="*/ 239320 h 2517378"/>
              <a:gd name="connsiteX119" fmla="*/ 739978 w 2541582"/>
              <a:gd name="connsiteY119" fmla="*/ 103824 h 2517378"/>
              <a:gd name="connsiteX120" fmla="*/ 879349 w 2541582"/>
              <a:gd name="connsiteY120" fmla="*/ 164871 h 2517378"/>
              <a:gd name="connsiteX121" fmla="*/ 879352 w 2541582"/>
              <a:gd name="connsiteY121" fmla="*/ 164872 h 2517378"/>
              <a:gd name="connsiteX122" fmla="*/ 928939 w 2541582"/>
              <a:gd name="connsiteY122" fmla="*/ 199283 h 2517378"/>
              <a:gd name="connsiteX123" fmla="*/ 2440810 w 2541582"/>
              <a:gd name="connsiteY123" fmla="*/ 1126826 h 2517378"/>
              <a:gd name="connsiteX124" fmla="*/ 2440811 w 2541582"/>
              <a:gd name="connsiteY124" fmla="*/ 1126826 h 2517378"/>
              <a:gd name="connsiteX125" fmla="*/ 2541582 w 2541582"/>
              <a:gd name="connsiteY125" fmla="*/ 1235115 h 2517378"/>
              <a:gd name="connsiteX126" fmla="*/ 2430197 w 2541582"/>
              <a:gd name="connsiteY126" fmla="*/ 1338769 h 2517378"/>
              <a:gd name="connsiteX127" fmla="*/ 2430194 w 2541582"/>
              <a:gd name="connsiteY127" fmla="*/ 1338772 h 2517378"/>
              <a:gd name="connsiteX128" fmla="*/ 2218033 w 2541582"/>
              <a:gd name="connsiteY128" fmla="*/ 1334138 h 2517378"/>
              <a:gd name="connsiteX129" fmla="*/ 2218033 w 2541582"/>
              <a:gd name="connsiteY129" fmla="*/ 1334138 h 2517378"/>
              <a:gd name="connsiteX130" fmla="*/ 2117261 w 2541582"/>
              <a:gd name="connsiteY130" fmla="*/ 1225849 h 2517378"/>
              <a:gd name="connsiteX131" fmla="*/ 2228647 w 2541582"/>
              <a:gd name="connsiteY131" fmla="*/ 1122195 h 2517378"/>
              <a:gd name="connsiteX132" fmla="*/ 2228649 w 2541582"/>
              <a:gd name="connsiteY132" fmla="*/ 1122192 h 2517378"/>
              <a:gd name="connsiteX133" fmla="*/ 2440810 w 2541582"/>
              <a:gd name="connsiteY133" fmla="*/ 1126826 h 2517378"/>
              <a:gd name="connsiteX134" fmla="*/ 1247133 w 2541582"/>
              <a:gd name="connsiteY134" fmla="*/ 0 h 2517378"/>
              <a:gd name="connsiteX135" fmla="*/ 1350787 w 2541582"/>
              <a:gd name="connsiteY135" fmla="*/ 111386 h 2517378"/>
              <a:gd name="connsiteX136" fmla="*/ 1350790 w 2541582"/>
              <a:gd name="connsiteY136" fmla="*/ 111388 h 2517378"/>
              <a:gd name="connsiteX137" fmla="*/ 1346157 w 2541582"/>
              <a:gd name="connsiteY137" fmla="*/ 323549 h 2517378"/>
              <a:gd name="connsiteX138" fmla="*/ 1346157 w 2541582"/>
              <a:gd name="connsiteY138" fmla="*/ 323550 h 2517378"/>
              <a:gd name="connsiteX139" fmla="*/ 1237868 w 2541582"/>
              <a:gd name="connsiteY139" fmla="*/ 424321 h 2517378"/>
              <a:gd name="connsiteX140" fmla="*/ 1134214 w 2541582"/>
              <a:gd name="connsiteY140" fmla="*/ 312935 h 2517378"/>
              <a:gd name="connsiteX141" fmla="*/ 1134211 w 2541582"/>
              <a:gd name="connsiteY141" fmla="*/ 312933 h 2517378"/>
              <a:gd name="connsiteX142" fmla="*/ 1138844 w 2541582"/>
              <a:gd name="connsiteY142" fmla="*/ 100772 h 2517378"/>
              <a:gd name="connsiteX143" fmla="*/ 1138844 w 2541582"/>
              <a:gd name="connsiteY143" fmla="*/ 100772 h 2517378"/>
              <a:gd name="connsiteX144" fmla="*/ 2416531 w 2541582"/>
              <a:gd name="connsiteY144" fmla="*/ 737089 h 2517378"/>
              <a:gd name="connsiteX145" fmla="*/ 2355484 w 2541582"/>
              <a:gd name="connsiteY145" fmla="*/ 876459 h 2517378"/>
              <a:gd name="connsiteX146" fmla="*/ 2355483 w 2541582"/>
              <a:gd name="connsiteY146" fmla="*/ 876463 h 2517378"/>
              <a:gd name="connsiteX147" fmla="*/ 2158938 w 2541582"/>
              <a:gd name="connsiteY147" fmla="*/ 956487 h 2517378"/>
              <a:gd name="connsiteX148" fmla="*/ 2158938 w 2541582"/>
              <a:gd name="connsiteY148" fmla="*/ 956487 h 2517378"/>
              <a:gd name="connsiteX149" fmla="*/ 2023442 w 2541582"/>
              <a:gd name="connsiteY149" fmla="*/ 897137 h 2517378"/>
              <a:gd name="connsiteX150" fmla="*/ 2084489 w 2541582"/>
              <a:gd name="connsiteY150" fmla="*/ 757767 h 2517378"/>
              <a:gd name="connsiteX151" fmla="*/ 2084490 w 2541582"/>
              <a:gd name="connsiteY151" fmla="*/ 757763 h 2517378"/>
              <a:gd name="connsiteX152" fmla="*/ 2281035 w 2541582"/>
              <a:gd name="connsiteY152" fmla="*/ 677739 h 2517378"/>
              <a:gd name="connsiteX153" fmla="*/ 2281035 w 2541582"/>
              <a:gd name="connsiteY153" fmla="*/ 677739 h 2517378"/>
              <a:gd name="connsiteX154" fmla="*/ 1695493 w 2541582"/>
              <a:gd name="connsiteY154" fmla="*/ 73601 h 2517378"/>
              <a:gd name="connsiteX155" fmla="*/ 1752857 w 2541582"/>
              <a:gd name="connsiteY155" fmla="*/ 214527 h 2517378"/>
              <a:gd name="connsiteX156" fmla="*/ 1752859 w 2541582"/>
              <a:gd name="connsiteY156" fmla="*/ 214531 h 2517378"/>
              <a:gd name="connsiteX157" fmla="*/ 1673216 w 2541582"/>
              <a:gd name="connsiteY157" fmla="*/ 411230 h 2517378"/>
              <a:gd name="connsiteX158" fmla="*/ 1673216 w 2541582"/>
              <a:gd name="connsiteY158" fmla="*/ 411230 h 2517378"/>
              <a:gd name="connsiteX159" fmla="*/ 1536207 w 2541582"/>
              <a:gd name="connsiteY159" fmla="*/ 466999 h 2517378"/>
              <a:gd name="connsiteX160" fmla="*/ 1478843 w 2541582"/>
              <a:gd name="connsiteY160" fmla="*/ 326073 h 2517378"/>
              <a:gd name="connsiteX161" fmla="*/ 1478841 w 2541582"/>
              <a:gd name="connsiteY161" fmla="*/ 326069 h 2517378"/>
              <a:gd name="connsiteX162" fmla="*/ 1558484 w 2541582"/>
              <a:gd name="connsiteY162" fmla="*/ 129370 h 2517378"/>
              <a:gd name="connsiteX163" fmla="*/ 1558485 w 2541582"/>
              <a:gd name="connsiteY163" fmla="*/ 129370 h 2517378"/>
              <a:gd name="connsiteX164" fmla="*/ 2119183 w 2541582"/>
              <a:gd name="connsiteY164" fmla="*/ 312304 h 2517378"/>
              <a:gd name="connsiteX165" fmla="*/ 2119184 w 2541582"/>
              <a:gd name="connsiteY165" fmla="*/ 464458 h 2517378"/>
              <a:gd name="connsiteX166" fmla="*/ 2119184 w 2541582"/>
              <a:gd name="connsiteY166" fmla="*/ 464462 h 2517378"/>
              <a:gd name="connsiteX167" fmla="*/ 1971260 w 2541582"/>
              <a:gd name="connsiteY167" fmla="*/ 616620 h 2517378"/>
              <a:gd name="connsiteX168" fmla="*/ 1971259 w 2541582"/>
              <a:gd name="connsiteY168" fmla="*/ 616620 h 2517378"/>
              <a:gd name="connsiteX169" fmla="*/ 1823335 w 2541582"/>
              <a:gd name="connsiteY169" fmla="*/ 616620 h 2517378"/>
              <a:gd name="connsiteX170" fmla="*/ 1823335 w 2541582"/>
              <a:gd name="connsiteY170" fmla="*/ 464466 h 2517378"/>
              <a:gd name="connsiteX171" fmla="*/ 1823335 w 2541582"/>
              <a:gd name="connsiteY171" fmla="*/ 464462 h 2517378"/>
              <a:gd name="connsiteX172" fmla="*/ 1971259 w 2541582"/>
              <a:gd name="connsiteY172" fmla="*/ 312304 h 2517378"/>
              <a:gd name="connsiteX173" fmla="*/ 1971260 w 2541582"/>
              <a:gd name="connsiteY173" fmla="*/ 312304 h 25173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Lst>
            <a:rect l="l" t="t" r="r" b="b"/>
            <a:pathLst>
              <a:path w="2541582" h="2517378">
                <a:moveTo>
                  <a:pt x="721625" y="1903961"/>
                </a:moveTo>
                <a:lnTo>
                  <a:pt x="721626" y="2056116"/>
                </a:lnTo>
                <a:lnTo>
                  <a:pt x="721626" y="2056119"/>
                </a:lnTo>
                <a:cubicBezTo>
                  <a:pt x="721626" y="2140154"/>
                  <a:pt x="655398" y="2208277"/>
                  <a:pt x="573702" y="2208278"/>
                </a:cubicBezTo>
                <a:lnTo>
                  <a:pt x="573701" y="2208277"/>
                </a:lnTo>
                <a:lnTo>
                  <a:pt x="425777" y="2208278"/>
                </a:lnTo>
                <a:lnTo>
                  <a:pt x="425777" y="2056123"/>
                </a:lnTo>
                <a:lnTo>
                  <a:pt x="425777" y="2056120"/>
                </a:lnTo>
                <a:cubicBezTo>
                  <a:pt x="425777" y="1972085"/>
                  <a:pt x="492005" y="1903962"/>
                  <a:pt x="573701" y="1903962"/>
                </a:cubicBezTo>
                <a:lnTo>
                  <a:pt x="573702" y="1903962"/>
                </a:lnTo>
                <a:close/>
                <a:moveTo>
                  <a:pt x="519727" y="1624038"/>
                </a:moveTo>
                <a:lnTo>
                  <a:pt x="458680" y="1763409"/>
                </a:lnTo>
                <a:lnTo>
                  <a:pt x="458678" y="1763413"/>
                </a:lnTo>
                <a:cubicBezTo>
                  <a:pt x="424962" y="1840387"/>
                  <a:pt x="336966" y="1876215"/>
                  <a:pt x="262134" y="1843437"/>
                </a:cubicBezTo>
                <a:lnTo>
                  <a:pt x="262133" y="1843437"/>
                </a:lnTo>
                <a:lnTo>
                  <a:pt x="126637" y="1784087"/>
                </a:lnTo>
                <a:lnTo>
                  <a:pt x="187684" y="1644716"/>
                </a:lnTo>
                <a:lnTo>
                  <a:pt x="187686" y="1644713"/>
                </a:lnTo>
                <a:cubicBezTo>
                  <a:pt x="221402" y="1567739"/>
                  <a:pt x="309398" y="1531910"/>
                  <a:pt x="384230" y="1564688"/>
                </a:cubicBezTo>
                <a:lnTo>
                  <a:pt x="384231" y="1564689"/>
                </a:lnTo>
                <a:close/>
                <a:moveTo>
                  <a:pt x="1009078" y="2051827"/>
                </a:moveTo>
                <a:lnTo>
                  <a:pt x="1066442" y="2192754"/>
                </a:lnTo>
                <a:lnTo>
                  <a:pt x="1066444" y="2192757"/>
                </a:lnTo>
                <a:cubicBezTo>
                  <a:pt x="1098126" y="2270591"/>
                  <a:pt x="1062469" y="2358656"/>
                  <a:pt x="986801" y="2389456"/>
                </a:cubicBezTo>
                <a:lnTo>
                  <a:pt x="986801" y="2389457"/>
                </a:lnTo>
                <a:lnTo>
                  <a:pt x="849793" y="2445226"/>
                </a:lnTo>
                <a:lnTo>
                  <a:pt x="792428" y="2304299"/>
                </a:lnTo>
                <a:lnTo>
                  <a:pt x="792426" y="2304296"/>
                </a:lnTo>
                <a:cubicBezTo>
                  <a:pt x="760744" y="2226462"/>
                  <a:pt x="796402" y="2138397"/>
                  <a:pt x="872069" y="2107597"/>
                </a:cubicBezTo>
                <a:lnTo>
                  <a:pt x="872070" y="2107597"/>
                </a:lnTo>
                <a:close/>
                <a:moveTo>
                  <a:pt x="1307640" y="2093057"/>
                </a:moveTo>
                <a:lnTo>
                  <a:pt x="1411294" y="2204442"/>
                </a:lnTo>
                <a:lnTo>
                  <a:pt x="1411296" y="2204445"/>
                </a:lnTo>
                <a:cubicBezTo>
                  <a:pt x="1468544" y="2265963"/>
                  <a:pt x="1466470" y="2360951"/>
                  <a:pt x="1406663" y="2416606"/>
                </a:cubicBezTo>
                <a:lnTo>
                  <a:pt x="1406663" y="2416606"/>
                </a:lnTo>
                <a:lnTo>
                  <a:pt x="1298374" y="2517378"/>
                </a:lnTo>
                <a:lnTo>
                  <a:pt x="1194720" y="2405992"/>
                </a:lnTo>
                <a:lnTo>
                  <a:pt x="1194718" y="2405989"/>
                </a:lnTo>
                <a:cubicBezTo>
                  <a:pt x="1137470" y="2344471"/>
                  <a:pt x="1139544" y="2249484"/>
                  <a:pt x="1199351" y="2193829"/>
                </a:cubicBezTo>
                <a:lnTo>
                  <a:pt x="1199351" y="2193828"/>
                </a:lnTo>
                <a:close/>
                <a:moveTo>
                  <a:pt x="323549" y="1188033"/>
                </a:moveTo>
                <a:lnTo>
                  <a:pt x="323549" y="1188033"/>
                </a:lnTo>
                <a:lnTo>
                  <a:pt x="424321" y="1296322"/>
                </a:lnTo>
                <a:lnTo>
                  <a:pt x="312935" y="1399976"/>
                </a:lnTo>
                <a:lnTo>
                  <a:pt x="312933" y="1399979"/>
                </a:lnTo>
                <a:cubicBezTo>
                  <a:pt x="251414" y="1457227"/>
                  <a:pt x="156427" y="1455152"/>
                  <a:pt x="100772" y="1395346"/>
                </a:cubicBezTo>
                <a:lnTo>
                  <a:pt x="100771" y="1395345"/>
                </a:lnTo>
                <a:lnTo>
                  <a:pt x="0" y="1287056"/>
                </a:lnTo>
                <a:lnTo>
                  <a:pt x="111385" y="1183403"/>
                </a:lnTo>
                <a:lnTo>
                  <a:pt x="111388" y="1183400"/>
                </a:lnTo>
                <a:cubicBezTo>
                  <a:pt x="172906" y="1126152"/>
                  <a:pt x="267894" y="1128226"/>
                  <a:pt x="323549" y="1188033"/>
                </a:cubicBezTo>
                <a:close/>
                <a:moveTo>
                  <a:pt x="1826146" y="2118023"/>
                </a:moveTo>
                <a:cubicBezTo>
                  <a:pt x="1867160" y="2160504"/>
                  <a:pt x="1881167" y="2224032"/>
                  <a:pt x="1856583" y="2280157"/>
                </a:cubicBezTo>
                <a:lnTo>
                  <a:pt x="1856583" y="2280157"/>
                </a:lnTo>
                <a:lnTo>
                  <a:pt x="1797234" y="2415653"/>
                </a:lnTo>
                <a:lnTo>
                  <a:pt x="1657863" y="2354606"/>
                </a:lnTo>
                <a:lnTo>
                  <a:pt x="1657859" y="2354605"/>
                </a:lnTo>
                <a:cubicBezTo>
                  <a:pt x="1580885" y="2320889"/>
                  <a:pt x="1545057" y="2232893"/>
                  <a:pt x="1577835" y="2158060"/>
                </a:cubicBezTo>
                <a:lnTo>
                  <a:pt x="1577835" y="2158060"/>
                </a:lnTo>
                <a:lnTo>
                  <a:pt x="1637185" y="2022564"/>
                </a:lnTo>
                <a:lnTo>
                  <a:pt x="1776555" y="2083611"/>
                </a:lnTo>
                <a:lnTo>
                  <a:pt x="1776559" y="2083612"/>
                </a:lnTo>
                <a:cubicBezTo>
                  <a:pt x="1795803" y="2092041"/>
                  <a:pt x="1812474" y="2103863"/>
                  <a:pt x="1826146" y="2118023"/>
                </a:cubicBezTo>
                <a:close/>
                <a:moveTo>
                  <a:pt x="377553" y="807593"/>
                </a:moveTo>
                <a:cubicBezTo>
                  <a:pt x="391356" y="821081"/>
                  <a:pt x="402635" y="837498"/>
                  <a:pt x="410335" y="856415"/>
                </a:cubicBezTo>
                <a:lnTo>
                  <a:pt x="410336" y="856415"/>
                </a:lnTo>
                <a:lnTo>
                  <a:pt x="466105" y="993423"/>
                </a:lnTo>
                <a:lnTo>
                  <a:pt x="325178" y="1050787"/>
                </a:lnTo>
                <a:lnTo>
                  <a:pt x="325175" y="1050789"/>
                </a:lnTo>
                <a:cubicBezTo>
                  <a:pt x="247342" y="1082471"/>
                  <a:pt x="159276" y="1046814"/>
                  <a:pt x="128476" y="971146"/>
                </a:cubicBezTo>
                <a:lnTo>
                  <a:pt x="128476" y="971146"/>
                </a:lnTo>
                <a:lnTo>
                  <a:pt x="72706" y="834138"/>
                </a:lnTo>
                <a:lnTo>
                  <a:pt x="213633" y="776773"/>
                </a:lnTo>
                <a:lnTo>
                  <a:pt x="213636" y="776772"/>
                </a:lnTo>
                <a:cubicBezTo>
                  <a:pt x="272011" y="753010"/>
                  <a:pt x="336142" y="767127"/>
                  <a:pt x="377553" y="807593"/>
                </a:cubicBezTo>
                <a:close/>
                <a:moveTo>
                  <a:pt x="2166386" y="1843414"/>
                </a:moveTo>
                <a:cubicBezTo>
                  <a:pt x="2193921" y="1870183"/>
                  <a:pt x="2210952" y="1907164"/>
                  <a:pt x="2210952" y="1948012"/>
                </a:cubicBezTo>
                <a:lnTo>
                  <a:pt x="2210952" y="1948012"/>
                </a:lnTo>
                <a:lnTo>
                  <a:pt x="2210952" y="2095936"/>
                </a:lnTo>
                <a:lnTo>
                  <a:pt x="2058798" y="2095936"/>
                </a:lnTo>
                <a:lnTo>
                  <a:pt x="2058794" y="2095937"/>
                </a:lnTo>
                <a:cubicBezTo>
                  <a:pt x="1974759" y="2095937"/>
                  <a:pt x="1906636" y="2029709"/>
                  <a:pt x="1906636" y="1948012"/>
                </a:cubicBezTo>
                <a:lnTo>
                  <a:pt x="1906636" y="1948012"/>
                </a:lnTo>
                <a:lnTo>
                  <a:pt x="1906636" y="1800088"/>
                </a:lnTo>
                <a:lnTo>
                  <a:pt x="2058790" y="1800088"/>
                </a:lnTo>
                <a:lnTo>
                  <a:pt x="2058794" y="1800088"/>
                </a:lnTo>
                <a:cubicBezTo>
                  <a:pt x="2100811" y="1800088"/>
                  <a:pt x="2138851" y="1816645"/>
                  <a:pt x="2166386" y="1843414"/>
                </a:cubicBezTo>
                <a:close/>
                <a:moveTo>
                  <a:pt x="592924" y="461833"/>
                </a:moveTo>
                <a:cubicBezTo>
                  <a:pt x="620460" y="488602"/>
                  <a:pt x="637491" y="525583"/>
                  <a:pt x="637491" y="566431"/>
                </a:cubicBezTo>
                <a:lnTo>
                  <a:pt x="637490" y="566431"/>
                </a:lnTo>
                <a:lnTo>
                  <a:pt x="637490" y="714355"/>
                </a:lnTo>
                <a:lnTo>
                  <a:pt x="485336" y="714355"/>
                </a:lnTo>
                <a:lnTo>
                  <a:pt x="485333" y="714356"/>
                </a:lnTo>
                <a:cubicBezTo>
                  <a:pt x="401298" y="714356"/>
                  <a:pt x="333174" y="648128"/>
                  <a:pt x="333174" y="566431"/>
                </a:cubicBezTo>
                <a:lnTo>
                  <a:pt x="333175" y="566431"/>
                </a:lnTo>
                <a:lnTo>
                  <a:pt x="333175" y="418507"/>
                </a:lnTo>
                <a:lnTo>
                  <a:pt x="485329" y="418507"/>
                </a:lnTo>
                <a:lnTo>
                  <a:pt x="485333" y="418507"/>
                </a:lnTo>
                <a:cubicBezTo>
                  <a:pt x="527350" y="418507"/>
                  <a:pt x="565389" y="435064"/>
                  <a:pt x="592924" y="461833"/>
                </a:cubicBezTo>
                <a:close/>
                <a:moveTo>
                  <a:pt x="2378656" y="1501946"/>
                </a:moveTo>
                <a:cubicBezTo>
                  <a:pt x="2392459" y="1515435"/>
                  <a:pt x="2403738" y="1531851"/>
                  <a:pt x="2411439" y="1550768"/>
                </a:cubicBezTo>
                <a:lnTo>
                  <a:pt x="2411439" y="1550768"/>
                </a:lnTo>
                <a:lnTo>
                  <a:pt x="2467208" y="1687776"/>
                </a:lnTo>
                <a:lnTo>
                  <a:pt x="2326282" y="1745141"/>
                </a:lnTo>
                <a:lnTo>
                  <a:pt x="2326278" y="1745142"/>
                </a:lnTo>
                <a:cubicBezTo>
                  <a:pt x="2248445" y="1776824"/>
                  <a:pt x="2160379" y="1741167"/>
                  <a:pt x="2129579" y="1665499"/>
                </a:cubicBezTo>
                <a:lnTo>
                  <a:pt x="2129579" y="1665499"/>
                </a:lnTo>
                <a:lnTo>
                  <a:pt x="2073809" y="1528491"/>
                </a:lnTo>
                <a:lnTo>
                  <a:pt x="2214736" y="1471127"/>
                </a:lnTo>
                <a:lnTo>
                  <a:pt x="2214739" y="1471125"/>
                </a:lnTo>
                <a:cubicBezTo>
                  <a:pt x="2273114" y="1447363"/>
                  <a:pt x="2337245" y="1461480"/>
                  <a:pt x="2378656" y="1501946"/>
                </a:cubicBezTo>
                <a:close/>
                <a:moveTo>
                  <a:pt x="928939" y="199283"/>
                </a:moveTo>
                <a:cubicBezTo>
                  <a:pt x="969953" y="241764"/>
                  <a:pt x="983960" y="305292"/>
                  <a:pt x="959377" y="361416"/>
                </a:cubicBezTo>
                <a:lnTo>
                  <a:pt x="959376" y="361417"/>
                </a:lnTo>
                <a:lnTo>
                  <a:pt x="900027" y="496913"/>
                </a:lnTo>
                <a:lnTo>
                  <a:pt x="760656" y="435866"/>
                </a:lnTo>
                <a:lnTo>
                  <a:pt x="760652" y="435865"/>
                </a:lnTo>
                <a:cubicBezTo>
                  <a:pt x="683678" y="402148"/>
                  <a:pt x="647850" y="314153"/>
                  <a:pt x="680628" y="239320"/>
                </a:cubicBezTo>
                <a:lnTo>
                  <a:pt x="680628" y="239320"/>
                </a:lnTo>
                <a:lnTo>
                  <a:pt x="739978" y="103824"/>
                </a:lnTo>
                <a:lnTo>
                  <a:pt x="879349" y="164871"/>
                </a:lnTo>
                <a:lnTo>
                  <a:pt x="879352" y="164872"/>
                </a:lnTo>
                <a:cubicBezTo>
                  <a:pt x="898596" y="173301"/>
                  <a:pt x="915268" y="185122"/>
                  <a:pt x="928939" y="199283"/>
                </a:cubicBezTo>
                <a:close/>
                <a:moveTo>
                  <a:pt x="2440810" y="1126826"/>
                </a:moveTo>
                <a:lnTo>
                  <a:pt x="2440811" y="1126826"/>
                </a:lnTo>
                <a:lnTo>
                  <a:pt x="2541582" y="1235115"/>
                </a:lnTo>
                <a:lnTo>
                  <a:pt x="2430197" y="1338769"/>
                </a:lnTo>
                <a:lnTo>
                  <a:pt x="2430194" y="1338772"/>
                </a:lnTo>
                <a:cubicBezTo>
                  <a:pt x="2368676" y="1396019"/>
                  <a:pt x="2273688" y="1393945"/>
                  <a:pt x="2218033" y="1334138"/>
                </a:cubicBezTo>
                <a:lnTo>
                  <a:pt x="2218033" y="1334138"/>
                </a:lnTo>
                <a:lnTo>
                  <a:pt x="2117261" y="1225849"/>
                </a:lnTo>
                <a:lnTo>
                  <a:pt x="2228647" y="1122195"/>
                </a:lnTo>
                <a:lnTo>
                  <a:pt x="2228649" y="1122192"/>
                </a:lnTo>
                <a:cubicBezTo>
                  <a:pt x="2290168" y="1064945"/>
                  <a:pt x="2385155" y="1067019"/>
                  <a:pt x="2440810" y="1126826"/>
                </a:cubicBezTo>
                <a:close/>
                <a:moveTo>
                  <a:pt x="1247133" y="0"/>
                </a:moveTo>
                <a:lnTo>
                  <a:pt x="1350787" y="111386"/>
                </a:lnTo>
                <a:lnTo>
                  <a:pt x="1350790" y="111388"/>
                </a:lnTo>
                <a:cubicBezTo>
                  <a:pt x="1408038" y="172907"/>
                  <a:pt x="1405963" y="267894"/>
                  <a:pt x="1346157" y="323549"/>
                </a:cubicBezTo>
                <a:lnTo>
                  <a:pt x="1346157" y="323550"/>
                </a:lnTo>
                <a:lnTo>
                  <a:pt x="1237868" y="424321"/>
                </a:lnTo>
                <a:lnTo>
                  <a:pt x="1134214" y="312935"/>
                </a:lnTo>
                <a:lnTo>
                  <a:pt x="1134211" y="312933"/>
                </a:lnTo>
                <a:cubicBezTo>
                  <a:pt x="1076963" y="251415"/>
                  <a:pt x="1079038" y="156427"/>
                  <a:pt x="1138844" y="100772"/>
                </a:cubicBezTo>
                <a:lnTo>
                  <a:pt x="1138844" y="100772"/>
                </a:lnTo>
                <a:close/>
                <a:moveTo>
                  <a:pt x="2416531" y="737089"/>
                </a:moveTo>
                <a:lnTo>
                  <a:pt x="2355484" y="876459"/>
                </a:lnTo>
                <a:lnTo>
                  <a:pt x="2355483" y="876463"/>
                </a:lnTo>
                <a:cubicBezTo>
                  <a:pt x="2321766" y="953437"/>
                  <a:pt x="2233771" y="989265"/>
                  <a:pt x="2158938" y="956487"/>
                </a:cubicBezTo>
                <a:lnTo>
                  <a:pt x="2158938" y="956487"/>
                </a:lnTo>
                <a:lnTo>
                  <a:pt x="2023442" y="897137"/>
                </a:lnTo>
                <a:lnTo>
                  <a:pt x="2084489" y="757767"/>
                </a:lnTo>
                <a:lnTo>
                  <a:pt x="2084490" y="757763"/>
                </a:lnTo>
                <a:cubicBezTo>
                  <a:pt x="2118206" y="680789"/>
                  <a:pt x="2206202" y="644961"/>
                  <a:pt x="2281035" y="677739"/>
                </a:cubicBezTo>
                <a:lnTo>
                  <a:pt x="2281035" y="677739"/>
                </a:lnTo>
                <a:close/>
                <a:moveTo>
                  <a:pt x="1695493" y="73601"/>
                </a:moveTo>
                <a:lnTo>
                  <a:pt x="1752857" y="214527"/>
                </a:lnTo>
                <a:lnTo>
                  <a:pt x="1752859" y="214531"/>
                </a:lnTo>
                <a:cubicBezTo>
                  <a:pt x="1784541" y="292364"/>
                  <a:pt x="1748884" y="380429"/>
                  <a:pt x="1673216" y="411230"/>
                </a:cubicBezTo>
                <a:lnTo>
                  <a:pt x="1673216" y="411230"/>
                </a:lnTo>
                <a:lnTo>
                  <a:pt x="1536207" y="466999"/>
                </a:lnTo>
                <a:lnTo>
                  <a:pt x="1478843" y="326073"/>
                </a:lnTo>
                <a:lnTo>
                  <a:pt x="1478841" y="326069"/>
                </a:lnTo>
                <a:cubicBezTo>
                  <a:pt x="1447159" y="248236"/>
                  <a:pt x="1482817" y="160171"/>
                  <a:pt x="1558484" y="129370"/>
                </a:cubicBezTo>
                <a:lnTo>
                  <a:pt x="1558485" y="129370"/>
                </a:lnTo>
                <a:close/>
                <a:moveTo>
                  <a:pt x="2119183" y="312304"/>
                </a:moveTo>
                <a:lnTo>
                  <a:pt x="2119184" y="464458"/>
                </a:lnTo>
                <a:lnTo>
                  <a:pt x="2119184" y="464462"/>
                </a:lnTo>
                <a:cubicBezTo>
                  <a:pt x="2119184" y="548497"/>
                  <a:pt x="2052956" y="616620"/>
                  <a:pt x="1971260" y="616620"/>
                </a:cubicBezTo>
                <a:lnTo>
                  <a:pt x="1971259" y="616620"/>
                </a:lnTo>
                <a:lnTo>
                  <a:pt x="1823335" y="616620"/>
                </a:lnTo>
                <a:lnTo>
                  <a:pt x="1823335" y="464466"/>
                </a:lnTo>
                <a:lnTo>
                  <a:pt x="1823335" y="464462"/>
                </a:lnTo>
                <a:cubicBezTo>
                  <a:pt x="1823335" y="380427"/>
                  <a:pt x="1889563" y="312304"/>
                  <a:pt x="1971259" y="312304"/>
                </a:cubicBezTo>
                <a:lnTo>
                  <a:pt x="1971260" y="312304"/>
                </a:lnTo>
                <a:close/>
              </a:path>
            </a:pathLst>
          </a:custGeom>
          <a:gradFill>
            <a:gsLst>
              <a:gs pos="0">
                <a:sysClr val="window" lastClr="FFFFFF">
                  <a:lumMod val="85000"/>
                </a:sysClr>
              </a:gs>
              <a:gs pos="100000">
                <a:sysClr val="window" lastClr="FFFFFF">
                  <a:lumMod val="50000"/>
                </a:sysClr>
              </a:gs>
            </a:gsLst>
            <a:lin ang="5400000" scaled="1"/>
          </a:gra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250" name="Sun">
            <a:extLst>
              <a:ext uri="{FF2B5EF4-FFF2-40B4-BE49-F238E27FC236}">
                <a16:creationId xmlns:a16="http://schemas.microsoft.com/office/drawing/2014/main" id="{00000000-0008-0000-0000-0000FA000000}"/>
              </a:ext>
            </a:extLst>
          </xdr:cNvPr>
          <xdr:cNvSpPr/>
        </xdr:nvSpPr>
        <xdr:spPr>
          <a:xfrm rot="18324177">
            <a:off x="14829219" y="190232"/>
            <a:ext cx="942318" cy="930488"/>
          </a:xfrm>
          <a:prstGeom prst="ellipse">
            <a:avLst/>
          </a:prstGeom>
          <a:gradFill>
            <a:gsLst>
              <a:gs pos="0">
                <a:sysClr val="window" lastClr="FFFFFF">
                  <a:lumMod val="85000"/>
                </a:sysClr>
              </a:gs>
              <a:gs pos="100000">
                <a:sysClr val="window" lastClr="FFFFFF">
                  <a:lumMod val="50000"/>
                </a:sysClr>
              </a:gs>
            </a:gsLst>
            <a:lin ang="5400000" scaled="1"/>
          </a:gradFill>
          <a:ln w="12700" cap="flat" cmpd="sng" algn="ctr">
            <a:no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3</xdr:col>
      <xdr:colOff>538628</xdr:colOff>
      <xdr:row>10</xdr:row>
      <xdr:rowOff>106083</xdr:rowOff>
    </xdr:from>
    <xdr:to>
      <xdr:col>14</xdr:col>
      <xdr:colOff>289111</xdr:colOff>
      <xdr:row>25</xdr:row>
      <xdr:rowOff>43330</xdr:rowOff>
    </xdr:to>
    <xdr:graphicFrame macro="">
      <xdr:nvGraphicFramePr>
        <xdr:cNvPr id="251" name="Chart 250">
          <a:extLst>
            <a:ext uri="{FF2B5EF4-FFF2-40B4-BE49-F238E27FC236}">
              <a16:creationId xmlns:a16="http://schemas.microsoft.com/office/drawing/2014/main" id="{00000000-0008-0000-0000-0000F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349275</xdr:colOff>
      <xdr:row>9</xdr:row>
      <xdr:rowOff>109924</xdr:rowOff>
    </xdr:from>
    <xdr:to>
      <xdr:col>16</xdr:col>
      <xdr:colOff>782918</xdr:colOff>
      <xdr:row>22</xdr:row>
      <xdr:rowOff>137475</xdr:rowOff>
    </xdr:to>
    <xdr:graphicFrame macro="">
      <xdr:nvGraphicFramePr>
        <xdr:cNvPr id="252" name="Chart 251">
          <a:extLst>
            <a:ext uri="{FF2B5EF4-FFF2-40B4-BE49-F238E27FC236}">
              <a16:creationId xmlns:a16="http://schemas.microsoft.com/office/drawing/2014/main" id="{00000000-0008-0000-0000-0000F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547380</xdr:colOff>
      <xdr:row>21</xdr:row>
      <xdr:rowOff>139850</xdr:rowOff>
    </xdr:from>
    <xdr:to>
      <xdr:col>16</xdr:col>
      <xdr:colOff>584812</xdr:colOff>
      <xdr:row>24</xdr:row>
      <xdr:rowOff>162710</xdr:rowOff>
    </xdr:to>
    <xdr:sp macro="" textlink="Processing!J9">
      <xdr:nvSpPr>
        <xdr:cNvPr id="253" name="TextBox 252">
          <a:extLst>
            <a:ext uri="{FF2B5EF4-FFF2-40B4-BE49-F238E27FC236}">
              <a16:creationId xmlns:a16="http://schemas.microsoft.com/office/drawing/2014/main" id="{00000000-0008-0000-0000-0000FD000000}"/>
            </a:ext>
          </a:extLst>
        </xdr:cNvPr>
        <xdr:cNvSpPr txBox="1"/>
      </xdr:nvSpPr>
      <xdr:spPr>
        <a:xfrm>
          <a:off x="12104380" y="4407050"/>
          <a:ext cx="1688432" cy="632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BDA7F1D8-4EBA-904D-8D11-59CEE3752C12}" type="TxLink">
            <a:rPr lang="en-US" sz="1800" b="0" i="0" u="none" strike="noStrike" noProof="0">
              <a:solidFill>
                <a:srgbClr val="BFCDE4"/>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 € - </a:t>
          </a:fld>
          <a:endParaRPr lang="ru-RU" sz="1800" b="0" i="0" u="none" strike="noStrike" noProof="0">
            <a:solidFill>
              <a:srgbClr val="BFCDE4"/>
            </a:solidFill>
            <a:latin typeface="Calibri"/>
            <a:ea typeface="+mn-ea"/>
            <a:cs typeface="Calibri"/>
          </a:endParaRPr>
        </a:p>
      </xdr:txBody>
    </xdr:sp>
    <xdr:clientData/>
  </xdr:twoCellAnchor>
  <xdr:twoCellAnchor>
    <xdr:from>
      <xdr:col>2</xdr:col>
      <xdr:colOff>673099</xdr:colOff>
      <xdr:row>29</xdr:row>
      <xdr:rowOff>0</xdr:rowOff>
    </xdr:from>
    <xdr:to>
      <xdr:col>8</xdr:col>
      <xdr:colOff>195258</xdr:colOff>
      <xdr:row>43</xdr:row>
      <xdr:rowOff>185955</xdr:rowOff>
    </xdr:to>
    <mc:AlternateContent xmlns:mc="http://schemas.openxmlformats.org/markup-compatibility/2006">
      <mc:Choice xmlns:cx1="http://schemas.microsoft.com/office/drawing/2015/9/8/chartex" Requires="cx1">
        <xdr:graphicFrame macro="">
          <xdr:nvGraphicFramePr>
            <xdr:cNvPr id="255" name="Chart 254">
              <a:extLst>
                <a:ext uri="{FF2B5EF4-FFF2-40B4-BE49-F238E27FC236}">
                  <a16:creationId xmlns:a16="http://schemas.microsoft.com/office/drawing/2014/main" id="{00000000-0008-0000-0000-0000FF000000}"/>
                </a:ext>
              </a:extLst>
            </xdr:cNvPr>
            <xdr:cNvGraphicFramePr>
              <a:graphicFrameLocks/>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2324099" y="5708650"/>
              <a:ext cx="4475159" cy="2941855"/>
            </a:xfrm>
            <a:prstGeom prst="rect">
              <a:avLst/>
            </a:prstGeom>
            <a:solidFill>
              <a:prstClr val="white"/>
            </a:solidFill>
            <a:ln w="1">
              <a:solidFill>
                <a:prstClr val="green"/>
              </a:solidFill>
            </a:ln>
          </xdr:spPr>
          <xdr:txBody>
            <a:bodyPr vertOverflow="clip" horzOverflow="clip"/>
            <a:lstStyle/>
            <a:p>
              <a:r>
                <a:rPr lang="it-IT"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448536</xdr:colOff>
      <xdr:row>42</xdr:row>
      <xdr:rowOff>153294</xdr:rowOff>
    </xdr:from>
    <xdr:to>
      <xdr:col>6</xdr:col>
      <xdr:colOff>549468</xdr:colOff>
      <xdr:row>45</xdr:row>
      <xdr:rowOff>187359</xdr:rowOff>
    </xdr:to>
    <xdr:sp macro="" textlink="Processing!R4">
      <xdr:nvSpPr>
        <xdr:cNvPr id="256" name="TextBox 255">
          <a:extLst>
            <a:ext uri="{FF2B5EF4-FFF2-40B4-BE49-F238E27FC236}">
              <a16:creationId xmlns:a16="http://schemas.microsoft.com/office/drawing/2014/main" id="{00000000-0008-0000-0000-000000010000}"/>
            </a:ext>
          </a:extLst>
        </xdr:cNvPr>
        <xdr:cNvSpPr txBox="1"/>
      </xdr:nvSpPr>
      <xdr:spPr>
        <a:xfrm>
          <a:off x="3750536" y="8687694"/>
          <a:ext cx="1751932" cy="643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13DEDD5B-852E-9F4D-B97D-38464AC679F2}" type="TxLink">
            <a:rPr lang="en-US" sz="1800" b="0" i="0" u="none" strike="noStrike" noProof="0">
              <a:solidFill>
                <a:srgbClr val="BFCDE4"/>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 € 4.000 </a:t>
          </a:fld>
          <a:endParaRPr lang="ru-RU" sz="1800" b="0" i="0" u="none" strike="noStrike" noProof="0">
            <a:solidFill>
              <a:srgbClr val="BFCDE4"/>
            </a:solidFill>
            <a:latin typeface="Calibri"/>
            <a:ea typeface="+mn-ea"/>
            <a:cs typeface="Calibri"/>
          </a:endParaRPr>
        </a:p>
      </xdr:txBody>
    </xdr:sp>
    <xdr:clientData/>
  </xdr:twoCellAnchor>
  <xdr:twoCellAnchor>
    <xdr:from>
      <xdr:col>3</xdr:col>
      <xdr:colOff>529217</xdr:colOff>
      <xdr:row>27</xdr:row>
      <xdr:rowOff>72611</xdr:rowOff>
    </xdr:from>
    <xdr:to>
      <xdr:col>5</xdr:col>
      <xdr:colOff>630149</xdr:colOff>
      <xdr:row>30</xdr:row>
      <xdr:rowOff>95471</xdr:rowOff>
    </xdr:to>
    <xdr:sp macro="" textlink="Processing!O1">
      <xdr:nvSpPr>
        <xdr:cNvPr id="257" name="TextBox 256">
          <a:extLst>
            <a:ext uri="{FF2B5EF4-FFF2-40B4-BE49-F238E27FC236}">
              <a16:creationId xmlns:a16="http://schemas.microsoft.com/office/drawing/2014/main" id="{00000000-0008-0000-0000-000001010000}"/>
            </a:ext>
          </a:extLst>
        </xdr:cNvPr>
        <xdr:cNvSpPr txBox="1"/>
      </xdr:nvSpPr>
      <xdr:spPr>
        <a:xfrm>
          <a:off x="3005717" y="5559011"/>
          <a:ext cx="1751932" cy="632460"/>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1F75F22E-5EA6-BD4F-84A0-88AED3EE142B}" type="TxLink">
            <a:rPr kumimoji="0" lang="en-US" sz="1400" b="1"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Budget Plan</a:t>
          </a:fld>
          <a:endParaRPr kumimoji="0" lang="ru-RU" sz="1400" b="1"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8966</xdr:colOff>
      <xdr:row>11</xdr:row>
      <xdr:rowOff>181992</xdr:rowOff>
    </xdr:from>
    <xdr:to>
      <xdr:col>3</xdr:col>
      <xdr:colOff>60960</xdr:colOff>
      <xdr:row>14</xdr:row>
      <xdr:rowOff>63492</xdr:rowOff>
    </xdr:to>
    <xdr:sp macro="" textlink="">
      <xdr:nvSpPr>
        <xdr:cNvPr id="258" name="Freeform: Shape 35">
          <a:extLst>
            <a:ext uri="{FF2B5EF4-FFF2-40B4-BE49-F238E27FC236}">
              <a16:creationId xmlns:a16="http://schemas.microsoft.com/office/drawing/2014/main" id="{00000000-0008-0000-0000-000002010000}"/>
            </a:ext>
          </a:extLst>
        </xdr:cNvPr>
        <xdr:cNvSpPr/>
      </xdr:nvSpPr>
      <xdr:spPr>
        <a:xfrm>
          <a:off x="8966" y="2417192"/>
          <a:ext cx="2528494" cy="491100"/>
        </a:xfrm>
        <a:custGeom>
          <a:avLst/>
          <a:gdLst>
            <a:gd name="connsiteX0" fmla="*/ 0 w 2264319"/>
            <a:gd name="connsiteY0" fmla="*/ 0 h 555812"/>
            <a:gd name="connsiteX1" fmla="*/ 2189612 w 2264319"/>
            <a:gd name="connsiteY1" fmla="*/ 0 h 555812"/>
            <a:gd name="connsiteX2" fmla="*/ 2264319 w 2264319"/>
            <a:gd name="connsiteY2" fmla="*/ 74707 h 555812"/>
            <a:gd name="connsiteX3" fmla="*/ 2264319 w 2264319"/>
            <a:gd name="connsiteY3" fmla="*/ 481105 h 555812"/>
            <a:gd name="connsiteX4" fmla="*/ 2189612 w 2264319"/>
            <a:gd name="connsiteY4" fmla="*/ 555812 h 555812"/>
            <a:gd name="connsiteX5" fmla="*/ 0 w 2264319"/>
            <a:gd name="connsiteY5" fmla="*/ 555812 h 555812"/>
            <a:gd name="connsiteX6" fmla="*/ 0 w 2264319"/>
            <a:gd name="connsiteY6" fmla="*/ 0 h 555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264319" h="555812">
              <a:moveTo>
                <a:pt x="0" y="0"/>
              </a:moveTo>
              <a:lnTo>
                <a:pt x="2189612" y="0"/>
              </a:lnTo>
              <a:cubicBezTo>
                <a:pt x="2230872" y="0"/>
                <a:pt x="2264319" y="33447"/>
                <a:pt x="2264319" y="74707"/>
              </a:cubicBezTo>
              <a:lnTo>
                <a:pt x="2264319" y="481105"/>
              </a:lnTo>
              <a:cubicBezTo>
                <a:pt x="2264319" y="522365"/>
                <a:pt x="2230872" y="555812"/>
                <a:pt x="2189612" y="555812"/>
              </a:cubicBezTo>
              <a:lnTo>
                <a:pt x="0" y="555812"/>
              </a:lnTo>
              <a:lnTo>
                <a:pt x="0" y="0"/>
              </a:lnTo>
              <a:close/>
            </a:path>
          </a:pathLst>
        </a:custGeom>
        <a:gradFill flip="none" rotWithShape="1">
          <a:gsLst>
            <a:gs pos="1000">
              <a:srgbClr val="F28F33"/>
            </a:gs>
            <a:gs pos="76000">
              <a:srgbClr val="FE2827"/>
            </a:gs>
          </a:gsLst>
          <a:lin ang="0" scaled="0"/>
          <a:tileRect/>
        </a:gra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280500</xdr:colOff>
      <xdr:row>11</xdr:row>
      <xdr:rowOff>103241</xdr:rowOff>
    </xdr:from>
    <xdr:to>
      <xdr:col>2</xdr:col>
      <xdr:colOff>701124</xdr:colOff>
      <xdr:row>14</xdr:row>
      <xdr:rowOff>126101</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280500" y="2268591"/>
          <a:ext cx="2071624" cy="613410"/>
          <a:chOff x="280500" y="2338441"/>
          <a:chExt cx="2071624" cy="632460"/>
        </a:xfrm>
      </xdr:grpSpPr>
      <xdr:sp macro="" textlink="Processing!B1">
        <xdr:nvSpPr>
          <xdr:cNvPr id="259" name="TextBox 258">
            <a:extLst>
              <a:ext uri="{FF2B5EF4-FFF2-40B4-BE49-F238E27FC236}">
                <a16:creationId xmlns:a16="http://schemas.microsoft.com/office/drawing/2014/main" id="{00000000-0008-0000-0000-000003010000}"/>
              </a:ext>
            </a:extLst>
          </xdr:cNvPr>
          <xdr:cNvSpPr txBox="1"/>
        </xdr:nvSpPr>
        <xdr:spPr>
          <a:xfrm>
            <a:off x="600192" y="2338441"/>
            <a:ext cx="1751932" cy="632460"/>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089734A5-472D-354C-8392-9C5553531771}"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Dashboard</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sp macro="" textlink="">
        <xdr:nvSpPr>
          <xdr:cNvPr id="266" name="Freeform: Shape 43">
            <a:extLst>
              <a:ext uri="{FF2B5EF4-FFF2-40B4-BE49-F238E27FC236}">
                <a16:creationId xmlns:a16="http://schemas.microsoft.com/office/drawing/2014/main" id="{00000000-0008-0000-0000-00000A010000}"/>
              </a:ext>
            </a:extLst>
          </xdr:cNvPr>
          <xdr:cNvSpPr/>
        </xdr:nvSpPr>
        <xdr:spPr>
          <a:xfrm>
            <a:off x="280500" y="2528439"/>
            <a:ext cx="252000" cy="259620"/>
          </a:xfrm>
          <a:custGeom>
            <a:avLst/>
            <a:gdLst>
              <a:gd name="connsiteX0" fmla="*/ 0 w 2612439"/>
              <a:gd name="connsiteY0" fmla="*/ 1633347 h 2629917"/>
              <a:gd name="connsiteX1" fmla="*/ 914400 w 2612439"/>
              <a:gd name="connsiteY1" fmla="*/ 1633347 h 2629917"/>
              <a:gd name="connsiteX2" fmla="*/ 914400 w 2612439"/>
              <a:gd name="connsiteY2" fmla="*/ 2629917 h 2629917"/>
              <a:gd name="connsiteX3" fmla="*/ 0 w 2612439"/>
              <a:gd name="connsiteY3" fmla="*/ 2629917 h 2629917"/>
              <a:gd name="connsiteX4" fmla="*/ 1165379 w 2612439"/>
              <a:gd name="connsiteY4" fmla="*/ 1076325 h 2629917"/>
              <a:gd name="connsiteX5" fmla="*/ 2612439 w 2612439"/>
              <a:gd name="connsiteY5" fmla="*/ 1076325 h 2629917"/>
              <a:gd name="connsiteX6" fmla="*/ 2612439 w 2612439"/>
              <a:gd name="connsiteY6" fmla="*/ 2629917 h 2629917"/>
              <a:gd name="connsiteX7" fmla="*/ 1165379 w 2612439"/>
              <a:gd name="connsiteY7" fmla="*/ 2629917 h 2629917"/>
              <a:gd name="connsiteX8" fmla="*/ 1165379 w 2612439"/>
              <a:gd name="connsiteY8" fmla="*/ 0 h 2629917"/>
              <a:gd name="connsiteX9" fmla="*/ 2612439 w 2612439"/>
              <a:gd name="connsiteY9" fmla="*/ 0 h 2629917"/>
              <a:gd name="connsiteX10" fmla="*/ 2612439 w 2612439"/>
              <a:gd name="connsiteY10" fmla="*/ 847725 h 2629917"/>
              <a:gd name="connsiteX11" fmla="*/ 1165379 w 2612439"/>
              <a:gd name="connsiteY11" fmla="*/ 847725 h 2629917"/>
              <a:gd name="connsiteX12" fmla="*/ 0 w 2612439"/>
              <a:gd name="connsiteY12" fmla="*/ 0 h 2629917"/>
              <a:gd name="connsiteX13" fmla="*/ 914400 w 2612439"/>
              <a:gd name="connsiteY13" fmla="*/ 0 h 2629917"/>
              <a:gd name="connsiteX14" fmla="*/ 914400 w 2612439"/>
              <a:gd name="connsiteY14" fmla="*/ 1428750 h 2629917"/>
              <a:gd name="connsiteX15" fmla="*/ 0 w 2612439"/>
              <a:gd name="connsiteY15" fmla="*/ 1428750 h 2629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612439" h="2629917">
                <a:moveTo>
                  <a:pt x="0" y="1633347"/>
                </a:moveTo>
                <a:lnTo>
                  <a:pt x="914400" y="1633347"/>
                </a:lnTo>
                <a:lnTo>
                  <a:pt x="914400" y="2629917"/>
                </a:lnTo>
                <a:lnTo>
                  <a:pt x="0" y="2629917"/>
                </a:lnTo>
                <a:close/>
                <a:moveTo>
                  <a:pt x="1165379" y="1076325"/>
                </a:moveTo>
                <a:lnTo>
                  <a:pt x="2612439" y="1076325"/>
                </a:lnTo>
                <a:lnTo>
                  <a:pt x="2612439" y="2629917"/>
                </a:lnTo>
                <a:lnTo>
                  <a:pt x="1165379" y="2629917"/>
                </a:lnTo>
                <a:close/>
                <a:moveTo>
                  <a:pt x="1165379" y="0"/>
                </a:moveTo>
                <a:lnTo>
                  <a:pt x="2612439" y="0"/>
                </a:lnTo>
                <a:lnTo>
                  <a:pt x="2612439" y="847725"/>
                </a:lnTo>
                <a:lnTo>
                  <a:pt x="1165379" y="847725"/>
                </a:lnTo>
                <a:close/>
                <a:moveTo>
                  <a:pt x="0" y="0"/>
                </a:moveTo>
                <a:lnTo>
                  <a:pt x="914400" y="0"/>
                </a:lnTo>
                <a:lnTo>
                  <a:pt x="914400" y="1428750"/>
                </a:lnTo>
                <a:lnTo>
                  <a:pt x="0" y="1428750"/>
                </a:lnTo>
                <a:close/>
              </a:path>
            </a:pathLst>
          </a:custGeom>
          <a:solidFill>
            <a:sysClr val="window" lastClr="FFFFFF"/>
          </a:solidFill>
          <a:ln w="12700" cap="flat" cmpd="sng" algn="ctr">
            <a:noFill/>
            <a:prstDash val="solid"/>
            <a:miter lim="800000"/>
          </a:ln>
          <a:effectLst>
            <a:outerShdw blurRad="50800" dist="38100" dir="2700000" algn="tl" rotWithShape="0">
              <a:prstClr val="black">
                <a:alpha val="40000"/>
              </a:prstClr>
            </a:outerShdw>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0</xdr:col>
      <xdr:colOff>280500</xdr:colOff>
      <xdr:row>16</xdr:row>
      <xdr:rowOff>102495</xdr:rowOff>
    </xdr:from>
    <xdr:to>
      <xdr:col>2</xdr:col>
      <xdr:colOff>701124</xdr:colOff>
      <xdr:row>19</xdr:row>
      <xdr:rowOff>136560</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280500" y="3252095"/>
          <a:ext cx="2071624" cy="624615"/>
          <a:chOff x="280500" y="3353695"/>
          <a:chExt cx="2071624" cy="643665"/>
        </a:xfrm>
      </xdr:grpSpPr>
      <xdr:sp macro="" textlink="Processing!B39">
        <xdr:nvSpPr>
          <xdr:cNvPr id="261" name="TextBox 260">
            <a:hlinkClick xmlns:r="http://schemas.openxmlformats.org/officeDocument/2006/relationships" r:id="rId4"/>
            <a:extLst>
              <a:ext uri="{FF2B5EF4-FFF2-40B4-BE49-F238E27FC236}">
                <a16:creationId xmlns:a16="http://schemas.microsoft.com/office/drawing/2014/main" id="{00000000-0008-0000-0000-000005010000}"/>
              </a:ext>
            </a:extLst>
          </xdr:cNvPr>
          <xdr:cNvSpPr txBox="1"/>
        </xdr:nvSpPr>
        <xdr:spPr>
          <a:xfrm>
            <a:off x="600192" y="3353695"/>
            <a:ext cx="1751932" cy="643665"/>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963256F2-CCE2-2647-8D82-9AF2CE307BA8}"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Income</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sp macro="" textlink="">
        <xdr:nvSpPr>
          <xdr:cNvPr id="267" name="Freeform: Shape 53">
            <a:extLst>
              <a:ext uri="{FF2B5EF4-FFF2-40B4-BE49-F238E27FC236}">
                <a16:creationId xmlns:a16="http://schemas.microsoft.com/office/drawing/2014/main" id="{00000000-0008-0000-0000-00000B010000}"/>
              </a:ext>
            </a:extLst>
          </xdr:cNvPr>
          <xdr:cNvSpPr/>
        </xdr:nvSpPr>
        <xdr:spPr>
          <a:xfrm>
            <a:off x="280500" y="3542367"/>
            <a:ext cx="252000" cy="267240"/>
          </a:xfrm>
          <a:custGeom>
            <a:avLst/>
            <a:gdLst>
              <a:gd name="connsiteX0" fmla="*/ 478368 w 2434877"/>
              <a:gd name="connsiteY0" fmla="*/ 1660447 h 2669419"/>
              <a:gd name="connsiteX1" fmla="*/ 478368 w 2434877"/>
              <a:gd name="connsiteY1" fmla="*/ 2669419 h 2669419"/>
              <a:gd name="connsiteX2" fmla="*/ 4662 w 2434877"/>
              <a:gd name="connsiteY2" fmla="*/ 2669419 h 2669419"/>
              <a:gd name="connsiteX3" fmla="*/ 14134 w 2434877"/>
              <a:gd name="connsiteY3" fmla="*/ 2124668 h 2669419"/>
              <a:gd name="connsiteX4" fmla="*/ 805273 w 2434877"/>
              <a:gd name="connsiteY4" fmla="*/ 1333554 h 2669419"/>
              <a:gd name="connsiteX5" fmla="*/ 1072919 w 2434877"/>
              <a:gd name="connsiteY5" fmla="*/ 1601215 h 2669419"/>
              <a:gd name="connsiteX6" fmla="*/ 1072919 w 2434877"/>
              <a:gd name="connsiteY6" fmla="*/ 2664691 h 2669419"/>
              <a:gd name="connsiteX7" fmla="*/ 606315 w 2434877"/>
              <a:gd name="connsiteY7" fmla="*/ 2669407 h 2669419"/>
              <a:gd name="connsiteX8" fmla="*/ 606315 w 2434877"/>
              <a:gd name="connsiteY8" fmla="*/ 1532527 h 2669419"/>
              <a:gd name="connsiteX9" fmla="*/ 1681683 w 2434877"/>
              <a:gd name="connsiteY9" fmla="*/ 1139327 h 2669419"/>
              <a:gd name="connsiteX10" fmla="*/ 1681683 w 2434877"/>
              <a:gd name="connsiteY10" fmla="*/ 2669400 h 2669419"/>
              <a:gd name="connsiteX11" fmla="*/ 1217448 w 2434877"/>
              <a:gd name="connsiteY11" fmla="*/ 2659932 h 2669419"/>
              <a:gd name="connsiteX12" fmla="*/ 1217448 w 2434877"/>
              <a:gd name="connsiteY12" fmla="*/ 1603584 h 2669419"/>
              <a:gd name="connsiteX13" fmla="*/ 2288060 w 2434877"/>
              <a:gd name="connsiteY13" fmla="*/ 528130 h 2669419"/>
              <a:gd name="connsiteX14" fmla="*/ 2288060 w 2434877"/>
              <a:gd name="connsiteY14" fmla="*/ 2659908 h 2669419"/>
              <a:gd name="connsiteX15" fmla="*/ 1814372 w 2434877"/>
              <a:gd name="connsiteY15" fmla="*/ 2664660 h 2669419"/>
              <a:gd name="connsiteX16" fmla="*/ 1814372 w 2434877"/>
              <a:gd name="connsiteY16" fmla="*/ 1001818 h 2669419"/>
              <a:gd name="connsiteX17" fmla="*/ 1987216 w 2434877"/>
              <a:gd name="connsiteY17" fmla="*/ 0 h 2669419"/>
              <a:gd name="connsiteX18" fmla="*/ 2434877 w 2434877"/>
              <a:gd name="connsiteY18" fmla="*/ 0 h 2669419"/>
              <a:gd name="connsiteX19" fmla="*/ 2434877 w 2434877"/>
              <a:gd name="connsiteY19" fmla="*/ 461881 h 2669419"/>
              <a:gd name="connsiteX20" fmla="*/ 2323528 w 2434877"/>
              <a:gd name="connsiteY20" fmla="*/ 350532 h 2669419"/>
              <a:gd name="connsiteX21" fmla="*/ 1141637 w 2434877"/>
              <a:gd name="connsiteY21" fmla="*/ 1532450 h 2669419"/>
              <a:gd name="connsiteX22" fmla="*/ 817147 w 2434877"/>
              <a:gd name="connsiteY22" fmla="*/ 1207945 h 2669419"/>
              <a:gd name="connsiteX23" fmla="*/ 0 w 2434877"/>
              <a:gd name="connsiteY23" fmla="*/ 2001422 h 2669419"/>
              <a:gd name="connsiteX24" fmla="*/ 0 w 2434877"/>
              <a:gd name="connsiteY24" fmla="*/ 1532450 h 2669419"/>
              <a:gd name="connsiteX25" fmla="*/ 805303 w 2434877"/>
              <a:gd name="connsiteY25" fmla="*/ 727129 h 2669419"/>
              <a:gd name="connsiteX26" fmla="*/ 1146374 w 2434877"/>
              <a:gd name="connsiteY26" fmla="*/ 1068193 h 2669419"/>
              <a:gd name="connsiteX27" fmla="*/ 2100904 w 2434877"/>
              <a:gd name="connsiteY27" fmla="*/ 113688 h 26694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2434877" h="2669419">
                <a:moveTo>
                  <a:pt x="478368" y="1660447"/>
                </a:moveTo>
                <a:lnTo>
                  <a:pt x="478368" y="2669419"/>
                </a:lnTo>
                <a:lnTo>
                  <a:pt x="4662" y="2669419"/>
                </a:lnTo>
                <a:lnTo>
                  <a:pt x="14134" y="2124668"/>
                </a:lnTo>
                <a:close/>
                <a:moveTo>
                  <a:pt x="805273" y="1333554"/>
                </a:moveTo>
                <a:lnTo>
                  <a:pt x="1072919" y="1601215"/>
                </a:lnTo>
                <a:lnTo>
                  <a:pt x="1072919" y="2664691"/>
                </a:lnTo>
                <a:lnTo>
                  <a:pt x="606315" y="2669407"/>
                </a:lnTo>
                <a:lnTo>
                  <a:pt x="606315" y="1532527"/>
                </a:lnTo>
                <a:close/>
                <a:moveTo>
                  <a:pt x="1681683" y="1139327"/>
                </a:moveTo>
                <a:lnTo>
                  <a:pt x="1681683" y="2669400"/>
                </a:lnTo>
                <a:lnTo>
                  <a:pt x="1217448" y="2659932"/>
                </a:lnTo>
                <a:lnTo>
                  <a:pt x="1217448" y="1603584"/>
                </a:lnTo>
                <a:close/>
                <a:moveTo>
                  <a:pt x="2288060" y="528130"/>
                </a:moveTo>
                <a:lnTo>
                  <a:pt x="2288060" y="2659908"/>
                </a:lnTo>
                <a:lnTo>
                  <a:pt x="1814372" y="2664660"/>
                </a:lnTo>
                <a:lnTo>
                  <a:pt x="1814372" y="1001818"/>
                </a:lnTo>
                <a:close/>
                <a:moveTo>
                  <a:pt x="1987216" y="0"/>
                </a:moveTo>
                <a:lnTo>
                  <a:pt x="2434877" y="0"/>
                </a:lnTo>
                <a:lnTo>
                  <a:pt x="2434877" y="461881"/>
                </a:lnTo>
                <a:lnTo>
                  <a:pt x="2323528" y="350532"/>
                </a:lnTo>
                <a:lnTo>
                  <a:pt x="1141637" y="1532450"/>
                </a:lnTo>
                <a:lnTo>
                  <a:pt x="817147" y="1207945"/>
                </a:lnTo>
                <a:lnTo>
                  <a:pt x="0" y="2001422"/>
                </a:lnTo>
                <a:lnTo>
                  <a:pt x="0" y="1532450"/>
                </a:lnTo>
                <a:lnTo>
                  <a:pt x="805303" y="727129"/>
                </a:lnTo>
                <a:lnTo>
                  <a:pt x="1146374" y="1068193"/>
                </a:lnTo>
                <a:lnTo>
                  <a:pt x="2100904" y="113688"/>
                </a:lnTo>
                <a:close/>
              </a:path>
            </a:pathLst>
          </a:custGeom>
          <a:solidFill>
            <a:sysClr val="window" lastClr="FFFFFF"/>
          </a:solidFill>
          <a:ln w="6350" cap="flat">
            <a:solidFill>
              <a:sysClr val="windowText" lastClr="000000"/>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grpSp>
    <xdr:clientData/>
  </xdr:twoCellAnchor>
  <xdr:twoCellAnchor>
    <xdr:from>
      <xdr:col>0</xdr:col>
      <xdr:colOff>298500</xdr:colOff>
      <xdr:row>14</xdr:row>
      <xdr:rowOff>6871</xdr:rowOff>
    </xdr:from>
    <xdr:to>
      <xdr:col>2</xdr:col>
      <xdr:colOff>701124</xdr:colOff>
      <xdr:row>17</xdr:row>
      <xdr:rowOff>29731</xdr:rowOff>
    </xdr:to>
    <xdr:grpSp>
      <xdr:nvGrpSpPr>
        <xdr:cNvPr id="17" name="Group 16">
          <a:extLst>
            <a:ext uri="{FF2B5EF4-FFF2-40B4-BE49-F238E27FC236}">
              <a16:creationId xmlns:a16="http://schemas.microsoft.com/office/drawing/2014/main" id="{00000000-0008-0000-0000-000011000000}"/>
            </a:ext>
          </a:extLst>
        </xdr:cNvPr>
        <xdr:cNvGrpSpPr/>
      </xdr:nvGrpSpPr>
      <xdr:grpSpPr>
        <a:xfrm>
          <a:off x="298500" y="2762771"/>
          <a:ext cx="2053624" cy="613410"/>
          <a:chOff x="298500" y="2851671"/>
          <a:chExt cx="2053624" cy="632460"/>
        </a:xfrm>
      </xdr:grpSpPr>
      <xdr:sp macro="" textlink="Processing!T1">
        <xdr:nvSpPr>
          <xdr:cNvPr id="260" name="TextBox 259">
            <a:hlinkClick xmlns:r="http://schemas.openxmlformats.org/officeDocument/2006/relationships" r:id="rId5"/>
            <a:extLst>
              <a:ext uri="{FF2B5EF4-FFF2-40B4-BE49-F238E27FC236}">
                <a16:creationId xmlns:a16="http://schemas.microsoft.com/office/drawing/2014/main" id="{00000000-0008-0000-0000-000004010000}"/>
              </a:ext>
            </a:extLst>
          </xdr:cNvPr>
          <xdr:cNvSpPr txBox="1"/>
        </xdr:nvSpPr>
        <xdr:spPr>
          <a:xfrm>
            <a:off x="600192" y="2851671"/>
            <a:ext cx="1751932" cy="632460"/>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BD84D244-F6C1-334A-98EA-168A60CE4C72}"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Daily Budgeting</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sp macro="" textlink="">
        <xdr:nvSpPr>
          <xdr:cNvPr id="268" name="Freeform: Shape 54">
            <a:extLst>
              <a:ext uri="{FF2B5EF4-FFF2-40B4-BE49-F238E27FC236}">
                <a16:creationId xmlns:a16="http://schemas.microsoft.com/office/drawing/2014/main" id="{00000000-0008-0000-0000-00000C010000}"/>
              </a:ext>
            </a:extLst>
          </xdr:cNvPr>
          <xdr:cNvSpPr/>
        </xdr:nvSpPr>
        <xdr:spPr>
          <a:xfrm>
            <a:off x="298500" y="3039213"/>
            <a:ext cx="216000" cy="259620"/>
          </a:xfrm>
          <a:custGeom>
            <a:avLst/>
            <a:gdLst>
              <a:gd name="connsiteX0" fmla="*/ 1038471 w 1997598"/>
              <a:gd name="connsiteY0" fmla="*/ 1798798 h 2622542"/>
              <a:gd name="connsiteX1" fmla="*/ 1083642 w 1997598"/>
              <a:gd name="connsiteY1" fmla="*/ 1825060 h 2622542"/>
              <a:gd name="connsiteX2" fmla="*/ 1097649 w 1997598"/>
              <a:gd name="connsiteY2" fmla="*/ 1865328 h 2622542"/>
              <a:gd name="connsiteX3" fmla="*/ 1081191 w 1997598"/>
              <a:gd name="connsiteY3" fmla="*/ 1911202 h 2622542"/>
              <a:gd name="connsiteX4" fmla="*/ 1038471 w 1997598"/>
              <a:gd name="connsiteY4" fmla="*/ 1935364 h 2622542"/>
              <a:gd name="connsiteX5" fmla="*/ 987696 w 1997598"/>
              <a:gd name="connsiteY5" fmla="*/ 1562783 h 2622542"/>
              <a:gd name="connsiteX6" fmla="*/ 987696 w 1997598"/>
              <a:gd name="connsiteY6" fmla="*/ 1683942 h 2622542"/>
              <a:gd name="connsiteX7" fmla="*/ 953730 w 1997598"/>
              <a:gd name="connsiteY7" fmla="*/ 1658378 h 2622542"/>
              <a:gd name="connsiteX8" fmla="*/ 942524 w 1997598"/>
              <a:gd name="connsiteY8" fmla="*/ 1623713 h 2622542"/>
              <a:gd name="connsiteX9" fmla="*/ 954780 w 1997598"/>
              <a:gd name="connsiteY9" fmla="*/ 1586593 h 2622542"/>
              <a:gd name="connsiteX10" fmla="*/ 987696 w 1997598"/>
              <a:gd name="connsiteY10" fmla="*/ 1562783 h 2622542"/>
              <a:gd name="connsiteX11" fmla="*/ 987696 w 1997598"/>
              <a:gd name="connsiteY11" fmla="*/ 1451780 h 2622542"/>
              <a:gd name="connsiteX12" fmla="*/ 987696 w 1997598"/>
              <a:gd name="connsiteY12" fmla="*/ 1486445 h 2622542"/>
              <a:gd name="connsiteX13" fmla="*/ 891050 w 1997598"/>
              <a:gd name="connsiteY13" fmla="*/ 1531616 h 2622542"/>
              <a:gd name="connsiteX14" fmla="*/ 854984 w 1997598"/>
              <a:gd name="connsiteY14" fmla="*/ 1627914 h 2622542"/>
              <a:gd name="connsiteX15" fmla="*/ 886849 w 1997598"/>
              <a:gd name="connsiteY15" fmla="*/ 1724560 h 2622542"/>
              <a:gd name="connsiteX16" fmla="*/ 987696 w 1997598"/>
              <a:gd name="connsiteY16" fmla="*/ 1783738 h 2622542"/>
              <a:gd name="connsiteX17" fmla="*/ 987696 w 1997598"/>
              <a:gd name="connsiteY17" fmla="*/ 1930460 h 2622542"/>
              <a:gd name="connsiteX18" fmla="*/ 953379 w 1997598"/>
              <a:gd name="connsiteY18" fmla="*/ 1901047 h 2622542"/>
              <a:gd name="connsiteX19" fmla="*/ 932368 w 1997598"/>
              <a:gd name="connsiteY19" fmla="*/ 1852725 h 2622542"/>
              <a:gd name="connsiteX20" fmla="*/ 840974 w 1997598"/>
              <a:gd name="connsiteY20" fmla="*/ 1862529 h 2622542"/>
              <a:gd name="connsiteX21" fmla="*/ 889297 w 1997598"/>
              <a:gd name="connsiteY21" fmla="*/ 1969329 h 2622542"/>
              <a:gd name="connsiteX22" fmla="*/ 987696 w 1997598"/>
              <a:gd name="connsiteY22" fmla="*/ 2014502 h 2622542"/>
              <a:gd name="connsiteX23" fmla="*/ 987696 w 1997598"/>
              <a:gd name="connsiteY23" fmla="*/ 2078232 h 2622542"/>
              <a:gd name="connsiteX24" fmla="*/ 1038471 w 1997598"/>
              <a:gd name="connsiteY24" fmla="*/ 2078232 h 2622542"/>
              <a:gd name="connsiteX25" fmla="*/ 1038471 w 1997598"/>
              <a:gd name="connsiteY25" fmla="*/ 2012749 h 2622542"/>
              <a:gd name="connsiteX26" fmla="*/ 1144921 w 1997598"/>
              <a:gd name="connsiteY26" fmla="*/ 1959525 h 2622542"/>
              <a:gd name="connsiteX27" fmla="*/ 1183440 w 1997598"/>
              <a:gd name="connsiteY27" fmla="*/ 1852725 h 2622542"/>
              <a:gd name="connsiteX28" fmla="*/ 1152976 w 1997598"/>
              <a:gd name="connsiteY28" fmla="*/ 1759928 h 2622542"/>
              <a:gd name="connsiteX29" fmla="*/ 1038471 w 1997598"/>
              <a:gd name="connsiteY29" fmla="*/ 1700750 h 2622542"/>
              <a:gd name="connsiteX30" fmla="*/ 1038471 w 1997598"/>
              <a:gd name="connsiteY30" fmla="*/ 1563833 h 2622542"/>
              <a:gd name="connsiteX31" fmla="*/ 1080492 w 1997598"/>
              <a:gd name="connsiteY31" fmla="*/ 1619859 h 2622542"/>
              <a:gd name="connsiteX32" fmla="*/ 1169083 w 1997598"/>
              <a:gd name="connsiteY32" fmla="*/ 1608306 h 2622542"/>
              <a:gd name="connsiteX33" fmla="*/ 1127065 w 1997598"/>
              <a:gd name="connsiteY33" fmla="*/ 1524616 h 2622542"/>
              <a:gd name="connsiteX34" fmla="*/ 1038471 w 1997598"/>
              <a:gd name="connsiteY34" fmla="*/ 1486445 h 2622542"/>
              <a:gd name="connsiteX35" fmla="*/ 1038471 w 1997598"/>
              <a:gd name="connsiteY35" fmla="*/ 1451780 h 2622542"/>
              <a:gd name="connsiteX36" fmla="*/ 1018529 w 1997598"/>
              <a:gd name="connsiteY36" fmla="*/ 1275937 h 2622542"/>
              <a:gd name="connsiteX37" fmla="*/ 1488375 w 1997598"/>
              <a:gd name="connsiteY37" fmla="*/ 1745783 h 2622542"/>
              <a:gd name="connsiteX38" fmla="*/ 1018529 w 1997598"/>
              <a:gd name="connsiteY38" fmla="*/ 2215629 h 2622542"/>
              <a:gd name="connsiteX39" fmla="*/ 548683 w 1997598"/>
              <a:gd name="connsiteY39" fmla="*/ 1745783 h 2622542"/>
              <a:gd name="connsiteX40" fmla="*/ 1018529 w 1997598"/>
              <a:gd name="connsiteY40" fmla="*/ 1275937 h 2622542"/>
              <a:gd name="connsiteX41" fmla="*/ 1018529 w 1997598"/>
              <a:gd name="connsiteY41" fmla="*/ 1183712 h 2622542"/>
              <a:gd name="connsiteX42" fmla="*/ 456458 w 1997598"/>
              <a:gd name="connsiteY42" fmla="*/ 1745783 h 2622542"/>
              <a:gd name="connsiteX43" fmla="*/ 1018529 w 1997598"/>
              <a:gd name="connsiteY43" fmla="*/ 2307854 h 2622542"/>
              <a:gd name="connsiteX44" fmla="*/ 1580600 w 1997598"/>
              <a:gd name="connsiteY44" fmla="*/ 1745783 h 2622542"/>
              <a:gd name="connsiteX45" fmla="*/ 1018529 w 1997598"/>
              <a:gd name="connsiteY45" fmla="*/ 1183712 h 2622542"/>
              <a:gd name="connsiteX46" fmla="*/ 664325 w 1997598"/>
              <a:gd name="connsiteY46" fmla="*/ 707629 h 2622542"/>
              <a:gd name="connsiteX47" fmla="*/ 1314151 w 1997598"/>
              <a:gd name="connsiteY47" fmla="*/ 707629 h 2622542"/>
              <a:gd name="connsiteX48" fmla="*/ 1997478 w 1997598"/>
              <a:gd name="connsiteY48" fmla="*/ 1799581 h 2622542"/>
              <a:gd name="connsiteX49" fmla="*/ 1568718 w 1997598"/>
              <a:gd name="connsiteY49" fmla="*/ 2622542 h 2622542"/>
              <a:gd name="connsiteX50" fmla="*/ 429850 w 1997598"/>
              <a:gd name="connsiteY50" fmla="*/ 2615846 h 2622542"/>
              <a:gd name="connsiteX51" fmla="*/ 1100 w 1997598"/>
              <a:gd name="connsiteY51" fmla="*/ 1792886 h 2622542"/>
              <a:gd name="connsiteX52" fmla="*/ 664325 w 1997598"/>
              <a:gd name="connsiteY52" fmla="*/ 707629 h 2622542"/>
              <a:gd name="connsiteX53" fmla="*/ 986902 w 1997598"/>
              <a:gd name="connsiteY53" fmla="*/ 180 h 2622542"/>
              <a:gd name="connsiteX54" fmla="*/ 1253856 w 1997598"/>
              <a:gd name="connsiteY54" fmla="*/ 231858 h 2622542"/>
              <a:gd name="connsiteX55" fmla="*/ 1602233 w 1997598"/>
              <a:gd name="connsiteY55" fmla="*/ 211770 h 2622542"/>
              <a:gd name="connsiteX56" fmla="*/ 1307453 w 1997598"/>
              <a:gd name="connsiteY56" fmla="*/ 647228 h 2622542"/>
              <a:gd name="connsiteX57" fmla="*/ 1253841 w 1997598"/>
              <a:gd name="connsiteY57" fmla="*/ 646050 h 2622542"/>
              <a:gd name="connsiteX58" fmla="*/ 1307042 w 1997598"/>
              <a:gd name="connsiteY58" fmla="*/ 424909 h 2622542"/>
              <a:gd name="connsiteX59" fmla="*/ 1275900 w 1997598"/>
              <a:gd name="connsiteY59" fmla="*/ 369830 h 2622542"/>
              <a:gd name="connsiteX60" fmla="*/ 1275900 w 1997598"/>
              <a:gd name="connsiteY60" fmla="*/ 369830 h 2622542"/>
              <a:gd name="connsiteX61" fmla="*/ 1224136 w 1997598"/>
              <a:gd name="connsiteY61" fmla="*/ 400473 h 2622542"/>
              <a:gd name="connsiteX62" fmla="*/ 1165526 w 1997598"/>
              <a:gd name="connsiteY62" fmla="*/ 644109 h 2622542"/>
              <a:gd name="connsiteX63" fmla="*/ 1041982 w 1997598"/>
              <a:gd name="connsiteY63" fmla="*/ 641396 h 2622542"/>
              <a:gd name="connsiteX64" fmla="*/ 1041017 w 1997598"/>
              <a:gd name="connsiteY64" fmla="*/ 583209 h 2622542"/>
              <a:gd name="connsiteX65" fmla="*/ 997569 w 1997598"/>
              <a:gd name="connsiteY65" fmla="*/ 537907 h 2622542"/>
              <a:gd name="connsiteX66" fmla="*/ 997570 w 1997598"/>
              <a:gd name="connsiteY66" fmla="*/ 537908 h 2622542"/>
              <a:gd name="connsiteX67" fmla="*/ 955600 w 1997598"/>
              <a:gd name="connsiteY67" fmla="*/ 581732 h 2622542"/>
              <a:gd name="connsiteX68" fmla="*/ 956559 w 1997598"/>
              <a:gd name="connsiteY68" fmla="*/ 639518 h 2622542"/>
              <a:gd name="connsiteX69" fmla="*/ 845567 w 1997598"/>
              <a:gd name="connsiteY69" fmla="*/ 637080 h 2622542"/>
              <a:gd name="connsiteX70" fmla="*/ 799761 w 1997598"/>
              <a:gd name="connsiteY70" fmla="*/ 506078 h 2622542"/>
              <a:gd name="connsiteX71" fmla="*/ 744896 w 1997598"/>
              <a:gd name="connsiteY71" fmla="*/ 477778 h 2622542"/>
              <a:gd name="connsiteX72" fmla="*/ 744897 w 1997598"/>
              <a:gd name="connsiteY72" fmla="*/ 477779 h 2622542"/>
              <a:gd name="connsiteX73" fmla="*/ 719619 w 1997598"/>
              <a:gd name="connsiteY73" fmla="*/ 534100 h 2622542"/>
              <a:gd name="connsiteX74" fmla="*/ 754930 w 1997598"/>
              <a:gd name="connsiteY74" fmla="*/ 635089 h 2622542"/>
              <a:gd name="connsiteX75" fmla="*/ 697819 w 1997598"/>
              <a:gd name="connsiteY75" fmla="*/ 633834 h 2622542"/>
              <a:gd name="connsiteX76" fmla="*/ 382954 w 1997598"/>
              <a:gd name="connsiteY76" fmla="*/ 198378 h 2622542"/>
              <a:gd name="connsiteX77" fmla="*/ 764810 w 1997598"/>
              <a:gd name="connsiteY77" fmla="*/ 218466 h 2622542"/>
              <a:gd name="connsiteX78" fmla="*/ 986902 w 1997598"/>
              <a:gd name="connsiteY78" fmla="*/ 180 h 26225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Lst>
            <a:rect l="l" t="t" r="r" b="b"/>
            <a:pathLst>
              <a:path w="1997598" h="2622542">
                <a:moveTo>
                  <a:pt x="1038471" y="1798798"/>
                </a:moveTo>
                <a:cubicBezTo>
                  <a:pt x="1059481" y="1804868"/>
                  <a:pt x="1074537" y="1813621"/>
                  <a:pt x="1083642" y="1825060"/>
                </a:cubicBezTo>
                <a:cubicBezTo>
                  <a:pt x="1092981" y="1836266"/>
                  <a:pt x="1097649" y="1849687"/>
                  <a:pt x="1097649" y="1865328"/>
                </a:cubicBezTo>
                <a:cubicBezTo>
                  <a:pt x="1097649" y="1882836"/>
                  <a:pt x="1092164" y="1898129"/>
                  <a:pt x="1081191" y="1911202"/>
                </a:cubicBezTo>
                <a:cubicBezTo>
                  <a:pt x="1070218" y="1924039"/>
                  <a:pt x="1055979" y="1932094"/>
                  <a:pt x="1038471" y="1935364"/>
                </a:cubicBezTo>
                <a:close/>
                <a:moveTo>
                  <a:pt x="987696" y="1562783"/>
                </a:moveTo>
                <a:lnTo>
                  <a:pt x="987696" y="1683942"/>
                </a:lnTo>
                <a:cubicBezTo>
                  <a:pt x="972522" y="1677407"/>
                  <a:pt x="961201" y="1668886"/>
                  <a:pt x="953730" y="1658378"/>
                </a:cubicBezTo>
                <a:cubicBezTo>
                  <a:pt x="946260" y="1647642"/>
                  <a:pt x="942524" y="1636085"/>
                  <a:pt x="942524" y="1623713"/>
                </a:cubicBezTo>
                <a:cubicBezTo>
                  <a:pt x="942524" y="1610174"/>
                  <a:pt x="946611" y="1597799"/>
                  <a:pt x="954780" y="1586593"/>
                </a:cubicBezTo>
                <a:cubicBezTo>
                  <a:pt x="962951" y="1575386"/>
                  <a:pt x="973923" y="1567450"/>
                  <a:pt x="987696" y="1562783"/>
                </a:cubicBezTo>
                <a:close/>
                <a:moveTo>
                  <a:pt x="987696" y="1451780"/>
                </a:moveTo>
                <a:lnTo>
                  <a:pt x="987696" y="1486445"/>
                </a:lnTo>
                <a:cubicBezTo>
                  <a:pt x="947543" y="1490413"/>
                  <a:pt x="915327" y="1505473"/>
                  <a:pt x="891050" y="1531616"/>
                </a:cubicBezTo>
                <a:cubicBezTo>
                  <a:pt x="867004" y="1557531"/>
                  <a:pt x="854984" y="1589629"/>
                  <a:pt x="854984" y="1627914"/>
                </a:cubicBezTo>
                <a:cubicBezTo>
                  <a:pt x="854984" y="1665731"/>
                  <a:pt x="865606" y="1697947"/>
                  <a:pt x="886849" y="1724560"/>
                </a:cubicBezTo>
                <a:cubicBezTo>
                  <a:pt x="908326" y="1750941"/>
                  <a:pt x="941940" y="1770669"/>
                  <a:pt x="987696" y="1783738"/>
                </a:cubicBezTo>
                <a:lnTo>
                  <a:pt x="987696" y="1930460"/>
                </a:lnTo>
                <a:cubicBezTo>
                  <a:pt x="975088" y="1924391"/>
                  <a:pt x="963653" y="1914587"/>
                  <a:pt x="953379" y="1901047"/>
                </a:cubicBezTo>
                <a:cubicBezTo>
                  <a:pt x="943109" y="1887507"/>
                  <a:pt x="936104" y="1871397"/>
                  <a:pt x="932368" y="1852725"/>
                </a:cubicBezTo>
                <a:lnTo>
                  <a:pt x="840974" y="1862529"/>
                </a:lnTo>
                <a:cubicBezTo>
                  <a:pt x="847979" y="1908518"/>
                  <a:pt x="864085" y="1944119"/>
                  <a:pt x="889297" y="1969329"/>
                </a:cubicBezTo>
                <a:cubicBezTo>
                  <a:pt x="914509" y="1994541"/>
                  <a:pt x="947310" y="2009597"/>
                  <a:pt x="987696" y="2014502"/>
                </a:cubicBezTo>
                <a:lnTo>
                  <a:pt x="987696" y="2078232"/>
                </a:lnTo>
                <a:lnTo>
                  <a:pt x="1038471" y="2078232"/>
                </a:lnTo>
                <a:lnTo>
                  <a:pt x="1038471" y="2012749"/>
                </a:lnTo>
                <a:cubicBezTo>
                  <a:pt x="1083994" y="2006214"/>
                  <a:pt x="1119476" y="1988473"/>
                  <a:pt x="1144921" y="1959525"/>
                </a:cubicBezTo>
                <a:cubicBezTo>
                  <a:pt x="1170602" y="1930578"/>
                  <a:pt x="1183440" y="1894978"/>
                  <a:pt x="1183440" y="1852725"/>
                </a:cubicBezTo>
                <a:cubicBezTo>
                  <a:pt x="1183440" y="1814904"/>
                  <a:pt x="1173288" y="1783971"/>
                  <a:pt x="1152976" y="1759928"/>
                </a:cubicBezTo>
                <a:cubicBezTo>
                  <a:pt x="1132665" y="1735648"/>
                  <a:pt x="1094497" y="1715925"/>
                  <a:pt x="1038471" y="1700750"/>
                </a:cubicBezTo>
                <a:lnTo>
                  <a:pt x="1038471" y="1563833"/>
                </a:lnTo>
                <a:cubicBezTo>
                  <a:pt x="1061116" y="1573638"/>
                  <a:pt x="1075122" y="1592315"/>
                  <a:pt x="1080492" y="1619859"/>
                </a:cubicBezTo>
                <a:lnTo>
                  <a:pt x="1169083" y="1608306"/>
                </a:lnTo>
                <a:cubicBezTo>
                  <a:pt x="1163013" y="1573286"/>
                  <a:pt x="1149008" y="1545389"/>
                  <a:pt x="1127065" y="1524616"/>
                </a:cubicBezTo>
                <a:cubicBezTo>
                  <a:pt x="1105119" y="1503605"/>
                  <a:pt x="1075587" y="1490883"/>
                  <a:pt x="1038471" y="1486445"/>
                </a:cubicBezTo>
                <a:lnTo>
                  <a:pt x="1038471" y="1451780"/>
                </a:lnTo>
                <a:close/>
                <a:moveTo>
                  <a:pt x="1018529" y="1275937"/>
                </a:moveTo>
                <a:cubicBezTo>
                  <a:pt x="1278018" y="1275937"/>
                  <a:pt x="1488375" y="1486294"/>
                  <a:pt x="1488375" y="1745783"/>
                </a:cubicBezTo>
                <a:cubicBezTo>
                  <a:pt x="1488375" y="2005272"/>
                  <a:pt x="1278018" y="2215629"/>
                  <a:pt x="1018529" y="2215629"/>
                </a:cubicBezTo>
                <a:cubicBezTo>
                  <a:pt x="759040" y="2215629"/>
                  <a:pt x="548683" y="2005272"/>
                  <a:pt x="548683" y="1745783"/>
                </a:cubicBezTo>
                <a:cubicBezTo>
                  <a:pt x="548683" y="1486294"/>
                  <a:pt x="759040" y="1275937"/>
                  <a:pt x="1018529" y="1275937"/>
                </a:cubicBezTo>
                <a:close/>
                <a:moveTo>
                  <a:pt x="1018529" y="1183712"/>
                </a:moveTo>
                <a:cubicBezTo>
                  <a:pt x="708106" y="1183712"/>
                  <a:pt x="456458" y="1435360"/>
                  <a:pt x="456458" y="1745783"/>
                </a:cubicBezTo>
                <a:cubicBezTo>
                  <a:pt x="456458" y="2056206"/>
                  <a:pt x="708106" y="2307854"/>
                  <a:pt x="1018529" y="2307854"/>
                </a:cubicBezTo>
                <a:cubicBezTo>
                  <a:pt x="1328952" y="2307854"/>
                  <a:pt x="1580600" y="2056206"/>
                  <a:pt x="1580600" y="1745783"/>
                </a:cubicBezTo>
                <a:cubicBezTo>
                  <a:pt x="1580600" y="1435360"/>
                  <a:pt x="1328952" y="1183712"/>
                  <a:pt x="1018529" y="1183712"/>
                </a:cubicBezTo>
                <a:close/>
                <a:moveTo>
                  <a:pt x="664325" y="707629"/>
                </a:moveTo>
                <a:lnTo>
                  <a:pt x="1314151" y="707629"/>
                </a:lnTo>
                <a:cubicBezTo>
                  <a:pt x="1314151" y="707629"/>
                  <a:pt x="2008098" y="1167205"/>
                  <a:pt x="1997478" y="1799581"/>
                </a:cubicBezTo>
                <a:cubicBezTo>
                  <a:pt x="1985742" y="2498450"/>
                  <a:pt x="1568718" y="2622542"/>
                  <a:pt x="1568718" y="2622542"/>
                </a:cubicBezTo>
                <a:lnTo>
                  <a:pt x="429850" y="2615846"/>
                </a:lnTo>
                <a:cubicBezTo>
                  <a:pt x="429850" y="2615846"/>
                  <a:pt x="-25234" y="2404706"/>
                  <a:pt x="1100" y="1792886"/>
                </a:cubicBezTo>
                <a:cubicBezTo>
                  <a:pt x="27107" y="1188661"/>
                  <a:pt x="664325" y="707629"/>
                  <a:pt x="664325" y="707629"/>
                </a:cubicBezTo>
                <a:close/>
                <a:moveTo>
                  <a:pt x="986902" y="180"/>
                </a:moveTo>
                <a:cubicBezTo>
                  <a:pt x="1109577" y="-4712"/>
                  <a:pt x="1237396" y="90440"/>
                  <a:pt x="1253856" y="231858"/>
                </a:cubicBezTo>
                <a:cubicBezTo>
                  <a:pt x="1388526" y="103410"/>
                  <a:pt x="1501498" y="170515"/>
                  <a:pt x="1602233" y="211770"/>
                </a:cubicBezTo>
                <a:lnTo>
                  <a:pt x="1307453" y="647228"/>
                </a:lnTo>
                <a:lnTo>
                  <a:pt x="1253841" y="646050"/>
                </a:lnTo>
                <a:lnTo>
                  <a:pt x="1307042" y="424909"/>
                </a:lnTo>
                <a:cubicBezTo>
                  <a:pt x="1312735" y="401236"/>
                  <a:pt x="1298793" y="376577"/>
                  <a:pt x="1275900" y="369830"/>
                </a:cubicBezTo>
                <a:lnTo>
                  <a:pt x="1275900" y="369830"/>
                </a:lnTo>
                <a:cubicBezTo>
                  <a:pt x="1253009" y="363080"/>
                  <a:pt x="1229832" y="376802"/>
                  <a:pt x="1224136" y="400473"/>
                </a:cubicBezTo>
                <a:lnTo>
                  <a:pt x="1165526" y="644109"/>
                </a:lnTo>
                <a:lnTo>
                  <a:pt x="1041982" y="641396"/>
                </a:lnTo>
                <a:lnTo>
                  <a:pt x="1041017" y="583209"/>
                </a:lnTo>
                <a:cubicBezTo>
                  <a:pt x="1040609" y="558598"/>
                  <a:pt x="1021158" y="538315"/>
                  <a:pt x="997569" y="537907"/>
                </a:cubicBezTo>
                <a:lnTo>
                  <a:pt x="997570" y="537908"/>
                </a:lnTo>
                <a:cubicBezTo>
                  <a:pt x="973984" y="537499"/>
                  <a:pt x="955192" y="557122"/>
                  <a:pt x="955600" y="581732"/>
                </a:cubicBezTo>
                <a:lnTo>
                  <a:pt x="956559" y="639518"/>
                </a:lnTo>
                <a:lnTo>
                  <a:pt x="845567" y="637080"/>
                </a:lnTo>
                <a:lnTo>
                  <a:pt x="799761" y="506078"/>
                </a:lnTo>
                <a:cubicBezTo>
                  <a:pt x="791590" y="482710"/>
                  <a:pt x="767027" y="470040"/>
                  <a:pt x="744896" y="477778"/>
                </a:cubicBezTo>
                <a:lnTo>
                  <a:pt x="744897" y="477779"/>
                </a:lnTo>
                <a:cubicBezTo>
                  <a:pt x="722766" y="485517"/>
                  <a:pt x="711450" y="510735"/>
                  <a:pt x="719619" y="534100"/>
                </a:cubicBezTo>
                <a:lnTo>
                  <a:pt x="754930" y="635089"/>
                </a:lnTo>
                <a:lnTo>
                  <a:pt x="697819" y="633834"/>
                </a:lnTo>
                <a:lnTo>
                  <a:pt x="382954" y="198378"/>
                </a:lnTo>
                <a:cubicBezTo>
                  <a:pt x="500883" y="146647"/>
                  <a:pt x="611231" y="145422"/>
                  <a:pt x="764810" y="218466"/>
                </a:cubicBezTo>
                <a:cubicBezTo>
                  <a:pt x="799186" y="68313"/>
                  <a:pt x="891489" y="3986"/>
                  <a:pt x="986902" y="180"/>
                </a:cubicBezTo>
                <a:close/>
              </a:path>
            </a:pathLst>
          </a:custGeom>
          <a:solidFill>
            <a:sysClr val="window" lastClr="FFFFFF"/>
          </a:solidFill>
          <a:ln w="18002"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grpSp>
    <xdr:clientData/>
  </xdr:twoCellAnchor>
  <xdr:twoCellAnchor>
    <xdr:from>
      <xdr:col>0</xdr:col>
      <xdr:colOff>280500</xdr:colOff>
      <xdr:row>19</xdr:row>
      <xdr:rowOff>6125</xdr:rowOff>
    </xdr:from>
    <xdr:to>
      <xdr:col>2</xdr:col>
      <xdr:colOff>701124</xdr:colOff>
      <xdr:row>22</xdr:row>
      <xdr:rowOff>28984</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280500" y="3746275"/>
          <a:ext cx="2071624" cy="613409"/>
          <a:chOff x="280500" y="3866925"/>
          <a:chExt cx="2071624" cy="632459"/>
        </a:xfrm>
      </xdr:grpSpPr>
      <xdr:sp macro="" textlink="Processing!B63">
        <xdr:nvSpPr>
          <xdr:cNvPr id="262" name="TextBox 261">
            <a:hlinkClick xmlns:r="http://schemas.openxmlformats.org/officeDocument/2006/relationships" r:id="rId6"/>
            <a:extLst>
              <a:ext uri="{FF2B5EF4-FFF2-40B4-BE49-F238E27FC236}">
                <a16:creationId xmlns:a16="http://schemas.microsoft.com/office/drawing/2014/main" id="{00000000-0008-0000-0000-000006010000}"/>
              </a:ext>
            </a:extLst>
          </xdr:cNvPr>
          <xdr:cNvSpPr txBox="1"/>
        </xdr:nvSpPr>
        <xdr:spPr>
          <a:xfrm>
            <a:off x="600192" y="3866925"/>
            <a:ext cx="1751932" cy="632459"/>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073919DC-54AE-7444-ACD5-E54448D68E9F}"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Expenses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sp macro="" textlink="">
        <xdr:nvSpPr>
          <xdr:cNvPr id="269" name="Freeform: Shape 55">
            <a:extLst>
              <a:ext uri="{FF2B5EF4-FFF2-40B4-BE49-F238E27FC236}">
                <a16:creationId xmlns:a16="http://schemas.microsoft.com/office/drawing/2014/main" id="{00000000-0008-0000-0000-00000D010000}"/>
              </a:ext>
            </a:extLst>
          </xdr:cNvPr>
          <xdr:cNvSpPr/>
        </xdr:nvSpPr>
        <xdr:spPr>
          <a:xfrm>
            <a:off x="280500" y="4053141"/>
            <a:ext cx="252000" cy="259620"/>
          </a:xfrm>
          <a:custGeom>
            <a:avLst/>
            <a:gdLst>
              <a:gd name="connsiteX0" fmla="*/ 1845168 w 2847163"/>
              <a:gd name="connsiteY0" fmla="*/ 1750443 h 2759416"/>
              <a:gd name="connsiteX1" fmla="*/ 2309388 w 2847163"/>
              <a:gd name="connsiteY1" fmla="*/ 2214663 h 2759416"/>
              <a:gd name="connsiteX2" fmla="*/ 2318856 w 2847163"/>
              <a:gd name="connsiteY2" fmla="*/ 2759416 h 2759416"/>
              <a:gd name="connsiteX3" fmla="*/ 1845168 w 2847163"/>
              <a:gd name="connsiteY3" fmla="*/ 2759416 h 2759416"/>
              <a:gd name="connsiteX4" fmla="*/ 1518242 w 2847163"/>
              <a:gd name="connsiteY4" fmla="*/ 1423550 h 2759416"/>
              <a:gd name="connsiteX5" fmla="*/ 1717214 w 2847163"/>
              <a:gd name="connsiteY5" fmla="*/ 1622523 h 2759416"/>
              <a:gd name="connsiteX6" fmla="*/ 1717214 w 2847163"/>
              <a:gd name="connsiteY6" fmla="*/ 2759403 h 2759416"/>
              <a:gd name="connsiteX7" fmla="*/ 1250617 w 2847163"/>
              <a:gd name="connsiteY7" fmla="*/ 2754687 h 2759416"/>
              <a:gd name="connsiteX8" fmla="*/ 1250617 w 2847163"/>
              <a:gd name="connsiteY8" fmla="*/ 1691210 h 2759416"/>
              <a:gd name="connsiteX9" fmla="*/ 641835 w 2847163"/>
              <a:gd name="connsiteY9" fmla="*/ 1229322 h 2759416"/>
              <a:gd name="connsiteX10" fmla="*/ 1106070 w 2847163"/>
              <a:gd name="connsiteY10" fmla="*/ 1693578 h 2759416"/>
              <a:gd name="connsiteX11" fmla="*/ 1106070 w 2847163"/>
              <a:gd name="connsiteY11" fmla="*/ 2749927 h 2759416"/>
              <a:gd name="connsiteX12" fmla="*/ 641835 w 2847163"/>
              <a:gd name="connsiteY12" fmla="*/ 2759395 h 2759416"/>
              <a:gd name="connsiteX13" fmla="*/ 35444 w 2847163"/>
              <a:gd name="connsiteY13" fmla="*/ 618126 h 2759416"/>
              <a:gd name="connsiteX14" fmla="*/ 509154 w 2847163"/>
              <a:gd name="connsiteY14" fmla="*/ 1091814 h 2759416"/>
              <a:gd name="connsiteX15" fmla="*/ 509154 w 2847163"/>
              <a:gd name="connsiteY15" fmla="*/ 2754655 h 2759416"/>
              <a:gd name="connsiteX16" fmla="*/ 35444 w 2847163"/>
              <a:gd name="connsiteY16" fmla="*/ 2749904 h 2759416"/>
              <a:gd name="connsiteX17" fmla="*/ 0 w 2847163"/>
              <a:gd name="connsiteY17" fmla="*/ 0 h 2759416"/>
              <a:gd name="connsiteX18" fmla="*/ 1177165 w 2847163"/>
              <a:gd name="connsiteY18" fmla="*/ 1158192 h 2759416"/>
              <a:gd name="connsiteX19" fmla="*/ 1518233 w 2847163"/>
              <a:gd name="connsiteY19" fmla="*/ 817128 h 2759416"/>
              <a:gd name="connsiteX20" fmla="*/ 2746509 w 2847163"/>
              <a:gd name="connsiteY20" fmla="*/ 2007744 h 2759416"/>
              <a:gd name="connsiteX21" fmla="*/ 2847163 w 2847163"/>
              <a:gd name="connsiteY21" fmla="*/ 1910921 h 2759416"/>
              <a:gd name="connsiteX22" fmla="*/ 2847163 w 2847163"/>
              <a:gd name="connsiteY22" fmla="*/ 2340365 h 2759416"/>
              <a:gd name="connsiteX23" fmla="*/ 2400726 w 2847163"/>
              <a:gd name="connsiteY23" fmla="*/ 2340365 h 2759416"/>
              <a:gd name="connsiteX24" fmla="*/ 2494986 w 2847163"/>
              <a:gd name="connsiteY24" fmla="*/ 2249694 h 2759416"/>
              <a:gd name="connsiteX25" fmla="*/ 1506389 w 2847163"/>
              <a:gd name="connsiteY25" fmla="*/ 1297944 h 2759416"/>
              <a:gd name="connsiteX26" fmla="*/ 1181903 w 2847163"/>
              <a:gd name="connsiteY26" fmla="*/ 1622449 h 2759416"/>
              <a:gd name="connsiteX27" fmla="*/ 0 w 2847163"/>
              <a:gd name="connsiteY27" fmla="*/ 440532 h 275941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2847163" h="2759416">
                <a:moveTo>
                  <a:pt x="1845168" y="1750443"/>
                </a:moveTo>
                <a:lnTo>
                  <a:pt x="2309388" y="2214663"/>
                </a:lnTo>
                <a:lnTo>
                  <a:pt x="2318856" y="2759416"/>
                </a:lnTo>
                <a:lnTo>
                  <a:pt x="1845168" y="2759416"/>
                </a:lnTo>
                <a:close/>
                <a:moveTo>
                  <a:pt x="1518242" y="1423550"/>
                </a:moveTo>
                <a:lnTo>
                  <a:pt x="1717214" y="1622523"/>
                </a:lnTo>
                <a:lnTo>
                  <a:pt x="1717214" y="2759403"/>
                </a:lnTo>
                <a:lnTo>
                  <a:pt x="1250617" y="2754687"/>
                </a:lnTo>
                <a:lnTo>
                  <a:pt x="1250617" y="1691210"/>
                </a:lnTo>
                <a:close/>
                <a:moveTo>
                  <a:pt x="641835" y="1229322"/>
                </a:moveTo>
                <a:lnTo>
                  <a:pt x="1106070" y="1693578"/>
                </a:lnTo>
                <a:lnTo>
                  <a:pt x="1106070" y="2749927"/>
                </a:lnTo>
                <a:lnTo>
                  <a:pt x="641835" y="2759395"/>
                </a:lnTo>
                <a:close/>
                <a:moveTo>
                  <a:pt x="35444" y="618126"/>
                </a:moveTo>
                <a:lnTo>
                  <a:pt x="509154" y="1091814"/>
                </a:lnTo>
                <a:lnTo>
                  <a:pt x="509154" y="2754655"/>
                </a:lnTo>
                <a:lnTo>
                  <a:pt x="35444" y="2749904"/>
                </a:lnTo>
                <a:close/>
                <a:moveTo>
                  <a:pt x="0" y="0"/>
                </a:moveTo>
                <a:lnTo>
                  <a:pt x="1177165" y="1158192"/>
                </a:lnTo>
                <a:lnTo>
                  <a:pt x="1518233" y="817128"/>
                </a:lnTo>
                <a:lnTo>
                  <a:pt x="2746509" y="2007744"/>
                </a:lnTo>
                <a:lnTo>
                  <a:pt x="2847163" y="1910921"/>
                </a:lnTo>
                <a:lnTo>
                  <a:pt x="2847163" y="2340365"/>
                </a:lnTo>
                <a:lnTo>
                  <a:pt x="2400726" y="2340365"/>
                </a:lnTo>
                <a:lnTo>
                  <a:pt x="2494986" y="2249694"/>
                </a:lnTo>
                <a:lnTo>
                  <a:pt x="1506389" y="1297944"/>
                </a:lnTo>
                <a:lnTo>
                  <a:pt x="1181903" y="1622449"/>
                </a:lnTo>
                <a:lnTo>
                  <a:pt x="0" y="440532"/>
                </a:lnTo>
                <a:close/>
              </a:path>
            </a:pathLst>
          </a:custGeom>
          <a:solidFill>
            <a:sysClr val="window" lastClr="FFFFFF"/>
          </a:solidFill>
          <a:ln w="6350" cap="flat">
            <a:solidFill>
              <a:sysClr val="windowText" lastClr="000000"/>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grpSp>
    <xdr:clientData/>
  </xdr:twoCellAnchor>
  <xdr:twoCellAnchor>
    <xdr:from>
      <xdr:col>0</xdr:col>
      <xdr:colOff>280500</xdr:colOff>
      <xdr:row>21</xdr:row>
      <xdr:rowOff>112954</xdr:rowOff>
    </xdr:from>
    <xdr:to>
      <xdr:col>2</xdr:col>
      <xdr:colOff>701124</xdr:colOff>
      <xdr:row>24</xdr:row>
      <xdr:rowOff>135814</xdr:rowOff>
    </xdr:to>
    <xdr:grpSp>
      <xdr:nvGrpSpPr>
        <xdr:cNvPr id="14" name="Group 13">
          <a:extLst>
            <a:ext uri="{FF2B5EF4-FFF2-40B4-BE49-F238E27FC236}">
              <a16:creationId xmlns:a16="http://schemas.microsoft.com/office/drawing/2014/main" id="{00000000-0008-0000-0000-00000E000000}"/>
            </a:ext>
          </a:extLst>
        </xdr:cNvPr>
        <xdr:cNvGrpSpPr/>
      </xdr:nvGrpSpPr>
      <xdr:grpSpPr>
        <a:xfrm>
          <a:off x="280500" y="4246804"/>
          <a:ext cx="2071624" cy="613410"/>
          <a:chOff x="280500" y="4380154"/>
          <a:chExt cx="2071624" cy="632460"/>
        </a:xfrm>
      </xdr:grpSpPr>
      <xdr:sp macro="" textlink="Processing!I17">
        <xdr:nvSpPr>
          <xdr:cNvPr id="263" name="TextBox 262">
            <a:hlinkClick xmlns:r="http://schemas.openxmlformats.org/officeDocument/2006/relationships" r:id="rId7"/>
            <a:extLst>
              <a:ext uri="{FF2B5EF4-FFF2-40B4-BE49-F238E27FC236}">
                <a16:creationId xmlns:a16="http://schemas.microsoft.com/office/drawing/2014/main" id="{00000000-0008-0000-0000-000007010000}"/>
              </a:ext>
            </a:extLst>
          </xdr:cNvPr>
          <xdr:cNvSpPr txBox="1"/>
        </xdr:nvSpPr>
        <xdr:spPr>
          <a:xfrm>
            <a:off x="600192" y="4380154"/>
            <a:ext cx="1751932" cy="632460"/>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B60A8782-BA62-0D44-BD32-07413DEC3B23}"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Investments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sp macro="" textlink="">
        <xdr:nvSpPr>
          <xdr:cNvPr id="270" name="Freeform: Shape 56">
            <a:extLst>
              <a:ext uri="{FF2B5EF4-FFF2-40B4-BE49-F238E27FC236}">
                <a16:creationId xmlns:a16="http://schemas.microsoft.com/office/drawing/2014/main" id="{00000000-0008-0000-0000-00000E010000}"/>
              </a:ext>
            </a:extLst>
          </xdr:cNvPr>
          <xdr:cNvSpPr/>
        </xdr:nvSpPr>
        <xdr:spPr>
          <a:xfrm>
            <a:off x="280500" y="4563915"/>
            <a:ext cx="252000" cy="259620"/>
          </a:xfrm>
          <a:custGeom>
            <a:avLst/>
            <a:gdLst>
              <a:gd name="connsiteX0" fmla="*/ 639778 w 4884414"/>
              <a:gd name="connsiteY0" fmla="*/ 2912647 h 4858772"/>
              <a:gd name="connsiteX1" fmla="*/ 1031685 w 4884414"/>
              <a:gd name="connsiteY1" fmla="*/ 4714736 h 4858772"/>
              <a:gd name="connsiteX2" fmla="*/ 385208 w 4884414"/>
              <a:gd name="connsiteY2" fmla="*/ 4858772 h 4858772"/>
              <a:gd name="connsiteX3" fmla="*/ 0 w 4884414"/>
              <a:gd name="connsiteY3" fmla="*/ 3053299 h 4858772"/>
              <a:gd name="connsiteX4" fmla="*/ 4607863 w 4884414"/>
              <a:gd name="connsiteY4" fmla="*/ 2902441 h 4858772"/>
              <a:gd name="connsiteX5" fmla="*/ 4789111 w 4884414"/>
              <a:gd name="connsiteY5" fmla="*/ 2958353 h 4858772"/>
              <a:gd name="connsiteX6" fmla="*/ 4811396 w 4884414"/>
              <a:gd name="connsiteY6" fmla="*/ 3250422 h 4858772"/>
              <a:gd name="connsiteX7" fmla="*/ 2814330 w 4884414"/>
              <a:gd name="connsiteY7" fmla="*/ 4524139 h 4858772"/>
              <a:gd name="connsiteX8" fmla="*/ 1445303 w 4884414"/>
              <a:gd name="connsiteY8" fmla="*/ 4391479 h 4858772"/>
              <a:gd name="connsiteX9" fmla="*/ 1161080 w 4884414"/>
              <a:gd name="connsiteY9" fmla="*/ 4453075 h 4858772"/>
              <a:gd name="connsiteX10" fmla="*/ 895802 w 4884414"/>
              <a:gd name="connsiteY10" fmla="*/ 3202470 h 4858772"/>
              <a:gd name="connsiteX11" fmla="*/ 1492676 w 4884414"/>
              <a:gd name="connsiteY11" fmla="*/ 3046158 h 4858772"/>
              <a:gd name="connsiteX12" fmla="*/ 2495226 w 4884414"/>
              <a:gd name="connsiteY12" fmla="*/ 3450762 h 4858772"/>
              <a:gd name="connsiteX13" fmla="*/ 3321174 w 4884414"/>
              <a:gd name="connsiteY13" fmla="*/ 3055626 h 4858772"/>
              <a:gd name="connsiteX14" fmla="*/ 3742807 w 4884414"/>
              <a:gd name="connsiteY14" fmla="*/ 3103002 h 4858772"/>
              <a:gd name="connsiteX15" fmla="*/ 3723259 w 4884414"/>
              <a:gd name="connsiteY15" fmla="*/ 3443274 h 4858772"/>
              <a:gd name="connsiteX16" fmla="*/ 2513442 w 4884414"/>
              <a:gd name="connsiteY16" fmla="*/ 4087494 h 4858772"/>
              <a:gd name="connsiteX17" fmla="*/ 1386497 w 4884414"/>
              <a:gd name="connsiteY17" fmla="*/ 3877686 h 4858772"/>
              <a:gd name="connsiteX18" fmla="*/ 1345824 w 4884414"/>
              <a:gd name="connsiteY18" fmla="*/ 4040946 h 4858772"/>
              <a:gd name="connsiteX19" fmla="*/ 2583822 w 4884414"/>
              <a:gd name="connsiteY19" fmla="*/ 4264146 h 4858772"/>
              <a:gd name="connsiteX20" fmla="*/ 3918055 w 4884414"/>
              <a:gd name="connsiteY20" fmla="*/ 3524598 h 4858772"/>
              <a:gd name="connsiteX21" fmla="*/ 4020079 w 4884414"/>
              <a:gd name="connsiteY21" fmla="*/ 3359394 h 4858772"/>
              <a:gd name="connsiteX22" fmla="*/ 3984367 w 4884414"/>
              <a:gd name="connsiteY22" fmla="*/ 3155094 h 4858772"/>
              <a:gd name="connsiteX23" fmla="*/ 4420327 w 4884414"/>
              <a:gd name="connsiteY23" fmla="*/ 2932794 h 4858772"/>
              <a:gd name="connsiteX24" fmla="*/ 4607863 w 4884414"/>
              <a:gd name="connsiteY24" fmla="*/ 2902441 h 4858772"/>
              <a:gd name="connsiteX25" fmla="*/ 1433727 w 4884414"/>
              <a:gd name="connsiteY25" fmla="*/ 2168924 h 4858772"/>
              <a:gd name="connsiteX26" fmla="*/ 1849081 w 4884414"/>
              <a:gd name="connsiteY26" fmla="*/ 2168924 h 4858772"/>
              <a:gd name="connsiteX27" fmla="*/ 1849081 w 4884414"/>
              <a:gd name="connsiteY27" fmla="*/ 2845548 h 4858772"/>
              <a:gd name="connsiteX28" fmla="*/ 1433727 w 4884414"/>
              <a:gd name="connsiteY28" fmla="*/ 2845548 h 4858772"/>
              <a:gd name="connsiteX29" fmla="*/ 2941179 w 4884414"/>
              <a:gd name="connsiteY29" fmla="*/ 2004757 h 4858772"/>
              <a:gd name="connsiteX30" fmla="*/ 3359881 w 4884414"/>
              <a:gd name="connsiteY30" fmla="*/ 2004757 h 4858772"/>
              <a:gd name="connsiteX31" fmla="*/ 3359881 w 4884414"/>
              <a:gd name="connsiteY31" fmla="*/ 2842165 h 4858772"/>
              <a:gd name="connsiteX32" fmla="*/ 2941179 w 4884414"/>
              <a:gd name="connsiteY32" fmla="*/ 2842165 h 4858772"/>
              <a:gd name="connsiteX33" fmla="*/ 2187461 w 4884414"/>
              <a:gd name="connsiteY33" fmla="*/ 1666453 h 4858772"/>
              <a:gd name="connsiteX34" fmla="*/ 2609514 w 4884414"/>
              <a:gd name="connsiteY34" fmla="*/ 1666453 h 4858772"/>
              <a:gd name="connsiteX35" fmla="*/ 2609514 w 4884414"/>
              <a:gd name="connsiteY35" fmla="*/ 2858921 h 4858772"/>
              <a:gd name="connsiteX36" fmla="*/ 2187461 w 4884414"/>
              <a:gd name="connsiteY36" fmla="*/ 2858921 h 4858772"/>
              <a:gd name="connsiteX37" fmla="*/ 3691550 w 4884414"/>
              <a:gd name="connsiteY37" fmla="*/ 1488894 h 4858772"/>
              <a:gd name="connsiteX38" fmla="*/ 4110252 w 4884414"/>
              <a:gd name="connsiteY38" fmla="*/ 1488894 h 4858772"/>
              <a:gd name="connsiteX39" fmla="*/ 4110252 w 4884414"/>
              <a:gd name="connsiteY39" fmla="*/ 2852193 h 4858772"/>
              <a:gd name="connsiteX40" fmla="*/ 3691550 w 4884414"/>
              <a:gd name="connsiteY40" fmla="*/ 2852193 h 4858772"/>
              <a:gd name="connsiteX41" fmla="*/ 4884414 w 4884414"/>
              <a:gd name="connsiteY41" fmla="*/ 0 h 4858772"/>
              <a:gd name="connsiteX42" fmla="*/ 4879661 w 4884414"/>
              <a:gd name="connsiteY42" fmla="*/ 497394 h 4858772"/>
              <a:gd name="connsiteX43" fmla="*/ 4718597 w 4884414"/>
              <a:gd name="connsiteY43" fmla="*/ 497394 h 4858772"/>
              <a:gd name="connsiteX44" fmla="*/ 4713882 w 4884414"/>
              <a:gd name="connsiteY44" fmla="*/ 274752 h 4858772"/>
              <a:gd name="connsiteX45" fmla="*/ 3775937 w 4884414"/>
              <a:gd name="connsiteY45" fmla="*/ 1198498 h 4858772"/>
              <a:gd name="connsiteX46" fmla="*/ 3041680 w 4884414"/>
              <a:gd name="connsiteY46" fmla="*/ 454759 h 4858772"/>
              <a:gd name="connsiteX47" fmla="*/ 2027937 w 4884414"/>
              <a:gd name="connsiteY47" fmla="*/ 1430590 h 4858772"/>
              <a:gd name="connsiteX48" fmla="*/ 1426330 w 4884414"/>
              <a:gd name="connsiteY48" fmla="*/ 876370 h 4858772"/>
              <a:gd name="connsiteX49" fmla="*/ 327325 w 4884414"/>
              <a:gd name="connsiteY49" fmla="*/ 1984846 h 4858772"/>
              <a:gd name="connsiteX50" fmla="*/ 194686 w 4884414"/>
              <a:gd name="connsiteY50" fmla="*/ 1871158 h 4858772"/>
              <a:gd name="connsiteX51" fmla="*/ 1416855 w 4884414"/>
              <a:gd name="connsiteY51" fmla="*/ 644242 h 4858772"/>
              <a:gd name="connsiteX52" fmla="*/ 2027937 w 4884414"/>
              <a:gd name="connsiteY52" fmla="*/ 1203214 h 4858772"/>
              <a:gd name="connsiteX53" fmla="*/ 3022744 w 4884414"/>
              <a:gd name="connsiteY53" fmla="*/ 222642 h 4858772"/>
              <a:gd name="connsiteX54" fmla="*/ 3799624 w 4884414"/>
              <a:gd name="connsiteY54" fmla="*/ 961618 h 4858772"/>
              <a:gd name="connsiteX55" fmla="*/ 4604909 w 4884414"/>
              <a:gd name="connsiteY55" fmla="*/ 161060 h 4858772"/>
              <a:gd name="connsiteX56" fmla="*/ 4377533 w 4884414"/>
              <a:gd name="connsiteY56" fmla="*/ 151585 h 4858772"/>
              <a:gd name="connsiteX57" fmla="*/ 4372781 w 4884414"/>
              <a:gd name="connsiteY57" fmla="*/ 4737 h 4858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4884414" h="4858772">
                <a:moveTo>
                  <a:pt x="639778" y="2912647"/>
                </a:moveTo>
                <a:lnTo>
                  <a:pt x="1031685" y="4714736"/>
                </a:lnTo>
                <a:lnTo>
                  <a:pt x="385208" y="4858772"/>
                </a:lnTo>
                <a:lnTo>
                  <a:pt x="0" y="3053299"/>
                </a:lnTo>
                <a:close/>
                <a:moveTo>
                  <a:pt x="4607863" y="2902441"/>
                </a:moveTo>
                <a:cubicBezTo>
                  <a:pt x="4668385" y="2903746"/>
                  <a:pt x="4734018" y="2917543"/>
                  <a:pt x="4789111" y="2958353"/>
                </a:cubicBezTo>
                <a:cubicBezTo>
                  <a:pt x="4984268" y="3102893"/>
                  <a:pt x="4811396" y="3250422"/>
                  <a:pt x="4811396" y="3250422"/>
                </a:cubicBezTo>
                <a:cubicBezTo>
                  <a:pt x="4811396" y="3250422"/>
                  <a:pt x="3126199" y="4484683"/>
                  <a:pt x="2814330" y="4524139"/>
                </a:cubicBezTo>
                <a:cubicBezTo>
                  <a:pt x="2436006" y="4571983"/>
                  <a:pt x="1681870" y="4399758"/>
                  <a:pt x="1445303" y="4391479"/>
                </a:cubicBezTo>
                <a:cubicBezTo>
                  <a:pt x="1331655" y="4387519"/>
                  <a:pt x="1161080" y="4453075"/>
                  <a:pt x="1161080" y="4453075"/>
                </a:cubicBezTo>
                <a:lnTo>
                  <a:pt x="895802" y="3202470"/>
                </a:lnTo>
                <a:cubicBezTo>
                  <a:pt x="895802" y="3202470"/>
                  <a:pt x="1206936" y="3031326"/>
                  <a:pt x="1492676" y="3046158"/>
                </a:cubicBezTo>
                <a:cubicBezTo>
                  <a:pt x="1861078" y="3065273"/>
                  <a:pt x="2261046" y="3451698"/>
                  <a:pt x="2495226" y="3450762"/>
                </a:cubicBezTo>
                <a:cubicBezTo>
                  <a:pt x="2653086" y="3450150"/>
                  <a:pt x="3321174" y="3055626"/>
                  <a:pt x="3321174" y="3055626"/>
                </a:cubicBezTo>
                <a:cubicBezTo>
                  <a:pt x="3321174" y="3055626"/>
                  <a:pt x="3595819" y="2954430"/>
                  <a:pt x="3742807" y="3103002"/>
                </a:cubicBezTo>
                <a:cubicBezTo>
                  <a:pt x="3947863" y="3310290"/>
                  <a:pt x="3723259" y="3443274"/>
                  <a:pt x="3723259" y="3443274"/>
                </a:cubicBezTo>
                <a:cubicBezTo>
                  <a:pt x="3723259" y="3443274"/>
                  <a:pt x="2958654" y="3989718"/>
                  <a:pt x="2513442" y="4087494"/>
                </a:cubicBezTo>
                <a:cubicBezTo>
                  <a:pt x="2233902" y="4148910"/>
                  <a:pt x="1386497" y="3877686"/>
                  <a:pt x="1386497" y="3877686"/>
                </a:cubicBezTo>
                <a:lnTo>
                  <a:pt x="1345824" y="4040946"/>
                </a:lnTo>
                <a:cubicBezTo>
                  <a:pt x="1345824" y="4040946"/>
                  <a:pt x="2201574" y="4299750"/>
                  <a:pt x="2583822" y="4264146"/>
                </a:cubicBezTo>
                <a:cubicBezTo>
                  <a:pt x="2873478" y="4237218"/>
                  <a:pt x="3918055" y="3524598"/>
                  <a:pt x="3918055" y="3524598"/>
                </a:cubicBezTo>
                <a:cubicBezTo>
                  <a:pt x="3918055" y="3524598"/>
                  <a:pt x="3992143" y="3470274"/>
                  <a:pt x="4020079" y="3359394"/>
                </a:cubicBezTo>
                <a:cubicBezTo>
                  <a:pt x="4045927" y="3256794"/>
                  <a:pt x="3984367" y="3155094"/>
                  <a:pt x="3984367" y="3155094"/>
                </a:cubicBezTo>
                <a:lnTo>
                  <a:pt x="4420327" y="2932794"/>
                </a:lnTo>
                <a:cubicBezTo>
                  <a:pt x="4420327" y="2932794"/>
                  <a:pt x="4506995" y="2900267"/>
                  <a:pt x="4607863" y="2902441"/>
                </a:cubicBezTo>
                <a:close/>
                <a:moveTo>
                  <a:pt x="1433727" y="2168924"/>
                </a:moveTo>
                <a:lnTo>
                  <a:pt x="1849081" y="2168924"/>
                </a:lnTo>
                <a:lnTo>
                  <a:pt x="1849081" y="2845548"/>
                </a:lnTo>
                <a:lnTo>
                  <a:pt x="1433727" y="2845548"/>
                </a:lnTo>
                <a:close/>
                <a:moveTo>
                  <a:pt x="2941179" y="2004757"/>
                </a:moveTo>
                <a:lnTo>
                  <a:pt x="3359881" y="2004757"/>
                </a:lnTo>
                <a:lnTo>
                  <a:pt x="3359881" y="2842165"/>
                </a:lnTo>
                <a:lnTo>
                  <a:pt x="2941179" y="2842165"/>
                </a:lnTo>
                <a:close/>
                <a:moveTo>
                  <a:pt x="2187461" y="1666453"/>
                </a:moveTo>
                <a:lnTo>
                  <a:pt x="2609514" y="1666453"/>
                </a:lnTo>
                <a:lnTo>
                  <a:pt x="2609514" y="2858921"/>
                </a:lnTo>
                <a:lnTo>
                  <a:pt x="2187461" y="2858921"/>
                </a:lnTo>
                <a:close/>
                <a:moveTo>
                  <a:pt x="3691550" y="1488894"/>
                </a:moveTo>
                <a:lnTo>
                  <a:pt x="4110252" y="1488894"/>
                </a:lnTo>
                <a:lnTo>
                  <a:pt x="4110252" y="2852193"/>
                </a:lnTo>
                <a:lnTo>
                  <a:pt x="3691550" y="2852193"/>
                </a:lnTo>
                <a:close/>
                <a:moveTo>
                  <a:pt x="4884414" y="0"/>
                </a:moveTo>
                <a:lnTo>
                  <a:pt x="4879661" y="497394"/>
                </a:lnTo>
                <a:lnTo>
                  <a:pt x="4718597" y="497394"/>
                </a:lnTo>
                <a:lnTo>
                  <a:pt x="4713882" y="274752"/>
                </a:lnTo>
                <a:lnTo>
                  <a:pt x="3775937" y="1198498"/>
                </a:lnTo>
                <a:lnTo>
                  <a:pt x="3041680" y="454759"/>
                </a:lnTo>
                <a:lnTo>
                  <a:pt x="2027937" y="1430590"/>
                </a:lnTo>
                <a:lnTo>
                  <a:pt x="1426330" y="876370"/>
                </a:lnTo>
                <a:lnTo>
                  <a:pt x="327325" y="1984846"/>
                </a:lnTo>
                <a:lnTo>
                  <a:pt x="194686" y="1871158"/>
                </a:lnTo>
                <a:lnTo>
                  <a:pt x="1416855" y="644242"/>
                </a:lnTo>
                <a:lnTo>
                  <a:pt x="2027937" y="1203214"/>
                </a:lnTo>
                <a:lnTo>
                  <a:pt x="3022744" y="222642"/>
                </a:lnTo>
                <a:lnTo>
                  <a:pt x="3799624" y="961618"/>
                </a:lnTo>
                <a:lnTo>
                  <a:pt x="4604909" y="161060"/>
                </a:lnTo>
                <a:lnTo>
                  <a:pt x="4377533" y="151585"/>
                </a:lnTo>
                <a:lnTo>
                  <a:pt x="4372781" y="4737"/>
                </a:lnTo>
                <a:close/>
              </a:path>
            </a:pathLst>
          </a:custGeom>
          <a:solidFill>
            <a:sysClr val="window" lastClr="FFFFFF"/>
          </a:solidFill>
          <a:ln w="17998"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grpSp>
    <xdr:clientData/>
  </xdr:twoCellAnchor>
  <xdr:twoCellAnchor>
    <xdr:from>
      <xdr:col>0</xdr:col>
      <xdr:colOff>307500</xdr:colOff>
      <xdr:row>24</xdr:row>
      <xdr:rowOff>5378</xdr:rowOff>
    </xdr:from>
    <xdr:to>
      <xdr:col>2</xdr:col>
      <xdr:colOff>701124</xdr:colOff>
      <xdr:row>27</xdr:row>
      <xdr:rowOff>39443</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307500" y="4729778"/>
          <a:ext cx="2044624" cy="624615"/>
          <a:chOff x="307500" y="4882178"/>
          <a:chExt cx="2044624" cy="643665"/>
        </a:xfrm>
      </xdr:grpSpPr>
      <xdr:sp macro="" textlink="Processing!B18">
        <xdr:nvSpPr>
          <xdr:cNvPr id="264" name="TextBox 263">
            <a:hlinkClick xmlns:r="http://schemas.openxmlformats.org/officeDocument/2006/relationships" r:id="rId8"/>
            <a:extLst>
              <a:ext uri="{FF2B5EF4-FFF2-40B4-BE49-F238E27FC236}">
                <a16:creationId xmlns:a16="http://schemas.microsoft.com/office/drawing/2014/main" id="{00000000-0008-0000-0000-000008010000}"/>
              </a:ext>
            </a:extLst>
          </xdr:cNvPr>
          <xdr:cNvSpPr txBox="1"/>
        </xdr:nvSpPr>
        <xdr:spPr>
          <a:xfrm>
            <a:off x="600192" y="4882178"/>
            <a:ext cx="1751932" cy="643665"/>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D54AB396-B1C7-CA47-AC9E-9352F738E20F}"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Debts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sp macro="" textlink="">
        <xdr:nvSpPr>
          <xdr:cNvPr id="271" name="Freeform: Shape 59">
            <a:extLst>
              <a:ext uri="{FF2B5EF4-FFF2-40B4-BE49-F238E27FC236}">
                <a16:creationId xmlns:a16="http://schemas.microsoft.com/office/drawing/2014/main" id="{00000000-0008-0000-0000-00000F010000}"/>
              </a:ext>
            </a:extLst>
          </xdr:cNvPr>
          <xdr:cNvSpPr/>
        </xdr:nvSpPr>
        <xdr:spPr>
          <a:xfrm>
            <a:off x="307500" y="5067069"/>
            <a:ext cx="198000" cy="267240"/>
          </a:xfrm>
          <a:custGeom>
            <a:avLst/>
            <a:gdLst>
              <a:gd name="connsiteX0" fmla="*/ 1055978 w 2078051"/>
              <a:gd name="connsiteY0" fmla="*/ 1929003 h 2870971"/>
              <a:gd name="connsiteX1" fmla="*/ 1107799 w 2078051"/>
              <a:gd name="connsiteY1" fmla="*/ 1959131 h 2870971"/>
              <a:gd name="connsiteX2" fmla="*/ 1123868 w 2078051"/>
              <a:gd name="connsiteY2" fmla="*/ 2005327 h 2870971"/>
              <a:gd name="connsiteX3" fmla="*/ 1104987 w 2078051"/>
              <a:gd name="connsiteY3" fmla="*/ 2057955 h 2870971"/>
              <a:gd name="connsiteX4" fmla="*/ 1055978 w 2078051"/>
              <a:gd name="connsiteY4" fmla="*/ 2085674 h 2870971"/>
              <a:gd name="connsiteX5" fmla="*/ 997728 w 2078051"/>
              <a:gd name="connsiteY5" fmla="*/ 1658243 h 2870971"/>
              <a:gd name="connsiteX6" fmla="*/ 997728 w 2078051"/>
              <a:gd name="connsiteY6" fmla="*/ 1797238 h 2870971"/>
              <a:gd name="connsiteX7" fmla="*/ 958762 w 2078051"/>
              <a:gd name="connsiteY7" fmla="*/ 1767911 h 2870971"/>
              <a:gd name="connsiteX8" fmla="*/ 945906 w 2078051"/>
              <a:gd name="connsiteY8" fmla="*/ 1728143 h 2870971"/>
              <a:gd name="connsiteX9" fmla="*/ 959966 w 2078051"/>
              <a:gd name="connsiteY9" fmla="*/ 1685558 h 2870971"/>
              <a:gd name="connsiteX10" fmla="*/ 997728 w 2078051"/>
              <a:gd name="connsiteY10" fmla="*/ 1658243 h 2870971"/>
              <a:gd name="connsiteX11" fmla="*/ 997728 w 2078051"/>
              <a:gd name="connsiteY11" fmla="*/ 1530898 h 2870971"/>
              <a:gd name="connsiteX12" fmla="*/ 997728 w 2078051"/>
              <a:gd name="connsiteY12" fmla="*/ 1570667 h 2870971"/>
              <a:gd name="connsiteX13" fmla="*/ 886854 w 2078051"/>
              <a:gd name="connsiteY13" fmla="*/ 1622487 h 2870971"/>
              <a:gd name="connsiteX14" fmla="*/ 845479 w 2078051"/>
              <a:gd name="connsiteY14" fmla="*/ 1732962 h 2870971"/>
              <a:gd name="connsiteX15" fmla="*/ 882035 w 2078051"/>
              <a:gd name="connsiteY15" fmla="*/ 1843836 h 2870971"/>
              <a:gd name="connsiteX16" fmla="*/ 997728 w 2078051"/>
              <a:gd name="connsiteY16" fmla="*/ 1911726 h 2870971"/>
              <a:gd name="connsiteX17" fmla="*/ 997728 w 2078051"/>
              <a:gd name="connsiteY17" fmla="*/ 2080048 h 2870971"/>
              <a:gd name="connsiteX18" fmla="*/ 958359 w 2078051"/>
              <a:gd name="connsiteY18" fmla="*/ 2046305 h 2870971"/>
              <a:gd name="connsiteX19" fmla="*/ 934255 w 2078051"/>
              <a:gd name="connsiteY19" fmla="*/ 1990869 h 2870971"/>
              <a:gd name="connsiteX20" fmla="*/ 829406 w 2078051"/>
              <a:gd name="connsiteY20" fmla="*/ 2002116 h 2870971"/>
              <a:gd name="connsiteX21" fmla="*/ 884843 w 2078051"/>
              <a:gd name="connsiteY21" fmla="*/ 2124639 h 2870971"/>
              <a:gd name="connsiteX22" fmla="*/ 997728 w 2078051"/>
              <a:gd name="connsiteY22" fmla="*/ 2176462 h 2870971"/>
              <a:gd name="connsiteX23" fmla="*/ 997728 w 2078051"/>
              <a:gd name="connsiteY23" fmla="*/ 2249574 h 2870971"/>
              <a:gd name="connsiteX24" fmla="*/ 1055978 w 2078051"/>
              <a:gd name="connsiteY24" fmla="*/ 2249574 h 2870971"/>
              <a:gd name="connsiteX25" fmla="*/ 1055978 w 2078051"/>
              <a:gd name="connsiteY25" fmla="*/ 2174451 h 2870971"/>
              <a:gd name="connsiteX26" fmla="*/ 1178099 w 2078051"/>
              <a:gd name="connsiteY26" fmla="*/ 2113392 h 2870971"/>
              <a:gd name="connsiteX27" fmla="*/ 1222289 w 2078051"/>
              <a:gd name="connsiteY27" fmla="*/ 1990869 h 2870971"/>
              <a:gd name="connsiteX28" fmla="*/ 1187340 w 2078051"/>
              <a:gd name="connsiteY28" fmla="*/ 1884411 h 2870971"/>
              <a:gd name="connsiteX29" fmla="*/ 1055978 w 2078051"/>
              <a:gd name="connsiteY29" fmla="*/ 1816521 h 2870971"/>
              <a:gd name="connsiteX30" fmla="*/ 1055978 w 2078051"/>
              <a:gd name="connsiteY30" fmla="*/ 1659447 h 2870971"/>
              <a:gd name="connsiteX31" fmla="*/ 1104185 w 2078051"/>
              <a:gd name="connsiteY31" fmla="*/ 1723721 h 2870971"/>
              <a:gd name="connsiteX32" fmla="*/ 1205818 w 2078051"/>
              <a:gd name="connsiteY32" fmla="*/ 1710467 h 2870971"/>
              <a:gd name="connsiteX33" fmla="*/ 1157614 w 2078051"/>
              <a:gd name="connsiteY33" fmla="*/ 1614457 h 2870971"/>
              <a:gd name="connsiteX34" fmla="*/ 1055978 w 2078051"/>
              <a:gd name="connsiteY34" fmla="*/ 1570667 h 2870971"/>
              <a:gd name="connsiteX35" fmla="*/ 1055978 w 2078051"/>
              <a:gd name="connsiteY35" fmla="*/ 1530898 h 2870971"/>
              <a:gd name="connsiteX36" fmla="*/ 1033100 w 2078051"/>
              <a:gd name="connsiteY36" fmla="*/ 1329168 h 2870971"/>
              <a:gd name="connsiteX37" fmla="*/ 1572115 w 2078051"/>
              <a:gd name="connsiteY37" fmla="*/ 1868183 h 2870971"/>
              <a:gd name="connsiteX38" fmla="*/ 1033100 w 2078051"/>
              <a:gd name="connsiteY38" fmla="*/ 2407198 h 2870971"/>
              <a:gd name="connsiteX39" fmla="*/ 494085 w 2078051"/>
              <a:gd name="connsiteY39" fmla="*/ 1868183 h 2870971"/>
              <a:gd name="connsiteX40" fmla="*/ 1033100 w 2078051"/>
              <a:gd name="connsiteY40" fmla="*/ 1329168 h 2870971"/>
              <a:gd name="connsiteX41" fmla="*/ 1033100 w 2078051"/>
              <a:gd name="connsiteY41" fmla="*/ 1223366 h 2870971"/>
              <a:gd name="connsiteX42" fmla="*/ 388283 w 2078051"/>
              <a:gd name="connsiteY42" fmla="*/ 1868183 h 2870971"/>
              <a:gd name="connsiteX43" fmla="*/ 1033100 w 2078051"/>
              <a:gd name="connsiteY43" fmla="*/ 2513000 h 2870971"/>
              <a:gd name="connsiteX44" fmla="*/ 1677917 w 2078051"/>
              <a:gd name="connsiteY44" fmla="*/ 1868183 h 2870971"/>
              <a:gd name="connsiteX45" fmla="*/ 1033100 w 2078051"/>
              <a:gd name="connsiteY45" fmla="*/ 1223366 h 2870971"/>
              <a:gd name="connsiteX46" fmla="*/ 983183 w 2078051"/>
              <a:gd name="connsiteY46" fmla="*/ 335217 h 2870971"/>
              <a:gd name="connsiteX47" fmla="*/ 758164 w 2078051"/>
              <a:gd name="connsiteY47" fmla="*/ 343982 h 2870971"/>
              <a:gd name="connsiteX48" fmla="*/ 488284 w 2078051"/>
              <a:gd name="connsiteY48" fmla="*/ 983732 h 2870971"/>
              <a:gd name="connsiteX49" fmla="*/ 488749 w 2078051"/>
              <a:gd name="connsiteY49" fmla="*/ 985270 h 2870971"/>
              <a:gd name="connsiteX50" fmla="*/ 642599 w 2078051"/>
              <a:gd name="connsiteY50" fmla="*/ 899738 h 2870971"/>
              <a:gd name="connsiteX51" fmla="*/ 1558297 w 2078051"/>
              <a:gd name="connsiteY51" fmla="*/ 983595 h 2870971"/>
              <a:gd name="connsiteX52" fmla="*/ 1599794 w 2078051"/>
              <a:gd name="connsiteY52" fmla="*/ 1014524 h 2870971"/>
              <a:gd name="connsiteX53" fmla="*/ 1602875 w 2078051"/>
              <a:gd name="connsiteY53" fmla="*/ 999811 h 2870971"/>
              <a:gd name="connsiteX54" fmla="*/ 1383012 w 2078051"/>
              <a:gd name="connsiteY54" fmla="*/ 357449 h 2870971"/>
              <a:gd name="connsiteX55" fmla="*/ 983183 w 2078051"/>
              <a:gd name="connsiteY55" fmla="*/ 335217 h 2870971"/>
              <a:gd name="connsiteX56" fmla="*/ 1024198 w 2078051"/>
              <a:gd name="connsiteY56" fmla="*/ 0 h 2870971"/>
              <a:gd name="connsiteX57" fmla="*/ 1463633 w 2078051"/>
              <a:gd name="connsiteY57" fmla="*/ 41646 h 2870971"/>
              <a:gd name="connsiteX58" fmla="*/ 1850752 w 2078051"/>
              <a:gd name="connsiteY58" fmla="*/ 1233583 h 2870971"/>
              <a:gd name="connsiteX59" fmla="*/ 1848614 w 2078051"/>
              <a:gd name="connsiteY59" fmla="*/ 1239078 h 2870971"/>
              <a:gd name="connsiteX60" fmla="*/ 1936700 w 2078051"/>
              <a:gd name="connsiteY60" fmla="*/ 1360517 h 2870971"/>
              <a:gd name="connsiteX61" fmla="*/ 1430019 w 2078051"/>
              <a:gd name="connsiteY61" fmla="*/ 2823279 h 2870971"/>
              <a:gd name="connsiteX62" fmla="*/ 583477 w 2078051"/>
              <a:gd name="connsiteY62" fmla="*/ 2796381 h 2870971"/>
              <a:gd name="connsiteX63" fmla="*/ 131162 w 2078051"/>
              <a:gd name="connsiteY63" fmla="*/ 1394268 h 2870971"/>
              <a:gd name="connsiteX64" fmla="*/ 216742 w 2078051"/>
              <a:gd name="connsiteY64" fmla="*/ 1260356 h 2870971"/>
              <a:gd name="connsiteX65" fmla="*/ 216557 w 2078051"/>
              <a:gd name="connsiteY65" fmla="*/ 1259844 h 2870971"/>
              <a:gd name="connsiteX66" fmla="*/ 637229 w 2078051"/>
              <a:gd name="connsiteY66" fmla="*/ 28215 h 2870971"/>
              <a:gd name="connsiteX67" fmla="*/ 1024198 w 2078051"/>
              <a:gd name="connsiteY67" fmla="*/ 0 h 287097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Lst>
            <a:rect l="l" t="t" r="r" b="b"/>
            <a:pathLst>
              <a:path w="2078051" h="2870971">
                <a:moveTo>
                  <a:pt x="1055978" y="1929003"/>
                </a:moveTo>
                <a:cubicBezTo>
                  <a:pt x="1080081" y="1935967"/>
                  <a:pt x="1097353" y="1946008"/>
                  <a:pt x="1107799" y="1959131"/>
                </a:cubicBezTo>
                <a:cubicBezTo>
                  <a:pt x="1118513" y="1971987"/>
                  <a:pt x="1123868" y="1987384"/>
                  <a:pt x="1123868" y="2005327"/>
                </a:cubicBezTo>
                <a:cubicBezTo>
                  <a:pt x="1123868" y="2025413"/>
                  <a:pt x="1117575" y="2042957"/>
                  <a:pt x="1104987" y="2057955"/>
                </a:cubicBezTo>
                <a:cubicBezTo>
                  <a:pt x="1092399" y="2072682"/>
                  <a:pt x="1076063" y="2081922"/>
                  <a:pt x="1055978" y="2085674"/>
                </a:cubicBezTo>
                <a:close/>
                <a:moveTo>
                  <a:pt x="997728" y="1658243"/>
                </a:moveTo>
                <a:lnTo>
                  <a:pt x="997728" y="1797238"/>
                </a:lnTo>
                <a:cubicBezTo>
                  <a:pt x="980320" y="1789741"/>
                  <a:pt x="967333" y="1779966"/>
                  <a:pt x="958762" y="1767911"/>
                </a:cubicBezTo>
                <a:cubicBezTo>
                  <a:pt x="950192" y="1755594"/>
                  <a:pt x="945906" y="1742336"/>
                  <a:pt x="945906" y="1728143"/>
                </a:cubicBezTo>
                <a:cubicBezTo>
                  <a:pt x="945906" y="1712610"/>
                  <a:pt x="950595" y="1698414"/>
                  <a:pt x="959966" y="1685558"/>
                </a:cubicBezTo>
                <a:cubicBezTo>
                  <a:pt x="969340" y="1672701"/>
                  <a:pt x="981927" y="1663597"/>
                  <a:pt x="997728" y="1658243"/>
                </a:cubicBezTo>
                <a:close/>
                <a:moveTo>
                  <a:pt x="997728" y="1530898"/>
                </a:moveTo>
                <a:lnTo>
                  <a:pt x="997728" y="1570667"/>
                </a:lnTo>
                <a:cubicBezTo>
                  <a:pt x="951664" y="1575219"/>
                  <a:pt x="914705" y="1592496"/>
                  <a:pt x="886854" y="1622487"/>
                </a:cubicBezTo>
                <a:cubicBezTo>
                  <a:pt x="859268" y="1652218"/>
                  <a:pt x="845479" y="1689041"/>
                  <a:pt x="845479" y="1732962"/>
                </a:cubicBezTo>
                <a:cubicBezTo>
                  <a:pt x="845479" y="1776346"/>
                  <a:pt x="857664" y="1813305"/>
                  <a:pt x="882035" y="1843836"/>
                </a:cubicBezTo>
                <a:cubicBezTo>
                  <a:pt x="906673" y="1874101"/>
                  <a:pt x="945236" y="1896733"/>
                  <a:pt x="997728" y="1911726"/>
                </a:cubicBezTo>
                <a:lnTo>
                  <a:pt x="997728" y="2080048"/>
                </a:lnTo>
                <a:cubicBezTo>
                  <a:pt x="983264" y="2073085"/>
                  <a:pt x="970145" y="2061838"/>
                  <a:pt x="958359" y="2046305"/>
                </a:cubicBezTo>
                <a:cubicBezTo>
                  <a:pt x="946577" y="2030771"/>
                  <a:pt x="938541" y="2012290"/>
                  <a:pt x="934255" y="1990869"/>
                </a:cubicBezTo>
                <a:lnTo>
                  <a:pt x="829406" y="2002116"/>
                </a:lnTo>
                <a:cubicBezTo>
                  <a:pt x="837442" y="2054876"/>
                  <a:pt x="855919" y="2095718"/>
                  <a:pt x="884843" y="2124639"/>
                </a:cubicBezTo>
                <a:cubicBezTo>
                  <a:pt x="913767" y="2153563"/>
                  <a:pt x="951397" y="2170835"/>
                  <a:pt x="997728" y="2176462"/>
                </a:cubicBezTo>
                <a:lnTo>
                  <a:pt x="997728" y="2249574"/>
                </a:lnTo>
                <a:lnTo>
                  <a:pt x="1055978" y="2249574"/>
                </a:lnTo>
                <a:lnTo>
                  <a:pt x="1055978" y="2174451"/>
                </a:lnTo>
                <a:cubicBezTo>
                  <a:pt x="1108203" y="2166954"/>
                  <a:pt x="1148908" y="2146601"/>
                  <a:pt x="1178099" y="2113392"/>
                </a:cubicBezTo>
                <a:cubicBezTo>
                  <a:pt x="1207561" y="2080183"/>
                  <a:pt x="1222289" y="2039342"/>
                  <a:pt x="1222289" y="1990869"/>
                </a:cubicBezTo>
                <a:cubicBezTo>
                  <a:pt x="1222289" y="1947480"/>
                  <a:pt x="1210642" y="1911993"/>
                  <a:pt x="1187340" y="1884411"/>
                </a:cubicBezTo>
                <a:cubicBezTo>
                  <a:pt x="1164039" y="1856556"/>
                  <a:pt x="1120252" y="1833930"/>
                  <a:pt x="1055978" y="1816521"/>
                </a:cubicBezTo>
                <a:lnTo>
                  <a:pt x="1055978" y="1659447"/>
                </a:lnTo>
                <a:cubicBezTo>
                  <a:pt x="1081957" y="1670696"/>
                  <a:pt x="1098025" y="1692122"/>
                  <a:pt x="1104185" y="1723721"/>
                </a:cubicBezTo>
                <a:lnTo>
                  <a:pt x="1205818" y="1710467"/>
                </a:lnTo>
                <a:cubicBezTo>
                  <a:pt x="1198855" y="1670292"/>
                  <a:pt x="1182788" y="1638288"/>
                  <a:pt x="1157614" y="1614457"/>
                </a:cubicBezTo>
                <a:cubicBezTo>
                  <a:pt x="1132438" y="1590353"/>
                  <a:pt x="1098558" y="1575758"/>
                  <a:pt x="1055978" y="1570667"/>
                </a:cubicBezTo>
                <a:lnTo>
                  <a:pt x="1055978" y="1530898"/>
                </a:lnTo>
                <a:close/>
                <a:moveTo>
                  <a:pt x="1033100" y="1329168"/>
                </a:moveTo>
                <a:cubicBezTo>
                  <a:pt x="1330790" y="1329168"/>
                  <a:pt x="1572115" y="1570493"/>
                  <a:pt x="1572115" y="1868183"/>
                </a:cubicBezTo>
                <a:cubicBezTo>
                  <a:pt x="1572115" y="2165873"/>
                  <a:pt x="1330790" y="2407198"/>
                  <a:pt x="1033100" y="2407198"/>
                </a:cubicBezTo>
                <a:cubicBezTo>
                  <a:pt x="735410" y="2407198"/>
                  <a:pt x="494085" y="2165873"/>
                  <a:pt x="494085" y="1868183"/>
                </a:cubicBezTo>
                <a:cubicBezTo>
                  <a:pt x="494085" y="1570493"/>
                  <a:pt x="735410" y="1329168"/>
                  <a:pt x="1033100" y="1329168"/>
                </a:cubicBezTo>
                <a:close/>
                <a:moveTo>
                  <a:pt x="1033100" y="1223366"/>
                </a:moveTo>
                <a:cubicBezTo>
                  <a:pt x="676978" y="1223366"/>
                  <a:pt x="388283" y="1512061"/>
                  <a:pt x="388283" y="1868183"/>
                </a:cubicBezTo>
                <a:cubicBezTo>
                  <a:pt x="388283" y="2224306"/>
                  <a:pt x="676978" y="2513000"/>
                  <a:pt x="1033100" y="2513000"/>
                </a:cubicBezTo>
                <a:cubicBezTo>
                  <a:pt x="1389223" y="2513000"/>
                  <a:pt x="1677917" y="2224306"/>
                  <a:pt x="1677917" y="1868183"/>
                </a:cubicBezTo>
                <a:cubicBezTo>
                  <a:pt x="1677917" y="1512061"/>
                  <a:pt x="1389223" y="1223366"/>
                  <a:pt x="1033100" y="1223366"/>
                </a:cubicBezTo>
                <a:close/>
                <a:moveTo>
                  <a:pt x="983183" y="335217"/>
                </a:moveTo>
                <a:cubicBezTo>
                  <a:pt x="882977" y="335206"/>
                  <a:pt x="793965" y="338025"/>
                  <a:pt x="758164" y="343982"/>
                </a:cubicBezTo>
                <a:cubicBezTo>
                  <a:pt x="350402" y="411872"/>
                  <a:pt x="455610" y="870209"/>
                  <a:pt x="488284" y="983732"/>
                </a:cubicBezTo>
                <a:lnTo>
                  <a:pt x="488749" y="985270"/>
                </a:lnTo>
                <a:lnTo>
                  <a:pt x="642599" y="899738"/>
                </a:lnTo>
                <a:cubicBezTo>
                  <a:pt x="932499" y="777096"/>
                  <a:pt x="1276563" y="811395"/>
                  <a:pt x="1558297" y="983595"/>
                </a:cubicBezTo>
                <a:lnTo>
                  <a:pt x="1599794" y="1014524"/>
                </a:lnTo>
                <a:lnTo>
                  <a:pt x="1602875" y="999811"/>
                </a:lnTo>
                <a:cubicBezTo>
                  <a:pt x="1622986" y="897761"/>
                  <a:pt x="1684582" y="481792"/>
                  <a:pt x="1383012" y="357449"/>
                </a:cubicBezTo>
                <a:cubicBezTo>
                  <a:pt x="1348307" y="343121"/>
                  <a:pt x="1150195" y="335237"/>
                  <a:pt x="983183" y="335217"/>
                </a:cubicBezTo>
                <a:close/>
                <a:moveTo>
                  <a:pt x="1024198" y="0"/>
                </a:moveTo>
                <a:cubicBezTo>
                  <a:pt x="1194350" y="-9"/>
                  <a:pt x="1373246" y="11626"/>
                  <a:pt x="1463633" y="41646"/>
                </a:cubicBezTo>
                <a:cubicBezTo>
                  <a:pt x="2185740" y="281592"/>
                  <a:pt x="1890480" y="1128639"/>
                  <a:pt x="1850752" y="1233583"/>
                </a:cubicBezTo>
                <a:lnTo>
                  <a:pt x="1848614" y="1239078"/>
                </a:lnTo>
                <a:lnTo>
                  <a:pt x="1936700" y="1360517"/>
                </a:lnTo>
                <a:cubicBezTo>
                  <a:pt x="2317913" y="1979920"/>
                  <a:pt x="1852931" y="2700800"/>
                  <a:pt x="1430019" y="2823279"/>
                </a:cubicBezTo>
                <a:cubicBezTo>
                  <a:pt x="1158841" y="2901805"/>
                  <a:pt x="730150" y="2876713"/>
                  <a:pt x="583477" y="2796381"/>
                </a:cubicBezTo>
                <a:cubicBezTo>
                  <a:pt x="191527" y="2581783"/>
                  <a:pt x="-215596" y="2019195"/>
                  <a:pt x="131162" y="1394268"/>
                </a:cubicBezTo>
                <a:lnTo>
                  <a:pt x="216742" y="1260356"/>
                </a:lnTo>
                <a:lnTo>
                  <a:pt x="216557" y="1259844"/>
                </a:lnTo>
                <a:cubicBezTo>
                  <a:pt x="177285" y="1148690"/>
                  <a:pt x="-113420" y="252456"/>
                  <a:pt x="637229" y="28215"/>
                </a:cubicBezTo>
                <a:cubicBezTo>
                  <a:pt x="692639" y="11662"/>
                  <a:pt x="854047" y="9"/>
                  <a:pt x="1024198" y="0"/>
                </a:cubicBezTo>
                <a:close/>
              </a:path>
            </a:pathLst>
          </a:custGeom>
          <a:solidFill>
            <a:sysClr val="window" lastClr="FFFFFF"/>
          </a:soli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0</xdr:col>
      <xdr:colOff>280500</xdr:colOff>
      <xdr:row>26</xdr:row>
      <xdr:rowOff>112209</xdr:rowOff>
    </xdr:from>
    <xdr:to>
      <xdr:col>2</xdr:col>
      <xdr:colOff>701124</xdr:colOff>
      <xdr:row>29</xdr:row>
      <xdr:rowOff>135068</xdr:rowOff>
    </xdr:to>
    <xdr:grpSp>
      <xdr:nvGrpSpPr>
        <xdr:cNvPr id="12" name="Group 11">
          <a:extLst>
            <a:ext uri="{FF2B5EF4-FFF2-40B4-BE49-F238E27FC236}">
              <a16:creationId xmlns:a16="http://schemas.microsoft.com/office/drawing/2014/main" id="{00000000-0008-0000-0000-00000C000000}"/>
            </a:ext>
          </a:extLst>
        </xdr:cNvPr>
        <xdr:cNvGrpSpPr/>
      </xdr:nvGrpSpPr>
      <xdr:grpSpPr>
        <a:xfrm>
          <a:off x="280500" y="5230309"/>
          <a:ext cx="2071624" cy="613409"/>
          <a:chOff x="280500" y="5395409"/>
          <a:chExt cx="2071624" cy="632459"/>
        </a:xfrm>
      </xdr:grpSpPr>
      <xdr:sp macro="" textlink="Processing!R13">
        <xdr:nvSpPr>
          <xdr:cNvPr id="265" name="TextBox 264">
            <a:hlinkClick xmlns:r="http://schemas.openxmlformats.org/officeDocument/2006/relationships" r:id="rId9"/>
            <a:extLst>
              <a:ext uri="{FF2B5EF4-FFF2-40B4-BE49-F238E27FC236}">
                <a16:creationId xmlns:a16="http://schemas.microsoft.com/office/drawing/2014/main" id="{00000000-0008-0000-0000-000009010000}"/>
              </a:ext>
            </a:extLst>
          </xdr:cNvPr>
          <xdr:cNvSpPr txBox="1"/>
        </xdr:nvSpPr>
        <xdr:spPr>
          <a:xfrm>
            <a:off x="600192" y="5395409"/>
            <a:ext cx="1751932" cy="632459"/>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A8207355-6C8F-8843-92A7-478FFB10F4E0}"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Financial Goals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sp macro="" textlink="">
        <xdr:nvSpPr>
          <xdr:cNvPr id="272" name="Freeform: Shape 60">
            <a:extLst>
              <a:ext uri="{FF2B5EF4-FFF2-40B4-BE49-F238E27FC236}">
                <a16:creationId xmlns:a16="http://schemas.microsoft.com/office/drawing/2014/main" id="{00000000-0008-0000-0000-000010010000}"/>
              </a:ext>
            </a:extLst>
          </xdr:cNvPr>
          <xdr:cNvSpPr/>
        </xdr:nvSpPr>
        <xdr:spPr>
          <a:xfrm>
            <a:off x="280500" y="5577840"/>
            <a:ext cx="252000" cy="259620"/>
          </a:xfrm>
          <a:custGeom>
            <a:avLst/>
            <a:gdLst>
              <a:gd name="connsiteX0" fmla="*/ 669226 w 3163078"/>
              <a:gd name="connsiteY0" fmla="*/ 1658213 h 3163078"/>
              <a:gd name="connsiteX1" fmla="*/ 244013 w 3163078"/>
              <a:gd name="connsiteY1" fmla="*/ 1658214 h 3163078"/>
              <a:gd name="connsiteX2" fmla="*/ 247066 w 3163078"/>
              <a:gd name="connsiteY2" fmla="*/ 1718689 h 3163078"/>
              <a:gd name="connsiteX3" fmla="*/ 1444389 w 3163078"/>
              <a:gd name="connsiteY3" fmla="*/ 2916012 h 3163078"/>
              <a:gd name="connsiteX4" fmla="*/ 1499820 w 3163078"/>
              <a:gd name="connsiteY4" fmla="*/ 2918811 h 3163078"/>
              <a:gd name="connsiteX5" fmla="*/ 1495533 w 3163078"/>
              <a:gd name="connsiteY5" fmla="*/ 2890456 h 3163078"/>
              <a:gd name="connsiteX6" fmla="*/ 1495533 w 3163078"/>
              <a:gd name="connsiteY6" fmla="*/ 2467055 h 3163078"/>
              <a:gd name="connsiteX7" fmla="*/ 1479365 w 3163078"/>
              <a:gd name="connsiteY7" fmla="*/ 2466239 h 3163078"/>
              <a:gd name="connsiteX8" fmla="*/ 682606 w 3163078"/>
              <a:gd name="connsiteY8" fmla="*/ 1745881 h 3163078"/>
              <a:gd name="connsiteX9" fmla="*/ 2919066 w 3163078"/>
              <a:gd name="connsiteY9" fmla="*/ 1658213 h 3163078"/>
              <a:gd name="connsiteX10" fmla="*/ 2475189 w 3163078"/>
              <a:gd name="connsiteY10" fmla="*/ 1658214 h 3163078"/>
              <a:gd name="connsiteX11" fmla="*/ 2461810 w 3163078"/>
              <a:gd name="connsiteY11" fmla="*/ 1745881 h 3163078"/>
              <a:gd name="connsiteX12" fmla="*/ 1755212 w 3163078"/>
              <a:gd name="connsiteY12" fmla="*/ 2452479 h 3163078"/>
              <a:gd name="connsiteX13" fmla="*/ 1704868 w 3163078"/>
              <a:gd name="connsiteY13" fmla="*/ 2460162 h 3163078"/>
              <a:gd name="connsiteX14" fmla="*/ 1704868 w 3163078"/>
              <a:gd name="connsiteY14" fmla="*/ 2890456 h 3163078"/>
              <a:gd name="connsiteX15" fmla="*/ 1700869 w 3163078"/>
              <a:gd name="connsiteY15" fmla="*/ 2916912 h 3163078"/>
              <a:gd name="connsiteX16" fmla="*/ 1718689 w 3163078"/>
              <a:gd name="connsiteY16" fmla="*/ 2916012 h 3163078"/>
              <a:gd name="connsiteX17" fmla="*/ 2916012 w 3163078"/>
              <a:gd name="connsiteY17" fmla="*/ 1718689 h 3163078"/>
              <a:gd name="connsiteX18" fmla="*/ 1665289 w 3163078"/>
              <a:gd name="connsiteY18" fmla="*/ 1628851 h 3163078"/>
              <a:gd name="connsiteX19" fmla="*/ 1665289 w 3163078"/>
              <a:gd name="connsiteY19" fmla="*/ 1751958 h 3163078"/>
              <a:gd name="connsiteX20" fmla="*/ 1741278 w 3163078"/>
              <a:gd name="connsiteY20" fmla="*/ 1733090 h 3163078"/>
              <a:gd name="connsiteX21" fmla="*/ 1772883 w 3163078"/>
              <a:gd name="connsiteY21" fmla="*/ 1689910 h 3163078"/>
              <a:gd name="connsiteX22" fmla="*/ 1736568 w 3163078"/>
              <a:gd name="connsiteY22" fmla="*/ 1647194 h 3163078"/>
              <a:gd name="connsiteX23" fmla="*/ 1665289 w 3163078"/>
              <a:gd name="connsiteY23" fmla="*/ 1628851 h 3163078"/>
              <a:gd name="connsiteX24" fmla="*/ 1561731 w 3163078"/>
              <a:gd name="connsiteY24" fmla="*/ 1346387 h 3163078"/>
              <a:gd name="connsiteX25" fmla="*/ 1481712 w 3163078"/>
              <a:gd name="connsiteY25" fmla="*/ 1363245 h 3163078"/>
              <a:gd name="connsiteX26" fmla="*/ 1446742 w 3163078"/>
              <a:gd name="connsiteY26" fmla="*/ 1402960 h 3163078"/>
              <a:gd name="connsiteX27" fmla="*/ 1469607 w 3163078"/>
              <a:gd name="connsiteY27" fmla="*/ 1439212 h 3163078"/>
              <a:gd name="connsiteX28" fmla="*/ 1561731 w 3163078"/>
              <a:gd name="connsiteY28" fmla="*/ 1461544 h 3163078"/>
              <a:gd name="connsiteX29" fmla="*/ 1550971 w 3163078"/>
              <a:gd name="connsiteY29" fmla="*/ 1101133 h 3163078"/>
              <a:gd name="connsiteX30" fmla="*/ 1667979 w 3163078"/>
              <a:gd name="connsiteY30" fmla="*/ 1101133 h 3163078"/>
              <a:gd name="connsiteX31" fmla="*/ 1667979 w 3163078"/>
              <a:gd name="connsiteY31" fmla="*/ 1215826 h 3163078"/>
              <a:gd name="connsiteX32" fmla="*/ 1812557 w 3163078"/>
              <a:gd name="connsiteY32" fmla="*/ 1228724 h 3163078"/>
              <a:gd name="connsiteX33" fmla="*/ 1943685 w 3163078"/>
              <a:gd name="connsiteY33" fmla="*/ 1254026 h 3163078"/>
              <a:gd name="connsiteX34" fmla="*/ 1943685 w 3163078"/>
              <a:gd name="connsiteY34" fmla="*/ 1397021 h 3163078"/>
              <a:gd name="connsiteX35" fmla="*/ 1914100 w 3163078"/>
              <a:gd name="connsiteY35" fmla="*/ 1397021 h 3163078"/>
              <a:gd name="connsiteX36" fmla="*/ 1803142 w 3163078"/>
              <a:gd name="connsiteY36" fmla="*/ 1363245 h 3163078"/>
              <a:gd name="connsiteX37" fmla="*/ 1667979 w 3163078"/>
              <a:gd name="connsiteY37" fmla="*/ 1346387 h 3163078"/>
              <a:gd name="connsiteX38" fmla="*/ 1667979 w 3163078"/>
              <a:gd name="connsiteY38" fmla="*/ 1472463 h 3163078"/>
              <a:gd name="connsiteX39" fmla="*/ 1721778 w 3163078"/>
              <a:gd name="connsiteY39" fmla="*/ 1480412 h 3163078"/>
              <a:gd name="connsiteX40" fmla="*/ 1945030 w 3163078"/>
              <a:gd name="connsiteY40" fmla="*/ 1546914 h 3163078"/>
              <a:gd name="connsiteX41" fmla="*/ 2016984 w 3163078"/>
              <a:gd name="connsiteY41" fmla="*/ 1670547 h 3163078"/>
              <a:gd name="connsiteX42" fmla="*/ 1921495 w 3163078"/>
              <a:gd name="connsiteY42" fmla="*/ 1814501 h 3163078"/>
              <a:gd name="connsiteX43" fmla="*/ 1667979 w 3163078"/>
              <a:gd name="connsiteY43" fmla="*/ 1882519 h 3163078"/>
              <a:gd name="connsiteX44" fmla="*/ 1667979 w 3163078"/>
              <a:gd name="connsiteY44" fmla="*/ 2062725 h 3163078"/>
              <a:gd name="connsiteX45" fmla="*/ 1550971 w 3163078"/>
              <a:gd name="connsiteY45" fmla="*/ 2062725 h 3163078"/>
              <a:gd name="connsiteX46" fmla="*/ 1550971 w 3163078"/>
              <a:gd name="connsiteY46" fmla="*/ 1885489 h 3163078"/>
              <a:gd name="connsiteX47" fmla="*/ 1376808 w 3163078"/>
              <a:gd name="connsiteY47" fmla="*/ 1872095 h 3163078"/>
              <a:gd name="connsiteX48" fmla="*/ 1222145 w 3163078"/>
              <a:gd name="connsiteY48" fmla="*/ 1839803 h 3163078"/>
              <a:gd name="connsiteX49" fmla="*/ 1222145 w 3163078"/>
              <a:gd name="connsiteY49" fmla="*/ 1694859 h 3163078"/>
              <a:gd name="connsiteX50" fmla="*/ 1252405 w 3163078"/>
              <a:gd name="connsiteY50" fmla="*/ 1694859 h 3163078"/>
              <a:gd name="connsiteX51" fmla="*/ 1394293 w 3163078"/>
              <a:gd name="connsiteY51" fmla="*/ 1734575 h 3163078"/>
              <a:gd name="connsiteX52" fmla="*/ 1554336 w 3163078"/>
              <a:gd name="connsiteY52" fmla="*/ 1753938 h 3163078"/>
              <a:gd name="connsiteX53" fmla="*/ 1554336 w 3163078"/>
              <a:gd name="connsiteY53" fmla="*/ 1617902 h 3163078"/>
              <a:gd name="connsiteX54" fmla="*/ 1489107 w 3163078"/>
              <a:gd name="connsiteY54" fmla="*/ 1606983 h 3163078"/>
              <a:gd name="connsiteX55" fmla="*/ 1374789 w 3163078"/>
              <a:gd name="connsiteY55" fmla="*/ 1582671 h 3163078"/>
              <a:gd name="connsiteX56" fmla="*/ 1285355 w 3163078"/>
              <a:gd name="connsiteY56" fmla="*/ 1545925 h 3163078"/>
              <a:gd name="connsiteX57" fmla="*/ 1226851 w 3163078"/>
              <a:gd name="connsiteY57" fmla="*/ 1489847 h 3163078"/>
              <a:gd name="connsiteX58" fmla="*/ 1206006 w 3163078"/>
              <a:gd name="connsiteY58" fmla="*/ 1406950 h 3163078"/>
              <a:gd name="connsiteX59" fmla="*/ 1297459 w 3163078"/>
              <a:gd name="connsiteY59" fmla="*/ 1280349 h 3163078"/>
              <a:gd name="connsiteX60" fmla="*/ 1550971 w 3163078"/>
              <a:gd name="connsiteY60" fmla="*/ 1216816 h 3163078"/>
              <a:gd name="connsiteX61" fmla="*/ 1495533 w 3163078"/>
              <a:gd name="connsiteY61" fmla="*/ 796577 h 3163078"/>
              <a:gd name="connsiteX62" fmla="*/ 1493463 w 3163078"/>
              <a:gd name="connsiteY62" fmla="*/ 796681 h 3163078"/>
              <a:gd name="connsiteX63" fmla="*/ 817683 w 3163078"/>
              <a:gd name="connsiteY63" fmla="*/ 1407661 h 3163078"/>
              <a:gd name="connsiteX64" fmla="*/ 811308 w 3163078"/>
              <a:gd name="connsiteY64" fmla="*/ 1449430 h 3163078"/>
              <a:gd name="connsiteX65" fmla="*/ 838783 w 3163078"/>
              <a:gd name="connsiteY65" fmla="*/ 1453584 h 3163078"/>
              <a:gd name="connsiteX66" fmla="*/ 904101 w 3163078"/>
              <a:gd name="connsiteY66" fmla="*/ 1512804 h 3163078"/>
              <a:gd name="connsiteX67" fmla="*/ 912326 w 3163078"/>
              <a:gd name="connsiteY67" fmla="*/ 1553546 h 3163078"/>
              <a:gd name="connsiteX68" fmla="*/ 904101 w 3163078"/>
              <a:gd name="connsiteY68" fmla="*/ 1594287 h 3163078"/>
              <a:gd name="connsiteX69" fmla="*/ 838783 w 3163078"/>
              <a:gd name="connsiteY69" fmla="*/ 1653508 h 3163078"/>
              <a:gd name="connsiteX70" fmla="*/ 808524 w 3163078"/>
              <a:gd name="connsiteY70" fmla="*/ 1658082 h 3163078"/>
              <a:gd name="connsiteX71" fmla="*/ 817683 w 3163078"/>
              <a:gd name="connsiteY71" fmla="*/ 1718094 h 3163078"/>
              <a:gd name="connsiteX72" fmla="*/ 1493463 w 3163078"/>
              <a:gd name="connsiteY72" fmla="*/ 2329073 h 3163078"/>
              <a:gd name="connsiteX73" fmla="*/ 1495532 w 3163078"/>
              <a:gd name="connsiteY73" fmla="*/ 2329177 h 3163078"/>
              <a:gd name="connsiteX74" fmla="*/ 1495532 w 3163078"/>
              <a:gd name="connsiteY74" fmla="*/ 2306691 h 3163078"/>
              <a:gd name="connsiteX75" fmla="*/ 1600200 w 3163078"/>
              <a:gd name="connsiteY75" fmla="*/ 2202023 h 3163078"/>
              <a:gd name="connsiteX76" fmla="*/ 1600200 w 3163078"/>
              <a:gd name="connsiteY76" fmla="*/ 2202022 h 3163078"/>
              <a:gd name="connsiteX77" fmla="*/ 1704868 w 3163078"/>
              <a:gd name="connsiteY77" fmla="*/ 2306690 h 3163078"/>
              <a:gd name="connsiteX78" fmla="*/ 1704868 w 3163078"/>
              <a:gd name="connsiteY78" fmla="*/ 2320844 h 3163078"/>
              <a:gd name="connsiteX79" fmla="*/ 1727425 w 3163078"/>
              <a:gd name="connsiteY79" fmla="*/ 2317402 h 3163078"/>
              <a:gd name="connsiteX80" fmla="*/ 2326733 w 3163078"/>
              <a:gd name="connsiteY80" fmla="*/ 1718094 h 3163078"/>
              <a:gd name="connsiteX81" fmla="*/ 2335902 w 3163078"/>
              <a:gd name="connsiteY81" fmla="*/ 1658015 h 3163078"/>
              <a:gd name="connsiteX82" fmla="*/ 2296149 w 3163078"/>
              <a:gd name="connsiteY82" fmla="*/ 1649989 h 3163078"/>
              <a:gd name="connsiteX83" fmla="*/ 2232222 w 3163078"/>
              <a:gd name="connsiteY83" fmla="*/ 1553546 h 3163078"/>
              <a:gd name="connsiteX84" fmla="*/ 2232221 w 3163078"/>
              <a:gd name="connsiteY84" fmla="*/ 1553546 h 3163078"/>
              <a:gd name="connsiteX85" fmla="*/ 2296148 w 3163078"/>
              <a:gd name="connsiteY85" fmla="*/ 1457103 h 3163078"/>
              <a:gd name="connsiteX86" fmla="*/ 2333139 w 3163078"/>
              <a:gd name="connsiteY86" fmla="*/ 1449635 h 3163078"/>
              <a:gd name="connsiteX87" fmla="*/ 2326733 w 3163078"/>
              <a:gd name="connsiteY87" fmla="*/ 1407661 h 3163078"/>
              <a:gd name="connsiteX88" fmla="*/ 1727425 w 3163078"/>
              <a:gd name="connsiteY88" fmla="*/ 808352 h 3163078"/>
              <a:gd name="connsiteX89" fmla="*/ 1704868 w 3163078"/>
              <a:gd name="connsiteY89" fmla="*/ 804910 h 3163078"/>
              <a:gd name="connsiteX90" fmla="*/ 1704868 w 3163078"/>
              <a:gd name="connsiteY90" fmla="*/ 809732 h 3163078"/>
              <a:gd name="connsiteX91" fmla="*/ 1640942 w 3163078"/>
              <a:gd name="connsiteY91" fmla="*/ 906175 h 3163078"/>
              <a:gd name="connsiteX92" fmla="*/ 1600201 w 3163078"/>
              <a:gd name="connsiteY92" fmla="*/ 914400 h 3163078"/>
              <a:gd name="connsiteX93" fmla="*/ 1559460 w 3163078"/>
              <a:gd name="connsiteY93" fmla="*/ 906175 h 3163078"/>
              <a:gd name="connsiteX94" fmla="*/ 1495533 w 3163078"/>
              <a:gd name="connsiteY94" fmla="*/ 809732 h 3163078"/>
              <a:gd name="connsiteX95" fmla="*/ 1704868 w 3163078"/>
              <a:gd name="connsiteY95" fmla="*/ 246369 h 3163078"/>
              <a:gd name="connsiteX96" fmla="*/ 1704868 w 3163078"/>
              <a:gd name="connsiteY96" fmla="*/ 665592 h 3163078"/>
              <a:gd name="connsiteX97" fmla="*/ 1755212 w 3163078"/>
              <a:gd name="connsiteY97" fmla="*/ 673275 h 3163078"/>
              <a:gd name="connsiteX98" fmla="*/ 2461810 w 3163078"/>
              <a:gd name="connsiteY98" fmla="*/ 1379873 h 3163078"/>
              <a:gd name="connsiteX99" fmla="*/ 2472341 w 3163078"/>
              <a:gd name="connsiteY99" fmla="*/ 1448878 h 3163078"/>
              <a:gd name="connsiteX100" fmla="*/ 2916238 w 3163078"/>
              <a:gd name="connsiteY100" fmla="*/ 1448878 h 3163078"/>
              <a:gd name="connsiteX101" fmla="*/ 2916012 w 3163078"/>
              <a:gd name="connsiteY101" fmla="*/ 1444389 h 3163078"/>
              <a:gd name="connsiteX102" fmla="*/ 1718689 w 3163078"/>
              <a:gd name="connsiteY102" fmla="*/ 247066 h 3163078"/>
              <a:gd name="connsiteX103" fmla="*/ 1495532 w 3163078"/>
              <a:gd name="connsiteY103" fmla="*/ 244484 h 3163078"/>
              <a:gd name="connsiteX104" fmla="*/ 1444389 w 3163078"/>
              <a:gd name="connsiteY104" fmla="*/ 247066 h 3163078"/>
              <a:gd name="connsiteX105" fmla="*/ 247066 w 3163078"/>
              <a:gd name="connsiteY105" fmla="*/ 1444389 h 3163078"/>
              <a:gd name="connsiteX106" fmla="*/ 246840 w 3163078"/>
              <a:gd name="connsiteY106" fmla="*/ 1448878 h 3163078"/>
              <a:gd name="connsiteX107" fmla="*/ 672075 w 3163078"/>
              <a:gd name="connsiteY107" fmla="*/ 1448878 h 3163078"/>
              <a:gd name="connsiteX108" fmla="*/ 682606 w 3163078"/>
              <a:gd name="connsiteY108" fmla="*/ 1379873 h 3163078"/>
              <a:gd name="connsiteX109" fmla="*/ 1479365 w 3163078"/>
              <a:gd name="connsiteY109" fmla="*/ 659515 h 3163078"/>
              <a:gd name="connsiteX110" fmla="*/ 1495533 w 3163078"/>
              <a:gd name="connsiteY110" fmla="*/ 658699 h 3163078"/>
              <a:gd name="connsiteX111" fmla="*/ 1581539 w 3163078"/>
              <a:gd name="connsiteY111" fmla="*/ 0 h 3163078"/>
              <a:gd name="connsiteX112" fmla="*/ 3163078 w 3163078"/>
              <a:gd name="connsiteY112" fmla="*/ 1581539 h 3163078"/>
              <a:gd name="connsiteX113" fmla="*/ 1581539 w 3163078"/>
              <a:gd name="connsiteY113" fmla="*/ 3163078 h 3163078"/>
              <a:gd name="connsiteX114" fmla="*/ 0 w 3163078"/>
              <a:gd name="connsiteY114" fmla="*/ 1581539 h 3163078"/>
              <a:gd name="connsiteX115" fmla="*/ 1581539 w 3163078"/>
              <a:gd name="connsiteY115" fmla="*/ 0 h 31630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Lst>
            <a:rect l="l" t="t" r="r" b="b"/>
            <a:pathLst>
              <a:path w="3163078" h="3163078">
                <a:moveTo>
                  <a:pt x="669226" y="1658213"/>
                </a:moveTo>
                <a:lnTo>
                  <a:pt x="244013" y="1658214"/>
                </a:lnTo>
                <a:lnTo>
                  <a:pt x="247066" y="1718689"/>
                </a:lnTo>
                <a:cubicBezTo>
                  <a:pt x="311180" y="2350004"/>
                  <a:pt x="813074" y="2851898"/>
                  <a:pt x="1444389" y="2916012"/>
                </a:cubicBezTo>
                <a:lnTo>
                  <a:pt x="1499820" y="2918811"/>
                </a:lnTo>
                <a:lnTo>
                  <a:pt x="1495533" y="2890456"/>
                </a:lnTo>
                <a:lnTo>
                  <a:pt x="1495533" y="2467055"/>
                </a:lnTo>
                <a:lnTo>
                  <a:pt x="1479365" y="2466239"/>
                </a:lnTo>
                <a:cubicBezTo>
                  <a:pt x="1082527" y="2425938"/>
                  <a:pt x="761230" y="2130108"/>
                  <a:pt x="682606" y="1745881"/>
                </a:cubicBezTo>
                <a:close/>
                <a:moveTo>
                  <a:pt x="2919066" y="1658213"/>
                </a:moveTo>
                <a:lnTo>
                  <a:pt x="2475189" y="1658214"/>
                </a:lnTo>
                <a:lnTo>
                  <a:pt x="2461810" y="1745881"/>
                </a:lnTo>
                <a:cubicBezTo>
                  <a:pt x="2389234" y="2100552"/>
                  <a:pt x="2109883" y="2379903"/>
                  <a:pt x="1755212" y="2452479"/>
                </a:cubicBezTo>
                <a:lnTo>
                  <a:pt x="1704868" y="2460162"/>
                </a:lnTo>
                <a:lnTo>
                  <a:pt x="1704868" y="2890456"/>
                </a:lnTo>
                <a:lnTo>
                  <a:pt x="1700869" y="2916912"/>
                </a:lnTo>
                <a:lnTo>
                  <a:pt x="1718689" y="2916012"/>
                </a:lnTo>
                <a:cubicBezTo>
                  <a:pt x="2350004" y="2851898"/>
                  <a:pt x="2851898" y="2350004"/>
                  <a:pt x="2916012" y="1718689"/>
                </a:cubicBezTo>
                <a:close/>
                <a:moveTo>
                  <a:pt x="1665289" y="1628851"/>
                </a:moveTo>
                <a:lnTo>
                  <a:pt x="1665289" y="1751958"/>
                </a:lnTo>
                <a:cubicBezTo>
                  <a:pt x="1694879" y="1748958"/>
                  <a:pt x="1720207" y="1742679"/>
                  <a:pt x="1741278" y="1733090"/>
                </a:cubicBezTo>
                <a:cubicBezTo>
                  <a:pt x="1762349" y="1723161"/>
                  <a:pt x="1772883" y="1708747"/>
                  <a:pt x="1772883" y="1689910"/>
                </a:cubicBezTo>
                <a:cubicBezTo>
                  <a:pt x="1772883" y="1670702"/>
                  <a:pt x="1760778" y="1656473"/>
                  <a:pt x="1736568" y="1647194"/>
                </a:cubicBezTo>
                <a:cubicBezTo>
                  <a:pt x="1712812" y="1637605"/>
                  <a:pt x="1689050" y="1631481"/>
                  <a:pt x="1665289" y="1628851"/>
                </a:cubicBezTo>
                <a:close/>
                <a:moveTo>
                  <a:pt x="1561731" y="1346387"/>
                </a:moveTo>
                <a:cubicBezTo>
                  <a:pt x="1532146" y="1348026"/>
                  <a:pt x="1505469" y="1353656"/>
                  <a:pt x="1481712" y="1363245"/>
                </a:cubicBezTo>
                <a:cubicBezTo>
                  <a:pt x="1458399" y="1372524"/>
                  <a:pt x="1446742" y="1385763"/>
                  <a:pt x="1446742" y="1402960"/>
                </a:cubicBezTo>
                <a:cubicBezTo>
                  <a:pt x="1446742" y="1418519"/>
                  <a:pt x="1454364" y="1430613"/>
                  <a:pt x="1469607" y="1439212"/>
                </a:cubicBezTo>
                <a:cubicBezTo>
                  <a:pt x="1484850" y="1447811"/>
                  <a:pt x="1515558" y="1455265"/>
                  <a:pt x="1561731" y="1461544"/>
                </a:cubicBezTo>
                <a:close/>
                <a:moveTo>
                  <a:pt x="1550971" y="1101133"/>
                </a:moveTo>
                <a:lnTo>
                  <a:pt x="1667979" y="1101133"/>
                </a:lnTo>
                <a:lnTo>
                  <a:pt x="1667979" y="1215826"/>
                </a:lnTo>
                <a:cubicBezTo>
                  <a:pt x="1709225" y="1217125"/>
                  <a:pt x="1757418" y="1221424"/>
                  <a:pt x="1812557" y="1228724"/>
                </a:cubicBezTo>
                <a:cubicBezTo>
                  <a:pt x="1868149" y="1235993"/>
                  <a:pt x="1911859" y="1244437"/>
                  <a:pt x="1943685" y="1254026"/>
                </a:cubicBezTo>
                <a:lnTo>
                  <a:pt x="1943685" y="1397021"/>
                </a:lnTo>
                <a:lnTo>
                  <a:pt x="1914100" y="1397021"/>
                </a:lnTo>
                <a:cubicBezTo>
                  <a:pt x="1882269" y="1383443"/>
                  <a:pt x="1845285" y="1372184"/>
                  <a:pt x="1803142" y="1363245"/>
                </a:cubicBezTo>
                <a:cubicBezTo>
                  <a:pt x="1761004" y="1354305"/>
                  <a:pt x="1715950" y="1348676"/>
                  <a:pt x="1667979" y="1346387"/>
                </a:cubicBezTo>
                <a:lnTo>
                  <a:pt x="1667979" y="1472463"/>
                </a:lnTo>
                <a:lnTo>
                  <a:pt x="1721778" y="1480412"/>
                </a:lnTo>
                <a:cubicBezTo>
                  <a:pt x="1823095" y="1494981"/>
                  <a:pt x="1897512" y="1517128"/>
                  <a:pt x="1945030" y="1546914"/>
                </a:cubicBezTo>
                <a:cubicBezTo>
                  <a:pt x="1993001" y="1576392"/>
                  <a:pt x="2016984" y="1617592"/>
                  <a:pt x="2016984" y="1670547"/>
                </a:cubicBezTo>
                <a:cubicBezTo>
                  <a:pt x="2016984" y="1726471"/>
                  <a:pt x="1985153" y="1774445"/>
                  <a:pt x="1921495" y="1814501"/>
                </a:cubicBezTo>
                <a:cubicBezTo>
                  <a:pt x="1857838" y="1854557"/>
                  <a:pt x="1773331" y="1877230"/>
                  <a:pt x="1667979" y="1882519"/>
                </a:cubicBezTo>
                <a:lnTo>
                  <a:pt x="1667979" y="2062725"/>
                </a:lnTo>
                <a:lnTo>
                  <a:pt x="1550971" y="2062725"/>
                </a:lnTo>
                <a:lnTo>
                  <a:pt x="1550971" y="1885489"/>
                </a:lnTo>
                <a:cubicBezTo>
                  <a:pt x="1500763" y="1885148"/>
                  <a:pt x="1442708" y="1880694"/>
                  <a:pt x="1376808" y="1872095"/>
                </a:cubicBezTo>
                <a:cubicBezTo>
                  <a:pt x="1310909" y="1863496"/>
                  <a:pt x="1259352" y="1852732"/>
                  <a:pt x="1222145" y="1839803"/>
                </a:cubicBezTo>
                <a:lnTo>
                  <a:pt x="1222145" y="1694859"/>
                </a:lnTo>
                <a:lnTo>
                  <a:pt x="1252405" y="1694859"/>
                </a:lnTo>
                <a:cubicBezTo>
                  <a:pt x="1293646" y="1711407"/>
                  <a:pt x="1340942" y="1724646"/>
                  <a:pt x="1394293" y="1734575"/>
                </a:cubicBezTo>
                <a:cubicBezTo>
                  <a:pt x="1448087" y="1744503"/>
                  <a:pt x="1501438" y="1750968"/>
                  <a:pt x="1554336" y="1753938"/>
                </a:cubicBezTo>
                <a:lnTo>
                  <a:pt x="1554336" y="1617902"/>
                </a:lnTo>
                <a:lnTo>
                  <a:pt x="1489107" y="1606983"/>
                </a:lnTo>
                <a:cubicBezTo>
                  <a:pt x="1447865" y="1600054"/>
                  <a:pt x="1409758" y="1591951"/>
                  <a:pt x="1374789" y="1582671"/>
                </a:cubicBezTo>
                <a:cubicBezTo>
                  <a:pt x="1340272" y="1573392"/>
                  <a:pt x="1310461" y="1561174"/>
                  <a:pt x="1285355" y="1545925"/>
                </a:cubicBezTo>
                <a:cubicBezTo>
                  <a:pt x="1260249" y="1530707"/>
                  <a:pt x="1240749" y="1512024"/>
                  <a:pt x="1226851" y="1489847"/>
                </a:cubicBezTo>
                <a:cubicBezTo>
                  <a:pt x="1212953" y="1467328"/>
                  <a:pt x="1206006" y="1439707"/>
                  <a:pt x="1206006" y="1406950"/>
                </a:cubicBezTo>
                <a:cubicBezTo>
                  <a:pt x="1206006" y="1357615"/>
                  <a:pt x="1236487" y="1315425"/>
                  <a:pt x="1297459" y="1280349"/>
                </a:cubicBezTo>
                <a:cubicBezTo>
                  <a:pt x="1358427" y="1245272"/>
                  <a:pt x="1442934" y="1224084"/>
                  <a:pt x="1550971" y="1216816"/>
                </a:cubicBezTo>
                <a:close/>
                <a:moveTo>
                  <a:pt x="1495533" y="796577"/>
                </a:moveTo>
                <a:lnTo>
                  <a:pt x="1493463" y="796681"/>
                </a:lnTo>
                <a:cubicBezTo>
                  <a:pt x="1156880" y="830863"/>
                  <a:pt x="884369" y="1081774"/>
                  <a:pt x="817683" y="1407661"/>
                </a:cubicBezTo>
                <a:lnTo>
                  <a:pt x="811308" y="1449430"/>
                </a:lnTo>
                <a:lnTo>
                  <a:pt x="838783" y="1453584"/>
                </a:lnTo>
                <a:cubicBezTo>
                  <a:pt x="868280" y="1462758"/>
                  <a:pt x="892184" y="1484629"/>
                  <a:pt x="904101" y="1512804"/>
                </a:cubicBezTo>
                <a:lnTo>
                  <a:pt x="912326" y="1553546"/>
                </a:lnTo>
                <a:lnTo>
                  <a:pt x="904101" y="1594287"/>
                </a:lnTo>
                <a:cubicBezTo>
                  <a:pt x="892184" y="1622462"/>
                  <a:pt x="868280" y="1644333"/>
                  <a:pt x="838783" y="1653508"/>
                </a:cubicBezTo>
                <a:lnTo>
                  <a:pt x="808524" y="1658082"/>
                </a:lnTo>
                <a:lnTo>
                  <a:pt x="817683" y="1718094"/>
                </a:lnTo>
                <a:cubicBezTo>
                  <a:pt x="884369" y="2043980"/>
                  <a:pt x="1156880" y="2294891"/>
                  <a:pt x="1493463" y="2329073"/>
                </a:cubicBezTo>
                <a:lnTo>
                  <a:pt x="1495532" y="2329177"/>
                </a:lnTo>
                <a:lnTo>
                  <a:pt x="1495532" y="2306691"/>
                </a:lnTo>
                <a:cubicBezTo>
                  <a:pt x="1495532" y="2248884"/>
                  <a:pt x="1542393" y="2202023"/>
                  <a:pt x="1600200" y="2202023"/>
                </a:cubicBezTo>
                <a:lnTo>
                  <a:pt x="1600200" y="2202022"/>
                </a:lnTo>
                <a:cubicBezTo>
                  <a:pt x="1658007" y="2202022"/>
                  <a:pt x="1704868" y="2248883"/>
                  <a:pt x="1704868" y="2306690"/>
                </a:cubicBezTo>
                <a:lnTo>
                  <a:pt x="1704868" y="2320844"/>
                </a:lnTo>
                <a:lnTo>
                  <a:pt x="1727425" y="2317402"/>
                </a:lnTo>
                <a:cubicBezTo>
                  <a:pt x="2028243" y="2255846"/>
                  <a:pt x="2265177" y="2018912"/>
                  <a:pt x="2326733" y="1718094"/>
                </a:cubicBezTo>
                <a:lnTo>
                  <a:pt x="2335902" y="1658015"/>
                </a:lnTo>
                <a:lnTo>
                  <a:pt x="2296149" y="1649989"/>
                </a:lnTo>
                <a:cubicBezTo>
                  <a:pt x="2258582" y="1634099"/>
                  <a:pt x="2232222" y="1596901"/>
                  <a:pt x="2232222" y="1553546"/>
                </a:cubicBezTo>
                <a:lnTo>
                  <a:pt x="2232221" y="1553546"/>
                </a:lnTo>
                <a:cubicBezTo>
                  <a:pt x="2232221" y="1510191"/>
                  <a:pt x="2258581" y="1472993"/>
                  <a:pt x="2296148" y="1457103"/>
                </a:cubicBezTo>
                <a:lnTo>
                  <a:pt x="2333139" y="1449635"/>
                </a:lnTo>
                <a:lnTo>
                  <a:pt x="2326733" y="1407661"/>
                </a:lnTo>
                <a:cubicBezTo>
                  <a:pt x="2265177" y="1106843"/>
                  <a:pt x="2028243" y="869908"/>
                  <a:pt x="1727425" y="808352"/>
                </a:cubicBezTo>
                <a:lnTo>
                  <a:pt x="1704868" y="804910"/>
                </a:lnTo>
                <a:lnTo>
                  <a:pt x="1704868" y="809732"/>
                </a:lnTo>
                <a:cubicBezTo>
                  <a:pt x="1704868" y="853087"/>
                  <a:pt x="1678509" y="890285"/>
                  <a:pt x="1640942" y="906175"/>
                </a:cubicBezTo>
                <a:lnTo>
                  <a:pt x="1600201" y="914400"/>
                </a:lnTo>
                <a:lnTo>
                  <a:pt x="1559460" y="906175"/>
                </a:lnTo>
                <a:cubicBezTo>
                  <a:pt x="1521893" y="890285"/>
                  <a:pt x="1495533" y="853087"/>
                  <a:pt x="1495533" y="809732"/>
                </a:cubicBezTo>
                <a:close/>
                <a:moveTo>
                  <a:pt x="1704868" y="246369"/>
                </a:moveTo>
                <a:lnTo>
                  <a:pt x="1704868" y="665592"/>
                </a:lnTo>
                <a:lnTo>
                  <a:pt x="1755212" y="673275"/>
                </a:lnTo>
                <a:cubicBezTo>
                  <a:pt x="2109883" y="745852"/>
                  <a:pt x="2389234" y="1025202"/>
                  <a:pt x="2461810" y="1379873"/>
                </a:cubicBezTo>
                <a:lnTo>
                  <a:pt x="2472341" y="1448878"/>
                </a:lnTo>
                <a:lnTo>
                  <a:pt x="2916238" y="1448878"/>
                </a:lnTo>
                <a:lnTo>
                  <a:pt x="2916012" y="1444389"/>
                </a:lnTo>
                <a:cubicBezTo>
                  <a:pt x="2851898" y="813074"/>
                  <a:pt x="2350004" y="311180"/>
                  <a:pt x="1718689" y="247066"/>
                </a:cubicBezTo>
                <a:close/>
                <a:moveTo>
                  <a:pt x="1495532" y="244484"/>
                </a:moveTo>
                <a:lnTo>
                  <a:pt x="1444389" y="247066"/>
                </a:lnTo>
                <a:cubicBezTo>
                  <a:pt x="813074" y="311180"/>
                  <a:pt x="311180" y="813074"/>
                  <a:pt x="247066" y="1444389"/>
                </a:cubicBezTo>
                <a:lnTo>
                  <a:pt x="246840" y="1448878"/>
                </a:lnTo>
                <a:lnTo>
                  <a:pt x="672075" y="1448878"/>
                </a:lnTo>
                <a:lnTo>
                  <a:pt x="682606" y="1379873"/>
                </a:lnTo>
                <a:cubicBezTo>
                  <a:pt x="761230" y="995646"/>
                  <a:pt x="1082527" y="699816"/>
                  <a:pt x="1479365" y="659515"/>
                </a:cubicBezTo>
                <a:lnTo>
                  <a:pt x="1495533" y="658699"/>
                </a:lnTo>
                <a:close/>
                <a:moveTo>
                  <a:pt x="1581539" y="0"/>
                </a:moveTo>
                <a:cubicBezTo>
                  <a:pt x="2454999" y="0"/>
                  <a:pt x="3163078" y="708079"/>
                  <a:pt x="3163078" y="1581539"/>
                </a:cubicBezTo>
                <a:cubicBezTo>
                  <a:pt x="3163078" y="2454999"/>
                  <a:pt x="2454999" y="3163078"/>
                  <a:pt x="1581539" y="3163078"/>
                </a:cubicBezTo>
                <a:cubicBezTo>
                  <a:pt x="708079" y="3163078"/>
                  <a:pt x="0" y="2454999"/>
                  <a:pt x="0" y="1581539"/>
                </a:cubicBezTo>
                <a:cubicBezTo>
                  <a:pt x="0" y="708079"/>
                  <a:pt x="708079" y="0"/>
                  <a:pt x="1581539" y="0"/>
                </a:cubicBezTo>
                <a:close/>
              </a:path>
            </a:pathLst>
          </a:custGeom>
          <a:solidFill>
            <a:sysClr val="window" lastClr="FFFFFF"/>
          </a:solidFill>
          <a:ln w="35341"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grpSp>
    <xdr:clientData/>
  </xdr:twoCellAnchor>
  <xdr:twoCellAnchor>
    <xdr:from>
      <xdr:col>0</xdr:col>
      <xdr:colOff>519952</xdr:colOff>
      <xdr:row>3</xdr:row>
      <xdr:rowOff>170327</xdr:rowOff>
    </xdr:from>
    <xdr:to>
      <xdr:col>2</xdr:col>
      <xdr:colOff>95985</xdr:colOff>
      <xdr:row>9</xdr:row>
      <xdr:rowOff>82924</xdr:rowOff>
    </xdr:to>
    <xdr:grpSp>
      <xdr:nvGrpSpPr>
        <xdr:cNvPr id="273" name="Group 272">
          <a:extLst>
            <a:ext uri="{FF2B5EF4-FFF2-40B4-BE49-F238E27FC236}">
              <a16:creationId xmlns:a16="http://schemas.microsoft.com/office/drawing/2014/main" id="{00000000-0008-0000-0000-000011010000}"/>
            </a:ext>
          </a:extLst>
        </xdr:cNvPr>
        <xdr:cNvGrpSpPr/>
      </xdr:nvGrpSpPr>
      <xdr:grpSpPr>
        <a:xfrm>
          <a:off x="519952" y="760877"/>
          <a:ext cx="1227033" cy="1093697"/>
          <a:chOff x="-1" y="-1"/>
          <a:chExt cx="3878598" cy="3794659"/>
        </a:xfrm>
        <a:solidFill>
          <a:sysClr val="window" lastClr="FFFFFF"/>
        </a:solidFill>
      </xdr:grpSpPr>
      <xdr:sp macro="" textlink="">
        <xdr:nvSpPr>
          <xdr:cNvPr id="274" name="Freeform: Shape 62">
            <a:extLst>
              <a:ext uri="{FF2B5EF4-FFF2-40B4-BE49-F238E27FC236}">
                <a16:creationId xmlns:a16="http://schemas.microsoft.com/office/drawing/2014/main" id="{00000000-0008-0000-0000-000012010000}"/>
              </a:ext>
            </a:extLst>
          </xdr:cNvPr>
          <xdr:cNvSpPr/>
        </xdr:nvSpPr>
        <xdr:spPr>
          <a:xfrm>
            <a:off x="1567233" y="24810"/>
            <a:ext cx="2311364" cy="2470873"/>
          </a:xfrm>
          <a:custGeom>
            <a:avLst/>
            <a:gdLst>
              <a:gd name="connsiteX0" fmla="*/ 216 w 2257633"/>
              <a:gd name="connsiteY0" fmla="*/ 1936113 h 2405021"/>
              <a:gd name="connsiteX1" fmla="*/ 361980 w 2257633"/>
              <a:gd name="connsiteY1" fmla="*/ 2405050 h 2405021"/>
              <a:gd name="connsiteX2" fmla="*/ 1159200 w 2257633"/>
              <a:gd name="connsiteY2" fmla="*/ 1694949 h 2405021"/>
              <a:gd name="connsiteX3" fmla="*/ 998424 w 2257633"/>
              <a:gd name="connsiteY3" fmla="*/ 1406877 h 2405021"/>
              <a:gd name="connsiteX4" fmla="*/ 2164069 w 2257633"/>
              <a:gd name="connsiteY4" fmla="*/ 944626 h 2405021"/>
              <a:gd name="connsiteX5" fmla="*/ 2157373 w 2257633"/>
              <a:gd name="connsiteY5" fmla="*/ 221105 h 2405021"/>
              <a:gd name="connsiteX6" fmla="*/ 2257849 w 2257633"/>
              <a:gd name="connsiteY6" fmla="*/ 221105 h 2405021"/>
              <a:gd name="connsiteX7" fmla="*/ 2110501 w 2257633"/>
              <a:gd name="connsiteY7" fmla="*/ 29 h 2405021"/>
              <a:gd name="connsiteX8" fmla="*/ 1963117 w 2257633"/>
              <a:gd name="connsiteY8" fmla="*/ 214405 h 2405021"/>
              <a:gd name="connsiteX9" fmla="*/ 2066401 w 2257633"/>
              <a:gd name="connsiteY9" fmla="*/ 217958 h 2405021"/>
              <a:gd name="connsiteX10" fmla="*/ 2050201 w 2257633"/>
              <a:gd name="connsiteY10" fmla="*/ 703451 h 2405021"/>
              <a:gd name="connsiteX11" fmla="*/ 375372 w 2257633"/>
              <a:gd name="connsiteY11" fmla="*/ 1205896 h 2405021"/>
              <a:gd name="connsiteX12" fmla="*/ 596448 w 2257633"/>
              <a:gd name="connsiteY12" fmla="*/ 160786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63854 w 2311368"/>
              <a:gd name="connsiteY4" fmla="*/ 944598 h 2405021"/>
              <a:gd name="connsiteX5" fmla="*/ 2157158 w 2311368"/>
              <a:gd name="connsiteY5" fmla="*/ 221077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63854 w 2311368"/>
              <a:gd name="connsiteY4" fmla="*/ 944598 h 2405021"/>
              <a:gd name="connsiteX5" fmla="*/ 2157158 w 2311368"/>
              <a:gd name="connsiteY5" fmla="*/ 221077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157158 w 2311368"/>
              <a:gd name="connsiteY5" fmla="*/ 221077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210894 w 2311368"/>
              <a:gd name="connsiteY5" fmla="*/ 221078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210894 w 2311368"/>
              <a:gd name="connsiteY5" fmla="*/ 221078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210894 w 2311368"/>
              <a:gd name="connsiteY5" fmla="*/ 221078 h 2405021"/>
              <a:gd name="connsiteX6" fmla="*/ 2311368 w 2311368"/>
              <a:gd name="connsiteY6" fmla="*/ 221077 h 2405021"/>
              <a:gd name="connsiteX7" fmla="*/ 2157304 w 2311368"/>
              <a:gd name="connsiteY7" fmla="*/ 0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2001937 h 2470873"/>
              <a:gd name="connsiteX1" fmla="*/ 361765 w 2311368"/>
              <a:gd name="connsiteY1" fmla="*/ 2470874 h 2470873"/>
              <a:gd name="connsiteX2" fmla="*/ 1158985 w 2311368"/>
              <a:gd name="connsiteY2" fmla="*/ 1760773 h 2470873"/>
              <a:gd name="connsiteX3" fmla="*/ 998209 w 2311368"/>
              <a:gd name="connsiteY3" fmla="*/ 1472701 h 2470873"/>
              <a:gd name="connsiteX4" fmla="*/ 2197439 w 2311368"/>
              <a:gd name="connsiteY4" fmla="*/ 1010449 h 2470873"/>
              <a:gd name="connsiteX5" fmla="*/ 2210894 w 2311368"/>
              <a:gd name="connsiteY5" fmla="*/ 286930 h 2470873"/>
              <a:gd name="connsiteX6" fmla="*/ 2311368 w 2311368"/>
              <a:gd name="connsiteY6" fmla="*/ 286929 h 2470873"/>
              <a:gd name="connsiteX7" fmla="*/ 2164021 w 2311368"/>
              <a:gd name="connsiteY7" fmla="*/ 0 h 2470873"/>
              <a:gd name="connsiteX8" fmla="*/ 1962902 w 2311368"/>
              <a:gd name="connsiteY8" fmla="*/ 280229 h 2470873"/>
              <a:gd name="connsiteX9" fmla="*/ 2066186 w 2311368"/>
              <a:gd name="connsiteY9" fmla="*/ 283782 h 2470873"/>
              <a:gd name="connsiteX10" fmla="*/ 2049986 w 2311368"/>
              <a:gd name="connsiteY10" fmla="*/ 769275 h 2470873"/>
              <a:gd name="connsiteX11" fmla="*/ 375157 w 2311368"/>
              <a:gd name="connsiteY11" fmla="*/ 1271720 h 2470873"/>
              <a:gd name="connsiteX12" fmla="*/ 596233 w 2311368"/>
              <a:gd name="connsiteY12" fmla="*/ 1673689 h 2470873"/>
              <a:gd name="connsiteX13" fmla="*/ 1 w 2311368"/>
              <a:gd name="connsiteY13" fmla="*/ 2001937 h 2470873"/>
              <a:gd name="connsiteX0" fmla="*/ 1 w 2311368"/>
              <a:gd name="connsiteY0" fmla="*/ 2001937 h 2470873"/>
              <a:gd name="connsiteX1" fmla="*/ 361765 w 2311368"/>
              <a:gd name="connsiteY1" fmla="*/ 2470874 h 2470873"/>
              <a:gd name="connsiteX2" fmla="*/ 1158985 w 2311368"/>
              <a:gd name="connsiteY2" fmla="*/ 1760773 h 2470873"/>
              <a:gd name="connsiteX3" fmla="*/ 998209 w 2311368"/>
              <a:gd name="connsiteY3" fmla="*/ 1472701 h 2470873"/>
              <a:gd name="connsiteX4" fmla="*/ 2217590 w 2311368"/>
              <a:gd name="connsiteY4" fmla="*/ 1010449 h 2470873"/>
              <a:gd name="connsiteX5" fmla="*/ 2210894 w 2311368"/>
              <a:gd name="connsiteY5" fmla="*/ 286930 h 2470873"/>
              <a:gd name="connsiteX6" fmla="*/ 2311368 w 2311368"/>
              <a:gd name="connsiteY6" fmla="*/ 286929 h 2470873"/>
              <a:gd name="connsiteX7" fmla="*/ 2164021 w 2311368"/>
              <a:gd name="connsiteY7" fmla="*/ 0 h 2470873"/>
              <a:gd name="connsiteX8" fmla="*/ 1962902 w 2311368"/>
              <a:gd name="connsiteY8" fmla="*/ 280229 h 2470873"/>
              <a:gd name="connsiteX9" fmla="*/ 2066186 w 2311368"/>
              <a:gd name="connsiteY9" fmla="*/ 283782 h 2470873"/>
              <a:gd name="connsiteX10" fmla="*/ 2049986 w 2311368"/>
              <a:gd name="connsiteY10" fmla="*/ 769275 h 2470873"/>
              <a:gd name="connsiteX11" fmla="*/ 375157 w 2311368"/>
              <a:gd name="connsiteY11" fmla="*/ 1271720 h 2470873"/>
              <a:gd name="connsiteX12" fmla="*/ 596233 w 2311368"/>
              <a:gd name="connsiteY12" fmla="*/ 1673689 h 2470873"/>
              <a:gd name="connsiteX13" fmla="*/ 1 w 2311368"/>
              <a:gd name="connsiteY13" fmla="*/ 2001937 h 2470873"/>
              <a:gd name="connsiteX0" fmla="*/ 1 w 2311368"/>
              <a:gd name="connsiteY0" fmla="*/ 2001937 h 2470873"/>
              <a:gd name="connsiteX1" fmla="*/ 361765 w 2311368"/>
              <a:gd name="connsiteY1" fmla="*/ 2470874 h 2470873"/>
              <a:gd name="connsiteX2" fmla="*/ 1158985 w 2311368"/>
              <a:gd name="connsiteY2" fmla="*/ 1760773 h 2470873"/>
              <a:gd name="connsiteX3" fmla="*/ 998209 w 2311368"/>
              <a:gd name="connsiteY3" fmla="*/ 1472701 h 2470873"/>
              <a:gd name="connsiteX4" fmla="*/ 2217590 w 2311368"/>
              <a:gd name="connsiteY4" fmla="*/ 1010449 h 2470873"/>
              <a:gd name="connsiteX5" fmla="*/ 2210894 w 2311368"/>
              <a:gd name="connsiteY5" fmla="*/ 286930 h 2470873"/>
              <a:gd name="connsiteX6" fmla="*/ 2311368 w 2311368"/>
              <a:gd name="connsiteY6" fmla="*/ 286929 h 2470873"/>
              <a:gd name="connsiteX7" fmla="*/ 2164021 w 2311368"/>
              <a:gd name="connsiteY7" fmla="*/ 0 h 2470873"/>
              <a:gd name="connsiteX8" fmla="*/ 1962902 w 2311368"/>
              <a:gd name="connsiteY8" fmla="*/ 280229 h 2470873"/>
              <a:gd name="connsiteX9" fmla="*/ 2066186 w 2311368"/>
              <a:gd name="connsiteY9" fmla="*/ 283782 h 2470873"/>
              <a:gd name="connsiteX10" fmla="*/ 2049986 w 2311368"/>
              <a:gd name="connsiteY10" fmla="*/ 769275 h 2470873"/>
              <a:gd name="connsiteX11" fmla="*/ 375157 w 2311368"/>
              <a:gd name="connsiteY11" fmla="*/ 1271720 h 2470873"/>
              <a:gd name="connsiteX12" fmla="*/ 596233 w 2311368"/>
              <a:gd name="connsiteY12" fmla="*/ 1673689 h 2470873"/>
              <a:gd name="connsiteX13" fmla="*/ 1 w 2311368"/>
              <a:gd name="connsiteY13" fmla="*/ 2001937 h 247087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2311368" h="2470873">
                <a:moveTo>
                  <a:pt x="1" y="2001937"/>
                </a:moveTo>
                <a:cubicBezTo>
                  <a:pt x="230617" y="2202278"/>
                  <a:pt x="307405" y="2341058"/>
                  <a:pt x="361765" y="2470874"/>
                </a:cubicBezTo>
                <a:lnTo>
                  <a:pt x="1158985" y="1760773"/>
                </a:lnTo>
                <a:lnTo>
                  <a:pt x="998209" y="1472701"/>
                </a:lnTo>
                <a:cubicBezTo>
                  <a:pt x="998209" y="1472701"/>
                  <a:pt x="1952386" y="1136105"/>
                  <a:pt x="2217590" y="1010449"/>
                </a:cubicBezTo>
                <a:cubicBezTo>
                  <a:pt x="2239842" y="999906"/>
                  <a:pt x="2210894" y="286930"/>
                  <a:pt x="2210894" y="286930"/>
                </a:cubicBezTo>
                <a:lnTo>
                  <a:pt x="2311368" y="286929"/>
                </a:lnTo>
                <a:lnTo>
                  <a:pt x="2164021" y="0"/>
                </a:lnTo>
                <a:lnTo>
                  <a:pt x="1962902" y="280229"/>
                </a:lnTo>
                <a:lnTo>
                  <a:pt x="2066186" y="283782"/>
                </a:lnTo>
                <a:lnTo>
                  <a:pt x="2049986" y="769275"/>
                </a:lnTo>
                <a:lnTo>
                  <a:pt x="375157" y="1271720"/>
                </a:lnTo>
                <a:lnTo>
                  <a:pt x="596233" y="1673689"/>
                </a:lnTo>
                <a:lnTo>
                  <a:pt x="1" y="2001937"/>
                </a:lnTo>
                <a:close/>
              </a:path>
            </a:pathLst>
          </a:custGeom>
          <a:grpFill/>
          <a:ln w="17998" cap="flat">
            <a:solidFill>
              <a:sysClr val="windowText" lastClr="000000"/>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75" name="Freeform: Shape 63">
            <a:extLst>
              <a:ext uri="{FF2B5EF4-FFF2-40B4-BE49-F238E27FC236}">
                <a16:creationId xmlns:a16="http://schemas.microsoft.com/office/drawing/2014/main" id="{00000000-0008-0000-0000-000013010000}"/>
              </a:ext>
            </a:extLst>
          </xdr:cNvPr>
          <xdr:cNvSpPr/>
        </xdr:nvSpPr>
        <xdr:spPr>
          <a:xfrm>
            <a:off x="-1" y="1872127"/>
            <a:ext cx="1997595" cy="1914913"/>
          </a:xfrm>
          <a:custGeom>
            <a:avLst/>
            <a:gdLst>
              <a:gd name="connsiteX0" fmla="*/ 1038471 w 1997598"/>
              <a:gd name="connsiteY0" fmla="*/ 1091169 h 1914913"/>
              <a:gd name="connsiteX1" fmla="*/ 1083642 w 1997598"/>
              <a:gd name="connsiteY1" fmla="*/ 1117431 h 1914913"/>
              <a:gd name="connsiteX2" fmla="*/ 1097649 w 1997598"/>
              <a:gd name="connsiteY2" fmla="*/ 1157699 h 1914913"/>
              <a:gd name="connsiteX3" fmla="*/ 1081191 w 1997598"/>
              <a:gd name="connsiteY3" fmla="*/ 1203573 h 1914913"/>
              <a:gd name="connsiteX4" fmla="*/ 1038471 w 1997598"/>
              <a:gd name="connsiteY4" fmla="*/ 1227735 h 1914913"/>
              <a:gd name="connsiteX5" fmla="*/ 987696 w 1997598"/>
              <a:gd name="connsiteY5" fmla="*/ 855154 h 1914913"/>
              <a:gd name="connsiteX6" fmla="*/ 987696 w 1997598"/>
              <a:gd name="connsiteY6" fmla="*/ 976313 h 1914913"/>
              <a:gd name="connsiteX7" fmla="*/ 953730 w 1997598"/>
              <a:gd name="connsiteY7" fmla="*/ 950749 h 1914913"/>
              <a:gd name="connsiteX8" fmla="*/ 942524 w 1997598"/>
              <a:gd name="connsiteY8" fmla="*/ 916084 h 1914913"/>
              <a:gd name="connsiteX9" fmla="*/ 954780 w 1997598"/>
              <a:gd name="connsiteY9" fmla="*/ 878964 h 1914913"/>
              <a:gd name="connsiteX10" fmla="*/ 987696 w 1997598"/>
              <a:gd name="connsiteY10" fmla="*/ 855154 h 1914913"/>
              <a:gd name="connsiteX11" fmla="*/ 987696 w 1997598"/>
              <a:gd name="connsiteY11" fmla="*/ 744151 h 1914913"/>
              <a:gd name="connsiteX12" fmla="*/ 987696 w 1997598"/>
              <a:gd name="connsiteY12" fmla="*/ 778816 h 1914913"/>
              <a:gd name="connsiteX13" fmla="*/ 891050 w 1997598"/>
              <a:gd name="connsiteY13" fmla="*/ 823987 h 1914913"/>
              <a:gd name="connsiteX14" fmla="*/ 854984 w 1997598"/>
              <a:gd name="connsiteY14" fmla="*/ 920285 h 1914913"/>
              <a:gd name="connsiteX15" fmla="*/ 886849 w 1997598"/>
              <a:gd name="connsiteY15" fmla="*/ 1016931 h 1914913"/>
              <a:gd name="connsiteX16" fmla="*/ 987696 w 1997598"/>
              <a:gd name="connsiteY16" fmla="*/ 1076109 h 1914913"/>
              <a:gd name="connsiteX17" fmla="*/ 987696 w 1997598"/>
              <a:gd name="connsiteY17" fmla="*/ 1222831 h 1914913"/>
              <a:gd name="connsiteX18" fmla="*/ 953379 w 1997598"/>
              <a:gd name="connsiteY18" fmla="*/ 1193418 h 1914913"/>
              <a:gd name="connsiteX19" fmla="*/ 932368 w 1997598"/>
              <a:gd name="connsiteY19" fmla="*/ 1145096 h 1914913"/>
              <a:gd name="connsiteX20" fmla="*/ 840974 w 1997598"/>
              <a:gd name="connsiteY20" fmla="*/ 1154900 h 1914913"/>
              <a:gd name="connsiteX21" fmla="*/ 889297 w 1997598"/>
              <a:gd name="connsiteY21" fmla="*/ 1261700 h 1914913"/>
              <a:gd name="connsiteX22" fmla="*/ 987696 w 1997598"/>
              <a:gd name="connsiteY22" fmla="*/ 1306873 h 1914913"/>
              <a:gd name="connsiteX23" fmla="*/ 987696 w 1997598"/>
              <a:gd name="connsiteY23" fmla="*/ 1370603 h 1914913"/>
              <a:gd name="connsiteX24" fmla="*/ 1038471 w 1997598"/>
              <a:gd name="connsiteY24" fmla="*/ 1370603 h 1914913"/>
              <a:gd name="connsiteX25" fmla="*/ 1038471 w 1997598"/>
              <a:gd name="connsiteY25" fmla="*/ 1305120 h 1914913"/>
              <a:gd name="connsiteX26" fmla="*/ 1144921 w 1997598"/>
              <a:gd name="connsiteY26" fmla="*/ 1251896 h 1914913"/>
              <a:gd name="connsiteX27" fmla="*/ 1183440 w 1997598"/>
              <a:gd name="connsiteY27" fmla="*/ 1145096 h 1914913"/>
              <a:gd name="connsiteX28" fmla="*/ 1152976 w 1997598"/>
              <a:gd name="connsiteY28" fmla="*/ 1052299 h 1914913"/>
              <a:gd name="connsiteX29" fmla="*/ 1038471 w 1997598"/>
              <a:gd name="connsiteY29" fmla="*/ 993121 h 1914913"/>
              <a:gd name="connsiteX30" fmla="*/ 1038471 w 1997598"/>
              <a:gd name="connsiteY30" fmla="*/ 856204 h 1914913"/>
              <a:gd name="connsiteX31" fmla="*/ 1080492 w 1997598"/>
              <a:gd name="connsiteY31" fmla="*/ 912230 h 1914913"/>
              <a:gd name="connsiteX32" fmla="*/ 1169083 w 1997598"/>
              <a:gd name="connsiteY32" fmla="*/ 900677 h 1914913"/>
              <a:gd name="connsiteX33" fmla="*/ 1127065 w 1997598"/>
              <a:gd name="connsiteY33" fmla="*/ 816987 h 1914913"/>
              <a:gd name="connsiteX34" fmla="*/ 1038471 w 1997598"/>
              <a:gd name="connsiteY34" fmla="*/ 778816 h 1914913"/>
              <a:gd name="connsiteX35" fmla="*/ 1038471 w 1997598"/>
              <a:gd name="connsiteY35" fmla="*/ 744151 h 1914913"/>
              <a:gd name="connsiteX36" fmla="*/ 1018529 w 1997598"/>
              <a:gd name="connsiteY36" fmla="*/ 568308 h 1914913"/>
              <a:gd name="connsiteX37" fmla="*/ 1488375 w 1997598"/>
              <a:gd name="connsiteY37" fmla="*/ 1038154 h 1914913"/>
              <a:gd name="connsiteX38" fmla="*/ 1018529 w 1997598"/>
              <a:gd name="connsiteY38" fmla="*/ 1508000 h 1914913"/>
              <a:gd name="connsiteX39" fmla="*/ 548683 w 1997598"/>
              <a:gd name="connsiteY39" fmla="*/ 1038154 h 1914913"/>
              <a:gd name="connsiteX40" fmla="*/ 1018529 w 1997598"/>
              <a:gd name="connsiteY40" fmla="*/ 568308 h 1914913"/>
              <a:gd name="connsiteX41" fmla="*/ 1018529 w 1997598"/>
              <a:gd name="connsiteY41" fmla="*/ 476083 h 1914913"/>
              <a:gd name="connsiteX42" fmla="*/ 456458 w 1997598"/>
              <a:gd name="connsiteY42" fmla="*/ 1038154 h 1914913"/>
              <a:gd name="connsiteX43" fmla="*/ 1018529 w 1997598"/>
              <a:gd name="connsiteY43" fmla="*/ 1600225 h 1914913"/>
              <a:gd name="connsiteX44" fmla="*/ 1580600 w 1997598"/>
              <a:gd name="connsiteY44" fmla="*/ 1038154 h 1914913"/>
              <a:gd name="connsiteX45" fmla="*/ 1018529 w 1997598"/>
              <a:gd name="connsiteY45" fmla="*/ 476083 h 1914913"/>
              <a:gd name="connsiteX46" fmla="*/ 664325 w 1997598"/>
              <a:gd name="connsiteY46" fmla="*/ 0 h 1914913"/>
              <a:gd name="connsiteX47" fmla="*/ 1314151 w 1997598"/>
              <a:gd name="connsiteY47" fmla="*/ 0 h 1914913"/>
              <a:gd name="connsiteX48" fmla="*/ 1997478 w 1997598"/>
              <a:gd name="connsiteY48" fmla="*/ 1091952 h 1914913"/>
              <a:gd name="connsiteX49" fmla="*/ 1568718 w 1997598"/>
              <a:gd name="connsiteY49" fmla="*/ 1914913 h 1914913"/>
              <a:gd name="connsiteX50" fmla="*/ 429850 w 1997598"/>
              <a:gd name="connsiteY50" fmla="*/ 1908217 h 1914913"/>
              <a:gd name="connsiteX51" fmla="*/ 1100 w 1997598"/>
              <a:gd name="connsiteY51" fmla="*/ 1085257 h 1914913"/>
              <a:gd name="connsiteX52" fmla="*/ 664325 w 1997598"/>
              <a:gd name="connsiteY52" fmla="*/ 0 h 19149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Lst>
            <a:rect l="l" t="t" r="r" b="b"/>
            <a:pathLst>
              <a:path w="1997598" h="1914913">
                <a:moveTo>
                  <a:pt x="1038471" y="1091169"/>
                </a:moveTo>
                <a:cubicBezTo>
                  <a:pt x="1059481" y="1097239"/>
                  <a:pt x="1074537" y="1105992"/>
                  <a:pt x="1083642" y="1117431"/>
                </a:cubicBezTo>
                <a:cubicBezTo>
                  <a:pt x="1092981" y="1128637"/>
                  <a:pt x="1097649" y="1142058"/>
                  <a:pt x="1097649" y="1157699"/>
                </a:cubicBezTo>
                <a:cubicBezTo>
                  <a:pt x="1097649" y="1175207"/>
                  <a:pt x="1092164" y="1190500"/>
                  <a:pt x="1081191" y="1203573"/>
                </a:cubicBezTo>
                <a:cubicBezTo>
                  <a:pt x="1070218" y="1216410"/>
                  <a:pt x="1055979" y="1224465"/>
                  <a:pt x="1038471" y="1227735"/>
                </a:cubicBezTo>
                <a:close/>
                <a:moveTo>
                  <a:pt x="987696" y="855154"/>
                </a:moveTo>
                <a:lnTo>
                  <a:pt x="987696" y="976313"/>
                </a:lnTo>
                <a:cubicBezTo>
                  <a:pt x="972522" y="969778"/>
                  <a:pt x="961201" y="961257"/>
                  <a:pt x="953730" y="950749"/>
                </a:cubicBezTo>
                <a:cubicBezTo>
                  <a:pt x="946260" y="940013"/>
                  <a:pt x="942524" y="928456"/>
                  <a:pt x="942524" y="916084"/>
                </a:cubicBezTo>
                <a:cubicBezTo>
                  <a:pt x="942524" y="902545"/>
                  <a:pt x="946611" y="890170"/>
                  <a:pt x="954780" y="878964"/>
                </a:cubicBezTo>
                <a:cubicBezTo>
                  <a:pt x="962951" y="867757"/>
                  <a:pt x="973923" y="859821"/>
                  <a:pt x="987696" y="855154"/>
                </a:cubicBezTo>
                <a:close/>
                <a:moveTo>
                  <a:pt x="987696" y="744151"/>
                </a:moveTo>
                <a:lnTo>
                  <a:pt x="987696" y="778816"/>
                </a:lnTo>
                <a:cubicBezTo>
                  <a:pt x="947543" y="782784"/>
                  <a:pt x="915327" y="797844"/>
                  <a:pt x="891050" y="823987"/>
                </a:cubicBezTo>
                <a:cubicBezTo>
                  <a:pt x="867004" y="849902"/>
                  <a:pt x="854984" y="882000"/>
                  <a:pt x="854984" y="920285"/>
                </a:cubicBezTo>
                <a:cubicBezTo>
                  <a:pt x="854984" y="958102"/>
                  <a:pt x="865606" y="990318"/>
                  <a:pt x="886849" y="1016931"/>
                </a:cubicBezTo>
                <a:cubicBezTo>
                  <a:pt x="908326" y="1043312"/>
                  <a:pt x="941940" y="1063040"/>
                  <a:pt x="987696" y="1076109"/>
                </a:cubicBezTo>
                <a:lnTo>
                  <a:pt x="987696" y="1222831"/>
                </a:lnTo>
                <a:cubicBezTo>
                  <a:pt x="975088" y="1216762"/>
                  <a:pt x="963653" y="1206958"/>
                  <a:pt x="953379" y="1193418"/>
                </a:cubicBezTo>
                <a:cubicBezTo>
                  <a:pt x="943109" y="1179878"/>
                  <a:pt x="936104" y="1163768"/>
                  <a:pt x="932368" y="1145096"/>
                </a:cubicBezTo>
                <a:lnTo>
                  <a:pt x="840974" y="1154900"/>
                </a:lnTo>
                <a:cubicBezTo>
                  <a:pt x="847979" y="1200889"/>
                  <a:pt x="864085" y="1236490"/>
                  <a:pt x="889297" y="1261700"/>
                </a:cubicBezTo>
                <a:cubicBezTo>
                  <a:pt x="914509" y="1286912"/>
                  <a:pt x="947310" y="1301968"/>
                  <a:pt x="987696" y="1306873"/>
                </a:cubicBezTo>
                <a:lnTo>
                  <a:pt x="987696" y="1370603"/>
                </a:lnTo>
                <a:lnTo>
                  <a:pt x="1038471" y="1370603"/>
                </a:lnTo>
                <a:lnTo>
                  <a:pt x="1038471" y="1305120"/>
                </a:lnTo>
                <a:cubicBezTo>
                  <a:pt x="1083994" y="1298585"/>
                  <a:pt x="1119476" y="1280844"/>
                  <a:pt x="1144921" y="1251896"/>
                </a:cubicBezTo>
                <a:cubicBezTo>
                  <a:pt x="1170602" y="1222949"/>
                  <a:pt x="1183440" y="1187349"/>
                  <a:pt x="1183440" y="1145096"/>
                </a:cubicBezTo>
                <a:cubicBezTo>
                  <a:pt x="1183440" y="1107275"/>
                  <a:pt x="1173288" y="1076342"/>
                  <a:pt x="1152976" y="1052299"/>
                </a:cubicBezTo>
                <a:cubicBezTo>
                  <a:pt x="1132665" y="1028019"/>
                  <a:pt x="1094497" y="1008296"/>
                  <a:pt x="1038471" y="993121"/>
                </a:cubicBezTo>
                <a:lnTo>
                  <a:pt x="1038471" y="856204"/>
                </a:lnTo>
                <a:cubicBezTo>
                  <a:pt x="1061116" y="866009"/>
                  <a:pt x="1075122" y="884686"/>
                  <a:pt x="1080492" y="912230"/>
                </a:cubicBezTo>
                <a:lnTo>
                  <a:pt x="1169083" y="900677"/>
                </a:lnTo>
                <a:cubicBezTo>
                  <a:pt x="1163013" y="865657"/>
                  <a:pt x="1149008" y="837760"/>
                  <a:pt x="1127065" y="816987"/>
                </a:cubicBezTo>
                <a:cubicBezTo>
                  <a:pt x="1105119" y="795976"/>
                  <a:pt x="1075587" y="783254"/>
                  <a:pt x="1038471" y="778816"/>
                </a:cubicBezTo>
                <a:lnTo>
                  <a:pt x="1038471" y="744151"/>
                </a:lnTo>
                <a:close/>
                <a:moveTo>
                  <a:pt x="1018529" y="568308"/>
                </a:moveTo>
                <a:cubicBezTo>
                  <a:pt x="1278018" y="568308"/>
                  <a:pt x="1488375" y="778665"/>
                  <a:pt x="1488375" y="1038154"/>
                </a:cubicBezTo>
                <a:cubicBezTo>
                  <a:pt x="1488375" y="1297643"/>
                  <a:pt x="1278018" y="1508000"/>
                  <a:pt x="1018529" y="1508000"/>
                </a:cubicBezTo>
                <a:cubicBezTo>
                  <a:pt x="759040" y="1508000"/>
                  <a:pt x="548683" y="1297643"/>
                  <a:pt x="548683" y="1038154"/>
                </a:cubicBezTo>
                <a:cubicBezTo>
                  <a:pt x="548683" y="778665"/>
                  <a:pt x="759040" y="568308"/>
                  <a:pt x="1018529" y="568308"/>
                </a:cubicBezTo>
                <a:close/>
                <a:moveTo>
                  <a:pt x="1018529" y="476083"/>
                </a:moveTo>
                <a:cubicBezTo>
                  <a:pt x="708106" y="476083"/>
                  <a:pt x="456458" y="727731"/>
                  <a:pt x="456458" y="1038154"/>
                </a:cubicBezTo>
                <a:cubicBezTo>
                  <a:pt x="456458" y="1348577"/>
                  <a:pt x="708106" y="1600225"/>
                  <a:pt x="1018529" y="1600225"/>
                </a:cubicBezTo>
                <a:cubicBezTo>
                  <a:pt x="1328952" y="1600225"/>
                  <a:pt x="1580600" y="1348577"/>
                  <a:pt x="1580600" y="1038154"/>
                </a:cubicBezTo>
                <a:cubicBezTo>
                  <a:pt x="1580600" y="727731"/>
                  <a:pt x="1328952" y="476083"/>
                  <a:pt x="1018529" y="476083"/>
                </a:cubicBezTo>
                <a:close/>
                <a:moveTo>
                  <a:pt x="664325" y="0"/>
                </a:moveTo>
                <a:lnTo>
                  <a:pt x="1314151" y="0"/>
                </a:lnTo>
                <a:cubicBezTo>
                  <a:pt x="1314151" y="0"/>
                  <a:pt x="2008098" y="459576"/>
                  <a:pt x="1997478" y="1091952"/>
                </a:cubicBezTo>
                <a:cubicBezTo>
                  <a:pt x="1985742" y="1790821"/>
                  <a:pt x="1568718" y="1914913"/>
                  <a:pt x="1568718" y="1914913"/>
                </a:cubicBezTo>
                <a:lnTo>
                  <a:pt x="429850" y="1908217"/>
                </a:lnTo>
                <a:cubicBezTo>
                  <a:pt x="429850" y="1908217"/>
                  <a:pt x="-25234" y="1697077"/>
                  <a:pt x="1100" y="1085257"/>
                </a:cubicBezTo>
                <a:cubicBezTo>
                  <a:pt x="27107" y="481032"/>
                  <a:pt x="664325" y="0"/>
                  <a:pt x="664325" y="0"/>
                </a:cubicBezTo>
                <a:close/>
              </a:path>
            </a:pathLst>
          </a:custGeom>
          <a:grpFill/>
          <a:ln w="18002"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76" name="Freeform: Shape 64">
            <a:extLst>
              <a:ext uri="{FF2B5EF4-FFF2-40B4-BE49-F238E27FC236}">
                <a16:creationId xmlns:a16="http://schemas.microsoft.com/office/drawing/2014/main" id="{00000000-0008-0000-0000-000014010000}"/>
              </a:ext>
            </a:extLst>
          </xdr:cNvPr>
          <xdr:cNvSpPr/>
        </xdr:nvSpPr>
        <xdr:spPr>
          <a:xfrm rot="15043660" flipV="1">
            <a:off x="678903" y="943653"/>
            <a:ext cx="730415" cy="1146530"/>
          </a:xfrm>
          <a:custGeom>
            <a:avLst/>
            <a:gdLst>
              <a:gd name="connsiteX0" fmla="*/ 716588 w 730416"/>
              <a:gd name="connsiteY0" fmla="*/ 511011 h 1146531"/>
              <a:gd name="connsiteX1" fmla="*/ 409782 w 730416"/>
              <a:gd name="connsiteY1" fmla="*/ 335484 h 1146531"/>
              <a:gd name="connsiteX2" fmla="*/ 313760 w 730416"/>
              <a:gd name="connsiteY2" fmla="*/ 0 h 1146531"/>
              <a:gd name="connsiteX3" fmla="*/ 0 w 730416"/>
              <a:gd name="connsiteY3" fmla="*/ 421987 h 1146531"/>
              <a:gd name="connsiteX4" fmla="*/ 18807 w 730416"/>
              <a:gd name="connsiteY4" fmla="*/ 472206 h 1146531"/>
              <a:gd name="connsiteX5" fmla="*/ 209996 w 730416"/>
              <a:gd name="connsiteY5" fmla="*/ 348997 h 1146531"/>
              <a:gd name="connsiteX6" fmla="*/ 272267 w 730416"/>
              <a:gd name="connsiteY6" fmla="*/ 360214 h 1146531"/>
              <a:gd name="connsiteX7" fmla="*/ 272266 w 730416"/>
              <a:gd name="connsiteY7" fmla="*/ 360214 h 1146531"/>
              <a:gd name="connsiteX8" fmla="*/ 260426 w 730416"/>
              <a:gd name="connsiteY8" fmla="*/ 419191 h 1146531"/>
              <a:gd name="connsiteX9" fmla="*/ 49788 w 730416"/>
              <a:gd name="connsiteY9" fmla="*/ 554931 h 1146531"/>
              <a:gd name="connsiteX10" fmla="*/ 93126 w 730416"/>
              <a:gd name="connsiteY10" fmla="*/ 670656 h 1146531"/>
              <a:gd name="connsiteX11" fmla="*/ 148370 w 730416"/>
              <a:gd name="connsiteY11" fmla="*/ 652362 h 1146531"/>
              <a:gd name="connsiteX12" fmla="*/ 205474 w 730416"/>
              <a:gd name="connsiteY12" fmla="*/ 678423 h 1146531"/>
              <a:gd name="connsiteX13" fmla="*/ 205473 w 730416"/>
              <a:gd name="connsiteY13" fmla="*/ 678422 h 1146531"/>
              <a:gd name="connsiteX14" fmla="*/ 177957 w 730416"/>
              <a:gd name="connsiteY14" fmla="*/ 732505 h 1146531"/>
              <a:gd name="connsiteX15" fmla="*/ 123093 w 730416"/>
              <a:gd name="connsiteY15" fmla="*/ 750672 h 1146531"/>
              <a:gd name="connsiteX16" fmla="*/ 162028 w 730416"/>
              <a:gd name="connsiteY16" fmla="*/ 854640 h 1146531"/>
              <a:gd name="connsiteX17" fmla="*/ 300808 w 730416"/>
              <a:gd name="connsiteY17" fmla="*/ 854640 h 1146531"/>
              <a:gd name="connsiteX18" fmla="*/ 345630 w 730416"/>
              <a:gd name="connsiteY18" fmla="*/ 897090 h 1146531"/>
              <a:gd name="connsiteX19" fmla="*/ 345629 w 730416"/>
              <a:gd name="connsiteY19" fmla="*/ 897090 h 1146531"/>
              <a:gd name="connsiteX20" fmla="*/ 300807 w 730416"/>
              <a:gd name="connsiteY20" fmla="*/ 939540 h 1146531"/>
              <a:gd name="connsiteX21" fmla="*/ 193823 w 730416"/>
              <a:gd name="connsiteY21" fmla="*/ 939540 h 1146531"/>
              <a:gd name="connsiteX22" fmla="*/ 213858 w 730416"/>
              <a:gd name="connsiteY22" fmla="*/ 993037 h 1146531"/>
              <a:gd name="connsiteX23" fmla="*/ 728835 w 730416"/>
              <a:gd name="connsiteY23" fmla="*/ 1146531 h 1146531"/>
              <a:gd name="connsiteX24" fmla="*/ 583838 w 730416"/>
              <a:gd name="connsiteY24" fmla="*/ 792704 h 1146531"/>
              <a:gd name="connsiteX25" fmla="*/ 716588 w 730416"/>
              <a:gd name="connsiteY25" fmla="*/ 511011 h 114653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30416" h="1146531">
                <a:moveTo>
                  <a:pt x="716588" y="511011"/>
                </a:moveTo>
                <a:cubicBezTo>
                  <a:pt x="680716" y="393596"/>
                  <a:pt x="548708" y="304346"/>
                  <a:pt x="409782" y="335484"/>
                </a:cubicBezTo>
                <a:cubicBezTo>
                  <a:pt x="486583" y="165966"/>
                  <a:pt x="385952" y="81473"/>
                  <a:pt x="313760" y="0"/>
                </a:cubicBezTo>
                <a:lnTo>
                  <a:pt x="0" y="421987"/>
                </a:lnTo>
                <a:lnTo>
                  <a:pt x="18807" y="472206"/>
                </a:lnTo>
                <a:lnTo>
                  <a:pt x="209996" y="348997"/>
                </a:lnTo>
                <a:cubicBezTo>
                  <a:pt x="230463" y="335809"/>
                  <a:pt x="258342" y="340831"/>
                  <a:pt x="272267" y="360214"/>
                </a:cubicBezTo>
                <a:lnTo>
                  <a:pt x="272266" y="360214"/>
                </a:lnTo>
                <a:cubicBezTo>
                  <a:pt x="286194" y="379595"/>
                  <a:pt x="280891" y="406002"/>
                  <a:pt x="260426" y="419191"/>
                </a:cubicBezTo>
                <a:lnTo>
                  <a:pt x="49788" y="554931"/>
                </a:lnTo>
                <a:lnTo>
                  <a:pt x="93126" y="670656"/>
                </a:lnTo>
                <a:lnTo>
                  <a:pt x="148370" y="652362"/>
                </a:lnTo>
                <a:cubicBezTo>
                  <a:pt x="171737" y="644624"/>
                  <a:pt x="197303" y="656291"/>
                  <a:pt x="205474" y="678423"/>
                </a:cubicBezTo>
                <a:lnTo>
                  <a:pt x="205473" y="678422"/>
                </a:lnTo>
                <a:cubicBezTo>
                  <a:pt x="213644" y="700552"/>
                  <a:pt x="201323" y="724767"/>
                  <a:pt x="177957" y="732505"/>
                </a:cubicBezTo>
                <a:lnTo>
                  <a:pt x="123093" y="750672"/>
                </a:lnTo>
                <a:lnTo>
                  <a:pt x="162028" y="854640"/>
                </a:lnTo>
                <a:lnTo>
                  <a:pt x="300808" y="854640"/>
                </a:lnTo>
                <a:cubicBezTo>
                  <a:pt x="325563" y="854641"/>
                  <a:pt x="345630" y="873646"/>
                  <a:pt x="345630" y="897090"/>
                </a:cubicBezTo>
                <a:lnTo>
                  <a:pt x="345629" y="897090"/>
                </a:lnTo>
                <a:cubicBezTo>
                  <a:pt x="345629" y="920534"/>
                  <a:pt x="325560" y="939540"/>
                  <a:pt x="300807" y="939540"/>
                </a:cubicBezTo>
                <a:lnTo>
                  <a:pt x="193823" y="939540"/>
                </a:lnTo>
                <a:lnTo>
                  <a:pt x="213858" y="993037"/>
                </a:lnTo>
                <a:lnTo>
                  <a:pt x="728835" y="1146531"/>
                </a:lnTo>
                <a:cubicBezTo>
                  <a:pt x="738744" y="1018136"/>
                  <a:pt x="703479" y="913568"/>
                  <a:pt x="583838" y="792704"/>
                </a:cubicBezTo>
                <a:cubicBezTo>
                  <a:pt x="714230" y="710695"/>
                  <a:pt x="744487" y="602333"/>
                  <a:pt x="716588" y="511011"/>
                </a:cubicBezTo>
                <a:close/>
              </a:path>
            </a:pathLst>
          </a:custGeom>
          <a:grp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277" name="Freeform: Shape 65">
            <a:extLst>
              <a:ext uri="{FF2B5EF4-FFF2-40B4-BE49-F238E27FC236}">
                <a16:creationId xmlns:a16="http://schemas.microsoft.com/office/drawing/2014/main" id="{00000000-0008-0000-0000-000015010000}"/>
              </a:ext>
            </a:extLst>
          </xdr:cNvPr>
          <xdr:cNvSpPr/>
        </xdr:nvSpPr>
        <xdr:spPr>
          <a:xfrm>
            <a:off x="1066683" y="-1"/>
            <a:ext cx="1014939" cy="1014941"/>
          </a:xfrm>
          <a:custGeom>
            <a:avLst/>
            <a:gdLst>
              <a:gd name="connsiteX0" fmla="*/ 529764 w 1014942"/>
              <a:gd name="connsiteY0" fmla="*/ 520172 h 1014942"/>
              <a:gd name="connsiteX1" fmla="*/ 568161 w 1014942"/>
              <a:gd name="connsiteY1" fmla="*/ 542495 h 1014942"/>
              <a:gd name="connsiteX2" fmla="*/ 580067 w 1014942"/>
              <a:gd name="connsiteY2" fmla="*/ 576724 h 1014942"/>
              <a:gd name="connsiteX3" fmla="*/ 566077 w 1014942"/>
              <a:gd name="connsiteY3" fmla="*/ 615719 h 1014942"/>
              <a:gd name="connsiteX4" fmla="*/ 529764 w 1014942"/>
              <a:gd name="connsiteY4" fmla="*/ 636257 h 1014942"/>
              <a:gd name="connsiteX5" fmla="*/ 486603 w 1014942"/>
              <a:gd name="connsiteY5" fmla="*/ 319551 h 1014942"/>
              <a:gd name="connsiteX6" fmla="*/ 486603 w 1014942"/>
              <a:gd name="connsiteY6" fmla="*/ 422540 h 1014942"/>
              <a:gd name="connsiteX7" fmla="*/ 457731 w 1014942"/>
              <a:gd name="connsiteY7" fmla="*/ 400810 h 1014942"/>
              <a:gd name="connsiteX8" fmla="*/ 448206 w 1014942"/>
              <a:gd name="connsiteY8" fmla="*/ 371344 h 1014942"/>
              <a:gd name="connsiteX9" fmla="*/ 458624 w 1014942"/>
              <a:gd name="connsiteY9" fmla="*/ 339790 h 1014942"/>
              <a:gd name="connsiteX10" fmla="*/ 486603 w 1014942"/>
              <a:gd name="connsiteY10" fmla="*/ 319551 h 1014942"/>
              <a:gd name="connsiteX11" fmla="*/ 486603 w 1014942"/>
              <a:gd name="connsiteY11" fmla="*/ 225195 h 1014942"/>
              <a:gd name="connsiteX12" fmla="*/ 486603 w 1014942"/>
              <a:gd name="connsiteY12" fmla="*/ 254661 h 1014942"/>
              <a:gd name="connsiteX13" fmla="*/ 404451 w 1014942"/>
              <a:gd name="connsiteY13" fmla="*/ 293058 h 1014942"/>
              <a:gd name="connsiteX14" fmla="*/ 373794 w 1014942"/>
              <a:gd name="connsiteY14" fmla="*/ 374915 h 1014942"/>
              <a:gd name="connsiteX15" fmla="*/ 400880 w 1014942"/>
              <a:gd name="connsiteY15" fmla="*/ 457067 h 1014942"/>
              <a:gd name="connsiteX16" fmla="*/ 486603 w 1014942"/>
              <a:gd name="connsiteY16" fmla="*/ 507370 h 1014942"/>
              <a:gd name="connsiteX17" fmla="*/ 486603 w 1014942"/>
              <a:gd name="connsiteY17" fmla="*/ 632088 h 1014942"/>
              <a:gd name="connsiteX18" fmla="*/ 457433 w 1014942"/>
              <a:gd name="connsiteY18" fmla="*/ 607087 h 1014942"/>
              <a:gd name="connsiteX19" fmla="*/ 439573 w 1014942"/>
              <a:gd name="connsiteY19" fmla="*/ 566011 h 1014942"/>
              <a:gd name="connsiteX20" fmla="*/ 361885 w 1014942"/>
              <a:gd name="connsiteY20" fmla="*/ 574344 h 1014942"/>
              <a:gd name="connsiteX21" fmla="*/ 402961 w 1014942"/>
              <a:gd name="connsiteY21" fmla="*/ 665129 h 1014942"/>
              <a:gd name="connsiteX22" fmla="*/ 486603 w 1014942"/>
              <a:gd name="connsiteY22" fmla="*/ 703527 h 1014942"/>
              <a:gd name="connsiteX23" fmla="*/ 486603 w 1014942"/>
              <a:gd name="connsiteY23" fmla="*/ 757700 h 1014942"/>
              <a:gd name="connsiteX24" fmla="*/ 529764 w 1014942"/>
              <a:gd name="connsiteY24" fmla="*/ 757700 h 1014942"/>
              <a:gd name="connsiteX25" fmla="*/ 529764 w 1014942"/>
              <a:gd name="connsiteY25" fmla="*/ 702036 h 1014942"/>
              <a:gd name="connsiteX26" fmla="*/ 620250 w 1014942"/>
              <a:gd name="connsiteY26" fmla="*/ 656795 h 1014942"/>
              <a:gd name="connsiteX27" fmla="*/ 652992 w 1014942"/>
              <a:gd name="connsiteY27" fmla="*/ 566011 h 1014942"/>
              <a:gd name="connsiteX28" fmla="*/ 627097 w 1014942"/>
              <a:gd name="connsiteY28" fmla="*/ 487131 h 1014942"/>
              <a:gd name="connsiteX29" fmla="*/ 529764 w 1014942"/>
              <a:gd name="connsiteY29" fmla="*/ 436828 h 1014942"/>
              <a:gd name="connsiteX30" fmla="*/ 529764 w 1014942"/>
              <a:gd name="connsiteY30" fmla="*/ 320444 h 1014942"/>
              <a:gd name="connsiteX31" fmla="*/ 565483 w 1014942"/>
              <a:gd name="connsiteY31" fmla="*/ 368068 h 1014942"/>
              <a:gd name="connsiteX32" fmla="*/ 640788 w 1014942"/>
              <a:gd name="connsiteY32" fmla="*/ 358247 h 1014942"/>
              <a:gd name="connsiteX33" fmla="*/ 605072 w 1014942"/>
              <a:gd name="connsiteY33" fmla="*/ 287107 h 1014942"/>
              <a:gd name="connsiteX34" fmla="*/ 529764 w 1014942"/>
              <a:gd name="connsiteY34" fmla="*/ 254661 h 1014942"/>
              <a:gd name="connsiteX35" fmla="*/ 529764 w 1014942"/>
              <a:gd name="connsiteY35" fmla="*/ 225195 h 1014942"/>
              <a:gd name="connsiteX36" fmla="*/ 507471 w 1014942"/>
              <a:gd name="connsiteY36" fmla="*/ 0 h 1014942"/>
              <a:gd name="connsiteX37" fmla="*/ 1014942 w 1014942"/>
              <a:gd name="connsiteY37" fmla="*/ 507471 h 1014942"/>
              <a:gd name="connsiteX38" fmla="*/ 507471 w 1014942"/>
              <a:gd name="connsiteY38" fmla="*/ 1014942 h 1014942"/>
              <a:gd name="connsiteX39" fmla="*/ 0 w 1014942"/>
              <a:gd name="connsiteY39" fmla="*/ 507471 h 1014942"/>
              <a:gd name="connsiteX40" fmla="*/ 507471 w 1014942"/>
              <a:gd name="connsiteY40" fmla="*/ 0 h 1014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1014942" h="1014942">
                <a:moveTo>
                  <a:pt x="529764" y="520172"/>
                </a:moveTo>
                <a:cubicBezTo>
                  <a:pt x="547623" y="525330"/>
                  <a:pt x="560421" y="532772"/>
                  <a:pt x="568161" y="542495"/>
                </a:cubicBezTo>
                <a:cubicBezTo>
                  <a:pt x="576099" y="552021"/>
                  <a:pt x="580067" y="563429"/>
                  <a:pt x="580067" y="576724"/>
                </a:cubicBezTo>
                <a:cubicBezTo>
                  <a:pt x="580067" y="591607"/>
                  <a:pt x="575405" y="604606"/>
                  <a:pt x="566077" y="615719"/>
                </a:cubicBezTo>
                <a:cubicBezTo>
                  <a:pt x="556750" y="626631"/>
                  <a:pt x="544646" y="633478"/>
                  <a:pt x="529764" y="636257"/>
                </a:cubicBezTo>
                <a:close/>
                <a:moveTo>
                  <a:pt x="486603" y="319551"/>
                </a:moveTo>
                <a:lnTo>
                  <a:pt x="486603" y="422540"/>
                </a:lnTo>
                <a:cubicBezTo>
                  <a:pt x="473705" y="416985"/>
                  <a:pt x="464082" y="409742"/>
                  <a:pt x="457731" y="400810"/>
                </a:cubicBezTo>
                <a:cubicBezTo>
                  <a:pt x="451381" y="391684"/>
                  <a:pt x="448206" y="381860"/>
                  <a:pt x="448206" y="371344"/>
                </a:cubicBezTo>
                <a:cubicBezTo>
                  <a:pt x="448206" y="359835"/>
                  <a:pt x="451680" y="349316"/>
                  <a:pt x="458624" y="339790"/>
                </a:cubicBezTo>
                <a:cubicBezTo>
                  <a:pt x="465569" y="330264"/>
                  <a:pt x="474896" y="323518"/>
                  <a:pt x="486603" y="319551"/>
                </a:cubicBezTo>
                <a:close/>
                <a:moveTo>
                  <a:pt x="486603" y="225195"/>
                </a:moveTo>
                <a:lnTo>
                  <a:pt x="486603" y="254661"/>
                </a:lnTo>
                <a:cubicBezTo>
                  <a:pt x="452472" y="258034"/>
                  <a:pt x="425087" y="270835"/>
                  <a:pt x="404451" y="293058"/>
                </a:cubicBezTo>
                <a:cubicBezTo>
                  <a:pt x="384011" y="315087"/>
                  <a:pt x="373794" y="342371"/>
                  <a:pt x="373794" y="374915"/>
                </a:cubicBezTo>
                <a:cubicBezTo>
                  <a:pt x="373794" y="407060"/>
                  <a:pt x="382823" y="434445"/>
                  <a:pt x="400880" y="457067"/>
                </a:cubicBezTo>
                <a:cubicBezTo>
                  <a:pt x="419136" y="479492"/>
                  <a:pt x="447709" y="496260"/>
                  <a:pt x="486603" y="507370"/>
                </a:cubicBezTo>
                <a:lnTo>
                  <a:pt x="486603" y="632088"/>
                </a:lnTo>
                <a:cubicBezTo>
                  <a:pt x="475886" y="626930"/>
                  <a:pt x="466166" y="618596"/>
                  <a:pt x="457433" y="607087"/>
                </a:cubicBezTo>
                <a:cubicBezTo>
                  <a:pt x="448703" y="595577"/>
                  <a:pt x="442748" y="581883"/>
                  <a:pt x="439573" y="566011"/>
                </a:cubicBezTo>
                <a:lnTo>
                  <a:pt x="361885" y="574344"/>
                </a:lnTo>
                <a:cubicBezTo>
                  <a:pt x="367839" y="613437"/>
                  <a:pt x="381530" y="643698"/>
                  <a:pt x="402961" y="665129"/>
                </a:cubicBezTo>
                <a:cubicBezTo>
                  <a:pt x="424392" y="686560"/>
                  <a:pt x="452274" y="699358"/>
                  <a:pt x="486603" y="703527"/>
                </a:cubicBezTo>
                <a:lnTo>
                  <a:pt x="486603" y="757700"/>
                </a:lnTo>
                <a:lnTo>
                  <a:pt x="529764" y="757700"/>
                </a:lnTo>
                <a:lnTo>
                  <a:pt x="529764" y="702036"/>
                </a:lnTo>
                <a:cubicBezTo>
                  <a:pt x="568460" y="696482"/>
                  <a:pt x="598621" y="681401"/>
                  <a:pt x="620250" y="656795"/>
                </a:cubicBezTo>
                <a:cubicBezTo>
                  <a:pt x="642080" y="632189"/>
                  <a:pt x="652992" y="601928"/>
                  <a:pt x="652992" y="566011"/>
                </a:cubicBezTo>
                <a:cubicBezTo>
                  <a:pt x="652992" y="533862"/>
                  <a:pt x="644363" y="507568"/>
                  <a:pt x="627097" y="487131"/>
                </a:cubicBezTo>
                <a:cubicBezTo>
                  <a:pt x="609832" y="466492"/>
                  <a:pt x="577388" y="449727"/>
                  <a:pt x="529764" y="436828"/>
                </a:cubicBezTo>
                <a:lnTo>
                  <a:pt x="529764" y="320444"/>
                </a:lnTo>
                <a:cubicBezTo>
                  <a:pt x="549013" y="328778"/>
                  <a:pt x="560918" y="344653"/>
                  <a:pt x="565483" y="368068"/>
                </a:cubicBezTo>
                <a:lnTo>
                  <a:pt x="640788" y="358247"/>
                </a:lnTo>
                <a:cubicBezTo>
                  <a:pt x="635629" y="328479"/>
                  <a:pt x="623724" y="304766"/>
                  <a:pt x="605072" y="287107"/>
                </a:cubicBezTo>
                <a:cubicBezTo>
                  <a:pt x="586417" y="269248"/>
                  <a:pt x="561314" y="258433"/>
                  <a:pt x="529764" y="254661"/>
                </a:cubicBezTo>
                <a:lnTo>
                  <a:pt x="529764" y="225195"/>
                </a:lnTo>
                <a:close/>
                <a:moveTo>
                  <a:pt x="507471" y="0"/>
                </a:moveTo>
                <a:cubicBezTo>
                  <a:pt x="787739" y="0"/>
                  <a:pt x="1014942" y="227203"/>
                  <a:pt x="1014942" y="507471"/>
                </a:cubicBezTo>
                <a:cubicBezTo>
                  <a:pt x="1014942" y="787739"/>
                  <a:pt x="787739" y="1014942"/>
                  <a:pt x="507471" y="1014942"/>
                </a:cubicBezTo>
                <a:cubicBezTo>
                  <a:pt x="227203" y="1014942"/>
                  <a:pt x="0" y="787739"/>
                  <a:pt x="0" y="507471"/>
                </a:cubicBezTo>
                <a:cubicBezTo>
                  <a:pt x="0" y="227203"/>
                  <a:pt x="227203" y="0"/>
                  <a:pt x="507471" y="0"/>
                </a:cubicBezTo>
                <a:close/>
              </a:path>
            </a:pathLst>
          </a:custGeom>
          <a:grpFill/>
          <a:ln w="17998"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78" name="Freeform: Shape 66">
            <a:extLst>
              <a:ext uri="{FF2B5EF4-FFF2-40B4-BE49-F238E27FC236}">
                <a16:creationId xmlns:a16="http://schemas.microsoft.com/office/drawing/2014/main" id="{00000000-0008-0000-0000-000016010000}"/>
              </a:ext>
            </a:extLst>
          </xdr:cNvPr>
          <xdr:cNvSpPr/>
        </xdr:nvSpPr>
        <xdr:spPr>
          <a:xfrm>
            <a:off x="3439626" y="1737983"/>
            <a:ext cx="305143" cy="2056671"/>
          </a:xfrm>
          <a:custGeom>
            <a:avLst/>
            <a:gdLst>
              <a:gd name="connsiteX0" fmla="*/ 294 w 274669"/>
              <a:gd name="connsiteY0" fmla="*/ 147 h 2056670"/>
              <a:gd name="connsiteX1" fmla="*/ 274963 w 274669"/>
              <a:gd name="connsiteY1" fmla="*/ 147 h 2056670"/>
              <a:gd name="connsiteX2" fmla="*/ 274963 w 274669"/>
              <a:gd name="connsiteY2" fmla="*/ 2056818 h 2056670"/>
              <a:gd name="connsiteX3" fmla="*/ 294 w 274669"/>
              <a:gd name="connsiteY3" fmla="*/ 2056818 h 2056670"/>
            </a:gdLst>
            <a:ahLst/>
            <a:cxnLst>
              <a:cxn ang="0">
                <a:pos x="connsiteX0" y="connsiteY0"/>
              </a:cxn>
              <a:cxn ang="0">
                <a:pos x="connsiteX1" y="connsiteY1"/>
              </a:cxn>
              <a:cxn ang="0">
                <a:pos x="connsiteX2" y="connsiteY2"/>
              </a:cxn>
              <a:cxn ang="0">
                <a:pos x="connsiteX3" y="connsiteY3"/>
              </a:cxn>
            </a:cxnLst>
            <a:rect l="l" t="t" r="r" b="b"/>
            <a:pathLst>
              <a:path w="274669" h="2056670">
                <a:moveTo>
                  <a:pt x="294" y="147"/>
                </a:moveTo>
                <a:lnTo>
                  <a:pt x="274963" y="147"/>
                </a:lnTo>
                <a:lnTo>
                  <a:pt x="274963" y="2056818"/>
                </a:lnTo>
                <a:lnTo>
                  <a:pt x="294" y="2056818"/>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79" name="Freeform: Shape 67">
            <a:extLst>
              <a:ext uri="{FF2B5EF4-FFF2-40B4-BE49-F238E27FC236}">
                <a16:creationId xmlns:a16="http://schemas.microsoft.com/office/drawing/2014/main" id="{00000000-0008-0000-0000-000017010000}"/>
              </a:ext>
            </a:extLst>
          </xdr:cNvPr>
          <xdr:cNvSpPr/>
        </xdr:nvSpPr>
        <xdr:spPr>
          <a:xfrm>
            <a:off x="2890302" y="2173438"/>
            <a:ext cx="305143" cy="1621217"/>
          </a:xfrm>
          <a:custGeom>
            <a:avLst/>
            <a:gdLst>
              <a:gd name="connsiteX0" fmla="*/ 252 w 281368"/>
              <a:gd name="connsiteY0" fmla="*/ 163 h 1621217"/>
              <a:gd name="connsiteX1" fmla="*/ 281621 w 281368"/>
              <a:gd name="connsiteY1" fmla="*/ 163 h 1621217"/>
              <a:gd name="connsiteX2" fmla="*/ 281621 w 281368"/>
              <a:gd name="connsiteY2" fmla="*/ 1621381 h 1621217"/>
              <a:gd name="connsiteX3" fmla="*/ 252 w 281368"/>
              <a:gd name="connsiteY3" fmla="*/ 1621381 h 1621217"/>
            </a:gdLst>
            <a:ahLst/>
            <a:cxnLst>
              <a:cxn ang="0">
                <a:pos x="connsiteX0" y="connsiteY0"/>
              </a:cxn>
              <a:cxn ang="0">
                <a:pos x="connsiteX1" y="connsiteY1"/>
              </a:cxn>
              <a:cxn ang="0">
                <a:pos x="connsiteX2" y="connsiteY2"/>
              </a:cxn>
              <a:cxn ang="0">
                <a:pos x="connsiteX3" y="connsiteY3"/>
              </a:cxn>
            </a:cxnLst>
            <a:rect l="l" t="t" r="r" b="b"/>
            <a:pathLst>
              <a:path w="281368" h="1621217">
                <a:moveTo>
                  <a:pt x="252" y="163"/>
                </a:moveTo>
                <a:lnTo>
                  <a:pt x="281621" y="163"/>
                </a:lnTo>
                <a:lnTo>
                  <a:pt x="281621" y="1621381"/>
                </a:lnTo>
                <a:lnTo>
                  <a:pt x="252" y="1621381"/>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80" name="Freeform: Shape 68">
            <a:extLst>
              <a:ext uri="{FF2B5EF4-FFF2-40B4-BE49-F238E27FC236}">
                <a16:creationId xmlns:a16="http://schemas.microsoft.com/office/drawing/2014/main" id="{00000000-0008-0000-0000-000018010000}"/>
              </a:ext>
            </a:extLst>
          </xdr:cNvPr>
          <xdr:cNvSpPr/>
        </xdr:nvSpPr>
        <xdr:spPr>
          <a:xfrm>
            <a:off x="2354368" y="2736174"/>
            <a:ext cx="305143" cy="1058481"/>
          </a:xfrm>
          <a:custGeom>
            <a:avLst/>
            <a:gdLst>
              <a:gd name="connsiteX0" fmla="*/ 211 w 281368"/>
              <a:gd name="connsiteY0" fmla="*/ 184 h 1058483"/>
              <a:gd name="connsiteX1" fmla="*/ 281580 w 281368"/>
              <a:gd name="connsiteY1" fmla="*/ 184 h 1058483"/>
              <a:gd name="connsiteX2" fmla="*/ 281580 w 281368"/>
              <a:gd name="connsiteY2" fmla="*/ 1058668 h 1058483"/>
              <a:gd name="connsiteX3" fmla="*/ 211 w 281368"/>
              <a:gd name="connsiteY3" fmla="*/ 1058668 h 1058483"/>
            </a:gdLst>
            <a:ahLst/>
            <a:cxnLst>
              <a:cxn ang="0">
                <a:pos x="connsiteX0" y="connsiteY0"/>
              </a:cxn>
              <a:cxn ang="0">
                <a:pos x="connsiteX1" y="connsiteY1"/>
              </a:cxn>
              <a:cxn ang="0">
                <a:pos x="connsiteX2" y="connsiteY2"/>
              </a:cxn>
              <a:cxn ang="0">
                <a:pos x="connsiteX3" y="connsiteY3"/>
              </a:cxn>
            </a:cxnLst>
            <a:rect l="l" t="t" r="r" b="b"/>
            <a:pathLst>
              <a:path w="281368" h="1058483">
                <a:moveTo>
                  <a:pt x="211" y="184"/>
                </a:moveTo>
                <a:lnTo>
                  <a:pt x="281580" y="184"/>
                </a:lnTo>
                <a:lnTo>
                  <a:pt x="281580" y="1058668"/>
                </a:lnTo>
                <a:lnTo>
                  <a:pt x="211" y="1058668"/>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81" name="Freeform: Shape 69">
            <a:extLst>
              <a:ext uri="{FF2B5EF4-FFF2-40B4-BE49-F238E27FC236}">
                <a16:creationId xmlns:a16="http://schemas.microsoft.com/office/drawing/2014/main" id="{00000000-0008-0000-0000-000019010000}"/>
              </a:ext>
            </a:extLst>
          </xdr:cNvPr>
          <xdr:cNvSpPr/>
        </xdr:nvSpPr>
        <xdr:spPr>
          <a:xfrm>
            <a:off x="1844939" y="3097385"/>
            <a:ext cx="305143" cy="697273"/>
          </a:xfrm>
          <a:custGeom>
            <a:avLst/>
            <a:gdLst>
              <a:gd name="connsiteX0" fmla="*/ 171 w 275221"/>
              <a:gd name="connsiteY0" fmla="*/ 197 h 697273"/>
              <a:gd name="connsiteX1" fmla="*/ 275393 w 275221"/>
              <a:gd name="connsiteY1" fmla="*/ 197 h 697273"/>
              <a:gd name="connsiteX2" fmla="*/ 275393 w 275221"/>
              <a:gd name="connsiteY2" fmla="*/ 697471 h 697273"/>
              <a:gd name="connsiteX3" fmla="*/ 171 w 275221"/>
              <a:gd name="connsiteY3" fmla="*/ 697471 h 697273"/>
            </a:gdLst>
            <a:ahLst/>
            <a:cxnLst>
              <a:cxn ang="0">
                <a:pos x="connsiteX0" y="connsiteY0"/>
              </a:cxn>
              <a:cxn ang="0">
                <a:pos x="connsiteX1" y="connsiteY1"/>
              </a:cxn>
              <a:cxn ang="0">
                <a:pos x="connsiteX2" y="connsiteY2"/>
              </a:cxn>
              <a:cxn ang="0">
                <a:pos x="connsiteX3" y="connsiteY3"/>
              </a:cxn>
            </a:cxnLst>
            <a:rect l="l" t="t" r="r" b="b"/>
            <a:pathLst>
              <a:path w="275221" h="697273">
                <a:moveTo>
                  <a:pt x="171" y="197"/>
                </a:moveTo>
                <a:lnTo>
                  <a:pt x="275393" y="197"/>
                </a:lnTo>
                <a:lnTo>
                  <a:pt x="275393" y="697471"/>
                </a:lnTo>
                <a:lnTo>
                  <a:pt x="171" y="697471"/>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grpSp>
    <xdr:clientData/>
  </xdr:twoCellAnchor>
  <xdr:twoCellAnchor>
    <xdr:from>
      <xdr:col>18</xdr:col>
      <xdr:colOff>326092</xdr:colOff>
      <xdr:row>13</xdr:row>
      <xdr:rowOff>47167</xdr:rowOff>
    </xdr:from>
    <xdr:to>
      <xdr:col>21</xdr:col>
      <xdr:colOff>632170</xdr:colOff>
      <xdr:row>21</xdr:row>
      <xdr:rowOff>103410</xdr:rowOff>
    </xdr:to>
    <xdr:grpSp>
      <xdr:nvGrpSpPr>
        <xdr:cNvPr id="282" name="Group 281">
          <a:extLst>
            <a:ext uri="{FF2B5EF4-FFF2-40B4-BE49-F238E27FC236}">
              <a16:creationId xmlns:a16="http://schemas.microsoft.com/office/drawing/2014/main" id="{00000000-0008-0000-0000-00001A010000}"/>
            </a:ext>
          </a:extLst>
        </xdr:cNvPr>
        <xdr:cNvGrpSpPr/>
      </xdr:nvGrpSpPr>
      <xdr:grpSpPr>
        <a:xfrm>
          <a:off x="15185092" y="2606217"/>
          <a:ext cx="2782578" cy="1631043"/>
          <a:chOff x="6684884" y="1133961"/>
          <a:chExt cx="4632942" cy="2991773"/>
        </a:xfrm>
        <a:effectLst>
          <a:outerShdw blurRad="50800" dist="38100" dir="2700000" algn="tl" rotWithShape="0">
            <a:prstClr val="black">
              <a:alpha val="40000"/>
            </a:prstClr>
          </a:outerShdw>
        </a:effectLst>
      </xdr:grpSpPr>
      <xdr:sp macro="" textlink="">
        <xdr:nvSpPr>
          <xdr:cNvPr id="283" name="Rectangle: Rounded Corners 34">
            <a:extLst>
              <a:ext uri="{FF2B5EF4-FFF2-40B4-BE49-F238E27FC236}">
                <a16:creationId xmlns:a16="http://schemas.microsoft.com/office/drawing/2014/main" id="{00000000-0008-0000-0000-00001B010000}"/>
              </a:ext>
            </a:extLst>
          </xdr:cNvPr>
          <xdr:cNvSpPr/>
        </xdr:nvSpPr>
        <xdr:spPr>
          <a:xfrm>
            <a:off x="6684884" y="1133961"/>
            <a:ext cx="4632942" cy="2991773"/>
          </a:xfrm>
          <a:prstGeom prst="roundRect">
            <a:avLst>
              <a:gd name="adj" fmla="val 6897"/>
            </a:avLst>
          </a:prstGeom>
          <a:gradFill flip="none" rotWithShape="1">
            <a:gsLst>
              <a:gs pos="77000">
                <a:srgbClr val="2D3540"/>
              </a:gs>
              <a:gs pos="0">
                <a:srgbClr val="4472C4">
                  <a:lumMod val="30000"/>
                  <a:lumOff val="70000"/>
                </a:srgbClr>
              </a:gs>
            </a:gsLst>
            <a:path path="circle">
              <a:fillToRect l="100000" b="100000"/>
            </a:path>
            <a:tileRect t="-100000" r="-100000"/>
          </a:gradFill>
          <a:ln w="12700" cap="flat" cmpd="sng" algn="ctr">
            <a:solidFill>
              <a:srgbClr val="4472C4">
                <a:shade val="15000"/>
              </a:srgbClr>
            </a:solid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nvGrpSpPr>
          <xdr:cNvPr id="284" name="Group 283">
            <a:extLst>
              <a:ext uri="{FF2B5EF4-FFF2-40B4-BE49-F238E27FC236}">
                <a16:creationId xmlns:a16="http://schemas.microsoft.com/office/drawing/2014/main" id="{00000000-0008-0000-0000-00001C010000}"/>
              </a:ext>
            </a:extLst>
          </xdr:cNvPr>
          <xdr:cNvGrpSpPr/>
        </xdr:nvGrpSpPr>
        <xdr:grpSpPr>
          <a:xfrm>
            <a:off x="7138979" y="2378947"/>
            <a:ext cx="710550" cy="501799"/>
            <a:chOff x="2716066" y="2011251"/>
            <a:chExt cx="710550" cy="501799"/>
          </a:xfrm>
          <a:solidFill>
            <a:srgbClr val="FBF1BD"/>
          </a:solidFill>
        </xdr:grpSpPr>
        <xdr:sp macro="" textlink="">
          <xdr:nvSpPr>
            <xdr:cNvPr id="288" name="Freeform: Shape 48">
              <a:extLst>
                <a:ext uri="{FF2B5EF4-FFF2-40B4-BE49-F238E27FC236}">
                  <a16:creationId xmlns:a16="http://schemas.microsoft.com/office/drawing/2014/main" id="{00000000-0008-0000-0000-000020010000}"/>
                </a:ext>
              </a:extLst>
            </xdr:cNvPr>
            <xdr:cNvSpPr/>
          </xdr:nvSpPr>
          <xdr:spPr>
            <a:xfrm>
              <a:off x="2716066" y="2011251"/>
              <a:ext cx="710548" cy="102310"/>
            </a:xfrm>
            <a:custGeom>
              <a:avLst/>
              <a:gdLst>
                <a:gd name="connsiteX0" fmla="*/ 80328 w 710548"/>
                <a:gd name="connsiteY0" fmla="*/ 0 h 102310"/>
                <a:gd name="connsiteX1" fmla="*/ 630220 w 710548"/>
                <a:gd name="connsiteY1" fmla="*/ 0 h 102310"/>
                <a:gd name="connsiteX2" fmla="*/ 710548 w 710548"/>
                <a:gd name="connsiteY2" fmla="*/ 80328 h 102310"/>
                <a:gd name="connsiteX3" fmla="*/ 710548 w 710548"/>
                <a:gd name="connsiteY3" fmla="*/ 102310 h 102310"/>
                <a:gd name="connsiteX4" fmla="*/ 426341 w 710548"/>
                <a:gd name="connsiteY4" fmla="*/ 102310 h 102310"/>
                <a:gd name="connsiteX5" fmla="*/ 417706 w 710548"/>
                <a:gd name="connsiteY5" fmla="*/ 89503 h 102310"/>
                <a:gd name="connsiteX6" fmla="*/ 379637 w 710548"/>
                <a:gd name="connsiteY6" fmla="*/ 73734 h 102310"/>
                <a:gd name="connsiteX7" fmla="*/ 330912 w 710548"/>
                <a:gd name="connsiteY7" fmla="*/ 73734 h 102310"/>
                <a:gd name="connsiteX8" fmla="*/ 292843 w 710548"/>
                <a:gd name="connsiteY8" fmla="*/ 89503 h 102310"/>
                <a:gd name="connsiteX9" fmla="*/ 284208 w 710548"/>
                <a:gd name="connsiteY9" fmla="*/ 102310 h 102310"/>
                <a:gd name="connsiteX10" fmla="*/ 0 w 710548"/>
                <a:gd name="connsiteY10" fmla="*/ 102310 h 102310"/>
                <a:gd name="connsiteX11" fmla="*/ 0 w 710548"/>
                <a:gd name="connsiteY11" fmla="*/ 80328 h 102310"/>
                <a:gd name="connsiteX12" fmla="*/ 80328 w 710548"/>
                <a:gd name="connsiteY12" fmla="*/ 0 h 10231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710548" h="102310">
                  <a:moveTo>
                    <a:pt x="80328" y="0"/>
                  </a:moveTo>
                  <a:lnTo>
                    <a:pt x="630220" y="0"/>
                  </a:lnTo>
                  <a:cubicBezTo>
                    <a:pt x="674584" y="0"/>
                    <a:pt x="710548" y="35964"/>
                    <a:pt x="710548" y="80328"/>
                  </a:cubicBezTo>
                  <a:lnTo>
                    <a:pt x="710548" y="102310"/>
                  </a:lnTo>
                  <a:lnTo>
                    <a:pt x="426341" y="102310"/>
                  </a:lnTo>
                  <a:lnTo>
                    <a:pt x="417706" y="89503"/>
                  </a:lnTo>
                  <a:cubicBezTo>
                    <a:pt x="407964" y="79760"/>
                    <a:pt x="394504" y="73734"/>
                    <a:pt x="379637" y="73734"/>
                  </a:cubicBezTo>
                  <a:lnTo>
                    <a:pt x="330912" y="73734"/>
                  </a:lnTo>
                  <a:cubicBezTo>
                    <a:pt x="316045" y="73734"/>
                    <a:pt x="302586" y="79760"/>
                    <a:pt x="292843" y="89503"/>
                  </a:cubicBezTo>
                  <a:lnTo>
                    <a:pt x="284208" y="102310"/>
                  </a:lnTo>
                  <a:lnTo>
                    <a:pt x="0" y="102310"/>
                  </a:lnTo>
                  <a:lnTo>
                    <a:pt x="0" y="80328"/>
                  </a:lnTo>
                  <a:cubicBezTo>
                    <a:pt x="0" y="35964"/>
                    <a:pt x="35964" y="0"/>
                    <a:pt x="80328" y="0"/>
                  </a:cubicBez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289" name="Freeform: Shape 49">
              <a:extLst>
                <a:ext uri="{FF2B5EF4-FFF2-40B4-BE49-F238E27FC236}">
                  <a16:creationId xmlns:a16="http://schemas.microsoft.com/office/drawing/2014/main" id="{00000000-0008-0000-0000-000021010000}"/>
                </a:ext>
              </a:extLst>
            </xdr:cNvPr>
            <xdr:cNvSpPr/>
          </xdr:nvSpPr>
          <xdr:spPr>
            <a:xfrm>
              <a:off x="2716066" y="2410739"/>
              <a:ext cx="710548" cy="102311"/>
            </a:xfrm>
            <a:custGeom>
              <a:avLst/>
              <a:gdLst>
                <a:gd name="connsiteX0" fmla="*/ 0 w 710548"/>
                <a:gd name="connsiteY0" fmla="*/ 0 h 102311"/>
                <a:gd name="connsiteX1" fmla="*/ 284208 w 710548"/>
                <a:gd name="connsiteY1" fmla="*/ 0 h 102311"/>
                <a:gd name="connsiteX2" fmla="*/ 292843 w 710548"/>
                <a:gd name="connsiteY2" fmla="*/ 12807 h 102311"/>
                <a:gd name="connsiteX3" fmla="*/ 330912 w 710548"/>
                <a:gd name="connsiteY3" fmla="*/ 28576 h 102311"/>
                <a:gd name="connsiteX4" fmla="*/ 379637 w 710548"/>
                <a:gd name="connsiteY4" fmla="*/ 28576 h 102311"/>
                <a:gd name="connsiteX5" fmla="*/ 417706 w 710548"/>
                <a:gd name="connsiteY5" fmla="*/ 12807 h 102311"/>
                <a:gd name="connsiteX6" fmla="*/ 426341 w 710548"/>
                <a:gd name="connsiteY6" fmla="*/ 0 h 102311"/>
                <a:gd name="connsiteX7" fmla="*/ 710548 w 710548"/>
                <a:gd name="connsiteY7" fmla="*/ 0 h 102311"/>
                <a:gd name="connsiteX8" fmla="*/ 710548 w 710548"/>
                <a:gd name="connsiteY8" fmla="*/ 21983 h 102311"/>
                <a:gd name="connsiteX9" fmla="*/ 630220 w 710548"/>
                <a:gd name="connsiteY9" fmla="*/ 102311 h 102311"/>
                <a:gd name="connsiteX10" fmla="*/ 80328 w 710548"/>
                <a:gd name="connsiteY10" fmla="*/ 102311 h 102311"/>
                <a:gd name="connsiteX11" fmla="*/ 0 w 710548"/>
                <a:gd name="connsiteY11" fmla="*/ 21983 h 102311"/>
                <a:gd name="connsiteX12" fmla="*/ 0 w 710548"/>
                <a:gd name="connsiteY12" fmla="*/ 0 h 10231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710548" h="102311">
                  <a:moveTo>
                    <a:pt x="0" y="0"/>
                  </a:moveTo>
                  <a:lnTo>
                    <a:pt x="284208" y="0"/>
                  </a:lnTo>
                  <a:lnTo>
                    <a:pt x="292843" y="12807"/>
                  </a:lnTo>
                  <a:cubicBezTo>
                    <a:pt x="302586" y="22550"/>
                    <a:pt x="316045" y="28576"/>
                    <a:pt x="330912" y="28576"/>
                  </a:cubicBezTo>
                  <a:lnTo>
                    <a:pt x="379637" y="28576"/>
                  </a:lnTo>
                  <a:cubicBezTo>
                    <a:pt x="394504" y="28576"/>
                    <a:pt x="407964" y="22550"/>
                    <a:pt x="417706" y="12807"/>
                  </a:cubicBezTo>
                  <a:lnTo>
                    <a:pt x="426341" y="0"/>
                  </a:lnTo>
                  <a:lnTo>
                    <a:pt x="710548" y="0"/>
                  </a:lnTo>
                  <a:lnTo>
                    <a:pt x="710548" y="21983"/>
                  </a:lnTo>
                  <a:cubicBezTo>
                    <a:pt x="710548" y="66347"/>
                    <a:pt x="674584" y="102311"/>
                    <a:pt x="630220" y="102311"/>
                  </a:cubicBezTo>
                  <a:lnTo>
                    <a:pt x="80328" y="102311"/>
                  </a:lnTo>
                  <a:cubicBezTo>
                    <a:pt x="35964" y="102311"/>
                    <a:pt x="0" y="66347"/>
                    <a:pt x="0" y="21983"/>
                  </a:cubicBezTo>
                  <a:lnTo>
                    <a:pt x="0"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290" name="Freeform: Shape 50">
              <a:extLst>
                <a:ext uri="{FF2B5EF4-FFF2-40B4-BE49-F238E27FC236}">
                  <a16:creationId xmlns:a16="http://schemas.microsoft.com/office/drawing/2014/main" id="{00000000-0008-0000-0000-000022010000}"/>
                </a:ext>
              </a:extLst>
            </xdr:cNvPr>
            <xdr:cNvSpPr/>
          </xdr:nvSpPr>
          <xdr:spPr>
            <a:xfrm>
              <a:off x="2716066" y="2113561"/>
              <a:ext cx="284208" cy="148588"/>
            </a:xfrm>
            <a:custGeom>
              <a:avLst/>
              <a:gdLst>
                <a:gd name="connsiteX0" fmla="*/ 0 w 284208"/>
                <a:gd name="connsiteY0" fmla="*/ 0 h 148588"/>
                <a:gd name="connsiteX1" fmla="*/ 284208 w 284208"/>
                <a:gd name="connsiteY1" fmla="*/ 0 h 148588"/>
                <a:gd name="connsiteX2" fmla="*/ 281305 w 284208"/>
                <a:gd name="connsiteY2" fmla="*/ 4306 h 148588"/>
                <a:gd name="connsiteX3" fmla="*/ 277074 w 284208"/>
                <a:gd name="connsiteY3" fmla="*/ 25262 h 148588"/>
                <a:gd name="connsiteX4" fmla="*/ 277074 w 284208"/>
                <a:gd name="connsiteY4" fmla="*/ 148588 h 148588"/>
                <a:gd name="connsiteX5" fmla="*/ 0 w 284208"/>
                <a:gd name="connsiteY5" fmla="*/ 148588 h 148588"/>
                <a:gd name="connsiteX6" fmla="*/ 0 w 284208"/>
                <a:gd name="connsiteY6" fmla="*/ 0 h 1485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8" h="148588">
                  <a:moveTo>
                    <a:pt x="0" y="0"/>
                  </a:moveTo>
                  <a:lnTo>
                    <a:pt x="284208" y="0"/>
                  </a:lnTo>
                  <a:lnTo>
                    <a:pt x="281305" y="4306"/>
                  </a:lnTo>
                  <a:cubicBezTo>
                    <a:pt x="278581" y="10747"/>
                    <a:pt x="277074" y="17829"/>
                    <a:pt x="277074" y="25262"/>
                  </a:cubicBezTo>
                  <a:lnTo>
                    <a:pt x="277074" y="148588"/>
                  </a:lnTo>
                  <a:lnTo>
                    <a:pt x="0" y="148588"/>
                  </a:lnTo>
                  <a:lnTo>
                    <a:pt x="0"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291" name="Freeform: Shape 51">
              <a:extLst>
                <a:ext uri="{FF2B5EF4-FFF2-40B4-BE49-F238E27FC236}">
                  <a16:creationId xmlns:a16="http://schemas.microsoft.com/office/drawing/2014/main" id="{00000000-0008-0000-0000-000023010000}"/>
                </a:ext>
              </a:extLst>
            </xdr:cNvPr>
            <xdr:cNvSpPr/>
          </xdr:nvSpPr>
          <xdr:spPr>
            <a:xfrm>
              <a:off x="3142409" y="2113561"/>
              <a:ext cx="284207" cy="148588"/>
            </a:xfrm>
            <a:custGeom>
              <a:avLst/>
              <a:gdLst>
                <a:gd name="connsiteX0" fmla="*/ 0 w 284207"/>
                <a:gd name="connsiteY0" fmla="*/ 0 h 148588"/>
                <a:gd name="connsiteX1" fmla="*/ 284207 w 284207"/>
                <a:gd name="connsiteY1" fmla="*/ 0 h 148588"/>
                <a:gd name="connsiteX2" fmla="*/ 284207 w 284207"/>
                <a:gd name="connsiteY2" fmla="*/ 148588 h 148588"/>
                <a:gd name="connsiteX3" fmla="*/ 7134 w 284207"/>
                <a:gd name="connsiteY3" fmla="*/ 148588 h 148588"/>
                <a:gd name="connsiteX4" fmla="*/ 7134 w 284207"/>
                <a:gd name="connsiteY4" fmla="*/ 25262 h 148588"/>
                <a:gd name="connsiteX5" fmla="*/ 2903 w 284207"/>
                <a:gd name="connsiteY5" fmla="*/ 4306 h 148588"/>
                <a:gd name="connsiteX6" fmla="*/ 0 w 284207"/>
                <a:gd name="connsiteY6" fmla="*/ 0 h 1485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7" h="148588">
                  <a:moveTo>
                    <a:pt x="0" y="0"/>
                  </a:moveTo>
                  <a:lnTo>
                    <a:pt x="284207" y="0"/>
                  </a:lnTo>
                  <a:lnTo>
                    <a:pt x="284207" y="148588"/>
                  </a:lnTo>
                  <a:lnTo>
                    <a:pt x="7134" y="148588"/>
                  </a:lnTo>
                  <a:lnTo>
                    <a:pt x="7134" y="25262"/>
                  </a:lnTo>
                  <a:cubicBezTo>
                    <a:pt x="7134" y="17829"/>
                    <a:pt x="5628" y="10747"/>
                    <a:pt x="2903" y="4306"/>
                  </a:cubicBezTo>
                  <a:lnTo>
                    <a:pt x="0"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292" name="Freeform: Shape 52">
              <a:extLst>
                <a:ext uri="{FF2B5EF4-FFF2-40B4-BE49-F238E27FC236}">
                  <a16:creationId xmlns:a16="http://schemas.microsoft.com/office/drawing/2014/main" id="{00000000-0008-0000-0000-000024010000}"/>
                </a:ext>
              </a:extLst>
            </xdr:cNvPr>
            <xdr:cNvSpPr/>
          </xdr:nvSpPr>
          <xdr:spPr>
            <a:xfrm>
              <a:off x="2716066" y="2262150"/>
              <a:ext cx="284208" cy="148589"/>
            </a:xfrm>
            <a:custGeom>
              <a:avLst/>
              <a:gdLst>
                <a:gd name="connsiteX0" fmla="*/ 0 w 284208"/>
                <a:gd name="connsiteY0" fmla="*/ 0 h 148589"/>
                <a:gd name="connsiteX1" fmla="*/ 277074 w 284208"/>
                <a:gd name="connsiteY1" fmla="*/ 0 h 148589"/>
                <a:gd name="connsiteX2" fmla="*/ 277074 w 284208"/>
                <a:gd name="connsiteY2" fmla="*/ 123327 h 148589"/>
                <a:gd name="connsiteX3" fmla="*/ 281305 w 284208"/>
                <a:gd name="connsiteY3" fmla="*/ 144283 h 148589"/>
                <a:gd name="connsiteX4" fmla="*/ 284208 w 284208"/>
                <a:gd name="connsiteY4" fmla="*/ 148589 h 148589"/>
                <a:gd name="connsiteX5" fmla="*/ 0 w 284208"/>
                <a:gd name="connsiteY5" fmla="*/ 148589 h 148589"/>
                <a:gd name="connsiteX6" fmla="*/ 0 w 284208"/>
                <a:gd name="connsiteY6" fmla="*/ 0 h 1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8" h="148589">
                  <a:moveTo>
                    <a:pt x="0" y="0"/>
                  </a:moveTo>
                  <a:lnTo>
                    <a:pt x="277074" y="0"/>
                  </a:lnTo>
                  <a:lnTo>
                    <a:pt x="277074" y="123327"/>
                  </a:lnTo>
                  <a:cubicBezTo>
                    <a:pt x="277074" y="130761"/>
                    <a:pt x="278581" y="137842"/>
                    <a:pt x="281305" y="144283"/>
                  </a:cubicBezTo>
                  <a:lnTo>
                    <a:pt x="284208" y="148589"/>
                  </a:lnTo>
                  <a:lnTo>
                    <a:pt x="0" y="148589"/>
                  </a:lnTo>
                  <a:lnTo>
                    <a:pt x="0" y="0"/>
                  </a:lnTo>
                  <a:close/>
                </a:path>
              </a:pathLst>
            </a:custGeom>
            <a:grpFill/>
            <a:ln w="6350" cap="flat" cmpd="sng" algn="ctr">
              <a:solidFill>
                <a:srgbClr val="4472C4">
                  <a:shade val="15000"/>
                </a:srgbClr>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293" name="Freeform: Shape 57">
              <a:extLst>
                <a:ext uri="{FF2B5EF4-FFF2-40B4-BE49-F238E27FC236}">
                  <a16:creationId xmlns:a16="http://schemas.microsoft.com/office/drawing/2014/main" id="{00000000-0008-0000-0000-000025010000}"/>
                </a:ext>
              </a:extLst>
            </xdr:cNvPr>
            <xdr:cNvSpPr/>
          </xdr:nvSpPr>
          <xdr:spPr>
            <a:xfrm>
              <a:off x="3142409" y="2262150"/>
              <a:ext cx="284207" cy="148589"/>
            </a:xfrm>
            <a:custGeom>
              <a:avLst/>
              <a:gdLst>
                <a:gd name="connsiteX0" fmla="*/ 7134 w 284207"/>
                <a:gd name="connsiteY0" fmla="*/ 0 h 148589"/>
                <a:gd name="connsiteX1" fmla="*/ 284207 w 284207"/>
                <a:gd name="connsiteY1" fmla="*/ 0 h 148589"/>
                <a:gd name="connsiteX2" fmla="*/ 284207 w 284207"/>
                <a:gd name="connsiteY2" fmla="*/ 148589 h 148589"/>
                <a:gd name="connsiteX3" fmla="*/ 0 w 284207"/>
                <a:gd name="connsiteY3" fmla="*/ 148589 h 148589"/>
                <a:gd name="connsiteX4" fmla="*/ 2903 w 284207"/>
                <a:gd name="connsiteY4" fmla="*/ 144283 h 148589"/>
                <a:gd name="connsiteX5" fmla="*/ 7134 w 284207"/>
                <a:gd name="connsiteY5" fmla="*/ 123327 h 148589"/>
                <a:gd name="connsiteX6" fmla="*/ 7134 w 284207"/>
                <a:gd name="connsiteY6" fmla="*/ 0 h 1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7" h="148589">
                  <a:moveTo>
                    <a:pt x="7134" y="0"/>
                  </a:moveTo>
                  <a:lnTo>
                    <a:pt x="284207" y="0"/>
                  </a:lnTo>
                  <a:lnTo>
                    <a:pt x="284207" y="148589"/>
                  </a:lnTo>
                  <a:lnTo>
                    <a:pt x="0" y="148589"/>
                  </a:lnTo>
                  <a:lnTo>
                    <a:pt x="2903" y="144283"/>
                  </a:lnTo>
                  <a:cubicBezTo>
                    <a:pt x="5628" y="137842"/>
                    <a:pt x="7134" y="130761"/>
                    <a:pt x="7134" y="123327"/>
                  </a:cubicBezTo>
                  <a:lnTo>
                    <a:pt x="7134"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294" name="Rectangle: Rounded Corners 58">
              <a:extLst>
                <a:ext uri="{FF2B5EF4-FFF2-40B4-BE49-F238E27FC236}">
                  <a16:creationId xmlns:a16="http://schemas.microsoft.com/office/drawing/2014/main" id="{00000000-0008-0000-0000-000026010000}"/>
                </a:ext>
              </a:extLst>
            </xdr:cNvPr>
            <xdr:cNvSpPr/>
          </xdr:nvSpPr>
          <xdr:spPr>
            <a:xfrm>
              <a:off x="2993139" y="2084984"/>
              <a:ext cx="156401" cy="354330"/>
            </a:xfrm>
            <a:prstGeom prst="roundRect">
              <a:avLst>
                <a:gd name="adj" fmla="val 34423"/>
              </a:avLst>
            </a:prstGeom>
            <a:grpFill/>
            <a:ln w="6350" cap="flat" cmpd="sng" algn="ctr">
              <a:solidFill>
                <a:sysClr val="windowText" lastClr="000000"/>
              </a:solid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sp macro="" textlink="">
        <xdr:nvSpPr>
          <xdr:cNvPr id="285" name="Oval 284">
            <a:extLst>
              <a:ext uri="{FF2B5EF4-FFF2-40B4-BE49-F238E27FC236}">
                <a16:creationId xmlns:a16="http://schemas.microsoft.com/office/drawing/2014/main" id="{00000000-0008-0000-0000-00001D010000}"/>
              </a:ext>
            </a:extLst>
          </xdr:cNvPr>
          <xdr:cNvSpPr/>
        </xdr:nvSpPr>
        <xdr:spPr>
          <a:xfrm>
            <a:off x="10163787" y="1535610"/>
            <a:ext cx="504000" cy="504000"/>
          </a:xfrm>
          <a:prstGeom prst="ellipse">
            <a:avLst/>
          </a:prstGeom>
          <a:solidFill>
            <a:srgbClr val="FF0000"/>
          </a:solidFill>
          <a:ln w="12700" cap="flat" cmpd="sng" algn="ctr">
            <a:no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286" name="Oval 285">
            <a:extLst>
              <a:ext uri="{FF2B5EF4-FFF2-40B4-BE49-F238E27FC236}">
                <a16:creationId xmlns:a16="http://schemas.microsoft.com/office/drawing/2014/main" id="{00000000-0008-0000-0000-00001E010000}"/>
              </a:ext>
            </a:extLst>
          </xdr:cNvPr>
          <xdr:cNvSpPr/>
        </xdr:nvSpPr>
        <xdr:spPr>
          <a:xfrm>
            <a:off x="10414983" y="1535610"/>
            <a:ext cx="505609" cy="504000"/>
          </a:xfrm>
          <a:prstGeom prst="ellipse">
            <a:avLst/>
          </a:prstGeom>
          <a:solidFill>
            <a:srgbClr val="FFC000"/>
          </a:solidFill>
          <a:ln w="12700" cap="flat" cmpd="sng" algn="ctr">
            <a:no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287" name="TextBox 55">
            <a:extLst>
              <a:ext uri="{FF2B5EF4-FFF2-40B4-BE49-F238E27FC236}">
                <a16:creationId xmlns:a16="http://schemas.microsoft.com/office/drawing/2014/main" id="{00000000-0008-0000-0000-00001F010000}"/>
              </a:ext>
            </a:extLst>
          </xdr:cNvPr>
          <xdr:cNvSpPr txBox="1"/>
        </xdr:nvSpPr>
        <xdr:spPr>
          <a:xfrm>
            <a:off x="7227366" y="3183940"/>
            <a:ext cx="3547978" cy="708003"/>
          </a:xfrm>
          <a:prstGeom prst="rect">
            <a:avLst/>
          </a:prstGeom>
          <a:noFill/>
        </xdr:spPr>
        <xdr:txBody>
          <a:bodyPr wrap="square" rtlCol="0">
            <a:sp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ysClr val="window" lastClr="FFFFFF"/>
                </a:solidFill>
                <a:effectLst/>
                <a:uLnTx/>
                <a:uFillTx/>
                <a:latin typeface="Calibri" panose="020F0502020204030204"/>
                <a:ea typeface="+mn-ea"/>
                <a:cs typeface="+mn-cs"/>
              </a:rPr>
              <a:t>1234 …. …. 5678</a:t>
            </a: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19</xdr:col>
      <xdr:colOff>378838</xdr:colOff>
      <xdr:row>21</xdr:row>
      <xdr:rowOff>139850</xdr:rowOff>
    </xdr:from>
    <xdr:to>
      <xdr:col>21</xdr:col>
      <xdr:colOff>479770</xdr:colOff>
      <xdr:row>24</xdr:row>
      <xdr:rowOff>162710</xdr:rowOff>
    </xdr:to>
    <xdr:sp macro="" textlink="Processing!M1">
      <xdr:nvSpPr>
        <xdr:cNvPr id="295" name="TextBox 294">
          <a:extLst>
            <a:ext uri="{FF2B5EF4-FFF2-40B4-BE49-F238E27FC236}">
              <a16:creationId xmlns:a16="http://schemas.microsoft.com/office/drawing/2014/main" id="{00000000-0008-0000-0000-000027010000}"/>
            </a:ext>
          </a:extLst>
        </xdr:cNvPr>
        <xdr:cNvSpPr txBox="1"/>
      </xdr:nvSpPr>
      <xdr:spPr>
        <a:xfrm>
          <a:off x="16063338" y="4407050"/>
          <a:ext cx="1751932" cy="632460"/>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A4479AA1-44E4-9642-B8F4-B538BA72A965}" type="TxLink">
            <a:rPr kumimoji="0" lang="en-US" sz="1800" b="0" i="0" u="none" strike="noStrike" kern="0" cap="none" spc="0" normalizeH="0" baseline="0" noProof="0">
              <a:ln>
                <a:noFill/>
              </a:ln>
              <a:solidFill>
                <a:srgbClr val="BFCDE4"/>
              </a:soli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Sum of Balance</a:t>
          </a:fld>
          <a:endParaRPr kumimoji="0" lang="ru-RU" sz="1800" b="0" i="0" u="none" strike="noStrike" kern="0" cap="none" spc="0" normalizeH="0" baseline="0" noProof="0">
            <a:ln>
              <a:noFill/>
            </a:ln>
            <a:solidFill>
              <a:srgbClr val="BFCDE4"/>
            </a:solidFill>
            <a:effectLst/>
            <a:uLnTx/>
            <a:uFillTx/>
            <a:latin typeface="Calibri"/>
            <a:ea typeface="+mn-ea"/>
            <a:cs typeface="Calibri"/>
          </a:endParaRPr>
        </a:p>
      </xdr:txBody>
    </xdr:sp>
    <xdr:clientData/>
  </xdr:twoCellAnchor>
  <xdr:twoCellAnchor>
    <xdr:from>
      <xdr:col>18</xdr:col>
      <xdr:colOff>173692</xdr:colOff>
      <xdr:row>21</xdr:row>
      <xdr:rowOff>139850</xdr:rowOff>
    </xdr:from>
    <xdr:to>
      <xdr:col>20</xdr:col>
      <xdr:colOff>211124</xdr:colOff>
      <xdr:row>24</xdr:row>
      <xdr:rowOff>162710</xdr:rowOff>
    </xdr:to>
    <xdr:sp macro="" textlink="Processing!L1">
      <xdr:nvSpPr>
        <xdr:cNvPr id="296" name="TextBox 295">
          <a:extLst>
            <a:ext uri="{FF2B5EF4-FFF2-40B4-BE49-F238E27FC236}">
              <a16:creationId xmlns:a16="http://schemas.microsoft.com/office/drawing/2014/main" id="{00000000-0008-0000-0000-000028010000}"/>
            </a:ext>
          </a:extLst>
        </xdr:cNvPr>
        <xdr:cNvSpPr txBox="1"/>
      </xdr:nvSpPr>
      <xdr:spPr>
        <a:xfrm>
          <a:off x="15032692" y="4407050"/>
          <a:ext cx="1688432" cy="632460"/>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222482CA-CB9C-5C42-928B-1F9450C5B75A}" type="TxLink">
            <a:rPr kumimoji="0" lang="en-US" sz="1800" b="0" i="0" u="none" strike="noStrike" kern="0" cap="none" spc="0" normalizeH="0" baseline="0" noProof="0">
              <a:ln>
                <a:noFill/>
              </a:ln>
              <a:solidFill>
                <a:srgbClr val="BFCDE4"/>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Balance:</a:t>
          </a:fld>
          <a:endParaRPr kumimoji="0" lang="ru-RU" sz="1800" b="0" i="0" u="none" strike="noStrike" kern="0" cap="none" spc="0" normalizeH="0" baseline="0" noProof="0">
            <a:ln>
              <a:noFill/>
            </a:ln>
            <a:solidFill>
              <a:srgbClr val="BFCDE4"/>
            </a:solidFill>
            <a:effectLst/>
            <a:uLnTx/>
            <a:uFillTx/>
            <a:latin typeface="Calibri"/>
            <a:ea typeface="+mn-ea"/>
            <a:cs typeface="Calibri"/>
          </a:endParaRPr>
        </a:p>
      </xdr:txBody>
    </xdr:sp>
    <xdr:clientData/>
  </xdr:twoCellAnchor>
  <xdr:twoCellAnchor>
    <xdr:from>
      <xdr:col>10</xdr:col>
      <xdr:colOff>152597</xdr:colOff>
      <xdr:row>33</xdr:row>
      <xdr:rowOff>91762</xdr:rowOff>
    </xdr:from>
    <xdr:to>
      <xdr:col>10</xdr:col>
      <xdr:colOff>621680</xdr:colOff>
      <xdr:row>35</xdr:row>
      <xdr:rowOff>120453</xdr:rowOff>
    </xdr:to>
    <xdr:sp macro="" textlink="">
      <xdr:nvSpPr>
        <xdr:cNvPr id="297" name="Oval 296">
          <a:extLst>
            <a:ext uri="{FF2B5EF4-FFF2-40B4-BE49-F238E27FC236}">
              <a16:creationId xmlns:a16="http://schemas.microsoft.com/office/drawing/2014/main" id="{00000000-0008-0000-0000-000029010000}"/>
            </a:ext>
          </a:extLst>
        </xdr:cNvPr>
        <xdr:cNvSpPr/>
      </xdr:nvSpPr>
      <xdr:spPr>
        <a:xfrm>
          <a:off x="8407597" y="6797362"/>
          <a:ext cx="469083" cy="435091"/>
        </a:xfrm>
        <a:prstGeom prst="ellipse">
          <a:avLst/>
        </a:prstGeom>
        <a:solidFill>
          <a:srgbClr val="DABEF7">
            <a:alpha val="20000"/>
          </a:srgbClr>
        </a:solidFill>
        <a:ln w="12700" cap="flat" cmpd="sng" algn="ctr">
          <a:solidFill>
            <a:sysClr val="window" lastClr="FFFFFF"/>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754183</xdr:colOff>
      <xdr:row>34</xdr:row>
      <xdr:rowOff>101993</xdr:rowOff>
    </xdr:from>
    <xdr:to>
      <xdr:col>11</xdr:col>
      <xdr:colOff>225247</xdr:colOff>
      <xdr:row>36</xdr:row>
      <xdr:rowOff>36624</xdr:rowOff>
    </xdr:to>
    <xdr:sp macro="" textlink="">
      <xdr:nvSpPr>
        <xdr:cNvPr id="298" name="Rectangle 297">
          <a:extLst>
            <a:ext uri="{FF2B5EF4-FFF2-40B4-BE49-F238E27FC236}">
              <a16:creationId xmlns:a16="http://schemas.microsoft.com/office/drawing/2014/main" id="{00000000-0008-0000-0000-00002A010000}"/>
            </a:ext>
          </a:extLst>
        </xdr:cNvPr>
        <xdr:cNvSpPr/>
      </xdr:nvSpPr>
      <xdr:spPr>
        <a:xfrm>
          <a:off x="8183683" y="7010793"/>
          <a:ext cx="1122064" cy="341031"/>
        </a:xfrm>
        <a:prstGeom prst="rect">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342153</xdr:colOff>
      <xdr:row>26</xdr:row>
      <xdr:rowOff>95176</xdr:rowOff>
    </xdr:from>
    <xdr:to>
      <xdr:col>13</xdr:col>
      <xdr:colOff>298076</xdr:colOff>
      <xdr:row>40</xdr:row>
      <xdr:rowOff>97118</xdr:rowOff>
    </xdr:to>
    <xdr:graphicFrame macro="">
      <xdr:nvGraphicFramePr>
        <xdr:cNvPr id="299" name="Chart 298">
          <a:extLst>
            <a:ext uri="{FF2B5EF4-FFF2-40B4-BE49-F238E27FC236}">
              <a16:creationId xmlns:a16="http://schemas.microsoft.com/office/drawing/2014/main" id="{00000000-0008-0000-0000-00002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279399</xdr:colOff>
      <xdr:row>38</xdr:row>
      <xdr:rowOff>184132</xdr:rowOff>
    </xdr:from>
    <xdr:to>
      <xdr:col>12</xdr:col>
      <xdr:colOff>39914</xdr:colOff>
      <xdr:row>46</xdr:row>
      <xdr:rowOff>14366</xdr:rowOff>
    </xdr:to>
    <xdr:graphicFrame macro="">
      <xdr:nvGraphicFramePr>
        <xdr:cNvPr id="300" name="Chart 299">
          <a:extLst>
            <a:ext uri="{FF2B5EF4-FFF2-40B4-BE49-F238E27FC236}">
              <a16:creationId xmlns:a16="http://schemas.microsoft.com/office/drawing/2014/main" id="{00000000-0008-0000-0000-00002C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243736</xdr:colOff>
      <xdr:row>37</xdr:row>
      <xdr:rowOff>136112</xdr:rowOff>
    </xdr:from>
    <xdr:to>
      <xdr:col>10</xdr:col>
      <xdr:colOff>281168</xdr:colOff>
      <xdr:row>40</xdr:row>
      <xdr:rowOff>158973</xdr:rowOff>
    </xdr:to>
    <xdr:sp macro="" textlink="Processing!B18">
      <xdr:nvSpPr>
        <xdr:cNvPr id="301" name="TextBox 300">
          <a:extLst>
            <a:ext uri="{FF2B5EF4-FFF2-40B4-BE49-F238E27FC236}">
              <a16:creationId xmlns:a16="http://schemas.microsoft.com/office/drawing/2014/main" id="{00000000-0008-0000-0000-00002D010000}"/>
            </a:ext>
          </a:extLst>
        </xdr:cNvPr>
        <xdr:cNvSpPr txBox="1"/>
      </xdr:nvSpPr>
      <xdr:spPr>
        <a:xfrm>
          <a:off x="6847736" y="7654512"/>
          <a:ext cx="1688432" cy="632461"/>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82C8B1EB-2332-7441-BFC9-C29CAB45FDEB}" type="TxLink">
            <a:rPr kumimoji="0" lang="en-US" sz="1400" b="1"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Debts</a:t>
          </a:fld>
          <a:endParaRPr kumimoji="0" lang="ru-RU" sz="1400" b="1"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13</xdr:col>
      <xdr:colOff>118785</xdr:colOff>
      <xdr:row>28</xdr:row>
      <xdr:rowOff>32122</xdr:rowOff>
    </xdr:from>
    <xdr:to>
      <xdr:col>16</xdr:col>
      <xdr:colOff>666377</xdr:colOff>
      <xdr:row>45</xdr:row>
      <xdr:rowOff>51547</xdr:rowOff>
    </xdr:to>
    <xdr:graphicFrame macro="">
      <xdr:nvGraphicFramePr>
        <xdr:cNvPr id="302" name="Chart 301">
          <a:extLst>
            <a:ext uri="{FF2B5EF4-FFF2-40B4-BE49-F238E27FC236}">
              <a16:creationId xmlns:a16="http://schemas.microsoft.com/office/drawing/2014/main" id="{00000000-0008-0000-0000-00002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401918</xdr:colOff>
      <xdr:row>34</xdr:row>
      <xdr:rowOff>38102</xdr:rowOff>
    </xdr:from>
    <xdr:to>
      <xdr:col>15</xdr:col>
      <xdr:colOff>531418</xdr:colOff>
      <xdr:row>38</xdr:row>
      <xdr:rowOff>109331</xdr:rowOff>
    </xdr:to>
    <xdr:sp macro="" textlink="">
      <xdr:nvSpPr>
        <xdr:cNvPr id="303" name="Oval 302">
          <a:extLst>
            <a:ext uri="{FF2B5EF4-FFF2-40B4-BE49-F238E27FC236}">
              <a16:creationId xmlns:a16="http://schemas.microsoft.com/office/drawing/2014/main" id="{00000000-0008-0000-0000-00002F010000}"/>
            </a:ext>
          </a:extLst>
        </xdr:cNvPr>
        <xdr:cNvSpPr/>
      </xdr:nvSpPr>
      <xdr:spPr>
        <a:xfrm>
          <a:off x="11958918" y="6946902"/>
          <a:ext cx="955000" cy="884029"/>
        </a:xfrm>
        <a:prstGeom prst="ellipse">
          <a:avLst/>
        </a:prstGeom>
        <a:solidFill>
          <a:srgbClr val="DABEF7">
            <a:alpha val="15000"/>
          </a:srgbClr>
        </a:solidFill>
        <a:ln w="12700" cap="flat" cmpd="sng" algn="ctr">
          <a:solidFill>
            <a:sysClr val="window" lastClr="FFFFFF"/>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14</xdr:col>
      <xdr:colOff>348662</xdr:colOff>
      <xdr:row>35</xdr:row>
      <xdr:rowOff>37344</xdr:rowOff>
    </xdr:from>
    <xdr:to>
      <xdr:col>15</xdr:col>
      <xdr:colOff>591456</xdr:colOff>
      <xdr:row>37</xdr:row>
      <xdr:rowOff>139711</xdr:rowOff>
    </xdr:to>
    <xdr:sp macro="" textlink="Processing!S16">
      <xdr:nvSpPr>
        <xdr:cNvPr id="304" name="TextBox 303">
          <a:extLst>
            <a:ext uri="{FF2B5EF4-FFF2-40B4-BE49-F238E27FC236}">
              <a16:creationId xmlns:a16="http://schemas.microsoft.com/office/drawing/2014/main" id="{00000000-0008-0000-0000-000030010000}"/>
            </a:ext>
          </a:extLst>
        </xdr:cNvPr>
        <xdr:cNvSpPr txBox="1"/>
      </xdr:nvSpPr>
      <xdr:spPr>
        <a:xfrm>
          <a:off x="11905662" y="7149344"/>
          <a:ext cx="1068294" cy="508767"/>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41436247-7D92-874A-A13C-CDB6DEBCFF08}" type="TxLink">
            <a:rPr kumimoji="0" lang="en-US" sz="1400" b="1" i="0" u="none" strike="noStrike" kern="0" cap="none" spc="0" normalizeH="0" baseline="0" noProof="0">
              <a:ln>
                <a:noFill/>
              </a:ln>
              <a:solidFill>
                <a:sysClr val="window" lastClr="FFFFFF"/>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0%</a:t>
          </a:fld>
          <a:endParaRPr kumimoji="0" lang="ru-RU" sz="1400" b="1"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17</xdr:col>
      <xdr:colOff>807359</xdr:colOff>
      <xdr:row>30</xdr:row>
      <xdr:rowOff>105972</xdr:rowOff>
    </xdr:from>
    <xdr:to>
      <xdr:col>18</xdr:col>
      <xdr:colOff>341859</xdr:colOff>
      <xdr:row>45</xdr:row>
      <xdr:rowOff>166619</xdr:rowOff>
    </xdr:to>
    <xdr:grpSp>
      <xdr:nvGrpSpPr>
        <xdr:cNvPr id="305" name="Group 304">
          <a:extLst>
            <a:ext uri="{FF2B5EF4-FFF2-40B4-BE49-F238E27FC236}">
              <a16:creationId xmlns:a16="http://schemas.microsoft.com/office/drawing/2014/main" id="{00000000-0008-0000-0000-000031010000}"/>
            </a:ext>
          </a:extLst>
        </xdr:cNvPr>
        <xdr:cNvGrpSpPr/>
      </xdr:nvGrpSpPr>
      <xdr:grpSpPr>
        <a:xfrm>
          <a:off x="14840859" y="6011472"/>
          <a:ext cx="360000" cy="3013397"/>
          <a:chOff x="13411201" y="6011471"/>
          <a:chExt cx="360000" cy="3016118"/>
        </a:xfrm>
      </xdr:grpSpPr>
      <xdr:sp macro="" textlink="">
        <xdr:nvSpPr>
          <xdr:cNvPr id="306" name="Rectangle: Rounded Corners 84">
            <a:extLst>
              <a:ext uri="{FF2B5EF4-FFF2-40B4-BE49-F238E27FC236}">
                <a16:creationId xmlns:a16="http://schemas.microsoft.com/office/drawing/2014/main" id="{00000000-0008-0000-0000-000032010000}"/>
              </a:ext>
            </a:extLst>
          </xdr:cNvPr>
          <xdr:cNvSpPr/>
        </xdr:nvSpPr>
        <xdr:spPr>
          <a:xfrm>
            <a:off x="13411201" y="6011471"/>
            <a:ext cx="360000" cy="371526"/>
          </a:xfrm>
          <a:prstGeom prst="roundRect">
            <a:avLst/>
          </a:prstGeom>
          <a:gradFill>
            <a:gsLst>
              <a:gs pos="7000">
                <a:srgbClr val="F28F33"/>
              </a:gs>
              <a:gs pos="72000">
                <a:srgbClr val="FE2827"/>
              </a:gs>
            </a:gsLst>
            <a:lin ang="0" scaled="0"/>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307" name="Rectangle: Rounded Corners 85">
            <a:extLst>
              <a:ext uri="{FF2B5EF4-FFF2-40B4-BE49-F238E27FC236}">
                <a16:creationId xmlns:a16="http://schemas.microsoft.com/office/drawing/2014/main" id="{00000000-0008-0000-0000-000033010000}"/>
              </a:ext>
            </a:extLst>
          </xdr:cNvPr>
          <xdr:cNvSpPr/>
        </xdr:nvSpPr>
        <xdr:spPr>
          <a:xfrm>
            <a:off x="13411201" y="6540389"/>
            <a:ext cx="360000" cy="371525"/>
          </a:xfrm>
          <a:prstGeom prst="roundRect">
            <a:avLst/>
          </a:prstGeom>
          <a:gradFill>
            <a:gsLst>
              <a:gs pos="7000">
                <a:srgbClr val="F28F33"/>
              </a:gs>
              <a:gs pos="94000">
                <a:srgbClr val="AD27FE"/>
              </a:gs>
              <a:gs pos="54000">
                <a:srgbClr val="FE2827"/>
              </a:gs>
            </a:gsLst>
            <a:lin ang="0" scaled="0"/>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308" name="Rectangle: Rounded Corners 86">
            <a:extLst>
              <a:ext uri="{FF2B5EF4-FFF2-40B4-BE49-F238E27FC236}">
                <a16:creationId xmlns:a16="http://schemas.microsoft.com/office/drawing/2014/main" id="{00000000-0008-0000-0000-000034010000}"/>
              </a:ext>
            </a:extLst>
          </xdr:cNvPr>
          <xdr:cNvSpPr/>
        </xdr:nvSpPr>
        <xdr:spPr>
          <a:xfrm>
            <a:off x="13411201" y="7069306"/>
            <a:ext cx="360000" cy="371527"/>
          </a:xfrm>
          <a:prstGeom prst="roundRect">
            <a:avLst/>
          </a:prstGeom>
          <a:gradFill>
            <a:gsLst>
              <a:gs pos="86000">
                <a:srgbClr val="F28F33"/>
              </a:gs>
              <a:gs pos="21000">
                <a:srgbClr val="AD27FE"/>
              </a:gs>
            </a:gsLst>
            <a:lin ang="10800000" scaled="0"/>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309" name="Rectangle: Rounded Corners 87">
            <a:extLst>
              <a:ext uri="{FF2B5EF4-FFF2-40B4-BE49-F238E27FC236}">
                <a16:creationId xmlns:a16="http://schemas.microsoft.com/office/drawing/2014/main" id="{00000000-0008-0000-0000-000035010000}"/>
              </a:ext>
            </a:extLst>
          </xdr:cNvPr>
          <xdr:cNvSpPr/>
        </xdr:nvSpPr>
        <xdr:spPr>
          <a:xfrm>
            <a:off x="13411201" y="7598225"/>
            <a:ext cx="360000" cy="371526"/>
          </a:xfrm>
          <a:prstGeom prst="roundRect">
            <a:avLst/>
          </a:prstGeom>
          <a:gradFill>
            <a:gsLst>
              <a:gs pos="81000">
                <a:srgbClr val="AD27FE"/>
              </a:gs>
              <a:gs pos="7000">
                <a:srgbClr val="FE2827"/>
              </a:gs>
            </a:gsLst>
            <a:lin ang="0" scaled="0"/>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310" name="Rectangle: Rounded Corners 88">
            <a:extLst>
              <a:ext uri="{FF2B5EF4-FFF2-40B4-BE49-F238E27FC236}">
                <a16:creationId xmlns:a16="http://schemas.microsoft.com/office/drawing/2014/main" id="{00000000-0008-0000-0000-000036010000}"/>
              </a:ext>
            </a:extLst>
          </xdr:cNvPr>
          <xdr:cNvSpPr/>
        </xdr:nvSpPr>
        <xdr:spPr>
          <a:xfrm>
            <a:off x="13411201" y="8127143"/>
            <a:ext cx="360000" cy="371526"/>
          </a:xfrm>
          <a:prstGeom prst="roundRect">
            <a:avLst/>
          </a:prstGeom>
          <a:gradFill>
            <a:gsLst>
              <a:gs pos="43000">
                <a:srgbClr val="8701D9"/>
              </a:gs>
              <a:gs pos="100000">
                <a:srgbClr val="B871FF"/>
              </a:gs>
            </a:gsLst>
            <a:lin ang="10800000" scaled="0"/>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311" name="Rectangle: Rounded Corners 89">
            <a:extLst>
              <a:ext uri="{FF2B5EF4-FFF2-40B4-BE49-F238E27FC236}">
                <a16:creationId xmlns:a16="http://schemas.microsoft.com/office/drawing/2014/main" id="{00000000-0008-0000-0000-000037010000}"/>
              </a:ext>
            </a:extLst>
          </xdr:cNvPr>
          <xdr:cNvSpPr/>
        </xdr:nvSpPr>
        <xdr:spPr>
          <a:xfrm>
            <a:off x="13411201" y="8656063"/>
            <a:ext cx="360000" cy="371526"/>
          </a:xfrm>
          <a:prstGeom prst="roundRect">
            <a:avLst/>
          </a:prstGeom>
          <a:gradFill flip="none" rotWithShape="1">
            <a:gsLst>
              <a:gs pos="43000">
                <a:srgbClr val="8701D9"/>
              </a:gs>
              <a:gs pos="100000">
                <a:srgbClr val="AD27FE"/>
              </a:gs>
            </a:gsLst>
            <a:lin ang="10800000" scaled="0"/>
            <a:tileRect/>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312" name="Freeform: Shape 78">
            <a:extLst>
              <a:ext uri="{FF2B5EF4-FFF2-40B4-BE49-F238E27FC236}">
                <a16:creationId xmlns:a16="http://schemas.microsoft.com/office/drawing/2014/main" id="{00000000-0008-0000-0000-000038010000}"/>
              </a:ext>
            </a:extLst>
          </xdr:cNvPr>
          <xdr:cNvSpPr/>
        </xdr:nvSpPr>
        <xdr:spPr>
          <a:xfrm>
            <a:off x="13464987" y="6591390"/>
            <a:ext cx="252000" cy="250591"/>
          </a:xfrm>
          <a:custGeom>
            <a:avLst/>
            <a:gdLst>
              <a:gd name="connsiteX0" fmla="*/ 478368 w 2434877"/>
              <a:gd name="connsiteY0" fmla="*/ 1660447 h 2669419"/>
              <a:gd name="connsiteX1" fmla="*/ 478368 w 2434877"/>
              <a:gd name="connsiteY1" fmla="*/ 2669419 h 2669419"/>
              <a:gd name="connsiteX2" fmla="*/ 4662 w 2434877"/>
              <a:gd name="connsiteY2" fmla="*/ 2669419 h 2669419"/>
              <a:gd name="connsiteX3" fmla="*/ 14134 w 2434877"/>
              <a:gd name="connsiteY3" fmla="*/ 2124668 h 2669419"/>
              <a:gd name="connsiteX4" fmla="*/ 805273 w 2434877"/>
              <a:gd name="connsiteY4" fmla="*/ 1333554 h 2669419"/>
              <a:gd name="connsiteX5" fmla="*/ 1072919 w 2434877"/>
              <a:gd name="connsiteY5" fmla="*/ 1601215 h 2669419"/>
              <a:gd name="connsiteX6" fmla="*/ 1072919 w 2434877"/>
              <a:gd name="connsiteY6" fmla="*/ 2664691 h 2669419"/>
              <a:gd name="connsiteX7" fmla="*/ 606315 w 2434877"/>
              <a:gd name="connsiteY7" fmla="*/ 2669407 h 2669419"/>
              <a:gd name="connsiteX8" fmla="*/ 606315 w 2434877"/>
              <a:gd name="connsiteY8" fmla="*/ 1532527 h 2669419"/>
              <a:gd name="connsiteX9" fmla="*/ 1681683 w 2434877"/>
              <a:gd name="connsiteY9" fmla="*/ 1139327 h 2669419"/>
              <a:gd name="connsiteX10" fmla="*/ 1681683 w 2434877"/>
              <a:gd name="connsiteY10" fmla="*/ 2669400 h 2669419"/>
              <a:gd name="connsiteX11" fmla="*/ 1217448 w 2434877"/>
              <a:gd name="connsiteY11" fmla="*/ 2659932 h 2669419"/>
              <a:gd name="connsiteX12" fmla="*/ 1217448 w 2434877"/>
              <a:gd name="connsiteY12" fmla="*/ 1603584 h 2669419"/>
              <a:gd name="connsiteX13" fmla="*/ 2288060 w 2434877"/>
              <a:gd name="connsiteY13" fmla="*/ 528130 h 2669419"/>
              <a:gd name="connsiteX14" fmla="*/ 2288060 w 2434877"/>
              <a:gd name="connsiteY14" fmla="*/ 2659908 h 2669419"/>
              <a:gd name="connsiteX15" fmla="*/ 1814372 w 2434877"/>
              <a:gd name="connsiteY15" fmla="*/ 2664660 h 2669419"/>
              <a:gd name="connsiteX16" fmla="*/ 1814372 w 2434877"/>
              <a:gd name="connsiteY16" fmla="*/ 1001818 h 2669419"/>
              <a:gd name="connsiteX17" fmla="*/ 1987216 w 2434877"/>
              <a:gd name="connsiteY17" fmla="*/ 0 h 2669419"/>
              <a:gd name="connsiteX18" fmla="*/ 2434877 w 2434877"/>
              <a:gd name="connsiteY18" fmla="*/ 0 h 2669419"/>
              <a:gd name="connsiteX19" fmla="*/ 2434877 w 2434877"/>
              <a:gd name="connsiteY19" fmla="*/ 461881 h 2669419"/>
              <a:gd name="connsiteX20" fmla="*/ 2323528 w 2434877"/>
              <a:gd name="connsiteY20" fmla="*/ 350532 h 2669419"/>
              <a:gd name="connsiteX21" fmla="*/ 1141637 w 2434877"/>
              <a:gd name="connsiteY21" fmla="*/ 1532450 h 2669419"/>
              <a:gd name="connsiteX22" fmla="*/ 817147 w 2434877"/>
              <a:gd name="connsiteY22" fmla="*/ 1207945 h 2669419"/>
              <a:gd name="connsiteX23" fmla="*/ 0 w 2434877"/>
              <a:gd name="connsiteY23" fmla="*/ 2001422 h 2669419"/>
              <a:gd name="connsiteX24" fmla="*/ 0 w 2434877"/>
              <a:gd name="connsiteY24" fmla="*/ 1532450 h 2669419"/>
              <a:gd name="connsiteX25" fmla="*/ 805303 w 2434877"/>
              <a:gd name="connsiteY25" fmla="*/ 727129 h 2669419"/>
              <a:gd name="connsiteX26" fmla="*/ 1146374 w 2434877"/>
              <a:gd name="connsiteY26" fmla="*/ 1068193 h 2669419"/>
              <a:gd name="connsiteX27" fmla="*/ 2100904 w 2434877"/>
              <a:gd name="connsiteY27" fmla="*/ 113688 h 26694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2434877" h="2669419">
                <a:moveTo>
                  <a:pt x="478368" y="1660447"/>
                </a:moveTo>
                <a:lnTo>
                  <a:pt x="478368" y="2669419"/>
                </a:lnTo>
                <a:lnTo>
                  <a:pt x="4662" y="2669419"/>
                </a:lnTo>
                <a:lnTo>
                  <a:pt x="14134" y="2124668"/>
                </a:lnTo>
                <a:close/>
                <a:moveTo>
                  <a:pt x="805273" y="1333554"/>
                </a:moveTo>
                <a:lnTo>
                  <a:pt x="1072919" y="1601215"/>
                </a:lnTo>
                <a:lnTo>
                  <a:pt x="1072919" y="2664691"/>
                </a:lnTo>
                <a:lnTo>
                  <a:pt x="606315" y="2669407"/>
                </a:lnTo>
                <a:lnTo>
                  <a:pt x="606315" y="1532527"/>
                </a:lnTo>
                <a:close/>
                <a:moveTo>
                  <a:pt x="1681683" y="1139327"/>
                </a:moveTo>
                <a:lnTo>
                  <a:pt x="1681683" y="2669400"/>
                </a:lnTo>
                <a:lnTo>
                  <a:pt x="1217448" y="2659932"/>
                </a:lnTo>
                <a:lnTo>
                  <a:pt x="1217448" y="1603584"/>
                </a:lnTo>
                <a:close/>
                <a:moveTo>
                  <a:pt x="2288060" y="528130"/>
                </a:moveTo>
                <a:lnTo>
                  <a:pt x="2288060" y="2659908"/>
                </a:lnTo>
                <a:lnTo>
                  <a:pt x="1814372" y="2664660"/>
                </a:lnTo>
                <a:lnTo>
                  <a:pt x="1814372" y="1001818"/>
                </a:lnTo>
                <a:close/>
                <a:moveTo>
                  <a:pt x="1987216" y="0"/>
                </a:moveTo>
                <a:lnTo>
                  <a:pt x="2434877" y="0"/>
                </a:lnTo>
                <a:lnTo>
                  <a:pt x="2434877" y="461881"/>
                </a:lnTo>
                <a:lnTo>
                  <a:pt x="2323528" y="350532"/>
                </a:lnTo>
                <a:lnTo>
                  <a:pt x="1141637" y="1532450"/>
                </a:lnTo>
                <a:lnTo>
                  <a:pt x="817147" y="1207945"/>
                </a:lnTo>
                <a:lnTo>
                  <a:pt x="0" y="2001422"/>
                </a:lnTo>
                <a:lnTo>
                  <a:pt x="0" y="1532450"/>
                </a:lnTo>
                <a:lnTo>
                  <a:pt x="805303" y="727129"/>
                </a:lnTo>
                <a:lnTo>
                  <a:pt x="1146374" y="1068193"/>
                </a:lnTo>
                <a:lnTo>
                  <a:pt x="2100904" y="113688"/>
                </a:lnTo>
                <a:close/>
              </a:path>
            </a:pathLst>
          </a:custGeom>
          <a:solidFill>
            <a:sysClr val="window" lastClr="FFFFFF"/>
          </a:solidFill>
          <a:ln w="6350"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13" name="Freeform: Shape 79">
            <a:extLst>
              <a:ext uri="{FF2B5EF4-FFF2-40B4-BE49-F238E27FC236}">
                <a16:creationId xmlns:a16="http://schemas.microsoft.com/office/drawing/2014/main" id="{00000000-0008-0000-0000-000039010000}"/>
              </a:ext>
            </a:extLst>
          </xdr:cNvPr>
          <xdr:cNvSpPr/>
        </xdr:nvSpPr>
        <xdr:spPr>
          <a:xfrm>
            <a:off x="13482987" y="6054375"/>
            <a:ext cx="216000" cy="259940"/>
          </a:xfrm>
          <a:custGeom>
            <a:avLst/>
            <a:gdLst>
              <a:gd name="connsiteX0" fmla="*/ 1038471 w 1997598"/>
              <a:gd name="connsiteY0" fmla="*/ 1798798 h 2622542"/>
              <a:gd name="connsiteX1" fmla="*/ 1083642 w 1997598"/>
              <a:gd name="connsiteY1" fmla="*/ 1825060 h 2622542"/>
              <a:gd name="connsiteX2" fmla="*/ 1097649 w 1997598"/>
              <a:gd name="connsiteY2" fmla="*/ 1865328 h 2622542"/>
              <a:gd name="connsiteX3" fmla="*/ 1081191 w 1997598"/>
              <a:gd name="connsiteY3" fmla="*/ 1911202 h 2622542"/>
              <a:gd name="connsiteX4" fmla="*/ 1038471 w 1997598"/>
              <a:gd name="connsiteY4" fmla="*/ 1935364 h 2622542"/>
              <a:gd name="connsiteX5" fmla="*/ 987696 w 1997598"/>
              <a:gd name="connsiteY5" fmla="*/ 1562783 h 2622542"/>
              <a:gd name="connsiteX6" fmla="*/ 987696 w 1997598"/>
              <a:gd name="connsiteY6" fmla="*/ 1683942 h 2622542"/>
              <a:gd name="connsiteX7" fmla="*/ 953730 w 1997598"/>
              <a:gd name="connsiteY7" fmla="*/ 1658378 h 2622542"/>
              <a:gd name="connsiteX8" fmla="*/ 942524 w 1997598"/>
              <a:gd name="connsiteY8" fmla="*/ 1623713 h 2622542"/>
              <a:gd name="connsiteX9" fmla="*/ 954780 w 1997598"/>
              <a:gd name="connsiteY9" fmla="*/ 1586593 h 2622542"/>
              <a:gd name="connsiteX10" fmla="*/ 987696 w 1997598"/>
              <a:gd name="connsiteY10" fmla="*/ 1562783 h 2622542"/>
              <a:gd name="connsiteX11" fmla="*/ 987696 w 1997598"/>
              <a:gd name="connsiteY11" fmla="*/ 1451780 h 2622542"/>
              <a:gd name="connsiteX12" fmla="*/ 987696 w 1997598"/>
              <a:gd name="connsiteY12" fmla="*/ 1486445 h 2622542"/>
              <a:gd name="connsiteX13" fmla="*/ 891050 w 1997598"/>
              <a:gd name="connsiteY13" fmla="*/ 1531616 h 2622542"/>
              <a:gd name="connsiteX14" fmla="*/ 854984 w 1997598"/>
              <a:gd name="connsiteY14" fmla="*/ 1627914 h 2622542"/>
              <a:gd name="connsiteX15" fmla="*/ 886849 w 1997598"/>
              <a:gd name="connsiteY15" fmla="*/ 1724560 h 2622542"/>
              <a:gd name="connsiteX16" fmla="*/ 987696 w 1997598"/>
              <a:gd name="connsiteY16" fmla="*/ 1783738 h 2622542"/>
              <a:gd name="connsiteX17" fmla="*/ 987696 w 1997598"/>
              <a:gd name="connsiteY17" fmla="*/ 1930460 h 2622542"/>
              <a:gd name="connsiteX18" fmla="*/ 953379 w 1997598"/>
              <a:gd name="connsiteY18" fmla="*/ 1901047 h 2622542"/>
              <a:gd name="connsiteX19" fmla="*/ 932368 w 1997598"/>
              <a:gd name="connsiteY19" fmla="*/ 1852725 h 2622542"/>
              <a:gd name="connsiteX20" fmla="*/ 840974 w 1997598"/>
              <a:gd name="connsiteY20" fmla="*/ 1862529 h 2622542"/>
              <a:gd name="connsiteX21" fmla="*/ 889297 w 1997598"/>
              <a:gd name="connsiteY21" fmla="*/ 1969329 h 2622542"/>
              <a:gd name="connsiteX22" fmla="*/ 987696 w 1997598"/>
              <a:gd name="connsiteY22" fmla="*/ 2014502 h 2622542"/>
              <a:gd name="connsiteX23" fmla="*/ 987696 w 1997598"/>
              <a:gd name="connsiteY23" fmla="*/ 2078232 h 2622542"/>
              <a:gd name="connsiteX24" fmla="*/ 1038471 w 1997598"/>
              <a:gd name="connsiteY24" fmla="*/ 2078232 h 2622542"/>
              <a:gd name="connsiteX25" fmla="*/ 1038471 w 1997598"/>
              <a:gd name="connsiteY25" fmla="*/ 2012749 h 2622542"/>
              <a:gd name="connsiteX26" fmla="*/ 1144921 w 1997598"/>
              <a:gd name="connsiteY26" fmla="*/ 1959525 h 2622542"/>
              <a:gd name="connsiteX27" fmla="*/ 1183440 w 1997598"/>
              <a:gd name="connsiteY27" fmla="*/ 1852725 h 2622542"/>
              <a:gd name="connsiteX28" fmla="*/ 1152976 w 1997598"/>
              <a:gd name="connsiteY28" fmla="*/ 1759928 h 2622542"/>
              <a:gd name="connsiteX29" fmla="*/ 1038471 w 1997598"/>
              <a:gd name="connsiteY29" fmla="*/ 1700750 h 2622542"/>
              <a:gd name="connsiteX30" fmla="*/ 1038471 w 1997598"/>
              <a:gd name="connsiteY30" fmla="*/ 1563833 h 2622542"/>
              <a:gd name="connsiteX31" fmla="*/ 1080492 w 1997598"/>
              <a:gd name="connsiteY31" fmla="*/ 1619859 h 2622542"/>
              <a:gd name="connsiteX32" fmla="*/ 1169083 w 1997598"/>
              <a:gd name="connsiteY32" fmla="*/ 1608306 h 2622542"/>
              <a:gd name="connsiteX33" fmla="*/ 1127065 w 1997598"/>
              <a:gd name="connsiteY33" fmla="*/ 1524616 h 2622542"/>
              <a:gd name="connsiteX34" fmla="*/ 1038471 w 1997598"/>
              <a:gd name="connsiteY34" fmla="*/ 1486445 h 2622542"/>
              <a:gd name="connsiteX35" fmla="*/ 1038471 w 1997598"/>
              <a:gd name="connsiteY35" fmla="*/ 1451780 h 2622542"/>
              <a:gd name="connsiteX36" fmla="*/ 1018529 w 1997598"/>
              <a:gd name="connsiteY36" fmla="*/ 1275937 h 2622542"/>
              <a:gd name="connsiteX37" fmla="*/ 1488375 w 1997598"/>
              <a:gd name="connsiteY37" fmla="*/ 1745783 h 2622542"/>
              <a:gd name="connsiteX38" fmla="*/ 1018529 w 1997598"/>
              <a:gd name="connsiteY38" fmla="*/ 2215629 h 2622542"/>
              <a:gd name="connsiteX39" fmla="*/ 548683 w 1997598"/>
              <a:gd name="connsiteY39" fmla="*/ 1745783 h 2622542"/>
              <a:gd name="connsiteX40" fmla="*/ 1018529 w 1997598"/>
              <a:gd name="connsiteY40" fmla="*/ 1275937 h 2622542"/>
              <a:gd name="connsiteX41" fmla="*/ 1018529 w 1997598"/>
              <a:gd name="connsiteY41" fmla="*/ 1183712 h 2622542"/>
              <a:gd name="connsiteX42" fmla="*/ 456458 w 1997598"/>
              <a:gd name="connsiteY42" fmla="*/ 1745783 h 2622542"/>
              <a:gd name="connsiteX43" fmla="*/ 1018529 w 1997598"/>
              <a:gd name="connsiteY43" fmla="*/ 2307854 h 2622542"/>
              <a:gd name="connsiteX44" fmla="*/ 1580600 w 1997598"/>
              <a:gd name="connsiteY44" fmla="*/ 1745783 h 2622542"/>
              <a:gd name="connsiteX45" fmla="*/ 1018529 w 1997598"/>
              <a:gd name="connsiteY45" fmla="*/ 1183712 h 2622542"/>
              <a:gd name="connsiteX46" fmla="*/ 664325 w 1997598"/>
              <a:gd name="connsiteY46" fmla="*/ 707629 h 2622542"/>
              <a:gd name="connsiteX47" fmla="*/ 1314151 w 1997598"/>
              <a:gd name="connsiteY47" fmla="*/ 707629 h 2622542"/>
              <a:gd name="connsiteX48" fmla="*/ 1997478 w 1997598"/>
              <a:gd name="connsiteY48" fmla="*/ 1799581 h 2622542"/>
              <a:gd name="connsiteX49" fmla="*/ 1568718 w 1997598"/>
              <a:gd name="connsiteY49" fmla="*/ 2622542 h 2622542"/>
              <a:gd name="connsiteX50" fmla="*/ 429850 w 1997598"/>
              <a:gd name="connsiteY50" fmla="*/ 2615846 h 2622542"/>
              <a:gd name="connsiteX51" fmla="*/ 1100 w 1997598"/>
              <a:gd name="connsiteY51" fmla="*/ 1792886 h 2622542"/>
              <a:gd name="connsiteX52" fmla="*/ 664325 w 1997598"/>
              <a:gd name="connsiteY52" fmla="*/ 707629 h 2622542"/>
              <a:gd name="connsiteX53" fmla="*/ 986902 w 1997598"/>
              <a:gd name="connsiteY53" fmla="*/ 180 h 2622542"/>
              <a:gd name="connsiteX54" fmla="*/ 1253856 w 1997598"/>
              <a:gd name="connsiteY54" fmla="*/ 231858 h 2622542"/>
              <a:gd name="connsiteX55" fmla="*/ 1602233 w 1997598"/>
              <a:gd name="connsiteY55" fmla="*/ 211770 h 2622542"/>
              <a:gd name="connsiteX56" fmla="*/ 1307453 w 1997598"/>
              <a:gd name="connsiteY56" fmla="*/ 647228 h 2622542"/>
              <a:gd name="connsiteX57" fmla="*/ 1253841 w 1997598"/>
              <a:gd name="connsiteY57" fmla="*/ 646050 h 2622542"/>
              <a:gd name="connsiteX58" fmla="*/ 1307042 w 1997598"/>
              <a:gd name="connsiteY58" fmla="*/ 424909 h 2622542"/>
              <a:gd name="connsiteX59" fmla="*/ 1275900 w 1997598"/>
              <a:gd name="connsiteY59" fmla="*/ 369830 h 2622542"/>
              <a:gd name="connsiteX60" fmla="*/ 1275900 w 1997598"/>
              <a:gd name="connsiteY60" fmla="*/ 369830 h 2622542"/>
              <a:gd name="connsiteX61" fmla="*/ 1224136 w 1997598"/>
              <a:gd name="connsiteY61" fmla="*/ 400473 h 2622542"/>
              <a:gd name="connsiteX62" fmla="*/ 1165526 w 1997598"/>
              <a:gd name="connsiteY62" fmla="*/ 644109 h 2622542"/>
              <a:gd name="connsiteX63" fmla="*/ 1041982 w 1997598"/>
              <a:gd name="connsiteY63" fmla="*/ 641396 h 2622542"/>
              <a:gd name="connsiteX64" fmla="*/ 1041017 w 1997598"/>
              <a:gd name="connsiteY64" fmla="*/ 583209 h 2622542"/>
              <a:gd name="connsiteX65" fmla="*/ 997569 w 1997598"/>
              <a:gd name="connsiteY65" fmla="*/ 537907 h 2622542"/>
              <a:gd name="connsiteX66" fmla="*/ 997570 w 1997598"/>
              <a:gd name="connsiteY66" fmla="*/ 537908 h 2622542"/>
              <a:gd name="connsiteX67" fmla="*/ 955600 w 1997598"/>
              <a:gd name="connsiteY67" fmla="*/ 581732 h 2622542"/>
              <a:gd name="connsiteX68" fmla="*/ 956559 w 1997598"/>
              <a:gd name="connsiteY68" fmla="*/ 639518 h 2622542"/>
              <a:gd name="connsiteX69" fmla="*/ 845567 w 1997598"/>
              <a:gd name="connsiteY69" fmla="*/ 637080 h 2622542"/>
              <a:gd name="connsiteX70" fmla="*/ 799761 w 1997598"/>
              <a:gd name="connsiteY70" fmla="*/ 506078 h 2622542"/>
              <a:gd name="connsiteX71" fmla="*/ 744896 w 1997598"/>
              <a:gd name="connsiteY71" fmla="*/ 477778 h 2622542"/>
              <a:gd name="connsiteX72" fmla="*/ 744897 w 1997598"/>
              <a:gd name="connsiteY72" fmla="*/ 477779 h 2622542"/>
              <a:gd name="connsiteX73" fmla="*/ 719619 w 1997598"/>
              <a:gd name="connsiteY73" fmla="*/ 534100 h 2622542"/>
              <a:gd name="connsiteX74" fmla="*/ 754930 w 1997598"/>
              <a:gd name="connsiteY74" fmla="*/ 635089 h 2622542"/>
              <a:gd name="connsiteX75" fmla="*/ 697819 w 1997598"/>
              <a:gd name="connsiteY75" fmla="*/ 633834 h 2622542"/>
              <a:gd name="connsiteX76" fmla="*/ 382954 w 1997598"/>
              <a:gd name="connsiteY76" fmla="*/ 198378 h 2622542"/>
              <a:gd name="connsiteX77" fmla="*/ 764810 w 1997598"/>
              <a:gd name="connsiteY77" fmla="*/ 218466 h 2622542"/>
              <a:gd name="connsiteX78" fmla="*/ 986902 w 1997598"/>
              <a:gd name="connsiteY78" fmla="*/ 180 h 26225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Lst>
            <a:rect l="l" t="t" r="r" b="b"/>
            <a:pathLst>
              <a:path w="1997598" h="2622542">
                <a:moveTo>
                  <a:pt x="1038471" y="1798798"/>
                </a:moveTo>
                <a:cubicBezTo>
                  <a:pt x="1059481" y="1804868"/>
                  <a:pt x="1074537" y="1813621"/>
                  <a:pt x="1083642" y="1825060"/>
                </a:cubicBezTo>
                <a:cubicBezTo>
                  <a:pt x="1092981" y="1836266"/>
                  <a:pt x="1097649" y="1849687"/>
                  <a:pt x="1097649" y="1865328"/>
                </a:cubicBezTo>
                <a:cubicBezTo>
                  <a:pt x="1097649" y="1882836"/>
                  <a:pt x="1092164" y="1898129"/>
                  <a:pt x="1081191" y="1911202"/>
                </a:cubicBezTo>
                <a:cubicBezTo>
                  <a:pt x="1070218" y="1924039"/>
                  <a:pt x="1055979" y="1932094"/>
                  <a:pt x="1038471" y="1935364"/>
                </a:cubicBezTo>
                <a:close/>
                <a:moveTo>
                  <a:pt x="987696" y="1562783"/>
                </a:moveTo>
                <a:lnTo>
                  <a:pt x="987696" y="1683942"/>
                </a:lnTo>
                <a:cubicBezTo>
                  <a:pt x="972522" y="1677407"/>
                  <a:pt x="961201" y="1668886"/>
                  <a:pt x="953730" y="1658378"/>
                </a:cubicBezTo>
                <a:cubicBezTo>
                  <a:pt x="946260" y="1647642"/>
                  <a:pt x="942524" y="1636085"/>
                  <a:pt x="942524" y="1623713"/>
                </a:cubicBezTo>
                <a:cubicBezTo>
                  <a:pt x="942524" y="1610174"/>
                  <a:pt x="946611" y="1597799"/>
                  <a:pt x="954780" y="1586593"/>
                </a:cubicBezTo>
                <a:cubicBezTo>
                  <a:pt x="962951" y="1575386"/>
                  <a:pt x="973923" y="1567450"/>
                  <a:pt x="987696" y="1562783"/>
                </a:cubicBezTo>
                <a:close/>
                <a:moveTo>
                  <a:pt x="987696" y="1451780"/>
                </a:moveTo>
                <a:lnTo>
                  <a:pt x="987696" y="1486445"/>
                </a:lnTo>
                <a:cubicBezTo>
                  <a:pt x="947543" y="1490413"/>
                  <a:pt x="915327" y="1505473"/>
                  <a:pt x="891050" y="1531616"/>
                </a:cubicBezTo>
                <a:cubicBezTo>
                  <a:pt x="867004" y="1557531"/>
                  <a:pt x="854984" y="1589629"/>
                  <a:pt x="854984" y="1627914"/>
                </a:cubicBezTo>
                <a:cubicBezTo>
                  <a:pt x="854984" y="1665731"/>
                  <a:pt x="865606" y="1697947"/>
                  <a:pt x="886849" y="1724560"/>
                </a:cubicBezTo>
                <a:cubicBezTo>
                  <a:pt x="908326" y="1750941"/>
                  <a:pt x="941940" y="1770669"/>
                  <a:pt x="987696" y="1783738"/>
                </a:cubicBezTo>
                <a:lnTo>
                  <a:pt x="987696" y="1930460"/>
                </a:lnTo>
                <a:cubicBezTo>
                  <a:pt x="975088" y="1924391"/>
                  <a:pt x="963653" y="1914587"/>
                  <a:pt x="953379" y="1901047"/>
                </a:cubicBezTo>
                <a:cubicBezTo>
                  <a:pt x="943109" y="1887507"/>
                  <a:pt x="936104" y="1871397"/>
                  <a:pt x="932368" y="1852725"/>
                </a:cubicBezTo>
                <a:lnTo>
                  <a:pt x="840974" y="1862529"/>
                </a:lnTo>
                <a:cubicBezTo>
                  <a:pt x="847979" y="1908518"/>
                  <a:pt x="864085" y="1944119"/>
                  <a:pt x="889297" y="1969329"/>
                </a:cubicBezTo>
                <a:cubicBezTo>
                  <a:pt x="914509" y="1994541"/>
                  <a:pt x="947310" y="2009597"/>
                  <a:pt x="987696" y="2014502"/>
                </a:cubicBezTo>
                <a:lnTo>
                  <a:pt x="987696" y="2078232"/>
                </a:lnTo>
                <a:lnTo>
                  <a:pt x="1038471" y="2078232"/>
                </a:lnTo>
                <a:lnTo>
                  <a:pt x="1038471" y="2012749"/>
                </a:lnTo>
                <a:cubicBezTo>
                  <a:pt x="1083994" y="2006214"/>
                  <a:pt x="1119476" y="1988473"/>
                  <a:pt x="1144921" y="1959525"/>
                </a:cubicBezTo>
                <a:cubicBezTo>
                  <a:pt x="1170602" y="1930578"/>
                  <a:pt x="1183440" y="1894978"/>
                  <a:pt x="1183440" y="1852725"/>
                </a:cubicBezTo>
                <a:cubicBezTo>
                  <a:pt x="1183440" y="1814904"/>
                  <a:pt x="1173288" y="1783971"/>
                  <a:pt x="1152976" y="1759928"/>
                </a:cubicBezTo>
                <a:cubicBezTo>
                  <a:pt x="1132665" y="1735648"/>
                  <a:pt x="1094497" y="1715925"/>
                  <a:pt x="1038471" y="1700750"/>
                </a:cubicBezTo>
                <a:lnTo>
                  <a:pt x="1038471" y="1563833"/>
                </a:lnTo>
                <a:cubicBezTo>
                  <a:pt x="1061116" y="1573638"/>
                  <a:pt x="1075122" y="1592315"/>
                  <a:pt x="1080492" y="1619859"/>
                </a:cubicBezTo>
                <a:lnTo>
                  <a:pt x="1169083" y="1608306"/>
                </a:lnTo>
                <a:cubicBezTo>
                  <a:pt x="1163013" y="1573286"/>
                  <a:pt x="1149008" y="1545389"/>
                  <a:pt x="1127065" y="1524616"/>
                </a:cubicBezTo>
                <a:cubicBezTo>
                  <a:pt x="1105119" y="1503605"/>
                  <a:pt x="1075587" y="1490883"/>
                  <a:pt x="1038471" y="1486445"/>
                </a:cubicBezTo>
                <a:lnTo>
                  <a:pt x="1038471" y="1451780"/>
                </a:lnTo>
                <a:close/>
                <a:moveTo>
                  <a:pt x="1018529" y="1275937"/>
                </a:moveTo>
                <a:cubicBezTo>
                  <a:pt x="1278018" y="1275937"/>
                  <a:pt x="1488375" y="1486294"/>
                  <a:pt x="1488375" y="1745783"/>
                </a:cubicBezTo>
                <a:cubicBezTo>
                  <a:pt x="1488375" y="2005272"/>
                  <a:pt x="1278018" y="2215629"/>
                  <a:pt x="1018529" y="2215629"/>
                </a:cubicBezTo>
                <a:cubicBezTo>
                  <a:pt x="759040" y="2215629"/>
                  <a:pt x="548683" y="2005272"/>
                  <a:pt x="548683" y="1745783"/>
                </a:cubicBezTo>
                <a:cubicBezTo>
                  <a:pt x="548683" y="1486294"/>
                  <a:pt x="759040" y="1275937"/>
                  <a:pt x="1018529" y="1275937"/>
                </a:cubicBezTo>
                <a:close/>
                <a:moveTo>
                  <a:pt x="1018529" y="1183712"/>
                </a:moveTo>
                <a:cubicBezTo>
                  <a:pt x="708106" y="1183712"/>
                  <a:pt x="456458" y="1435360"/>
                  <a:pt x="456458" y="1745783"/>
                </a:cubicBezTo>
                <a:cubicBezTo>
                  <a:pt x="456458" y="2056206"/>
                  <a:pt x="708106" y="2307854"/>
                  <a:pt x="1018529" y="2307854"/>
                </a:cubicBezTo>
                <a:cubicBezTo>
                  <a:pt x="1328952" y="2307854"/>
                  <a:pt x="1580600" y="2056206"/>
                  <a:pt x="1580600" y="1745783"/>
                </a:cubicBezTo>
                <a:cubicBezTo>
                  <a:pt x="1580600" y="1435360"/>
                  <a:pt x="1328952" y="1183712"/>
                  <a:pt x="1018529" y="1183712"/>
                </a:cubicBezTo>
                <a:close/>
                <a:moveTo>
                  <a:pt x="664325" y="707629"/>
                </a:moveTo>
                <a:lnTo>
                  <a:pt x="1314151" y="707629"/>
                </a:lnTo>
                <a:cubicBezTo>
                  <a:pt x="1314151" y="707629"/>
                  <a:pt x="2008098" y="1167205"/>
                  <a:pt x="1997478" y="1799581"/>
                </a:cubicBezTo>
                <a:cubicBezTo>
                  <a:pt x="1985742" y="2498450"/>
                  <a:pt x="1568718" y="2622542"/>
                  <a:pt x="1568718" y="2622542"/>
                </a:cubicBezTo>
                <a:lnTo>
                  <a:pt x="429850" y="2615846"/>
                </a:lnTo>
                <a:cubicBezTo>
                  <a:pt x="429850" y="2615846"/>
                  <a:pt x="-25234" y="2404706"/>
                  <a:pt x="1100" y="1792886"/>
                </a:cubicBezTo>
                <a:cubicBezTo>
                  <a:pt x="27107" y="1188661"/>
                  <a:pt x="664325" y="707629"/>
                  <a:pt x="664325" y="707629"/>
                </a:cubicBezTo>
                <a:close/>
                <a:moveTo>
                  <a:pt x="986902" y="180"/>
                </a:moveTo>
                <a:cubicBezTo>
                  <a:pt x="1109577" y="-4712"/>
                  <a:pt x="1237396" y="90440"/>
                  <a:pt x="1253856" y="231858"/>
                </a:cubicBezTo>
                <a:cubicBezTo>
                  <a:pt x="1388526" y="103410"/>
                  <a:pt x="1501498" y="170515"/>
                  <a:pt x="1602233" y="211770"/>
                </a:cubicBezTo>
                <a:lnTo>
                  <a:pt x="1307453" y="647228"/>
                </a:lnTo>
                <a:lnTo>
                  <a:pt x="1253841" y="646050"/>
                </a:lnTo>
                <a:lnTo>
                  <a:pt x="1307042" y="424909"/>
                </a:lnTo>
                <a:cubicBezTo>
                  <a:pt x="1312735" y="401236"/>
                  <a:pt x="1298793" y="376577"/>
                  <a:pt x="1275900" y="369830"/>
                </a:cubicBezTo>
                <a:lnTo>
                  <a:pt x="1275900" y="369830"/>
                </a:lnTo>
                <a:cubicBezTo>
                  <a:pt x="1253009" y="363080"/>
                  <a:pt x="1229832" y="376802"/>
                  <a:pt x="1224136" y="400473"/>
                </a:cubicBezTo>
                <a:lnTo>
                  <a:pt x="1165526" y="644109"/>
                </a:lnTo>
                <a:lnTo>
                  <a:pt x="1041982" y="641396"/>
                </a:lnTo>
                <a:lnTo>
                  <a:pt x="1041017" y="583209"/>
                </a:lnTo>
                <a:cubicBezTo>
                  <a:pt x="1040609" y="558598"/>
                  <a:pt x="1021158" y="538315"/>
                  <a:pt x="997569" y="537907"/>
                </a:cubicBezTo>
                <a:lnTo>
                  <a:pt x="997570" y="537908"/>
                </a:lnTo>
                <a:cubicBezTo>
                  <a:pt x="973984" y="537499"/>
                  <a:pt x="955192" y="557122"/>
                  <a:pt x="955600" y="581732"/>
                </a:cubicBezTo>
                <a:lnTo>
                  <a:pt x="956559" y="639518"/>
                </a:lnTo>
                <a:lnTo>
                  <a:pt x="845567" y="637080"/>
                </a:lnTo>
                <a:lnTo>
                  <a:pt x="799761" y="506078"/>
                </a:lnTo>
                <a:cubicBezTo>
                  <a:pt x="791590" y="482710"/>
                  <a:pt x="767027" y="470040"/>
                  <a:pt x="744896" y="477778"/>
                </a:cubicBezTo>
                <a:lnTo>
                  <a:pt x="744897" y="477779"/>
                </a:lnTo>
                <a:cubicBezTo>
                  <a:pt x="722766" y="485517"/>
                  <a:pt x="711450" y="510735"/>
                  <a:pt x="719619" y="534100"/>
                </a:cubicBezTo>
                <a:lnTo>
                  <a:pt x="754930" y="635089"/>
                </a:lnTo>
                <a:lnTo>
                  <a:pt x="697819" y="633834"/>
                </a:lnTo>
                <a:lnTo>
                  <a:pt x="382954" y="198378"/>
                </a:lnTo>
                <a:cubicBezTo>
                  <a:pt x="500883" y="146647"/>
                  <a:pt x="611231" y="145422"/>
                  <a:pt x="764810" y="218466"/>
                </a:cubicBezTo>
                <a:cubicBezTo>
                  <a:pt x="799186" y="68313"/>
                  <a:pt x="891489" y="3986"/>
                  <a:pt x="986902" y="180"/>
                </a:cubicBezTo>
                <a:close/>
              </a:path>
            </a:pathLst>
          </a:custGeom>
          <a:solidFill>
            <a:sysClr val="window" lastClr="FFFFFF"/>
          </a:solidFill>
          <a:ln w="18002"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14" name="Freeform: Shape 80">
            <a:extLst>
              <a:ext uri="{FF2B5EF4-FFF2-40B4-BE49-F238E27FC236}">
                <a16:creationId xmlns:a16="http://schemas.microsoft.com/office/drawing/2014/main" id="{00000000-0008-0000-0000-00003A010000}"/>
              </a:ext>
            </a:extLst>
          </xdr:cNvPr>
          <xdr:cNvSpPr/>
        </xdr:nvSpPr>
        <xdr:spPr>
          <a:xfrm>
            <a:off x="13473952" y="7119056"/>
            <a:ext cx="252000" cy="254177"/>
          </a:xfrm>
          <a:custGeom>
            <a:avLst/>
            <a:gdLst>
              <a:gd name="connsiteX0" fmla="*/ 1845168 w 2847163"/>
              <a:gd name="connsiteY0" fmla="*/ 1750443 h 2759416"/>
              <a:gd name="connsiteX1" fmla="*/ 2309388 w 2847163"/>
              <a:gd name="connsiteY1" fmla="*/ 2214663 h 2759416"/>
              <a:gd name="connsiteX2" fmla="*/ 2318856 w 2847163"/>
              <a:gd name="connsiteY2" fmla="*/ 2759416 h 2759416"/>
              <a:gd name="connsiteX3" fmla="*/ 1845168 w 2847163"/>
              <a:gd name="connsiteY3" fmla="*/ 2759416 h 2759416"/>
              <a:gd name="connsiteX4" fmla="*/ 1518242 w 2847163"/>
              <a:gd name="connsiteY4" fmla="*/ 1423550 h 2759416"/>
              <a:gd name="connsiteX5" fmla="*/ 1717214 w 2847163"/>
              <a:gd name="connsiteY5" fmla="*/ 1622523 h 2759416"/>
              <a:gd name="connsiteX6" fmla="*/ 1717214 w 2847163"/>
              <a:gd name="connsiteY6" fmla="*/ 2759403 h 2759416"/>
              <a:gd name="connsiteX7" fmla="*/ 1250617 w 2847163"/>
              <a:gd name="connsiteY7" fmla="*/ 2754687 h 2759416"/>
              <a:gd name="connsiteX8" fmla="*/ 1250617 w 2847163"/>
              <a:gd name="connsiteY8" fmla="*/ 1691210 h 2759416"/>
              <a:gd name="connsiteX9" fmla="*/ 641835 w 2847163"/>
              <a:gd name="connsiteY9" fmla="*/ 1229322 h 2759416"/>
              <a:gd name="connsiteX10" fmla="*/ 1106070 w 2847163"/>
              <a:gd name="connsiteY10" fmla="*/ 1693578 h 2759416"/>
              <a:gd name="connsiteX11" fmla="*/ 1106070 w 2847163"/>
              <a:gd name="connsiteY11" fmla="*/ 2749927 h 2759416"/>
              <a:gd name="connsiteX12" fmla="*/ 641835 w 2847163"/>
              <a:gd name="connsiteY12" fmla="*/ 2759395 h 2759416"/>
              <a:gd name="connsiteX13" fmla="*/ 35444 w 2847163"/>
              <a:gd name="connsiteY13" fmla="*/ 618126 h 2759416"/>
              <a:gd name="connsiteX14" fmla="*/ 509154 w 2847163"/>
              <a:gd name="connsiteY14" fmla="*/ 1091814 h 2759416"/>
              <a:gd name="connsiteX15" fmla="*/ 509154 w 2847163"/>
              <a:gd name="connsiteY15" fmla="*/ 2754655 h 2759416"/>
              <a:gd name="connsiteX16" fmla="*/ 35444 w 2847163"/>
              <a:gd name="connsiteY16" fmla="*/ 2749904 h 2759416"/>
              <a:gd name="connsiteX17" fmla="*/ 0 w 2847163"/>
              <a:gd name="connsiteY17" fmla="*/ 0 h 2759416"/>
              <a:gd name="connsiteX18" fmla="*/ 1177165 w 2847163"/>
              <a:gd name="connsiteY18" fmla="*/ 1158192 h 2759416"/>
              <a:gd name="connsiteX19" fmla="*/ 1518233 w 2847163"/>
              <a:gd name="connsiteY19" fmla="*/ 817128 h 2759416"/>
              <a:gd name="connsiteX20" fmla="*/ 2746509 w 2847163"/>
              <a:gd name="connsiteY20" fmla="*/ 2007744 h 2759416"/>
              <a:gd name="connsiteX21" fmla="*/ 2847163 w 2847163"/>
              <a:gd name="connsiteY21" fmla="*/ 1910921 h 2759416"/>
              <a:gd name="connsiteX22" fmla="*/ 2847163 w 2847163"/>
              <a:gd name="connsiteY22" fmla="*/ 2340365 h 2759416"/>
              <a:gd name="connsiteX23" fmla="*/ 2400726 w 2847163"/>
              <a:gd name="connsiteY23" fmla="*/ 2340365 h 2759416"/>
              <a:gd name="connsiteX24" fmla="*/ 2494986 w 2847163"/>
              <a:gd name="connsiteY24" fmla="*/ 2249694 h 2759416"/>
              <a:gd name="connsiteX25" fmla="*/ 1506389 w 2847163"/>
              <a:gd name="connsiteY25" fmla="*/ 1297944 h 2759416"/>
              <a:gd name="connsiteX26" fmla="*/ 1181903 w 2847163"/>
              <a:gd name="connsiteY26" fmla="*/ 1622449 h 2759416"/>
              <a:gd name="connsiteX27" fmla="*/ 0 w 2847163"/>
              <a:gd name="connsiteY27" fmla="*/ 440532 h 275941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2847163" h="2759416">
                <a:moveTo>
                  <a:pt x="1845168" y="1750443"/>
                </a:moveTo>
                <a:lnTo>
                  <a:pt x="2309388" y="2214663"/>
                </a:lnTo>
                <a:lnTo>
                  <a:pt x="2318856" y="2759416"/>
                </a:lnTo>
                <a:lnTo>
                  <a:pt x="1845168" y="2759416"/>
                </a:lnTo>
                <a:close/>
                <a:moveTo>
                  <a:pt x="1518242" y="1423550"/>
                </a:moveTo>
                <a:lnTo>
                  <a:pt x="1717214" y="1622523"/>
                </a:lnTo>
                <a:lnTo>
                  <a:pt x="1717214" y="2759403"/>
                </a:lnTo>
                <a:lnTo>
                  <a:pt x="1250617" y="2754687"/>
                </a:lnTo>
                <a:lnTo>
                  <a:pt x="1250617" y="1691210"/>
                </a:lnTo>
                <a:close/>
                <a:moveTo>
                  <a:pt x="641835" y="1229322"/>
                </a:moveTo>
                <a:lnTo>
                  <a:pt x="1106070" y="1693578"/>
                </a:lnTo>
                <a:lnTo>
                  <a:pt x="1106070" y="2749927"/>
                </a:lnTo>
                <a:lnTo>
                  <a:pt x="641835" y="2759395"/>
                </a:lnTo>
                <a:close/>
                <a:moveTo>
                  <a:pt x="35444" y="618126"/>
                </a:moveTo>
                <a:lnTo>
                  <a:pt x="509154" y="1091814"/>
                </a:lnTo>
                <a:lnTo>
                  <a:pt x="509154" y="2754655"/>
                </a:lnTo>
                <a:lnTo>
                  <a:pt x="35444" y="2749904"/>
                </a:lnTo>
                <a:close/>
                <a:moveTo>
                  <a:pt x="0" y="0"/>
                </a:moveTo>
                <a:lnTo>
                  <a:pt x="1177165" y="1158192"/>
                </a:lnTo>
                <a:lnTo>
                  <a:pt x="1518233" y="817128"/>
                </a:lnTo>
                <a:lnTo>
                  <a:pt x="2746509" y="2007744"/>
                </a:lnTo>
                <a:lnTo>
                  <a:pt x="2847163" y="1910921"/>
                </a:lnTo>
                <a:lnTo>
                  <a:pt x="2847163" y="2340365"/>
                </a:lnTo>
                <a:lnTo>
                  <a:pt x="2400726" y="2340365"/>
                </a:lnTo>
                <a:lnTo>
                  <a:pt x="2494986" y="2249694"/>
                </a:lnTo>
                <a:lnTo>
                  <a:pt x="1506389" y="1297944"/>
                </a:lnTo>
                <a:lnTo>
                  <a:pt x="1181903" y="1622449"/>
                </a:lnTo>
                <a:lnTo>
                  <a:pt x="0" y="440532"/>
                </a:lnTo>
                <a:close/>
              </a:path>
            </a:pathLst>
          </a:custGeom>
          <a:solidFill>
            <a:sysClr val="window" lastClr="FFFFFF"/>
          </a:solidFill>
          <a:ln w="6350"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15" name="Freeform: Shape 81">
            <a:extLst>
              <a:ext uri="{FF2B5EF4-FFF2-40B4-BE49-F238E27FC236}">
                <a16:creationId xmlns:a16="http://schemas.microsoft.com/office/drawing/2014/main" id="{00000000-0008-0000-0000-00003B010000}"/>
              </a:ext>
            </a:extLst>
          </xdr:cNvPr>
          <xdr:cNvSpPr/>
        </xdr:nvSpPr>
        <xdr:spPr>
          <a:xfrm>
            <a:off x="13464987" y="7650308"/>
            <a:ext cx="252000" cy="259940"/>
          </a:xfrm>
          <a:custGeom>
            <a:avLst/>
            <a:gdLst>
              <a:gd name="connsiteX0" fmla="*/ 639778 w 4884414"/>
              <a:gd name="connsiteY0" fmla="*/ 2912647 h 4858772"/>
              <a:gd name="connsiteX1" fmla="*/ 1031685 w 4884414"/>
              <a:gd name="connsiteY1" fmla="*/ 4714736 h 4858772"/>
              <a:gd name="connsiteX2" fmla="*/ 385208 w 4884414"/>
              <a:gd name="connsiteY2" fmla="*/ 4858772 h 4858772"/>
              <a:gd name="connsiteX3" fmla="*/ 0 w 4884414"/>
              <a:gd name="connsiteY3" fmla="*/ 3053299 h 4858772"/>
              <a:gd name="connsiteX4" fmla="*/ 4607863 w 4884414"/>
              <a:gd name="connsiteY4" fmla="*/ 2902441 h 4858772"/>
              <a:gd name="connsiteX5" fmla="*/ 4789111 w 4884414"/>
              <a:gd name="connsiteY5" fmla="*/ 2958353 h 4858772"/>
              <a:gd name="connsiteX6" fmla="*/ 4811396 w 4884414"/>
              <a:gd name="connsiteY6" fmla="*/ 3250422 h 4858772"/>
              <a:gd name="connsiteX7" fmla="*/ 2814330 w 4884414"/>
              <a:gd name="connsiteY7" fmla="*/ 4524139 h 4858772"/>
              <a:gd name="connsiteX8" fmla="*/ 1445303 w 4884414"/>
              <a:gd name="connsiteY8" fmla="*/ 4391479 h 4858772"/>
              <a:gd name="connsiteX9" fmla="*/ 1161080 w 4884414"/>
              <a:gd name="connsiteY9" fmla="*/ 4453075 h 4858772"/>
              <a:gd name="connsiteX10" fmla="*/ 895802 w 4884414"/>
              <a:gd name="connsiteY10" fmla="*/ 3202470 h 4858772"/>
              <a:gd name="connsiteX11" fmla="*/ 1492676 w 4884414"/>
              <a:gd name="connsiteY11" fmla="*/ 3046158 h 4858772"/>
              <a:gd name="connsiteX12" fmla="*/ 2495226 w 4884414"/>
              <a:gd name="connsiteY12" fmla="*/ 3450762 h 4858772"/>
              <a:gd name="connsiteX13" fmla="*/ 3321174 w 4884414"/>
              <a:gd name="connsiteY13" fmla="*/ 3055626 h 4858772"/>
              <a:gd name="connsiteX14" fmla="*/ 3742807 w 4884414"/>
              <a:gd name="connsiteY14" fmla="*/ 3103002 h 4858772"/>
              <a:gd name="connsiteX15" fmla="*/ 3723259 w 4884414"/>
              <a:gd name="connsiteY15" fmla="*/ 3443274 h 4858772"/>
              <a:gd name="connsiteX16" fmla="*/ 2513442 w 4884414"/>
              <a:gd name="connsiteY16" fmla="*/ 4087494 h 4858772"/>
              <a:gd name="connsiteX17" fmla="*/ 1386497 w 4884414"/>
              <a:gd name="connsiteY17" fmla="*/ 3877686 h 4858772"/>
              <a:gd name="connsiteX18" fmla="*/ 1345824 w 4884414"/>
              <a:gd name="connsiteY18" fmla="*/ 4040946 h 4858772"/>
              <a:gd name="connsiteX19" fmla="*/ 2583822 w 4884414"/>
              <a:gd name="connsiteY19" fmla="*/ 4264146 h 4858772"/>
              <a:gd name="connsiteX20" fmla="*/ 3918055 w 4884414"/>
              <a:gd name="connsiteY20" fmla="*/ 3524598 h 4858772"/>
              <a:gd name="connsiteX21" fmla="*/ 4020079 w 4884414"/>
              <a:gd name="connsiteY21" fmla="*/ 3359394 h 4858772"/>
              <a:gd name="connsiteX22" fmla="*/ 3984367 w 4884414"/>
              <a:gd name="connsiteY22" fmla="*/ 3155094 h 4858772"/>
              <a:gd name="connsiteX23" fmla="*/ 4420327 w 4884414"/>
              <a:gd name="connsiteY23" fmla="*/ 2932794 h 4858772"/>
              <a:gd name="connsiteX24" fmla="*/ 4607863 w 4884414"/>
              <a:gd name="connsiteY24" fmla="*/ 2902441 h 4858772"/>
              <a:gd name="connsiteX25" fmla="*/ 1433727 w 4884414"/>
              <a:gd name="connsiteY25" fmla="*/ 2168924 h 4858772"/>
              <a:gd name="connsiteX26" fmla="*/ 1849081 w 4884414"/>
              <a:gd name="connsiteY26" fmla="*/ 2168924 h 4858772"/>
              <a:gd name="connsiteX27" fmla="*/ 1849081 w 4884414"/>
              <a:gd name="connsiteY27" fmla="*/ 2845548 h 4858772"/>
              <a:gd name="connsiteX28" fmla="*/ 1433727 w 4884414"/>
              <a:gd name="connsiteY28" fmla="*/ 2845548 h 4858772"/>
              <a:gd name="connsiteX29" fmla="*/ 2941179 w 4884414"/>
              <a:gd name="connsiteY29" fmla="*/ 2004757 h 4858772"/>
              <a:gd name="connsiteX30" fmla="*/ 3359881 w 4884414"/>
              <a:gd name="connsiteY30" fmla="*/ 2004757 h 4858772"/>
              <a:gd name="connsiteX31" fmla="*/ 3359881 w 4884414"/>
              <a:gd name="connsiteY31" fmla="*/ 2842165 h 4858772"/>
              <a:gd name="connsiteX32" fmla="*/ 2941179 w 4884414"/>
              <a:gd name="connsiteY32" fmla="*/ 2842165 h 4858772"/>
              <a:gd name="connsiteX33" fmla="*/ 2187461 w 4884414"/>
              <a:gd name="connsiteY33" fmla="*/ 1666453 h 4858772"/>
              <a:gd name="connsiteX34" fmla="*/ 2609514 w 4884414"/>
              <a:gd name="connsiteY34" fmla="*/ 1666453 h 4858772"/>
              <a:gd name="connsiteX35" fmla="*/ 2609514 w 4884414"/>
              <a:gd name="connsiteY35" fmla="*/ 2858921 h 4858772"/>
              <a:gd name="connsiteX36" fmla="*/ 2187461 w 4884414"/>
              <a:gd name="connsiteY36" fmla="*/ 2858921 h 4858772"/>
              <a:gd name="connsiteX37" fmla="*/ 3691550 w 4884414"/>
              <a:gd name="connsiteY37" fmla="*/ 1488894 h 4858772"/>
              <a:gd name="connsiteX38" fmla="*/ 4110252 w 4884414"/>
              <a:gd name="connsiteY38" fmla="*/ 1488894 h 4858772"/>
              <a:gd name="connsiteX39" fmla="*/ 4110252 w 4884414"/>
              <a:gd name="connsiteY39" fmla="*/ 2852193 h 4858772"/>
              <a:gd name="connsiteX40" fmla="*/ 3691550 w 4884414"/>
              <a:gd name="connsiteY40" fmla="*/ 2852193 h 4858772"/>
              <a:gd name="connsiteX41" fmla="*/ 4884414 w 4884414"/>
              <a:gd name="connsiteY41" fmla="*/ 0 h 4858772"/>
              <a:gd name="connsiteX42" fmla="*/ 4879661 w 4884414"/>
              <a:gd name="connsiteY42" fmla="*/ 497394 h 4858772"/>
              <a:gd name="connsiteX43" fmla="*/ 4718597 w 4884414"/>
              <a:gd name="connsiteY43" fmla="*/ 497394 h 4858772"/>
              <a:gd name="connsiteX44" fmla="*/ 4713882 w 4884414"/>
              <a:gd name="connsiteY44" fmla="*/ 274752 h 4858772"/>
              <a:gd name="connsiteX45" fmla="*/ 3775937 w 4884414"/>
              <a:gd name="connsiteY45" fmla="*/ 1198498 h 4858772"/>
              <a:gd name="connsiteX46" fmla="*/ 3041680 w 4884414"/>
              <a:gd name="connsiteY46" fmla="*/ 454759 h 4858772"/>
              <a:gd name="connsiteX47" fmla="*/ 2027937 w 4884414"/>
              <a:gd name="connsiteY47" fmla="*/ 1430590 h 4858772"/>
              <a:gd name="connsiteX48" fmla="*/ 1426330 w 4884414"/>
              <a:gd name="connsiteY48" fmla="*/ 876370 h 4858772"/>
              <a:gd name="connsiteX49" fmla="*/ 327325 w 4884414"/>
              <a:gd name="connsiteY49" fmla="*/ 1984846 h 4858772"/>
              <a:gd name="connsiteX50" fmla="*/ 194686 w 4884414"/>
              <a:gd name="connsiteY50" fmla="*/ 1871158 h 4858772"/>
              <a:gd name="connsiteX51" fmla="*/ 1416855 w 4884414"/>
              <a:gd name="connsiteY51" fmla="*/ 644242 h 4858772"/>
              <a:gd name="connsiteX52" fmla="*/ 2027937 w 4884414"/>
              <a:gd name="connsiteY52" fmla="*/ 1203214 h 4858772"/>
              <a:gd name="connsiteX53" fmla="*/ 3022744 w 4884414"/>
              <a:gd name="connsiteY53" fmla="*/ 222642 h 4858772"/>
              <a:gd name="connsiteX54" fmla="*/ 3799624 w 4884414"/>
              <a:gd name="connsiteY54" fmla="*/ 961618 h 4858772"/>
              <a:gd name="connsiteX55" fmla="*/ 4604909 w 4884414"/>
              <a:gd name="connsiteY55" fmla="*/ 161060 h 4858772"/>
              <a:gd name="connsiteX56" fmla="*/ 4377533 w 4884414"/>
              <a:gd name="connsiteY56" fmla="*/ 151585 h 4858772"/>
              <a:gd name="connsiteX57" fmla="*/ 4372781 w 4884414"/>
              <a:gd name="connsiteY57" fmla="*/ 4737 h 4858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4884414" h="4858772">
                <a:moveTo>
                  <a:pt x="639778" y="2912647"/>
                </a:moveTo>
                <a:lnTo>
                  <a:pt x="1031685" y="4714736"/>
                </a:lnTo>
                <a:lnTo>
                  <a:pt x="385208" y="4858772"/>
                </a:lnTo>
                <a:lnTo>
                  <a:pt x="0" y="3053299"/>
                </a:lnTo>
                <a:close/>
                <a:moveTo>
                  <a:pt x="4607863" y="2902441"/>
                </a:moveTo>
                <a:cubicBezTo>
                  <a:pt x="4668385" y="2903746"/>
                  <a:pt x="4734018" y="2917543"/>
                  <a:pt x="4789111" y="2958353"/>
                </a:cubicBezTo>
                <a:cubicBezTo>
                  <a:pt x="4984268" y="3102893"/>
                  <a:pt x="4811396" y="3250422"/>
                  <a:pt x="4811396" y="3250422"/>
                </a:cubicBezTo>
                <a:cubicBezTo>
                  <a:pt x="4811396" y="3250422"/>
                  <a:pt x="3126199" y="4484683"/>
                  <a:pt x="2814330" y="4524139"/>
                </a:cubicBezTo>
                <a:cubicBezTo>
                  <a:pt x="2436006" y="4571983"/>
                  <a:pt x="1681870" y="4399758"/>
                  <a:pt x="1445303" y="4391479"/>
                </a:cubicBezTo>
                <a:cubicBezTo>
                  <a:pt x="1331655" y="4387519"/>
                  <a:pt x="1161080" y="4453075"/>
                  <a:pt x="1161080" y="4453075"/>
                </a:cubicBezTo>
                <a:lnTo>
                  <a:pt x="895802" y="3202470"/>
                </a:lnTo>
                <a:cubicBezTo>
                  <a:pt x="895802" y="3202470"/>
                  <a:pt x="1206936" y="3031326"/>
                  <a:pt x="1492676" y="3046158"/>
                </a:cubicBezTo>
                <a:cubicBezTo>
                  <a:pt x="1861078" y="3065273"/>
                  <a:pt x="2261046" y="3451698"/>
                  <a:pt x="2495226" y="3450762"/>
                </a:cubicBezTo>
                <a:cubicBezTo>
                  <a:pt x="2653086" y="3450150"/>
                  <a:pt x="3321174" y="3055626"/>
                  <a:pt x="3321174" y="3055626"/>
                </a:cubicBezTo>
                <a:cubicBezTo>
                  <a:pt x="3321174" y="3055626"/>
                  <a:pt x="3595819" y="2954430"/>
                  <a:pt x="3742807" y="3103002"/>
                </a:cubicBezTo>
                <a:cubicBezTo>
                  <a:pt x="3947863" y="3310290"/>
                  <a:pt x="3723259" y="3443274"/>
                  <a:pt x="3723259" y="3443274"/>
                </a:cubicBezTo>
                <a:cubicBezTo>
                  <a:pt x="3723259" y="3443274"/>
                  <a:pt x="2958654" y="3989718"/>
                  <a:pt x="2513442" y="4087494"/>
                </a:cubicBezTo>
                <a:cubicBezTo>
                  <a:pt x="2233902" y="4148910"/>
                  <a:pt x="1386497" y="3877686"/>
                  <a:pt x="1386497" y="3877686"/>
                </a:cubicBezTo>
                <a:lnTo>
                  <a:pt x="1345824" y="4040946"/>
                </a:lnTo>
                <a:cubicBezTo>
                  <a:pt x="1345824" y="4040946"/>
                  <a:pt x="2201574" y="4299750"/>
                  <a:pt x="2583822" y="4264146"/>
                </a:cubicBezTo>
                <a:cubicBezTo>
                  <a:pt x="2873478" y="4237218"/>
                  <a:pt x="3918055" y="3524598"/>
                  <a:pt x="3918055" y="3524598"/>
                </a:cubicBezTo>
                <a:cubicBezTo>
                  <a:pt x="3918055" y="3524598"/>
                  <a:pt x="3992143" y="3470274"/>
                  <a:pt x="4020079" y="3359394"/>
                </a:cubicBezTo>
                <a:cubicBezTo>
                  <a:pt x="4045927" y="3256794"/>
                  <a:pt x="3984367" y="3155094"/>
                  <a:pt x="3984367" y="3155094"/>
                </a:cubicBezTo>
                <a:lnTo>
                  <a:pt x="4420327" y="2932794"/>
                </a:lnTo>
                <a:cubicBezTo>
                  <a:pt x="4420327" y="2932794"/>
                  <a:pt x="4506995" y="2900267"/>
                  <a:pt x="4607863" y="2902441"/>
                </a:cubicBezTo>
                <a:close/>
                <a:moveTo>
                  <a:pt x="1433727" y="2168924"/>
                </a:moveTo>
                <a:lnTo>
                  <a:pt x="1849081" y="2168924"/>
                </a:lnTo>
                <a:lnTo>
                  <a:pt x="1849081" y="2845548"/>
                </a:lnTo>
                <a:lnTo>
                  <a:pt x="1433727" y="2845548"/>
                </a:lnTo>
                <a:close/>
                <a:moveTo>
                  <a:pt x="2941179" y="2004757"/>
                </a:moveTo>
                <a:lnTo>
                  <a:pt x="3359881" y="2004757"/>
                </a:lnTo>
                <a:lnTo>
                  <a:pt x="3359881" y="2842165"/>
                </a:lnTo>
                <a:lnTo>
                  <a:pt x="2941179" y="2842165"/>
                </a:lnTo>
                <a:close/>
                <a:moveTo>
                  <a:pt x="2187461" y="1666453"/>
                </a:moveTo>
                <a:lnTo>
                  <a:pt x="2609514" y="1666453"/>
                </a:lnTo>
                <a:lnTo>
                  <a:pt x="2609514" y="2858921"/>
                </a:lnTo>
                <a:lnTo>
                  <a:pt x="2187461" y="2858921"/>
                </a:lnTo>
                <a:close/>
                <a:moveTo>
                  <a:pt x="3691550" y="1488894"/>
                </a:moveTo>
                <a:lnTo>
                  <a:pt x="4110252" y="1488894"/>
                </a:lnTo>
                <a:lnTo>
                  <a:pt x="4110252" y="2852193"/>
                </a:lnTo>
                <a:lnTo>
                  <a:pt x="3691550" y="2852193"/>
                </a:lnTo>
                <a:close/>
                <a:moveTo>
                  <a:pt x="4884414" y="0"/>
                </a:moveTo>
                <a:lnTo>
                  <a:pt x="4879661" y="497394"/>
                </a:lnTo>
                <a:lnTo>
                  <a:pt x="4718597" y="497394"/>
                </a:lnTo>
                <a:lnTo>
                  <a:pt x="4713882" y="274752"/>
                </a:lnTo>
                <a:lnTo>
                  <a:pt x="3775937" y="1198498"/>
                </a:lnTo>
                <a:lnTo>
                  <a:pt x="3041680" y="454759"/>
                </a:lnTo>
                <a:lnTo>
                  <a:pt x="2027937" y="1430590"/>
                </a:lnTo>
                <a:lnTo>
                  <a:pt x="1426330" y="876370"/>
                </a:lnTo>
                <a:lnTo>
                  <a:pt x="327325" y="1984846"/>
                </a:lnTo>
                <a:lnTo>
                  <a:pt x="194686" y="1871158"/>
                </a:lnTo>
                <a:lnTo>
                  <a:pt x="1416855" y="644242"/>
                </a:lnTo>
                <a:lnTo>
                  <a:pt x="2027937" y="1203214"/>
                </a:lnTo>
                <a:lnTo>
                  <a:pt x="3022744" y="222642"/>
                </a:lnTo>
                <a:lnTo>
                  <a:pt x="3799624" y="961618"/>
                </a:lnTo>
                <a:lnTo>
                  <a:pt x="4604909" y="161060"/>
                </a:lnTo>
                <a:lnTo>
                  <a:pt x="4377533" y="151585"/>
                </a:lnTo>
                <a:lnTo>
                  <a:pt x="4372781" y="4737"/>
                </a:lnTo>
                <a:close/>
              </a:path>
            </a:pathLst>
          </a:custGeom>
          <a:solidFill>
            <a:sysClr val="window" lastClr="FFFFFF"/>
          </a:solidFill>
          <a:ln w="17998"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16" name="Freeform: Shape 82">
            <a:extLst>
              <a:ext uri="{FF2B5EF4-FFF2-40B4-BE49-F238E27FC236}">
                <a16:creationId xmlns:a16="http://schemas.microsoft.com/office/drawing/2014/main" id="{00000000-0008-0000-0000-00003C010000}"/>
              </a:ext>
            </a:extLst>
          </xdr:cNvPr>
          <xdr:cNvSpPr/>
        </xdr:nvSpPr>
        <xdr:spPr>
          <a:xfrm>
            <a:off x="13482987" y="8187323"/>
            <a:ext cx="216000" cy="250591"/>
          </a:xfrm>
          <a:custGeom>
            <a:avLst/>
            <a:gdLst>
              <a:gd name="connsiteX0" fmla="*/ 1055978 w 2078051"/>
              <a:gd name="connsiteY0" fmla="*/ 1929003 h 2870971"/>
              <a:gd name="connsiteX1" fmla="*/ 1107799 w 2078051"/>
              <a:gd name="connsiteY1" fmla="*/ 1959131 h 2870971"/>
              <a:gd name="connsiteX2" fmla="*/ 1123868 w 2078051"/>
              <a:gd name="connsiteY2" fmla="*/ 2005327 h 2870971"/>
              <a:gd name="connsiteX3" fmla="*/ 1104987 w 2078051"/>
              <a:gd name="connsiteY3" fmla="*/ 2057955 h 2870971"/>
              <a:gd name="connsiteX4" fmla="*/ 1055978 w 2078051"/>
              <a:gd name="connsiteY4" fmla="*/ 2085674 h 2870971"/>
              <a:gd name="connsiteX5" fmla="*/ 997728 w 2078051"/>
              <a:gd name="connsiteY5" fmla="*/ 1658243 h 2870971"/>
              <a:gd name="connsiteX6" fmla="*/ 997728 w 2078051"/>
              <a:gd name="connsiteY6" fmla="*/ 1797238 h 2870971"/>
              <a:gd name="connsiteX7" fmla="*/ 958762 w 2078051"/>
              <a:gd name="connsiteY7" fmla="*/ 1767911 h 2870971"/>
              <a:gd name="connsiteX8" fmla="*/ 945906 w 2078051"/>
              <a:gd name="connsiteY8" fmla="*/ 1728143 h 2870971"/>
              <a:gd name="connsiteX9" fmla="*/ 959966 w 2078051"/>
              <a:gd name="connsiteY9" fmla="*/ 1685558 h 2870971"/>
              <a:gd name="connsiteX10" fmla="*/ 997728 w 2078051"/>
              <a:gd name="connsiteY10" fmla="*/ 1658243 h 2870971"/>
              <a:gd name="connsiteX11" fmla="*/ 997728 w 2078051"/>
              <a:gd name="connsiteY11" fmla="*/ 1530898 h 2870971"/>
              <a:gd name="connsiteX12" fmla="*/ 997728 w 2078051"/>
              <a:gd name="connsiteY12" fmla="*/ 1570667 h 2870971"/>
              <a:gd name="connsiteX13" fmla="*/ 886854 w 2078051"/>
              <a:gd name="connsiteY13" fmla="*/ 1622487 h 2870971"/>
              <a:gd name="connsiteX14" fmla="*/ 845479 w 2078051"/>
              <a:gd name="connsiteY14" fmla="*/ 1732962 h 2870971"/>
              <a:gd name="connsiteX15" fmla="*/ 882035 w 2078051"/>
              <a:gd name="connsiteY15" fmla="*/ 1843836 h 2870971"/>
              <a:gd name="connsiteX16" fmla="*/ 997728 w 2078051"/>
              <a:gd name="connsiteY16" fmla="*/ 1911726 h 2870971"/>
              <a:gd name="connsiteX17" fmla="*/ 997728 w 2078051"/>
              <a:gd name="connsiteY17" fmla="*/ 2080048 h 2870971"/>
              <a:gd name="connsiteX18" fmla="*/ 958359 w 2078051"/>
              <a:gd name="connsiteY18" fmla="*/ 2046305 h 2870971"/>
              <a:gd name="connsiteX19" fmla="*/ 934255 w 2078051"/>
              <a:gd name="connsiteY19" fmla="*/ 1990869 h 2870971"/>
              <a:gd name="connsiteX20" fmla="*/ 829406 w 2078051"/>
              <a:gd name="connsiteY20" fmla="*/ 2002116 h 2870971"/>
              <a:gd name="connsiteX21" fmla="*/ 884843 w 2078051"/>
              <a:gd name="connsiteY21" fmla="*/ 2124639 h 2870971"/>
              <a:gd name="connsiteX22" fmla="*/ 997728 w 2078051"/>
              <a:gd name="connsiteY22" fmla="*/ 2176462 h 2870971"/>
              <a:gd name="connsiteX23" fmla="*/ 997728 w 2078051"/>
              <a:gd name="connsiteY23" fmla="*/ 2249574 h 2870971"/>
              <a:gd name="connsiteX24" fmla="*/ 1055978 w 2078051"/>
              <a:gd name="connsiteY24" fmla="*/ 2249574 h 2870971"/>
              <a:gd name="connsiteX25" fmla="*/ 1055978 w 2078051"/>
              <a:gd name="connsiteY25" fmla="*/ 2174451 h 2870971"/>
              <a:gd name="connsiteX26" fmla="*/ 1178099 w 2078051"/>
              <a:gd name="connsiteY26" fmla="*/ 2113392 h 2870971"/>
              <a:gd name="connsiteX27" fmla="*/ 1222289 w 2078051"/>
              <a:gd name="connsiteY27" fmla="*/ 1990869 h 2870971"/>
              <a:gd name="connsiteX28" fmla="*/ 1187340 w 2078051"/>
              <a:gd name="connsiteY28" fmla="*/ 1884411 h 2870971"/>
              <a:gd name="connsiteX29" fmla="*/ 1055978 w 2078051"/>
              <a:gd name="connsiteY29" fmla="*/ 1816521 h 2870971"/>
              <a:gd name="connsiteX30" fmla="*/ 1055978 w 2078051"/>
              <a:gd name="connsiteY30" fmla="*/ 1659447 h 2870971"/>
              <a:gd name="connsiteX31" fmla="*/ 1104185 w 2078051"/>
              <a:gd name="connsiteY31" fmla="*/ 1723721 h 2870971"/>
              <a:gd name="connsiteX32" fmla="*/ 1205818 w 2078051"/>
              <a:gd name="connsiteY32" fmla="*/ 1710467 h 2870971"/>
              <a:gd name="connsiteX33" fmla="*/ 1157614 w 2078051"/>
              <a:gd name="connsiteY33" fmla="*/ 1614457 h 2870971"/>
              <a:gd name="connsiteX34" fmla="*/ 1055978 w 2078051"/>
              <a:gd name="connsiteY34" fmla="*/ 1570667 h 2870971"/>
              <a:gd name="connsiteX35" fmla="*/ 1055978 w 2078051"/>
              <a:gd name="connsiteY35" fmla="*/ 1530898 h 2870971"/>
              <a:gd name="connsiteX36" fmla="*/ 1033100 w 2078051"/>
              <a:gd name="connsiteY36" fmla="*/ 1329168 h 2870971"/>
              <a:gd name="connsiteX37" fmla="*/ 1572115 w 2078051"/>
              <a:gd name="connsiteY37" fmla="*/ 1868183 h 2870971"/>
              <a:gd name="connsiteX38" fmla="*/ 1033100 w 2078051"/>
              <a:gd name="connsiteY38" fmla="*/ 2407198 h 2870971"/>
              <a:gd name="connsiteX39" fmla="*/ 494085 w 2078051"/>
              <a:gd name="connsiteY39" fmla="*/ 1868183 h 2870971"/>
              <a:gd name="connsiteX40" fmla="*/ 1033100 w 2078051"/>
              <a:gd name="connsiteY40" fmla="*/ 1329168 h 2870971"/>
              <a:gd name="connsiteX41" fmla="*/ 1033100 w 2078051"/>
              <a:gd name="connsiteY41" fmla="*/ 1223366 h 2870971"/>
              <a:gd name="connsiteX42" fmla="*/ 388283 w 2078051"/>
              <a:gd name="connsiteY42" fmla="*/ 1868183 h 2870971"/>
              <a:gd name="connsiteX43" fmla="*/ 1033100 w 2078051"/>
              <a:gd name="connsiteY43" fmla="*/ 2513000 h 2870971"/>
              <a:gd name="connsiteX44" fmla="*/ 1677917 w 2078051"/>
              <a:gd name="connsiteY44" fmla="*/ 1868183 h 2870971"/>
              <a:gd name="connsiteX45" fmla="*/ 1033100 w 2078051"/>
              <a:gd name="connsiteY45" fmla="*/ 1223366 h 2870971"/>
              <a:gd name="connsiteX46" fmla="*/ 983183 w 2078051"/>
              <a:gd name="connsiteY46" fmla="*/ 335217 h 2870971"/>
              <a:gd name="connsiteX47" fmla="*/ 758164 w 2078051"/>
              <a:gd name="connsiteY47" fmla="*/ 343982 h 2870971"/>
              <a:gd name="connsiteX48" fmla="*/ 488284 w 2078051"/>
              <a:gd name="connsiteY48" fmla="*/ 983732 h 2870971"/>
              <a:gd name="connsiteX49" fmla="*/ 488749 w 2078051"/>
              <a:gd name="connsiteY49" fmla="*/ 985270 h 2870971"/>
              <a:gd name="connsiteX50" fmla="*/ 642599 w 2078051"/>
              <a:gd name="connsiteY50" fmla="*/ 899738 h 2870971"/>
              <a:gd name="connsiteX51" fmla="*/ 1558297 w 2078051"/>
              <a:gd name="connsiteY51" fmla="*/ 983595 h 2870971"/>
              <a:gd name="connsiteX52" fmla="*/ 1599794 w 2078051"/>
              <a:gd name="connsiteY52" fmla="*/ 1014524 h 2870971"/>
              <a:gd name="connsiteX53" fmla="*/ 1602875 w 2078051"/>
              <a:gd name="connsiteY53" fmla="*/ 999811 h 2870971"/>
              <a:gd name="connsiteX54" fmla="*/ 1383012 w 2078051"/>
              <a:gd name="connsiteY54" fmla="*/ 357449 h 2870971"/>
              <a:gd name="connsiteX55" fmla="*/ 983183 w 2078051"/>
              <a:gd name="connsiteY55" fmla="*/ 335217 h 2870971"/>
              <a:gd name="connsiteX56" fmla="*/ 1024198 w 2078051"/>
              <a:gd name="connsiteY56" fmla="*/ 0 h 2870971"/>
              <a:gd name="connsiteX57" fmla="*/ 1463633 w 2078051"/>
              <a:gd name="connsiteY57" fmla="*/ 41646 h 2870971"/>
              <a:gd name="connsiteX58" fmla="*/ 1850752 w 2078051"/>
              <a:gd name="connsiteY58" fmla="*/ 1233583 h 2870971"/>
              <a:gd name="connsiteX59" fmla="*/ 1848614 w 2078051"/>
              <a:gd name="connsiteY59" fmla="*/ 1239078 h 2870971"/>
              <a:gd name="connsiteX60" fmla="*/ 1936700 w 2078051"/>
              <a:gd name="connsiteY60" fmla="*/ 1360517 h 2870971"/>
              <a:gd name="connsiteX61" fmla="*/ 1430019 w 2078051"/>
              <a:gd name="connsiteY61" fmla="*/ 2823279 h 2870971"/>
              <a:gd name="connsiteX62" fmla="*/ 583477 w 2078051"/>
              <a:gd name="connsiteY62" fmla="*/ 2796381 h 2870971"/>
              <a:gd name="connsiteX63" fmla="*/ 131162 w 2078051"/>
              <a:gd name="connsiteY63" fmla="*/ 1394268 h 2870971"/>
              <a:gd name="connsiteX64" fmla="*/ 216742 w 2078051"/>
              <a:gd name="connsiteY64" fmla="*/ 1260356 h 2870971"/>
              <a:gd name="connsiteX65" fmla="*/ 216557 w 2078051"/>
              <a:gd name="connsiteY65" fmla="*/ 1259844 h 2870971"/>
              <a:gd name="connsiteX66" fmla="*/ 637229 w 2078051"/>
              <a:gd name="connsiteY66" fmla="*/ 28215 h 2870971"/>
              <a:gd name="connsiteX67" fmla="*/ 1024198 w 2078051"/>
              <a:gd name="connsiteY67" fmla="*/ 0 h 287097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Lst>
            <a:rect l="l" t="t" r="r" b="b"/>
            <a:pathLst>
              <a:path w="2078051" h="2870971">
                <a:moveTo>
                  <a:pt x="1055978" y="1929003"/>
                </a:moveTo>
                <a:cubicBezTo>
                  <a:pt x="1080081" y="1935967"/>
                  <a:pt x="1097353" y="1946008"/>
                  <a:pt x="1107799" y="1959131"/>
                </a:cubicBezTo>
                <a:cubicBezTo>
                  <a:pt x="1118513" y="1971987"/>
                  <a:pt x="1123868" y="1987384"/>
                  <a:pt x="1123868" y="2005327"/>
                </a:cubicBezTo>
                <a:cubicBezTo>
                  <a:pt x="1123868" y="2025413"/>
                  <a:pt x="1117575" y="2042957"/>
                  <a:pt x="1104987" y="2057955"/>
                </a:cubicBezTo>
                <a:cubicBezTo>
                  <a:pt x="1092399" y="2072682"/>
                  <a:pt x="1076063" y="2081922"/>
                  <a:pt x="1055978" y="2085674"/>
                </a:cubicBezTo>
                <a:close/>
                <a:moveTo>
                  <a:pt x="997728" y="1658243"/>
                </a:moveTo>
                <a:lnTo>
                  <a:pt x="997728" y="1797238"/>
                </a:lnTo>
                <a:cubicBezTo>
                  <a:pt x="980320" y="1789741"/>
                  <a:pt x="967333" y="1779966"/>
                  <a:pt x="958762" y="1767911"/>
                </a:cubicBezTo>
                <a:cubicBezTo>
                  <a:pt x="950192" y="1755594"/>
                  <a:pt x="945906" y="1742336"/>
                  <a:pt x="945906" y="1728143"/>
                </a:cubicBezTo>
                <a:cubicBezTo>
                  <a:pt x="945906" y="1712610"/>
                  <a:pt x="950595" y="1698414"/>
                  <a:pt x="959966" y="1685558"/>
                </a:cubicBezTo>
                <a:cubicBezTo>
                  <a:pt x="969340" y="1672701"/>
                  <a:pt x="981927" y="1663597"/>
                  <a:pt x="997728" y="1658243"/>
                </a:cubicBezTo>
                <a:close/>
                <a:moveTo>
                  <a:pt x="997728" y="1530898"/>
                </a:moveTo>
                <a:lnTo>
                  <a:pt x="997728" y="1570667"/>
                </a:lnTo>
                <a:cubicBezTo>
                  <a:pt x="951664" y="1575219"/>
                  <a:pt x="914705" y="1592496"/>
                  <a:pt x="886854" y="1622487"/>
                </a:cubicBezTo>
                <a:cubicBezTo>
                  <a:pt x="859268" y="1652218"/>
                  <a:pt x="845479" y="1689041"/>
                  <a:pt x="845479" y="1732962"/>
                </a:cubicBezTo>
                <a:cubicBezTo>
                  <a:pt x="845479" y="1776346"/>
                  <a:pt x="857664" y="1813305"/>
                  <a:pt x="882035" y="1843836"/>
                </a:cubicBezTo>
                <a:cubicBezTo>
                  <a:pt x="906673" y="1874101"/>
                  <a:pt x="945236" y="1896733"/>
                  <a:pt x="997728" y="1911726"/>
                </a:cubicBezTo>
                <a:lnTo>
                  <a:pt x="997728" y="2080048"/>
                </a:lnTo>
                <a:cubicBezTo>
                  <a:pt x="983264" y="2073085"/>
                  <a:pt x="970145" y="2061838"/>
                  <a:pt x="958359" y="2046305"/>
                </a:cubicBezTo>
                <a:cubicBezTo>
                  <a:pt x="946577" y="2030771"/>
                  <a:pt x="938541" y="2012290"/>
                  <a:pt x="934255" y="1990869"/>
                </a:cubicBezTo>
                <a:lnTo>
                  <a:pt x="829406" y="2002116"/>
                </a:lnTo>
                <a:cubicBezTo>
                  <a:pt x="837442" y="2054876"/>
                  <a:pt x="855919" y="2095718"/>
                  <a:pt x="884843" y="2124639"/>
                </a:cubicBezTo>
                <a:cubicBezTo>
                  <a:pt x="913767" y="2153563"/>
                  <a:pt x="951397" y="2170835"/>
                  <a:pt x="997728" y="2176462"/>
                </a:cubicBezTo>
                <a:lnTo>
                  <a:pt x="997728" y="2249574"/>
                </a:lnTo>
                <a:lnTo>
                  <a:pt x="1055978" y="2249574"/>
                </a:lnTo>
                <a:lnTo>
                  <a:pt x="1055978" y="2174451"/>
                </a:lnTo>
                <a:cubicBezTo>
                  <a:pt x="1108203" y="2166954"/>
                  <a:pt x="1148908" y="2146601"/>
                  <a:pt x="1178099" y="2113392"/>
                </a:cubicBezTo>
                <a:cubicBezTo>
                  <a:pt x="1207561" y="2080183"/>
                  <a:pt x="1222289" y="2039342"/>
                  <a:pt x="1222289" y="1990869"/>
                </a:cubicBezTo>
                <a:cubicBezTo>
                  <a:pt x="1222289" y="1947480"/>
                  <a:pt x="1210642" y="1911993"/>
                  <a:pt x="1187340" y="1884411"/>
                </a:cubicBezTo>
                <a:cubicBezTo>
                  <a:pt x="1164039" y="1856556"/>
                  <a:pt x="1120252" y="1833930"/>
                  <a:pt x="1055978" y="1816521"/>
                </a:cubicBezTo>
                <a:lnTo>
                  <a:pt x="1055978" y="1659447"/>
                </a:lnTo>
                <a:cubicBezTo>
                  <a:pt x="1081957" y="1670696"/>
                  <a:pt x="1098025" y="1692122"/>
                  <a:pt x="1104185" y="1723721"/>
                </a:cubicBezTo>
                <a:lnTo>
                  <a:pt x="1205818" y="1710467"/>
                </a:lnTo>
                <a:cubicBezTo>
                  <a:pt x="1198855" y="1670292"/>
                  <a:pt x="1182788" y="1638288"/>
                  <a:pt x="1157614" y="1614457"/>
                </a:cubicBezTo>
                <a:cubicBezTo>
                  <a:pt x="1132438" y="1590353"/>
                  <a:pt x="1098558" y="1575758"/>
                  <a:pt x="1055978" y="1570667"/>
                </a:cubicBezTo>
                <a:lnTo>
                  <a:pt x="1055978" y="1530898"/>
                </a:lnTo>
                <a:close/>
                <a:moveTo>
                  <a:pt x="1033100" y="1329168"/>
                </a:moveTo>
                <a:cubicBezTo>
                  <a:pt x="1330790" y="1329168"/>
                  <a:pt x="1572115" y="1570493"/>
                  <a:pt x="1572115" y="1868183"/>
                </a:cubicBezTo>
                <a:cubicBezTo>
                  <a:pt x="1572115" y="2165873"/>
                  <a:pt x="1330790" y="2407198"/>
                  <a:pt x="1033100" y="2407198"/>
                </a:cubicBezTo>
                <a:cubicBezTo>
                  <a:pt x="735410" y="2407198"/>
                  <a:pt x="494085" y="2165873"/>
                  <a:pt x="494085" y="1868183"/>
                </a:cubicBezTo>
                <a:cubicBezTo>
                  <a:pt x="494085" y="1570493"/>
                  <a:pt x="735410" y="1329168"/>
                  <a:pt x="1033100" y="1329168"/>
                </a:cubicBezTo>
                <a:close/>
                <a:moveTo>
                  <a:pt x="1033100" y="1223366"/>
                </a:moveTo>
                <a:cubicBezTo>
                  <a:pt x="676978" y="1223366"/>
                  <a:pt x="388283" y="1512061"/>
                  <a:pt x="388283" y="1868183"/>
                </a:cubicBezTo>
                <a:cubicBezTo>
                  <a:pt x="388283" y="2224306"/>
                  <a:pt x="676978" y="2513000"/>
                  <a:pt x="1033100" y="2513000"/>
                </a:cubicBezTo>
                <a:cubicBezTo>
                  <a:pt x="1389223" y="2513000"/>
                  <a:pt x="1677917" y="2224306"/>
                  <a:pt x="1677917" y="1868183"/>
                </a:cubicBezTo>
                <a:cubicBezTo>
                  <a:pt x="1677917" y="1512061"/>
                  <a:pt x="1389223" y="1223366"/>
                  <a:pt x="1033100" y="1223366"/>
                </a:cubicBezTo>
                <a:close/>
                <a:moveTo>
                  <a:pt x="983183" y="335217"/>
                </a:moveTo>
                <a:cubicBezTo>
                  <a:pt x="882977" y="335206"/>
                  <a:pt x="793965" y="338025"/>
                  <a:pt x="758164" y="343982"/>
                </a:cubicBezTo>
                <a:cubicBezTo>
                  <a:pt x="350402" y="411872"/>
                  <a:pt x="455610" y="870209"/>
                  <a:pt x="488284" y="983732"/>
                </a:cubicBezTo>
                <a:lnTo>
                  <a:pt x="488749" y="985270"/>
                </a:lnTo>
                <a:lnTo>
                  <a:pt x="642599" y="899738"/>
                </a:lnTo>
                <a:cubicBezTo>
                  <a:pt x="932499" y="777096"/>
                  <a:pt x="1276563" y="811395"/>
                  <a:pt x="1558297" y="983595"/>
                </a:cubicBezTo>
                <a:lnTo>
                  <a:pt x="1599794" y="1014524"/>
                </a:lnTo>
                <a:lnTo>
                  <a:pt x="1602875" y="999811"/>
                </a:lnTo>
                <a:cubicBezTo>
                  <a:pt x="1622986" y="897761"/>
                  <a:pt x="1684582" y="481792"/>
                  <a:pt x="1383012" y="357449"/>
                </a:cubicBezTo>
                <a:cubicBezTo>
                  <a:pt x="1348307" y="343121"/>
                  <a:pt x="1150195" y="335237"/>
                  <a:pt x="983183" y="335217"/>
                </a:cubicBezTo>
                <a:close/>
                <a:moveTo>
                  <a:pt x="1024198" y="0"/>
                </a:moveTo>
                <a:cubicBezTo>
                  <a:pt x="1194350" y="-9"/>
                  <a:pt x="1373246" y="11626"/>
                  <a:pt x="1463633" y="41646"/>
                </a:cubicBezTo>
                <a:cubicBezTo>
                  <a:pt x="2185740" y="281592"/>
                  <a:pt x="1890480" y="1128639"/>
                  <a:pt x="1850752" y="1233583"/>
                </a:cubicBezTo>
                <a:lnTo>
                  <a:pt x="1848614" y="1239078"/>
                </a:lnTo>
                <a:lnTo>
                  <a:pt x="1936700" y="1360517"/>
                </a:lnTo>
                <a:cubicBezTo>
                  <a:pt x="2317913" y="1979920"/>
                  <a:pt x="1852931" y="2700800"/>
                  <a:pt x="1430019" y="2823279"/>
                </a:cubicBezTo>
                <a:cubicBezTo>
                  <a:pt x="1158841" y="2901805"/>
                  <a:pt x="730150" y="2876713"/>
                  <a:pt x="583477" y="2796381"/>
                </a:cubicBezTo>
                <a:cubicBezTo>
                  <a:pt x="191527" y="2581783"/>
                  <a:pt x="-215596" y="2019195"/>
                  <a:pt x="131162" y="1394268"/>
                </a:cubicBezTo>
                <a:lnTo>
                  <a:pt x="216742" y="1260356"/>
                </a:lnTo>
                <a:lnTo>
                  <a:pt x="216557" y="1259844"/>
                </a:lnTo>
                <a:cubicBezTo>
                  <a:pt x="177285" y="1148690"/>
                  <a:pt x="-113420" y="252456"/>
                  <a:pt x="637229" y="28215"/>
                </a:cubicBezTo>
                <a:cubicBezTo>
                  <a:pt x="692639" y="11662"/>
                  <a:pt x="854047" y="9"/>
                  <a:pt x="1024198" y="0"/>
                </a:cubicBezTo>
                <a:close/>
              </a:path>
            </a:pathLst>
          </a:custGeom>
          <a:solidFill>
            <a:sysClr val="window" lastClr="FFFFFF"/>
          </a:soli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317" name="Freeform: Shape 83">
            <a:extLst>
              <a:ext uri="{FF2B5EF4-FFF2-40B4-BE49-F238E27FC236}">
                <a16:creationId xmlns:a16="http://schemas.microsoft.com/office/drawing/2014/main" id="{00000000-0008-0000-0000-00003D010000}"/>
              </a:ext>
            </a:extLst>
          </xdr:cNvPr>
          <xdr:cNvSpPr/>
        </xdr:nvSpPr>
        <xdr:spPr>
          <a:xfrm>
            <a:off x="13464987" y="8714991"/>
            <a:ext cx="252000" cy="254177"/>
          </a:xfrm>
          <a:custGeom>
            <a:avLst/>
            <a:gdLst>
              <a:gd name="connsiteX0" fmla="*/ 669226 w 3163078"/>
              <a:gd name="connsiteY0" fmla="*/ 1658213 h 3163078"/>
              <a:gd name="connsiteX1" fmla="*/ 244013 w 3163078"/>
              <a:gd name="connsiteY1" fmla="*/ 1658214 h 3163078"/>
              <a:gd name="connsiteX2" fmla="*/ 247066 w 3163078"/>
              <a:gd name="connsiteY2" fmla="*/ 1718689 h 3163078"/>
              <a:gd name="connsiteX3" fmla="*/ 1444389 w 3163078"/>
              <a:gd name="connsiteY3" fmla="*/ 2916012 h 3163078"/>
              <a:gd name="connsiteX4" fmla="*/ 1499820 w 3163078"/>
              <a:gd name="connsiteY4" fmla="*/ 2918811 h 3163078"/>
              <a:gd name="connsiteX5" fmla="*/ 1495533 w 3163078"/>
              <a:gd name="connsiteY5" fmla="*/ 2890456 h 3163078"/>
              <a:gd name="connsiteX6" fmla="*/ 1495533 w 3163078"/>
              <a:gd name="connsiteY6" fmla="*/ 2467055 h 3163078"/>
              <a:gd name="connsiteX7" fmla="*/ 1479365 w 3163078"/>
              <a:gd name="connsiteY7" fmla="*/ 2466239 h 3163078"/>
              <a:gd name="connsiteX8" fmla="*/ 682606 w 3163078"/>
              <a:gd name="connsiteY8" fmla="*/ 1745881 h 3163078"/>
              <a:gd name="connsiteX9" fmla="*/ 2919066 w 3163078"/>
              <a:gd name="connsiteY9" fmla="*/ 1658213 h 3163078"/>
              <a:gd name="connsiteX10" fmla="*/ 2475189 w 3163078"/>
              <a:gd name="connsiteY10" fmla="*/ 1658214 h 3163078"/>
              <a:gd name="connsiteX11" fmla="*/ 2461810 w 3163078"/>
              <a:gd name="connsiteY11" fmla="*/ 1745881 h 3163078"/>
              <a:gd name="connsiteX12" fmla="*/ 1755212 w 3163078"/>
              <a:gd name="connsiteY12" fmla="*/ 2452479 h 3163078"/>
              <a:gd name="connsiteX13" fmla="*/ 1704868 w 3163078"/>
              <a:gd name="connsiteY13" fmla="*/ 2460162 h 3163078"/>
              <a:gd name="connsiteX14" fmla="*/ 1704868 w 3163078"/>
              <a:gd name="connsiteY14" fmla="*/ 2890456 h 3163078"/>
              <a:gd name="connsiteX15" fmla="*/ 1700869 w 3163078"/>
              <a:gd name="connsiteY15" fmla="*/ 2916912 h 3163078"/>
              <a:gd name="connsiteX16" fmla="*/ 1718689 w 3163078"/>
              <a:gd name="connsiteY16" fmla="*/ 2916012 h 3163078"/>
              <a:gd name="connsiteX17" fmla="*/ 2916012 w 3163078"/>
              <a:gd name="connsiteY17" fmla="*/ 1718689 h 3163078"/>
              <a:gd name="connsiteX18" fmla="*/ 1665289 w 3163078"/>
              <a:gd name="connsiteY18" fmla="*/ 1628851 h 3163078"/>
              <a:gd name="connsiteX19" fmla="*/ 1665289 w 3163078"/>
              <a:gd name="connsiteY19" fmla="*/ 1751958 h 3163078"/>
              <a:gd name="connsiteX20" fmla="*/ 1741278 w 3163078"/>
              <a:gd name="connsiteY20" fmla="*/ 1733090 h 3163078"/>
              <a:gd name="connsiteX21" fmla="*/ 1772883 w 3163078"/>
              <a:gd name="connsiteY21" fmla="*/ 1689910 h 3163078"/>
              <a:gd name="connsiteX22" fmla="*/ 1736568 w 3163078"/>
              <a:gd name="connsiteY22" fmla="*/ 1647194 h 3163078"/>
              <a:gd name="connsiteX23" fmla="*/ 1665289 w 3163078"/>
              <a:gd name="connsiteY23" fmla="*/ 1628851 h 3163078"/>
              <a:gd name="connsiteX24" fmla="*/ 1561731 w 3163078"/>
              <a:gd name="connsiteY24" fmla="*/ 1346387 h 3163078"/>
              <a:gd name="connsiteX25" fmla="*/ 1481712 w 3163078"/>
              <a:gd name="connsiteY25" fmla="*/ 1363245 h 3163078"/>
              <a:gd name="connsiteX26" fmla="*/ 1446742 w 3163078"/>
              <a:gd name="connsiteY26" fmla="*/ 1402960 h 3163078"/>
              <a:gd name="connsiteX27" fmla="*/ 1469607 w 3163078"/>
              <a:gd name="connsiteY27" fmla="*/ 1439212 h 3163078"/>
              <a:gd name="connsiteX28" fmla="*/ 1561731 w 3163078"/>
              <a:gd name="connsiteY28" fmla="*/ 1461544 h 3163078"/>
              <a:gd name="connsiteX29" fmla="*/ 1550971 w 3163078"/>
              <a:gd name="connsiteY29" fmla="*/ 1101133 h 3163078"/>
              <a:gd name="connsiteX30" fmla="*/ 1667979 w 3163078"/>
              <a:gd name="connsiteY30" fmla="*/ 1101133 h 3163078"/>
              <a:gd name="connsiteX31" fmla="*/ 1667979 w 3163078"/>
              <a:gd name="connsiteY31" fmla="*/ 1215826 h 3163078"/>
              <a:gd name="connsiteX32" fmla="*/ 1812557 w 3163078"/>
              <a:gd name="connsiteY32" fmla="*/ 1228724 h 3163078"/>
              <a:gd name="connsiteX33" fmla="*/ 1943685 w 3163078"/>
              <a:gd name="connsiteY33" fmla="*/ 1254026 h 3163078"/>
              <a:gd name="connsiteX34" fmla="*/ 1943685 w 3163078"/>
              <a:gd name="connsiteY34" fmla="*/ 1397021 h 3163078"/>
              <a:gd name="connsiteX35" fmla="*/ 1914100 w 3163078"/>
              <a:gd name="connsiteY35" fmla="*/ 1397021 h 3163078"/>
              <a:gd name="connsiteX36" fmla="*/ 1803142 w 3163078"/>
              <a:gd name="connsiteY36" fmla="*/ 1363245 h 3163078"/>
              <a:gd name="connsiteX37" fmla="*/ 1667979 w 3163078"/>
              <a:gd name="connsiteY37" fmla="*/ 1346387 h 3163078"/>
              <a:gd name="connsiteX38" fmla="*/ 1667979 w 3163078"/>
              <a:gd name="connsiteY38" fmla="*/ 1472463 h 3163078"/>
              <a:gd name="connsiteX39" fmla="*/ 1721778 w 3163078"/>
              <a:gd name="connsiteY39" fmla="*/ 1480412 h 3163078"/>
              <a:gd name="connsiteX40" fmla="*/ 1945030 w 3163078"/>
              <a:gd name="connsiteY40" fmla="*/ 1546914 h 3163078"/>
              <a:gd name="connsiteX41" fmla="*/ 2016984 w 3163078"/>
              <a:gd name="connsiteY41" fmla="*/ 1670547 h 3163078"/>
              <a:gd name="connsiteX42" fmla="*/ 1921495 w 3163078"/>
              <a:gd name="connsiteY42" fmla="*/ 1814501 h 3163078"/>
              <a:gd name="connsiteX43" fmla="*/ 1667979 w 3163078"/>
              <a:gd name="connsiteY43" fmla="*/ 1882519 h 3163078"/>
              <a:gd name="connsiteX44" fmla="*/ 1667979 w 3163078"/>
              <a:gd name="connsiteY44" fmla="*/ 2062725 h 3163078"/>
              <a:gd name="connsiteX45" fmla="*/ 1550971 w 3163078"/>
              <a:gd name="connsiteY45" fmla="*/ 2062725 h 3163078"/>
              <a:gd name="connsiteX46" fmla="*/ 1550971 w 3163078"/>
              <a:gd name="connsiteY46" fmla="*/ 1885489 h 3163078"/>
              <a:gd name="connsiteX47" fmla="*/ 1376808 w 3163078"/>
              <a:gd name="connsiteY47" fmla="*/ 1872095 h 3163078"/>
              <a:gd name="connsiteX48" fmla="*/ 1222145 w 3163078"/>
              <a:gd name="connsiteY48" fmla="*/ 1839803 h 3163078"/>
              <a:gd name="connsiteX49" fmla="*/ 1222145 w 3163078"/>
              <a:gd name="connsiteY49" fmla="*/ 1694859 h 3163078"/>
              <a:gd name="connsiteX50" fmla="*/ 1252405 w 3163078"/>
              <a:gd name="connsiteY50" fmla="*/ 1694859 h 3163078"/>
              <a:gd name="connsiteX51" fmla="*/ 1394293 w 3163078"/>
              <a:gd name="connsiteY51" fmla="*/ 1734575 h 3163078"/>
              <a:gd name="connsiteX52" fmla="*/ 1554336 w 3163078"/>
              <a:gd name="connsiteY52" fmla="*/ 1753938 h 3163078"/>
              <a:gd name="connsiteX53" fmla="*/ 1554336 w 3163078"/>
              <a:gd name="connsiteY53" fmla="*/ 1617902 h 3163078"/>
              <a:gd name="connsiteX54" fmla="*/ 1489107 w 3163078"/>
              <a:gd name="connsiteY54" fmla="*/ 1606983 h 3163078"/>
              <a:gd name="connsiteX55" fmla="*/ 1374789 w 3163078"/>
              <a:gd name="connsiteY55" fmla="*/ 1582671 h 3163078"/>
              <a:gd name="connsiteX56" fmla="*/ 1285355 w 3163078"/>
              <a:gd name="connsiteY56" fmla="*/ 1545925 h 3163078"/>
              <a:gd name="connsiteX57" fmla="*/ 1226851 w 3163078"/>
              <a:gd name="connsiteY57" fmla="*/ 1489847 h 3163078"/>
              <a:gd name="connsiteX58" fmla="*/ 1206006 w 3163078"/>
              <a:gd name="connsiteY58" fmla="*/ 1406950 h 3163078"/>
              <a:gd name="connsiteX59" fmla="*/ 1297459 w 3163078"/>
              <a:gd name="connsiteY59" fmla="*/ 1280349 h 3163078"/>
              <a:gd name="connsiteX60" fmla="*/ 1550971 w 3163078"/>
              <a:gd name="connsiteY60" fmla="*/ 1216816 h 3163078"/>
              <a:gd name="connsiteX61" fmla="*/ 1495533 w 3163078"/>
              <a:gd name="connsiteY61" fmla="*/ 796577 h 3163078"/>
              <a:gd name="connsiteX62" fmla="*/ 1493463 w 3163078"/>
              <a:gd name="connsiteY62" fmla="*/ 796681 h 3163078"/>
              <a:gd name="connsiteX63" fmla="*/ 817683 w 3163078"/>
              <a:gd name="connsiteY63" fmla="*/ 1407661 h 3163078"/>
              <a:gd name="connsiteX64" fmla="*/ 811308 w 3163078"/>
              <a:gd name="connsiteY64" fmla="*/ 1449430 h 3163078"/>
              <a:gd name="connsiteX65" fmla="*/ 838783 w 3163078"/>
              <a:gd name="connsiteY65" fmla="*/ 1453584 h 3163078"/>
              <a:gd name="connsiteX66" fmla="*/ 904101 w 3163078"/>
              <a:gd name="connsiteY66" fmla="*/ 1512804 h 3163078"/>
              <a:gd name="connsiteX67" fmla="*/ 912326 w 3163078"/>
              <a:gd name="connsiteY67" fmla="*/ 1553546 h 3163078"/>
              <a:gd name="connsiteX68" fmla="*/ 904101 w 3163078"/>
              <a:gd name="connsiteY68" fmla="*/ 1594287 h 3163078"/>
              <a:gd name="connsiteX69" fmla="*/ 838783 w 3163078"/>
              <a:gd name="connsiteY69" fmla="*/ 1653508 h 3163078"/>
              <a:gd name="connsiteX70" fmla="*/ 808524 w 3163078"/>
              <a:gd name="connsiteY70" fmla="*/ 1658082 h 3163078"/>
              <a:gd name="connsiteX71" fmla="*/ 817683 w 3163078"/>
              <a:gd name="connsiteY71" fmla="*/ 1718094 h 3163078"/>
              <a:gd name="connsiteX72" fmla="*/ 1493463 w 3163078"/>
              <a:gd name="connsiteY72" fmla="*/ 2329073 h 3163078"/>
              <a:gd name="connsiteX73" fmla="*/ 1495532 w 3163078"/>
              <a:gd name="connsiteY73" fmla="*/ 2329177 h 3163078"/>
              <a:gd name="connsiteX74" fmla="*/ 1495532 w 3163078"/>
              <a:gd name="connsiteY74" fmla="*/ 2306691 h 3163078"/>
              <a:gd name="connsiteX75" fmla="*/ 1600200 w 3163078"/>
              <a:gd name="connsiteY75" fmla="*/ 2202023 h 3163078"/>
              <a:gd name="connsiteX76" fmla="*/ 1600200 w 3163078"/>
              <a:gd name="connsiteY76" fmla="*/ 2202022 h 3163078"/>
              <a:gd name="connsiteX77" fmla="*/ 1704868 w 3163078"/>
              <a:gd name="connsiteY77" fmla="*/ 2306690 h 3163078"/>
              <a:gd name="connsiteX78" fmla="*/ 1704868 w 3163078"/>
              <a:gd name="connsiteY78" fmla="*/ 2320844 h 3163078"/>
              <a:gd name="connsiteX79" fmla="*/ 1727425 w 3163078"/>
              <a:gd name="connsiteY79" fmla="*/ 2317402 h 3163078"/>
              <a:gd name="connsiteX80" fmla="*/ 2326733 w 3163078"/>
              <a:gd name="connsiteY80" fmla="*/ 1718094 h 3163078"/>
              <a:gd name="connsiteX81" fmla="*/ 2335902 w 3163078"/>
              <a:gd name="connsiteY81" fmla="*/ 1658015 h 3163078"/>
              <a:gd name="connsiteX82" fmla="*/ 2296149 w 3163078"/>
              <a:gd name="connsiteY82" fmla="*/ 1649989 h 3163078"/>
              <a:gd name="connsiteX83" fmla="*/ 2232222 w 3163078"/>
              <a:gd name="connsiteY83" fmla="*/ 1553546 h 3163078"/>
              <a:gd name="connsiteX84" fmla="*/ 2232221 w 3163078"/>
              <a:gd name="connsiteY84" fmla="*/ 1553546 h 3163078"/>
              <a:gd name="connsiteX85" fmla="*/ 2296148 w 3163078"/>
              <a:gd name="connsiteY85" fmla="*/ 1457103 h 3163078"/>
              <a:gd name="connsiteX86" fmla="*/ 2333139 w 3163078"/>
              <a:gd name="connsiteY86" fmla="*/ 1449635 h 3163078"/>
              <a:gd name="connsiteX87" fmla="*/ 2326733 w 3163078"/>
              <a:gd name="connsiteY87" fmla="*/ 1407661 h 3163078"/>
              <a:gd name="connsiteX88" fmla="*/ 1727425 w 3163078"/>
              <a:gd name="connsiteY88" fmla="*/ 808352 h 3163078"/>
              <a:gd name="connsiteX89" fmla="*/ 1704868 w 3163078"/>
              <a:gd name="connsiteY89" fmla="*/ 804910 h 3163078"/>
              <a:gd name="connsiteX90" fmla="*/ 1704868 w 3163078"/>
              <a:gd name="connsiteY90" fmla="*/ 809732 h 3163078"/>
              <a:gd name="connsiteX91" fmla="*/ 1640942 w 3163078"/>
              <a:gd name="connsiteY91" fmla="*/ 906175 h 3163078"/>
              <a:gd name="connsiteX92" fmla="*/ 1600201 w 3163078"/>
              <a:gd name="connsiteY92" fmla="*/ 914400 h 3163078"/>
              <a:gd name="connsiteX93" fmla="*/ 1559460 w 3163078"/>
              <a:gd name="connsiteY93" fmla="*/ 906175 h 3163078"/>
              <a:gd name="connsiteX94" fmla="*/ 1495533 w 3163078"/>
              <a:gd name="connsiteY94" fmla="*/ 809732 h 3163078"/>
              <a:gd name="connsiteX95" fmla="*/ 1704868 w 3163078"/>
              <a:gd name="connsiteY95" fmla="*/ 246369 h 3163078"/>
              <a:gd name="connsiteX96" fmla="*/ 1704868 w 3163078"/>
              <a:gd name="connsiteY96" fmla="*/ 665592 h 3163078"/>
              <a:gd name="connsiteX97" fmla="*/ 1755212 w 3163078"/>
              <a:gd name="connsiteY97" fmla="*/ 673275 h 3163078"/>
              <a:gd name="connsiteX98" fmla="*/ 2461810 w 3163078"/>
              <a:gd name="connsiteY98" fmla="*/ 1379873 h 3163078"/>
              <a:gd name="connsiteX99" fmla="*/ 2472341 w 3163078"/>
              <a:gd name="connsiteY99" fmla="*/ 1448878 h 3163078"/>
              <a:gd name="connsiteX100" fmla="*/ 2916238 w 3163078"/>
              <a:gd name="connsiteY100" fmla="*/ 1448878 h 3163078"/>
              <a:gd name="connsiteX101" fmla="*/ 2916012 w 3163078"/>
              <a:gd name="connsiteY101" fmla="*/ 1444389 h 3163078"/>
              <a:gd name="connsiteX102" fmla="*/ 1718689 w 3163078"/>
              <a:gd name="connsiteY102" fmla="*/ 247066 h 3163078"/>
              <a:gd name="connsiteX103" fmla="*/ 1495532 w 3163078"/>
              <a:gd name="connsiteY103" fmla="*/ 244484 h 3163078"/>
              <a:gd name="connsiteX104" fmla="*/ 1444389 w 3163078"/>
              <a:gd name="connsiteY104" fmla="*/ 247066 h 3163078"/>
              <a:gd name="connsiteX105" fmla="*/ 247066 w 3163078"/>
              <a:gd name="connsiteY105" fmla="*/ 1444389 h 3163078"/>
              <a:gd name="connsiteX106" fmla="*/ 246840 w 3163078"/>
              <a:gd name="connsiteY106" fmla="*/ 1448878 h 3163078"/>
              <a:gd name="connsiteX107" fmla="*/ 672075 w 3163078"/>
              <a:gd name="connsiteY107" fmla="*/ 1448878 h 3163078"/>
              <a:gd name="connsiteX108" fmla="*/ 682606 w 3163078"/>
              <a:gd name="connsiteY108" fmla="*/ 1379873 h 3163078"/>
              <a:gd name="connsiteX109" fmla="*/ 1479365 w 3163078"/>
              <a:gd name="connsiteY109" fmla="*/ 659515 h 3163078"/>
              <a:gd name="connsiteX110" fmla="*/ 1495533 w 3163078"/>
              <a:gd name="connsiteY110" fmla="*/ 658699 h 3163078"/>
              <a:gd name="connsiteX111" fmla="*/ 1581539 w 3163078"/>
              <a:gd name="connsiteY111" fmla="*/ 0 h 3163078"/>
              <a:gd name="connsiteX112" fmla="*/ 3163078 w 3163078"/>
              <a:gd name="connsiteY112" fmla="*/ 1581539 h 3163078"/>
              <a:gd name="connsiteX113" fmla="*/ 1581539 w 3163078"/>
              <a:gd name="connsiteY113" fmla="*/ 3163078 h 3163078"/>
              <a:gd name="connsiteX114" fmla="*/ 0 w 3163078"/>
              <a:gd name="connsiteY114" fmla="*/ 1581539 h 3163078"/>
              <a:gd name="connsiteX115" fmla="*/ 1581539 w 3163078"/>
              <a:gd name="connsiteY115" fmla="*/ 0 h 31630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Lst>
            <a:rect l="l" t="t" r="r" b="b"/>
            <a:pathLst>
              <a:path w="3163078" h="3163078">
                <a:moveTo>
                  <a:pt x="669226" y="1658213"/>
                </a:moveTo>
                <a:lnTo>
                  <a:pt x="244013" y="1658214"/>
                </a:lnTo>
                <a:lnTo>
                  <a:pt x="247066" y="1718689"/>
                </a:lnTo>
                <a:cubicBezTo>
                  <a:pt x="311180" y="2350004"/>
                  <a:pt x="813074" y="2851898"/>
                  <a:pt x="1444389" y="2916012"/>
                </a:cubicBezTo>
                <a:lnTo>
                  <a:pt x="1499820" y="2918811"/>
                </a:lnTo>
                <a:lnTo>
                  <a:pt x="1495533" y="2890456"/>
                </a:lnTo>
                <a:lnTo>
                  <a:pt x="1495533" y="2467055"/>
                </a:lnTo>
                <a:lnTo>
                  <a:pt x="1479365" y="2466239"/>
                </a:lnTo>
                <a:cubicBezTo>
                  <a:pt x="1082527" y="2425938"/>
                  <a:pt x="761230" y="2130108"/>
                  <a:pt x="682606" y="1745881"/>
                </a:cubicBezTo>
                <a:close/>
                <a:moveTo>
                  <a:pt x="2919066" y="1658213"/>
                </a:moveTo>
                <a:lnTo>
                  <a:pt x="2475189" y="1658214"/>
                </a:lnTo>
                <a:lnTo>
                  <a:pt x="2461810" y="1745881"/>
                </a:lnTo>
                <a:cubicBezTo>
                  <a:pt x="2389234" y="2100552"/>
                  <a:pt x="2109883" y="2379903"/>
                  <a:pt x="1755212" y="2452479"/>
                </a:cubicBezTo>
                <a:lnTo>
                  <a:pt x="1704868" y="2460162"/>
                </a:lnTo>
                <a:lnTo>
                  <a:pt x="1704868" y="2890456"/>
                </a:lnTo>
                <a:lnTo>
                  <a:pt x="1700869" y="2916912"/>
                </a:lnTo>
                <a:lnTo>
                  <a:pt x="1718689" y="2916012"/>
                </a:lnTo>
                <a:cubicBezTo>
                  <a:pt x="2350004" y="2851898"/>
                  <a:pt x="2851898" y="2350004"/>
                  <a:pt x="2916012" y="1718689"/>
                </a:cubicBezTo>
                <a:close/>
                <a:moveTo>
                  <a:pt x="1665289" y="1628851"/>
                </a:moveTo>
                <a:lnTo>
                  <a:pt x="1665289" y="1751958"/>
                </a:lnTo>
                <a:cubicBezTo>
                  <a:pt x="1694879" y="1748958"/>
                  <a:pt x="1720207" y="1742679"/>
                  <a:pt x="1741278" y="1733090"/>
                </a:cubicBezTo>
                <a:cubicBezTo>
                  <a:pt x="1762349" y="1723161"/>
                  <a:pt x="1772883" y="1708747"/>
                  <a:pt x="1772883" y="1689910"/>
                </a:cubicBezTo>
                <a:cubicBezTo>
                  <a:pt x="1772883" y="1670702"/>
                  <a:pt x="1760778" y="1656473"/>
                  <a:pt x="1736568" y="1647194"/>
                </a:cubicBezTo>
                <a:cubicBezTo>
                  <a:pt x="1712812" y="1637605"/>
                  <a:pt x="1689050" y="1631481"/>
                  <a:pt x="1665289" y="1628851"/>
                </a:cubicBezTo>
                <a:close/>
                <a:moveTo>
                  <a:pt x="1561731" y="1346387"/>
                </a:moveTo>
                <a:cubicBezTo>
                  <a:pt x="1532146" y="1348026"/>
                  <a:pt x="1505469" y="1353656"/>
                  <a:pt x="1481712" y="1363245"/>
                </a:cubicBezTo>
                <a:cubicBezTo>
                  <a:pt x="1458399" y="1372524"/>
                  <a:pt x="1446742" y="1385763"/>
                  <a:pt x="1446742" y="1402960"/>
                </a:cubicBezTo>
                <a:cubicBezTo>
                  <a:pt x="1446742" y="1418519"/>
                  <a:pt x="1454364" y="1430613"/>
                  <a:pt x="1469607" y="1439212"/>
                </a:cubicBezTo>
                <a:cubicBezTo>
                  <a:pt x="1484850" y="1447811"/>
                  <a:pt x="1515558" y="1455265"/>
                  <a:pt x="1561731" y="1461544"/>
                </a:cubicBezTo>
                <a:close/>
                <a:moveTo>
                  <a:pt x="1550971" y="1101133"/>
                </a:moveTo>
                <a:lnTo>
                  <a:pt x="1667979" y="1101133"/>
                </a:lnTo>
                <a:lnTo>
                  <a:pt x="1667979" y="1215826"/>
                </a:lnTo>
                <a:cubicBezTo>
                  <a:pt x="1709225" y="1217125"/>
                  <a:pt x="1757418" y="1221424"/>
                  <a:pt x="1812557" y="1228724"/>
                </a:cubicBezTo>
                <a:cubicBezTo>
                  <a:pt x="1868149" y="1235993"/>
                  <a:pt x="1911859" y="1244437"/>
                  <a:pt x="1943685" y="1254026"/>
                </a:cubicBezTo>
                <a:lnTo>
                  <a:pt x="1943685" y="1397021"/>
                </a:lnTo>
                <a:lnTo>
                  <a:pt x="1914100" y="1397021"/>
                </a:lnTo>
                <a:cubicBezTo>
                  <a:pt x="1882269" y="1383443"/>
                  <a:pt x="1845285" y="1372184"/>
                  <a:pt x="1803142" y="1363245"/>
                </a:cubicBezTo>
                <a:cubicBezTo>
                  <a:pt x="1761004" y="1354305"/>
                  <a:pt x="1715950" y="1348676"/>
                  <a:pt x="1667979" y="1346387"/>
                </a:cubicBezTo>
                <a:lnTo>
                  <a:pt x="1667979" y="1472463"/>
                </a:lnTo>
                <a:lnTo>
                  <a:pt x="1721778" y="1480412"/>
                </a:lnTo>
                <a:cubicBezTo>
                  <a:pt x="1823095" y="1494981"/>
                  <a:pt x="1897512" y="1517128"/>
                  <a:pt x="1945030" y="1546914"/>
                </a:cubicBezTo>
                <a:cubicBezTo>
                  <a:pt x="1993001" y="1576392"/>
                  <a:pt x="2016984" y="1617592"/>
                  <a:pt x="2016984" y="1670547"/>
                </a:cubicBezTo>
                <a:cubicBezTo>
                  <a:pt x="2016984" y="1726471"/>
                  <a:pt x="1985153" y="1774445"/>
                  <a:pt x="1921495" y="1814501"/>
                </a:cubicBezTo>
                <a:cubicBezTo>
                  <a:pt x="1857838" y="1854557"/>
                  <a:pt x="1773331" y="1877230"/>
                  <a:pt x="1667979" y="1882519"/>
                </a:cubicBezTo>
                <a:lnTo>
                  <a:pt x="1667979" y="2062725"/>
                </a:lnTo>
                <a:lnTo>
                  <a:pt x="1550971" y="2062725"/>
                </a:lnTo>
                <a:lnTo>
                  <a:pt x="1550971" y="1885489"/>
                </a:lnTo>
                <a:cubicBezTo>
                  <a:pt x="1500763" y="1885148"/>
                  <a:pt x="1442708" y="1880694"/>
                  <a:pt x="1376808" y="1872095"/>
                </a:cubicBezTo>
                <a:cubicBezTo>
                  <a:pt x="1310909" y="1863496"/>
                  <a:pt x="1259352" y="1852732"/>
                  <a:pt x="1222145" y="1839803"/>
                </a:cubicBezTo>
                <a:lnTo>
                  <a:pt x="1222145" y="1694859"/>
                </a:lnTo>
                <a:lnTo>
                  <a:pt x="1252405" y="1694859"/>
                </a:lnTo>
                <a:cubicBezTo>
                  <a:pt x="1293646" y="1711407"/>
                  <a:pt x="1340942" y="1724646"/>
                  <a:pt x="1394293" y="1734575"/>
                </a:cubicBezTo>
                <a:cubicBezTo>
                  <a:pt x="1448087" y="1744503"/>
                  <a:pt x="1501438" y="1750968"/>
                  <a:pt x="1554336" y="1753938"/>
                </a:cubicBezTo>
                <a:lnTo>
                  <a:pt x="1554336" y="1617902"/>
                </a:lnTo>
                <a:lnTo>
                  <a:pt x="1489107" y="1606983"/>
                </a:lnTo>
                <a:cubicBezTo>
                  <a:pt x="1447865" y="1600054"/>
                  <a:pt x="1409758" y="1591951"/>
                  <a:pt x="1374789" y="1582671"/>
                </a:cubicBezTo>
                <a:cubicBezTo>
                  <a:pt x="1340272" y="1573392"/>
                  <a:pt x="1310461" y="1561174"/>
                  <a:pt x="1285355" y="1545925"/>
                </a:cubicBezTo>
                <a:cubicBezTo>
                  <a:pt x="1260249" y="1530707"/>
                  <a:pt x="1240749" y="1512024"/>
                  <a:pt x="1226851" y="1489847"/>
                </a:cubicBezTo>
                <a:cubicBezTo>
                  <a:pt x="1212953" y="1467328"/>
                  <a:pt x="1206006" y="1439707"/>
                  <a:pt x="1206006" y="1406950"/>
                </a:cubicBezTo>
                <a:cubicBezTo>
                  <a:pt x="1206006" y="1357615"/>
                  <a:pt x="1236487" y="1315425"/>
                  <a:pt x="1297459" y="1280349"/>
                </a:cubicBezTo>
                <a:cubicBezTo>
                  <a:pt x="1358427" y="1245272"/>
                  <a:pt x="1442934" y="1224084"/>
                  <a:pt x="1550971" y="1216816"/>
                </a:cubicBezTo>
                <a:close/>
                <a:moveTo>
                  <a:pt x="1495533" y="796577"/>
                </a:moveTo>
                <a:lnTo>
                  <a:pt x="1493463" y="796681"/>
                </a:lnTo>
                <a:cubicBezTo>
                  <a:pt x="1156880" y="830863"/>
                  <a:pt x="884369" y="1081774"/>
                  <a:pt x="817683" y="1407661"/>
                </a:cubicBezTo>
                <a:lnTo>
                  <a:pt x="811308" y="1449430"/>
                </a:lnTo>
                <a:lnTo>
                  <a:pt x="838783" y="1453584"/>
                </a:lnTo>
                <a:cubicBezTo>
                  <a:pt x="868280" y="1462758"/>
                  <a:pt x="892184" y="1484629"/>
                  <a:pt x="904101" y="1512804"/>
                </a:cubicBezTo>
                <a:lnTo>
                  <a:pt x="912326" y="1553546"/>
                </a:lnTo>
                <a:lnTo>
                  <a:pt x="904101" y="1594287"/>
                </a:lnTo>
                <a:cubicBezTo>
                  <a:pt x="892184" y="1622462"/>
                  <a:pt x="868280" y="1644333"/>
                  <a:pt x="838783" y="1653508"/>
                </a:cubicBezTo>
                <a:lnTo>
                  <a:pt x="808524" y="1658082"/>
                </a:lnTo>
                <a:lnTo>
                  <a:pt x="817683" y="1718094"/>
                </a:lnTo>
                <a:cubicBezTo>
                  <a:pt x="884369" y="2043980"/>
                  <a:pt x="1156880" y="2294891"/>
                  <a:pt x="1493463" y="2329073"/>
                </a:cubicBezTo>
                <a:lnTo>
                  <a:pt x="1495532" y="2329177"/>
                </a:lnTo>
                <a:lnTo>
                  <a:pt x="1495532" y="2306691"/>
                </a:lnTo>
                <a:cubicBezTo>
                  <a:pt x="1495532" y="2248884"/>
                  <a:pt x="1542393" y="2202023"/>
                  <a:pt x="1600200" y="2202023"/>
                </a:cubicBezTo>
                <a:lnTo>
                  <a:pt x="1600200" y="2202022"/>
                </a:lnTo>
                <a:cubicBezTo>
                  <a:pt x="1658007" y="2202022"/>
                  <a:pt x="1704868" y="2248883"/>
                  <a:pt x="1704868" y="2306690"/>
                </a:cubicBezTo>
                <a:lnTo>
                  <a:pt x="1704868" y="2320844"/>
                </a:lnTo>
                <a:lnTo>
                  <a:pt x="1727425" y="2317402"/>
                </a:lnTo>
                <a:cubicBezTo>
                  <a:pt x="2028243" y="2255846"/>
                  <a:pt x="2265177" y="2018912"/>
                  <a:pt x="2326733" y="1718094"/>
                </a:cubicBezTo>
                <a:lnTo>
                  <a:pt x="2335902" y="1658015"/>
                </a:lnTo>
                <a:lnTo>
                  <a:pt x="2296149" y="1649989"/>
                </a:lnTo>
                <a:cubicBezTo>
                  <a:pt x="2258582" y="1634099"/>
                  <a:pt x="2232222" y="1596901"/>
                  <a:pt x="2232222" y="1553546"/>
                </a:cubicBezTo>
                <a:lnTo>
                  <a:pt x="2232221" y="1553546"/>
                </a:lnTo>
                <a:cubicBezTo>
                  <a:pt x="2232221" y="1510191"/>
                  <a:pt x="2258581" y="1472993"/>
                  <a:pt x="2296148" y="1457103"/>
                </a:cubicBezTo>
                <a:lnTo>
                  <a:pt x="2333139" y="1449635"/>
                </a:lnTo>
                <a:lnTo>
                  <a:pt x="2326733" y="1407661"/>
                </a:lnTo>
                <a:cubicBezTo>
                  <a:pt x="2265177" y="1106843"/>
                  <a:pt x="2028243" y="869908"/>
                  <a:pt x="1727425" y="808352"/>
                </a:cubicBezTo>
                <a:lnTo>
                  <a:pt x="1704868" y="804910"/>
                </a:lnTo>
                <a:lnTo>
                  <a:pt x="1704868" y="809732"/>
                </a:lnTo>
                <a:cubicBezTo>
                  <a:pt x="1704868" y="853087"/>
                  <a:pt x="1678509" y="890285"/>
                  <a:pt x="1640942" y="906175"/>
                </a:cubicBezTo>
                <a:lnTo>
                  <a:pt x="1600201" y="914400"/>
                </a:lnTo>
                <a:lnTo>
                  <a:pt x="1559460" y="906175"/>
                </a:lnTo>
                <a:cubicBezTo>
                  <a:pt x="1521893" y="890285"/>
                  <a:pt x="1495533" y="853087"/>
                  <a:pt x="1495533" y="809732"/>
                </a:cubicBezTo>
                <a:close/>
                <a:moveTo>
                  <a:pt x="1704868" y="246369"/>
                </a:moveTo>
                <a:lnTo>
                  <a:pt x="1704868" y="665592"/>
                </a:lnTo>
                <a:lnTo>
                  <a:pt x="1755212" y="673275"/>
                </a:lnTo>
                <a:cubicBezTo>
                  <a:pt x="2109883" y="745852"/>
                  <a:pt x="2389234" y="1025202"/>
                  <a:pt x="2461810" y="1379873"/>
                </a:cubicBezTo>
                <a:lnTo>
                  <a:pt x="2472341" y="1448878"/>
                </a:lnTo>
                <a:lnTo>
                  <a:pt x="2916238" y="1448878"/>
                </a:lnTo>
                <a:lnTo>
                  <a:pt x="2916012" y="1444389"/>
                </a:lnTo>
                <a:cubicBezTo>
                  <a:pt x="2851898" y="813074"/>
                  <a:pt x="2350004" y="311180"/>
                  <a:pt x="1718689" y="247066"/>
                </a:cubicBezTo>
                <a:close/>
                <a:moveTo>
                  <a:pt x="1495532" y="244484"/>
                </a:moveTo>
                <a:lnTo>
                  <a:pt x="1444389" y="247066"/>
                </a:lnTo>
                <a:cubicBezTo>
                  <a:pt x="813074" y="311180"/>
                  <a:pt x="311180" y="813074"/>
                  <a:pt x="247066" y="1444389"/>
                </a:cubicBezTo>
                <a:lnTo>
                  <a:pt x="246840" y="1448878"/>
                </a:lnTo>
                <a:lnTo>
                  <a:pt x="672075" y="1448878"/>
                </a:lnTo>
                <a:lnTo>
                  <a:pt x="682606" y="1379873"/>
                </a:lnTo>
                <a:cubicBezTo>
                  <a:pt x="761230" y="995646"/>
                  <a:pt x="1082527" y="699816"/>
                  <a:pt x="1479365" y="659515"/>
                </a:cubicBezTo>
                <a:lnTo>
                  <a:pt x="1495533" y="658699"/>
                </a:lnTo>
                <a:close/>
                <a:moveTo>
                  <a:pt x="1581539" y="0"/>
                </a:moveTo>
                <a:cubicBezTo>
                  <a:pt x="2454999" y="0"/>
                  <a:pt x="3163078" y="708079"/>
                  <a:pt x="3163078" y="1581539"/>
                </a:cubicBezTo>
                <a:cubicBezTo>
                  <a:pt x="3163078" y="2454999"/>
                  <a:pt x="2454999" y="3163078"/>
                  <a:pt x="1581539" y="3163078"/>
                </a:cubicBezTo>
                <a:cubicBezTo>
                  <a:pt x="708079" y="3163078"/>
                  <a:pt x="0" y="2454999"/>
                  <a:pt x="0" y="1581539"/>
                </a:cubicBezTo>
                <a:cubicBezTo>
                  <a:pt x="0" y="708079"/>
                  <a:pt x="708079" y="0"/>
                  <a:pt x="1581539" y="0"/>
                </a:cubicBezTo>
                <a:close/>
              </a:path>
            </a:pathLst>
          </a:custGeom>
          <a:solidFill>
            <a:sysClr val="window" lastClr="FFFFFF"/>
          </a:solidFill>
          <a:ln w="35341"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grpSp>
    <xdr:clientData/>
  </xdr:twoCellAnchor>
  <xdr:twoCellAnchor>
    <xdr:from>
      <xdr:col>17</xdr:col>
      <xdr:colOff>655686</xdr:colOff>
      <xdr:row>27</xdr:row>
      <xdr:rowOff>72611</xdr:rowOff>
    </xdr:from>
    <xdr:to>
      <xdr:col>19</xdr:col>
      <xdr:colOff>756618</xdr:colOff>
      <xdr:row>30</xdr:row>
      <xdr:rowOff>95471</xdr:rowOff>
    </xdr:to>
    <xdr:sp macro="" textlink="Processing!B31">
      <xdr:nvSpPr>
        <xdr:cNvPr id="318" name="TextBox 317">
          <a:extLst>
            <a:ext uri="{FF2B5EF4-FFF2-40B4-BE49-F238E27FC236}">
              <a16:creationId xmlns:a16="http://schemas.microsoft.com/office/drawing/2014/main" id="{00000000-0008-0000-0000-00003E010000}"/>
            </a:ext>
          </a:extLst>
        </xdr:cNvPr>
        <xdr:cNvSpPr txBox="1"/>
      </xdr:nvSpPr>
      <xdr:spPr>
        <a:xfrm>
          <a:off x="14689186" y="5559011"/>
          <a:ext cx="1751932" cy="632460"/>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4C42E0E2-A8DF-9544-A647-6B64BFCAA67F}" type="TxLink">
            <a:rPr kumimoji="0" lang="en-US" sz="1400" b="1"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Total Values</a:t>
          </a:fld>
          <a:endParaRPr kumimoji="0" lang="ru-RU" sz="1400" b="1"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19</xdr:col>
      <xdr:colOff>760807</xdr:colOff>
      <xdr:row>27</xdr:row>
      <xdr:rowOff>72611</xdr:rowOff>
    </xdr:from>
    <xdr:to>
      <xdr:col>22</xdr:col>
      <xdr:colOff>36239</xdr:colOff>
      <xdr:row>30</xdr:row>
      <xdr:rowOff>95471</xdr:rowOff>
    </xdr:to>
    <xdr:sp macro="" textlink="Processing!B32">
      <xdr:nvSpPr>
        <xdr:cNvPr id="319" name="TextBox 318">
          <a:extLst>
            <a:ext uri="{FF2B5EF4-FFF2-40B4-BE49-F238E27FC236}">
              <a16:creationId xmlns:a16="http://schemas.microsoft.com/office/drawing/2014/main" id="{00000000-0008-0000-0000-00003F010000}"/>
            </a:ext>
          </a:extLst>
        </xdr:cNvPr>
        <xdr:cNvSpPr txBox="1"/>
      </xdr:nvSpPr>
      <xdr:spPr>
        <a:xfrm>
          <a:off x="16445307" y="5559011"/>
          <a:ext cx="1751932" cy="632460"/>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C22C8B91-FDCA-374E-ACFD-4878C9682943}" type="TxLink">
            <a:rPr kumimoji="0" lang="en-US" sz="1400" b="1" i="0" u="none" strike="noStrike" kern="0" cap="none" spc="0" normalizeH="0" baseline="0" noProof="0">
              <a:ln>
                <a:noFill/>
              </a:ln>
              <a:solidFill>
                <a:sysClr val="window" lastClr="FFFFFF"/>
              </a:soli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Balance</a:t>
          </a:fld>
          <a:endParaRPr kumimoji="0" lang="ru-RU" sz="1400" b="1"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18</xdr:col>
      <xdr:colOff>47171</xdr:colOff>
      <xdr:row>32</xdr:row>
      <xdr:rowOff>159658</xdr:rowOff>
    </xdr:from>
    <xdr:to>
      <xdr:col>21</xdr:col>
      <xdr:colOff>763814</xdr:colOff>
      <xdr:row>32</xdr:row>
      <xdr:rowOff>159658</xdr:rowOff>
    </xdr:to>
    <xdr:cxnSp macro="">
      <xdr:nvCxnSpPr>
        <xdr:cNvPr id="320" name="Straight Connector 319">
          <a:extLst>
            <a:ext uri="{FF2B5EF4-FFF2-40B4-BE49-F238E27FC236}">
              <a16:creationId xmlns:a16="http://schemas.microsoft.com/office/drawing/2014/main" id="{00000000-0008-0000-0000-000040010000}"/>
            </a:ext>
          </a:extLst>
        </xdr:cNvPr>
        <xdr:cNvCxnSpPr/>
      </xdr:nvCxnSpPr>
      <xdr:spPr>
        <a:xfrm>
          <a:off x="14906171" y="6662058"/>
          <a:ext cx="3193143" cy="0"/>
        </a:xfrm>
        <a:prstGeom prst="line">
          <a:avLst/>
        </a:prstGeom>
        <a:noFill/>
        <a:ln w="6350" cap="flat" cmpd="sng" algn="ctr">
          <a:solidFill>
            <a:srgbClr val="363942"/>
          </a:solidFill>
          <a:prstDash val="solid"/>
          <a:miter lim="800000"/>
        </a:ln>
        <a:effectLst/>
      </xdr:spPr>
    </xdr:cxnSp>
    <xdr:clientData/>
  </xdr:twoCellAnchor>
  <xdr:twoCellAnchor>
    <xdr:from>
      <xdr:col>18</xdr:col>
      <xdr:colOff>47171</xdr:colOff>
      <xdr:row>35</xdr:row>
      <xdr:rowOff>99787</xdr:rowOff>
    </xdr:from>
    <xdr:to>
      <xdr:col>21</xdr:col>
      <xdr:colOff>763814</xdr:colOff>
      <xdr:row>35</xdr:row>
      <xdr:rowOff>99787</xdr:rowOff>
    </xdr:to>
    <xdr:cxnSp macro="">
      <xdr:nvCxnSpPr>
        <xdr:cNvPr id="321" name="Straight Connector 320">
          <a:extLst>
            <a:ext uri="{FF2B5EF4-FFF2-40B4-BE49-F238E27FC236}">
              <a16:creationId xmlns:a16="http://schemas.microsoft.com/office/drawing/2014/main" id="{00000000-0008-0000-0000-000041010000}"/>
            </a:ext>
          </a:extLst>
        </xdr:cNvPr>
        <xdr:cNvCxnSpPr/>
      </xdr:nvCxnSpPr>
      <xdr:spPr>
        <a:xfrm>
          <a:off x="14906171" y="7211787"/>
          <a:ext cx="3193143" cy="0"/>
        </a:xfrm>
        <a:prstGeom prst="line">
          <a:avLst/>
        </a:prstGeom>
        <a:noFill/>
        <a:ln w="6350" cap="flat" cmpd="sng" algn="ctr">
          <a:solidFill>
            <a:srgbClr val="363942"/>
          </a:solidFill>
          <a:prstDash val="solid"/>
          <a:miter lim="800000"/>
        </a:ln>
        <a:effectLst/>
      </xdr:spPr>
    </xdr:cxnSp>
    <xdr:clientData/>
  </xdr:twoCellAnchor>
  <xdr:twoCellAnchor>
    <xdr:from>
      <xdr:col>18</xdr:col>
      <xdr:colOff>47171</xdr:colOff>
      <xdr:row>38</xdr:row>
      <xdr:rowOff>34472</xdr:rowOff>
    </xdr:from>
    <xdr:to>
      <xdr:col>21</xdr:col>
      <xdr:colOff>763814</xdr:colOff>
      <xdr:row>38</xdr:row>
      <xdr:rowOff>34472</xdr:rowOff>
    </xdr:to>
    <xdr:cxnSp macro="">
      <xdr:nvCxnSpPr>
        <xdr:cNvPr id="322" name="Straight Connector 321">
          <a:extLst>
            <a:ext uri="{FF2B5EF4-FFF2-40B4-BE49-F238E27FC236}">
              <a16:creationId xmlns:a16="http://schemas.microsoft.com/office/drawing/2014/main" id="{00000000-0008-0000-0000-000042010000}"/>
            </a:ext>
          </a:extLst>
        </xdr:cNvPr>
        <xdr:cNvCxnSpPr/>
      </xdr:nvCxnSpPr>
      <xdr:spPr>
        <a:xfrm>
          <a:off x="14906171" y="7756072"/>
          <a:ext cx="3193143" cy="0"/>
        </a:xfrm>
        <a:prstGeom prst="line">
          <a:avLst/>
        </a:prstGeom>
        <a:noFill/>
        <a:ln w="6350" cap="flat" cmpd="sng" algn="ctr">
          <a:solidFill>
            <a:srgbClr val="363942"/>
          </a:solidFill>
          <a:prstDash val="solid"/>
          <a:miter lim="800000"/>
        </a:ln>
        <a:effectLst/>
      </xdr:spPr>
    </xdr:cxnSp>
    <xdr:clientData/>
  </xdr:twoCellAnchor>
  <xdr:twoCellAnchor>
    <xdr:from>
      <xdr:col>18</xdr:col>
      <xdr:colOff>47171</xdr:colOff>
      <xdr:row>40</xdr:row>
      <xdr:rowOff>177801</xdr:rowOff>
    </xdr:from>
    <xdr:to>
      <xdr:col>21</xdr:col>
      <xdr:colOff>763814</xdr:colOff>
      <xdr:row>40</xdr:row>
      <xdr:rowOff>177801</xdr:rowOff>
    </xdr:to>
    <xdr:cxnSp macro="">
      <xdr:nvCxnSpPr>
        <xdr:cNvPr id="323" name="Straight Connector 322">
          <a:extLst>
            <a:ext uri="{FF2B5EF4-FFF2-40B4-BE49-F238E27FC236}">
              <a16:creationId xmlns:a16="http://schemas.microsoft.com/office/drawing/2014/main" id="{00000000-0008-0000-0000-000043010000}"/>
            </a:ext>
          </a:extLst>
        </xdr:cNvPr>
        <xdr:cNvCxnSpPr/>
      </xdr:nvCxnSpPr>
      <xdr:spPr>
        <a:xfrm>
          <a:off x="14906171" y="8305801"/>
          <a:ext cx="3193143" cy="0"/>
        </a:xfrm>
        <a:prstGeom prst="line">
          <a:avLst/>
        </a:prstGeom>
        <a:noFill/>
        <a:ln w="6350" cap="flat" cmpd="sng" algn="ctr">
          <a:solidFill>
            <a:srgbClr val="363942"/>
          </a:solidFill>
          <a:prstDash val="solid"/>
          <a:miter lim="800000"/>
        </a:ln>
        <a:effectLst/>
      </xdr:spPr>
    </xdr:cxnSp>
    <xdr:clientData/>
  </xdr:twoCellAnchor>
  <xdr:twoCellAnchor>
    <xdr:from>
      <xdr:col>18</xdr:col>
      <xdr:colOff>47171</xdr:colOff>
      <xdr:row>43</xdr:row>
      <xdr:rowOff>117929</xdr:rowOff>
    </xdr:from>
    <xdr:to>
      <xdr:col>21</xdr:col>
      <xdr:colOff>763814</xdr:colOff>
      <xdr:row>43</xdr:row>
      <xdr:rowOff>117929</xdr:rowOff>
    </xdr:to>
    <xdr:cxnSp macro="">
      <xdr:nvCxnSpPr>
        <xdr:cNvPr id="324" name="Straight Connector 323">
          <a:extLst>
            <a:ext uri="{FF2B5EF4-FFF2-40B4-BE49-F238E27FC236}">
              <a16:creationId xmlns:a16="http://schemas.microsoft.com/office/drawing/2014/main" id="{00000000-0008-0000-0000-000044010000}"/>
            </a:ext>
          </a:extLst>
        </xdr:cNvPr>
        <xdr:cNvCxnSpPr/>
      </xdr:nvCxnSpPr>
      <xdr:spPr>
        <a:xfrm>
          <a:off x="14906171" y="8855529"/>
          <a:ext cx="3193143" cy="0"/>
        </a:xfrm>
        <a:prstGeom prst="line">
          <a:avLst/>
        </a:prstGeom>
        <a:noFill/>
        <a:ln w="6350" cap="flat" cmpd="sng" algn="ctr">
          <a:solidFill>
            <a:srgbClr val="363942"/>
          </a:solidFill>
          <a:prstDash val="solid"/>
          <a:miter lim="800000"/>
        </a:ln>
        <a:effectLst/>
      </xdr:spPr>
    </xdr:cxnSp>
    <xdr:clientData/>
  </xdr:twoCellAnchor>
  <xdr:twoCellAnchor>
    <xdr:from>
      <xdr:col>18</xdr:col>
      <xdr:colOff>481514</xdr:colOff>
      <xdr:row>29</xdr:row>
      <xdr:rowOff>197370</xdr:rowOff>
    </xdr:from>
    <xdr:to>
      <xdr:col>20</xdr:col>
      <xdr:colOff>582446</xdr:colOff>
      <xdr:row>33</xdr:row>
      <xdr:rowOff>17031</xdr:rowOff>
    </xdr:to>
    <xdr:sp macro="" textlink="Processing!T1">
      <xdr:nvSpPr>
        <xdr:cNvPr id="325" name="TextBox 324">
          <a:extLst>
            <a:ext uri="{FF2B5EF4-FFF2-40B4-BE49-F238E27FC236}">
              <a16:creationId xmlns:a16="http://schemas.microsoft.com/office/drawing/2014/main" id="{00000000-0008-0000-0000-000045010000}"/>
            </a:ext>
          </a:extLst>
        </xdr:cNvPr>
        <xdr:cNvSpPr txBox="1"/>
      </xdr:nvSpPr>
      <xdr:spPr>
        <a:xfrm>
          <a:off x="15340514" y="6090170"/>
          <a:ext cx="1751932" cy="632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72712D8D-3B62-6943-984B-F057AE0B228D}" type="TxLink">
            <a:rPr lang="en-US" sz="1400" b="1" i="0" u="none" strike="noStrike" noProof="0">
              <a:solidFill>
                <a:schemeClr val="bg1"/>
              </a:soli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Daily Budgeting</a:t>
          </a:fld>
          <a:endParaRPr lang="ru-RU" sz="1400" b="1" i="0" u="none" strike="noStrike" noProof="0">
            <a:solidFill>
              <a:schemeClr val="bg1"/>
            </a:solidFill>
            <a:latin typeface="Calibri"/>
            <a:ea typeface="+mn-ea"/>
            <a:cs typeface="Calibri"/>
          </a:endParaRPr>
        </a:p>
      </xdr:txBody>
    </xdr:sp>
    <xdr:clientData/>
  </xdr:twoCellAnchor>
  <xdr:twoCellAnchor>
    <xdr:from>
      <xdr:col>18</xdr:col>
      <xdr:colOff>481514</xdr:colOff>
      <xdr:row>32</xdr:row>
      <xdr:rowOff>89795</xdr:rowOff>
    </xdr:from>
    <xdr:to>
      <xdr:col>20</xdr:col>
      <xdr:colOff>582446</xdr:colOff>
      <xdr:row>35</xdr:row>
      <xdr:rowOff>123861</xdr:rowOff>
    </xdr:to>
    <xdr:sp macro="" textlink="Processing!B39">
      <xdr:nvSpPr>
        <xdr:cNvPr id="326" name="TextBox 325">
          <a:extLst>
            <a:ext uri="{FF2B5EF4-FFF2-40B4-BE49-F238E27FC236}">
              <a16:creationId xmlns:a16="http://schemas.microsoft.com/office/drawing/2014/main" id="{00000000-0008-0000-0000-000046010000}"/>
            </a:ext>
          </a:extLst>
        </xdr:cNvPr>
        <xdr:cNvSpPr txBox="1"/>
      </xdr:nvSpPr>
      <xdr:spPr>
        <a:xfrm>
          <a:off x="15340514" y="6592195"/>
          <a:ext cx="1751932" cy="643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CD2907C9-98C3-CB47-8FC6-66F74E8C35EA}" type="TxLink">
            <a:rPr lang="en-US" sz="1400" b="1" i="0" u="none" strike="noStrike" noProof="0">
              <a:solidFill>
                <a:schemeClr val="bg1"/>
              </a:soli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Income</a:t>
          </a:fld>
          <a:endParaRPr lang="ru-RU" sz="1400" b="1" i="0" u="none" strike="noStrike" noProof="0">
            <a:solidFill>
              <a:schemeClr val="bg1"/>
            </a:solidFill>
            <a:latin typeface="Calibri"/>
            <a:ea typeface="+mn-ea"/>
            <a:cs typeface="Calibri"/>
          </a:endParaRPr>
        </a:p>
      </xdr:txBody>
    </xdr:sp>
    <xdr:clientData/>
  </xdr:twoCellAnchor>
  <xdr:twoCellAnchor>
    <xdr:from>
      <xdr:col>18</xdr:col>
      <xdr:colOff>481514</xdr:colOff>
      <xdr:row>35</xdr:row>
      <xdr:rowOff>58739</xdr:rowOff>
    </xdr:from>
    <xdr:to>
      <xdr:col>20</xdr:col>
      <xdr:colOff>582446</xdr:colOff>
      <xdr:row>38</xdr:row>
      <xdr:rowOff>87040</xdr:rowOff>
    </xdr:to>
    <xdr:sp macro="" textlink="Processing!B63">
      <xdr:nvSpPr>
        <xdr:cNvPr id="327" name="TextBox 326">
          <a:extLst>
            <a:ext uri="{FF2B5EF4-FFF2-40B4-BE49-F238E27FC236}">
              <a16:creationId xmlns:a16="http://schemas.microsoft.com/office/drawing/2014/main" id="{00000000-0008-0000-0000-000047010000}"/>
            </a:ext>
          </a:extLst>
        </xdr:cNvPr>
        <xdr:cNvSpPr txBox="1"/>
      </xdr:nvSpPr>
      <xdr:spPr>
        <a:xfrm>
          <a:off x="15340514" y="7170739"/>
          <a:ext cx="1751932" cy="63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366CD5C6-9FF1-2141-A5CA-131E8D2C2AD7}" type="TxLink">
            <a:rPr lang="en-US" sz="1400" b="1" i="0" u="none" strike="noStrike" noProof="0">
              <a:solidFill>
                <a:schemeClr val="bg1"/>
              </a:soli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Expenses</a:t>
          </a:fld>
          <a:endParaRPr lang="ru-RU" sz="1400" b="1" i="0" u="none" strike="noStrike" noProof="0">
            <a:solidFill>
              <a:schemeClr val="bg1"/>
            </a:solidFill>
            <a:latin typeface="Calibri"/>
            <a:ea typeface="+mn-ea"/>
            <a:cs typeface="Calibri"/>
          </a:endParaRPr>
        </a:p>
      </xdr:txBody>
    </xdr:sp>
    <xdr:clientData/>
  </xdr:twoCellAnchor>
  <xdr:twoCellAnchor>
    <xdr:from>
      <xdr:col>18</xdr:col>
      <xdr:colOff>481514</xdr:colOff>
      <xdr:row>38</xdr:row>
      <xdr:rowOff>5911</xdr:rowOff>
    </xdr:from>
    <xdr:to>
      <xdr:col>20</xdr:col>
      <xdr:colOff>582446</xdr:colOff>
      <xdr:row>41</xdr:row>
      <xdr:rowOff>34215</xdr:rowOff>
    </xdr:to>
    <xdr:sp macro="" textlink="Processing!I17">
      <xdr:nvSpPr>
        <xdr:cNvPr id="328" name="TextBox 327">
          <a:extLst>
            <a:ext uri="{FF2B5EF4-FFF2-40B4-BE49-F238E27FC236}">
              <a16:creationId xmlns:a16="http://schemas.microsoft.com/office/drawing/2014/main" id="{00000000-0008-0000-0000-000048010000}"/>
            </a:ext>
          </a:extLst>
        </xdr:cNvPr>
        <xdr:cNvSpPr txBox="1"/>
      </xdr:nvSpPr>
      <xdr:spPr>
        <a:xfrm>
          <a:off x="15340514" y="7727511"/>
          <a:ext cx="1751932" cy="637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658885FC-D2DD-F94C-B00E-3FDF9DF38071}" type="TxLink">
            <a:rPr lang="en-US" sz="1400" b="1" i="0" u="none" strike="noStrike" noProof="0">
              <a:solidFill>
                <a:schemeClr val="bg1"/>
              </a:soli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Investments</a:t>
          </a:fld>
          <a:endParaRPr lang="ru-RU" sz="1400" b="1" i="0" u="none" strike="noStrike" noProof="0">
            <a:solidFill>
              <a:schemeClr val="bg1"/>
            </a:solidFill>
            <a:latin typeface="Calibri"/>
            <a:ea typeface="+mn-ea"/>
            <a:cs typeface="Calibri"/>
          </a:endParaRPr>
        </a:p>
      </xdr:txBody>
    </xdr:sp>
    <xdr:clientData/>
  </xdr:twoCellAnchor>
  <xdr:twoCellAnchor>
    <xdr:from>
      <xdr:col>18</xdr:col>
      <xdr:colOff>481514</xdr:colOff>
      <xdr:row>40</xdr:row>
      <xdr:rowOff>161407</xdr:rowOff>
    </xdr:from>
    <xdr:to>
      <xdr:col>20</xdr:col>
      <xdr:colOff>582446</xdr:colOff>
      <xdr:row>43</xdr:row>
      <xdr:rowOff>195471</xdr:rowOff>
    </xdr:to>
    <xdr:sp macro="" textlink="Processing!B18">
      <xdr:nvSpPr>
        <xdr:cNvPr id="329" name="TextBox 328">
          <a:extLst>
            <a:ext uri="{FF2B5EF4-FFF2-40B4-BE49-F238E27FC236}">
              <a16:creationId xmlns:a16="http://schemas.microsoft.com/office/drawing/2014/main" id="{00000000-0008-0000-0000-000049010000}"/>
            </a:ext>
          </a:extLst>
        </xdr:cNvPr>
        <xdr:cNvSpPr txBox="1"/>
      </xdr:nvSpPr>
      <xdr:spPr>
        <a:xfrm>
          <a:off x="15340514" y="8289407"/>
          <a:ext cx="1751932" cy="643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356B58DF-B267-D740-B7D0-D40FB0D2B0C2}" type="TxLink">
            <a:rPr lang="en-US" sz="1400" b="1" i="0" u="none" strike="noStrike" noProof="0">
              <a:solidFill>
                <a:schemeClr val="bg1"/>
              </a:soli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Debts</a:t>
          </a:fld>
          <a:endParaRPr lang="ru-RU" sz="1400" b="1" i="0" u="none" strike="noStrike" noProof="0">
            <a:solidFill>
              <a:schemeClr val="bg1"/>
            </a:solidFill>
            <a:latin typeface="Calibri"/>
            <a:ea typeface="+mn-ea"/>
            <a:cs typeface="Calibri"/>
          </a:endParaRPr>
        </a:p>
      </xdr:txBody>
    </xdr:sp>
    <xdr:clientData/>
  </xdr:twoCellAnchor>
  <xdr:twoCellAnchor>
    <xdr:from>
      <xdr:col>18</xdr:col>
      <xdr:colOff>481514</xdr:colOff>
      <xdr:row>43</xdr:row>
      <xdr:rowOff>54151</xdr:rowOff>
    </xdr:from>
    <xdr:to>
      <xdr:col>20</xdr:col>
      <xdr:colOff>582446</xdr:colOff>
      <xdr:row>46</xdr:row>
      <xdr:rowOff>77010</xdr:rowOff>
    </xdr:to>
    <xdr:sp macro="" textlink="Processing!R13">
      <xdr:nvSpPr>
        <xdr:cNvPr id="330" name="TextBox 329">
          <a:extLst>
            <a:ext uri="{FF2B5EF4-FFF2-40B4-BE49-F238E27FC236}">
              <a16:creationId xmlns:a16="http://schemas.microsoft.com/office/drawing/2014/main" id="{00000000-0008-0000-0000-00004A010000}"/>
            </a:ext>
          </a:extLst>
        </xdr:cNvPr>
        <xdr:cNvSpPr txBox="1"/>
      </xdr:nvSpPr>
      <xdr:spPr>
        <a:xfrm>
          <a:off x="15340514" y="8791751"/>
          <a:ext cx="1751932" cy="632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D5FF6757-BD7A-1C49-ACBA-0A537EA755E1}" type="TxLink">
            <a:rPr lang="en-US" sz="1400" b="1" i="0" u="none" strike="noStrike" noProof="0">
              <a:solidFill>
                <a:schemeClr val="bg1"/>
              </a:soli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Financial Goals</a:t>
          </a:fld>
          <a:endParaRPr lang="ru-RU" sz="1400" b="1" i="0" u="none" strike="noStrike" noProof="0">
            <a:solidFill>
              <a:schemeClr val="bg1"/>
            </a:solidFill>
            <a:latin typeface="Calibri"/>
            <a:ea typeface="+mn-ea"/>
            <a:cs typeface="Calibri"/>
          </a:endParaRPr>
        </a:p>
      </xdr:txBody>
    </xdr:sp>
    <xdr:clientData/>
  </xdr:twoCellAnchor>
  <xdr:twoCellAnchor>
    <xdr:from>
      <xdr:col>19</xdr:col>
      <xdr:colOff>760807</xdr:colOff>
      <xdr:row>29</xdr:row>
      <xdr:rowOff>197370</xdr:rowOff>
    </xdr:from>
    <xdr:to>
      <xdr:col>22</xdr:col>
      <xdr:colOff>36239</xdr:colOff>
      <xdr:row>33</xdr:row>
      <xdr:rowOff>17031</xdr:rowOff>
    </xdr:to>
    <xdr:sp macro="" textlink="Processing!R4">
      <xdr:nvSpPr>
        <xdr:cNvPr id="331" name="TextBox 330">
          <a:extLst>
            <a:ext uri="{FF2B5EF4-FFF2-40B4-BE49-F238E27FC236}">
              <a16:creationId xmlns:a16="http://schemas.microsoft.com/office/drawing/2014/main" id="{00000000-0008-0000-0000-00004B010000}"/>
            </a:ext>
          </a:extLst>
        </xdr:cNvPr>
        <xdr:cNvSpPr txBox="1"/>
      </xdr:nvSpPr>
      <xdr:spPr>
        <a:xfrm>
          <a:off x="16445307" y="6090170"/>
          <a:ext cx="1751932" cy="632461"/>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25CC6905-8659-B241-8B3B-50E94F3F804D}" type="TxLink">
            <a:rPr kumimoji="0" lang="en-US" sz="1800" b="0" i="0" u="none" strike="noStrike" kern="0" cap="none" spc="0" normalizeH="0" baseline="0" noProof="0">
              <a:ln>
                <a:noFill/>
              </a:ln>
              <a:gradFill>
                <a:gsLst>
                  <a:gs pos="7000">
                    <a:srgbClr val="F28F33"/>
                  </a:gs>
                  <a:gs pos="94000">
                    <a:srgbClr val="AD27FE"/>
                  </a:gs>
                  <a:gs pos="54000">
                    <a:srgbClr val="FE2827"/>
                  </a:gs>
                </a:gsLst>
                <a:lin ang="0" scaled="0"/>
              </a:gra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 € 4.000 </a:t>
          </a:fld>
          <a:endParaRPr kumimoji="0" lang="ru-RU" sz="1800" b="0" i="0" u="none" strike="noStrike" kern="0" cap="none" spc="0" normalizeH="0" baseline="0" noProof="0">
            <a:ln>
              <a:noFill/>
            </a:ln>
            <a:gradFill>
              <a:gsLst>
                <a:gs pos="7000">
                  <a:srgbClr val="F28F33"/>
                </a:gs>
                <a:gs pos="94000">
                  <a:srgbClr val="AD27FE"/>
                </a:gs>
                <a:gs pos="54000">
                  <a:srgbClr val="FE2827"/>
                </a:gs>
              </a:gsLst>
              <a:lin ang="0" scaled="0"/>
            </a:gradFill>
            <a:effectLst/>
            <a:uLnTx/>
            <a:uFillTx/>
            <a:latin typeface="Calibri"/>
            <a:ea typeface="+mn-ea"/>
            <a:cs typeface="Calibri"/>
          </a:endParaRPr>
        </a:p>
      </xdr:txBody>
    </xdr:sp>
    <xdr:clientData/>
  </xdr:twoCellAnchor>
  <xdr:twoCellAnchor>
    <xdr:from>
      <xdr:col>19</xdr:col>
      <xdr:colOff>760807</xdr:colOff>
      <xdr:row>32</xdr:row>
      <xdr:rowOff>129175</xdr:rowOff>
    </xdr:from>
    <xdr:to>
      <xdr:col>22</xdr:col>
      <xdr:colOff>36239</xdr:colOff>
      <xdr:row>35</xdr:row>
      <xdr:rowOff>152036</xdr:rowOff>
    </xdr:to>
    <xdr:sp macro="" textlink="Processing!J9">
      <xdr:nvSpPr>
        <xdr:cNvPr id="332" name="TextBox 331">
          <a:extLst>
            <a:ext uri="{FF2B5EF4-FFF2-40B4-BE49-F238E27FC236}">
              <a16:creationId xmlns:a16="http://schemas.microsoft.com/office/drawing/2014/main" id="{00000000-0008-0000-0000-00004C010000}"/>
            </a:ext>
          </a:extLst>
        </xdr:cNvPr>
        <xdr:cNvSpPr txBox="1"/>
      </xdr:nvSpPr>
      <xdr:spPr>
        <a:xfrm>
          <a:off x="16445307" y="6631575"/>
          <a:ext cx="1751932" cy="632461"/>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278E84DF-E91C-5045-8E08-A3974A79078A}" type="TxLink">
            <a:rPr kumimoji="0" lang="en-US" sz="1800" b="0" i="0" u="none" strike="noStrike" kern="0" cap="none" spc="0" normalizeH="0" baseline="0" noProof="0">
              <a:ln>
                <a:noFill/>
              </a:ln>
              <a:gradFill>
                <a:gsLst>
                  <a:gs pos="7000">
                    <a:srgbClr val="F28F33"/>
                  </a:gs>
                  <a:gs pos="94000">
                    <a:srgbClr val="AD27FE"/>
                  </a:gs>
                  <a:gs pos="54000">
                    <a:srgbClr val="FE2827"/>
                  </a:gs>
                </a:gsLst>
                <a:lin ang="0" scaled="0"/>
              </a:gra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 € - </a:t>
          </a:fld>
          <a:endParaRPr kumimoji="0" lang="ru-RU" sz="1800" b="0" i="0" u="none" strike="noStrike" kern="0" cap="none" spc="0" normalizeH="0" baseline="0" noProof="0">
            <a:ln>
              <a:noFill/>
            </a:ln>
            <a:gradFill>
              <a:gsLst>
                <a:gs pos="7000">
                  <a:srgbClr val="F28F33"/>
                </a:gs>
                <a:gs pos="94000">
                  <a:srgbClr val="AD27FE"/>
                </a:gs>
                <a:gs pos="54000">
                  <a:srgbClr val="FE2827"/>
                </a:gs>
              </a:gsLst>
              <a:lin ang="0" scaled="0"/>
            </a:gradFill>
            <a:effectLst/>
            <a:uLnTx/>
            <a:uFillTx/>
            <a:latin typeface="Calibri"/>
            <a:ea typeface="+mn-ea"/>
            <a:cs typeface="Calibri"/>
          </a:endParaRPr>
        </a:p>
      </xdr:txBody>
    </xdr:sp>
    <xdr:clientData/>
  </xdr:twoCellAnchor>
  <xdr:twoCellAnchor>
    <xdr:from>
      <xdr:col>19</xdr:col>
      <xdr:colOff>760807</xdr:colOff>
      <xdr:row>35</xdr:row>
      <xdr:rowOff>55537</xdr:rowOff>
    </xdr:from>
    <xdr:to>
      <xdr:col>22</xdr:col>
      <xdr:colOff>36239</xdr:colOff>
      <xdr:row>38</xdr:row>
      <xdr:rowOff>83840</xdr:rowOff>
    </xdr:to>
    <xdr:sp macro="" textlink="Processing!J10">
      <xdr:nvSpPr>
        <xdr:cNvPr id="333" name="TextBox 332">
          <a:extLst>
            <a:ext uri="{FF2B5EF4-FFF2-40B4-BE49-F238E27FC236}">
              <a16:creationId xmlns:a16="http://schemas.microsoft.com/office/drawing/2014/main" id="{00000000-0008-0000-0000-00004D010000}"/>
            </a:ext>
          </a:extLst>
        </xdr:cNvPr>
        <xdr:cNvSpPr txBox="1"/>
      </xdr:nvSpPr>
      <xdr:spPr>
        <a:xfrm>
          <a:off x="16445307" y="7167537"/>
          <a:ext cx="1751932" cy="637903"/>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46137FF1-A128-D741-8DC8-B9B8E1AB1A29}" type="TxLink">
            <a:rPr kumimoji="0" lang="en-US" sz="1800" b="0" i="0" u="none" strike="noStrike" kern="0" cap="none" spc="0" normalizeH="0" baseline="0" noProof="0">
              <a:ln>
                <a:noFill/>
              </a:ln>
              <a:gradFill>
                <a:gsLst>
                  <a:gs pos="7000">
                    <a:srgbClr val="F28F33"/>
                  </a:gs>
                  <a:gs pos="94000">
                    <a:srgbClr val="AD27FE"/>
                  </a:gs>
                  <a:gs pos="54000">
                    <a:srgbClr val="FE2827"/>
                  </a:gs>
                </a:gsLst>
                <a:lin ang="0" scaled="0"/>
              </a:gra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 € - </a:t>
          </a:fld>
          <a:endParaRPr kumimoji="0" lang="ru-RU" sz="1800" b="0" i="0" u="none" strike="noStrike" kern="0" cap="none" spc="0" normalizeH="0" baseline="0" noProof="0">
            <a:ln>
              <a:noFill/>
            </a:ln>
            <a:gradFill>
              <a:gsLst>
                <a:gs pos="7000">
                  <a:srgbClr val="F28F33"/>
                </a:gs>
                <a:gs pos="94000">
                  <a:srgbClr val="AD27FE"/>
                </a:gs>
                <a:gs pos="54000">
                  <a:srgbClr val="FE2827"/>
                </a:gs>
              </a:gsLst>
              <a:lin ang="0" scaled="0"/>
            </a:gradFill>
            <a:effectLst/>
            <a:uLnTx/>
            <a:uFillTx/>
            <a:latin typeface="Calibri"/>
            <a:ea typeface="+mn-ea"/>
            <a:cs typeface="Calibri"/>
          </a:endParaRPr>
        </a:p>
      </xdr:txBody>
    </xdr:sp>
    <xdr:clientData/>
  </xdr:twoCellAnchor>
  <xdr:twoCellAnchor>
    <xdr:from>
      <xdr:col>19</xdr:col>
      <xdr:colOff>760807</xdr:colOff>
      <xdr:row>37</xdr:row>
      <xdr:rowOff>190541</xdr:rowOff>
    </xdr:from>
    <xdr:to>
      <xdr:col>22</xdr:col>
      <xdr:colOff>36239</xdr:colOff>
      <xdr:row>41</xdr:row>
      <xdr:rowOff>15645</xdr:rowOff>
    </xdr:to>
    <xdr:sp macro="" textlink="Processing!J17">
      <xdr:nvSpPr>
        <xdr:cNvPr id="334" name="TextBox 333">
          <a:extLst>
            <a:ext uri="{FF2B5EF4-FFF2-40B4-BE49-F238E27FC236}">
              <a16:creationId xmlns:a16="http://schemas.microsoft.com/office/drawing/2014/main" id="{00000000-0008-0000-0000-00004E010000}"/>
            </a:ext>
          </a:extLst>
        </xdr:cNvPr>
        <xdr:cNvSpPr txBox="1"/>
      </xdr:nvSpPr>
      <xdr:spPr>
        <a:xfrm>
          <a:off x="16445307" y="7708941"/>
          <a:ext cx="1751932" cy="637904"/>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CEA7043F-9E9F-1C4F-BA82-BF4A4919D217}" type="TxLink">
            <a:rPr kumimoji="0" lang="en-US" sz="1800" b="0" i="0" u="none" strike="noStrike" kern="0" cap="none" spc="0" normalizeH="0" baseline="0" noProof="0">
              <a:ln>
                <a:noFill/>
              </a:ln>
              <a:gradFill>
                <a:gsLst>
                  <a:gs pos="7000">
                    <a:srgbClr val="F28F33"/>
                  </a:gs>
                  <a:gs pos="94000">
                    <a:srgbClr val="AD27FE"/>
                  </a:gs>
                  <a:gs pos="54000">
                    <a:srgbClr val="FE2827"/>
                  </a:gs>
                </a:gsLst>
                <a:lin ang="0" scaled="0"/>
              </a:gra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 € - </a:t>
          </a:fld>
          <a:endParaRPr kumimoji="0" lang="ru-RU" sz="1800" b="0" i="0" u="none" strike="noStrike" kern="0" cap="none" spc="0" normalizeH="0" baseline="0" noProof="0">
            <a:ln>
              <a:noFill/>
            </a:ln>
            <a:gradFill>
              <a:gsLst>
                <a:gs pos="7000">
                  <a:srgbClr val="F28F33"/>
                </a:gs>
                <a:gs pos="94000">
                  <a:srgbClr val="AD27FE"/>
                </a:gs>
                <a:gs pos="54000">
                  <a:srgbClr val="FE2827"/>
                </a:gs>
              </a:gsLst>
              <a:lin ang="0" scaled="0"/>
            </a:gradFill>
            <a:effectLst/>
            <a:uLnTx/>
            <a:uFillTx/>
            <a:latin typeface="Calibri"/>
            <a:ea typeface="+mn-ea"/>
            <a:cs typeface="Calibri"/>
          </a:endParaRPr>
        </a:p>
      </xdr:txBody>
    </xdr:sp>
    <xdr:clientData/>
  </xdr:twoCellAnchor>
  <xdr:twoCellAnchor>
    <xdr:from>
      <xdr:col>19</xdr:col>
      <xdr:colOff>760807</xdr:colOff>
      <xdr:row>40</xdr:row>
      <xdr:rowOff>122346</xdr:rowOff>
    </xdr:from>
    <xdr:to>
      <xdr:col>22</xdr:col>
      <xdr:colOff>36239</xdr:colOff>
      <xdr:row>43</xdr:row>
      <xdr:rowOff>145206</xdr:rowOff>
    </xdr:to>
    <xdr:sp macro="" textlink="Processing!D28">
      <xdr:nvSpPr>
        <xdr:cNvPr id="335" name="TextBox 334">
          <a:extLst>
            <a:ext uri="{FF2B5EF4-FFF2-40B4-BE49-F238E27FC236}">
              <a16:creationId xmlns:a16="http://schemas.microsoft.com/office/drawing/2014/main" id="{00000000-0008-0000-0000-00004F010000}"/>
            </a:ext>
          </a:extLst>
        </xdr:cNvPr>
        <xdr:cNvSpPr txBox="1"/>
      </xdr:nvSpPr>
      <xdr:spPr>
        <a:xfrm>
          <a:off x="16445307" y="8250346"/>
          <a:ext cx="1751932" cy="632460"/>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A615633A-E0B3-804D-9891-DF571376FE09}" type="TxLink">
            <a:rPr kumimoji="0" lang="en-US" sz="1800" b="0" i="0" u="none" strike="noStrike" kern="0" cap="none" spc="0" normalizeH="0" baseline="0" noProof="0">
              <a:ln>
                <a:noFill/>
              </a:ln>
              <a:gradFill>
                <a:gsLst>
                  <a:gs pos="7000">
                    <a:srgbClr val="F28F33"/>
                  </a:gs>
                  <a:gs pos="94000">
                    <a:srgbClr val="AD27FE"/>
                  </a:gs>
                  <a:gs pos="54000">
                    <a:srgbClr val="FE2827"/>
                  </a:gs>
                </a:gsLst>
                <a:lin ang="0" scaled="0"/>
              </a:gra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 € - </a:t>
          </a:fld>
          <a:endParaRPr kumimoji="0" lang="ru-RU" sz="1800" b="0" i="0" u="none" strike="noStrike" kern="0" cap="none" spc="0" normalizeH="0" baseline="0" noProof="0">
            <a:ln>
              <a:noFill/>
            </a:ln>
            <a:gradFill>
              <a:gsLst>
                <a:gs pos="7000">
                  <a:srgbClr val="F28F33"/>
                </a:gs>
                <a:gs pos="94000">
                  <a:srgbClr val="AD27FE"/>
                </a:gs>
                <a:gs pos="54000">
                  <a:srgbClr val="FE2827"/>
                </a:gs>
              </a:gsLst>
              <a:lin ang="0" scaled="0"/>
            </a:gradFill>
            <a:effectLst/>
            <a:uLnTx/>
            <a:uFillTx/>
            <a:latin typeface="Calibri"/>
            <a:ea typeface="+mn-ea"/>
            <a:cs typeface="Calibri"/>
          </a:endParaRPr>
        </a:p>
      </xdr:txBody>
    </xdr:sp>
    <xdr:clientData/>
  </xdr:twoCellAnchor>
  <xdr:twoCellAnchor>
    <xdr:from>
      <xdr:col>19</xdr:col>
      <xdr:colOff>760807</xdr:colOff>
      <xdr:row>43</xdr:row>
      <xdr:rowOff>54149</xdr:rowOff>
    </xdr:from>
    <xdr:to>
      <xdr:col>22</xdr:col>
      <xdr:colOff>36239</xdr:colOff>
      <xdr:row>46</xdr:row>
      <xdr:rowOff>77010</xdr:rowOff>
    </xdr:to>
    <xdr:sp macro="" textlink="Processing!V15">
      <xdr:nvSpPr>
        <xdr:cNvPr id="336" name="TextBox 335">
          <a:extLst>
            <a:ext uri="{FF2B5EF4-FFF2-40B4-BE49-F238E27FC236}">
              <a16:creationId xmlns:a16="http://schemas.microsoft.com/office/drawing/2014/main" id="{00000000-0008-0000-0000-000050010000}"/>
            </a:ext>
          </a:extLst>
        </xdr:cNvPr>
        <xdr:cNvSpPr txBox="1"/>
      </xdr:nvSpPr>
      <xdr:spPr>
        <a:xfrm>
          <a:off x="16445307" y="8791749"/>
          <a:ext cx="1751932" cy="632461"/>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610FE05C-69D4-1F4F-BA1A-45EA30EBF606}" type="TxLink">
            <a:rPr kumimoji="0" lang="en-US" sz="1800" b="0" i="0" u="none" strike="noStrike" kern="0" cap="none" spc="0" normalizeH="0" baseline="0" noProof="0">
              <a:ln>
                <a:noFill/>
              </a:ln>
              <a:gradFill>
                <a:gsLst>
                  <a:gs pos="7000">
                    <a:srgbClr val="F28F33"/>
                  </a:gs>
                  <a:gs pos="94000">
                    <a:srgbClr val="AD27FE"/>
                  </a:gs>
                  <a:gs pos="54000">
                    <a:srgbClr val="FE2827"/>
                  </a:gs>
                </a:gsLst>
                <a:lin ang="0" scaled="0"/>
              </a:gra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€0/€1800</a:t>
          </a:fld>
          <a:endParaRPr kumimoji="0" lang="ru-RU" sz="1800" b="0" i="0" u="none" strike="noStrike" kern="0" cap="none" spc="0" normalizeH="0" baseline="0" noProof="0">
            <a:ln>
              <a:noFill/>
            </a:ln>
            <a:gradFill>
              <a:gsLst>
                <a:gs pos="7000">
                  <a:srgbClr val="F28F33"/>
                </a:gs>
                <a:gs pos="94000">
                  <a:srgbClr val="AD27FE"/>
                </a:gs>
                <a:gs pos="54000">
                  <a:srgbClr val="FE2827"/>
                </a:gs>
              </a:gsLst>
              <a:lin ang="0" scaled="0"/>
            </a:gradFill>
            <a:effectLst/>
            <a:uLnTx/>
            <a:uFillTx/>
            <a:latin typeface="Calibri"/>
            <a:ea typeface="+mn-ea"/>
            <a:cs typeface="Calibri"/>
          </a:endParaRPr>
        </a:p>
      </xdr:txBody>
    </xdr:sp>
    <xdr:clientData/>
  </xdr:twoCellAnchor>
  <xdr:twoCellAnchor>
    <xdr:from>
      <xdr:col>14</xdr:col>
      <xdr:colOff>9479</xdr:colOff>
      <xdr:row>42</xdr:row>
      <xdr:rowOff>153294</xdr:rowOff>
    </xdr:from>
    <xdr:to>
      <xdr:col>16</xdr:col>
      <xdr:colOff>46911</xdr:colOff>
      <xdr:row>45</xdr:row>
      <xdr:rowOff>187359</xdr:rowOff>
    </xdr:to>
    <xdr:sp macro="" textlink="Processing!R15">
      <xdr:nvSpPr>
        <xdr:cNvPr id="337" name="TextBox 336">
          <a:extLst>
            <a:ext uri="{FF2B5EF4-FFF2-40B4-BE49-F238E27FC236}">
              <a16:creationId xmlns:a16="http://schemas.microsoft.com/office/drawing/2014/main" id="{00000000-0008-0000-0000-000051010000}"/>
            </a:ext>
          </a:extLst>
        </xdr:cNvPr>
        <xdr:cNvSpPr txBox="1"/>
      </xdr:nvSpPr>
      <xdr:spPr>
        <a:xfrm>
          <a:off x="11566479" y="8687694"/>
          <a:ext cx="1688432" cy="643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836BEED0-FC76-0949-9C39-9460582AB775}" type="TxLink">
            <a:rPr lang="en-US" sz="1800" b="0" i="0" u="none" strike="noStrike" noProof="0">
              <a:solidFill>
                <a:srgbClr val="BFCDE4"/>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 € 1.800 </a:t>
          </a:fld>
          <a:endParaRPr lang="ru-RU" sz="1800" b="0" i="0" u="none" strike="noStrike" noProof="0">
            <a:solidFill>
              <a:srgbClr val="BFCDE4"/>
            </a:solidFill>
            <a:latin typeface="Calibri"/>
            <a:ea typeface="+mn-ea"/>
            <a:cs typeface="Calibri"/>
          </a:endParaRPr>
        </a:p>
      </xdr:txBody>
    </xdr:sp>
    <xdr:clientData/>
  </xdr:twoCellAnchor>
  <xdr:twoCellAnchor>
    <xdr:from>
      <xdr:col>14</xdr:col>
      <xdr:colOff>234040</xdr:colOff>
      <xdr:row>30</xdr:row>
      <xdr:rowOff>136072</xdr:rowOff>
    </xdr:from>
    <xdr:to>
      <xdr:col>15</xdr:col>
      <xdr:colOff>89260</xdr:colOff>
      <xdr:row>34</xdr:row>
      <xdr:rowOff>173447</xdr:rowOff>
    </xdr:to>
    <xdr:sp macro="" textlink="Processing!U16">
      <xdr:nvSpPr>
        <xdr:cNvPr id="338" name="TextBox 337">
          <a:extLst>
            <a:ext uri="{FF2B5EF4-FFF2-40B4-BE49-F238E27FC236}">
              <a16:creationId xmlns:a16="http://schemas.microsoft.com/office/drawing/2014/main" id="{00000000-0008-0000-0000-000052010000}"/>
            </a:ext>
          </a:extLst>
        </xdr:cNvPr>
        <xdr:cNvSpPr txBox="1"/>
      </xdr:nvSpPr>
      <xdr:spPr>
        <a:xfrm>
          <a:off x="11791040" y="6232072"/>
          <a:ext cx="680720" cy="850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r" defTabSz="914400" eaLnBrk="1" fontAlgn="auto" latinLnBrk="0" hangingPunct="1">
            <a:lnSpc>
              <a:spcPct val="100000"/>
            </a:lnSpc>
            <a:spcBef>
              <a:spcPts val="0"/>
            </a:spcBef>
            <a:spcAft>
              <a:spcPts val="0"/>
            </a:spcAft>
            <a:buClrTx/>
            <a:buSzTx/>
            <a:buFontTx/>
            <a:buNone/>
            <a:tabLst/>
            <a:defRPr/>
          </a:pPr>
          <a:fld id="{AEABB0F9-BA24-D84F-8564-5422F8F8FA94}" type="TxLink">
            <a:rPr lang="en-US" sz="900" b="0" i="0" u="none" strike="noStrike" noProof="0">
              <a:solidFill>
                <a:srgbClr val="BFCDE4"/>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Goal  1
Goal  2
Goal  3
Goal  4</a:t>
          </a:fld>
          <a:endParaRPr lang="ru-RU" sz="900" b="0" i="0" u="none" strike="noStrike" noProof="0">
            <a:solidFill>
              <a:srgbClr val="BFCDE4"/>
            </a:solidFill>
            <a:latin typeface="Calibri"/>
            <a:ea typeface="+mn-ea"/>
            <a:cs typeface="Calibri"/>
          </a:endParaRPr>
        </a:p>
      </xdr:txBody>
    </xdr:sp>
    <xdr:clientData/>
  </xdr:twoCellAnchor>
  <xdr:twoCellAnchor>
    <xdr:from>
      <xdr:col>18</xdr:col>
      <xdr:colOff>684607</xdr:colOff>
      <xdr:row>1</xdr:row>
      <xdr:rowOff>54468</xdr:rowOff>
    </xdr:from>
    <xdr:to>
      <xdr:col>20</xdr:col>
      <xdr:colOff>722039</xdr:colOff>
      <xdr:row>4</xdr:row>
      <xdr:rowOff>61000</xdr:rowOff>
    </xdr:to>
    <xdr:sp macro="" textlink="Processing!I1">
      <xdr:nvSpPr>
        <xdr:cNvPr id="339" name="TextBox 338">
          <a:extLst>
            <a:ext uri="{FF2B5EF4-FFF2-40B4-BE49-F238E27FC236}">
              <a16:creationId xmlns:a16="http://schemas.microsoft.com/office/drawing/2014/main" id="{00000000-0008-0000-0000-000053010000}"/>
            </a:ext>
          </a:extLst>
        </xdr:cNvPr>
        <xdr:cNvSpPr txBox="1"/>
      </xdr:nvSpPr>
      <xdr:spPr>
        <a:xfrm>
          <a:off x="15543607" y="257668"/>
          <a:ext cx="1688432" cy="616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616529F7-6C3A-9D4C-98BF-28707077E6C5}" type="TxLink">
            <a:rPr lang="en-US" sz="1200" b="0" i="0" u="none" strike="noStrike" noProof="0">
              <a:solidFill>
                <a:srgbClr val="BFCDE4"/>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Today: 1 Settembre 2025</a:t>
          </a:fld>
          <a:endParaRPr lang="ru-RU" sz="1200" b="0" i="0" u="none" strike="noStrike" noProof="0">
            <a:solidFill>
              <a:srgbClr val="BFCDE4"/>
            </a:solidFill>
            <a:latin typeface="Calibri"/>
            <a:ea typeface="+mn-ea"/>
            <a:cs typeface="Calibri"/>
          </a:endParaRPr>
        </a:p>
      </xdr:txBody>
    </xdr:sp>
    <xdr:clientData/>
  </xdr:twoCellAnchor>
  <xdr:twoCellAnchor>
    <xdr:from>
      <xdr:col>10</xdr:col>
      <xdr:colOff>387939</xdr:colOff>
      <xdr:row>37</xdr:row>
      <xdr:rowOff>148214</xdr:rowOff>
    </xdr:from>
    <xdr:to>
      <xdr:col>12</xdr:col>
      <xdr:colOff>488871</xdr:colOff>
      <xdr:row>40</xdr:row>
      <xdr:rowOff>174659</xdr:rowOff>
    </xdr:to>
    <xdr:sp macro="" textlink="Processing!D27">
      <xdr:nvSpPr>
        <xdr:cNvPr id="340" name="TextBox 339">
          <a:extLst>
            <a:ext uri="{FF2B5EF4-FFF2-40B4-BE49-F238E27FC236}">
              <a16:creationId xmlns:a16="http://schemas.microsoft.com/office/drawing/2014/main" id="{00000000-0008-0000-0000-000054010000}"/>
            </a:ext>
          </a:extLst>
        </xdr:cNvPr>
        <xdr:cNvSpPr txBox="1"/>
      </xdr:nvSpPr>
      <xdr:spPr>
        <a:xfrm>
          <a:off x="8642939" y="7666614"/>
          <a:ext cx="1751932" cy="636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10770681-8076-3A48-9947-E6548D33B40D}" type="TxLink">
            <a:rPr lang="en-US" sz="1800" b="0" i="0" u="none" strike="noStrike" noProof="0">
              <a:solidFill>
                <a:srgbClr val="BFCDE4"/>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 € - </a:t>
          </a:fld>
          <a:endParaRPr lang="ru-RU" sz="1800" b="0" i="0" u="none" strike="noStrike" noProof="0">
            <a:solidFill>
              <a:srgbClr val="BFCDE4"/>
            </a:solidFill>
            <a:latin typeface="Calibri"/>
            <a:ea typeface="+mn-ea"/>
            <a:cs typeface="Calibri"/>
          </a:endParaRPr>
        </a:p>
      </xdr:txBody>
    </xdr:sp>
    <xdr:clientData/>
  </xdr:twoCellAnchor>
  <xdr:twoCellAnchor>
    <xdr:from>
      <xdr:col>10</xdr:col>
      <xdr:colOff>387939</xdr:colOff>
      <xdr:row>27</xdr:row>
      <xdr:rowOff>61854</xdr:rowOff>
    </xdr:from>
    <xdr:to>
      <xdr:col>12</xdr:col>
      <xdr:colOff>488871</xdr:colOff>
      <xdr:row>30</xdr:row>
      <xdr:rowOff>88299</xdr:rowOff>
    </xdr:to>
    <xdr:sp macro="" textlink="Processing!J17">
      <xdr:nvSpPr>
        <xdr:cNvPr id="341" name="TextBox 340">
          <a:extLst>
            <a:ext uri="{FF2B5EF4-FFF2-40B4-BE49-F238E27FC236}">
              <a16:creationId xmlns:a16="http://schemas.microsoft.com/office/drawing/2014/main" id="{00000000-0008-0000-0000-000055010000}"/>
            </a:ext>
          </a:extLst>
        </xdr:cNvPr>
        <xdr:cNvSpPr txBox="1"/>
      </xdr:nvSpPr>
      <xdr:spPr>
        <a:xfrm>
          <a:off x="8642939" y="5548254"/>
          <a:ext cx="1751932" cy="636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13723A08-E6D2-954D-B216-4A506E6E964E}" type="TxLink">
            <a:rPr lang="en-US" sz="1800" b="0" i="0" u="none" strike="noStrike" noProof="0">
              <a:solidFill>
                <a:srgbClr val="BFCDE4"/>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 € - </a:t>
          </a:fld>
          <a:endParaRPr lang="ru-RU" sz="1800" b="0" i="0" u="none" strike="noStrike" noProof="0">
            <a:solidFill>
              <a:srgbClr val="BFCDE4"/>
            </a:solidFill>
            <a:latin typeface="Calibri"/>
            <a:ea typeface="+mn-ea"/>
            <a:cs typeface="Calibri"/>
          </a:endParaRPr>
        </a:p>
      </xdr:txBody>
    </xdr:sp>
    <xdr:clientData/>
  </xdr:twoCellAnchor>
  <xdr:twoCellAnchor>
    <xdr:from>
      <xdr:col>4</xdr:col>
      <xdr:colOff>606382</xdr:colOff>
      <xdr:row>31</xdr:row>
      <xdr:rowOff>184688</xdr:rowOff>
    </xdr:from>
    <xdr:to>
      <xdr:col>6</xdr:col>
      <xdr:colOff>261974</xdr:colOff>
      <xdr:row>38</xdr:row>
      <xdr:rowOff>26667</xdr:rowOff>
    </xdr:to>
    <xdr:sp macro="" textlink="">
      <xdr:nvSpPr>
        <xdr:cNvPr id="343" name="Circle: Hollow 25">
          <a:extLst>
            <a:ext uri="{FF2B5EF4-FFF2-40B4-BE49-F238E27FC236}">
              <a16:creationId xmlns:a16="http://schemas.microsoft.com/office/drawing/2014/main" id="{00000000-0008-0000-0000-000057010000}"/>
            </a:ext>
          </a:extLst>
        </xdr:cNvPr>
        <xdr:cNvSpPr/>
      </xdr:nvSpPr>
      <xdr:spPr>
        <a:xfrm>
          <a:off x="3908382" y="6483888"/>
          <a:ext cx="1306592" cy="1264379"/>
        </a:xfrm>
        <a:prstGeom prst="donut">
          <a:avLst>
            <a:gd name="adj" fmla="val 26874"/>
          </a:avLst>
        </a:prstGeom>
        <a:gradFill>
          <a:gsLst>
            <a:gs pos="77000">
              <a:srgbClr val="2D3540"/>
            </a:gs>
            <a:gs pos="0">
              <a:srgbClr val="4472C4">
                <a:lumMod val="30000"/>
                <a:lumOff val="70000"/>
              </a:srgbClr>
            </a:gs>
          </a:gsLst>
          <a:path path="circle">
            <a:fillToRect l="100000" b="100000"/>
          </a:path>
        </a:gradFill>
        <a:ln w="12700" cap="flat" cmpd="sng" algn="ctr">
          <a:noFill/>
          <a:prstDash val="solid"/>
          <a:miter lim="800000"/>
        </a:ln>
        <a:effectLst/>
      </xdr:spPr>
      <xdr:txBody>
        <a:bodyPr vertOverflow="overflow" horzOverflow="overflow" wrap="none"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Text" lastClr="000000">
                <a:lumMod val="65000"/>
                <a:lumOff val="35000"/>
              </a:sysClr>
            </a:solidFill>
            <a:effectLst/>
            <a:uLnTx/>
            <a:uFillTx/>
            <a:latin typeface="Calibri" panose="020F0502020204030204"/>
            <a:ea typeface="+mn-ea"/>
            <a:cs typeface="+mn-cs"/>
          </a:endParaRPr>
        </a:p>
      </xdr:txBody>
    </xdr:sp>
    <xdr:clientData/>
  </xdr:twoCellAnchor>
  <xdr:twoCellAnchor>
    <xdr:from>
      <xdr:col>5</xdr:col>
      <xdr:colOff>23637</xdr:colOff>
      <xdr:row>33</xdr:row>
      <xdr:rowOff>13200</xdr:rowOff>
    </xdr:from>
    <xdr:to>
      <xdr:col>6</xdr:col>
      <xdr:colOff>19219</xdr:colOff>
      <xdr:row>36</xdr:row>
      <xdr:rowOff>198155</xdr:rowOff>
    </xdr:to>
    <xdr:sp macro="" textlink="">
      <xdr:nvSpPr>
        <xdr:cNvPr id="344" name="Oval 343">
          <a:extLst>
            <a:ext uri="{FF2B5EF4-FFF2-40B4-BE49-F238E27FC236}">
              <a16:creationId xmlns:a16="http://schemas.microsoft.com/office/drawing/2014/main" id="{00000000-0008-0000-0000-000058010000}"/>
            </a:ext>
          </a:extLst>
        </xdr:cNvPr>
        <xdr:cNvSpPr/>
      </xdr:nvSpPr>
      <xdr:spPr>
        <a:xfrm>
          <a:off x="4151137" y="6718800"/>
          <a:ext cx="821082" cy="794555"/>
        </a:xfrm>
        <a:prstGeom prst="ellipse">
          <a:avLst/>
        </a:prstGeom>
        <a:solidFill>
          <a:srgbClr val="242732"/>
        </a:solidFill>
        <a:ln w="12700" cap="flat" cmpd="sng" algn="ctr">
          <a:noFill/>
          <a:prstDash val="solid"/>
          <a:miter lim="800000"/>
        </a:ln>
        <a:effectLst/>
      </xdr:spPr>
      <xdr:txBody>
        <a:bodyPr vertOverflow="overflow" horzOverflow="overflow" wrap="none" rtlCol="0" anchor="b"/>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4</xdr:col>
      <xdr:colOff>648806</xdr:colOff>
      <xdr:row>33</xdr:row>
      <xdr:rowOff>119691</xdr:rowOff>
    </xdr:from>
    <xdr:to>
      <xdr:col>6</xdr:col>
      <xdr:colOff>219551</xdr:colOff>
      <xdr:row>36</xdr:row>
      <xdr:rowOff>167720</xdr:rowOff>
    </xdr:to>
    <xdr:grpSp>
      <xdr:nvGrpSpPr>
        <xdr:cNvPr id="352" name="Group 351">
          <a:extLst>
            <a:ext uri="{FF2B5EF4-FFF2-40B4-BE49-F238E27FC236}">
              <a16:creationId xmlns:a16="http://schemas.microsoft.com/office/drawing/2014/main" id="{00000000-0008-0000-0000-000060010000}"/>
            </a:ext>
          </a:extLst>
        </xdr:cNvPr>
        <xdr:cNvGrpSpPr/>
      </xdr:nvGrpSpPr>
      <xdr:grpSpPr>
        <a:xfrm>
          <a:off x="3950806" y="6615741"/>
          <a:ext cx="1221745" cy="638579"/>
          <a:chOff x="3950806" y="6706304"/>
          <a:chExt cx="1221745" cy="657629"/>
        </a:xfrm>
      </xdr:grpSpPr>
      <xdr:sp macro="" textlink="Processing!R9">
        <xdr:nvSpPr>
          <xdr:cNvPr id="345" name="TextBox 344">
            <a:extLst>
              <a:ext uri="{FF2B5EF4-FFF2-40B4-BE49-F238E27FC236}">
                <a16:creationId xmlns:a16="http://schemas.microsoft.com/office/drawing/2014/main" id="{00000000-0008-0000-0000-000059010000}"/>
              </a:ext>
            </a:extLst>
          </xdr:cNvPr>
          <xdr:cNvSpPr txBox="1"/>
        </xdr:nvSpPr>
        <xdr:spPr>
          <a:xfrm>
            <a:off x="3950806" y="6895856"/>
            <a:ext cx="1221745" cy="468077"/>
          </a:xfrm>
          <a:prstGeom prst="rect">
            <a:avLst/>
          </a:prstGeom>
          <a:noFill/>
          <a:ln w="9525" cmpd="sng">
            <a:noFill/>
          </a:ln>
          <a:effectLst/>
        </xdr:spPr>
        <xdr:txBody>
          <a:bodyPr vertOverflow="overflow" horzOverflow="overflow" wrap="non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fld id="{A0CF596C-FAE3-0245-9CF0-BF23CBB4BA7B}" type="TxLink">
              <a:rPr kumimoji="0" lang="en-US" sz="1200" b="1" i="0" u="none" strike="noStrike" kern="0" cap="none" spc="0" normalizeH="0" baseline="0" noProof="0">
                <a:ln>
                  <a:noFill/>
                </a:ln>
                <a:solidFill>
                  <a:sysClr val="window" lastClr="FFFFFF"/>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9%
Delle Entrate Del Mese</a:t>
            </a:fld>
            <a:endParaRPr kumimoji="0" lang="ru-RU" sz="1200" b="1" i="0" u="none" strike="noStrike" kern="0" cap="none" spc="0" normalizeH="0" baseline="0" noProof="0">
              <a:ln>
                <a:noFill/>
              </a:ln>
              <a:solidFill>
                <a:sysClr val="window" lastClr="FFFFFF"/>
              </a:solidFill>
              <a:effectLst/>
              <a:uLnTx/>
              <a:uFillTx/>
              <a:latin typeface="Calibri"/>
              <a:ea typeface="+mn-ea"/>
              <a:cs typeface="Calibri"/>
            </a:endParaRPr>
          </a:p>
        </xdr:txBody>
      </xdr:sp>
      <xdr:sp macro="" textlink="Processing!R8">
        <xdr:nvSpPr>
          <xdr:cNvPr id="346" name="TextBox 345">
            <a:extLst>
              <a:ext uri="{FF2B5EF4-FFF2-40B4-BE49-F238E27FC236}">
                <a16:creationId xmlns:a16="http://schemas.microsoft.com/office/drawing/2014/main" id="{00000000-0008-0000-0000-00005A010000}"/>
              </a:ext>
            </a:extLst>
          </xdr:cNvPr>
          <xdr:cNvSpPr txBox="1"/>
        </xdr:nvSpPr>
        <xdr:spPr>
          <a:xfrm>
            <a:off x="4047241" y="6706304"/>
            <a:ext cx="1028875" cy="280205"/>
          </a:xfrm>
          <a:prstGeom prst="rect">
            <a:avLst/>
          </a:prstGeom>
          <a:noFill/>
          <a:ln w="9525" cmpd="sng">
            <a:noFill/>
          </a:ln>
          <a:effectLst/>
        </xdr:spPr>
        <xdr:txBody>
          <a:bodyPr vertOverflow="overflow" horzOverflow="overflow" wrap="squar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fld id="{CEAAA520-E363-3848-B4A1-66E78C471E9C}" type="TxLink">
              <a:rPr kumimoji="0" lang="en-US" sz="1200" b="1" i="0" u="none" strike="noStrike" kern="0" cap="none" spc="0" normalizeH="0" baseline="0" noProof="0">
                <a:ln>
                  <a:noFill/>
                </a:ln>
                <a:solidFill>
                  <a:sysClr val="window" lastClr="FFFFFF"/>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Used Budget</a:t>
            </a:fld>
            <a:endParaRPr kumimoji="0" lang="ru-RU" sz="1200" b="1" i="0" u="none" strike="noStrike" kern="0" cap="none" spc="0" normalizeH="0" baseline="0" noProof="0">
              <a:ln>
                <a:noFill/>
              </a:ln>
              <a:solidFill>
                <a:sysClr val="window" lastClr="FFFFFF"/>
              </a:solidFill>
              <a:effectLst/>
              <a:uLnTx/>
              <a:uFillTx/>
              <a:latin typeface="Calibri"/>
              <a:ea typeface="+mn-ea"/>
              <a:cs typeface="Calibri"/>
            </a:endParaRPr>
          </a:p>
        </xdr:txBody>
      </xdr:sp>
    </xdr:grpSp>
    <xdr:clientData/>
  </xdr:twoCellAnchor>
  <xdr:twoCellAnchor>
    <xdr:from>
      <xdr:col>0</xdr:col>
      <xdr:colOff>313319</xdr:colOff>
      <xdr:row>1</xdr:row>
      <xdr:rowOff>54468</xdr:rowOff>
    </xdr:from>
    <xdr:to>
      <xdr:col>2</xdr:col>
      <xdr:colOff>414251</xdr:colOff>
      <xdr:row>4</xdr:row>
      <xdr:rowOff>61000</xdr:rowOff>
    </xdr:to>
    <xdr:sp macro="" textlink="Processing!G3">
      <xdr:nvSpPr>
        <xdr:cNvPr id="347" name="TextBox 346">
          <a:extLst>
            <a:ext uri="{FF2B5EF4-FFF2-40B4-BE49-F238E27FC236}">
              <a16:creationId xmlns:a16="http://schemas.microsoft.com/office/drawing/2014/main" id="{00000000-0008-0000-0000-00005B010000}"/>
            </a:ext>
          </a:extLst>
        </xdr:cNvPr>
        <xdr:cNvSpPr txBox="1"/>
      </xdr:nvSpPr>
      <xdr:spPr>
        <a:xfrm>
          <a:off x="313319" y="257668"/>
          <a:ext cx="1751932" cy="616132"/>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37A44458-73C5-7F40-A4A1-5C5C08D4B356}" type="TxLink">
            <a:rPr kumimoji="0" lang="en-US" sz="1200" b="0" i="0" u="none" strike="noStrike" kern="0" cap="none" spc="0" normalizeH="0" baseline="0" noProof="0">
              <a:ln>
                <a:noFill/>
              </a:ln>
              <a:solidFill>
                <a:sysClr val="window" lastClr="FFFFFF"/>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Personal Finance</a:t>
          </a:fld>
          <a:endParaRPr kumimoji="0" lang="ru-RU" sz="12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14</xdr:col>
      <xdr:colOff>547380</xdr:colOff>
      <xdr:row>14</xdr:row>
      <xdr:rowOff>176815</xdr:rowOff>
    </xdr:from>
    <xdr:to>
      <xdr:col>16</xdr:col>
      <xdr:colOff>584812</xdr:colOff>
      <xdr:row>19</xdr:row>
      <xdr:rowOff>45183</xdr:rowOff>
    </xdr:to>
    <xdr:grpSp>
      <xdr:nvGrpSpPr>
        <xdr:cNvPr id="351" name="Group 350">
          <a:extLst>
            <a:ext uri="{FF2B5EF4-FFF2-40B4-BE49-F238E27FC236}">
              <a16:creationId xmlns:a16="http://schemas.microsoft.com/office/drawing/2014/main" id="{00000000-0008-0000-0000-00005F010000}"/>
            </a:ext>
          </a:extLst>
        </xdr:cNvPr>
        <xdr:cNvGrpSpPr/>
      </xdr:nvGrpSpPr>
      <xdr:grpSpPr>
        <a:xfrm>
          <a:off x="12104380" y="2932715"/>
          <a:ext cx="1688432" cy="852618"/>
          <a:chOff x="12104380" y="2909047"/>
          <a:chExt cx="1688432" cy="884368"/>
        </a:xfrm>
      </xdr:grpSpPr>
      <xdr:sp macro="" textlink="Processing!I5">
        <xdr:nvSpPr>
          <xdr:cNvPr id="254" name="TextBox 253">
            <a:extLst>
              <a:ext uri="{FF2B5EF4-FFF2-40B4-BE49-F238E27FC236}">
                <a16:creationId xmlns:a16="http://schemas.microsoft.com/office/drawing/2014/main" id="{00000000-0008-0000-0000-0000FE000000}"/>
              </a:ext>
            </a:extLst>
          </xdr:cNvPr>
          <xdr:cNvSpPr txBox="1"/>
        </xdr:nvSpPr>
        <xdr:spPr>
          <a:xfrm>
            <a:off x="12104380" y="3153335"/>
            <a:ext cx="1688432" cy="640080"/>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CF6E3CB4-3D24-3F43-A90B-8FF373308606}" type="TxLink">
              <a:rPr kumimoji="0" lang="en-US" sz="1400" b="1" i="0" u="none" strike="noStrike" kern="0" cap="none" spc="0" normalizeH="0" baseline="0" noProof="0">
                <a:ln>
                  <a:noFill/>
                </a:ln>
                <a:solidFill>
                  <a:sysClr val="window" lastClr="FFFFFF"/>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0%</a:t>
            </a:fld>
            <a:endParaRPr kumimoji="0" lang="ru-RU" sz="1400" b="1" i="0" u="none" strike="noStrike" kern="0" cap="none" spc="0" normalizeH="0" baseline="0" noProof="0">
              <a:ln>
                <a:noFill/>
              </a:ln>
              <a:solidFill>
                <a:sysClr val="window" lastClr="FFFFFF"/>
              </a:solidFill>
              <a:effectLst/>
              <a:uLnTx/>
              <a:uFillTx/>
              <a:latin typeface="Calibri"/>
              <a:ea typeface="+mn-ea"/>
              <a:cs typeface="Calibri"/>
            </a:endParaRPr>
          </a:p>
        </xdr:txBody>
      </xdr:sp>
      <xdr:sp macro="" textlink="Processing!D4">
        <xdr:nvSpPr>
          <xdr:cNvPr id="348" name="TextBox 347">
            <a:extLst>
              <a:ext uri="{FF2B5EF4-FFF2-40B4-BE49-F238E27FC236}">
                <a16:creationId xmlns:a16="http://schemas.microsoft.com/office/drawing/2014/main" id="{00000000-0008-0000-0000-00005C010000}"/>
              </a:ext>
            </a:extLst>
          </xdr:cNvPr>
          <xdr:cNvSpPr txBox="1"/>
        </xdr:nvSpPr>
        <xdr:spPr>
          <a:xfrm>
            <a:off x="12239876" y="2909047"/>
            <a:ext cx="1417440" cy="632460"/>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DFE15567-6D28-D84E-B6A9-7EE534329600}" type="TxLink">
              <a:rPr kumimoji="0" lang="en-US" sz="1400" b="1" i="0" u="none" strike="noStrike" kern="0" cap="none" spc="0" normalizeH="0" baseline="0" noProof="0">
                <a:ln>
                  <a:noFill/>
                </a:ln>
                <a:solidFill>
                  <a:sysClr val="window" lastClr="FFFFFF"/>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Income</a:t>
            </a:fld>
            <a:endParaRPr kumimoji="0" lang="ru-RU" sz="1400" b="1" i="0" u="none" strike="noStrike" kern="0" cap="none" spc="0" normalizeH="0" baseline="0" noProof="0">
              <a:ln>
                <a:noFill/>
              </a:ln>
              <a:solidFill>
                <a:sysClr val="window" lastClr="FFFFFF"/>
              </a:solidFill>
              <a:effectLst/>
              <a:uLnTx/>
              <a:uFillTx/>
              <a:latin typeface="Calibri"/>
              <a:ea typeface="+mn-ea"/>
              <a:cs typeface="Calibri"/>
            </a:endParaRPr>
          </a:p>
        </xdr:txBody>
      </xdr:sp>
    </xdr:grpSp>
    <xdr:clientData/>
  </xdr:twoCellAnchor>
  <xdr:twoCellAnchor editAs="oneCell">
    <xdr:from>
      <xdr:col>3</xdr:col>
      <xdr:colOff>444500</xdr:colOff>
      <xdr:row>6</xdr:row>
      <xdr:rowOff>38855</xdr:rowOff>
    </xdr:from>
    <xdr:to>
      <xdr:col>17</xdr:col>
      <xdr:colOff>290478</xdr:colOff>
      <xdr:row>8</xdr:row>
      <xdr:rowOff>54527</xdr:rowOff>
    </xdr:to>
    <mc:AlternateContent xmlns:mc="http://schemas.openxmlformats.org/markup-compatibility/2006" xmlns:a14="http://schemas.microsoft.com/office/drawing/2010/main">
      <mc:Choice Requires="a14">
        <xdr:graphicFrame macro="">
          <xdr:nvGraphicFramePr>
            <xdr:cNvPr id="120" name="Mese 9">
              <a:extLst>
                <a:ext uri="{FF2B5EF4-FFF2-40B4-BE49-F238E27FC236}">
                  <a16:creationId xmlns:a16="http://schemas.microsoft.com/office/drawing/2014/main" id="{00000000-0008-0000-0000-000078000000}"/>
                </a:ext>
              </a:extLst>
            </xdr:cNvPr>
            <xdr:cNvGraphicFramePr/>
          </xdr:nvGraphicFramePr>
          <xdr:xfrm>
            <a:off x="0" y="0"/>
            <a:ext cx="0" cy="0"/>
          </xdr:xfrm>
          <a:graphic>
            <a:graphicData uri="http://schemas.microsoft.com/office/drawing/2010/slicer">
              <sle:slicer xmlns:sle="http://schemas.microsoft.com/office/drawing/2010/slicer" name="Mese 9"/>
            </a:graphicData>
          </a:graphic>
        </xdr:graphicFrame>
      </mc:Choice>
      <mc:Fallback xmlns="">
        <xdr:sp macro="" textlink="">
          <xdr:nvSpPr>
            <xdr:cNvPr id="0" name=""/>
            <xdr:cNvSpPr>
              <a:spLocks noTextEdit="1"/>
            </xdr:cNvSpPr>
          </xdr:nvSpPr>
          <xdr:spPr>
            <a:xfrm>
              <a:off x="2921000" y="1258055"/>
              <a:ext cx="11402978" cy="4220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660400</xdr:colOff>
      <xdr:row>30</xdr:row>
      <xdr:rowOff>127000</xdr:rowOff>
    </xdr:from>
    <xdr:to>
      <xdr:col>14</xdr:col>
      <xdr:colOff>515620</xdr:colOff>
      <xdr:row>34</xdr:row>
      <xdr:rowOff>164375</xdr:rowOff>
    </xdr:to>
    <xdr:sp macro="" textlink="Processing!X17">
      <xdr:nvSpPr>
        <xdr:cNvPr id="121" name="TextBox 120">
          <a:extLst>
            <a:ext uri="{FF2B5EF4-FFF2-40B4-BE49-F238E27FC236}">
              <a16:creationId xmlns:a16="http://schemas.microsoft.com/office/drawing/2014/main" id="{00000000-0008-0000-0000-000079000000}"/>
            </a:ext>
          </a:extLst>
        </xdr:cNvPr>
        <xdr:cNvSpPr txBox="1"/>
      </xdr:nvSpPr>
      <xdr:spPr>
        <a:xfrm>
          <a:off x="11391900" y="6223000"/>
          <a:ext cx="680720" cy="850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r" defTabSz="914400" eaLnBrk="1" fontAlgn="auto" latinLnBrk="0" hangingPunct="1">
            <a:lnSpc>
              <a:spcPct val="100000"/>
            </a:lnSpc>
            <a:spcBef>
              <a:spcPts val="0"/>
            </a:spcBef>
            <a:spcAft>
              <a:spcPts val="0"/>
            </a:spcAft>
            <a:buClrTx/>
            <a:buSzTx/>
            <a:buFontTx/>
            <a:buNone/>
            <a:tabLst/>
            <a:defRPr/>
          </a:pPr>
          <a:fld id="{983E5920-4FF6-1C4F-AF64-4B1B29D17ADD}" type="TxLink">
            <a:rPr lang="en-US" sz="900" b="0" i="0" u="none" strike="noStrike" noProof="0">
              <a:solidFill>
                <a:srgbClr val="BFCDE4"/>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0%
0%
0%
0%</a:t>
          </a:fld>
          <a:endParaRPr lang="ru-RU" sz="900" b="0" i="0" u="none" strike="noStrike" noProof="0">
            <a:solidFill>
              <a:srgbClr val="BFCDE4"/>
            </a:solidFill>
            <a:latin typeface="Calibri"/>
            <a:ea typeface="+mn-ea"/>
            <a:cs typeface="Calibri"/>
          </a:endParaRPr>
        </a:p>
      </xdr:txBody>
    </xdr:sp>
    <xdr:clientData/>
  </xdr:twoCellAnchor>
  <xdr:twoCellAnchor>
    <xdr:from>
      <xdr:col>0</xdr:col>
      <xdr:colOff>190500</xdr:colOff>
      <xdr:row>29</xdr:row>
      <xdr:rowOff>12700</xdr:rowOff>
    </xdr:from>
    <xdr:to>
      <xdr:col>2</xdr:col>
      <xdr:colOff>704184</xdr:colOff>
      <xdr:row>32</xdr:row>
      <xdr:rowOff>35559</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190500" y="5721350"/>
          <a:ext cx="2164684" cy="613409"/>
          <a:chOff x="190500" y="5943600"/>
          <a:chExt cx="2164684" cy="632459"/>
        </a:xfrm>
      </xdr:grpSpPr>
      <xdr:sp macro="" textlink="Processing!R13">
        <xdr:nvSpPr>
          <xdr:cNvPr id="122" name="TextBox 121">
            <a:hlinkClick xmlns:r="http://schemas.openxmlformats.org/officeDocument/2006/relationships" r:id="rId13"/>
            <a:extLst>
              <a:ext uri="{FF2B5EF4-FFF2-40B4-BE49-F238E27FC236}">
                <a16:creationId xmlns:a16="http://schemas.microsoft.com/office/drawing/2014/main" id="{00000000-0008-0000-0000-00007A000000}"/>
              </a:ext>
            </a:extLst>
          </xdr:cNvPr>
          <xdr:cNvSpPr txBox="1"/>
        </xdr:nvSpPr>
        <xdr:spPr>
          <a:xfrm>
            <a:off x="603252" y="5943600"/>
            <a:ext cx="1751932" cy="632459"/>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it-IT" sz="1400" b="0" i="0" u="none" strike="noStrike" kern="0" cap="none" spc="0" normalizeH="0" baseline="0" noProof="0">
                <a:ln>
                  <a:noFill/>
                </a:ln>
                <a:solidFill>
                  <a:sysClr val="window" lastClr="FFFFFF"/>
                </a:solidFill>
                <a:effectLst/>
                <a:uLnTx/>
                <a:uFillTx/>
                <a:latin typeface="Calibri"/>
                <a:ea typeface="+mn-ea"/>
                <a:cs typeface="Calibri"/>
              </a:rPr>
              <a:t>Insert Data</a:t>
            </a:r>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90500" y="6025829"/>
            <a:ext cx="432000" cy="468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a:t>
            </a:r>
          </a:p>
        </xdr:txBody>
      </xdr:sp>
    </xdr:grpSp>
    <xdr:clientData/>
  </xdr:twoCellAnchor>
  <xdr:twoCellAnchor editAs="oneCell">
    <xdr:from>
      <xdr:col>18</xdr:col>
      <xdr:colOff>452962</xdr:colOff>
      <xdr:row>6</xdr:row>
      <xdr:rowOff>39291</xdr:rowOff>
    </xdr:from>
    <xdr:to>
      <xdr:col>22</xdr:col>
      <xdr:colOff>136712</xdr:colOff>
      <xdr:row>8</xdr:row>
      <xdr:rowOff>54091</xdr:rowOff>
    </xdr:to>
    <mc:AlternateContent xmlns:mc="http://schemas.openxmlformats.org/markup-compatibility/2006" xmlns:a14="http://schemas.microsoft.com/office/drawing/2010/main">
      <mc:Choice Requires="a14">
        <xdr:graphicFrame macro="">
          <xdr:nvGraphicFramePr>
            <xdr:cNvPr id="130" name="Anno 1">
              <a:extLst>
                <a:ext uri="{FF2B5EF4-FFF2-40B4-BE49-F238E27FC236}">
                  <a16:creationId xmlns:a16="http://schemas.microsoft.com/office/drawing/2014/main" id="{00000000-0008-0000-0000-000082000000}"/>
                </a:ext>
              </a:extLst>
            </xdr:cNvPr>
            <xdr:cNvGraphicFramePr/>
          </xdr:nvGraphicFramePr>
          <xdr:xfrm>
            <a:off x="0" y="0"/>
            <a:ext cx="0" cy="0"/>
          </xdr:xfrm>
          <a:graphic>
            <a:graphicData uri="http://schemas.microsoft.com/office/drawing/2010/slicer">
              <sle:slicer xmlns:sle="http://schemas.microsoft.com/office/drawing/2010/slicer" name="Anno 1"/>
            </a:graphicData>
          </a:graphic>
        </xdr:graphicFrame>
      </mc:Choice>
      <mc:Fallback xmlns="">
        <xdr:sp macro="" textlink="">
          <xdr:nvSpPr>
            <xdr:cNvPr id="0" name=""/>
            <xdr:cNvSpPr>
              <a:spLocks noTextEdit="1"/>
            </xdr:cNvSpPr>
          </xdr:nvSpPr>
          <xdr:spPr>
            <a:xfrm>
              <a:off x="15311962" y="1258491"/>
              <a:ext cx="2985750" cy="421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6723</xdr:colOff>
      <xdr:row>115</xdr:row>
      <xdr:rowOff>80682</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0" y="0"/>
          <a:ext cx="2483223" cy="23448682"/>
        </a:xfrm>
        <a:prstGeom prst="rect">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17</xdr:col>
      <xdr:colOff>390712</xdr:colOff>
      <xdr:row>10</xdr:row>
      <xdr:rowOff>11952</xdr:rowOff>
    </xdr:from>
    <xdr:to>
      <xdr:col>22</xdr:col>
      <xdr:colOff>270435</xdr:colOff>
      <xdr:row>26</xdr:row>
      <xdr:rowOff>74752</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14424212" y="2043952"/>
          <a:ext cx="4007223" cy="3314000"/>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320488</xdr:colOff>
      <xdr:row>10</xdr:row>
      <xdr:rowOff>16999</xdr:rowOff>
    </xdr:from>
    <xdr:to>
      <xdr:col>17</xdr:col>
      <xdr:colOff>139700</xdr:colOff>
      <xdr:row>32</xdr:row>
      <xdr:rowOff>189187</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2796988" y="2048999"/>
          <a:ext cx="11376212" cy="4642588"/>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17</xdr:col>
      <xdr:colOff>390712</xdr:colOff>
      <xdr:row>27</xdr:row>
      <xdr:rowOff>158378</xdr:rowOff>
    </xdr:from>
    <xdr:to>
      <xdr:col>22</xdr:col>
      <xdr:colOff>270435</xdr:colOff>
      <xdr:row>47</xdr:row>
      <xdr:rowOff>155386</xdr:rowOff>
    </xdr:to>
    <xdr:sp macro="" textlink="">
      <xdr:nvSpPr>
        <xdr:cNvPr id="5" name="Rectangle: Rounded Corners 5">
          <a:extLst>
            <a:ext uri="{FF2B5EF4-FFF2-40B4-BE49-F238E27FC236}">
              <a16:creationId xmlns:a16="http://schemas.microsoft.com/office/drawing/2014/main" id="{00000000-0008-0000-0100-000005000000}"/>
            </a:ext>
          </a:extLst>
        </xdr:cNvPr>
        <xdr:cNvSpPr/>
      </xdr:nvSpPr>
      <xdr:spPr>
        <a:xfrm>
          <a:off x="14424212" y="5644778"/>
          <a:ext cx="4007223" cy="4061008"/>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320488</xdr:colOff>
      <xdr:row>34</xdr:row>
      <xdr:rowOff>67810</xdr:rowOff>
    </xdr:from>
    <xdr:to>
      <xdr:col>17</xdr:col>
      <xdr:colOff>140688</xdr:colOff>
      <xdr:row>47</xdr:row>
      <xdr:rowOff>155386</xdr:rowOff>
    </xdr:to>
    <xdr:sp macro="" textlink="">
      <xdr:nvSpPr>
        <xdr:cNvPr id="6" name="Rectangle: Rounded Corners 7">
          <a:extLst>
            <a:ext uri="{FF2B5EF4-FFF2-40B4-BE49-F238E27FC236}">
              <a16:creationId xmlns:a16="http://schemas.microsoft.com/office/drawing/2014/main" id="{00000000-0008-0000-0100-000006000000}"/>
            </a:ext>
          </a:extLst>
        </xdr:cNvPr>
        <xdr:cNvSpPr/>
      </xdr:nvSpPr>
      <xdr:spPr>
        <a:xfrm>
          <a:off x="2796988" y="6976610"/>
          <a:ext cx="11377200" cy="2729176"/>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597948</xdr:colOff>
      <xdr:row>10</xdr:row>
      <xdr:rowOff>72612</xdr:rowOff>
    </xdr:from>
    <xdr:to>
      <xdr:col>5</xdr:col>
      <xdr:colOff>696639</xdr:colOff>
      <xdr:row>13</xdr:row>
      <xdr:rowOff>106676</xdr:rowOff>
    </xdr:to>
    <xdr:sp macro="" textlink="Processing!O1">
      <xdr:nvSpPr>
        <xdr:cNvPr id="24" name="TextBox 23">
          <a:extLst>
            <a:ext uri="{FF2B5EF4-FFF2-40B4-BE49-F238E27FC236}">
              <a16:creationId xmlns:a16="http://schemas.microsoft.com/office/drawing/2014/main" id="{00000000-0008-0000-0100-000018000000}"/>
            </a:ext>
          </a:extLst>
        </xdr:cNvPr>
        <xdr:cNvSpPr txBox="1"/>
      </xdr:nvSpPr>
      <xdr:spPr>
        <a:xfrm>
          <a:off x="3074448" y="2104612"/>
          <a:ext cx="1749691" cy="643664"/>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031786C7-D89F-1A4F-917B-8BAB50F73217}" type="TxLink">
            <a:rPr kumimoji="0" lang="en-US" sz="1400" b="1"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Budget Plan</a:t>
          </a:fld>
          <a:endParaRPr kumimoji="0" lang="ru-RU" sz="1400" b="1"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8966</xdr:colOff>
      <xdr:row>14</xdr:row>
      <xdr:rowOff>106540</xdr:rowOff>
    </xdr:from>
    <xdr:to>
      <xdr:col>3</xdr:col>
      <xdr:colOff>58719</xdr:colOff>
      <xdr:row>16</xdr:row>
      <xdr:rowOff>202446</xdr:rowOff>
    </xdr:to>
    <xdr:sp macro="" textlink="">
      <xdr:nvSpPr>
        <xdr:cNvPr id="25" name="Freeform: Shape 33">
          <a:extLst>
            <a:ext uri="{FF2B5EF4-FFF2-40B4-BE49-F238E27FC236}">
              <a16:creationId xmlns:a16="http://schemas.microsoft.com/office/drawing/2014/main" id="{00000000-0008-0000-0100-000019000000}"/>
            </a:ext>
          </a:extLst>
        </xdr:cNvPr>
        <xdr:cNvSpPr/>
      </xdr:nvSpPr>
      <xdr:spPr>
        <a:xfrm>
          <a:off x="8966" y="2951340"/>
          <a:ext cx="2526253" cy="502306"/>
        </a:xfrm>
        <a:custGeom>
          <a:avLst/>
          <a:gdLst>
            <a:gd name="connsiteX0" fmla="*/ 0 w 2264319"/>
            <a:gd name="connsiteY0" fmla="*/ 0 h 555812"/>
            <a:gd name="connsiteX1" fmla="*/ 2189612 w 2264319"/>
            <a:gd name="connsiteY1" fmla="*/ 0 h 555812"/>
            <a:gd name="connsiteX2" fmla="*/ 2264319 w 2264319"/>
            <a:gd name="connsiteY2" fmla="*/ 74707 h 555812"/>
            <a:gd name="connsiteX3" fmla="*/ 2264319 w 2264319"/>
            <a:gd name="connsiteY3" fmla="*/ 481105 h 555812"/>
            <a:gd name="connsiteX4" fmla="*/ 2189612 w 2264319"/>
            <a:gd name="connsiteY4" fmla="*/ 555812 h 555812"/>
            <a:gd name="connsiteX5" fmla="*/ 0 w 2264319"/>
            <a:gd name="connsiteY5" fmla="*/ 555812 h 555812"/>
            <a:gd name="connsiteX6" fmla="*/ 0 w 2264319"/>
            <a:gd name="connsiteY6" fmla="*/ 0 h 555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264319" h="555812">
              <a:moveTo>
                <a:pt x="0" y="0"/>
              </a:moveTo>
              <a:lnTo>
                <a:pt x="2189612" y="0"/>
              </a:lnTo>
              <a:cubicBezTo>
                <a:pt x="2230872" y="0"/>
                <a:pt x="2264319" y="33447"/>
                <a:pt x="2264319" y="74707"/>
              </a:cubicBezTo>
              <a:lnTo>
                <a:pt x="2264319" y="481105"/>
              </a:lnTo>
              <a:cubicBezTo>
                <a:pt x="2264319" y="522365"/>
                <a:pt x="2230872" y="555812"/>
                <a:pt x="2189612" y="555812"/>
              </a:cubicBezTo>
              <a:lnTo>
                <a:pt x="0" y="555812"/>
              </a:lnTo>
              <a:lnTo>
                <a:pt x="0" y="0"/>
              </a:lnTo>
              <a:close/>
            </a:path>
          </a:pathLst>
        </a:custGeom>
        <a:gradFill flip="none" rotWithShape="1">
          <a:gsLst>
            <a:gs pos="1000">
              <a:srgbClr val="F28F33"/>
            </a:gs>
            <a:gs pos="76000">
              <a:srgbClr val="FE2827"/>
            </a:gs>
          </a:gsLst>
          <a:lin ang="0" scaled="0"/>
          <a:tileRect/>
        </a:gra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600192</xdr:colOff>
      <xdr:row>11</xdr:row>
      <xdr:rowOff>126400</xdr:rowOff>
    </xdr:from>
    <xdr:to>
      <xdr:col>2</xdr:col>
      <xdr:colOff>698883</xdr:colOff>
      <xdr:row>14</xdr:row>
      <xdr:rowOff>160466</xdr:rowOff>
    </xdr:to>
    <xdr:sp macro="" textlink="Processing!B1">
      <xdr:nvSpPr>
        <xdr:cNvPr id="26" name="TextBox 25">
          <a:hlinkClick xmlns:r="http://schemas.openxmlformats.org/officeDocument/2006/relationships" r:id="rId1"/>
          <a:extLst>
            <a:ext uri="{FF2B5EF4-FFF2-40B4-BE49-F238E27FC236}">
              <a16:creationId xmlns:a16="http://schemas.microsoft.com/office/drawing/2014/main" id="{00000000-0008-0000-0100-00001A000000}"/>
            </a:ext>
          </a:extLst>
        </xdr:cNvPr>
        <xdr:cNvSpPr txBox="1"/>
      </xdr:nvSpPr>
      <xdr:spPr>
        <a:xfrm>
          <a:off x="600192" y="2361600"/>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048DFC3D-C4C4-D549-A270-86FA3004EA1D}"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Dashboard</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14</xdr:row>
      <xdr:rowOff>41236</xdr:rowOff>
    </xdr:from>
    <xdr:to>
      <xdr:col>2</xdr:col>
      <xdr:colOff>698883</xdr:colOff>
      <xdr:row>17</xdr:row>
      <xdr:rowOff>75302</xdr:rowOff>
    </xdr:to>
    <xdr:sp macro="" textlink="Processing!T1">
      <xdr:nvSpPr>
        <xdr:cNvPr id="27" name="TextBox 26">
          <a:extLst>
            <a:ext uri="{FF2B5EF4-FFF2-40B4-BE49-F238E27FC236}">
              <a16:creationId xmlns:a16="http://schemas.microsoft.com/office/drawing/2014/main" id="{00000000-0008-0000-0100-00001B000000}"/>
            </a:ext>
          </a:extLst>
        </xdr:cNvPr>
        <xdr:cNvSpPr txBox="1"/>
      </xdr:nvSpPr>
      <xdr:spPr>
        <a:xfrm>
          <a:off x="600192" y="2886036"/>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A8476CCB-C2E9-C04A-9E0C-14B825C73E99}"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Daily Budgeting</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16</xdr:row>
      <xdr:rowOff>144330</xdr:rowOff>
    </xdr:from>
    <xdr:to>
      <xdr:col>2</xdr:col>
      <xdr:colOff>698883</xdr:colOff>
      <xdr:row>19</xdr:row>
      <xdr:rowOff>193336</xdr:rowOff>
    </xdr:to>
    <xdr:sp macro="" textlink="Processing!B39">
      <xdr:nvSpPr>
        <xdr:cNvPr id="28" name="TextBox 27">
          <a:hlinkClick xmlns:r="http://schemas.openxmlformats.org/officeDocument/2006/relationships" r:id="rId2"/>
          <a:extLst>
            <a:ext uri="{FF2B5EF4-FFF2-40B4-BE49-F238E27FC236}">
              <a16:creationId xmlns:a16="http://schemas.microsoft.com/office/drawing/2014/main" id="{00000000-0008-0000-0100-00001C000000}"/>
            </a:ext>
          </a:extLst>
        </xdr:cNvPr>
        <xdr:cNvSpPr txBox="1"/>
      </xdr:nvSpPr>
      <xdr:spPr>
        <a:xfrm>
          <a:off x="600192" y="3395530"/>
          <a:ext cx="1749691" cy="65860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253FA790-5E8C-924A-81C8-63AA710238B4}"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Income</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19</xdr:row>
      <xdr:rowOff>59166</xdr:rowOff>
    </xdr:from>
    <xdr:to>
      <xdr:col>2</xdr:col>
      <xdr:colOff>698883</xdr:colOff>
      <xdr:row>22</xdr:row>
      <xdr:rowOff>93231</xdr:rowOff>
    </xdr:to>
    <xdr:sp macro="" textlink="Processing!B63">
      <xdr:nvSpPr>
        <xdr:cNvPr id="29" name="TextBox 28">
          <a:hlinkClick xmlns:r="http://schemas.openxmlformats.org/officeDocument/2006/relationships" r:id="rId3"/>
          <a:extLst>
            <a:ext uri="{FF2B5EF4-FFF2-40B4-BE49-F238E27FC236}">
              <a16:creationId xmlns:a16="http://schemas.microsoft.com/office/drawing/2014/main" id="{00000000-0008-0000-0100-00001D000000}"/>
            </a:ext>
          </a:extLst>
        </xdr:cNvPr>
        <xdr:cNvSpPr txBox="1"/>
      </xdr:nvSpPr>
      <xdr:spPr>
        <a:xfrm>
          <a:off x="600192" y="3919966"/>
          <a:ext cx="1749691" cy="643665"/>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9AD9ABFB-9CC9-2948-AB98-337342F82768}"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Expenses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21</xdr:row>
      <xdr:rowOff>177201</xdr:rowOff>
    </xdr:from>
    <xdr:to>
      <xdr:col>2</xdr:col>
      <xdr:colOff>698883</xdr:colOff>
      <xdr:row>25</xdr:row>
      <xdr:rowOff>8067</xdr:rowOff>
    </xdr:to>
    <xdr:sp macro="" textlink="Processing!I17">
      <xdr:nvSpPr>
        <xdr:cNvPr id="30" name="TextBox 29">
          <a:hlinkClick xmlns:r="http://schemas.openxmlformats.org/officeDocument/2006/relationships" r:id="rId4"/>
          <a:extLst>
            <a:ext uri="{FF2B5EF4-FFF2-40B4-BE49-F238E27FC236}">
              <a16:creationId xmlns:a16="http://schemas.microsoft.com/office/drawing/2014/main" id="{00000000-0008-0000-0100-00001E000000}"/>
            </a:ext>
          </a:extLst>
        </xdr:cNvPr>
        <xdr:cNvSpPr txBox="1"/>
      </xdr:nvSpPr>
      <xdr:spPr>
        <a:xfrm>
          <a:off x="600192" y="4444401"/>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D006B8D3-0F60-9646-A51C-021468A18502}"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Investments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24</xdr:row>
      <xdr:rowOff>77096</xdr:rowOff>
    </xdr:from>
    <xdr:to>
      <xdr:col>2</xdr:col>
      <xdr:colOff>698883</xdr:colOff>
      <xdr:row>27</xdr:row>
      <xdr:rowOff>126102</xdr:rowOff>
    </xdr:to>
    <xdr:sp macro="" textlink="Processing!B18">
      <xdr:nvSpPr>
        <xdr:cNvPr id="31" name="TextBox 30">
          <a:hlinkClick xmlns:r="http://schemas.openxmlformats.org/officeDocument/2006/relationships" r:id="rId5"/>
          <a:extLst>
            <a:ext uri="{FF2B5EF4-FFF2-40B4-BE49-F238E27FC236}">
              <a16:creationId xmlns:a16="http://schemas.microsoft.com/office/drawing/2014/main" id="{00000000-0008-0000-0100-00001F000000}"/>
            </a:ext>
          </a:extLst>
        </xdr:cNvPr>
        <xdr:cNvSpPr txBox="1"/>
      </xdr:nvSpPr>
      <xdr:spPr>
        <a:xfrm>
          <a:off x="600192" y="4953896"/>
          <a:ext cx="1749691" cy="65860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4C94C82C-BDF2-F644-9577-33E157BA5805}"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Debts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26</xdr:row>
      <xdr:rowOff>195133</xdr:rowOff>
    </xdr:from>
    <xdr:to>
      <xdr:col>2</xdr:col>
      <xdr:colOff>698883</xdr:colOff>
      <xdr:row>30</xdr:row>
      <xdr:rowOff>25997</xdr:rowOff>
    </xdr:to>
    <xdr:sp macro="" textlink="Processing!R13">
      <xdr:nvSpPr>
        <xdr:cNvPr id="32" name="TextBox 31">
          <a:hlinkClick xmlns:r="http://schemas.openxmlformats.org/officeDocument/2006/relationships" r:id="rId6"/>
          <a:extLst>
            <a:ext uri="{FF2B5EF4-FFF2-40B4-BE49-F238E27FC236}">
              <a16:creationId xmlns:a16="http://schemas.microsoft.com/office/drawing/2014/main" id="{00000000-0008-0000-0100-000020000000}"/>
            </a:ext>
          </a:extLst>
        </xdr:cNvPr>
        <xdr:cNvSpPr txBox="1"/>
      </xdr:nvSpPr>
      <xdr:spPr>
        <a:xfrm>
          <a:off x="600192" y="5478333"/>
          <a:ext cx="1749691" cy="643664"/>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B163196E-68B6-364B-B1C5-290CBC7FE203}"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Financial Goals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276340</xdr:colOff>
      <xdr:row>12</xdr:row>
      <xdr:rowOff>116933</xdr:rowOff>
    </xdr:from>
    <xdr:to>
      <xdr:col>0</xdr:col>
      <xdr:colOff>528340</xdr:colOff>
      <xdr:row>13</xdr:row>
      <xdr:rowOff>177088</xdr:rowOff>
    </xdr:to>
    <xdr:sp macro="" textlink="">
      <xdr:nvSpPr>
        <xdr:cNvPr id="33" name="Freeform: Shape 41">
          <a:extLst>
            <a:ext uri="{FF2B5EF4-FFF2-40B4-BE49-F238E27FC236}">
              <a16:creationId xmlns:a16="http://schemas.microsoft.com/office/drawing/2014/main" id="{00000000-0008-0000-0100-000021000000}"/>
            </a:ext>
          </a:extLst>
        </xdr:cNvPr>
        <xdr:cNvSpPr/>
      </xdr:nvSpPr>
      <xdr:spPr>
        <a:xfrm>
          <a:off x="276340" y="2555333"/>
          <a:ext cx="252000" cy="263355"/>
        </a:xfrm>
        <a:custGeom>
          <a:avLst/>
          <a:gdLst>
            <a:gd name="connsiteX0" fmla="*/ 0 w 2612439"/>
            <a:gd name="connsiteY0" fmla="*/ 1633347 h 2629917"/>
            <a:gd name="connsiteX1" fmla="*/ 914400 w 2612439"/>
            <a:gd name="connsiteY1" fmla="*/ 1633347 h 2629917"/>
            <a:gd name="connsiteX2" fmla="*/ 914400 w 2612439"/>
            <a:gd name="connsiteY2" fmla="*/ 2629917 h 2629917"/>
            <a:gd name="connsiteX3" fmla="*/ 0 w 2612439"/>
            <a:gd name="connsiteY3" fmla="*/ 2629917 h 2629917"/>
            <a:gd name="connsiteX4" fmla="*/ 1165379 w 2612439"/>
            <a:gd name="connsiteY4" fmla="*/ 1076325 h 2629917"/>
            <a:gd name="connsiteX5" fmla="*/ 2612439 w 2612439"/>
            <a:gd name="connsiteY5" fmla="*/ 1076325 h 2629917"/>
            <a:gd name="connsiteX6" fmla="*/ 2612439 w 2612439"/>
            <a:gd name="connsiteY6" fmla="*/ 2629917 h 2629917"/>
            <a:gd name="connsiteX7" fmla="*/ 1165379 w 2612439"/>
            <a:gd name="connsiteY7" fmla="*/ 2629917 h 2629917"/>
            <a:gd name="connsiteX8" fmla="*/ 1165379 w 2612439"/>
            <a:gd name="connsiteY8" fmla="*/ 0 h 2629917"/>
            <a:gd name="connsiteX9" fmla="*/ 2612439 w 2612439"/>
            <a:gd name="connsiteY9" fmla="*/ 0 h 2629917"/>
            <a:gd name="connsiteX10" fmla="*/ 2612439 w 2612439"/>
            <a:gd name="connsiteY10" fmla="*/ 847725 h 2629917"/>
            <a:gd name="connsiteX11" fmla="*/ 1165379 w 2612439"/>
            <a:gd name="connsiteY11" fmla="*/ 847725 h 2629917"/>
            <a:gd name="connsiteX12" fmla="*/ 0 w 2612439"/>
            <a:gd name="connsiteY12" fmla="*/ 0 h 2629917"/>
            <a:gd name="connsiteX13" fmla="*/ 914400 w 2612439"/>
            <a:gd name="connsiteY13" fmla="*/ 0 h 2629917"/>
            <a:gd name="connsiteX14" fmla="*/ 914400 w 2612439"/>
            <a:gd name="connsiteY14" fmla="*/ 1428750 h 2629917"/>
            <a:gd name="connsiteX15" fmla="*/ 0 w 2612439"/>
            <a:gd name="connsiteY15" fmla="*/ 1428750 h 2629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612439" h="2629917">
              <a:moveTo>
                <a:pt x="0" y="1633347"/>
              </a:moveTo>
              <a:lnTo>
                <a:pt x="914400" y="1633347"/>
              </a:lnTo>
              <a:lnTo>
                <a:pt x="914400" y="2629917"/>
              </a:lnTo>
              <a:lnTo>
                <a:pt x="0" y="2629917"/>
              </a:lnTo>
              <a:close/>
              <a:moveTo>
                <a:pt x="1165379" y="1076325"/>
              </a:moveTo>
              <a:lnTo>
                <a:pt x="2612439" y="1076325"/>
              </a:lnTo>
              <a:lnTo>
                <a:pt x="2612439" y="2629917"/>
              </a:lnTo>
              <a:lnTo>
                <a:pt x="1165379" y="2629917"/>
              </a:lnTo>
              <a:close/>
              <a:moveTo>
                <a:pt x="1165379" y="0"/>
              </a:moveTo>
              <a:lnTo>
                <a:pt x="2612439" y="0"/>
              </a:lnTo>
              <a:lnTo>
                <a:pt x="2612439" y="847725"/>
              </a:lnTo>
              <a:lnTo>
                <a:pt x="1165379" y="847725"/>
              </a:lnTo>
              <a:close/>
              <a:moveTo>
                <a:pt x="0" y="0"/>
              </a:moveTo>
              <a:lnTo>
                <a:pt x="914400" y="0"/>
              </a:lnTo>
              <a:lnTo>
                <a:pt x="914400" y="1428750"/>
              </a:lnTo>
              <a:lnTo>
                <a:pt x="0" y="1428750"/>
              </a:lnTo>
              <a:close/>
            </a:path>
          </a:pathLst>
        </a:custGeom>
        <a:solidFill>
          <a:sysClr val="window" lastClr="FFFFFF"/>
        </a:soli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276340</xdr:colOff>
      <xdr:row>17</xdr:row>
      <xdr:rowOff>133538</xdr:rowOff>
    </xdr:from>
    <xdr:to>
      <xdr:col>0</xdr:col>
      <xdr:colOff>528340</xdr:colOff>
      <xdr:row>19</xdr:row>
      <xdr:rowOff>1848</xdr:rowOff>
    </xdr:to>
    <xdr:sp macro="" textlink="">
      <xdr:nvSpPr>
        <xdr:cNvPr id="34" name="Freeform: Shape 42">
          <a:extLst>
            <a:ext uri="{FF2B5EF4-FFF2-40B4-BE49-F238E27FC236}">
              <a16:creationId xmlns:a16="http://schemas.microsoft.com/office/drawing/2014/main" id="{00000000-0008-0000-0100-000022000000}"/>
            </a:ext>
          </a:extLst>
        </xdr:cNvPr>
        <xdr:cNvSpPr/>
      </xdr:nvSpPr>
      <xdr:spPr>
        <a:xfrm>
          <a:off x="276340" y="3587938"/>
          <a:ext cx="252000" cy="274710"/>
        </a:xfrm>
        <a:custGeom>
          <a:avLst/>
          <a:gdLst>
            <a:gd name="connsiteX0" fmla="*/ 478368 w 2434877"/>
            <a:gd name="connsiteY0" fmla="*/ 1660447 h 2669419"/>
            <a:gd name="connsiteX1" fmla="*/ 478368 w 2434877"/>
            <a:gd name="connsiteY1" fmla="*/ 2669419 h 2669419"/>
            <a:gd name="connsiteX2" fmla="*/ 4662 w 2434877"/>
            <a:gd name="connsiteY2" fmla="*/ 2669419 h 2669419"/>
            <a:gd name="connsiteX3" fmla="*/ 14134 w 2434877"/>
            <a:gd name="connsiteY3" fmla="*/ 2124668 h 2669419"/>
            <a:gd name="connsiteX4" fmla="*/ 805273 w 2434877"/>
            <a:gd name="connsiteY4" fmla="*/ 1333554 h 2669419"/>
            <a:gd name="connsiteX5" fmla="*/ 1072919 w 2434877"/>
            <a:gd name="connsiteY5" fmla="*/ 1601215 h 2669419"/>
            <a:gd name="connsiteX6" fmla="*/ 1072919 w 2434877"/>
            <a:gd name="connsiteY6" fmla="*/ 2664691 h 2669419"/>
            <a:gd name="connsiteX7" fmla="*/ 606315 w 2434877"/>
            <a:gd name="connsiteY7" fmla="*/ 2669407 h 2669419"/>
            <a:gd name="connsiteX8" fmla="*/ 606315 w 2434877"/>
            <a:gd name="connsiteY8" fmla="*/ 1532527 h 2669419"/>
            <a:gd name="connsiteX9" fmla="*/ 1681683 w 2434877"/>
            <a:gd name="connsiteY9" fmla="*/ 1139327 h 2669419"/>
            <a:gd name="connsiteX10" fmla="*/ 1681683 w 2434877"/>
            <a:gd name="connsiteY10" fmla="*/ 2669400 h 2669419"/>
            <a:gd name="connsiteX11" fmla="*/ 1217448 w 2434877"/>
            <a:gd name="connsiteY11" fmla="*/ 2659932 h 2669419"/>
            <a:gd name="connsiteX12" fmla="*/ 1217448 w 2434877"/>
            <a:gd name="connsiteY12" fmla="*/ 1603584 h 2669419"/>
            <a:gd name="connsiteX13" fmla="*/ 2288060 w 2434877"/>
            <a:gd name="connsiteY13" fmla="*/ 528130 h 2669419"/>
            <a:gd name="connsiteX14" fmla="*/ 2288060 w 2434877"/>
            <a:gd name="connsiteY14" fmla="*/ 2659908 h 2669419"/>
            <a:gd name="connsiteX15" fmla="*/ 1814372 w 2434877"/>
            <a:gd name="connsiteY15" fmla="*/ 2664660 h 2669419"/>
            <a:gd name="connsiteX16" fmla="*/ 1814372 w 2434877"/>
            <a:gd name="connsiteY16" fmla="*/ 1001818 h 2669419"/>
            <a:gd name="connsiteX17" fmla="*/ 1987216 w 2434877"/>
            <a:gd name="connsiteY17" fmla="*/ 0 h 2669419"/>
            <a:gd name="connsiteX18" fmla="*/ 2434877 w 2434877"/>
            <a:gd name="connsiteY18" fmla="*/ 0 h 2669419"/>
            <a:gd name="connsiteX19" fmla="*/ 2434877 w 2434877"/>
            <a:gd name="connsiteY19" fmla="*/ 461881 h 2669419"/>
            <a:gd name="connsiteX20" fmla="*/ 2323528 w 2434877"/>
            <a:gd name="connsiteY20" fmla="*/ 350532 h 2669419"/>
            <a:gd name="connsiteX21" fmla="*/ 1141637 w 2434877"/>
            <a:gd name="connsiteY21" fmla="*/ 1532450 h 2669419"/>
            <a:gd name="connsiteX22" fmla="*/ 817147 w 2434877"/>
            <a:gd name="connsiteY22" fmla="*/ 1207945 h 2669419"/>
            <a:gd name="connsiteX23" fmla="*/ 0 w 2434877"/>
            <a:gd name="connsiteY23" fmla="*/ 2001422 h 2669419"/>
            <a:gd name="connsiteX24" fmla="*/ 0 w 2434877"/>
            <a:gd name="connsiteY24" fmla="*/ 1532450 h 2669419"/>
            <a:gd name="connsiteX25" fmla="*/ 805303 w 2434877"/>
            <a:gd name="connsiteY25" fmla="*/ 727129 h 2669419"/>
            <a:gd name="connsiteX26" fmla="*/ 1146374 w 2434877"/>
            <a:gd name="connsiteY26" fmla="*/ 1068193 h 2669419"/>
            <a:gd name="connsiteX27" fmla="*/ 2100904 w 2434877"/>
            <a:gd name="connsiteY27" fmla="*/ 113688 h 26694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2434877" h="2669419">
              <a:moveTo>
                <a:pt x="478368" y="1660447"/>
              </a:moveTo>
              <a:lnTo>
                <a:pt x="478368" y="2669419"/>
              </a:lnTo>
              <a:lnTo>
                <a:pt x="4662" y="2669419"/>
              </a:lnTo>
              <a:lnTo>
                <a:pt x="14134" y="2124668"/>
              </a:lnTo>
              <a:close/>
              <a:moveTo>
                <a:pt x="805273" y="1333554"/>
              </a:moveTo>
              <a:lnTo>
                <a:pt x="1072919" y="1601215"/>
              </a:lnTo>
              <a:lnTo>
                <a:pt x="1072919" y="2664691"/>
              </a:lnTo>
              <a:lnTo>
                <a:pt x="606315" y="2669407"/>
              </a:lnTo>
              <a:lnTo>
                <a:pt x="606315" y="1532527"/>
              </a:lnTo>
              <a:close/>
              <a:moveTo>
                <a:pt x="1681683" y="1139327"/>
              </a:moveTo>
              <a:lnTo>
                <a:pt x="1681683" y="2669400"/>
              </a:lnTo>
              <a:lnTo>
                <a:pt x="1217448" y="2659932"/>
              </a:lnTo>
              <a:lnTo>
                <a:pt x="1217448" y="1603584"/>
              </a:lnTo>
              <a:close/>
              <a:moveTo>
                <a:pt x="2288060" y="528130"/>
              </a:moveTo>
              <a:lnTo>
                <a:pt x="2288060" y="2659908"/>
              </a:lnTo>
              <a:lnTo>
                <a:pt x="1814372" y="2664660"/>
              </a:lnTo>
              <a:lnTo>
                <a:pt x="1814372" y="1001818"/>
              </a:lnTo>
              <a:close/>
              <a:moveTo>
                <a:pt x="1987216" y="0"/>
              </a:moveTo>
              <a:lnTo>
                <a:pt x="2434877" y="0"/>
              </a:lnTo>
              <a:lnTo>
                <a:pt x="2434877" y="461881"/>
              </a:lnTo>
              <a:lnTo>
                <a:pt x="2323528" y="350532"/>
              </a:lnTo>
              <a:lnTo>
                <a:pt x="1141637" y="1532450"/>
              </a:lnTo>
              <a:lnTo>
                <a:pt x="817147" y="1207945"/>
              </a:lnTo>
              <a:lnTo>
                <a:pt x="0" y="2001422"/>
              </a:lnTo>
              <a:lnTo>
                <a:pt x="0" y="1532450"/>
              </a:lnTo>
              <a:lnTo>
                <a:pt x="805303" y="727129"/>
              </a:lnTo>
              <a:lnTo>
                <a:pt x="1146374" y="1068193"/>
              </a:lnTo>
              <a:lnTo>
                <a:pt x="2100904" y="113688"/>
              </a:lnTo>
              <a:close/>
            </a:path>
          </a:pathLst>
        </a:custGeom>
        <a:solidFill>
          <a:sysClr val="window" lastClr="FFFFFF"/>
        </a:solidFill>
        <a:ln w="6350" cap="flat">
          <a:solidFill>
            <a:sysClr val="windowText" lastClr="000000"/>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294340</xdr:colOff>
      <xdr:row>15</xdr:row>
      <xdr:rowOff>29313</xdr:rowOff>
    </xdr:from>
    <xdr:to>
      <xdr:col>0</xdr:col>
      <xdr:colOff>510340</xdr:colOff>
      <xdr:row>16</xdr:row>
      <xdr:rowOff>89468</xdr:rowOff>
    </xdr:to>
    <xdr:sp macro="" textlink="">
      <xdr:nvSpPr>
        <xdr:cNvPr id="35" name="Freeform: Shape 43">
          <a:extLst>
            <a:ext uri="{FF2B5EF4-FFF2-40B4-BE49-F238E27FC236}">
              <a16:creationId xmlns:a16="http://schemas.microsoft.com/office/drawing/2014/main" id="{00000000-0008-0000-0100-000023000000}"/>
            </a:ext>
          </a:extLst>
        </xdr:cNvPr>
        <xdr:cNvSpPr/>
      </xdr:nvSpPr>
      <xdr:spPr>
        <a:xfrm>
          <a:off x="294340" y="3077313"/>
          <a:ext cx="216000" cy="263355"/>
        </a:xfrm>
        <a:custGeom>
          <a:avLst/>
          <a:gdLst>
            <a:gd name="connsiteX0" fmla="*/ 1038471 w 1997598"/>
            <a:gd name="connsiteY0" fmla="*/ 1798798 h 2622542"/>
            <a:gd name="connsiteX1" fmla="*/ 1083642 w 1997598"/>
            <a:gd name="connsiteY1" fmla="*/ 1825060 h 2622542"/>
            <a:gd name="connsiteX2" fmla="*/ 1097649 w 1997598"/>
            <a:gd name="connsiteY2" fmla="*/ 1865328 h 2622542"/>
            <a:gd name="connsiteX3" fmla="*/ 1081191 w 1997598"/>
            <a:gd name="connsiteY3" fmla="*/ 1911202 h 2622542"/>
            <a:gd name="connsiteX4" fmla="*/ 1038471 w 1997598"/>
            <a:gd name="connsiteY4" fmla="*/ 1935364 h 2622542"/>
            <a:gd name="connsiteX5" fmla="*/ 987696 w 1997598"/>
            <a:gd name="connsiteY5" fmla="*/ 1562783 h 2622542"/>
            <a:gd name="connsiteX6" fmla="*/ 987696 w 1997598"/>
            <a:gd name="connsiteY6" fmla="*/ 1683942 h 2622542"/>
            <a:gd name="connsiteX7" fmla="*/ 953730 w 1997598"/>
            <a:gd name="connsiteY7" fmla="*/ 1658378 h 2622542"/>
            <a:gd name="connsiteX8" fmla="*/ 942524 w 1997598"/>
            <a:gd name="connsiteY8" fmla="*/ 1623713 h 2622542"/>
            <a:gd name="connsiteX9" fmla="*/ 954780 w 1997598"/>
            <a:gd name="connsiteY9" fmla="*/ 1586593 h 2622542"/>
            <a:gd name="connsiteX10" fmla="*/ 987696 w 1997598"/>
            <a:gd name="connsiteY10" fmla="*/ 1562783 h 2622542"/>
            <a:gd name="connsiteX11" fmla="*/ 987696 w 1997598"/>
            <a:gd name="connsiteY11" fmla="*/ 1451780 h 2622542"/>
            <a:gd name="connsiteX12" fmla="*/ 987696 w 1997598"/>
            <a:gd name="connsiteY12" fmla="*/ 1486445 h 2622542"/>
            <a:gd name="connsiteX13" fmla="*/ 891050 w 1997598"/>
            <a:gd name="connsiteY13" fmla="*/ 1531616 h 2622542"/>
            <a:gd name="connsiteX14" fmla="*/ 854984 w 1997598"/>
            <a:gd name="connsiteY14" fmla="*/ 1627914 h 2622542"/>
            <a:gd name="connsiteX15" fmla="*/ 886849 w 1997598"/>
            <a:gd name="connsiteY15" fmla="*/ 1724560 h 2622542"/>
            <a:gd name="connsiteX16" fmla="*/ 987696 w 1997598"/>
            <a:gd name="connsiteY16" fmla="*/ 1783738 h 2622542"/>
            <a:gd name="connsiteX17" fmla="*/ 987696 w 1997598"/>
            <a:gd name="connsiteY17" fmla="*/ 1930460 h 2622542"/>
            <a:gd name="connsiteX18" fmla="*/ 953379 w 1997598"/>
            <a:gd name="connsiteY18" fmla="*/ 1901047 h 2622542"/>
            <a:gd name="connsiteX19" fmla="*/ 932368 w 1997598"/>
            <a:gd name="connsiteY19" fmla="*/ 1852725 h 2622542"/>
            <a:gd name="connsiteX20" fmla="*/ 840974 w 1997598"/>
            <a:gd name="connsiteY20" fmla="*/ 1862529 h 2622542"/>
            <a:gd name="connsiteX21" fmla="*/ 889297 w 1997598"/>
            <a:gd name="connsiteY21" fmla="*/ 1969329 h 2622542"/>
            <a:gd name="connsiteX22" fmla="*/ 987696 w 1997598"/>
            <a:gd name="connsiteY22" fmla="*/ 2014502 h 2622542"/>
            <a:gd name="connsiteX23" fmla="*/ 987696 w 1997598"/>
            <a:gd name="connsiteY23" fmla="*/ 2078232 h 2622542"/>
            <a:gd name="connsiteX24" fmla="*/ 1038471 w 1997598"/>
            <a:gd name="connsiteY24" fmla="*/ 2078232 h 2622542"/>
            <a:gd name="connsiteX25" fmla="*/ 1038471 w 1997598"/>
            <a:gd name="connsiteY25" fmla="*/ 2012749 h 2622542"/>
            <a:gd name="connsiteX26" fmla="*/ 1144921 w 1997598"/>
            <a:gd name="connsiteY26" fmla="*/ 1959525 h 2622542"/>
            <a:gd name="connsiteX27" fmla="*/ 1183440 w 1997598"/>
            <a:gd name="connsiteY27" fmla="*/ 1852725 h 2622542"/>
            <a:gd name="connsiteX28" fmla="*/ 1152976 w 1997598"/>
            <a:gd name="connsiteY28" fmla="*/ 1759928 h 2622542"/>
            <a:gd name="connsiteX29" fmla="*/ 1038471 w 1997598"/>
            <a:gd name="connsiteY29" fmla="*/ 1700750 h 2622542"/>
            <a:gd name="connsiteX30" fmla="*/ 1038471 w 1997598"/>
            <a:gd name="connsiteY30" fmla="*/ 1563833 h 2622542"/>
            <a:gd name="connsiteX31" fmla="*/ 1080492 w 1997598"/>
            <a:gd name="connsiteY31" fmla="*/ 1619859 h 2622542"/>
            <a:gd name="connsiteX32" fmla="*/ 1169083 w 1997598"/>
            <a:gd name="connsiteY32" fmla="*/ 1608306 h 2622542"/>
            <a:gd name="connsiteX33" fmla="*/ 1127065 w 1997598"/>
            <a:gd name="connsiteY33" fmla="*/ 1524616 h 2622542"/>
            <a:gd name="connsiteX34" fmla="*/ 1038471 w 1997598"/>
            <a:gd name="connsiteY34" fmla="*/ 1486445 h 2622542"/>
            <a:gd name="connsiteX35" fmla="*/ 1038471 w 1997598"/>
            <a:gd name="connsiteY35" fmla="*/ 1451780 h 2622542"/>
            <a:gd name="connsiteX36" fmla="*/ 1018529 w 1997598"/>
            <a:gd name="connsiteY36" fmla="*/ 1275937 h 2622542"/>
            <a:gd name="connsiteX37" fmla="*/ 1488375 w 1997598"/>
            <a:gd name="connsiteY37" fmla="*/ 1745783 h 2622542"/>
            <a:gd name="connsiteX38" fmla="*/ 1018529 w 1997598"/>
            <a:gd name="connsiteY38" fmla="*/ 2215629 h 2622542"/>
            <a:gd name="connsiteX39" fmla="*/ 548683 w 1997598"/>
            <a:gd name="connsiteY39" fmla="*/ 1745783 h 2622542"/>
            <a:gd name="connsiteX40" fmla="*/ 1018529 w 1997598"/>
            <a:gd name="connsiteY40" fmla="*/ 1275937 h 2622542"/>
            <a:gd name="connsiteX41" fmla="*/ 1018529 w 1997598"/>
            <a:gd name="connsiteY41" fmla="*/ 1183712 h 2622542"/>
            <a:gd name="connsiteX42" fmla="*/ 456458 w 1997598"/>
            <a:gd name="connsiteY42" fmla="*/ 1745783 h 2622542"/>
            <a:gd name="connsiteX43" fmla="*/ 1018529 w 1997598"/>
            <a:gd name="connsiteY43" fmla="*/ 2307854 h 2622542"/>
            <a:gd name="connsiteX44" fmla="*/ 1580600 w 1997598"/>
            <a:gd name="connsiteY44" fmla="*/ 1745783 h 2622542"/>
            <a:gd name="connsiteX45" fmla="*/ 1018529 w 1997598"/>
            <a:gd name="connsiteY45" fmla="*/ 1183712 h 2622542"/>
            <a:gd name="connsiteX46" fmla="*/ 664325 w 1997598"/>
            <a:gd name="connsiteY46" fmla="*/ 707629 h 2622542"/>
            <a:gd name="connsiteX47" fmla="*/ 1314151 w 1997598"/>
            <a:gd name="connsiteY47" fmla="*/ 707629 h 2622542"/>
            <a:gd name="connsiteX48" fmla="*/ 1997478 w 1997598"/>
            <a:gd name="connsiteY48" fmla="*/ 1799581 h 2622542"/>
            <a:gd name="connsiteX49" fmla="*/ 1568718 w 1997598"/>
            <a:gd name="connsiteY49" fmla="*/ 2622542 h 2622542"/>
            <a:gd name="connsiteX50" fmla="*/ 429850 w 1997598"/>
            <a:gd name="connsiteY50" fmla="*/ 2615846 h 2622542"/>
            <a:gd name="connsiteX51" fmla="*/ 1100 w 1997598"/>
            <a:gd name="connsiteY51" fmla="*/ 1792886 h 2622542"/>
            <a:gd name="connsiteX52" fmla="*/ 664325 w 1997598"/>
            <a:gd name="connsiteY52" fmla="*/ 707629 h 2622542"/>
            <a:gd name="connsiteX53" fmla="*/ 986902 w 1997598"/>
            <a:gd name="connsiteY53" fmla="*/ 180 h 2622542"/>
            <a:gd name="connsiteX54" fmla="*/ 1253856 w 1997598"/>
            <a:gd name="connsiteY54" fmla="*/ 231858 h 2622542"/>
            <a:gd name="connsiteX55" fmla="*/ 1602233 w 1997598"/>
            <a:gd name="connsiteY55" fmla="*/ 211770 h 2622542"/>
            <a:gd name="connsiteX56" fmla="*/ 1307453 w 1997598"/>
            <a:gd name="connsiteY56" fmla="*/ 647228 h 2622542"/>
            <a:gd name="connsiteX57" fmla="*/ 1253841 w 1997598"/>
            <a:gd name="connsiteY57" fmla="*/ 646050 h 2622542"/>
            <a:gd name="connsiteX58" fmla="*/ 1307042 w 1997598"/>
            <a:gd name="connsiteY58" fmla="*/ 424909 h 2622542"/>
            <a:gd name="connsiteX59" fmla="*/ 1275900 w 1997598"/>
            <a:gd name="connsiteY59" fmla="*/ 369830 h 2622542"/>
            <a:gd name="connsiteX60" fmla="*/ 1275900 w 1997598"/>
            <a:gd name="connsiteY60" fmla="*/ 369830 h 2622542"/>
            <a:gd name="connsiteX61" fmla="*/ 1224136 w 1997598"/>
            <a:gd name="connsiteY61" fmla="*/ 400473 h 2622542"/>
            <a:gd name="connsiteX62" fmla="*/ 1165526 w 1997598"/>
            <a:gd name="connsiteY62" fmla="*/ 644109 h 2622542"/>
            <a:gd name="connsiteX63" fmla="*/ 1041982 w 1997598"/>
            <a:gd name="connsiteY63" fmla="*/ 641396 h 2622542"/>
            <a:gd name="connsiteX64" fmla="*/ 1041017 w 1997598"/>
            <a:gd name="connsiteY64" fmla="*/ 583209 h 2622542"/>
            <a:gd name="connsiteX65" fmla="*/ 997569 w 1997598"/>
            <a:gd name="connsiteY65" fmla="*/ 537907 h 2622542"/>
            <a:gd name="connsiteX66" fmla="*/ 997570 w 1997598"/>
            <a:gd name="connsiteY66" fmla="*/ 537908 h 2622542"/>
            <a:gd name="connsiteX67" fmla="*/ 955600 w 1997598"/>
            <a:gd name="connsiteY67" fmla="*/ 581732 h 2622542"/>
            <a:gd name="connsiteX68" fmla="*/ 956559 w 1997598"/>
            <a:gd name="connsiteY68" fmla="*/ 639518 h 2622542"/>
            <a:gd name="connsiteX69" fmla="*/ 845567 w 1997598"/>
            <a:gd name="connsiteY69" fmla="*/ 637080 h 2622542"/>
            <a:gd name="connsiteX70" fmla="*/ 799761 w 1997598"/>
            <a:gd name="connsiteY70" fmla="*/ 506078 h 2622542"/>
            <a:gd name="connsiteX71" fmla="*/ 744896 w 1997598"/>
            <a:gd name="connsiteY71" fmla="*/ 477778 h 2622542"/>
            <a:gd name="connsiteX72" fmla="*/ 744897 w 1997598"/>
            <a:gd name="connsiteY72" fmla="*/ 477779 h 2622542"/>
            <a:gd name="connsiteX73" fmla="*/ 719619 w 1997598"/>
            <a:gd name="connsiteY73" fmla="*/ 534100 h 2622542"/>
            <a:gd name="connsiteX74" fmla="*/ 754930 w 1997598"/>
            <a:gd name="connsiteY74" fmla="*/ 635089 h 2622542"/>
            <a:gd name="connsiteX75" fmla="*/ 697819 w 1997598"/>
            <a:gd name="connsiteY75" fmla="*/ 633834 h 2622542"/>
            <a:gd name="connsiteX76" fmla="*/ 382954 w 1997598"/>
            <a:gd name="connsiteY76" fmla="*/ 198378 h 2622542"/>
            <a:gd name="connsiteX77" fmla="*/ 764810 w 1997598"/>
            <a:gd name="connsiteY77" fmla="*/ 218466 h 2622542"/>
            <a:gd name="connsiteX78" fmla="*/ 986902 w 1997598"/>
            <a:gd name="connsiteY78" fmla="*/ 180 h 26225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Lst>
          <a:rect l="l" t="t" r="r" b="b"/>
          <a:pathLst>
            <a:path w="1997598" h="2622542">
              <a:moveTo>
                <a:pt x="1038471" y="1798798"/>
              </a:moveTo>
              <a:cubicBezTo>
                <a:pt x="1059481" y="1804868"/>
                <a:pt x="1074537" y="1813621"/>
                <a:pt x="1083642" y="1825060"/>
              </a:cubicBezTo>
              <a:cubicBezTo>
                <a:pt x="1092981" y="1836266"/>
                <a:pt x="1097649" y="1849687"/>
                <a:pt x="1097649" y="1865328"/>
              </a:cubicBezTo>
              <a:cubicBezTo>
                <a:pt x="1097649" y="1882836"/>
                <a:pt x="1092164" y="1898129"/>
                <a:pt x="1081191" y="1911202"/>
              </a:cubicBezTo>
              <a:cubicBezTo>
                <a:pt x="1070218" y="1924039"/>
                <a:pt x="1055979" y="1932094"/>
                <a:pt x="1038471" y="1935364"/>
              </a:cubicBezTo>
              <a:close/>
              <a:moveTo>
                <a:pt x="987696" y="1562783"/>
              </a:moveTo>
              <a:lnTo>
                <a:pt x="987696" y="1683942"/>
              </a:lnTo>
              <a:cubicBezTo>
                <a:pt x="972522" y="1677407"/>
                <a:pt x="961201" y="1668886"/>
                <a:pt x="953730" y="1658378"/>
              </a:cubicBezTo>
              <a:cubicBezTo>
                <a:pt x="946260" y="1647642"/>
                <a:pt x="942524" y="1636085"/>
                <a:pt x="942524" y="1623713"/>
              </a:cubicBezTo>
              <a:cubicBezTo>
                <a:pt x="942524" y="1610174"/>
                <a:pt x="946611" y="1597799"/>
                <a:pt x="954780" y="1586593"/>
              </a:cubicBezTo>
              <a:cubicBezTo>
                <a:pt x="962951" y="1575386"/>
                <a:pt x="973923" y="1567450"/>
                <a:pt x="987696" y="1562783"/>
              </a:cubicBezTo>
              <a:close/>
              <a:moveTo>
                <a:pt x="987696" y="1451780"/>
              </a:moveTo>
              <a:lnTo>
                <a:pt x="987696" y="1486445"/>
              </a:lnTo>
              <a:cubicBezTo>
                <a:pt x="947543" y="1490413"/>
                <a:pt x="915327" y="1505473"/>
                <a:pt x="891050" y="1531616"/>
              </a:cubicBezTo>
              <a:cubicBezTo>
                <a:pt x="867004" y="1557531"/>
                <a:pt x="854984" y="1589629"/>
                <a:pt x="854984" y="1627914"/>
              </a:cubicBezTo>
              <a:cubicBezTo>
                <a:pt x="854984" y="1665731"/>
                <a:pt x="865606" y="1697947"/>
                <a:pt x="886849" y="1724560"/>
              </a:cubicBezTo>
              <a:cubicBezTo>
                <a:pt x="908326" y="1750941"/>
                <a:pt x="941940" y="1770669"/>
                <a:pt x="987696" y="1783738"/>
              </a:cubicBezTo>
              <a:lnTo>
                <a:pt x="987696" y="1930460"/>
              </a:lnTo>
              <a:cubicBezTo>
                <a:pt x="975088" y="1924391"/>
                <a:pt x="963653" y="1914587"/>
                <a:pt x="953379" y="1901047"/>
              </a:cubicBezTo>
              <a:cubicBezTo>
                <a:pt x="943109" y="1887507"/>
                <a:pt x="936104" y="1871397"/>
                <a:pt x="932368" y="1852725"/>
              </a:cubicBezTo>
              <a:lnTo>
                <a:pt x="840974" y="1862529"/>
              </a:lnTo>
              <a:cubicBezTo>
                <a:pt x="847979" y="1908518"/>
                <a:pt x="864085" y="1944119"/>
                <a:pt x="889297" y="1969329"/>
              </a:cubicBezTo>
              <a:cubicBezTo>
                <a:pt x="914509" y="1994541"/>
                <a:pt x="947310" y="2009597"/>
                <a:pt x="987696" y="2014502"/>
              </a:cubicBezTo>
              <a:lnTo>
                <a:pt x="987696" y="2078232"/>
              </a:lnTo>
              <a:lnTo>
                <a:pt x="1038471" y="2078232"/>
              </a:lnTo>
              <a:lnTo>
                <a:pt x="1038471" y="2012749"/>
              </a:lnTo>
              <a:cubicBezTo>
                <a:pt x="1083994" y="2006214"/>
                <a:pt x="1119476" y="1988473"/>
                <a:pt x="1144921" y="1959525"/>
              </a:cubicBezTo>
              <a:cubicBezTo>
                <a:pt x="1170602" y="1930578"/>
                <a:pt x="1183440" y="1894978"/>
                <a:pt x="1183440" y="1852725"/>
              </a:cubicBezTo>
              <a:cubicBezTo>
                <a:pt x="1183440" y="1814904"/>
                <a:pt x="1173288" y="1783971"/>
                <a:pt x="1152976" y="1759928"/>
              </a:cubicBezTo>
              <a:cubicBezTo>
                <a:pt x="1132665" y="1735648"/>
                <a:pt x="1094497" y="1715925"/>
                <a:pt x="1038471" y="1700750"/>
              </a:cubicBezTo>
              <a:lnTo>
                <a:pt x="1038471" y="1563833"/>
              </a:lnTo>
              <a:cubicBezTo>
                <a:pt x="1061116" y="1573638"/>
                <a:pt x="1075122" y="1592315"/>
                <a:pt x="1080492" y="1619859"/>
              </a:cubicBezTo>
              <a:lnTo>
                <a:pt x="1169083" y="1608306"/>
              </a:lnTo>
              <a:cubicBezTo>
                <a:pt x="1163013" y="1573286"/>
                <a:pt x="1149008" y="1545389"/>
                <a:pt x="1127065" y="1524616"/>
              </a:cubicBezTo>
              <a:cubicBezTo>
                <a:pt x="1105119" y="1503605"/>
                <a:pt x="1075587" y="1490883"/>
                <a:pt x="1038471" y="1486445"/>
              </a:cubicBezTo>
              <a:lnTo>
                <a:pt x="1038471" y="1451780"/>
              </a:lnTo>
              <a:close/>
              <a:moveTo>
                <a:pt x="1018529" y="1275937"/>
              </a:moveTo>
              <a:cubicBezTo>
                <a:pt x="1278018" y="1275937"/>
                <a:pt x="1488375" y="1486294"/>
                <a:pt x="1488375" y="1745783"/>
              </a:cubicBezTo>
              <a:cubicBezTo>
                <a:pt x="1488375" y="2005272"/>
                <a:pt x="1278018" y="2215629"/>
                <a:pt x="1018529" y="2215629"/>
              </a:cubicBezTo>
              <a:cubicBezTo>
                <a:pt x="759040" y="2215629"/>
                <a:pt x="548683" y="2005272"/>
                <a:pt x="548683" y="1745783"/>
              </a:cubicBezTo>
              <a:cubicBezTo>
                <a:pt x="548683" y="1486294"/>
                <a:pt x="759040" y="1275937"/>
                <a:pt x="1018529" y="1275937"/>
              </a:cubicBezTo>
              <a:close/>
              <a:moveTo>
                <a:pt x="1018529" y="1183712"/>
              </a:moveTo>
              <a:cubicBezTo>
                <a:pt x="708106" y="1183712"/>
                <a:pt x="456458" y="1435360"/>
                <a:pt x="456458" y="1745783"/>
              </a:cubicBezTo>
              <a:cubicBezTo>
                <a:pt x="456458" y="2056206"/>
                <a:pt x="708106" y="2307854"/>
                <a:pt x="1018529" y="2307854"/>
              </a:cubicBezTo>
              <a:cubicBezTo>
                <a:pt x="1328952" y="2307854"/>
                <a:pt x="1580600" y="2056206"/>
                <a:pt x="1580600" y="1745783"/>
              </a:cubicBezTo>
              <a:cubicBezTo>
                <a:pt x="1580600" y="1435360"/>
                <a:pt x="1328952" y="1183712"/>
                <a:pt x="1018529" y="1183712"/>
              </a:cubicBezTo>
              <a:close/>
              <a:moveTo>
                <a:pt x="664325" y="707629"/>
              </a:moveTo>
              <a:lnTo>
                <a:pt x="1314151" y="707629"/>
              </a:lnTo>
              <a:cubicBezTo>
                <a:pt x="1314151" y="707629"/>
                <a:pt x="2008098" y="1167205"/>
                <a:pt x="1997478" y="1799581"/>
              </a:cubicBezTo>
              <a:cubicBezTo>
                <a:pt x="1985742" y="2498450"/>
                <a:pt x="1568718" y="2622542"/>
                <a:pt x="1568718" y="2622542"/>
              </a:cubicBezTo>
              <a:lnTo>
                <a:pt x="429850" y="2615846"/>
              </a:lnTo>
              <a:cubicBezTo>
                <a:pt x="429850" y="2615846"/>
                <a:pt x="-25234" y="2404706"/>
                <a:pt x="1100" y="1792886"/>
              </a:cubicBezTo>
              <a:cubicBezTo>
                <a:pt x="27107" y="1188661"/>
                <a:pt x="664325" y="707629"/>
                <a:pt x="664325" y="707629"/>
              </a:cubicBezTo>
              <a:close/>
              <a:moveTo>
                <a:pt x="986902" y="180"/>
              </a:moveTo>
              <a:cubicBezTo>
                <a:pt x="1109577" y="-4712"/>
                <a:pt x="1237396" y="90440"/>
                <a:pt x="1253856" y="231858"/>
              </a:cubicBezTo>
              <a:cubicBezTo>
                <a:pt x="1388526" y="103410"/>
                <a:pt x="1501498" y="170515"/>
                <a:pt x="1602233" y="211770"/>
              </a:cubicBezTo>
              <a:lnTo>
                <a:pt x="1307453" y="647228"/>
              </a:lnTo>
              <a:lnTo>
                <a:pt x="1253841" y="646050"/>
              </a:lnTo>
              <a:lnTo>
                <a:pt x="1307042" y="424909"/>
              </a:lnTo>
              <a:cubicBezTo>
                <a:pt x="1312735" y="401236"/>
                <a:pt x="1298793" y="376577"/>
                <a:pt x="1275900" y="369830"/>
              </a:cubicBezTo>
              <a:lnTo>
                <a:pt x="1275900" y="369830"/>
              </a:lnTo>
              <a:cubicBezTo>
                <a:pt x="1253009" y="363080"/>
                <a:pt x="1229832" y="376802"/>
                <a:pt x="1224136" y="400473"/>
              </a:cubicBezTo>
              <a:lnTo>
                <a:pt x="1165526" y="644109"/>
              </a:lnTo>
              <a:lnTo>
                <a:pt x="1041982" y="641396"/>
              </a:lnTo>
              <a:lnTo>
                <a:pt x="1041017" y="583209"/>
              </a:lnTo>
              <a:cubicBezTo>
                <a:pt x="1040609" y="558598"/>
                <a:pt x="1021158" y="538315"/>
                <a:pt x="997569" y="537907"/>
              </a:cubicBezTo>
              <a:lnTo>
                <a:pt x="997570" y="537908"/>
              </a:lnTo>
              <a:cubicBezTo>
                <a:pt x="973984" y="537499"/>
                <a:pt x="955192" y="557122"/>
                <a:pt x="955600" y="581732"/>
              </a:cubicBezTo>
              <a:lnTo>
                <a:pt x="956559" y="639518"/>
              </a:lnTo>
              <a:lnTo>
                <a:pt x="845567" y="637080"/>
              </a:lnTo>
              <a:lnTo>
                <a:pt x="799761" y="506078"/>
              </a:lnTo>
              <a:cubicBezTo>
                <a:pt x="791590" y="482710"/>
                <a:pt x="767027" y="470040"/>
                <a:pt x="744896" y="477778"/>
              </a:cubicBezTo>
              <a:lnTo>
                <a:pt x="744897" y="477779"/>
              </a:lnTo>
              <a:cubicBezTo>
                <a:pt x="722766" y="485517"/>
                <a:pt x="711450" y="510735"/>
                <a:pt x="719619" y="534100"/>
              </a:cubicBezTo>
              <a:lnTo>
                <a:pt x="754930" y="635089"/>
              </a:lnTo>
              <a:lnTo>
                <a:pt x="697819" y="633834"/>
              </a:lnTo>
              <a:lnTo>
                <a:pt x="382954" y="198378"/>
              </a:lnTo>
              <a:cubicBezTo>
                <a:pt x="500883" y="146647"/>
                <a:pt x="611231" y="145422"/>
                <a:pt x="764810" y="218466"/>
              </a:cubicBezTo>
              <a:cubicBezTo>
                <a:pt x="799186" y="68313"/>
                <a:pt x="891489" y="3986"/>
                <a:pt x="986902" y="180"/>
              </a:cubicBezTo>
              <a:close/>
            </a:path>
          </a:pathLst>
        </a:custGeom>
        <a:solidFill>
          <a:sysClr val="window" lastClr="FFFFFF"/>
        </a:solidFill>
        <a:ln w="18002" cap="flat">
          <a:noFill/>
          <a:prstDash val="solid"/>
          <a:miter/>
        </a:ln>
        <a:effectLst>
          <a:outerShdw blurRad="50800" dist="38100" dir="2700000" algn="tl" rotWithShape="0">
            <a:prstClr val="black">
              <a:alpha val="40000"/>
            </a:prstClr>
          </a:outerShdw>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276340</xdr:colOff>
      <xdr:row>20</xdr:row>
      <xdr:rowOff>45917</xdr:rowOff>
    </xdr:from>
    <xdr:to>
      <xdr:col>0</xdr:col>
      <xdr:colOff>528340</xdr:colOff>
      <xdr:row>21</xdr:row>
      <xdr:rowOff>106073</xdr:rowOff>
    </xdr:to>
    <xdr:sp macro="" textlink="">
      <xdr:nvSpPr>
        <xdr:cNvPr id="36" name="Freeform: Shape 44">
          <a:extLst>
            <a:ext uri="{FF2B5EF4-FFF2-40B4-BE49-F238E27FC236}">
              <a16:creationId xmlns:a16="http://schemas.microsoft.com/office/drawing/2014/main" id="{00000000-0008-0000-0100-000024000000}"/>
            </a:ext>
          </a:extLst>
        </xdr:cNvPr>
        <xdr:cNvSpPr/>
      </xdr:nvSpPr>
      <xdr:spPr>
        <a:xfrm>
          <a:off x="276340" y="4109917"/>
          <a:ext cx="252000" cy="263356"/>
        </a:xfrm>
        <a:custGeom>
          <a:avLst/>
          <a:gdLst>
            <a:gd name="connsiteX0" fmla="*/ 1845168 w 2847163"/>
            <a:gd name="connsiteY0" fmla="*/ 1750443 h 2759416"/>
            <a:gd name="connsiteX1" fmla="*/ 2309388 w 2847163"/>
            <a:gd name="connsiteY1" fmla="*/ 2214663 h 2759416"/>
            <a:gd name="connsiteX2" fmla="*/ 2318856 w 2847163"/>
            <a:gd name="connsiteY2" fmla="*/ 2759416 h 2759416"/>
            <a:gd name="connsiteX3" fmla="*/ 1845168 w 2847163"/>
            <a:gd name="connsiteY3" fmla="*/ 2759416 h 2759416"/>
            <a:gd name="connsiteX4" fmla="*/ 1518242 w 2847163"/>
            <a:gd name="connsiteY4" fmla="*/ 1423550 h 2759416"/>
            <a:gd name="connsiteX5" fmla="*/ 1717214 w 2847163"/>
            <a:gd name="connsiteY5" fmla="*/ 1622523 h 2759416"/>
            <a:gd name="connsiteX6" fmla="*/ 1717214 w 2847163"/>
            <a:gd name="connsiteY6" fmla="*/ 2759403 h 2759416"/>
            <a:gd name="connsiteX7" fmla="*/ 1250617 w 2847163"/>
            <a:gd name="connsiteY7" fmla="*/ 2754687 h 2759416"/>
            <a:gd name="connsiteX8" fmla="*/ 1250617 w 2847163"/>
            <a:gd name="connsiteY8" fmla="*/ 1691210 h 2759416"/>
            <a:gd name="connsiteX9" fmla="*/ 641835 w 2847163"/>
            <a:gd name="connsiteY9" fmla="*/ 1229322 h 2759416"/>
            <a:gd name="connsiteX10" fmla="*/ 1106070 w 2847163"/>
            <a:gd name="connsiteY10" fmla="*/ 1693578 h 2759416"/>
            <a:gd name="connsiteX11" fmla="*/ 1106070 w 2847163"/>
            <a:gd name="connsiteY11" fmla="*/ 2749927 h 2759416"/>
            <a:gd name="connsiteX12" fmla="*/ 641835 w 2847163"/>
            <a:gd name="connsiteY12" fmla="*/ 2759395 h 2759416"/>
            <a:gd name="connsiteX13" fmla="*/ 35444 w 2847163"/>
            <a:gd name="connsiteY13" fmla="*/ 618126 h 2759416"/>
            <a:gd name="connsiteX14" fmla="*/ 509154 w 2847163"/>
            <a:gd name="connsiteY14" fmla="*/ 1091814 h 2759416"/>
            <a:gd name="connsiteX15" fmla="*/ 509154 w 2847163"/>
            <a:gd name="connsiteY15" fmla="*/ 2754655 h 2759416"/>
            <a:gd name="connsiteX16" fmla="*/ 35444 w 2847163"/>
            <a:gd name="connsiteY16" fmla="*/ 2749904 h 2759416"/>
            <a:gd name="connsiteX17" fmla="*/ 0 w 2847163"/>
            <a:gd name="connsiteY17" fmla="*/ 0 h 2759416"/>
            <a:gd name="connsiteX18" fmla="*/ 1177165 w 2847163"/>
            <a:gd name="connsiteY18" fmla="*/ 1158192 h 2759416"/>
            <a:gd name="connsiteX19" fmla="*/ 1518233 w 2847163"/>
            <a:gd name="connsiteY19" fmla="*/ 817128 h 2759416"/>
            <a:gd name="connsiteX20" fmla="*/ 2746509 w 2847163"/>
            <a:gd name="connsiteY20" fmla="*/ 2007744 h 2759416"/>
            <a:gd name="connsiteX21" fmla="*/ 2847163 w 2847163"/>
            <a:gd name="connsiteY21" fmla="*/ 1910921 h 2759416"/>
            <a:gd name="connsiteX22" fmla="*/ 2847163 w 2847163"/>
            <a:gd name="connsiteY22" fmla="*/ 2340365 h 2759416"/>
            <a:gd name="connsiteX23" fmla="*/ 2400726 w 2847163"/>
            <a:gd name="connsiteY23" fmla="*/ 2340365 h 2759416"/>
            <a:gd name="connsiteX24" fmla="*/ 2494986 w 2847163"/>
            <a:gd name="connsiteY24" fmla="*/ 2249694 h 2759416"/>
            <a:gd name="connsiteX25" fmla="*/ 1506389 w 2847163"/>
            <a:gd name="connsiteY25" fmla="*/ 1297944 h 2759416"/>
            <a:gd name="connsiteX26" fmla="*/ 1181903 w 2847163"/>
            <a:gd name="connsiteY26" fmla="*/ 1622449 h 2759416"/>
            <a:gd name="connsiteX27" fmla="*/ 0 w 2847163"/>
            <a:gd name="connsiteY27" fmla="*/ 440532 h 275941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2847163" h="2759416">
              <a:moveTo>
                <a:pt x="1845168" y="1750443"/>
              </a:moveTo>
              <a:lnTo>
                <a:pt x="2309388" y="2214663"/>
              </a:lnTo>
              <a:lnTo>
                <a:pt x="2318856" y="2759416"/>
              </a:lnTo>
              <a:lnTo>
                <a:pt x="1845168" y="2759416"/>
              </a:lnTo>
              <a:close/>
              <a:moveTo>
                <a:pt x="1518242" y="1423550"/>
              </a:moveTo>
              <a:lnTo>
                <a:pt x="1717214" y="1622523"/>
              </a:lnTo>
              <a:lnTo>
                <a:pt x="1717214" y="2759403"/>
              </a:lnTo>
              <a:lnTo>
                <a:pt x="1250617" y="2754687"/>
              </a:lnTo>
              <a:lnTo>
                <a:pt x="1250617" y="1691210"/>
              </a:lnTo>
              <a:close/>
              <a:moveTo>
                <a:pt x="641835" y="1229322"/>
              </a:moveTo>
              <a:lnTo>
                <a:pt x="1106070" y="1693578"/>
              </a:lnTo>
              <a:lnTo>
                <a:pt x="1106070" y="2749927"/>
              </a:lnTo>
              <a:lnTo>
                <a:pt x="641835" y="2759395"/>
              </a:lnTo>
              <a:close/>
              <a:moveTo>
                <a:pt x="35444" y="618126"/>
              </a:moveTo>
              <a:lnTo>
                <a:pt x="509154" y="1091814"/>
              </a:lnTo>
              <a:lnTo>
                <a:pt x="509154" y="2754655"/>
              </a:lnTo>
              <a:lnTo>
                <a:pt x="35444" y="2749904"/>
              </a:lnTo>
              <a:close/>
              <a:moveTo>
                <a:pt x="0" y="0"/>
              </a:moveTo>
              <a:lnTo>
                <a:pt x="1177165" y="1158192"/>
              </a:lnTo>
              <a:lnTo>
                <a:pt x="1518233" y="817128"/>
              </a:lnTo>
              <a:lnTo>
                <a:pt x="2746509" y="2007744"/>
              </a:lnTo>
              <a:lnTo>
                <a:pt x="2847163" y="1910921"/>
              </a:lnTo>
              <a:lnTo>
                <a:pt x="2847163" y="2340365"/>
              </a:lnTo>
              <a:lnTo>
                <a:pt x="2400726" y="2340365"/>
              </a:lnTo>
              <a:lnTo>
                <a:pt x="2494986" y="2249694"/>
              </a:lnTo>
              <a:lnTo>
                <a:pt x="1506389" y="1297944"/>
              </a:lnTo>
              <a:lnTo>
                <a:pt x="1181903" y="1622449"/>
              </a:lnTo>
              <a:lnTo>
                <a:pt x="0" y="440532"/>
              </a:lnTo>
              <a:close/>
            </a:path>
          </a:pathLst>
        </a:custGeom>
        <a:solidFill>
          <a:sysClr val="window" lastClr="FFFFFF"/>
        </a:solidFill>
        <a:ln w="6350" cap="flat">
          <a:solidFill>
            <a:sysClr val="windowText" lastClr="000000"/>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276340</xdr:colOff>
      <xdr:row>22</xdr:row>
      <xdr:rowOff>161497</xdr:rowOff>
    </xdr:from>
    <xdr:to>
      <xdr:col>0</xdr:col>
      <xdr:colOff>528340</xdr:colOff>
      <xdr:row>24</xdr:row>
      <xdr:rowOff>18453</xdr:rowOff>
    </xdr:to>
    <xdr:sp macro="" textlink="">
      <xdr:nvSpPr>
        <xdr:cNvPr id="37" name="Freeform: Shape 45">
          <a:extLst>
            <a:ext uri="{FF2B5EF4-FFF2-40B4-BE49-F238E27FC236}">
              <a16:creationId xmlns:a16="http://schemas.microsoft.com/office/drawing/2014/main" id="{00000000-0008-0000-0100-000025000000}"/>
            </a:ext>
          </a:extLst>
        </xdr:cNvPr>
        <xdr:cNvSpPr/>
      </xdr:nvSpPr>
      <xdr:spPr>
        <a:xfrm>
          <a:off x="276340" y="4631897"/>
          <a:ext cx="252000" cy="263356"/>
        </a:xfrm>
        <a:custGeom>
          <a:avLst/>
          <a:gdLst>
            <a:gd name="connsiteX0" fmla="*/ 639778 w 4884414"/>
            <a:gd name="connsiteY0" fmla="*/ 2912647 h 4858772"/>
            <a:gd name="connsiteX1" fmla="*/ 1031685 w 4884414"/>
            <a:gd name="connsiteY1" fmla="*/ 4714736 h 4858772"/>
            <a:gd name="connsiteX2" fmla="*/ 385208 w 4884414"/>
            <a:gd name="connsiteY2" fmla="*/ 4858772 h 4858772"/>
            <a:gd name="connsiteX3" fmla="*/ 0 w 4884414"/>
            <a:gd name="connsiteY3" fmla="*/ 3053299 h 4858772"/>
            <a:gd name="connsiteX4" fmla="*/ 4607863 w 4884414"/>
            <a:gd name="connsiteY4" fmla="*/ 2902441 h 4858772"/>
            <a:gd name="connsiteX5" fmla="*/ 4789111 w 4884414"/>
            <a:gd name="connsiteY5" fmla="*/ 2958353 h 4858772"/>
            <a:gd name="connsiteX6" fmla="*/ 4811396 w 4884414"/>
            <a:gd name="connsiteY6" fmla="*/ 3250422 h 4858772"/>
            <a:gd name="connsiteX7" fmla="*/ 2814330 w 4884414"/>
            <a:gd name="connsiteY7" fmla="*/ 4524139 h 4858772"/>
            <a:gd name="connsiteX8" fmla="*/ 1445303 w 4884414"/>
            <a:gd name="connsiteY8" fmla="*/ 4391479 h 4858772"/>
            <a:gd name="connsiteX9" fmla="*/ 1161080 w 4884414"/>
            <a:gd name="connsiteY9" fmla="*/ 4453075 h 4858772"/>
            <a:gd name="connsiteX10" fmla="*/ 895802 w 4884414"/>
            <a:gd name="connsiteY10" fmla="*/ 3202470 h 4858772"/>
            <a:gd name="connsiteX11" fmla="*/ 1492676 w 4884414"/>
            <a:gd name="connsiteY11" fmla="*/ 3046158 h 4858772"/>
            <a:gd name="connsiteX12" fmla="*/ 2495226 w 4884414"/>
            <a:gd name="connsiteY12" fmla="*/ 3450762 h 4858772"/>
            <a:gd name="connsiteX13" fmla="*/ 3321174 w 4884414"/>
            <a:gd name="connsiteY13" fmla="*/ 3055626 h 4858772"/>
            <a:gd name="connsiteX14" fmla="*/ 3742807 w 4884414"/>
            <a:gd name="connsiteY14" fmla="*/ 3103002 h 4858772"/>
            <a:gd name="connsiteX15" fmla="*/ 3723259 w 4884414"/>
            <a:gd name="connsiteY15" fmla="*/ 3443274 h 4858772"/>
            <a:gd name="connsiteX16" fmla="*/ 2513442 w 4884414"/>
            <a:gd name="connsiteY16" fmla="*/ 4087494 h 4858772"/>
            <a:gd name="connsiteX17" fmla="*/ 1386497 w 4884414"/>
            <a:gd name="connsiteY17" fmla="*/ 3877686 h 4858772"/>
            <a:gd name="connsiteX18" fmla="*/ 1345824 w 4884414"/>
            <a:gd name="connsiteY18" fmla="*/ 4040946 h 4858772"/>
            <a:gd name="connsiteX19" fmla="*/ 2583822 w 4884414"/>
            <a:gd name="connsiteY19" fmla="*/ 4264146 h 4858772"/>
            <a:gd name="connsiteX20" fmla="*/ 3918055 w 4884414"/>
            <a:gd name="connsiteY20" fmla="*/ 3524598 h 4858772"/>
            <a:gd name="connsiteX21" fmla="*/ 4020079 w 4884414"/>
            <a:gd name="connsiteY21" fmla="*/ 3359394 h 4858772"/>
            <a:gd name="connsiteX22" fmla="*/ 3984367 w 4884414"/>
            <a:gd name="connsiteY22" fmla="*/ 3155094 h 4858772"/>
            <a:gd name="connsiteX23" fmla="*/ 4420327 w 4884414"/>
            <a:gd name="connsiteY23" fmla="*/ 2932794 h 4858772"/>
            <a:gd name="connsiteX24" fmla="*/ 4607863 w 4884414"/>
            <a:gd name="connsiteY24" fmla="*/ 2902441 h 4858772"/>
            <a:gd name="connsiteX25" fmla="*/ 1433727 w 4884414"/>
            <a:gd name="connsiteY25" fmla="*/ 2168924 h 4858772"/>
            <a:gd name="connsiteX26" fmla="*/ 1849081 w 4884414"/>
            <a:gd name="connsiteY26" fmla="*/ 2168924 h 4858772"/>
            <a:gd name="connsiteX27" fmla="*/ 1849081 w 4884414"/>
            <a:gd name="connsiteY27" fmla="*/ 2845548 h 4858772"/>
            <a:gd name="connsiteX28" fmla="*/ 1433727 w 4884414"/>
            <a:gd name="connsiteY28" fmla="*/ 2845548 h 4858772"/>
            <a:gd name="connsiteX29" fmla="*/ 2941179 w 4884414"/>
            <a:gd name="connsiteY29" fmla="*/ 2004757 h 4858772"/>
            <a:gd name="connsiteX30" fmla="*/ 3359881 w 4884414"/>
            <a:gd name="connsiteY30" fmla="*/ 2004757 h 4858772"/>
            <a:gd name="connsiteX31" fmla="*/ 3359881 w 4884414"/>
            <a:gd name="connsiteY31" fmla="*/ 2842165 h 4858772"/>
            <a:gd name="connsiteX32" fmla="*/ 2941179 w 4884414"/>
            <a:gd name="connsiteY32" fmla="*/ 2842165 h 4858772"/>
            <a:gd name="connsiteX33" fmla="*/ 2187461 w 4884414"/>
            <a:gd name="connsiteY33" fmla="*/ 1666453 h 4858772"/>
            <a:gd name="connsiteX34" fmla="*/ 2609514 w 4884414"/>
            <a:gd name="connsiteY34" fmla="*/ 1666453 h 4858772"/>
            <a:gd name="connsiteX35" fmla="*/ 2609514 w 4884414"/>
            <a:gd name="connsiteY35" fmla="*/ 2858921 h 4858772"/>
            <a:gd name="connsiteX36" fmla="*/ 2187461 w 4884414"/>
            <a:gd name="connsiteY36" fmla="*/ 2858921 h 4858772"/>
            <a:gd name="connsiteX37" fmla="*/ 3691550 w 4884414"/>
            <a:gd name="connsiteY37" fmla="*/ 1488894 h 4858772"/>
            <a:gd name="connsiteX38" fmla="*/ 4110252 w 4884414"/>
            <a:gd name="connsiteY38" fmla="*/ 1488894 h 4858772"/>
            <a:gd name="connsiteX39" fmla="*/ 4110252 w 4884414"/>
            <a:gd name="connsiteY39" fmla="*/ 2852193 h 4858772"/>
            <a:gd name="connsiteX40" fmla="*/ 3691550 w 4884414"/>
            <a:gd name="connsiteY40" fmla="*/ 2852193 h 4858772"/>
            <a:gd name="connsiteX41" fmla="*/ 4884414 w 4884414"/>
            <a:gd name="connsiteY41" fmla="*/ 0 h 4858772"/>
            <a:gd name="connsiteX42" fmla="*/ 4879661 w 4884414"/>
            <a:gd name="connsiteY42" fmla="*/ 497394 h 4858772"/>
            <a:gd name="connsiteX43" fmla="*/ 4718597 w 4884414"/>
            <a:gd name="connsiteY43" fmla="*/ 497394 h 4858772"/>
            <a:gd name="connsiteX44" fmla="*/ 4713882 w 4884414"/>
            <a:gd name="connsiteY44" fmla="*/ 274752 h 4858772"/>
            <a:gd name="connsiteX45" fmla="*/ 3775937 w 4884414"/>
            <a:gd name="connsiteY45" fmla="*/ 1198498 h 4858772"/>
            <a:gd name="connsiteX46" fmla="*/ 3041680 w 4884414"/>
            <a:gd name="connsiteY46" fmla="*/ 454759 h 4858772"/>
            <a:gd name="connsiteX47" fmla="*/ 2027937 w 4884414"/>
            <a:gd name="connsiteY47" fmla="*/ 1430590 h 4858772"/>
            <a:gd name="connsiteX48" fmla="*/ 1426330 w 4884414"/>
            <a:gd name="connsiteY48" fmla="*/ 876370 h 4858772"/>
            <a:gd name="connsiteX49" fmla="*/ 327325 w 4884414"/>
            <a:gd name="connsiteY49" fmla="*/ 1984846 h 4858772"/>
            <a:gd name="connsiteX50" fmla="*/ 194686 w 4884414"/>
            <a:gd name="connsiteY50" fmla="*/ 1871158 h 4858772"/>
            <a:gd name="connsiteX51" fmla="*/ 1416855 w 4884414"/>
            <a:gd name="connsiteY51" fmla="*/ 644242 h 4858772"/>
            <a:gd name="connsiteX52" fmla="*/ 2027937 w 4884414"/>
            <a:gd name="connsiteY52" fmla="*/ 1203214 h 4858772"/>
            <a:gd name="connsiteX53" fmla="*/ 3022744 w 4884414"/>
            <a:gd name="connsiteY53" fmla="*/ 222642 h 4858772"/>
            <a:gd name="connsiteX54" fmla="*/ 3799624 w 4884414"/>
            <a:gd name="connsiteY54" fmla="*/ 961618 h 4858772"/>
            <a:gd name="connsiteX55" fmla="*/ 4604909 w 4884414"/>
            <a:gd name="connsiteY55" fmla="*/ 161060 h 4858772"/>
            <a:gd name="connsiteX56" fmla="*/ 4377533 w 4884414"/>
            <a:gd name="connsiteY56" fmla="*/ 151585 h 4858772"/>
            <a:gd name="connsiteX57" fmla="*/ 4372781 w 4884414"/>
            <a:gd name="connsiteY57" fmla="*/ 4737 h 4858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4884414" h="4858772">
              <a:moveTo>
                <a:pt x="639778" y="2912647"/>
              </a:moveTo>
              <a:lnTo>
                <a:pt x="1031685" y="4714736"/>
              </a:lnTo>
              <a:lnTo>
                <a:pt x="385208" y="4858772"/>
              </a:lnTo>
              <a:lnTo>
                <a:pt x="0" y="3053299"/>
              </a:lnTo>
              <a:close/>
              <a:moveTo>
                <a:pt x="4607863" y="2902441"/>
              </a:moveTo>
              <a:cubicBezTo>
                <a:pt x="4668385" y="2903746"/>
                <a:pt x="4734018" y="2917543"/>
                <a:pt x="4789111" y="2958353"/>
              </a:cubicBezTo>
              <a:cubicBezTo>
                <a:pt x="4984268" y="3102893"/>
                <a:pt x="4811396" y="3250422"/>
                <a:pt x="4811396" y="3250422"/>
              </a:cubicBezTo>
              <a:cubicBezTo>
                <a:pt x="4811396" y="3250422"/>
                <a:pt x="3126199" y="4484683"/>
                <a:pt x="2814330" y="4524139"/>
              </a:cubicBezTo>
              <a:cubicBezTo>
                <a:pt x="2436006" y="4571983"/>
                <a:pt x="1681870" y="4399758"/>
                <a:pt x="1445303" y="4391479"/>
              </a:cubicBezTo>
              <a:cubicBezTo>
                <a:pt x="1331655" y="4387519"/>
                <a:pt x="1161080" y="4453075"/>
                <a:pt x="1161080" y="4453075"/>
              </a:cubicBezTo>
              <a:lnTo>
                <a:pt x="895802" y="3202470"/>
              </a:lnTo>
              <a:cubicBezTo>
                <a:pt x="895802" y="3202470"/>
                <a:pt x="1206936" y="3031326"/>
                <a:pt x="1492676" y="3046158"/>
              </a:cubicBezTo>
              <a:cubicBezTo>
                <a:pt x="1861078" y="3065273"/>
                <a:pt x="2261046" y="3451698"/>
                <a:pt x="2495226" y="3450762"/>
              </a:cubicBezTo>
              <a:cubicBezTo>
                <a:pt x="2653086" y="3450150"/>
                <a:pt x="3321174" y="3055626"/>
                <a:pt x="3321174" y="3055626"/>
              </a:cubicBezTo>
              <a:cubicBezTo>
                <a:pt x="3321174" y="3055626"/>
                <a:pt x="3595819" y="2954430"/>
                <a:pt x="3742807" y="3103002"/>
              </a:cubicBezTo>
              <a:cubicBezTo>
                <a:pt x="3947863" y="3310290"/>
                <a:pt x="3723259" y="3443274"/>
                <a:pt x="3723259" y="3443274"/>
              </a:cubicBezTo>
              <a:cubicBezTo>
                <a:pt x="3723259" y="3443274"/>
                <a:pt x="2958654" y="3989718"/>
                <a:pt x="2513442" y="4087494"/>
              </a:cubicBezTo>
              <a:cubicBezTo>
                <a:pt x="2233902" y="4148910"/>
                <a:pt x="1386497" y="3877686"/>
                <a:pt x="1386497" y="3877686"/>
              </a:cubicBezTo>
              <a:lnTo>
                <a:pt x="1345824" y="4040946"/>
              </a:lnTo>
              <a:cubicBezTo>
                <a:pt x="1345824" y="4040946"/>
                <a:pt x="2201574" y="4299750"/>
                <a:pt x="2583822" y="4264146"/>
              </a:cubicBezTo>
              <a:cubicBezTo>
                <a:pt x="2873478" y="4237218"/>
                <a:pt x="3918055" y="3524598"/>
                <a:pt x="3918055" y="3524598"/>
              </a:cubicBezTo>
              <a:cubicBezTo>
                <a:pt x="3918055" y="3524598"/>
                <a:pt x="3992143" y="3470274"/>
                <a:pt x="4020079" y="3359394"/>
              </a:cubicBezTo>
              <a:cubicBezTo>
                <a:pt x="4045927" y="3256794"/>
                <a:pt x="3984367" y="3155094"/>
                <a:pt x="3984367" y="3155094"/>
              </a:cubicBezTo>
              <a:lnTo>
                <a:pt x="4420327" y="2932794"/>
              </a:lnTo>
              <a:cubicBezTo>
                <a:pt x="4420327" y="2932794"/>
                <a:pt x="4506995" y="2900267"/>
                <a:pt x="4607863" y="2902441"/>
              </a:cubicBezTo>
              <a:close/>
              <a:moveTo>
                <a:pt x="1433727" y="2168924"/>
              </a:moveTo>
              <a:lnTo>
                <a:pt x="1849081" y="2168924"/>
              </a:lnTo>
              <a:lnTo>
                <a:pt x="1849081" y="2845548"/>
              </a:lnTo>
              <a:lnTo>
                <a:pt x="1433727" y="2845548"/>
              </a:lnTo>
              <a:close/>
              <a:moveTo>
                <a:pt x="2941179" y="2004757"/>
              </a:moveTo>
              <a:lnTo>
                <a:pt x="3359881" y="2004757"/>
              </a:lnTo>
              <a:lnTo>
                <a:pt x="3359881" y="2842165"/>
              </a:lnTo>
              <a:lnTo>
                <a:pt x="2941179" y="2842165"/>
              </a:lnTo>
              <a:close/>
              <a:moveTo>
                <a:pt x="2187461" y="1666453"/>
              </a:moveTo>
              <a:lnTo>
                <a:pt x="2609514" y="1666453"/>
              </a:lnTo>
              <a:lnTo>
                <a:pt x="2609514" y="2858921"/>
              </a:lnTo>
              <a:lnTo>
                <a:pt x="2187461" y="2858921"/>
              </a:lnTo>
              <a:close/>
              <a:moveTo>
                <a:pt x="3691550" y="1488894"/>
              </a:moveTo>
              <a:lnTo>
                <a:pt x="4110252" y="1488894"/>
              </a:lnTo>
              <a:lnTo>
                <a:pt x="4110252" y="2852193"/>
              </a:lnTo>
              <a:lnTo>
                <a:pt x="3691550" y="2852193"/>
              </a:lnTo>
              <a:close/>
              <a:moveTo>
                <a:pt x="4884414" y="0"/>
              </a:moveTo>
              <a:lnTo>
                <a:pt x="4879661" y="497394"/>
              </a:lnTo>
              <a:lnTo>
                <a:pt x="4718597" y="497394"/>
              </a:lnTo>
              <a:lnTo>
                <a:pt x="4713882" y="274752"/>
              </a:lnTo>
              <a:lnTo>
                <a:pt x="3775937" y="1198498"/>
              </a:lnTo>
              <a:lnTo>
                <a:pt x="3041680" y="454759"/>
              </a:lnTo>
              <a:lnTo>
                <a:pt x="2027937" y="1430590"/>
              </a:lnTo>
              <a:lnTo>
                <a:pt x="1426330" y="876370"/>
              </a:lnTo>
              <a:lnTo>
                <a:pt x="327325" y="1984846"/>
              </a:lnTo>
              <a:lnTo>
                <a:pt x="194686" y="1871158"/>
              </a:lnTo>
              <a:lnTo>
                <a:pt x="1416855" y="644242"/>
              </a:lnTo>
              <a:lnTo>
                <a:pt x="2027937" y="1203214"/>
              </a:lnTo>
              <a:lnTo>
                <a:pt x="3022744" y="222642"/>
              </a:lnTo>
              <a:lnTo>
                <a:pt x="3799624" y="961618"/>
              </a:lnTo>
              <a:lnTo>
                <a:pt x="4604909" y="161060"/>
              </a:lnTo>
              <a:lnTo>
                <a:pt x="4377533" y="151585"/>
              </a:lnTo>
              <a:lnTo>
                <a:pt x="4372781" y="4737"/>
              </a:lnTo>
              <a:close/>
            </a:path>
          </a:pathLst>
        </a:custGeom>
        <a:solidFill>
          <a:sysClr val="window" lastClr="FFFFFF"/>
        </a:solidFill>
        <a:ln w="17998"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299103</xdr:colOff>
      <xdr:row>25</xdr:row>
      <xdr:rowOff>62522</xdr:rowOff>
    </xdr:from>
    <xdr:to>
      <xdr:col>0</xdr:col>
      <xdr:colOff>497103</xdr:colOff>
      <xdr:row>26</xdr:row>
      <xdr:rowOff>134033</xdr:rowOff>
    </xdr:to>
    <xdr:sp macro="" textlink="">
      <xdr:nvSpPr>
        <xdr:cNvPr id="38" name="Freeform: Shape 46">
          <a:extLst>
            <a:ext uri="{FF2B5EF4-FFF2-40B4-BE49-F238E27FC236}">
              <a16:creationId xmlns:a16="http://schemas.microsoft.com/office/drawing/2014/main" id="{00000000-0008-0000-0100-000026000000}"/>
            </a:ext>
          </a:extLst>
        </xdr:cNvPr>
        <xdr:cNvSpPr/>
      </xdr:nvSpPr>
      <xdr:spPr>
        <a:xfrm>
          <a:off x="299103" y="5142522"/>
          <a:ext cx="198000" cy="274711"/>
        </a:xfrm>
        <a:custGeom>
          <a:avLst/>
          <a:gdLst>
            <a:gd name="connsiteX0" fmla="*/ 1055978 w 2078051"/>
            <a:gd name="connsiteY0" fmla="*/ 1929003 h 2870971"/>
            <a:gd name="connsiteX1" fmla="*/ 1107799 w 2078051"/>
            <a:gd name="connsiteY1" fmla="*/ 1959131 h 2870971"/>
            <a:gd name="connsiteX2" fmla="*/ 1123868 w 2078051"/>
            <a:gd name="connsiteY2" fmla="*/ 2005327 h 2870971"/>
            <a:gd name="connsiteX3" fmla="*/ 1104987 w 2078051"/>
            <a:gd name="connsiteY3" fmla="*/ 2057955 h 2870971"/>
            <a:gd name="connsiteX4" fmla="*/ 1055978 w 2078051"/>
            <a:gd name="connsiteY4" fmla="*/ 2085674 h 2870971"/>
            <a:gd name="connsiteX5" fmla="*/ 997728 w 2078051"/>
            <a:gd name="connsiteY5" fmla="*/ 1658243 h 2870971"/>
            <a:gd name="connsiteX6" fmla="*/ 997728 w 2078051"/>
            <a:gd name="connsiteY6" fmla="*/ 1797238 h 2870971"/>
            <a:gd name="connsiteX7" fmla="*/ 958762 w 2078051"/>
            <a:gd name="connsiteY7" fmla="*/ 1767911 h 2870971"/>
            <a:gd name="connsiteX8" fmla="*/ 945906 w 2078051"/>
            <a:gd name="connsiteY8" fmla="*/ 1728143 h 2870971"/>
            <a:gd name="connsiteX9" fmla="*/ 959966 w 2078051"/>
            <a:gd name="connsiteY9" fmla="*/ 1685558 h 2870971"/>
            <a:gd name="connsiteX10" fmla="*/ 997728 w 2078051"/>
            <a:gd name="connsiteY10" fmla="*/ 1658243 h 2870971"/>
            <a:gd name="connsiteX11" fmla="*/ 997728 w 2078051"/>
            <a:gd name="connsiteY11" fmla="*/ 1530898 h 2870971"/>
            <a:gd name="connsiteX12" fmla="*/ 997728 w 2078051"/>
            <a:gd name="connsiteY12" fmla="*/ 1570667 h 2870971"/>
            <a:gd name="connsiteX13" fmla="*/ 886854 w 2078051"/>
            <a:gd name="connsiteY13" fmla="*/ 1622487 h 2870971"/>
            <a:gd name="connsiteX14" fmla="*/ 845479 w 2078051"/>
            <a:gd name="connsiteY14" fmla="*/ 1732962 h 2870971"/>
            <a:gd name="connsiteX15" fmla="*/ 882035 w 2078051"/>
            <a:gd name="connsiteY15" fmla="*/ 1843836 h 2870971"/>
            <a:gd name="connsiteX16" fmla="*/ 997728 w 2078051"/>
            <a:gd name="connsiteY16" fmla="*/ 1911726 h 2870971"/>
            <a:gd name="connsiteX17" fmla="*/ 997728 w 2078051"/>
            <a:gd name="connsiteY17" fmla="*/ 2080048 h 2870971"/>
            <a:gd name="connsiteX18" fmla="*/ 958359 w 2078051"/>
            <a:gd name="connsiteY18" fmla="*/ 2046305 h 2870971"/>
            <a:gd name="connsiteX19" fmla="*/ 934255 w 2078051"/>
            <a:gd name="connsiteY19" fmla="*/ 1990869 h 2870971"/>
            <a:gd name="connsiteX20" fmla="*/ 829406 w 2078051"/>
            <a:gd name="connsiteY20" fmla="*/ 2002116 h 2870971"/>
            <a:gd name="connsiteX21" fmla="*/ 884843 w 2078051"/>
            <a:gd name="connsiteY21" fmla="*/ 2124639 h 2870971"/>
            <a:gd name="connsiteX22" fmla="*/ 997728 w 2078051"/>
            <a:gd name="connsiteY22" fmla="*/ 2176462 h 2870971"/>
            <a:gd name="connsiteX23" fmla="*/ 997728 w 2078051"/>
            <a:gd name="connsiteY23" fmla="*/ 2249574 h 2870971"/>
            <a:gd name="connsiteX24" fmla="*/ 1055978 w 2078051"/>
            <a:gd name="connsiteY24" fmla="*/ 2249574 h 2870971"/>
            <a:gd name="connsiteX25" fmla="*/ 1055978 w 2078051"/>
            <a:gd name="connsiteY25" fmla="*/ 2174451 h 2870971"/>
            <a:gd name="connsiteX26" fmla="*/ 1178099 w 2078051"/>
            <a:gd name="connsiteY26" fmla="*/ 2113392 h 2870971"/>
            <a:gd name="connsiteX27" fmla="*/ 1222289 w 2078051"/>
            <a:gd name="connsiteY27" fmla="*/ 1990869 h 2870971"/>
            <a:gd name="connsiteX28" fmla="*/ 1187340 w 2078051"/>
            <a:gd name="connsiteY28" fmla="*/ 1884411 h 2870971"/>
            <a:gd name="connsiteX29" fmla="*/ 1055978 w 2078051"/>
            <a:gd name="connsiteY29" fmla="*/ 1816521 h 2870971"/>
            <a:gd name="connsiteX30" fmla="*/ 1055978 w 2078051"/>
            <a:gd name="connsiteY30" fmla="*/ 1659447 h 2870971"/>
            <a:gd name="connsiteX31" fmla="*/ 1104185 w 2078051"/>
            <a:gd name="connsiteY31" fmla="*/ 1723721 h 2870971"/>
            <a:gd name="connsiteX32" fmla="*/ 1205818 w 2078051"/>
            <a:gd name="connsiteY32" fmla="*/ 1710467 h 2870971"/>
            <a:gd name="connsiteX33" fmla="*/ 1157614 w 2078051"/>
            <a:gd name="connsiteY33" fmla="*/ 1614457 h 2870971"/>
            <a:gd name="connsiteX34" fmla="*/ 1055978 w 2078051"/>
            <a:gd name="connsiteY34" fmla="*/ 1570667 h 2870971"/>
            <a:gd name="connsiteX35" fmla="*/ 1055978 w 2078051"/>
            <a:gd name="connsiteY35" fmla="*/ 1530898 h 2870971"/>
            <a:gd name="connsiteX36" fmla="*/ 1033100 w 2078051"/>
            <a:gd name="connsiteY36" fmla="*/ 1329168 h 2870971"/>
            <a:gd name="connsiteX37" fmla="*/ 1572115 w 2078051"/>
            <a:gd name="connsiteY37" fmla="*/ 1868183 h 2870971"/>
            <a:gd name="connsiteX38" fmla="*/ 1033100 w 2078051"/>
            <a:gd name="connsiteY38" fmla="*/ 2407198 h 2870971"/>
            <a:gd name="connsiteX39" fmla="*/ 494085 w 2078051"/>
            <a:gd name="connsiteY39" fmla="*/ 1868183 h 2870971"/>
            <a:gd name="connsiteX40" fmla="*/ 1033100 w 2078051"/>
            <a:gd name="connsiteY40" fmla="*/ 1329168 h 2870971"/>
            <a:gd name="connsiteX41" fmla="*/ 1033100 w 2078051"/>
            <a:gd name="connsiteY41" fmla="*/ 1223366 h 2870971"/>
            <a:gd name="connsiteX42" fmla="*/ 388283 w 2078051"/>
            <a:gd name="connsiteY42" fmla="*/ 1868183 h 2870971"/>
            <a:gd name="connsiteX43" fmla="*/ 1033100 w 2078051"/>
            <a:gd name="connsiteY43" fmla="*/ 2513000 h 2870971"/>
            <a:gd name="connsiteX44" fmla="*/ 1677917 w 2078051"/>
            <a:gd name="connsiteY44" fmla="*/ 1868183 h 2870971"/>
            <a:gd name="connsiteX45" fmla="*/ 1033100 w 2078051"/>
            <a:gd name="connsiteY45" fmla="*/ 1223366 h 2870971"/>
            <a:gd name="connsiteX46" fmla="*/ 983183 w 2078051"/>
            <a:gd name="connsiteY46" fmla="*/ 335217 h 2870971"/>
            <a:gd name="connsiteX47" fmla="*/ 758164 w 2078051"/>
            <a:gd name="connsiteY47" fmla="*/ 343982 h 2870971"/>
            <a:gd name="connsiteX48" fmla="*/ 488284 w 2078051"/>
            <a:gd name="connsiteY48" fmla="*/ 983732 h 2870971"/>
            <a:gd name="connsiteX49" fmla="*/ 488749 w 2078051"/>
            <a:gd name="connsiteY49" fmla="*/ 985270 h 2870971"/>
            <a:gd name="connsiteX50" fmla="*/ 642599 w 2078051"/>
            <a:gd name="connsiteY50" fmla="*/ 899738 h 2870971"/>
            <a:gd name="connsiteX51" fmla="*/ 1558297 w 2078051"/>
            <a:gd name="connsiteY51" fmla="*/ 983595 h 2870971"/>
            <a:gd name="connsiteX52" fmla="*/ 1599794 w 2078051"/>
            <a:gd name="connsiteY52" fmla="*/ 1014524 h 2870971"/>
            <a:gd name="connsiteX53" fmla="*/ 1602875 w 2078051"/>
            <a:gd name="connsiteY53" fmla="*/ 999811 h 2870971"/>
            <a:gd name="connsiteX54" fmla="*/ 1383012 w 2078051"/>
            <a:gd name="connsiteY54" fmla="*/ 357449 h 2870971"/>
            <a:gd name="connsiteX55" fmla="*/ 983183 w 2078051"/>
            <a:gd name="connsiteY55" fmla="*/ 335217 h 2870971"/>
            <a:gd name="connsiteX56" fmla="*/ 1024198 w 2078051"/>
            <a:gd name="connsiteY56" fmla="*/ 0 h 2870971"/>
            <a:gd name="connsiteX57" fmla="*/ 1463633 w 2078051"/>
            <a:gd name="connsiteY57" fmla="*/ 41646 h 2870971"/>
            <a:gd name="connsiteX58" fmla="*/ 1850752 w 2078051"/>
            <a:gd name="connsiteY58" fmla="*/ 1233583 h 2870971"/>
            <a:gd name="connsiteX59" fmla="*/ 1848614 w 2078051"/>
            <a:gd name="connsiteY59" fmla="*/ 1239078 h 2870971"/>
            <a:gd name="connsiteX60" fmla="*/ 1936700 w 2078051"/>
            <a:gd name="connsiteY60" fmla="*/ 1360517 h 2870971"/>
            <a:gd name="connsiteX61" fmla="*/ 1430019 w 2078051"/>
            <a:gd name="connsiteY61" fmla="*/ 2823279 h 2870971"/>
            <a:gd name="connsiteX62" fmla="*/ 583477 w 2078051"/>
            <a:gd name="connsiteY62" fmla="*/ 2796381 h 2870971"/>
            <a:gd name="connsiteX63" fmla="*/ 131162 w 2078051"/>
            <a:gd name="connsiteY63" fmla="*/ 1394268 h 2870971"/>
            <a:gd name="connsiteX64" fmla="*/ 216742 w 2078051"/>
            <a:gd name="connsiteY64" fmla="*/ 1260356 h 2870971"/>
            <a:gd name="connsiteX65" fmla="*/ 216557 w 2078051"/>
            <a:gd name="connsiteY65" fmla="*/ 1259844 h 2870971"/>
            <a:gd name="connsiteX66" fmla="*/ 637229 w 2078051"/>
            <a:gd name="connsiteY66" fmla="*/ 28215 h 2870971"/>
            <a:gd name="connsiteX67" fmla="*/ 1024198 w 2078051"/>
            <a:gd name="connsiteY67" fmla="*/ 0 h 287097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Lst>
          <a:rect l="l" t="t" r="r" b="b"/>
          <a:pathLst>
            <a:path w="2078051" h="2870971">
              <a:moveTo>
                <a:pt x="1055978" y="1929003"/>
              </a:moveTo>
              <a:cubicBezTo>
                <a:pt x="1080081" y="1935967"/>
                <a:pt x="1097353" y="1946008"/>
                <a:pt x="1107799" y="1959131"/>
              </a:cubicBezTo>
              <a:cubicBezTo>
                <a:pt x="1118513" y="1971987"/>
                <a:pt x="1123868" y="1987384"/>
                <a:pt x="1123868" y="2005327"/>
              </a:cubicBezTo>
              <a:cubicBezTo>
                <a:pt x="1123868" y="2025413"/>
                <a:pt x="1117575" y="2042957"/>
                <a:pt x="1104987" y="2057955"/>
              </a:cubicBezTo>
              <a:cubicBezTo>
                <a:pt x="1092399" y="2072682"/>
                <a:pt x="1076063" y="2081922"/>
                <a:pt x="1055978" y="2085674"/>
              </a:cubicBezTo>
              <a:close/>
              <a:moveTo>
                <a:pt x="997728" y="1658243"/>
              </a:moveTo>
              <a:lnTo>
                <a:pt x="997728" y="1797238"/>
              </a:lnTo>
              <a:cubicBezTo>
                <a:pt x="980320" y="1789741"/>
                <a:pt x="967333" y="1779966"/>
                <a:pt x="958762" y="1767911"/>
              </a:cubicBezTo>
              <a:cubicBezTo>
                <a:pt x="950192" y="1755594"/>
                <a:pt x="945906" y="1742336"/>
                <a:pt x="945906" y="1728143"/>
              </a:cubicBezTo>
              <a:cubicBezTo>
                <a:pt x="945906" y="1712610"/>
                <a:pt x="950595" y="1698414"/>
                <a:pt x="959966" y="1685558"/>
              </a:cubicBezTo>
              <a:cubicBezTo>
                <a:pt x="969340" y="1672701"/>
                <a:pt x="981927" y="1663597"/>
                <a:pt x="997728" y="1658243"/>
              </a:cubicBezTo>
              <a:close/>
              <a:moveTo>
                <a:pt x="997728" y="1530898"/>
              </a:moveTo>
              <a:lnTo>
                <a:pt x="997728" y="1570667"/>
              </a:lnTo>
              <a:cubicBezTo>
                <a:pt x="951664" y="1575219"/>
                <a:pt x="914705" y="1592496"/>
                <a:pt x="886854" y="1622487"/>
              </a:cubicBezTo>
              <a:cubicBezTo>
                <a:pt x="859268" y="1652218"/>
                <a:pt x="845479" y="1689041"/>
                <a:pt x="845479" y="1732962"/>
              </a:cubicBezTo>
              <a:cubicBezTo>
                <a:pt x="845479" y="1776346"/>
                <a:pt x="857664" y="1813305"/>
                <a:pt x="882035" y="1843836"/>
              </a:cubicBezTo>
              <a:cubicBezTo>
                <a:pt x="906673" y="1874101"/>
                <a:pt x="945236" y="1896733"/>
                <a:pt x="997728" y="1911726"/>
              </a:cubicBezTo>
              <a:lnTo>
                <a:pt x="997728" y="2080048"/>
              </a:lnTo>
              <a:cubicBezTo>
                <a:pt x="983264" y="2073085"/>
                <a:pt x="970145" y="2061838"/>
                <a:pt x="958359" y="2046305"/>
              </a:cubicBezTo>
              <a:cubicBezTo>
                <a:pt x="946577" y="2030771"/>
                <a:pt x="938541" y="2012290"/>
                <a:pt x="934255" y="1990869"/>
              </a:cubicBezTo>
              <a:lnTo>
                <a:pt x="829406" y="2002116"/>
              </a:lnTo>
              <a:cubicBezTo>
                <a:pt x="837442" y="2054876"/>
                <a:pt x="855919" y="2095718"/>
                <a:pt x="884843" y="2124639"/>
              </a:cubicBezTo>
              <a:cubicBezTo>
                <a:pt x="913767" y="2153563"/>
                <a:pt x="951397" y="2170835"/>
                <a:pt x="997728" y="2176462"/>
              </a:cubicBezTo>
              <a:lnTo>
                <a:pt x="997728" y="2249574"/>
              </a:lnTo>
              <a:lnTo>
                <a:pt x="1055978" y="2249574"/>
              </a:lnTo>
              <a:lnTo>
                <a:pt x="1055978" y="2174451"/>
              </a:lnTo>
              <a:cubicBezTo>
                <a:pt x="1108203" y="2166954"/>
                <a:pt x="1148908" y="2146601"/>
                <a:pt x="1178099" y="2113392"/>
              </a:cubicBezTo>
              <a:cubicBezTo>
                <a:pt x="1207561" y="2080183"/>
                <a:pt x="1222289" y="2039342"/>
                <a:pt x="1222289" y="1990869"/>
              </a:cubicBezTo>
              <a:cubicBezTo>
                <a:pt x="1222289" y="1947480"/>
                <a:pt x="1210642" y="1911993"/>
                <a:pt x="1187340" y="1884411"/>
              </a:cubicBezTo>
              <a:cubicBezTo>
                <a:pt x="1164039" y="1856556"/>
                <a:pt x="1120252" y="1833930"/>
                <a:pt x="1055978" y="1816521"/>
              </a:cubicBezTo>
              <a:lnTo>
                <a:pt x="1055978" y="1659447"/>
              </a:lnTo>
              <a:cubicBezTo>
                <a:pt x="1081957" y="1670696"/>
                <a:pt x="1098025" y="1692122"/>
                <a:pt x="1104185" y="1723721"/>
              </a:cubicBezTo>
              <a:lnTo>
                <a:pt x="1205818" y="1710467"/>
              </a:lnTo>
              <a:cubicBezTo>
                <a:pt x="1198855" y="1670292"/>
                <a:pt x="1182788" y="1638288"/>
                <a:pt x="1157614" y="1614457"/>
              </a:cubicBezTo>
              <a:cubicBezTo>
                <a:pt x="1132438" y="1590353"/>
                <a:pt x="1098558" y="1575758"/>
                <a:pt x="1055978" y="1570667"/>
              </a:cubicBezTo>
              <a:lnTo>
                <a:pt x="1055978" y="1530898"/>
              </a:lnTo>
              <a:close/>
              <a:moveTo>
                <a:pt x="1033100" y="1329168"/>
              </a:moveTo>
              <a:cubicBezTo>
                <a:pt x="1330790" y="1329168"/>
                <a:pt x="1572115" y="1570493"/>
                <a:pt x="1572115" y="1868183"/>
              </a:cubicBezTo>
              <a:cubicBezTo>
                <a:pt x="1572115" y="2165873"/>
                <a:pt x="1330790" y="2407198"/>
                <a:pt x="1033100" y="2407198"/>
              </a:cubicBezTo>
              <a:cubicBezTo>
                <a:pt x="735410" y="2407198"/>
                <a:pt x="494085" y="2165873"/>
                <a:pt x="494085" y="1868183"/>
              </a:cubicBezTo>
              <a:cubicBezTo>
                <a:pt x="494085" y="1570493"/>
                <a:pt x="735410" y="1329168"/>
                <a:pt x="1033100" y="1329168"/>
              </a:cubicBezTo>
              <a:close/>
              <a:moveTo>
                <a:pt x="1033100" y="1223366"/>
              </a:moveTo>
              <a:cubicBezTo>
                <a:pt x="676978" y="1223366"/>
                <a:pt x="388283" y="1512061"/>
                <a:pt x="388283" y="1868183"/>
              </a:cubicBezTo>
              <a:cubicBezTo>
                <a:pt x="388283" y="2224306"/>
                <a:pt x="676978" y="2513000"/>
                <a:pt x="1033100" y="2513000"/>
              </a:cubicBezTo>
              <a:cubicBezTo>
                <a:pt x="1389223" y="2513000"/>
                <a:pt x="1677917" y="2224306"/>
                <a:pt x="1677917" y="1868183"/>
              </a:cubicBezTo>
              <a:cubicBezTo>
                <a:pt x="1677917" y="1512061"/>
                <a:pt x="1389223" y="1223366"/>
                <a:pt x="1033100" y="1223366"/>
              </a:cubicBezTo>
              <a:close/>
              <a:moveTo>
                <a:pt x="983183" y="335217"/>
              </a:moveTo>
              <a:cubicBezTo>
                <a:pt x="882977" y="335206"/>
                <a:pt x="793965" y="338025"/>
                <a:pt x="758164" y="343982"/>
              </a:cubicBezTo>
              <a:cubicBezTo>
                <a:pt x="350402" y="411872"/>
                <a:pt x="455610" y="870209"/>
                <a:pt x="488284" y="983732"/>
              </a:cubicBezTo>
              <a:lnTo>
                <a:pt x="488749" y="985270"/>
              </a:lnTo>
              <a:lnTo>
                <a:pt x="642599" y="899738"/>
              </a:lnTo>
              <a:cubicBezTo>
                <a:pt x="932499" y="777096"/>
                <a:pt x="1276563" y="811395"/>
                <a:pt x="1558297" y="983595"/>
              </a:cubicBezTo>
              <a:lnTo>
                <a:pt x="1599794" y="1014524"/>
              </a:lnTo>
              <a:lnTo>
                <a:pt x="1602875" y="999811"/>
              </a:lnTo>
              <a:cubicBezTo>
                <a:pt x="1622986" y="897761"/>
                <a:pt x="1684582" y="481792"/>
                <a:pt x="1383012" y="357449"/>
              </a:cubicBezTo>
              <a:cubicBezTo>
                <a:pt x="1348307" y="343121"/>
                <a:pt x="1150195" y="335237"/>
                <a:pt x="983183" y="335217"/>
              </a:cubicBezTo>
              <a:close/>
              <a:moveTo>
                <a:pt x="1024198" y="0"/>
              </a:moveTo>
              <a:cubicBezTo>
                <a:pt x="1194350" y="-9"/>
                <a:pt x="1373246" y="11626"/>
                <a:pt x="1463633" y="41646"/>
              </a:cubicBezTo>
              <a:cubicBezTo>
                <a:pt x="2185740" y="281592"/>
                <a:pt x="1890480" y="1128639"/>
                <a:pt x="1850752" y="1233583"/>
              </a:cubicBezTo>
              <a:lnTo>
                <a:pt x="1848614" y="1239078"/>
              </a:lnTo>
              <a:lnTo>
                <a:pt x="1936700" y="1360517"/>
              </a:lnTo>
              <a:cubicBezTo>
                <a:pt x="2317913" y="1979920"/>
                <a:pt x="1852931" y="2700800"/>
                <a:pt x="1430019" y="2823279"/>
              </a:cubicBezTo>
              <a:cubicBezTo>
                <a:pt x="1158841" y="2901805"/>
                <a:pt x="730150" y="2876713"/>
                <a:pt x="583477" y="2796381"/>
              </a:cubicBezTo>
              <a:cubicBezTo>
                <a:pt x="191527" y="2581783"/>
                <a:pt x="-215596" y="2019195"/>
                <a:pt x="131162" y="1394268"/>
              </a:cubicBezTo>
              <a:lnTo>
                <a:pt x="216742" y="1260356"/>
              </a:lnTo>
              <a:lnTo>
                <a:pt x="216557" y="1259844"/>
              </a:lnTo>
              <a:cubicBezTo>
                <a:pt x="177285" y="1148690"/>
                <a:pt x="-113420" y="252456"/>
                <a:pt x="637229" y="28215"/>
              </a:cubicBezTo>
              <a:cubicBezTo>
                <a:pt x="692639" y="11662"/>
                <a:pt x="854047" y="9"/>
                <a:pt x="1024198" y="0"/>
              </a:cubicBezTo>
              <a:close/>
            </a:path>
          </a:pathLst>
        </a:custGeom>
        <a:solidFill>
          <a:sysClr val="window" lastClr="FFFFFF"/>
        </a:soli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276340</xdr:colOff>
      <xdr:row>27</xdr:row>
      <xdr:rowOff>178099</xdr:rowOff>
    </xdr:from>
    <xdr:to>
      <xdr:col>0</xdr:col>
      <xdr:colOff>528340</xdr:colOff>
      <xdr:row>29</xdr:row>
      <xdr:rowOff>35054</xdr:rowOff>
    </xdr:to>
    <xdr:sp macro="" textlink="">
      <xdr:nvSpPr>
        <xdr:cNvPr id="39" name="Freeform: Shape 47">
          <a:extLst>
            <a:ext uri="{FF2B5EF4-FFF2-40B4-BE49-F238E27FC236}">
              <a16:creationId xmlns:a16="http://schemas.microsoft.com/office/drawing/2014/main" id="{00000000-0008-0000-0100-000027000000}"/>
            </a:ext>
          </a:extLst>
        </xdr:cNvPr>
        <xdr:cNvSpPr/>
      </xdr:nvSpPr>
      <xdr:spPr>
        <a:xfrm>
          <a:off x="276340" y="5664499"/>
          <a:ext cx="252000" cy="263355"/>
        </a:xfrm>
        <a:custGeom>
          <a:avLst/>
          <a:gdLst>
            <a:gd name="connsiteX0" fmla="*/ 669226 w 3163078"/>
            <a:gd name="connsiteY0" fmla="*/ 1658213 h 3163078"/>
            <a:gd name="connsiteX1" fmla="*/ 244013 w 3163078"/>
            <a:gd name="connsiteY1" fmla="*/ 1658214 h 3163078"/>
            <a:gd name="connsiteX2" fmla="*/ 247066 w 3163078"/>
            <a:gd name="connsiteY2" fmla="*/ 1718689 h 3163078"/>
            <a:gd name="connsiteX3" fmla="*/ 1444389 w 3163078"/>
            <a:gd name="connsiteY3" fmla="*/ 2916012 h 3163078"/>
            <a:gd name="connsiteX4" fmla="*/ 1499820 w 3163078"/>
            <a:gd name="connsiteY4" fmla="*/ 2918811 h 3163078"/>
            <a:gd name="connsiteX5" fmla="*/ 1495533 w 3163078"/>
            <a:gd name="connsiteY5" fmla="*/ 2890456 h 3163078"/>
            <a:gd name="connsiteX6" fmla="*/ 1495533 w 3163078"/>
            <a:gd name="connsiteY6" fmla="*/ 2467055 h 3163078"/>
            <a:gd name="connsiteX7" fmla="*/ 1479365 w 3163078"/>
            <a:gd name="connsiteY7" fmla="*/ 2466239 h 3163078"/>
            <a:gd name="connsiteX8" fmla="*/ 682606 w 3163078"/>
            <a:gd name="connsiteY8" fmla="*/ 1745881 h 3163078"/>
            <a:gd name="connsiteX9" fmla="*/ 2919066 w 3163078"/>
            <a:gd name="connsiteY9" fmla="*/ 1658213 h 3163078"/>
            <a:gd name="connsiteX10" fmla="*/ 2475189 w 3163078"/>
            <a:gd name="connsiteY10" fmla="*/ 1658214 h 3163078"/>
            <a:gd name="connsiteX11" fmla="*/ 2461810 w 3163078"/>
            <a:gd name="connsiteY11" fmla="*/ 1745881 h 3163078"/>
            <a:gd name="connsiteX12" fmla="*/ 1755212 w 3163078"/>
            <a:gd name="connsiteY12" fmla="*/ 2452479 h 3163078"/>
            <a:gd name="connsiteX13" fmla="*/ 1704868 w 3163078"/>
            <a:gd name="connsiteY13" fmla="*/ 2460162 h 3163078"/>
            <a:gd name="connsiteX14" fmla="*/ 1704868 w 3163078"/>
            <a:gd name="connsiteY14" fmla="*/ 2890456 h 3163078"/>
            <a:gd name="connsiteX15" fmla="*/ 1700869 w 3163078"/>
            <a:gd name="connsiteY15" fmla="*/ 2916912 h 3163078"/>
            <a:gd name="connsiteX16" fmla="*/ 1718689 w 3163078"/>
            <a:gd name="connsiteY16" fmla="*/ 2916012 h 3163078"/>
            <a:gd name="connsiteX17" fmla="*/ 2916012 w 3163078"/>
            <a:gd name="connsiteY17" fmla="*/ 1718689 h 3163078"/>
            <a:gd name="connsiteX18" fmla="*/ 1665289 w 3163078"/>
            <a:gd name="connsiteY18" fmla="*/ 1628851 h 3163078"/>
            <a:gd name="connsiteX19" fmla="*/ 1665289 w 3163078"/>
            <a:gd name="connsiteY19" fmla="*/ 1751958 h 3163078"/>
            <a:gd name="connsiteX20" fmla="*/ 1741278 w 3163078"/>
            <a:gd name="connsiteY20" fmla="*/ 1733090 h 3163078"/>
            <a:gd name="connsiteX21" fmla="*/ 1772883 w 3163078"/>
            <a:gd name="connsiteY21" fmla="*/ 1689910 h 3163078"/>
            <a:gd name="connsiteX22" fmla="*/ 1736568 w 3163078"/>
            <a:gd name="connsiteY22" fmla="*/ 1647194 h 3163078"/>
            <a:gd name="connsiteX23" fmla="*/ 1665289 w 3163078"/>
            <a:gd name="connsiteY23" fmla="*/ 1628851 h 3163078"/>
            <a:gd name="connsiteX24" fmla="*/ 1561731 w 3163078"/>
            <a:gd name="connsiteY24" fmla="*/ 1346387 h 3163078"/>
            <a:gd name="connsiteX25" fmla="*/ 1481712 w 3163078"/>
            <a:gd name="connsiteY25" fmla="*/ 1363245 h 3163078"/>
            <a:gd name="connsiteX26" fmla="*/ 1446742 w 3163078"/>
            <a:gd name="connsiteY26" fmla="*/ 1402960 h 3163078"/>
            <a:gd name="connsiteX27" fmla="*/ 1469607 w 3163078"/>
            <a:gd name="connsiteY27" fmla="*/ 1439212 h 3163078"/>
            <a:gd name="connsiteX28" fmla="*/ 1561731 w 3163078"/>
            <a:gd name="connsiteY28" fmla="*/ 1461544 h 3163078"/>
            <a:gd name="connsiteX29" fmla="*/ 1550971 w 3163078"/>
            <a:gd name="connsiteY29" fmla="*/ 1101133 h 3163078"/>
            <a:gd name="connsiteX30" fmla="*/ 1667979 w 3163078"/>
            <a:gd name="connsiteY30" fmla="*/ 1101133 h 3163078"/>
            <a:gd name="connsiteX31" fmla="*/ 1667979 w 3163078"/>
            <a:gd name="connsiteY31" fmla="*/ 1215826 h 3163078"/>
            <a:gd name="connsiteX32" fmla="*/ 1812557 w 3163078"/>
            <a:gd name="connsiteY32" fmla="*/ 1228724 h 3163078"/>
            <a:gd name="connsiteX33" fmla="*/ 1943685 w 3163078"/>
            <a:gd name="connsiteY33" fmla="*/ 1254026 h 3163078"/>
            <a:gd name="connsiteX34" fmla="*/ 1943685 w 3163078"/>
            <a:gd name="connsiteY34" fmla="*/ 1397021 h 3163078"/>
            <a:gd name="connsiteX35" fmla="*/ 1914100 w 3163078"/>
            <a:gd name="connsiteY35" fmla="*/ 1397021 h 3163078"/>
            <a:gd name="connsiteX36" fmla="*/ 1803142 w 3163078"/>
            <a:gd name="connsiteY36" fmla="*/ 1363245 h 3163078"/>
            <a:gd name="connsiteX37" fmla="*/ 1667979 w 3163078"/>
            <a:gd name="connsiteY37" fmla="*/ 1346387 h 3163078"/>
            <a:gd name="connsiteX38" fmla="*/ 1667979 w 3163078"/>
            <a:gd name="connsiteY38" fmla="*/ 1472463 h 3163078"/>
            <a:gd name="connsiteX39" fmla="*/ 1721778 w 3163078"/>
            <a:gd name="connsiteY39" fmla="*/ 1480412 h 3163078"/>
            <a:gd name="connsiteX40" fmla="*/ 1945030 w 3163078"/>
            <a:gd name="connsiteY40" fmla="*/ 1546914 h 3163078"/>
            <a:gd name="connsiteX41" fmla="*/ 2016984 w 3163078"/>
            <a:gd name="connsiteY41" fmla="*/ 1670547 h 3163078"/>
            <a:gd name="connsiteX42" fmla="*/ 1921495 w 3163078"/>
            <a:gd name="connsiteY42" fmla="*/ 1814501 h 3163078"/>
            <a:gd name="connsiteX43" fmla="*/ 1667979 w 3163078"/>
            <a:gd name="connsiteY43" fmla="*/ 1882519 h 3163078"/>
            <a:gd name="connsiteX44" fmla="*/ 1667979 w 3163078"/>
            <a:gd name="connsiteY44" fmla="*/ 2062725 h 3163078"/>
            <a:gd name="connsiteX45" fmla="*/ 1550971 w 3163078"/>
            <a:gd name="connsiteY45" fmla="*/ 2062725 h 3163078"/>
            <a:gd name="connsiteX46" fmla="*/ 1550971 w 3163078"/>
            <a:gd name="connsiteY46" fmla="*/ 1885489 h 3163078"/>
            <a:gd name="connsiteX47" fmla="*/ 1376808 w 3163078"/>
            <a:gd name="connsiteY47" fmla="*/ 1872095 h 3163078"/>
            <a:gd name="connsiteX48" fmla="*/ 1222145 w 3163078"/>
            <a:gd name="connsiteY48" fmla="*/ 1839803 h 3163078"/>
            <a:gd name="connsiteX49" fmla="*/ 1222145 w 3163078"/>
            <a:gd name="connsiteY49" fmla="*/ 1694859 h 3163078"/>
            <a:gd name="connsiteX50" fmla="*/ 1252405 w 3163078"/>
            <a:gd name="connsiteY50" fmla="*/ 1694859 h 3163078"/>
            <a:gd name="connsiteX51" fmla="*/ 1394293 w 3163078"/>
            <a:gd name="connsiteY51" fmla="*/ 1734575 h 3163078"/>
            <a:gd name="connsiteX52" fmla="*/ 1554336 w 3163078"/>
            <a:gd name="connsiteY52" fmla="*/ 1753938 h 3163078"/>
            <a:gd name="connsiteX53" fmla="*/ 1554336 w 3163078"/>
            <a:gd name="connsiteY53" fmla="*/ 1617902 h 3163078"/>
            <a:gd name="connsiteX54" fmla="*/ 1489107 w 3163078"/>
            <a:gd name="connsiteY54" fmla="*/ 1606983 h 3163078"/>
            <a:gd name="connsiteX55" fmla="*/ 1374789 w 3163078"/>
            <a:gd name="connsiteY55" fmla="*/ 1582671 h 3163078"/>
            <a:gd name="connsiteX56" fmla="*/ 1285355 w 3163078"/>
            <a:gd name="connsiteY56" fmla="*/ 1545925 h 3163078"/>
            <a:gd name="connsiteX57" fmla="*/ 1226851 w 3163078"/>
            <a:gd name="connsiteY57" fmla="*/ 1489847 h 3163078"/>
            <a:gd name="connsiteX58" fmla="*/ 1206006 w 3163078"/>
            <a:gd name="connsiteY58" fmla="*/ 1406950 h 3163078"/>
            <a:gd name="connsiteX59" fmla="*/ 1297459 w 3163078"/>
            <a:gd name="connsiteY59" fmla="*/ 1280349 h 3163078"/>
            <a:gd name="connsiteX60" fmla="*/ 1550971 w 3163078"/>
            <a:gd name="connsiteY60" fmla="*/ 1216816 h 3163078"/>
            <a:gd name="connsiteX61" fmla="*/ 1495533 w 3163078"/>
            <a:gd name="connsiteY61" fmla="*/ 796577 h 3163078"/>
            <a:gd name="connsiteX62" fmla="*/ 1493463 w 3163078"/>
            <a:gd name="connsiteY62" fmla="*/ 796681 h 3163078"/>
            <a:gd name="connsiteX63" fmla="*/ 817683 w 3163078"/>
            <a:gd name="connsiteY63" fmla="*/ 1407661 h 3163078"/>
            <a:gd name="connsiteX64" fmla="*/ 811308 w 3163078"/>
            <a:gd name="connsiteY64" fmla="*/ 1449430 h 3163078"/>
            <a:gd name="connsiteX65" fmla="*/ 838783 w 3163078"/>
            <a:gd name="connsiteY65" fmla="*/ 1453584 h 3163078"/>
            <a:gd name="connsiteX66" fmla="*/ 904101 w 3163078"/>
            <a:gd name="connsiteY66" fmla="*/ 1512804 h 3163078"/>
            <a:gd name="connsiteX67" fmla="*/ 912326 w 3163078"/>
            <a:gd name="connsiteY67" fmla="*/ 1553546 h 3163078"/>
            <a:gd name="connsiteX68" fmla="*/ 904101 w 3163078"/>
            <a:gd name="connsiteY68" fmla="*/ 1594287 h 3163078"/>
            <a:gd name="connsiteX69" fmla="*/ 838783 w 3163078"/>
            <a:gd name="connsiteY69" fmla="*/ 1653508 h 3163078"/>
            <a:gd name="connsiteX70" fmla="*/ 808524 w 3163078"/>
            <a:gd name="connsiteY70" fmla="*/ 1658082 h 3163078"/>
            <a:gd name="connsiteX71" fmla="*/ 817683 w 3163078"/>
            <a:gd name="connsiteY71" fmla="*/ 1718094 h 3163078"/>
            <a:gd name="connsiteX72" fmla="*/ 1493463 w 3163078"/>
            <a:gd name="connsiteY72" fmla="*/ 2329073 h 3163078"/>
            <a:gd name="connsiteX73" fmla="*/ 1495532 w 3163078"/>
            <a:gd name="connsiteY73" fmla="*/ 2329177 h 3163078"/>
            <a:gd name="connsiteX74" fmla="*/ 1495532 w 3163078"/>
            <a:gd name="connsiteY74" fmla="*/ 2306691 h 3163078"/>
            <a:gd name="connsiteX75" fmla="*/ 1600200 w 3163078"/>
            <a:gd name="connsiteY75" fmla="*/ 2202023 h 3163078"/>
            <a:gd name="connsiteX76" fmla="*/ 1600200 w 3163078"/>
            <a:gd name="connsiteY76" fmla="*/ 2202022 h 3163078"/>
            <a:gd name="connsiteX77" fmla="*/ 1704868 w 3163078"/>
            <a:gd name="connsiteY77" fmla="*/ 2306690 h 3163078"/>
            <a:gd name="connsiteX78" fmla="*/ 1704868 w 3163078"/>
            <a:gd name="connsiteY78" fmla="*/ 2320844 h 3163078"/>
            <a:gd name="connsiteX79" fmla="*/ 1727425 w 3163078"/>
            <a:gd name="connsiteY79" fmla="*/ 2317402 h 3163078"/>
            <a:gd name="connsiteX80" fmla="*/ 2326733 w 3163078"/>
            <a:gd name="connsiteY80" fmla="*/ 1718094 h 3163078"/>
            <a:gd name="connsiteX81" fmla="*/ 2335902 w 3163078"/>
            <a:gd name="connsiteY81" fmla="*/ 1658015 h 3163078"/>
            <a:gd name="connsiteX82" fmla="*/ 2296149 w 3163078"/>
            <a:gd name="connsiteY82" fmla="*/ 1649989 h 3163078"/>
            <a:gd name="connsiteX83" fmla="*/ 2232222 w 3163078"/>
            <a:gd name="connsiteY83" fmla="*/ 1553546 h 3163078"/>
            <a:gd name="connsiteX84" fmla="*/ 2232221 w 3163078"/>
            <a:gd name="connsiteY84" fmla="*/ 1553546 h 3163078"/>
            <a:gd name="connsiteX85" fmla="*/ 2296148 w 3163078"/>
            <a:gd name="connsiteY85" fmla="*/ 1457103 h 3163078"/>
            <a:gd name="connsiteX86" fmla="*/ 2333139 w 3163078"/>
            <a:gd name="connsiteY86" fmla="*/ 1449635 h 3163078"/>
            <a:gd name="connsiteX87" fmla="*/ 2326733 w 3163078"/>
            <a:gd name="connsiteY87" fmla="*/ 1407661 h 3163078"/>
            <a:gd name="connsiteX88" fmla="*/ 1727425 w 3163078"/>
            <a:gd name="connsiteY88" fmla="*/ 808352 h 3163078"/>
            <a:gd name="connsiteX89" fmla="*/ 1704868 w 3163078"/>
            <a:gd name="connsiteY89" fmla="*/ 804910 h 3163078"/>
            <a:gd name="connsiteX90" fmla="*/ 1704868 w 3163078"/>
            <a:gd name="connsiteY90" fmla="*/ 809732 h 3163078"/>
            <a:gd name="connsiteX91" fmla="*/ 1640942 w 3163078"/>
            <a:gd name="connsiteY91" fmla="*/ 906175 h 3163078"/>
            <a:gd name="connsiteX92" fmla="*/ 1600201 w 3163078"/>
            <a:gd name="connsiteY92" fmla="*/ 914400 h 3163078"/>
            <a:gd name="connsiteX93" fmla="*/ 1559460 w 3163078"/>
            <a:gd name="connsiteY93" fmla="*/ 906175 h 3163078"/>
            <a:gd name="connsiteX94" fmla="*/ 1495533 w 3163078"/>
            <a:gd name="connsiteY94" fmla="*/ 809732 h 3163078"/>
            <a:gd name="connsiteX95" fmla="*/ 1704868 w 3163078"/>
            <a:gd name="connsiteY95" fmla="*/ 246369 h 3163078"/>
            <a:gd name="connsiteX96" fmla="*/ 1704868 w 3163078"/>
            <a:gd name="connsiteY96" fmla="*/ 665592 h 3163078"/>
            <a:gd name="connsiteX97" fmla="*/ 1755212 w 3163078"/>
            <a:gd name="connsiteY97" fmla="*/ 673275 h 3163078"/>
            <a:gd name="connsiteX98" fmla="*/ 2461810 w 3163078"/>
            <a:gd name="connsiteY98" fmla="*/ 1379873 h 3163078"/>
            <a:gd name="connsiteX99" fmla="*/ 2472341 w 3163078"/>
            <a:gd name="connsiteY99" fmla="*/ 1448878 h 3163078"/>
            <a:gd name="connsiteX100" fmla="*/ 2916238 w 3163078"/>
            <a:gd name="connsiteY100" fmla="*/ 1448878 h 3163078"/>
            <a:gd name="connsiteX101" fmla="*/ 2916012 w 3163078"/>
            <a:gd name="connsiteY101" fmla="*/ 1444389 h 3163078"/>
            <a:gd name="connsiteX102" fmla="*/ 1718689 w 3163078"/>
            <a:gd name="connsiteY102" fmla="*/ 247066 h 3163078"/>
            <a:gd name="connsiteX103" fmla="*/ 1495532 w 3163078"/>
            <a:gd name="connsiteY103" fmla="*/ 244484 h 3163078"/>
            <a:gd name="connsiteX104" fmla="*/ 1444389 w 3163078"/>
            <a:gd name="connsiteY104" fmla="*/ 247066 h 3163078"/>
            <a:gd name="connsiteX105" fmla="*/ 247066 w 3163078"/>
            <a:gd name="connsiteY105" fmla="*/ 1444389 h 3163078"/>
            <a:gd name="connsiteX106" fmla="*/ 246840 w 3163078"/>
            <a:gd name="connsiteY106" fmla="*/ 1448878 h 3163078"/>
            <a:gd name="connsiteX107" fmla="*/ 672075 w 3163078"/>
            <a:gd name="connsiteY107" fmla="*/ 1448878 h 3163078"/>
            <a:gd name="connsiteX108" fmla="*/ 682606 w 3163078"/>
            <a:gd name="connsiteY108" fmla="*/ 1379873 h 3163078"/>
            <a:gd name="connsiteX109" fmla="*/ 1479365 w 3163078"/>
            <a:gd name="connsiteY109" fmla="*/ 659515 h 3163078"/>
            <a:gd name="connsiteX110" fmla="*/ 1495533 w 3163078"/>
            <a:gd name="connsiteY110" fmla="*/ 658699 h 3163078"/>
            <a:gd name="connsiteX111" fmla="*/ 1581539 w 3163078"/>
            <a:gd name="connsiteY111" fmla="*/ 0 h 3163078"/>
            <a:gd name="connsiteX112" fmla="*/ 3163078 w 3163078"/>
            <a:gd name="connsiteY112" fmla="*/ 1581539 h 3163078"/>
            <a:gd name="connsiteX113" fmla="*/ 1581539 w 3163078"/>
            <a:gd name="connsiteY113" fmla="*/ 3163078 h 3163078"/>
            <a:gd name="connsiteX114" fmla="*/ 0 w 3163078"/>
            <a:gd name="connsiteY114" fmla="*/ 1581539 h 3163078"/>
            <a:gd name="connsiteX115" fmla="*/ 1581539 w 3163078"/>
            <a:gd name="connsiteY115" fmla="*/ 0 h 31630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Lst>
          <a:rect l="l" t="t" r="r" b="b"/>
          <a:pathLst>
            <a:path w="3163078" h="3163078">
              <a:moveTo>
                <a:pt x="669226" y="1658213"/>
              </a:moveTo>
              <a:lnTo>
                <a:pt x="244013" y="1658214"/>
              </a:lnTo>
              <a:lnTo>
                <a:pt x="247066" y="1718689"/>
              </a:lnTo>
              <a:cubicBezTo>
                <a:pt x="311180" y="2350004"/>
                <a:pt x="813074" y="2851898"/>
                <a:pt x="1444389" y="2916012"/>
              </a:cubicBezTo>
              <a:lnTo>
                <a:pt x="1499820" y="2918811"/>
              </a:lnTo>
              <a:lnTo>
                <a:pt x="1495533" y="2890456"/>
              </a:lnTo>
              <a:lnTo>
                <a:pt x="1495533" y="2467055"/>
              </a:lnTo>
              <a:lnTo>
                <a:pt x="1479365" y="2466239"/>
              </a:lnTo>
              <a:cubicBezTo>
                <a:pt x="1082527" y="2425938"/>
                <a:pt x="761230" y="2130108"/>
                <a:pt x="682606" y="1745881"/>
              </a:cubicBezTo>
              <a:close/>
              <a:moveTo>
                <a:pt x="2919066" y="1658213"/>
              </a:moveTo>
              <a:lnTo>
                <a:pt x="2475189" y="1658214"/>
              </a:lnTo>
              <a:lnTo>
                <a:pt x="2461810" y="1745881"/>
              </a:lnTo>
              <a:cubicBezTo>
                <a:pt x="2389234" y="2100552"/>
                <a:pt x="2109883" y="2379903"/>
                <a:pt x="1755212" y="2452479"/>
              </a:cubicBezTo>
              <a:lnTo>
                <a:pt x="1704868" y="2460162"/>
              </a:lnTo>
              <a:lnTo>
                <a:pt x="1704868" y="2890456"/>
              </a:lnTo>
              <a:lnTo>
                <a:pt x="1700869" y="2916912"/>
              </a:lnTo>
              <a:lnTo>
                <a:pt x="1718689" y="2916012"/>
              </a:lnTo>
              <a:cubicBezTo>
                <a:pt x="2350004" y="2851898"/>
                <a:pt x="2851898" y="2350004"/>
                <a:pt x="2916012" y="1718689"/>
              </a:cubicBezTo>
              <a:close/>
              <a:moveTo>
                <a:pt x="1665289" y="1628851"/>
              </a:moveTo>
              <a:lnTo>
                <a:pt x="1665289" y="1751958"/>
              </a:lnTo>
              <a:cubicBezTo>
                <a:pt x="1694879" y="1748958"/>
                <a:pt x="1720207" y="1742679"/>
                <a:pt x="1741278" y="1733090"/>
              </a:cubicBezTo>
              <a:cubicBezTo>
                <a:pt x="1762349" y="1723161"/>
                <a:pt x="1772883" y="1708747"/>
                <a:pt x="1772883" y="1689910"/>
              </a:cubicBezTo>
              <a:cubicBezTo>
                <a:pt x="1772883" y="1670702"/>
                <a:pt x="1760778" y="1656473"/>
                <a:pt x="1736568" y="1647194"/>
              </a:cubicBezTo>
              <a:cubicBezTo>
                <a:pt x="1712812" y="1637605"/>
                <a:pt x="1689050" y="1631481"/>
                <a:pt x="1665289" y="1628851"/>
              </a:cubicBezTo>
              <a:close/>
              <a:moveTo>
                <a:pt x="1561731" y="1346387"/>
              </a:moveTo>
              <a:cubicBezTo>
                <a:pt x="1532146" y="1348026"/>
                <a:pt x="1505469" y="1353656"/>
                <a:pt x="1481712" y="1363245"/>
              </a:cubicBezTo>
              <a:cubicBezTo>
                <a:pt x="1458399" y="1372524"/>
                <a:pt x="1446742" y="1385763"/>
                <a:pt x="1446742" y="1402960"/>
              </a:cubicBezTo>
              <a:cubicBezTo>
                <a:pt x="1446742" y="1418519"/>
                <a:pt x="1454364" y="1430613"/>
                <a:pt x="1469607" y="1439212"/>
              </a:cubicBezTo>
              <a:cubicBezTo>
                <a:pt x="1484850" y="1447811"/>
                <a:pt x="1515558" y="1455265"/>
                <a:pt x="1561731" y="1461544"/>
              </a:cubicBezTo>
              <a:close/>
              <a:moveTo>
                <a:pt x="1550971" y="1101133"/>
              </a:moveTo>
              <a:lnTo>
                <a:pt x="1667979" y="1101133"/>
              </a:lnTo>
              <a:lnTo>
                <a:pt x="1667979" y="1215826"/>
              </a:lnTo>
              <a:cubicBezTo>
                <a:pt x="1709225" y="1217125"/>
                <a:pt x="1757418" y="1221424"/>
                <a:pt x="1812557" y="1228724"/>
              </a:cubicBezTo>
              <a:cubicBezTo>
                <a:pt x="1868149" y="1235993"/>
                <a:pt x="1911859" y="1244437"/>
                <a:pt x="1943685" y="1254026"/>
              </a:cubicBezTo>
              <a:lnTo>
                <a:pt x="1943685" y="1397021"/>
              </a:lnTo>
              <a:lnTo>
                <a:pt x="1914100" y="1397021"/>
              </a:lnTo>
              <a:cubicBezTo>
                <a:pt x="1882269" y="1383443"/>
                <a:pt x="1845285" y="1372184"/>
                <a:pt x="1803142" y="1363245"/>
              </a:cubicBezTo>
              <a:cubicBezTo>
                <a:pt x="1761004" y="1354305"/>
                <a:pt x="1715950" y="1348676"/>
                <a:pt x="1667979" y="1346387"/>
              </a:cubicBezTo>
              <a:lnTo>
                <a:pt x="1667979" y="1472463"/>
              </a:lnTo>
              <a:lnTo>
                <a:pt x="1721778" y="1480412"/>
              </a:lnTo>
              <a:cubicBezTo>
                <a:pt x="1823095" y="1494981"/>
                <a:pt x="1897512" y="1517128"/>
                <a:pt x="1945030" y="1546914"/>
              </a:cubicBezTo>
              <a:cubicBezTo>
                <a:pt x="1993001" y="1576392"/>
                <a:pt x="2016984" y="1617592"/>
                <a:pt x="2016984" y="1670547"/>
              </a:cubicBezTo>
              <a:cubicBezTo>
                <a:pt x="2016984" y="1726471"/>
                <a:pt x="1985153" y="1774445"/>
                <a:pt x="1921495" y="1814501"/>
              </a:cubicBezTo>
              <a:cubicBezTo>
                <a:pt x="1857838" y="1854557"/>
                <a:pt x="1773331" y="1877230"/>
                <a:pt x="1667979" y="1882519"/>
              </a:cubicBezTo>
              <a:lnTo>
                <a:pt x="1667979" y="2062725"/>
              </a:lnTo>
              <a:lnTo>
                <a:pt x="1550971" y="2062725"/>
              </a:lnTo>
              <a:lnTo>
                <a:pt x="1550971" y="1885489"/>
              </a:lnTo>
              <a:cubicBezTo>
                <a:pt x="1500763" y="1885148"/>
                <a:pt x="1442708" y="1880694"/>
                <a:pt x="1376808" y="1872095"/>
              </a:cubicBezTo>
              <a:cubicBezTo>
                <a:pt x="1310909" y="1863496"/>
                <a:pt x="1259352" y="1852732"/>
                <a:pt x="1222145" y="1839803"/>
              </a:cubicBezTo>
              <a:lnTo>
                <a:pt x="1222145" y="1694859"/>
              </a:lnTo>
              <a:lnTo>
                <a:pt x="1252405" y="1694859"/>
              </a:lnTo>
              <a:cubicBezTo>
                <a:pt x="1293646" y="1711407"/>
                <a:pt x="1340942" y="1724646"/>
                <a:pt x="1394293" y="1734575"/>
              </a:cubicBezTo>
              <a:cubicBezTo>
                <a:pt x="1448087" y="1744503"/>
                <a:pt x="1501438" y="1750968"/>
                <a:pt x="1554336" y="1753938"/>
              </a:cubicBezTo>
              <a:lnTo>
                <a:pt x="1554336" y="1617902"/>
              </a:lnTo>
              <a:lnTo>
                <a:pt x="1489107" y="1606983"/>
              </a:lnTo>
              <a:cubicBezTo>
                <a:pt x="1447865" y="1600054"/>
                <a:pt x="1409758" y="1591951"/>
                <a:pt x="1374789" y="1582671"/>
              </a:cubicBezTo>
              <a:cubicBezTo>
                <a:pt x="1340272" y="1573392"/>
                <a:pt x="1310461" y="1561174"/>
                <a:pt x="1285355" y="1545925"/>
              </a:cubicBezTo>
              <a:cubicBezTo>
                <a:pt x="1260249" y="1530707"/>
                <a:pt x="1240749" y="1512024"/>
                <a:pt x="1226851" y="1489847"/>
              </a:cubicBezTo>
              <a:cubicBezTo>
                <a:pt x="1212953" y="1467328"/>
                <a:pt x="1206006" y="1439707"/>
                <a:pt x="1206006" y="1406950"/>
              </a:cubicBezTo>
              <a:cubicBezTo>
                <a:pt x="1206006" y="1357615"/>
                <a:pt x="1236487" y="1315425"/>
                <a:pt x="1297459" y="1280349"/>
              </a:cubicBezTo>
              <a:cubicBezTo>
                <a:pt x="1358427" y="1245272"/>
                <a:pt x="1442934" y="1224084"/>
                <a:pt x="1550971" y="1216816"/>
              </a:cubicBezTo>
              <a:close/>
              <a:moveTo>
                <a:pt x="1495533" y="796577"/>
              </a:moveTo>
              <a:lnTo>
                <a:pt x="1493463" y="796681"/>
              </a:lnTo>
              <a:cubicBezTo>
                <a:pt x="1156880" y="830863"/>
                <a:pt x="884369" y="1081774"/>
                <a:pt x="817683" y="1407661"/>
              </a:cubicBezTo>
              <a:lnTo>
                <a:pt x="811308" y="1449430"/>
              </a:lnTo>
              <a:lnTo>
                <a:pt x="838783" y="1453584"/>
              </a:lnTo>
              <a:cubicBezTo>
                <a:pt x="868280" y="1462758"/>
                <a:pt x="892184" y="1484629"/>
                <a:pt x="904101" y="1512804"/>
              </a:cubicBezTo>
              <a:lnTo>
                <a:pt x="912326" y="1553546"/>
              </a:lnTo>
              <a:lnTo>
                <a:pt x="904101" y="1594287"/>
              </a:lnTo>
              <a:cubicBezTo>
                <a:pt x="892184" y="1622462"/>
                <a:pt x="868280" y="1644333"/>
                <a:pt x="838783" y="1653508"/>
              </a:cubicBezTo>
              <a:lnTo>
                <a:pt x="808524" y="1658082"/>
              </a:lnTo>
              <a:lnTo>
                <a:pt x="817683" y="1718094"/>
              </a:lnTo>
              <a:cubicBezTo>
                <a:pt x="884369" y="2043980"/>
                <a:pt x="1156880" y="2294891"/>
                <a:pt x="1493463" y="2329073"/>
              </a:cubicBezTo>
              <a:lnTo>
                <a:pt x="1495532" y="2329177"/>
              </a:lnTo>
              <a:lnTo>
                <a:pt x="1495532" y="2306691"/>
              </a:lnTo>
              <a:cubicBezTo>
                <a:pt x="1495532" y="2248884"/>
                <a:pt x="1542393" y="2202023"/>
                <a:pt x="1600200" y="2202023"/>
              </a:cubicBezTo>
              <a:lnTo>
                <a:pt x="1600200" y="2202022"/>
              </a:lnTo>
              <a:cubicBezTo>
                <a:pt x="1658007" y="2202022"/>
                <a:pt x="1704868" y="2248883"/>
                <a:pt x="1704868" y="2306690"/>
              </a:cubicBezTo>
              <a:lnTo>
                <a:pt x="1704868" y="2320844"/>
              </a:lnTo>
              <a:lnTo>
                <a:pt x="1727425" y="2317402"/>
              </a:lnTo>
              <a:cubicBezTo>
                <a:pt x="2028243" y="2255846"/>
                <a:pt x="2265177" y="2018912"/>
                <a:pt x="2326733" y="1718094"/>
              </a:cubicBezTo>
              <a:lnTo>
                <a:pt x="2335902" y="1658015"/>
              </a:lnTo>
              <a:lnTo>
                <a:pt x="2296149" y="1649989"/>
              </a:lnTo>
              <a:cubicBezTo>
                <a:pt x="2258582" y="1634099"/>
                <a:pt x="2232222" y="1596901"/>
                <a:pt x="2232222" y="1553546"/>
              </a:cubicBezTo>
              <a:lnTo>
                <a:pt x="2232221" y="1553546"/>
              </a:lnTo>
              <a:cubicBezTo>
                <a:pt x="2232221" y="1510191"/>
                <a:pt x="2258581" y="1472993"/>
                <a:pt x="2296148" y="1457103"/>
              </a:cubicBezTo>
              <a:lnTo>
                <a:pt x="2333139" y="1449635"/>
              </a:lnTo>
              <a:lnTo>
                <a:pt x="2326733" y="1407661"/>
              </a:lnTo>
              <a:cubicBezTo>
                <a:pt x="2265177" y="1106843"/>
                <a:pt x="2028243" y="869908"/>
                <a:pt x="1727425" y="808352"/>
              </a:cubicBezTo>
              <a:lnTo>
                <a:pt x="1704868" y="804910"/>
              </a:lnTo>
              <a:lnTo>
                <a:pt x="1704868" y="809732"/>
              </a:lnTo>
              <a:cubicBezTo>
                <a:pt x="1704868" y="853087"/>
                <a:pt x="1678509" y="890285"/>
                <a:pt x="1640942" y="906175"/>
              </a:cubicBezTo>
              <a:lnTo>
                <a:pt x="1600201" y="914400"/>
              </a:lnTo>
              <a:lnTo>
                <a:pt x="1559460" y="906175"/>
              </a:lnTo>
              <a:cubicBezTo>
                <a:pt x="1521893" y="890285"/>
                <a:pt x="1495533" y="853087"/>
                <a:pt x="1495533" y="809732"/>
              </a:cubicBezTo>
              <a:close/>
              <a:moveTo>
                <a:pt x="1704868" y="246369"/>
              </a:moveTo>
              <a:lnTo>
                <a:pt x="1704868" y="665592"/>
              </a:lnTo>
              <a:lnTo>
                <a:pt x="1755212" y="673275"/>
              </a:lnTo>
              <a:cubicBezTo>
                <a:pt x="2109883" y="745852"/>
                <a:pt x="2389234" y="1025202"/>
                <a:pt x="2461810" y="1379873"/>
              </a:cubicBezTo>
              <a:lnTo>
                <a:pt x="2472341" y="1448878"/>
              </a:lnTo>
              <a:lnTo>
                <a:pt x="2916238" y="1448878"/>
              </a:lnTo>
              <a:lnTo>
                <a:pt x="2916012" y="1444389"/>
              </a:lnTo>
              <a:cubicBezTo>
                <a:pt x="2851898" y="813074"/>
                <a:pt x="2350004" y="311180"/>
                <a:pt x="1718689" y="247066"/>
              </a:cubicBezTo>
              <a:close/>
              <a:moveTo>
                <a:pt x="1495532" y="244484"/>
              </a:moveTo>
              <a:lnTo>
                <a:pt x="1444389" y="247066"/>
              </a:lnTo>
              <a:cubicBezTo>
                <a:pt x="813074" y="311180"/>
                <a:pt x="311180" y="813074"/>
                <a:pt x="247066" y="1444389"/>
              </a:cubicBezTo>
              <a:lnTo>
                <a:pt x="246840" y="1448878"/>
              </a:lnTo>
              <a:lnTo>
                <a:pt x="672075" y="1448878"/>
              </a:lnTo>
              <a:lnTo>
                <a:pt x="682606" y="1379873"/>
              </a:lnTo>
              <a:cubicBezTo>
                <a:pt x="761230" y="995646"/>
                <a:pt x="1082527" y="699816"/>
                <a:pt x="1479365" y="659515"/>
              </a:cubicBezTo>
              <a:lnTo>
                <a:pt x="1495533" y="658699"/>
              </a:lnTo>
              <a:close/>
              <a:moveTo>
                <a:pt x="1581539" y="0"/>
              </a:moveTo>
              <a:cubicBezTo>
                <a:pt x="2454999" y="0"/>
                <a:pt x="3163078" y="708079"/>
                <a:pt x="3163078" y="1581539"/>
              </a:cubicBezTo>
              <a:cubicBezTo>
                <a:pt x="3163078" y="2454999"/>
                <a:pt x="2454999" y="3163078"/>
                <a:pt x="1581539" y="3163078"/>
              </a:cubicBezTo>
              <a:cubicBezTo>
                <a:pt x="708079" y="3163078"/>
                <a:pt x="0" y="2454999"/>
                <a:pt x="0" y="1581539"/>
              </a:cubicBezTo>
              <a:cubicBezTo>
                <a:pt x="0" y="708079"/>
                <a:pt x="708079" y="0"/>
                <a:pt x="1581539" y="0"/>
              </a:cubicBezTo>
              <a:close/>
            </a:path>
          </a:pathLst>
        </a:custGeom>
        <a:solidFill>
          <a:sysClr val="window" lastClr="FFFFFF"/>
        </a:solidFill>
        <a:ln w="35341"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519952</xdr:colOff>
      <xdr:row>3</xdr:row>
      <xdr:rowOff>170327</xdr:rowOff>
    </xdr:from>
    <xdr:to>
      <xdr:col>2</xdr:col>
      <xdr:colOff>94491</xdr:colOff>
      <xdr:row>9</xdr:row>
      <xdr:rowOff>98611</xdr:rowOff>
    </xdr:to>
    <xdr:grpSp>
      <xdr:nvGrpSpPr>
        <xdr:cNvPr id="40" name="Group 39">
          <a:extLst>
            <a:ext uri="{FF2B5EF4-FFF2-40B4-BE49-F238E27FC236}">
              <a16:creationId xmlns:a16="http://schemas.microsoft.com/office/drawing/2014/main" id="{00000000-0008-0000-0100-000028000000}"/>
            </a:ext>
          </a:extLst>
        </xdr:cNvPr>
        <xdr:cNvGrpSpPr/>
      </xdr:nvGrpSpPr>
      <xdr:grpSpPr>
        <a:xfrm>
          <a:off x="519952" y="760877"/>
          <a:ext cx="1225539" cy="1109384"/>
          <a:chOff x="0" y="0"/>
          <a:chExt cx="3878604" cy="3794658"/>
        </a:xfrm>
        <a:solidFill>
          <a:sysClr val="window" lastClr="FFFFFF"/>
        </a:solidFill>
      </xdr:grpSpPr>
      <xdr:sp macro="" textlink="">
        <xdr:nvSpPr>
          <xdr:cNvPr id="41" name="Freeform: Shape 49">
            <a:extLst>
              <a:ext uri="{FF2B5EF4-FFF2-40B4-BE49-F238E27FC236}">
                <a16:creationId xmlns:a16="http://schemas.microsoft.com/office/drawing/2014/main" id="{00000000-0008-0000-0100-000029000000}"/>
              </a:ext>
            </a:extLst>
          </xdr:cNvPr>
          <xdr:cNvSpPr/>
        </xdr:nvSpPr>
        <xdr:spPr>
          <a:xfrm>
            <a:off x="1567237" y="24810"/>
            <a:ext cx="2311367" cy="2470875"/>
          </a:xfrm>
          <a:custGeom>
            <a:avLst/>
            <a:gdLst>
              <a:gd name="connsiteX0" fmla="*/ 216 w 2257633"/>
              <a:gd name="connsiteY0" fmla="*/ 1936113 h 2405021"/>
              <a:gd name="connsiteX1" fmla="*/ 361980 w 2257633"/>
              <a:gd name="connsiteY1" fmla="*/ 2405050 h 2405021"/>
              <a:gd name="connsiteX2" fmla="*/ 1159200 w 2257633"/>
              <a:gd name="connsiteY2" fmla="*/ 1694949 h 2405021"/>
              <a:gd name="connsiteX3" fmla="*/ 998424 w 2257633"/>
              <a:gd name="connsiteY3" fmla="*/ 1406877 h 2405021"/>
              <a:gd name="connsiteX4" fmla="*/ 2164069 w 2257633"/>
              <a:gd name="connsiteY4" fmla="*/ 944626 h 2405021"/>
              <a:gd name="connsiteX5" fmla="*/ 2157373 w 2257633"/>
              <a:gd name="connsiteY5" fmla="*/ 221105 h 2405021"/>
              <a:gd name="connsiteX6" fmla="*/ 2257849 w 2257633"/>
              <a:gd name="connsiteY6" fmla="*/ 221105 h 2405021"/>
              <a:gd name="connsiteX7" fmla="*/ 2110501 w 2257633"/>
              <a:gd name="connsiteY7" fmla="*/ 29 h 2405021"/>
              <a:gd name="connsiteX8" fmla="*/ 1963117 w 2257633"/>
              <a:gd name="connsiteY8" fmla="*/ 214405 h 2405021"/>
              <a:gd name="connsiteX9" fmla="*/ 2066401 w 2257633"/>
              <a:gd name="connsiteY9" fmla="*/ 217958 h 2405021"/>
              <a:gd name="connsiteX10" fmla="*/ 2050201 w 2257633"/>
              <a:gd name="connsiteY10" fmla="*/ 703451 h 2405021"/>
              <a:gd name="connsiteX11" fmla="*/ 375372 w 2257633"/>
              <a:gd name="connsiteY11" fmla="*/ 1205896 h 2405021"/>
              <a:gd name="connsiteX12" fmla="*/ 596448 w 2257633"/>
              <a:gd name="connsiteY12" fmla="*/ 160786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63854 w 2311368"/>
              <a:gd name="connsiteY4" fmla="*/ 944598 h 2405021"/>
              <a:gd name="connsiteX5" fmla="*/ 2157158 w 2311368"/>
              <a:gd name="connsiteY5" fmla="*/ 221077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63854 w 2311368"/>
              <a:gd name="connsiteY4" fmla="*/ 944598 h 2405021"/>
              <a:gd name="connsiteX5" fmla="*/ 2157158 w 2311368"/>
              <a:gd name="connsiteY5" fmla="*/ 221077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157158 w 2311368"/>
              <a:gd name="connsiteY5" fmla="*/ 221077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210894 w 2311368"/>
              <a:gd name="connsiteY5" fmla="*/ 221078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210894 w 2311368"/>
              <a:gd name="connsiteY5" fmla="*/ 221078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210894 w 2311368"/>
              <a:gd name="connsiteY5" fmla="*/ 221078 h 2405021"/>
              <a:gd name="connsiteX6" fmla="*/ 2311368 w 2311368"/>
              <a:gd name="connsiteY6" fmla="*/ 221077 h 2405021"/>
              <a:gd name="connsiteX7" fmla="*/ 2157304 w 2311368"/>
              <a:gd name="connsiteY7" fmla="*/ 0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2001937 h 2470873"/>
              <a:gd name="connsiteX1" fmla="*/ 361765 w 2311368"/>
              <a:gd name="connsiteY1" fmla="*/ 2470874 h 2470873"/>
              <a:gd name="connsiteX2" fmla="*/ 1158985 w 2311368"/>
              <a:gd name="connsiteY2" fmla="*/ 1760773 h 2470873"/>
              <a:gd name="connsiteX3" fmla="*/ 998209 w 2311368"/>
              <a:gd name="connsiteY3" fmla="*/ 1472701 h 2470873"/>
              <a:gd name="connsiteX4" fmla="*/ 2197439 w 2311368"/>
              <a:gd name="connsiteY4" fmla="*/ 1010449 h 2470873"/>
              <a:gd name="connsiteX5" fmla="*/ 2210894 w 2311368"/>
              <a:gd name="connsiteY5" fmla="*/ 286930 h 2470873"/>
              <a:gd name="connsiteX6" fmla="*/ 2311368 w 2311368"/>
              <a:gd name="connsiteY6" fmla="*/ 286929 h 2470873"/>
              <a:gd name="connsiteX7" fmla="*/ 2164021 w 2311368"/>
              <a:gd name="connsiteY7" fmla="*/ 0 h 2470873"/>
              <a:gd name="connsiteX8" fmla="*/ 1962902 w 2311368"/>
              <a:gd name="connsiteY8" fmla="*/ 280229 h 2470873"/>
              <a:gd name="connsiteX9" fmla="*/ 2066186 w 2311368"/>
              <a:gd name="connsiteY9" fmla="*/ 283782 h 2470873"/>
              <a:gd name="connsiteX10" fmla="*/ 2049986 w 2311368"/>
              <a:gd name="connsiteY10" fmla="*/ 769275 h 2470873"/>
              <a:gd name="connsiteX11" fmla="*/ 375157 w 2311368"/>
              <a:gd name="connsiteY11" fmla="*/ 1271720 h 2470873"/>
              <a:gd name="connsiteX12" fmla="*/ 596233 w 2311368"/>
              <a:gd name="connsiteY12" fmla="*/ 1673689 h 2470873"/>
              <a:gd name="connsiteX13" fmla="*/ 1 w 2311368"/>
              <a:gd name="connsiteY13" fmla="*/ 2001937 h 2470873"/>
              <a:gd name="connsiteX0" fmla="*/ 1 w 2311368"/>
              <a:gd name="connsiteY0" fmla="*/ 2001937 h 2470873"/>
              <a:gd name="connsiteX1" fmla="*/ 361765 w 2311368"/>
              <a:gd name="connsiteY1" fmla="*/ 2470874 h 2470873"/>
              <a:gd name="connsiteX2" fmla="*/ 1158985 w 2311368"/>
              <a:gd name="connsiteY2" fmla="*/ 1760773 h 2470873"/>
              <a:gd name="connsiteX3" fmla="*/ 998209 w 2311368"/>
              <a:gd name="connsiteY3" fmla="*/ 1472701 h 2470873"/>
              <a:gd name="connsiteX4" fmla="*/ 2217590 w 2311368"/>
              <a:gd name="connsiteY4" fmla="*/ 1010449 h 2470873"/>
              <a:gd name="connsiteX5" fmla="*/ 2210894 w 2311368"/>
              <a:gd name="connsiteY5" fmla="*/ 286930 h 2470873"/>
              <a:gd name="connsiteX6" fmla="*/ 2311368 w 2311368"/>
              <a:gd name="connsiteY6" fmla="*/ 286929 h 2470873"/>
              <a:gd name="connsiteX7" fmla="*/ 2164021 w 2311368"/>
              <a:gd name="connsiteY7" fmla="*/ 0 h 2470873"/>
              <a:gd name="connsiteX8" fmla="*/ 1962902 w 2311368"/>
              <a:gd name="connsiteY8" fmla="*/ 280229 h 2470873"/>
              <a:gd name="connsiteX9" fmla="*/ 2066186 w 2311368"/>
              <a:gd name="connsiteY9" fmla="*/ 283782 h 2470873"/>
              <a:gd name="connsiteX10" fmla="*/ 2049986 w 2311368"/>
              <a:gd name="connsiteY10" fmla="*/ 769275 h 2470873"/>
              <a:gd name="connsiteX11" fmla="*/ 375157 w 2311368"/>
              <a:gd name="connsiteY11" fmla="*/ 1271720 h 2470873"/>
              <a:gd name="connsiteX12" fmla="*/ 596233 w 2311368"/>
              <a:gd name="connsiteY12" fmla="*/ 1673689 h 2470873"/>
              <a:gd name="connsiteX13" fmla="*/ 1 w 2311368"/>
              <a:gd name="connsiteY13" fmla="*/ 2001937 h 2470873"/>
              <a:gd name="connsiteX0" fmla="*/ 1 w 2311368"/>
              <a:gd name="connsiteY0" fmla="*/ 2001937 h 2470873"/>
              <a:gd name="connsiteX1" fmla="*/ 361765 w 2311368"/>
              <a:gd name="connsiteY1" fmla="*/ 2470874 h 2470873"/>
              <a:gd name="connsiteX2" fmla="*/ 1158985 w 2311368"/>
              <a:gd name="connsiteY2" fmla="*/ 1760773 h 2470873"/>
              <a:gd name="connsiteX3" fmla="*/ 998209 w 2311368"/>
              <a:gd name="connsiteY3" fmla="*/ 1472701 h 2470873"/>
              <a:gd name="connsiteX4" fmla="*/ 2217590 w 2311368"/>
              <a:gd name="connsiteY4" fmla="*/ 1010449 h 2470873"/>
              <a:gd name="connsiteX5" fmla="*/ 2210894 w 2311368"/>
              <a:gd name="connsiteY5" fmla="*/ 286930 h 2470873"/>
              <a:gd name="connsiteX6" fmla="*/ 2311368 w 2311368"/>
              <a:gd name="connsiteY6" fmla="*/ 286929 h 2470873"/>
              <a:gd name="connsiteX7" fmla="*/ 2164021 w 2311368"/>
              <a:gd name="connsiteY7" fmla="*/ 0 h 2470873"/>
              <a:gd name="connsiteX8" fmla="*/ 1962902 w 2311368"/>
              <a:gd name="connsiteY8" fmla="*/ 280229 h 2470873"/>
              <a:gd name="connsiteX9" fmla="*/ 2066186 w 2311368"/>
              <a:gd name="connsiteY9" fmla="*/ 283782 h 2470873"/>
              <a:gd name="connsiteX10" fmla="*/ 2049986 w 2311368"/>
              <a:gd name="connsiteY10" fmla="*/ 769275 h 2470873"/>
              <a:gd name="connsiteX11" fmla="*/ 375157 w 2311368"/>
              <a:gd name="connsiteY11" fmla="*/ 1271720 h 2470873"/>
              <a:gd name="connsiteX12" fmla="*/ 596233 w 2311368"/>
              <a:gd name="connsiteY12" fmla="*/ 1673689 h 2470873"/>
              <a:gd name="connsiteX13" fmla="*/ 1 w 2311368"/>
              <a:gd name="connsiteY13" fmla="*/ 2001937 h 247087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2311368" h="2470873">
                <a:moveTo>
                  <a:pt x="1" y="2001937"/>
                </a:moveTo>
                <a:cubicBezTo>
                  <a:pt x="230617" y="2202278"/>
                  <a:pt x="307405" y="2341058"/>
                  <a:pt x="361765" y="2470874"/>
                </a:cubicBezTo>
                <a:lnTo>
                  <a:pt x="1158985" y="1760773"/>
                </a:lnTo>
                <a:lnTo>
                  <a:pt x="998209" y="1472701"/>
                </a:lnTo>
                <a:cubicBezTo>
                  <a:pt x="998209" y="1472701"/>
                  <a:pt x="1952386" y="1136105"/>
                  <a:pt x="2217590" y="1010449"/>
                </a:cubicBezTo>
                <a:cubicBezTo>
                  <a:pt x="2239842" y="999906"/>
                  <a:pt x="2210894" y="286930"/>
                  <a:pt x="2210894" y="286930"/>
                </a:cubicBezTo>
                <a:lnTo>
                  <a:pt x="2311368" y="286929"/>
                </a:lnTo>
                <a:lnTo>
                  <a:pt x="2164021" y="0"/>
                </a:lnTo>
                <a:lnTo>
                  <a:pt x="1962902" y="280229"/>
                </a:lnTo>
                <a:lnTo>
                  <a:pt x="2066186" y="283782"/>
                </a:lnTo>
                <a:lnTo>
                  <a:pt x="2049986" y="769275"/>
                </a:lnTo>
                <a:lnTo>
                  <a:pt x="375157" y="1271720"/>
                </a:lnTo>
                <a:lnTo>
                  <a:pt x="596233" y="1673689"/>
                </a:lnTo>
                <a:lnTo>
                  <a:pt x="1" y="2001937"/>
                </a:lnTo>
                <a:close/>
              </a:path>
            </a:pathLst>
          </a:custGeom>
          <a:grpFill/>
          <a:ln w="17998" cap="flat">
            <a:solidFill>
              <a:sysClr val="windowText" lastClr="000000"/>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2" name="Freeform: Shape 50">
            <a:extLst>
              <a:ext uri="{FF2B5EF4-FFF2-40B4-BE49-F238E27FC236}">
                <a16:creationId xmlns:a16="http://schemas.microsoft.com/office/drawing/2014/main" id="{00000000-0008-0000-0100-00002A000000}"/>
              </a:ext>
            </a:extLst>
          </xdr:cNvPr>
          <xdr:cNvSpPr/>
        </xdr:nvSpPr>
        <xdr:spPr>
          <a:xfrm>
            <a:off x="0" y="1872131"/>
            <a:ext cx="1997598" cy="1914913"/>
          </a:xfrm>
          <a:custGeom>
            <a:avLst/>
            <a:gdLst>
              <a:gd name="connsiteX0" fmla="*/ 1038471 w 1997598"/>
              <a:gd name="connsiteY0" fmla="*/ 1091169 h 1914913"/>
              <a:gd name="connsiteX1" fmla="*/ 1083642 w 1997598"/>
              <a:gd name="connsiteY1" fmla="*/ 1117431 h 1914913"/>
              <a:gd name="connsiteX2" fmla="*/ 1097649 w 1997598"/>
              <a:gd name="connsiteY2" fmla="*/ 1157699 h 1914913"/>
              <a:gd name="connsiteX3" fmla="*/ 1081191 w 1997598"/>
              <a:gd name="connsiteY3" fmla="*/ 1203573 h 1914913"/>
              <a:gd name="connsiteX4" fmla="*/ 1038471 w 1997598"/>
              <a:gd name="connsiteY4" fmla="*/ 1227735 h 1914913"/>
              <a:gd name="connsiteX5" fmla="*/ 987696 w 1997598"/>
              <a:gd name="connsiteY5" fmla="*/ 855154 h 1914913"/>
              <a:gd name="connsiteX6" fmla="*/ 987696 w 1997598"/>
              <a:gd name="connsiteY6" fmla="*/ 976313 h 1914913"/>
              <a:gd name="connsiteX7" fmla="*/ 953730 w 1997598"/>
              <a:gd name="connsiteY7" fmla="*/ 950749 h 1914913"/>
              <a:gd name="connsiteX8" fmla="*/ 942524 w 1997598"/>
              <a:gd name="connsiteY8" fmla="*/ 916084 h 1914913"/>
              <a:gd name="connsiteX9" fmla="*/ 954780 w 1997598"/>
              <a:gd name="connsiteY9" fmla="*/ 878964 h 1914913"/>
              <a:gd name="connsiteX10" fmla="*/ 987696 w 1997598"/>
              <a:gd name="connsiteY10" fmla="*/ 855154 h 1914913"/>
              <a:gd name="connsiteX11" fmla="*/ 987696 w 1997598"/>
              <a:gd name="connsiteY11" fmla="*/ 744151 h 1914913"/>
              <a:gd name="connsiteX12" fmla="*/ 987696 w 1997598"/>
              <a:gd name="connsiteY12" fmla="*/ 778816 h 1914913"/>
              <a:gd name="connsiteX13" fmla="*/ 891050 w 1997598"/>
              <a:gd name="connsiteY13" fmla="*/ 823987 h 1914913"/>
              <a:gd name="connsiteX14" fmla="*/ 854984 w 1997598"/>
              <a:gd name="connsiteY14" fmla="*/ 920285 h 1914913"/>
              <a:gd name="connsiteX15" fmla="*/ 886849 w 1997598"/>
              <a:gd name="connsiteY15" fmla="*/ 1016931 h 1914913"/>
              <a:gd name="connsiteX16" fmla="*/ 987696 w 1997598"/>
              <a:gd name="connsiteY16" fmla="*/ 1076109 h 1914913"/>
              <a:gd name="connsiteX17" fmla="*/ 987696 w 1997598"/>
              <a:gd name="connsiteY17" fmla="*/ 1222831 h 1914913"/>
              <a:gd name="connsiteX18" fmla="*/ 953379 w 1997598"/>
              <a:gd name="connsiteY18" fmla="*/ 1193418 h 1914913"/>
              <a:gd name="connsiteX19" fmla="*/ 932368 w 1997598"/>
              <a:gd name="connsiteY19" fmla="*/ 1145096 h 1914913"/>
              <a:gd name="connsiteX20" fmla="*/ 840974 w 1997598"/>
              <a:gd name="connsiteY20" fmla="*/ 1154900 h 1914913"/>
              <a:gd name="connsiteX21" fmla="*/ 889297 w 1997598"/>
              <a:gd name="connsiteY21" fmla="*/ 1261700 h 1914913"/>
              <a:gd name="connsiteX22" fmla="*/ 987696 w 1997598"/>
              <a:gd name="connsiteY22" fmla="*/ 1306873 h 1914913"/>
              <a:gd name="connsiteX23" fmla="*/ 987696 w 1997598"/>
              <a:gd name="connsiteY23" fmla="*/ 1370603 h 1914913"/>
              <a:gd name="connsiteX24" fmla="*/ 1038471 w 1997598"/>
              <a:gd name="connsiteY24" fmla="*/ 1370603 h 1914913"/>
              <a:gd name="connsiteX25" fmla="*/ 1038471 w 1997598"/>
              <a:gd name="connsiteY25" fmla="*/ 1305120 h 1914913"/>
              <a:gd name="connsiteX26" fmla="*/ 1144921 w 1997598"/>
              <a:gd name="connsiteY26" fmla="*/ 1251896 h 1914913"/>
              <a:gd name="connsiteX27" fmla="*/ 1183440 w 1997598"/>
              <a:gd name="connsiteY27" fmla="*/ 1145096 h 1914913"/>
              <a:gd name="connsiteX28" fmla="*/ 1152976 w 1997598"/>
              <a:gd name="connsiteY28" fmla="*/ 1052299 h 1914913"/>
              <a:gd name="connsiteX29" fmla="*/ 1038471 w 1997598"/>
              <a:gd name="connsiteY29" fmla="*/ 993121 h 1914913"/>
              <a:gd name="connsiteX30" fmla="*/ 1038471 w 1997598"/>
              <a:gd name="connsiteY30" fmla="*/ 856204 h 1914913"/>
              <a:gd name="connsiteX31" fmla="*/ 1080492 w 1997598"/>
              <a:gd name="connsiteY31" fmla="*/ 912230 h 1914913"/>
              <a:gd name="connsiteX32" fmla="*/ 1169083 w 1997598"/>
              <a:gd name="connsiteY32" fmla="*/ 900677 h 1914913"/>
              <a:gd name="connsiteX33" fmla="*/ 1127065 w 1997598"/>
              <a:gd name="connsiteY33" fmla="*/ 816987 h 1914913"/>
              <a:gd name="connsiteX34" fmla="*/ 1038471 w 1997598"/>
              <a:gd name="connsiteY34" fmla="*/ 778816 h 1914913"/>
              <a:gd name="connsiteX35" fmla="*/ 1038471 w 1997598"/>
              <a:gd name="connsiteY35" fmla="*/ 744151 h 1914913"/>
              <a:gd name="connsiteX36" fmla="*/ 1018529 w 1997598"/>
              <a:gd name="connsiteY36" fmla="*/ 568308 h 1914913"/>
              <a:gd name="connsiteX37" fmla="*/ 1488375 w 1997598"/>
              <a:gd name="connsiteY37" fmla="*/ 1038154 h 1914913"/>
              <a:gd name="connsiteX38" fmla="*/ 1018529 w 1997598"/>
              <a:gd name="connsiteY38" fmla="*/ 1508000 h 1914913"/>
              <a:gd name="connsiteX39" fmla="*/ 548683 w 1997598"/>
              <a:gd name="connsiteY39" fmla="*/ 1038154 h 1914913"/>
              <a:gd name="connsiteX40" fmla="*/ 1018529 w 1997598"/>
              <a:gd name="connsiteY40" fmla="*/ 568308 h 1914913"/>
              <a:gd name="connsiteX41" fmla="*/ 1018529 w 1997598"/>
              <a:gd name="connsiteY41" fmla="*/ 476083 h 1914913"/>
              <a:gd name="connsiteX42" fmla="*/ 456458 w 1997598"/>
              <a:gd name="connsiteY42" fmla="*/ 1038154 h 1914913"/>
              <a:gd name="connsiteX43" fmla="*/ 1018529 w 1997598"/>
              <a:gd name="connsiteY43" fmla="*/ 1600225 h 1914913"/>
              <a:gd name="connsiteX44" fmla="*/ 1580600 w 1997598"/>
              <a:gd name="connsiteY44" fmla="*/ 1038154 h 1914913"/>
              <a:gd name="connsiteX45" fmla="*/ 1018529 w 1997598"/>
              <a:gd name="connsiteY45" fmla="*/ 476083 h 1914913"/>
              <a:gd name="connsiteX46" fmla="*/ 664325 w 1997598"/>
              <a:gd name="connsiteY46" fmla="*/ 0 h 1914913"/>
              <a:gd name="connsiteX47" fmla="*/ 1314151 w 1997598"/>
              <a:gd name="connsiteY47" fmla="*/ 0 h 1914913"/>
              <a:gd name="connsiteX48" fmla="*/ 1997478 w 1997598"/>
              <a:gd name="connsiteY48" fmla="*/ 1091952 h 1914913"/>
              <a:gd name="connsiteX49" fmla="*/ 1568718 w 1997598"/>
              <a:gd name="connsiteY49" fmla="*/ 1914913 h 1914913"/>
              <a:gd name="connsiteX50" fmla="*/ 429850 w 1997598"/>
              <a:gd name="connsiteY50" fmla="*/ 1908217 h 1914913"/>
              <a:gd name="connsiteX51" fmla="*/ 1100 w 1997598"/>
              <a:gd name="connsiteY51" fmla="*/ 1085257 h 1914913"/>
              <a:gd name="connsiteX52" fmla="*/ 664325 w 1997598"/>
              <a:gd name="connsiteY52" fmla="*/ 0 h 19149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Lst>
            <a:rect l="l" t="t" r="r" b="b"/>
            <a:pathLst>
              <a:path w="1997598" h="1914913">
                <a:moveTo>
                  <a:pt x="1038471" y="1091169"/>
                </a:moveTo>
                <a:cubicBezTo>
                  <a:pt x="1059481" y="1097239"/>
                  <a:pt x="1074537" y="1105992"/>
                  <a:pt x="1083642" y="1117431"/>
                </a:cubicBezTo>
                <a:cubicBezTo>
                  <a:pt x="1092981" y="1128637"/>
                  <a:pt x="1097649" y="1142058"/>
                  <a:pt x="1097649" y="1157699"/>
                </a:cubicBezTo>
                <a:cubicBezTo>
                  <a:pt x="1097649" y="1175207"/>
                  <a:pt x="1092164" y="1190500"/>
                  <a:pt x="1081191" y="1203573"/>
                </a:cubicBezTo>
                <a:cubicBezTo>
                  <a:pt x="1070218" y="1216410"/>
                  <a:pt x="1055979" y="1224465"/>
                  <a:pt x="1038471" y="1227735"/>
                </a:cubicBezTo>
                <a:close/>
                <a:moveTo>
                  <a:pt x="987696" y="855154"/>
                </a:moveTo>
                <a:lnTo>
                  <a:pt x="987696" y="976313"/>
                </a:lnTo>
                <a:cubicBezTo>
                  <a:pt x="972522" y="969778"/>
                  <a:pt x="961201" y="961257"/>
                  <a:pt x="953730" y="950749"/>
                </a:cubicBezTo>
                <a:cubicBezTo>
                  <a:pt x="946260" y="940013"/>
                  <a:pt x="942524" y="928456"/>
                  <a:pt x="942524" y="916084"/>
                </a:cubicBezTo>
                <a:cubicBezTo>
                  <a:pt x="942524" y="902545"/>
                  <a:pt x="946611" y="890170"/>
                  <a:pt x="954780" y="878964"/>
                </a:cubicBezTo>
                <a:cubicBezTo>
                  <a:pt x="962951" y="867757"/>
                  <a:pt x="973923" y="859821"/>
                  <a:pt x="987696" y="855154"/>
                </a:cubicBezTo>
                <a:close/>
                <a:moveTo>
                  <a:pt x="987696" y="744151"/>
                </a:moveTo>
                <a:lnTo>
                  <a:pt x="987696" y="778816"/>
                </a:lnTo>
                <a:cubicBezTo>
                  <a:pt x="947543" y="782784"/>
                  <a:pt x="915327" y="797844"/>
                  <a:pt x="891050" y="823987"/>
                </a:cubicBezTo>
                <a:cubicBezTo>
                  <a:pt x="867004" y="849902"/>
                  <a:pt x="854984" y="882000"/>
                  <a:pt x="854984" y="920285"/>
                </a:cubicBezTo>
                <a:cubicBezTo>
                  <a:pt x="854984" y="958102"/>
                  <a:pt x="865606" y="990318"/>
                  <a:pt x="886849" y="1016931"/>
                </a:cubicBezTo>
                <a:cubicBezTo>
                  <a:pt x="908326" y="1043312"/>
                  <a:pt x="941940" y="1063040"/>
                  <a:pt x="987696" y="1076109"/>
                </a:cubicBezTo>
                <a:lnTo>
                  <a:pt x="987696" y="1222831"/>
                </a:lnTo>
                <a:cubicBezTo>
                  <a:pt x="975088" y="1216762"/>
                  <a:pt x="963653" y="1206958"/>
                  <a:pt x="953379" y="1193418"/>
                </a:cubicBezTo>
                <a:cubicBezTo>
                  <a:pt x="943109" y="1179878"/>
                  <a:pt x="936104" y="1163768"/>
                  <a:pt x="932368" y="1145096"/>
                </a:cubicBezTo>
                <a:lnTo>
                  <a:pt x="840974" y="1154900"/>
                </a:lnTo>
                <a:cubicBezTo>
                  <a:pt x="847979" y="1200889"/>
                  <a:pt x="864085" y="1236490"/>
                  <a:pt x="889297" y="1261700"/>
                </a:cubicBezTo>
                <a:cubicBezTo>
                  <a:pt x="914509" y="1286912"/>
                  <a:pt x="947310" y="1301968"/>
                  <a:pt x="987696" y="1306873"/>
                </a:cubicBezTo>
                <a:lnTo>
                  <a:pt x="987696" y="1370603"/>
                </a:lnTo>
                <a:lnTo>
                  <a:pt x="1038471" y="1370603"/>
                </a:lnTo>
                <a:lnTo>
                  <a:pt x="1038471" y="1305120"/>
                </a:lnTo>
                <a:cubicBezTo>
                  <a:pt x="1083994" y="1298585"/>
                  <a:pt x="1119476" y="1280844"/>
                  <a:pt x="1144921" y="1251896"/>
                </a:cubicBezTo>
                <a:cubicBezTo>
                  <a:pt x="1170602" y="1222949"/>
                  <a:pt x="1183440" y="1187349"/>
                  <a:pt x="1183440" y="1145096"/>
                </a:cubicBezTo>
                <a:cubicBezTo>
                  <a:pt x="1183440" y="1107275"/>
                  <a:pt x="1173288" y="1076342"/>
                  <a:pt x="1152976" y="1052299"/>
                </a:cubicBezTo>
                <a:cubicBezTo>
                  <a:pt x="1132665" y="1028019"/>
                  <a:pt x="1094497" y="1008296"/>
                  <a:pt x="1038471" y="993121"/>
                </a:cubicBezTo>
                <a:lnTo>
                  <a:pt x="1038471" y="856204"/>
                </a:lnTo>
                <a:cubicBezTo>
                  <a:pt x="1061116" y="866009"/>
                  <a:pt x="1075122" y="884686"/>
                  <a:pt x="1080492" y="912230"/>
                </a:cubicBezTo>
                <a:lnTo>
                  <a:pt x="1169083" y="900677"/>
                </a:lnTo>
                <a:cubicBezTo>
                  <a:pt x="1163013" y="865657"/>
                  <a:pt x="1149008" y="837760"/>
                  <a:pt x="1127065" y="816987"/>
                </a:cubicBezTo>
                <a:cubicBezTo>
                  <a:pt x="1105119" y="795976"/>
                  <a:pt x="1075587" y="783254"/>
                  <a:pt x="1038471" y="778816"/>
                </a:cubicBezTo>
                <a:lnTo>
                  <a:pt x="1038471" y="744151"/>
                </a:lnTo>
                <a:close/>
                <a:moveTo>
                  <a:pt x="1018529" y="568308"/>
                </a:moveTo>
                <a:cubicBezTo>
                  <a:pt x="1278018" y="568308"/>
                  <a:pt x="1488375" y="778665"/>
                  <a:pt x="1488375" y="1038154"/>
                </a:cubicBezTo>
                <a:cubicBezTo>
                  <a:pt x="1488375" y="1297643"/>
                  <a:pt x="1278018" y="1508000"/>
                  <a:pt x="1018529" y="1508000"/>
                </a:cubicBezTo>
                <a:cubicBezTo>
                  <a:pt x="759040" y="1508000"/>
                  <a:pt x="548683" y="1297643"/>
                  <a:pt x="548683" y="1038154"/>
                </a:cubicBezTo>
                <a:cubicBezTo>
                  <a:pt x="548683" y="778665"/>
                  <a:pt x="759040" y="568308"/>
                  <a:pt x="1018529" y="568308"/>
                </a:cubicBezTo>
                <a:close/>
                <a:moveTo>
                  <a:pt x="1018529" y="476083"/>
                </a:moveTo>
                <a:cubicBezTo>
                  <a:pt x="708106" y="476083"/>
                  <a:pt x="456458" y="727731"/>
                  <a:pt x="456458" y="1038154"/>
                </a:cubicBezTo>
                <a:cubicBezTo>
                  <a:pt x="456458" y="1348577"/>
                  <a:pt x="708106" y="1600225"/>
                  <a:pt x="1018529" y="1600225"/>
                </a:cubicBezTo>
                <a:cubicBezTo>
                  <a:pt x="1328952" y="1600225"/>
                  <a:pt x="1580600" y="1348577"/>
                  <a:pt x="1580600" y="1038154"/>
                </a:cubicBezTo>
                <a:cubicBezTo>
                  <a:pt x="1580600" y="727731"/>
                  <a:pt x="1328952" y="476083"/>
                  <a:pt x="1018529" y="476083"/>
                </a:cubicBezTo>
                <a:close/>
                <a:moveTo>
                  <a:pt x="664325" y="0"/>
                </a:moveTo>
                <a:lnTo>
                  <a:pt x="1314151" y="0"/>
                </a:lnTo>
                <a:cubicBezTo>
                  <a:pt x="1314151" y="0"/>
                  <a:pt x="2008098" y="459576"/>
                  <a:pt x="1997478" y="1091952"/>
                </a:cubicBezTo>
                <a:cubicBezTo>
                  <a:pt x="1985742" y="1790821"/>
                  <a:pt x="1568718" y="1914913"/>
                  <a:pt x="1568718" y="1914913"/>
                </a:cubicBezTo>
                <a:lnTo>
                  <a:pt x="429850" y="1908217"/>
                </a:lnTo>
                <a:cubicBezTo>
                  <a:pt x="429850" y="1908217"/>
                  <a:pt x="-25234" y="1697077"/>
                  <a:pt x="1100" y="1085257"/>
                </a:cubicBezTo>
                <a:cubicBezTo>
                  <a:pt x="27107" y="481032"/>
                  <a:pt x="664325" y="0"/>
                  <a:pt x="664325" y="0"/>
                </a:cubicBezTo>
                <a:close/>
              </a:path>
            </a:pathLst>
          </a:custGeom>
          <a:grpFill/>
          <a:ln w="18002"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3" name="Freeform: Shape 51">
            <a:extLst>
              <a:ext uri="{FF2B5EF4-FFF2-40B4-BE49-F238E27FC236}">
                <a16:creationId xmlns:a16="http://schemas.microsoft.com/office/drawing/2014/main" id="{00000000-0008-0000-0100-00002B000000}"/>
              </a:ext>
            </a:extLst>
          </xdr:cNvPr>
          <xdr:cNvSpPr/>
        </xdr:nvSpPr>
        <xdr:spPr>
          <a:xfrm rot="15043660" flipV="1">
            <a:off x="678904" y="943653"/>
            <a:ext cx="730416" cy="1146531"/>
          </a:xfrm>
          <a:custGeom>
            <a:avLst/>
            <a:gdLst>
              <a:gd name="connsiteX0" fmla="*/ 716588 w 730416"/>
              <a:gd name="connsiteY0" fmla="*/ 511011 h 1146531"/>
              <a:gd name="connsiteX1" fmla="*/ 409782 w 730416"/>
              <a:gd name="connsiteY1" fmla="*/ 335484 h 1146531"/>
              <a:gd name="connsiteX2" fmla="*/ 313760 w 730416"/>
              <a:gd name="connsiteY2" fmla="*/ 0 h 1146531"/>
              <a:gd name="connsiteX3" fmla="*/ 0 w 730416"/>
              <a:gd name="connsiteY3" fmla="*/ 421987 h 1146531"/>
              <a:gd name="connsiteX4" fmla="*/ 18807 w 730416"/>
              <a:gd name="connsiteY4" fmla="*/ 472206 h 1146531"/>
              <a:gd name="connsiteX5" fmla="*/ 209996 w 730416"/>
              <a:gd name="connsiteY5" fmla="*/ 348997 h 1146531"/>
              <a:gd name="connsiteX6" fmla="*/ 272267 w 730416"/>
              <a:gd name="connsiteY6" fmla="*/ 360214 h 1146531"/>
              <a:gd name="connsiteX7" fmla="*/ 272266 w 730416"/>
              <a:gd name="connsiteY7" fmla="*/ 360214 h 1146531"/>
              <a:gd name="connsiteX8" fmla="*/ 260426 w 730416"/>
              <a:gd name="connsiteY8" fmla="*/ 419191 h 1146531"/>
              <a:gd name="connsiteX9" fmla="*/ 49788 w 730416"/>
              <a:gd name="connsiteY9" fmla="*/ 554931 h 1146531"/>
              <a:gd name="connsiteX10" fmla="*/ 93126 w 730416"/>
              <a:gd name="connsiteY10" fmla="*/ 670656 h 1146531"/>
              <a:gd name="connsiteX11" fmla="*/ 148370 w 730416"/>
              <a:gd name="connsiteY11" fmla="*/ 652362 h 1146531"/>
              <a:gd name="connsiteX12" fmla="*/ 205474 w 730416"/>
              <a:gd name="connsiteY12" fmla="*/ 678423 h 1146531"/>
              <a:gd name="connsiteX13" fmla="*/ 205473 w 730416"/>
              <a:gd name="connsiteY13" fmla="*/ 678422 h 1146531"/>
              <a:gd name="connsiteX14" fmla="*/ 177957 w 730416"/>
              <a:gd name="connsiteY14" fmla="*/ 732505 h 1146531"/>
              <a:gd name="connsiteX15" fmla="*/ 123093 w 730416"/>
              <a:gd name="connsiteY15" fmla="*/ 750672 h 1146531"/>
              <a:gd name="connsiteX16" fmla="*/ 162028 w 730416"/>
              <a:gd name="connsiteY16" fmla="*/ 854640 h 1146531"/>
              <a:gd name="connsiteX17" fmla="*/ 300808 w 730416"/>
              <a:gd name="connsiteY17" fmla="*/ 854640 h 1146531"/>
              <a:gd name="connsiteX18" fmla="*/ 345630 w 730416"/>
              <a:gd name="connsiteY18" fmla="*/ 897090 h 1146531"/>
              <a:gd name="connsiteX19" fmla="*/ 345629 w 730416"/>
              <a:gd name="connsiteY19" fmla="*/ 897090 h 1146531"/>
              <a:gd name="connsiteX20" fmla="*/ 300807 w 730416"/>
              <a:gd name="connsiteY20" fmla="*/ 939540 h 1146531"/>
              <a:gd name="connsiteX21" fmla="*/ 193823 w 730416"/>
              <a:gd name="connsiteY21" fmla="*/ 939540 h 1146531"/>
              <a:gd name="connsiteX22" fmla="*/ 213858 w 730416"/>
              <a:gd name="connsiteY22" fmla="*/ 993037 h 1146531"/>
              <a:gd name="connsiteX23" fmla="*/ 728835 w 730416"/>
              <a:gd name="connsiteY23" fmla="*/ 1146531 h 1146531"/>
              <a:gd name="connsiteX24" fmla="*/ 583838 w 730416"/>
              <a:gd name="connsiteY24" fmla="*/ 792704 h 1146531"/>
              <a:gd name="connsiteX25" fmla="*/ 716588 w 730416"/>
              <a:gd name="connsiteY25" fmla="*/ 511011 h 114653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30416" h="1146531">
                <a:moveTo>
                  <a:pt x="716588" y="511011"/>
                </a:moveTo>
                <a:cubicBezTo>
                  <a:pt x="680716" y="393596"/>
                  <a:pt x="548708" y="304346"/>
                  <a:pt x="409782" y="335484"/>
                </a:cubicBezTo>
                <a:cubicBezTo>
                  <a:pt x="486583" y="165966"/>
                  <a:pt x="385952" y="81473"/>
                  <a:pt x="313760" y="0"/>
                </a:cubicBezTo>
                <a:lnTo>
                  <a:pt x="0" y="421987"/>
                </a:lnTo>
                <a:lnTo>
                  <a:pt x="18807" y="472206"/>
                </a:lnTo>
                <a:lnTo>
                  <a:pt x="209996" y="348997"/>
                </a:lnTo>
                <a:cubicBezTo>
                  <a:pt x="230463" y="335809"/>
                  <a:pt x="258342" y="340831"/>
                  <a:pt x="272267" y="360214"/>
                </a:cubicBezTo>
                <a:lnTo>
                  <a:pt x="272266" y="360214"/>
                </a:lnTo>
                <a:cubicBezTo>
                  <a:pt x="286194" y="379595"/>
                  <a:pt x="280891" y="406002"/>
                  <a:pt x="260426" y="419191"/>
                </a:cubicBezTo>
                <a:lnTo>
                  <a:pt x="49788" y="554931"/>
                </a:lnTo>
                <a:lnTo>
                  <a:pt x="93126" y="670656"/>
                </a:lnTo>
                <a:lnTo>
                  <a:pt x="148370" y="652362"/>
                </a:lnTo>
                <a:cubicBezTo>
                  <a:pt x="171737" y="644624"/>
                  <a:pt x="197303" y="656291"/>
                  <a:pt x="205474" y="678423"/>
                </a:cubicBezTo>
                <a:lnTo>
                  <a:pt x="205473" y="678422"/>
                </a:lnTo>
                <a:cubicBezTo>
                  <a:pt x="213644" y="700552"/>
                  <a:pt x="201323" y="724767"/>
                  <a:pt x="177957" y="732505"/>
                </a:cubicBezTo>
                <a:lnTo>
                  <a:pt x="123093" y="750672"/>
                </a:lnTo>
                <a:lnTo>
                  <a:pt x="162028" y="854640"/>
                </a:lnTo>
                <a:lnTo>
                  <a:pt x="300808" y="854640"/>
                </a:lnTo>
                <a:cubicBezTo>
                  <a:pt x="325563" y="854641"/>
                  <a:pt x="345630" y="873646"/>
                  <a:pt x="345630" y="897090"/>
                </a:cubicBezTo>
                <a:lnTo>
                  <a:pt x="345629" y="897090"/>
                </a:lnTo>
                <a:cubicBezTo>
                  <a:pt x="345629" y="920534"/>
                  <a:pt x="325560" y="939540"/>
                  <a:pt x="300807" y="939540"/>
                </a:cubicBezTo>
                <a:lnTo>
                  <a:pt x="193823" y="939540"/>
                </a:lnTo>
                <a:lnTo>
                  <a:pt x="213858" y="993037"/>
                </a:lnTo>
                <a:lnTo>
                  <a:pt x="728835" y="1146531"/>
                </a:lnTo>
                <a:cubicBezTo>
                  <a:pt x="738744" y="1018136"/>
                  <a:pt x="703479" y="913568"/>
                  <a:pt x="583838" y="792704"/>
                </a:cubicBezTo>
                <a:cubicBezTo>
                  <a:pt x="714230" y="710695"/>
                  <a:pt x="744487" y="602333"/>
                  <a:pt x="716588" y="511011"/>
                </a:cubicBezTo>
                <a:close/>
              </a:path>
            </a:pathLst>
          </a:custGeom>
          <a:grp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44" name="Freeform: Shape 52">
            <a:extLst>
              <a:ext uri="{FF2B5EF4-FFF2-40B4-BE49-F238E27FC236}">
                <a16:creationId xmlns:a16="http://schemas.microsoft.com/office/drawing/2014/main" id="{00000000-0008-0000-0100-00002C000000}"/>
              </a:ext>
            </a:extLst>
          </xdr:cNvPr>
          <xdr:cNvSpPr/>
        </xdr:nvSpPr>
        <xdr:spPr>
          <a:xfrm>
            <a:off x="1066684" y="0"/>
            <a:ext cx="1014942" cy="1014942"/>
          </a:xfrm>
          <a:custGeom>
            <a:avLst/>
            <a:gdLst>
              <a:gd name="connsiteX0" fmla="*/ 529764 w 1014942"/>
              <a:gd name="connsiteY0" fmla="*/ 520172 h 1014942"/>
              <a:gd name="connsiteX1" fmla="*/ 568161 w 1014942"/>
              <a:gd name="connsiteY1" fmla="*/ 542495 h 1014942"/>
              <a:gd name="connsiteX2" fmla="*/ 580067 w 1014942"/>
              <a:gd name="connsiteY2" fmla="*/ 576724 h 1014942"/>
              <a:gd name="connsiteX3" fmla="*/ 566077 w 1014942"/>
              <a:gd name="connsiteY3" fmla="*/ 615719 h 1014942"/>
              <a:gd name="connsiteX4" fmla="*/ 529764 w 1014942"/>
              <a:gd name="connsiteY4" fmla="*/ 636257 h 1014942"/>
              <a:gd name="connsiteX5" fmla="*/ 486603 w 1014942"/>
              <a:gd name="connsiteY5" fmla="*/ 319551 h 1014942"/>
              <a:gd name="connsiteX6" fmla="*/ 486603 w 1014942"/>
              <a:gd name="connsiteY6" fmla="*/ 422540 h 1014942"/>
              <a:gd name="connsiteX7" fmla="*/ 457731 w 1014942"/>
              <a:gd name="connsiteY7" fmla="*/ 400810 h 1014942"/>
              <a:gd name="connsiteX8" fmla="*/ 448206 w 1014942"/>
              <a:gd name="connsiteY8" fmla="*/ 371344 h 1014942"/>
              <a:gd name="connsiteX9" fmla="*/ 458624 w 1014942"/>
              <a:gd name="connsiteY9" fmla="*/ 339790 h 1014942"/>
              <a:gd name="connsiteX10" fmla="*/ 486603 w 1014942"/>
              <a:gd name="connsiteY10" fmla="*/ 319551 h 1014942"/>
              <a:gd name="connsiteX11" fmla="*/ 486603 w 1014942"/>
              <a:gd name="connsiteY11" fmla="*/ 225195 h 1014942"/>
              <a:gd name="connsiteX12" fmla="*/ 486603 w 1014942"/>
              <a:gd name="connsiteY12" fmla="*/ 254661 h 1014942"/>
              <a:gd name="connsiteX13" fmla="*/ 404451 w 1014942"/>
              <a:gd name="connsiteY13" fmla="*/ 293058 h 1014942"/>
              <a:gd name="connsiteX14" fmla="*/ 373794 w 1014942"/>
              <a:gd name="connsiteY14" fmla="*/ 374915 h 1014942"/>
              <a:gd name="connsiteX15" fmla="*/ 400880 w 1014942"/>
              <a:gd name="connsiteY15" fmla="*/ 457067 h 1014942"/>
              <a:gd name="connsiteX16" fmla="*/ 486603 w 1014942"/>
              <a:gd name="connsiteY16" fmla="*/ 507370 h 1014942"/>
              <a:gd name="connsiteX17" fmla="*/ 486603 w 1014942"/>
              <a:gd name="connsiteY17" fmla="*/ 632088 h 1014942"/>
              <a:gd name="connsiteX18" fmla="*/ 457433 w 1014942"/>
              <a:gd name="connsiteY18" fmla="*/ 607087 h 1014942"/>
              <a:gd name="connsiteX19" fmla="*/ 439573 w 1014942"/>
              <a:gd name="connsiteY19" fmla="*/ 566011 h 1014942"/>
              <a:gd name="connsiteX20" fmla="*/ 361885 w 1014942"/>
              <a:gd name="connsiteY20" fmla="*/ 574344 h 1014942"/>
              <a:gd name="connsiteX21" fmla="*/ 402961 w 1014942"/>
              <a:gd name="connsiteY21" fmla="*/ 665129 h 1014942"/>
              <a:gd name="connsiteX22" fmla="*/ 486603 w 1014942"/>
              <a:gd name="connsiteY22" fmla="*/ 703527 h 1014942"/>
              <a:gd name="connsiteX23" fmla="*/ 486603 w 1014942"/>
              <a:gd name="connsiteY23" fmla="*/ 757700 h 1014942"/>
              <a:gd name="connsiteX24" fmla="*/ 529764 w 1014942"/>
              <a:gd name="connsiteY24" fmla="*/ 757700 h 1014942"/>
              <a:gd name="connsiteX25" fmla="*/ 529764 w 1014942"/>
              <a:gd name="connsiteY25" fmla="*/ 702036 h 1014942"/>
              <a:gd name="connsiteX26" fmla="*/ 620250 w 1014942"/>
              <a:gd name="connsiteY26" fmla="*/ 656795 h 1014942"/>
              <a:gd name="connsiteX27" fmla="*/ 652992 w 1014942"/>
              <a:gd name="connsiteY27" fmla="*/ 566011 h 1014942"/>
              <a:gd name="connsiteX28" fmla="*/ 627097 w 1014942"/>
              <a:gd name="connsiteY28" fmla="*/ 487131 h 1014942"/>
              <a:gd name="connsiteX29" fmla="*/ 529764 w 1014942"/>
              <a:gd name="connsiteY29" fmla="*/ 436828 h 1014942"/>
              <a:gd name="connsiteX30" fmla="*/ 529764 w 1014942"/>
              <a:gd name="connsiteY30" fmla="*/ 320444 h 1014942"/>
              <a:gd name="connsiteX31" fmla="*/ 565483 w 1014942"/>
              <a:gd name="connsiteY31" fmla="*/ 368068 h 1014942"/>
              <a:gd name="connsiteX32" fmla="*/ 640788 w 1014942"/>
              <a:gd name="connsiteY32" fmla="*/ 358247 h 1014942"/>
              <a:gd name="connsiteX33" fmla="*/ 605072 w 1014942"/>
              <a:gd name="connsiteY33" fmla="*/ 287107 h 1014942"/>
              <a:gd name="connsiteX34" fmla="*/ 529764 w 1014942"/>
              <a:gd name="connsiteY34" fmla="*/ 254661 h 1014942"/>
              <a:gd name="connsiteX35" fmla="*/ 529764 w 1014942"/>
              <a:gd name="connsiteY35" fmla="*/ 225195 h 1014942"/>
              <a:gd name="connsiteX36" fmla="*/ 507471 w 1014942"/>
              <a:gd name="connsiteY36" fmla="*/ 0 h 1014942"/>
              <a:gd name="connsiteX37" fmla="*/ 1014942 w 1014942"/>
              <a:gd name="connsiteY37" fmla="*/ 507471 h 1014942"/>
              <a:gd name="connsiteX38" fmla="*/ 507471 w 1014942"/>
              <a:gd name="connsiteY38" fmla="*/ 1014942 h 1014942"/>
              <a:gd name="connsiteX39" fmla="*/ 0 w 1014942"/>
              <a:gd name="connsiteY39" fmla="*/ 507471 h 1014942"/>
              <a:gd name="connsiteX40" fmla="*/ 507471 w 1014942"/>
              <a:gd name="connsiteY40" fmla="*/ 0 h 1014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1014942" h="1014942">
                <a:moveTo>
                  <a:pt x="529764" y="520172"/>
                </a:moveTo>
                <a:cubicBezTo>
                  <a:pt x="547623" y="525330"/>
                  <a:pt x="560421" y="532772"/>
                  <a:pt x="568161" y="542495"/>
                </a:cubicBezTo>
                <a:cubicBezTo>
                  <a:pt x="576099" y="552021"/>
                  <a:pt x="580067" y="563429"/>
                  <a:pt x="580067" y="576724"/>
                </a:cubicBezTo>
                <a:cubicBezTo>
                  <a:pt x="580067" y="591607"/>
                  <a:pt x="575405" y="604606"/>
                  <a:pt x="566077" y="615719"/>
                </a:cubicBezTo>
                <a:cubicBezTo>
                  <a:pt x="556750" y="626631"/>
                  <a:pt x="544646" y="633478"/>
                  <a:pt x="529764" y="636257"/>
                </a:cubicBezTo>
                <a:close/>
                <a:moveTo>
                  <a:pt x="486603" y="319551"/>
                </a:moveTo>
                <a:lnTo>
                  <a:pt x="486603" y="422540"/>
                </a:lnTo>
                <a:cubicBezTo>
                  <a:pt x="473705" y="416985"/>
                  <a:pt x="464082" y="409742"/>
                  <a:pt x="457731" y="400810"/>
                </a:cubicBezTo>
                <a:cubicBezTo>
                  <a:pt x="451381" y="391684"/>
                  <a:pt x="448206" y="381860"/>
                  <a:pt x="448206" y="371344"/>
                </a:cubicBezTo>
                <a:cubicBezTo>
                  <a:pt x="448206" y="359835"/>
                  <a:pt x="451680" y="349316"/>
                  <a:pt x="458624" y="339790"/>
                </a:cubicBezTo>
                <a:cubicBezTo>
                  <a:pt x="465569" y="330264"/>
                  <a:pt x="474896" y="323518"/>
                  <a:pt x="486603" y="319551"/>
                </a:cubicBezTo>
                <a:close/>
                <a:moveTo>
                  <a:pt x="486603" y="225195"/>
                </a:moveTo>
                <a:lnTo>
                  <a:pt x="486603" y="254661"/>
                </a:lnTo>
                <a:cubicBezTo>
                  <a:pt x="452472" y="258034"/>
                  <a:pt x="425087" y="270835"/>
                  <a:pt x="404451" y="293058"/>
                </a:cubicBezTo>
                <a:cubicBezTo>
                  <a:pt x="384011" y="315087"/>
                  <a:pt x="373794" y="342371"/>
                  <a:pt x="373794" y="374915"/>
                </a:cubicBezTo>
                <a:cubicBezTo>
                  <a:pt x="373794" y="407060"/>
                  <a:pt x="382823" y="434445"/>
                  <a:pt x="400880" y="457067"/>
                </a:cubicBezTo>
                <a:cubicBezTo>
                  <a:pt x="419136" y="479492"/>
                  <a:pt x="447709" y="496260"/>
                  <a:pt x="486603" y="507370"/>
                </a:cubicBezTo>
                <a:lnTo>
                  <a:pt x="486603" y="632088"/>
                </a:lnTo>
                <a:cubicBezTo>
                  <a:pt x="475886" y="626930"/>
                  <a:pt x="466166" y="618596"/>
                  <a:pt x="457433" y="607087"/>
                </a:cubicBezTo>
                <a:cubicBezTo>
                  <a:pt x="448703" y="595577"/>
                  <a:pt x="442748" y="581883"/>
                  <a:pt x="439573" y="566011"/>
                </a:cubicBezTo>
                <a:lnTo>
                  <a:pt x="361885" y="574344"/>
                </a:lnTo>
                <a:cubicBezTo>
                  <a:pt x="367839" y="613437"/>
                  <a:pt x="381530" y="643698"/>
                  <a:pt x="402961" y="665129"/>
                </a:cubicBezTo>
                <a:cubicBezTo>
                  <a:pt x="424392" y="686560"/>
                  <a:pt x="452274" y="699358"/>
                  <a:pt x="486603" y="703527"/>
                </a:cubicBezTo>
                <a:lnTo>
                  <a:pt x="486603" y="757700"/>
                </a:lnTo>
                <a:lnTo>
                  <a:pt x="529764" y="757700"/>
                </a:lnTo>
                <a:lnTo>
                  <a:pt x="529764" y="702036"/>
                </a:lnTo>
                <a:cubicBezTo>
                  <a:pt x="568460" y="696482"/>
                  <a:pt x="598621" y="681401"/>
                  <a:pt x="620250" y="656795"/>
                </a:cubicBezTo>
                <a:cubicBezTo>
                  <a:pt x="642080" y="632189"/>
                  <a:pt x="652992" y="601928"/>
                  <a:pt x="652992" y="566011"/>
                </a:cubicBezTo>
                <a:cubicBezTo>
                  <a:pt x="652992" y="533862"/>
                  <a:pt x="644363" y="507568"/>
                  <a:pt x="627097" y="487131"/>
                </a:cubicBezTo>
                <a:cubicBezTo>
                  <a:pt x="609832" y="466492"/>
                  <a:pt x="577388" y="449727"/>
                  <a:pt x="529764" y="436828"/>
                </a:cubicBezTo>
                <a:lnTo>
                  <a:pt x="529764" y="320444"/>
                </a:lnTo>
                <a:cubicBezTo>
                  <a:pt x="549013" y="328778"/>
                  <a:pt x="560918" y="344653"/>
                  <a:pt x="565483" y="368068"/>
                </a:cubicBezTo>
                <a:lnTo>
                  <a:pt x="640788" y="358247"/>
                </a:lnTo>
                <a:cubicBezTo>
                  <a:pt x="635629" y="328479"/>
                  <a:pt x="623724" y="304766"/>
                  <a:pt x="605072" y="287107"/>
                </a:cubicBezTo>
                <a:cubicBezTo>
                  <a:pt x="586417" y="269248"/>
                  <a:pt x="561314" y="258433"/>
                  <a:pt x="529764" y="254661"/>
                </a:cubicBezTo>
                <a:lnTo>
                  <a:pt x="529764" y="225195"/>
                </a:lnTo>
                <a:close/>
                <a:moveTo>
                  <a:pt x="507471" y="0"/>
                </a:moveTo>
                <a:cubicBezTo>
                  <a:pt x="787739" y="0"/>
                  <a:pt x="1014942" y="227203"/>
                  <a:pt x="1014942" y="507471"/>
                </a:cubicBezTo>
                <a:cubicBezTo>
                  <a:pt x="1014942" y="787739"/>
                  <a:pt x="787739" y="1014942"/>
                  <a:pt x="507471" y="1014942"/>
                </a:cubicBezTo>
                <a:cubicBezTo>
                  <a:pt x="227203" y="1014942"/>
                  <a:pt x="0" y="787739"/>
                  <a:pt x="0" y="507471"/>
                </a:cubicBezTo>
                <a:cubicBezTo>
                  <a:pt x="0" y="227203"/>
                  <a:pt x="227203" y="0"/>
                  <a:pt x="507471" y="0"/>
                </a:cubicBezTo>
                <a:close/>
              </a:path>
            </a:pathLst>
          </a:custGeom>
          <a:grpFill/>
          <a:ln w="17998"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5" name="Freeform: Shape 53">
            <a:extLst>
              <a:ext uri="{FF2B5EF4-FFF2-40B4-BE49-F238E27FC236}">
                <a16:creationId xmlns:a16="http://schemas.microsoft.com/office/drawing/2014/main" id="{00000000-0008-0000-0100-00002D000000}"/>
              </a:ext>
            </a:extLst>
          </xdr:cNvPr>
          <xdr:cNvSpPr/>
        </xdr:nvSpPr>
        <xdr:spPr>
          <a:xfrm>
            <a:off x="3439631" y="1737986"/>
            <a:ext cx="305142" cy="2056672"/>
          </a:xfrm>
          <a:custGeom>
            <a:avLst/>
            <a:gdLst>
              <a:gd name="connsiteX0" fmla="*/ 294 w 274669"/>
              <a:gd name="connsiteY0" fmla="*/ 147 h 2056670"/>
              <a:gd name="connsiteX1" fmla="*/ 274963 w 274669"/>
              <a:gd name="connsiteY1" fmla="*/ 147 h 2056670"/>
              <a:gd name="connsiteX2" fmla="*/ 274963 w 274669"/>
              <a:gd name="connsiteY2" fmla="*/ 2056818 h 2056670"/>
              <a:gd name="connsiteX3" fmla="*/ 294 w 274669"/>
              <a:gd name="connsiteY3" fmla="*/ 2056818 h 2056670"/>
            </a:gdLst>
            <a:ahLst/>
            <a:cxnLst>
              <a:cxn ang="0">
                <a:pos x="connsiteX0" y="connsiteY0"/>
              </a:cxn>
              <a:cxn ang="0">
                <a:pos x="connsiteX1" y="connsiteY1"/>
              </a:cxn>
              <a:cxn ang="0">
                <a:pos x="connsiteX2" y="connsiteY2"/>
              </a:cxn>
              <a:cxn ang="0">
                <a:pos x="connsiteX3" y="connsiteY3"/>
              </a:cxn>
            </a:cxnLst>
            <a:rect l="l" t="t" r="r" b="b"/>
            <a:pathLst>
              <a:path w="274669" h="2056670">
                <a:moveTo>
                  <a:pt x="294" y="147"/>
                </a:moveTo>
                <a:lnTo>
                  <a:pt x="274963" y="147"/>
                </a:lnTo>
                <a:lnTo>
                  <a:pt x="274963" y="2056818"/>
                </a:lnTo>
                <a:lnTo>
                  <a:pt x="294" y="2056818"/>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6" name="Freeform: Shape 54">
            <a:extLst>
              <a:ext uri="{FF2B5EF4-FFF2-40B4-BE49-F238E27FC236}">
                <a16:creationId xmlns:a16="http://schemas.microsoft.com/office/drawing/2014/main" id="{00000000-0008-0000-0100-00002E000000}"/>
              </a:ext>
            </a:extLst>
          </xdr:cNvPr>
          <xdr:cNvSpPr/>
        </xdr:nvSpPr>
        <xdr:spPr>
          <a:xfrm>
            <a:off x="2890307" y="2173441"/>
            <a:ext cx="305142" cy="1621217"/>
          </a:xfrm>
          <a:custGeom>
            <a:avLst/>
            <a:gdLst>
              <a:gd name="connsiteX0" fmla="*/ 252 w 281368"/>
              <a:gd name="connsiteY0" fmla="*/ 163 h 1621217"/>
              <a:gd name="connsiteX1" fmla="*/ 281621 w 281368"/>
              <a:gd name="connsiteY1" fmla="*/ 163 h 1621217"/>
              <a:gd name="connsiteX2" fmla="*/ 281621 w 281368"/>
              <a:gd name="connsiteY2" fmla="*/ 1621381 h 1621217"/>
              <a:gd name="connsiteX3" fmla="*/ 252 w 281368"/>
              <a:gd name="connsiteY3" fmla="*/ 1621381 h 1621217"/>
            </a:gdLst>
            <a:ahLst/>
            <a:cxnLst>
              <a:cxn ang="0">
                <a:pos x="connsiteX0" y="connsiteY0"/>
              </a:cxn>
              <a:cxn ang="0">
                <a:pos x="connsiteX1" y="connsiteY1"/>
              </a:cxn>
              <a:cxn ang="0">
                <a:pos x="connsiteX2" y="connsiteY2"/>
              </a:cxn>
              <a:cxn ang="0">
                <a:pos x="connsiteX3" y="connsiteY3"/>
              </a:cxn>
            </a:cxnLst>
            <a:rect l="l" t="t" r="r" b="b"/>
            <a:pathLst>
              <a:path w="281368" h="1621217">
                <a:moveTo>
                  <a:pt x="252" y="163"/>
                </a:moveTo>
                <a:lnTo>
                  <a:pt x="281621" y="163"/>
                </a:lnTo>
                <a:lnTo>
                  <a:pt x="281621" y="1621381"/>
                </a:lnTo>
                <a:lnTo>
                  <a:pt x="252" y="1621381"/>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7" name="Freeform: Shape 55">
            <a:extLst>
              <a:ext uri="{FF2B5EF4-FFF2-40B4-BE49-F238E27FC236}">
                <a16:creationId xmlns:a16="http://schemas.microsoft.com/office/drawing/2014/main" id="{00000000-0008-0000-0100-00002F000000}"/>
              </a:ext>
            </a:extLst>
          </xdr:cNvPr>
          <xdr:cNvSpPr/>
        </xdr:nvSpPr>
        <xdr:spPr>
          <a:xfrm>
            <a:off x="2354373" y="2736176"/>
            <a:ext cx="305142" cy="1058482"/>
          </a:xfrm>
          <a:custGeom>
            <a:avLst/>
            <a:gdLst>
              <a:gd name="connsiteX0" fmla="*/ 211 w 281368"/>
              <a:gd name="connsiteY0" fmla="*/ 184 h 1058483"/>
              <a:gd name="connsiteX1" fmla="*/ 281580 w 281368"/>
              <a:gd name="connsiteY1" fmla="*/ 184 h 1058483"/>
              <a:gd name="connsiteX2" fmla="*/ 281580 w 281368"/>
              <a:gd name="connsiteY2" fmla="*/ 1058668 h 1058483"/>
              <a:gd name="connsiteX3" fmla="*/ 211 w 281368"/>
              <a:gd name="connsiteY3" fmla="*/ 1058668 h 1058483"/>
            </a:gdLst>
            <a:ahLst/>
            <a:cxnLst>
              <a:cxn ang="0">
                <a:pos x="connsiteX0" y="connsiteY0"/>
              </a:cxn>
              <a:cxn ang="0">
                <a:pos x="connsiteX1" y="connsiteY1"/>
              </a:cxn>
              <a:cxn ang="0">
                <a:pos x="connsiteX2" y="connsiteY2"/>
              </a:cxn>
              <a:cxn ang="0">
                <a:pos x="connsiteX3" y="connsiteY3"/>
              </a:cxn>
            </a:cxnLst>
            <a:rect l="l" t="t" r="r" b="b"/>
            <a:pathLst>
              <a:path w="281368" h="1058483">
                <a:moveTo>
                  <a:pt x="211" y="184"/>
                </a:moveTo>
                <a:lnTo>
                  <a:pt x="281580" y="184"/>
                </a:lnTo>
                <a:lnTo>
                  <a:pt x="281580" y="1058668"/>
                </a:lnTo>
                <a:lnTo>
                  <a:pt x="211" y="1058668"/>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8" name="Freeform: Shape 56">
            <a:extLst>
              <a:ext uri="{FF2B5EF4-FFF2-40B4-BE49-F238E27FC236}">
                <a16:creationId xmlns:a16="http://schemas.microsoft.com/office/drawing/2014/main" id="{00000000-0008-0000-0100-000030000000}"/>
              </a:ext>
            </a:extLst>
          </xdr:cNvPr>
          <xdr:cNvSpPr/>
        </xdr:nvSpPr>
        <xdr:spPr>
          <a:xfrm>
            <a:off x="1844938" y="3097384"/>
            <a:ext cx="305142" cy="697274"/>
          </a:xfrm>
          <a:custGeom>
            <a:avLst/>
            <a:gdLst>
              <a:gd name="connsiteX0" fmla="*/ 171 w 275221"/>
              <a:gd name="connsiteY0" fmla="*/ 197 h 697273"/>
              <a:gd name="connsiteX1" fmla="*/ 275393 w 275221"/>
              <a:gd name="connsiteY1" fmla="*/ 197 h 697273"/>
              <a:gd name="connsiteX2" fmla="*/ 275393 w 275221"/>
              <a:gd name="connsiteY2" fmla="*/ 697471 h 697273"/>
              <a:gd name="connsiteX3" fmla="*/ 171 w 275221"/>
              <a:gd name="connsiteY3" fmla="*/ 697471 h 697273"/>
            </a:gdLst>
            <a:ahLst/>
            <a:cxnLst>
              <a:cxn ang="0">
                <a:pos x="connsiteX0" y="connsiteY0"/>
              </a:cxn>
              <a:cxn ang="0">
                <a:pos x="connsiteX1" y="connsiteY1"/>
              </a:cxn>
              <a:cxn ang="0">
                <a:pos x="connsiteX2" y="connsiteY2"/>
              </a:cxn>
              <a:cxn ang="0">
                <a:pos x="connsiteX3" y="connsiteY3"/>
              </a:cxn>
            </a:cxnLst>
            <a:rect l="l" t="t" r="r" b="b"/>
            <a:pathLst>
              <a:path w="275221" h="697273">
                <a:moveTo>
                  <a:pt x="171" y="197"/>
                </a:moveTo>
                <a:lnTo>
                  <a:pt x="275393" y="197"/>
                </a:lnTo>
                <a:lnTo>
                  <a:pt x="275393" y="697471"/>
                </a:lnTo>
                <a:lnTo>
                  <a:pt x="171" y="697471"/>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grpSp>
    <xdr:clientData/>
  </xdr:twoCellAnchor>
  <xdr:twoCellAnchor>
    <xdr:from>
      <xdr:col>18</xdr:col>
      <xdr:colOff>309657</xdr:colOff>
      <xdr:row>13</xdr:row>
      <xdr:rowOff>74061</xdr:rowOff>
    </xdr:from>
    <xdr:to>
      <xdr:col>21</xdr:col>
      <xdr:colOff>612746</xdr:colOff>
      <xdr:row>21</xdr:row>
      <xdr:rowOff>163922</xdr:rowOff>
    </xdr:to>
    <xdr:grpSp>
      <xdr:nvGrpSpPr>
        <xdr:cNvPr id="49" name="Group 48">
          <a:extLst>
            <a:ext uri="{FF2B5EF4-FFF2-40B4-BE49-F238E27FC236}">
              <a16:creationId xmlns:a16="http://schemas.microsoft.com/office/drawing/2014/main" id="{00000000-0008-0000-0100-000031000000}"/>
            </a:ext>
          </a:extLst>
        </xdr:cNvPr>
        <xdr:cNvGrpSpPr/>
      </xdr:nvGrpSpPr>
      <xdr:grpSpPr>
        <a:xfrm>
          <a:off x="15168657" y="2633111"/>
          <a:ext cx="2779589" cy="1664661"/>
          <a:chOff x="6684884" y="1133961"/>
          <a:chExt cx="4632942" cy="2991773"/>
        </a:xfrm>
        <a:effectLst>
          <a:outerShdw blurRad="50800" dist="38100" dir="2700000" algn="tl" rotWithShape="0">
            <a:prstClr val="black">
              <a:alpha val="40000"/>
            </a:prstClr>
          </a:outerShdw>
        </a:effectLst>
      </xdr:grpSpPr>
      <xdr:sp macro="" textlink="">
        <xdr:nvSpPr>
          <xdr:cNvPr id="50" name="Rectangle: Rounded Corners 58">
            <a:extLst>
              <a:ext uri="{FF2B5EF4-FFF2-40B4-BE49-F238E27FC236}">
                <a16:creationId xmlns:a16="http://schemas.microsoft.com/office/drawing/2014/main" id="{00000000-0008-0000-0100-000032000000}"/>
              </a:ext>
            </a:extLst>
          </xdr:cNvPr>
          <xdr:cNvSpPr/>
        </xdr:nvSpPr>
        <xdr:spPr>
          <a:xfrm>
            <a:off x="6684884" y="1133961"/>
            <a:ext cx="4632942" cy="2991773"/>
          </a:xfrm>
          <a:prstGeom prst="roundRect">
            <a:avLst>
              <a:gd name="adj" fmla="val 6897"/>
            </a:avLst>
          </a:prstGeom>
          <a:gradFill flip="none" rotWithShape="1">
            <a:gsLst>
              <a:gs pos="77000">
                <a:srgbClr val="2D3540"/>
              </a:gs>
              <a:gs pos="0">
                <a:srgbClr val="4472C4">
                  <a:lumMod val="30000"/>
                  <a:lumOff val="70000"/>
                </a:srgbClr>
              </a:gs>
            </a:gsLst>
            <a:path path="circle">
              <a:fillToRect l="100000" b="100000"/>
            </a:path>
            <a:tileRect t="-100000" r="-100000"/>
          </a:gradFill>
          <a:ln w="12700" cap="flat" cmpd="sng" algn="ctr">
            <a:solidFill>
              <a:srgbClr val="4472C4">
                <a:shade val="15000"/>
              </a:srgbClr>
            </a:solid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nvGrpSpPr>
          <xdr:cNvPr id="51" name="Group 50">
            <a:extLst>
              <a:ext uri="{FF2B5EF4-FFF2-40B4-BE49-F238E27FC236}">
                <a16:creationId xmlns:a16="http://schemas.microsoft.com/office/drawing/2014/main" id="{00000000-0008-0000-0100-000033000000}"/>
              </a:ext>
            </a:extLst>
          </xdr:cNvPr>
          <xdr:cNvGrpSpPr/>
        </xdr:nvGrpSpPr>
        <xdr:grpSpPr>
          <a:xfrm>
            <a:off x="7138979" y="2378947"/>
            <a:ext cx="710550" cy="501799"/>
            <a:chOff x="2716066" y="2011251"/>
            <a:chExt cx="710550" cy="501799"/>
          </a:xfrm>
          <a:solidFill>
            <a:srgbClr val="FBF1BD"/>
          </a:solidFill>
        </xdr:grpSpPr>
        <xdr:sp macro="" textlink="">
          <xdr:nvSpPr>
            <xdr:cNvPr id="55" name="Freeform: Shape 63">
              <a:extLst>
                <a:ext uri="{FF2B5EF4-FFF2-40B4-BE49-F238E27FC236}">
                  <a16:creationId xmlns:a16="http://schemas.microsoft.com/office/drawing/2014/main" id="{00000000-0008-0000-0100-000037000000}"/>
                </a:ext>
              </a:extLst>
            </xdr:cNvPr>
            <xdr:cNvSpPr/>
          </xdr:nvSpPr>
          <xdr:spPr>
            <a:xfrm>
              <a:off x="2716066" y="2011251"/>
              <a:ext cx="710548" cy="102310"/>
            </a:xfrm>
            <a:custGeom>
              <a:avLst/>
              <a:gdLst>
                <a:gd name="connsiteX0" fmla="*/ 80328 w 710548"/>
                <a:gd name="connsiteY0" fmla="*/ 0 h 102310"/>
                <a:gd name="connsiteX1" fmla="*/ 630220 w 710548"/>
                <a:gd name="connsiteY1" fmla="*/ 0 h 102310"/>
                <a:gd name="connsiteX2" fmla="*/ 710548 w 710548"/>
                <a:gd name="connsiteY2" fmla="*/ 80328 h 102310"/>
                <a:gd name="connsiteX3" fmla="*/ 710548 w 710548"/>
                <a:gd name="connsiteY3" fmla="*/ 102310 h 102310"/>
                <a:gd name="connsiteX4" fmla="*/ 426341 w 710548"/>
                <a:gd name="connsiteY4" fmla="*/ 102310 h 102310"/>
                <a:gd name="connsiteX5" fmla="*/ 417706 w 710548"/>
                <a:gd name="connsiteY5" fmla="*/ 89503 h 102310"/>
                <a:gd name="connsiteX6" fmla="*/ 379637 w 710548"/>
                <a:gd name="connsiteY6" fmla="*/ 73734 h 102310"/>
                <a:gd name="connsiteX7" fmla="*/ 330912 w 710548"/>
                <a:gd name="connsiteY7" fmla="*/ 73734 h 102310"/>
                <a:gd name="connsiteX8" fmla="*/ 292843 w 710548"/>
                <a:gd name="connsiteY8" fmla="*/ 89503 h 102310"/>
                <a:gd name="connsiteX9" fmla="*/ 284208 w 710548"/>
                <a:gd name="connsiteY9" fmla="*/ 102310 h 102310"/>
                <a:gd name="connsiteX10" fmla="*/ 0 w 710548"/>
                <a:gd name="connsiteY10" fmla="*/ 102310 h 102310"/>
                <a:gd name="connsiteX11" fmla="*/ 0 w 710548"/>
                <a:gd name="connsiteY11" fmla="*/ 80328 h 102310"/>
                <a:gd name="connsiteX12" fmla="*/ 80328 w 710548"/>
                <a:gd name="connsiteY12" fmla="*/ 0 h 10231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710548" h="102310">
                  <a:moveTo>
                    <a:pt x="80328" y="0"/>
                  </a:moveTo>
                  <a:lnTo>
                    <a:pt x="630220" y="0"/>
                  </a:lnTo>
                  <a:cubicBezTo>
                    <a:pt x="674584" y="0"/>
                    <a:pt x="710548" y="35964"/>
                    <a:pt x="710548" y="80328"/>
                  </a:cubicBezTo>
                  <a:lnTo>
                    <a:pt x="710548" y="102310"/>
                  </a:lnTo>
                  <a:lnTo>
                    <a:pt x="426341" y="102310"/>
                  </a:lnTo>
                  <a:lnTo>
                    <a:pt x="417706" y="89503"/>
                  </a:lnTo>
                  <a:cubicBezTo>
                    <a:pt x="407964" y="79760"/>
                    <a:pt x="394504" y="73734"/>
                    <a:pt x="379637" y="73734"/>
                  </a:cubicBezTo>
                  <a:lnTo>
                    <a:pt x="330912" y="73734"/>
                  </a:lnTo>
                  <a:cubicBezTo>
                    <a:pt x="316045" y="73734"/>
                    <a:pt x="302586" y="79760"/>
                    <a:pt x="292843" y="89503"/>
                  </a:cubicBezTo>
                  <a:lnTo>
                    <a:pt x="284208" y="102310"/>
                  </a:lnTo>
                  <a:lnTo>
                    <a:pt x="0" y="102310"/>
                  </a:lnTo>
                  <a:lnTo>
                    <a:pt x="0" y="80328"/>
                  </a:lnTo>
                  <a:cubicBezTo>
                    <a:pt x="0" y="35964"/>
                    <a:pt x="35964" y="0"/>
                    <a:pt x="80328" y="0"/>
                  </a:cubicBez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6" name="Freeform: Shape 64">
              <a:extLst>
                <a:ext uri="{FF2B5EF4-FFF2-40B4-BE49-F238E27FC236}">
                  <a16:creationId xmlns:a16="http://schemas.microsoft.com/office/drawing/2014/main" id="{00000000-0008-0000-0100-000038000000}"/>
                </a:ext>
              </a:extLst>
            </xdr:cNvPr>
            <xdr:cNvSpPr/>
          </xdr:nvSpPr>
          <xdr:spPr>
            <a:xfrm>
              <a:off x="2716066" y="2410739"/>
              <a:ext cx="710548" cy="102311"/>
            </a:xfrm>
            <a:custGeom>
              <a:avLst/>
              <a:gdLst>
                <a:gd name="connsiteX0" fmla="*/ 0 w 710548"/>
                <a:gd name="connsiteY0" fmla="*/ 0 h 102311"/>
                <a:gd name="connsiteX1" fmla="*/ 284208 w 710548"/>
                <a:gd name="connsiteY1" fmla="*/ 0 h 102311"/>
                <a:gd name="connsiteX2" fmla="*/ 292843 w 710548"/>
                <a:gd name="connsiteY2" fmla="*/ 12807 h 102311"/>
                <a:gd name="connsiteX3" fmla="*/ 330912 w 710548"/>
                <a:gd name="connsiteY3" fmla="*/ 28576 h 102311"/>
                <a:gd name="connsiteX4" fmla="*/ 379637 w 710548"/>
                <a:gd name="connsiteY4" fmla="*/ 28576 h 102311"/>
                <a:gd name="connsiteX5" fmla="*/ 417706 w 710548"/>
                <a:gd name="connsiteY5" fmla="*/ 12807 h 102311"/>
                <a:gd name="connsiteX6" fmla="*/ 426341 w 710548"/>
                <a:gd name="connsiteY6" fmla="*/ 0 h 102311"/>
                <a:gd name="connsiteX7" fmla="*/ 710548 w 710548"/>
                <a:gd name="connsiteY7" fmla="*/ 0 h 102311"/>
                <a:gd name="connsiteX8" fmla="*/ 710548 w 710548"/>
                <a:gd name="connsiteY8" fmla="*/ 21983 h 102311"/>
                <a:gd name="connsiteX9" fmla="*/ 630220 w 710548"/>
                <a:gd name="connsiteY9" fmla="*/ 102311 h 102311"/>
                <a:gd name="connsiteX10" fmla="*/ 80328 w 710548"/>
                <a:gd name="connsiteY10" fmla="*/ 102311 h 102311"/>
                <a:gd name="connsiteX11" fmla="*/ 0 w 710548"/>
                <a:gd name="connsiteY11" fmla="*/ 21983 h 102311"/>
                <a:gd name="connsiteX12" fmla="*/ 0 w 710548"/>
                <a:gd name="connsiteY12" fmla="*/ 0 h 10231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710548" h="102311">
                  <a:moveTo>
                    <a:pt x="0" y="0"/>
                  </a:moveTo>
                  <a:lnTo>
                    <a:pt x="284208" y="0"/>
                  </a:lnTo>
                  <a:lnTo>
                    <a:pt x="292843" y="12807"/>
                  </a:lnTo>
                  <a:cubicBezTo>
                    <a:pt x="302586" y="22550"/>
                    <a:pt x="316045" y="28576"/>
                    <a:pt x="330912" y="28576"/>
                  </a:cubicBezTo>
                  <a:lnTo>
                    <a:pt x="379637" y="28576"/>
                  </a:lnTo>
                  <a:cubicBezTo>
                    <a:pt x="394504" y="28576"/>
                    <a:pt x="407964" y="22550"/>
                    <a:pt x="417706" y="12807"/>
                  </a:cubicBezTo>
                  <a:lnTo>
                    <a:pt x="426341" y="0"/>
                  </a:lnTo>
                  <a:lnTo>
                    <a:pt x="710548" y="0"/>
                  </a:lnTo>
                  <a:lnTo>
                    <a:pt x="710548" y="21983"/>
                  </a:lnTo>
                  <a:cubicBezTo>
                    <a:pt x="710548" y="66347"/>
                    <a:pt x="674584" y="102311"/>
                    <a:pt x="630220" y="102311"/>
                  </a:cubicBezTo>
                  <a:lnTo>
                    <a:pt x="80328" y="102311"/>
                  </a:lnTo>
                  <a:cubicBezTo>
                    <a:pt x="35964" y="102311"/>
                    <a:pt x="0" y="66347"/>
                    <a:pt x="0" y="21983"/>
                  </a:cubicBezTo>
                  <a:lnTo>
                    <a:pt x="0"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7" name="Freeform: Shape 65">
              <a:extLst>
                <a:ext uri="{FF2B5EF4-FFF2-40B4-BE49-F238E27FC236}">
                  <a16:creationId xmlns:a16="http://schemas.microsoft.com/office/drawing/2014/main" id="{00000000-0008-0000-0100-000039000000}"/>
                </a:ext>
              </a:extLst>
            </xdr:cNvPr>
            <xdr:cNvSpPr/>
          </xdr:nvSpPr>
          <xdr:spPr>
            <a:xfrm>
              <a:off x="2716066" y="2113561"/>
              <a:ext cx="284208" cy="148588"/>
            </a:xfrm>
            <a:custGeom>
              <a:avLst/>
              <a:gdLst>
                <a:gd name="connsiteX0" fmla="*/ 0 w 284208"/>
                <a:gd name="connsiteY0" fmla="*/ 0 h 148588"/>
                <a:gd name="connsiteX1" fmla="*/ 284208 w 284208"/>
                <a:gd name="connsiteY1" fmla="*/ 0 h 148588"/>
                <a:gd name="connsiteX2" fmla="*/ 281305 w 284208"/>
                <a:gd name="connsiteY2" fmla="*/ 4306 h 148588"/>
                <a:gd name="connsiteX3" fmla="*/ 277074 w 284208"/>
                <a:gd name="connsiteY3" fmla="*/ 25262 h 148588"/>
                <a:gd name="connsiteX4" fmla="*/ 277074 w 284208"/>
                <a:gd name="connsiteY4" fmla="*/ 148588 h 148588"/>
                <a:gd name="connsiteX5" fmla="*/ 0 w 284208"/>
                <a:gd name="connsiteY5" fmla="*/ 148588 h 148588"/>
                <a:gd name="connsiteX6" fmla="*/ 0 w 284208"/>
                <a:gd name="connsiteY6" fmla="*/ 0 h 1485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8" h="148588">
                  <a:moveTo>
                    <a:pt x="0" y="0"/>
                  </a:moveTo>
                  <a:lnTo>
                    <a:pt x="284208" y="0"/>
                  </a:lnTo>
                  <a:lnTo>
                    <a:pt x="281305" y="4306"/>
                  </a:lnTo>
                  <a:cubicBezTo>
                    <a:pt x="278581" y="10747"/>
                    <a:pt x="277074" y="17829"/>
                    <a:pt x="277074" y="25262"/>
                  </a:cubicBezTo>
                  <a:lnTo>
                    <a:pt x="277074" y="148588"/>
                  </a:lnTo>
                  <a:lnTo>
                    <a:pt x="0" y="148588"/>
                  </a:lnTo>
                  <a:lnTo>
                    <a:pt x="0"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8" name="Freeform: Shape 66">
              <a:extLst>
                <a:ext uri="{FF2B5EF4-FFF2-40B4-BE49-F238E27FC236}">
                  <a16:creationId xmlns:a16="http://schemas.microsoft.com/office/drawing/2014/main" id="{00000000-0008-0000-0100-00003A000000}"/>
                </a:ext>
              </a:extLst>
            </xdr:cNvPr>
            <xdr:cNvSpPr/>
          </xdr:nvSpPr>
          <xdr:spPr>
            <a:xfrm>
              <a:off x="3142409" y="2113561"/>
              <a:ext cx="284207" cy="148588"/>
            </a:xfrm>
            <a:custGeom>
              <a:avLst/>
              <a:gdLst>
                <a:gd name="connsiteX0" fmla="*/ 0 w 284207"/>
                <a:gd name="connsiteY0" fmla="*/ 0 h 148588"/>
                <a:gd name="connsiteX1" fmla="*/ 284207 w 284207"/>
                <a:gd name="connsiteY1" fmla="*/ 0 h 148588"/>
                <a:gd name="connsiteX2" fmla="*/ 284207 w 284207"/>
                <a:gd name="connsiteY2" fmla="*/ 148588 h 148588"/>
                <a:gd name="connsiteX3" fmla="*/ 7134 w 284207"/>
                <a:gd name="connsiteY3" fmla="*/ 148588 h 148588"/>
                <a:gd name="connsiteX4" fmla="*/ 7134 w 284207"/>
                <a:gd name="connsiteY4" fmla="*/ 25262 h 148588"/>
                <a:gd name="connsiteX5" fmla="*/ 2903 w 284207"/>
                <a:gd name="connsiteY5" fmla="*/ 4306 h 148588"/>
                <a:gd name="connsiteX6" fmla="*/ 0 w 284207"/>
                <a:gd name="connsiteY6" fmla="*/ 0 h 1485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7" h="148588">
                  <a:moveTo>
                    <a:pt x="0" y="0"/>
                  </a:moveTo>
                  <a:lnTo>
                    <a:pt x="284207" y="0"/>
                  </a:lnTo>
                  <a:lnTo>
                    <a:pt x="284207" y="148588"/>
                  </a:lnTo>
                  <a:lnTo>
                    <a:pt x="7134" y="148588"/>
                  </a:lnTo>
                  <a:lnTo>
                    <a:pt x="7134" y="25262"/>
                  </a:lnTo>
                  <a:cubicBezTo>
                    <a:pt x="7134" y="17829"/>
                    <a:pt x="5628" y="10747"/>
                    <a:pt x="2903" y="4306"/>
                  </a:cubicBezTo>
                  <a:lnTo>
                    <a:pt x="0"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9" name="Freeform: Shape 67">
              <a:extLst>
                <a:ext uri="{FF2B5EF4-FFF2-40B4-BE49-F238E27FC236}">
                  <a16:creationId xmlns:a16="http://schemas.microsoft.com/office/drawing/2014/main" id="{00000000-0008-0000-0100-00003B000000}"/>
                </a:ext>
              </a:extLst>
            </xdr:cNvPr>
            <xdr:cNvSpPr/>
          </xdr:nvSpPr>
          <xdr:spPr>
            <a:xfrm>
              <a:off x="2716066" y="2262150"/>
              <a:ext cx="284208" cy="148589"/>
            </a:xfrm>
            <a:custGeom>
              <a:avLst/>
              <a:gdLst>
                <a:gd name="connsiteX0" fmla="*/ 0 w 284208"/>
                <a:gd name="connsiteY0" fmla="*/ 0 h 148589"/>
                <a:gd name="connsiteX1" fmla="*/ 277074 w 284208"/>
                <a:gd name="connsiteY1" fmla="*/ 0 h 148589"/>
                <a:gd name="connsiteX2" fmla="*/ 277074 w 284208"/>
                <a:gd name="connsiteY2" fmla="*/ 123327 h 148589"/>
                <a:gd name="connsiteX3" fmla="*/ 281305 w 284208"/>
                <a:gd name="connsiteY3" fmla="*/ 144283 h 148589"/>
                <a:gd name="connsiteX4" fmla="*/ 284208 w 284208"/>
                <a:gd name="connsiteY4" fmla="*/ 148589 h 148589"/>
                <a:gd name="connsiteX5" fmla="*/ 0 w 284208"/>
                <a:gd name="connsiteY5" fmla="*/ 148589 h 148589"/>
                <a:gd name="connsiteX6" fmla="*/ 0 w 284208"/>
                <a:gd name="connsiteY6" fmla="*/ 0 h 1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8" h="148589">
                  <a:moveTo>
                    <a:pt x="0" y="0"/>
                  </a:moveTo>
                  <a:lnTo>
                    <a:pt x="277074" y="0"/>
                  </a:lnTo>
                  <a:lnTo>
                    <a:pt x="277074" y="123327"/>
                  </a:lnTo>
                  <a:cubicBezTo>
                    <a:pt x="277074" y="130761"/>
                    <a:pt x="278581" y="137842"/>
                    <a:pt x="281305" y="144283"/>
                  </a:cubicBezTo>
                  <a:lnTo>
                    <a:pt x="284208" y="148589"/>
                  </a:lnTo>
                  <a:lnTo>
                    <a:pt x="0" y="148589"/>
                  </a:lnTo>
                  <a:lnTo>
                    <a:pt x="0" y="0"/>
                  </a:lnTo>
                  <a:close/>
                </a:path>
              </a:pathLst>
            </a:custGeom>
            <a:grpFill/>
            <a:ln w="6350" cap="flat" cmpd="sng" algn="ctr">
              <a:solidFill>
                <a:srgbClr val="4472C4">
                  <a:shade val="15000"/>
                </a:srgbClr>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60" name="Freeform: Shape 68">
              <a:extLst>
                <a:ext uri="{FF2B5EF4-FFF2-40B4-BE49-F238E27FC236}">
                  <a16:creationId xmlns:a16="http://schemas.microsoft.com/office/drawing/2014/main" id="{00000000-0008-0000-0100-00003C000000}"/>
                </a:ext>
              </a:extLst>
            </xdr:cNvPr>
            <xdr:cNvSpPr/>
          </xdr:nvSpPr>
          <xdr:spPr>
            <a:xfrm>
              <a:off x="3142409" y="2262150"/>
              <a:ext cx="284207" cy="148589"/>
            </a:xfrm>
            <a:custGeom>
              <a:avLst/>
              <a:gdLst>
                <a:gd name="connsiteX0" fmla="*/ 7134 w 284207"/>
                <a:gd name="connsiteY0" fmla="*/ 0 h 148589"/>
                <a:gd name="connsiteX1" fmla="*/ 284207 w 284207"/>
                <a:gd name="connsiteY1" fmla="*/ 0 h 148589"/>
                <a:gd name="connsiteX2" fmla="*/ 284207 w 284207"/>
                <a:gd name="connsiteY2" fmla="*/ 148589 h 148589"/>
                <a:gd name="connsiteX3" fmla="*/ 0 w 284207"/>
                <a:gd name="connsiteY3" fmla="*/ 148589 h 148589"/>
                <a:gd name="connsiteX4" fmla="*/ 2903 w 284207"/>
                <a:gd name="connsiteY4" fmla="*/ 144283 h 148589"/>
                <a:gd name="connsiteX5" fmla="*/ 7134 w 284207"/>
                <a:gd name="connsiteY5" fmla="*/ 123327 h 148589"/>
                <a:gd name="connsiteX6" fmla="*/ 7134 w 284207"/>
                <a:gd name="connsiteY6" fmla="*/ 0 h 1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7" h="148589">
                  <a:moveTo>
                    <a:pt x="7134" y="0"/>
                  </a:moveTo>
                  <a:lnTo>
                    <a:pt x="284207" y="0"/>
                  </a:lnTo>
                  <a:lnTo>
                    <a:pt x="284207" y="148589"/>
                  </a:lnTo>
                  <a:lnTo>
                    <a:pt x="0" y="148589"/>
                  </a:lnTo>
                  <a:lnTo>
                    <a:pt x="2903" y="144283"/>
                  </a:lnTo>
                  <a:cubicBezTo>
                    <a:pt x="5628" y="137842"/>
                    <a:pt x="7134" y="130761"/>
                    <a:pt x="7134" y="123327"/>
                  </a:cubicBezTo>
                  <a:lnTo>
                    <a:pt x="7134"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61" name="Rectangle: Rounded Corners 69">
              <a:extLst>
                <a:ext uri="{FF2B5EF4-FFF2-40B4-BE49-F238E27FC236}">
                  <a16:creationId xmlns:a16="http://schemas.microsoft.com/office/drawing/2014/main" id="{00000000-0008-0000-0100-00003D000000}"/>
                </a:ext>
              </a:extLst>
            </xdr:cNvPr>
            <xdr:cNvSpPr/>
          </xdr:nvSpPr>
          <xdr:spPr>
            <a:xfrm>
              <a:off x="2993139" y="2084984"/>
              <a:ext cx="156401" cy="354330"/>
            </a:xfrm>
            <a:prstGeom prst="roundRect">
              <a:avLst>
                <a:gd name="adj" fmla="val 34423"/>
              </a:avLst>
            </a:prstGeom>
            <a:grpFill/>
            <a:ln w="6350" cap="flat" cmpd="sng" algn="ctr">
              <a:solidFill>
                <a:sysClr val="windowText" lastClr="000000"/>
              </a:solid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sp macro="" textlink="">
        <xdr:nvSpPr>
          <xdr:cNvPr id="52" name="Oval 51">
            <a:extLst>
              <a:ext uri="{FF2B5EF4-FFF2-40B4-BE49-F238E27FC236}">
                <a16:creationId xmlns:a16="http://schemas.microsoft.com/office/drawing/2014/main" id="{00000000-0008-0000-0100-000034000000}"/>
              </a:ext>
            </a:extLst>
          </xdr:cNvPr>
          <xdr:cNvSpPr/>
        </xdr:nvSpPr>
        <xdr:spPr>
          <a:xfrm>
            <a:off x="10163787" y="1535610"/>
            <a:ext cx="504000" cy="504000"/>
          </a:xfrm>
          <a:prstGeom prst="ellipse">
            <a:avLst/>
          </a:prstGeom>
          <a:solidFill>
            <a:srgbClr val="FF0000"/>
          </a:solidFill>
          <a:ln w="12700" cap="flat" cmpd="sng" algn="ctr">
            <a:no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3" name="Oval 52">
            <a:extLst>
              <a:ext uri="{FF2B5EF4-FFF2-40B4-BE49-F238E27FC236}">
                <a16:creationId xmlns:a16="http://schemas.microsoft.com/office/drawing/2014/main" id="{00000000-0008-0000-0100-000035000000}"/>
              </a:ext>
            </a:extLst>
          </xdr:cNvPr>
          <xdr:cNvSpPr/>
        </xdr:nvSpPr>
        <xdr:spPr>
          <a:xfrm>
            <a:off x="10414983" y="1535610"/>
            <a:ext cx="505609" cy="504000"/>
          </a:xfrm>
          <a:prstGeom prst="ellipse">
            <a:avLst/>
          </a:prstGeom>
          <a:solidFill>
            <a:srgbClr val="FFC000"/>
          </a:solidFill>
          <a:ln w="12700" cap="flat" cmpd="sng" algn="ctr">
            <a:no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4" name="TextBox 55">
            <a:extLst>
              <a:ext uri="{FF2B5EF4-FFF2-40B4-BE49-F238E27FC236}">
                <a16:creationId xmlns:a16="http://schemas.microsoft.com/office/drawing/2014/main" id="{00000000-0008-0000-0100-000036000000}"/>
              </a:ext>
            </a:extLst>
          </xdr:cNvPr>
          <xdr:cNvSpPr txBox="1"/>
        </xdr:nvSpPr>
        <xdr:spPr>
          <a:xfrm>
            <a:off x="7227366" y="3183940"/>
            <a:ext cx="3547978" cy="708003"/>
          </a:xfrm>
          <a:prstGeom prst="rect">
            <a:avLst/>
          </a:prstGeom>
          <a:noFill/>
        </xdr:spPr>
        <xdr:txBody>
          <a:bodyPr wrap="square" rtlCol="0">
            <a:sp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ysClr val="window" lastClr="FFFFFF"/>
                </a:solidFill>
                <a:effectLst/>
                <a:uLnTx/>
                <a:uFillTx/>
                <a:latin typeface="Calibri" panose="020F0502020204030204"/>
                <a:ea typeface="+mn-ea"/>
                <a:cs typeface="+mn-cs"/>
              </a:rPr>
              <a:t>1234 …. …. 5678</a:t>
            </a: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19</xdr:col>
      <xdr:colOff>361656</xdr:colOff>
      <xdr:row>22</xdr:row>
      <xdr:rowOff>897</xdr:rowOff>
    </xdr:from>
    <xdr:to>
      <xdr:col>21</xdr:col>
      <xdr:colOff>460346</xdr:colOff>
      <xdr:row>25</xdr:row>
      <xdr:rowOff>34963</xdr:rowOff>
    </xdr:to>
    <xdr:sp macro="" textlink="Processing!M1">
      <xdr:nvSpPr>
        <xdr:cNvPr id="62" name="TextBox 61">
          <a:extLst>
            <a:ext uri="{FF2B5EF4-FFF2-40B4-BE49-F238E27FC236}">
              <a16:creationId xmlns:a16="http://schemas.microsoft.com/office/drawing/2014/main" id="{00000000-0008-0000-0100-00003E000000}"/>
            </a:ext>
          </a:extLst>
        </xdr:cNvPr>
        <xdr:cNvSpPr txBox="1"/>
      </xdr:nvSpPr>
      <xdr:spPr>
        <a:xfrm>
          <a:off x="16046156" y="4471297"/>
          <a:ext cx="1749690" cy="643666"/>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28FC2B7B-5A26-4944-84FD-0E187441A33C}" type="TxLink">
            <a:rPr kumimoji="0" lang="en-US" sz="1800" b="0" i="0" u="none" strike="noStrike" kern="0" cap="none" spc="0" normalizeH="0" baseline="0" noProof="0">
              <a:ln>
                <a:noFill/>
              </a:ln>
              <a:solidFill>
                <a:srgbClr val="BFCDE4"/>
              </a:soli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Sum of Balance</a:t>
          </a:fld>
          <a:endParaRPr kumimoji="0" lang="ru-RU" sz="1800" b="0" i="0" u="none" strike="noStrike" kern="0" cap="none" spc="0" normalizeH="0" baseline="0" noProof="0">
            <a:ln>
              <a:noFill/>
            </a:ln>
            <a:solidFill>
              <a:srgbClr val="BFCDE4"/>
            </a:solidFill>
            <a:effectLst/>
            <a:uLnTx/>
            <a:uFillTx/>
            <a:latin typeface="Calibri"/>
            <a:ea typeface="+mn-ea"/>
            <a:cs typeface="Calibri"/>
          </a:endParaRPr>
        </a:p>
      </xdr:txBody>
    </xdr:sp>
    <xdr:clientData/>
  </xdr:twoCellAnchor>
  <xdr:twoCellAnchor>
    <xdr:from>
      <xdr:col>18</xdr:col>
      <xdr:colOff>157257</xdr:colOff>
      <xdr:row>22</xdr:row>
      <xdr:rowOff>897</xdr:rowOff>
    </xdr:from>
    <xdr:to>
      <xdr:col>20</xdr:col>
      <xdr:colOff>193195</xdr:colOff>
      <xdr:row>25</xdr:row>
      <xdr:rowOff>34963</xdr:rowOff>
    </xdr:to>
    <xdr:sp macro="" textlink="Processing!L1">
      <xdr:nvSpPr>
        <xdr:cNvPr id="63" name="TextBox 62">
          <a:extLst>
            <a:ext uri="{FF2B5EF4-FFF2-40B4-BE49-F238E27FC236}">
              <a16:creationId xmlns:a16="http://schemas.microsoft.com/office/drawing/2014/main" id="{00000000-0008-0000-0100-00003F000000}"/>
            </a:ext>
          </a:extLst>
        </xdr:cNvPr>
        <xdr:cNvSpPr txBox="1"/>
      </xdr:nvSpPr>
      <xdr:spPr>
        <a:xfrm>
          <a:off x="15016257" y="4471297"/>
          <a:ext cx="1686938"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FF349EB3-FC55-BE4E-A26C-7C0843867FB8}" type="TxLink">
            <a:rPr kumimoji="0" lang="en-US" sz="1800" b="0" i="0" u="none" strike="noStrike" kern="0" cap="none" spc="0" normalizeH="0" baseline="0" noProof="0">
              <a:ln>
                <a:noFill/>
              </a:ln>
              <a:solidFill>
                <a:srgbClr val="BFCDE4"/>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Balance:</a:t>
          </a:fld>
          <a:endParaRPr kumimoji="0" lang="ru-RU" sz="1800" b="0" i="0" u="none" strike="noStrike" kern="0" cap="none" spc="0" normalizeH="0" baseline="0" noProof="0">
            <a:ln>
              <a:noFill/>
            </a:ln>
            <a:solidFill>
              <a:srgbClr val="BFCDE4"/>
            </a:solidFill>
            <a:effectLst/>
            <a:uLnTx/>
            <a:uFillTx/>
            <a:latin typeface="Calibri"/>
            <a:ea typeface="+mn-ea"/>
            <a:cs typeface="Calibri"/>
          </a:endParaRPr>
        </a:p>
      </xdr:txBody>
    </xdr:sp>
    <xdr:clientData/>
  </xdr:twoCellAnchor>
  <xdr:twoCellAnchor>
    <xdr:from>
      <xdr:col>17</xdr:col>
      <xdr:colOff>648963</xdr:colOff>
      <xdr:row>27</xdr:row>
      <xdr:rowOff>159270</xdr:rowOff>
    </xdr:from>
    <xdr:to>
      <xdr:col>19</xdr:col>
      <xdr:colOff>747654</xdr:colOff>
      <xdr:row>30</xdr:row>
      <xdr:rowOff>193336</xdr:rowOff>
    </xdr:to>
    <xdr:sp macro="" textlink="Processing!G1">
      <xdr:nvSpPr>
        <xdr:cNvPr id="64" name="TextBox 63">
          <a:extLst>
            <a:ext uri="{FF2B5EF4-FFF2-40B4-BE49-F238E27FC236}">
              <a16:creationId xmlns:a16="http://schemas.microsoft.com/office/drawing/2014/main" id="{00000000-0008-0000-0100-000040000000}"/>
            </a:ext>
          </a:extLst>
        </xdr:cNvPr>
        <xdr:cNvSpPr txBox="1"/>
      </xdr:nvSpPr>
      <xdr:spPr>
        <a:xfrm>
          <a:off x="14682463" y="5645670"/>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808D2E68-A97E-5341-8256-C988D94296C6}"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Calendar</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18</xdr:col>
      <xdr:colOff>40344</xdr:colOff>
      <xdr:row>30</xdr:row>
      <xdr:rowOff>158378</xdr:rowOff>
    </xdr:from>
    <xdr:to>
      <xdr:col>21</xdr:col>
      <xdr:colOff>586858</xdr:colOff>
      <xdr:row>32</xdr:row>
      <xdr:rowOff>14568</xdr:rowOff>
    </xdr:to>
    <xdr:sp macro="" textlink="">
      <xdr:nvSpPr>
        <xdr:cNvPr id="66" name="TextBox 65">
          <a:extLst>
            <a:ext uri="{FF2B5EF4-FFF2-40B4-BE49-F238E27FC236}">
              <a16:creationId xmlns:a16="http://schemas.microsoft.com/office/drawing/2014/main" id="{00000000-0008-0000-0100-000042000000}"/>
            </a:ext>
          </a:extLst>
        </xdr:cNvPr>
        <xdr:cNvSpPr txBox="1"/>
      </xdr:nvSpPr>
      <xdr:spPr>
        <a:xfrm>
          <a:off x="14899344" y="6254378"/>
          <a:ext cx="3023014" cy="262590"/>
        </a:xfrm>
        <a:prstGeom prst="rect">
          <a:avLst/>
        </a:prstGeom>
        <a:noFill/>
        <a:ln w="9525" cmpd="sng">
          <a:no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rgbClr val="FF00FF"/>
              </a:solidFill>
              <a:effectLst/>
              <a:uLnTx/>
              <a:uFillTx/>
              <a:latin typeface="Calibri Light" panose="020F0302020204030204"/>
              <a:ea typeface="+mn-ea"/>
              <a:cs typeface="Calibri"/>
            </a:rPr>
            <a:t>SU </a:t>
          </a:r>
          <a:r>
            <a:rPr kumimoji="0" lang="en-US" sz="1200" b="0" i="0" u="none" strike="noStrike" kern="0" cap="none" spc="0" normalizeH="0" baseline="0" noProof="0">
              <a:ln>
                <a:noFill/>
              </a:ln>
              <a:solidFill>
                <a:sysClr val="windowText" lastClr="000000"/>
              </a:solidFill>
              <a:effectLst/>
              <a:uLnTx/>
              <a:uFillTx/>
              <a:latin typeface="Calibri Light" panose="020F0302020204030204"/>
              <a:ea typeface="+mn-ea"/>
              <a:cs typeface="+mn-cs"/>
            </a:rPr>
            <a:t> </a:t>
          </a:r>
          <a:r>
            <a:rPr kumimoji="0" lang="en-US" sz="1200" b="0" i="0" u="none" strike="noStrike" kern="0" cap="none" spc="0" normalizeH="0" baseline="0" noProof="0">
              <a:ln>
                <a:noFill/>
              </a:ln>
              <a:solidFill>
                <a:srgbClr val="00FAE3"/>
              </a:solidFill>
              <a:effectLst/>
              <a:uLnTx/>
              <a:uFillTx/>
              <a:latin typeface="Calibri Light" panose="020F0302020204030204"/>
              <a:ea typeface="+mn-ea"/>
              <a:cs typeface="+mn-cs"/>
            </a:rPr>
            <a:t>   </a:t>
          </a:r>
          <a:r>
            <a:rPr kumimoji="0" lang="en-US" sz="1200" b="0" i="0" u="none" strike="noStrike" kern="0" cap="none" spc="0" normalizeH="0" baseline="0" noProof="0">
              <a:ln>
                <a:noFill/>
              </a:ln>
              <a:solidFill>
                <a:sysClr val="window" lastClr="FFFFFF">
                  <a:lumMod val="95000"/>
                </a:sysClr>
              </a:solidFill>
              <a:effectLst/>
              <a:uLnTx/>
              <a:uFillTx/>
              <a:latin typeface="Calibri Light" panose="020F0302020204030204"/>
              <a:ea typeface="+mn-ea"/>
              <a:cs typeface="Calibri"/>
            </a:rPr>
            <a:t>MO      TU      WE      TH      FR </a:t>
          </a:r>
          <a:r>
            <a:rPr kumimoji="0" lang="en-US" sz="1200" b="0" i="0" u="none" strike="noStrike" kern="0" cap="none" spc="0" normalizeH="0" baseline="0" noProof="0">
              <a:ln>
                <a:noFill/>
              </a:ln>
              <a:solidFill>
                <a:sysClr val="window" lastClr="FFFFFF">
                  <a:lumMod val="95000"/>
                </a:sysClr>
              </a:solidFill>
              <a:effectLst/>
              <a:uLnTx/>
              <a:uFillTx/>
              <a:latin typeface="Calibri Light" panose="020F0302020204030204"/>
              <a:ea typeface="+mn-ea"/>
              <a:cs typeface="+mn-cs"/>
            </a:rPr>
            <a:t>    </a:t>
          </a:r>
          <a:r>
            <a:rPr kumimoji="0" lang="en-US" sz="1200" b="1" i="0" u="none" strike="noStrike" kern="0" cap="none" spc="0" normalizeH="0" baseline="0" noProof="0">
              <a:ln>
                <a:noFill/>
              </a:ln>
              <a:solidFill>
                <a:srgbClr val="FF00FF"/>
              </a:solidFill>
              <a:effectLst/>
              <a:uLnTx/>
              <a:uFillTx/>
              <a:latin typeface="Calibri Light" panose="020F0302020204030204"/>
              <a:ea typeface="+mn-ea"/>
              <a:cs typeface="+mn-cs"/>
            </a:rPr>
            <a:t>SA</a:t>
          </a:r>
          <a:endParaRPr kumimoji="0" lang="en-US" sz="1200" b="1" i="0" u="none" strike="noStrike" kern="0" cap="none" spc="0" normalizeH="0" baseline="0" noProof="0">
            <a:ln>
              <a:noFill/>
            </a:ln>
            <a:solidFill>
              <a:srgbClr val="FF00FF"/>
            </a:solidFill>
            <a:effectLst/>
            <a:uLnTx/>
            <a:uFillTx/>
            <a:latin typeface="Calibri Light" panose="020F0302020204030204"/>
            <a:ea typeface="+mn-ea"/>
            <a:cs typeface="Calibri"/>
          </a:endParaRPr>
        </a:p>
      </xdr:txBody>
    </xdr:sp>
    <xdr:clientData/>
  </xdr:twoCellAnchor>
  <xdr:twoCellAnchor>
    <xdr:from>
      <xdr:col>18</xdr:col>
      <xdr:colOff>708382</xdr:colOff>
      <xdr:row>27</xdr:row>
      <xdr:rowOff>159270</xdr:rowOff>
    </xdr:from>
    <xdr:to>
      <xdr:col>20</xdr:col>
      <xdr:colOff>744320</xdr:colOff>
      <xdr:row>30</xdr:row>
      <xdr:rowOff>193336</xdr:rowOff>
    </xdr:to>
    <xdr:sp macro="" textlink="Processing!F3">
      <xdr:nvSpPr>
        <xdr:cNvPr id="67" name="TextBox 66">
          <a:extLst>
            <a:ext uri="{FF2B5EF4-FFF2-40B4-BE49-F238E27FC236}">
              <a16:creationId xmlns:a16="http://schemas.microsoft.com/office/drawing/2014/main" id="{00000000-0008-0000-0100-000043000000}"/>
            </a:ext>
          </a:extLst>
        </xdr:cNvPr>
        <xdr:cNvSpPr txBox="1"/>
      </xdr:nvSpPr>
      <xdr:spPr>
        <a:xfrm>
          <a:off x="15567382" y="5645670"/>
          <a:ext cx="1686938" cy="643666"/>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2E4FB91A-B00C-E843-96C1-5046A4DD67F0}"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Maggio</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20</xdr:col>
      <xdr:colOff>558800</xdr:colOff>
      <xdr:row>27</xdr:row>
      <xdr:rowOff>159270</xdr:rowOff>
    </xdr:from>
    <xdr:to>
      <xdr:col>21</xdr:col>
      <xdr:colOff>698748</xdr:colOff>
      <xdr:row>30</xdr:row>
      <xdr:rowOff>193336</xdr:rowOff>
    </xdr:to>
    <xdr:sp macro="" textlink="Processing!D1">
      <xdr:nvSpPr>
        <xdr:cNvPr id="68" name="TextBox 67">
          <a:extLst>
            <a:ext uri="{FF2B5EF4-FFF2-40B4-BE49-F238E27FC236}">
              <a16:creationId xmlns:a16="http://schemas.microsoft.com/office/drawing/2014/main" id="{00000000-0008-0000-0100-000044000000}"/>
            </a:ext>
          </a:extLst>
        </xdr:cNvPr>
        <xdr:cNvSpPr txBox="1"/>
      </xdr:nvSpPr>
      <xdr:spPr>
        <a:xfrm>
          <a:off x="17068800" y="5645670"/>
          <a:ext cx="965448" cy="643666"/>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9108B076-5C29-D64F-9E25-24BB4D3375E4}"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2025</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11</xdr:col>
      <xdr:colOff>126249</xdr:colOff>
      <xdr:row>13</xdr:row>
      <xdr:rowOff>162259</xdr:rowOff>
    </xdr:from>
    <xdr:to>
      <xdr:col>16</xdr:col>
      <xdr:colOff>795999</xdr:colOff>
      <xdr:row>27</xdr:row>
      <xdr:rowOff>97304</xdr:rowOff>
    </xdr:to>
    <xdr:grpSp>
      <xdr:nvGrpSpPr>
        <xdr:cNvPr id="69" name="Group 68">
          <a:extLst>
            <a:ext uri="{FF2B5EF4-FFF2-40B4-BE49-F238E27FC236}">
              <a16:creationId xmlns:a16="http://schemas.microsoft.com/office/drawing/2014/main" id="{00000000-0008-0000-0100-000045000000}"/>
            </a:ext>
          </a:extLst>
        </xdr:cNvPr>
        <xdr:cNvGrpSpPr/>
      </xdr:nvGrpSpPr>
      <xdr:grpSpPr>
        <a:xfrm>
          <a:off x="9206749" y="2721309"/>
          <a:ext cx="4797250" cy="2690945"/>
          <a:chOff x="7781362" y="2681342"/>
          <a:chExt cx="4357979" cy="2555727"/>
        </a:xfrm>
      </xdr:grpSpPr>
      <xdr:sp macro="" textlink="Processing!R5">
        <xdr:nvSpPr>
          <xdr:cNvPr id="70" name="TextBox 69">
            <a:extLst>
              <a:ext uri="{FF2B5EF4-FFF2-40B4-BE49-F238E27FC236}">
                <a16:creationId xmlns:a16="http://schemas.microsoft.com/office/drawing/2014/main" id="{00000000-0008-0000-0100-000046000000}"/>
              </a:ext>
            </a:extLst>
          </xdr:cNvPr>
          <xdr:cNvSpPr txBox="1"/>
        </xdr:nvSpPr>
        <xdr:spPr>
          <a:xfrm>
            <a:off x="7969177" y="3177870"/>
            <a:ext cx="1757529" cy="2057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98DF06EB-0447-CC47-81AC-24D0FB17C732}" type="TxLink">
              <a:rPr lang="en-US" sz="1400" b="0" i="0" u="none" strike="noStrike" noProof="0">
                <a:solidFill>
                  <a:srgbClr val="BFCDE4"/>
                </a:soli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Entrate
Entrate Fisse
Altre Entrate
Uscite
Uscite Fisse
Altre Uscite</a:t>
            </a:fld>
            <a:endParaRPr lang="ru-RU" sz="1400" b="0" i="0" u="none" strike="noStrike" noProof="0">
              <a:solidFill>
                <a:srgbClr val="BFCDE4"/>
              </a:solidFill>
              <a:latin typeface="Calibri"/>
              <a:ea typeface="+mn-ea"/>
              <a:cs typeface="Calibri"/>
            </a:endParaRPr>
          </a:p>
        </xdr:txBody>
      </xdr:sp>
      <xdr:sp macro="" textlink="Processing!R6">
        <xdr:nvSpPr>
          <xdr:cNvPr id="71" name="TextBox 70">
            <a:extLst>
              <a:ext uri="{FF2B5EF4-FFF2-40B4-BE49-F238E27FC236}">
                <a16:creationId xmlns:a16="http://schemas.microsoft.com/office/drawing/2014/main" id="{00000000-0008-0000-0100-000047000000}"/>
              </a:ext>
            </a:extLst>
          </xdr:cNvPr>
          <xdr:cNvSpPr txBox="1"/>
        </xdr:nvSpPr>
        <xdr:spPr>
          <a:xfrm>
            <a:off x="10309413" y="3177869"/>
            <a:ext cx="797857" cy="2059200"/>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F78CF7A1-64AD-8549-A0A1-5FED742C0CD5}" type="TxLink">
              <a:rPr kumimoji="0" lang="en-US" sz="1400" b="0" i="0" u="none" strike="noStrike" kern="0" cap="none" spc="0" normalizeH="0" baseline="0" noProof="0">
                <a:ln>
                  <a:noFill/>
                </a:ln>
                <a:solidFill>
                  <a:srgbClr val="BFCDE4"/>
                </a:soli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0%
92%
0%
3%
5%
0%</a:t>
            </a:fld>
            <a:endParaRPr kumimoji="0" lang="ru-RU" sz="1400" b="0" i="0" u="none" strike="noStrike" kern="0" cap="none" spc="0" normalizeH="0" baseline="0" noProof="0">
              <a:ln>
                <a:noFill/>
              </a:ln>
              <a:solidFill>
                <a:srgbClr val="BFCDE4"/>
              </a:solidFill>
              <a:effectLst/>
              <a:uLnTx/>
              <a:uFillTx/>
              <a:latin typeface="Calibri"/>
              <a:ea typeface="+mn-ea"/>
              <a:cs typeface="Calibri"/>
            </a:endParaRPr>
          </a:p>
        </xdr:txBody>
      </xdr:sp>
      <xdr:sp macro="" textlink="">
        <xdr:nvSpPr>
          <xdr:cNvPr id="72" name="Oval 71">
            <a:extLst>
              <a:ext uri="{FF2B5EF4-FFF2-40B4-BE49-F238E27FC236}">
                <a16:creationId xmlns:a16="http://schemas.microsoft.com/office/drawing/2014/main" id="{00000000-0008-0000-0100-000048000000}"/>
              </a:ext>
            </a:extLst>
          </xdr:cNvPr>
          <xdr:cNvSpPr/>
        </xdr:nvSpPr>
        <xdr:spPr>
          <a:xfrm>
            <a:off x="7781362" y="3266622"/>
            <a:ext cx="144000" cy="144000"/>
          </a:xfrm>
          <a:prstGeom prst="ellipse">
            <a:avLst/>
          </a:prstGeom>
          <a:solidFill>
            <a:srgbClr val="FBF1BD"/>
          </a:soli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73" name="Oval 72">
            <a:extLst>
              <a:ext uri="{FF2B5EF4-FFF2-40B4-BE49-F238E27FC236}">
                <a16:creationId xmlns:a16="http://schemas.microsoft.com/office/drawing/2014/main" id="{00000000-0008-0000-0100-000049000000}"/>
              </a:ext>
            </a:extLst>
          </xdr:cNvPr>
          <xdr:cNvSpPr/>
        </xdr:nvSpPr>
        <xdr:spPr>
          <a:xfrm>
            <a:off x="7781362" y="3490754"/>
            <a:ext cx="144000" cy="144000"/>
          </a:xfrm>
          <a:prstGeom prst="ellipse">
            <a:avLst/>
          </a:prstGeom>
          <a:gradFill>
            <a:gsLst>
              <a:gs pos="7000">
                <a:srgbClr val="F28F33"/>
              </a:gs>
              <a:gs pos="72000">
                <a:srgbClr val="FE2827"/>
              </a:gs>
            </a:gsLst>
            <a:lin ang="5400000" scaled="1"/>
          </a:gra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74" name="Oval 73">
            <a:extLst>
              <a:ext uri="{FF2B5EF4-FFF2-40B4-BE49-F238E27FC236}">
                <a16:creationId xmlns:a16="http://schemas.microsoft.com/office/drawing/2014/main" id="{00000000-0008-0000-0100-00004A000000}"/>
              </a:ext>
            </a:extLst>
          </xdr:cNvPr>
          <xdr:cNvSpPr/>
        </xdr:nvSpPr>
        <xdr:spPr>
          <a:xfrm>
            <a:off x="7790362" y="3714886"/>
            <a:ext cx="126000" cy="126000"/>
          </a:xfrm>
          <a:prstGeom prst="ellipse">
            <a:avLst/>
          </a:prstGeom>
          <a:noFill/>
          <a:ln w="12700" cap="flat" cmpd="sng" algn="ctr">
            <a:solidFill>
              <a:sysClr val="window" lastClr="FFFFFF"/>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75" name="Oval 74">
            <a:extLst>
              <a:ext uri="{FF2B5EF4-FFF2-40B4-BE49-F238E27FC236}">
                <a16:creationId xmlns:a16="http://schemas.microsoft.com/office/drawing/2014/main" id="{00000000-0008-0000-0100-00004B000000}"/>
              </a:ext>
            </a:extLst>
          </xdr:cNvPr>
          <xdr:cNvSpPr/>
        </xdr:nvSpPr>
        <xdr:spPr>
          <a:xfrm>
            <a:off x="7781362" y="4557513"/>
            <a:ext cx="144000" cy="144000"/>
          </a:xfrm>
          <a:prstGeom prst="ellipse">
            <a:avLst/>
          </a:prstGeom>
          <a:solidFill>
            <a:srgbClr val="C3B4EF"/>
          </a:soli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76" name="Oval 75">
            <a:extLst>
              <a:ext uri="{FF2B5EF4-FFF2-40B4-BE49-F238E27FC236}">
                <a16:creationId xmlns:a16="http://schemas.microsoft.com/office/drawing/2014/main" id="{00000000-0008-0000-0100-00004C000000}"/>
              </a:ext>
            </a:extLst>
          </xdr:cNvPr>
          <xdr:cNvSpPr/>
        </xdr:nvSpPr>
        <xdr:spPr>
          <a:xfrm>
            <a:off x="7781362" y="4781645"/>
            <a:ext cx="144000" cy="144000"/>
          </a:xfrm>
          <a:prstGeom prst="ellipse">
            <a:avLst/>
          </a:prstGeom>
          <a:gradFill>
            <a:gsLst>
              <a:gs pos="43000">
                <a:srgbClr val="8701D9"/>
              </a:gs>
              <a:gs pos="100000">
                <a:srgbClr val="AD27FE"/>
              </a:gs>
            </a:gsLst>
            <a:path path="circle">
              <a:fillToRect t="100000" r="100000"/>
            </a:path>
          </a:gra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77" name="Oval 76">
            <a:extLst>
              <a:ext uri="{FF2B5EF4-FFF2-40B4-BE49-F238E27FC236}">
                <a16:creationId xmlns:a16="http://schemas.microsoft.com/office/drawing/2014/main" id="{00000000-0008-0000-0100-00004D000000}"/>
              </a:ext>
            </a:extLst>
          </xdr:cNvPr>
          <xdr:cNvSpPr/>
        </xdr:nvSpPr>
        <xdr:spPr>
          <a:xfrm>
            <a:off x="7790362" y="5005776"/>
            <a:ext cx="126000" cy="126000"/>
          </a:xfrm>
          <a:prstGeom prst="ellipse">
            <a:avLst/>
          </a:prstGeom>
          <a:noFill/>
          <a:ln w="12700" cap="flat" cmpd="sng" algn="ctr">
            <a:solidFill>
              <a:sysClr val="window" lastClr="FFFFFF"/>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Processing!R7">
        <xdr:nvSpPr>
          <xdr:cNvPr id="78" name="TextBox 77">
            <a:extLst>
              <a:ext uri="{FF2B5EF4-FFF2-40B4-BE49-F238E27FC236}">
                <a16:creationId xmlns:a16="http://schemas.microsoft.com/office/drawing/2014/main" id="{00000000-0008-0000-0100-00004E000000}"/>
              </a:ext>
            </a:extLst>
          </xdr:cNvPr>
          <xdr:cNvSpPr txBox="1"/>
        </xdr:nvSpPr>
        <xdr:spPr>
          <a:xfrm>
            <a:off x="9045389" y="3177869"/>
            <a:ext cx="1407458" cy="2059200"/>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765F5237-59A3-7641-A8BE-D188E9F236F4}" type="TxLink">
              <a:rPr kumimoji="0" lang="en-US" sz="1400" b="0" i="0" u="none" strike="noStrike" kern="0" cap="none" spc="0" normalizeH="0" baseline="0" noProof="0">
                <a:ln>
                  <a:noFill/>
                </a:ln>
                <a:solidFill>
                  <a:srgbClr val="BFCDE4"/>
                </a:soli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€ 0
€ 4000
€ 0
€ 141
€ 217
€ 0</a:t>
            </a:fld>
            <a:endParaRPr kumimoji="0" lang="ru-RU" sz="1400" b="0" i="0" u="none" strike="noStrike" kern="0" cap="none" spc="0" normalizeH="0" baseline="0" noProof="0">
              <a:ln>
                <a:noFill/>
              </a:ln>
              <a:solidFill>
                <a:srgbClr val="BFCDE4"/>
              </a:solidFill>
              <a:effectLst/>
              <a:uLnTx/>
              <a:uFillTx/>
              <a:latin typeface="Calibri"/>
              <a:ea typeface="+mn-ea"/>
              <a:cs typeface="Calibri"/>
            </a:endParaRPr>
          </a:p>
        </xdr:txBody>
      </xdr:sp>
      <xdr:sp macro="" textlink="Processing!B38">
        <xdr:nvSpPr>
          <xdr:cNvPr id="79" name="TextBox 78">
            <a:extLst>
              <a:ext uri="{FF2B5EF4-FFF2-40B4-BE49-F238E27FC236}">
                <a16:creationId xmlns:a16="http://schemas.microsoft.com/office/drawing/2014/main" id="{00000000-0008-0000-0100-00004F000000}"/>
              </a:ext>
            </a:extLst>
          </xdr:cNvPr>
          <xdr:cNvSpPr txBox="1"/>
        </xdr:nvSpPr>
        <xdr:spPr>
          <a:xfrm>
            <a:off x="7978142" y="2681342"/>
            <a:ext cx="1561432" cy="598842"/>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3C6D96BE-D1F3-4F24-9459-5FE89083A67D}" type="TxLink">
              <a:rPr kumimoji="0" lang="en-US" sz="1800" b="1" i="0" u="none" strike="noStrike" kern="0" cap="none" spc="0" normalizeH="0" baseline="0" noProof="0">
                <a:ln>
                  <a:noFill/>
                </a:ln>
                <a:gradFill>
                  <a:gsLst>
                    <a:gs pos="7000">
                      <a:srgbClr val="F28F33"/>
                    </a:gs>
                    <a:gs pos="72000">
                      <a:srgbClr val="FE2827"/>
                    </a:gs>
                  </a:gsLst>
                  <a:lin ang="5400000" scaled="1"/>
                </a:gra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 </a:t>
            </a:fld>
            <a:endParaRPr kumimoji="0" lang="ru-RU" sz="1800" b="1" i="0" u="none" strike="noStrike" kern="0" cap="none" spc="0" normalizeH="0" baseline="0" noProof="0">
              <a:ln>
                <a:noFill/>
              </a:ln>
              <a:gradFill>
                <a:gsLst>
                  <a:gs pos="7000">
                    <a:srgbClr val="F28F33"/>
                  </a:gs>
                  <a:gs pos="72000">
                    <a:srgbClr val="FE2827"/>
                  </a:gs>
                </a:gsLst>
                <a:lin ang="5400000" scaled="1"/>
              </a:gradFill>
              <a:effectLst/>
              <a:uLnTx/>
              <a:uFillTx/>
              <a:latin typeface="Calibri"/>
              <a:ea typeface="+mn-ea"/>
              <a:cs typeface="Calibri"/>
            </a:endParaRPr>
          </a:p>
        </xdr:txBody>
      </xdr:sp>
      <xdr:sp macro="" textlink="Processing!B62">
        <xdr:nvSpPr>
          <xdr:cNvPr id="80" name="TextBox 79">
            <a:extLst>
              <a:ext uri="{FF2B5EF4-FFF2-40B4-BE49-F238E27FC236}">
                <a16:creationId xmlns:a16="http://schemas.microsoft.com/office/drawing/2014/main" id="{00000000-0008-0000-0100-000050000000}"/>
              </a:ext>
            </a:extLst>
          </xdr:cNvPr>
          <xdr:cNvSpPr txBox="1"/>
        </xdr:nvSpPr>
        <xdr:spPr>
          <a:xfrm>
            <a:off x="7960213" y="4039496"/>
            <a:ext cx="1561432" cy="598842"/>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F4F19D5A-29C4-445D-A383-26E0495DAE91}" type="TxLink">
              <a:rPr kumimoji="0" lang="en-US" sz="1800" b="1" i="0" u="none" strike="noStrike" kern="0" cap="none" spc="0" normalizeH="0" baseline="0" noProof="0">
                <a:ln>
                  <a:noFill/>
                </a:ln>
                <a:gradFill>
                  <a:gsLst>
                    <a:gs pos="43000">
                      <a:srgbClr val="8701D9"/>
                    </a:gs>
                    <a:gs pos="100000">
                      <a:srgbClr val="AD27FE"/>
                    </a:gs>
                  </a:gsLst>
                  <a:path path="circle">
                    <a:fillToRect t="100000" r="100000"/>
                  </a:path>
                </a:gra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 </a:t>
            </a:fld>
            <a:endParaRPr kumimoji="0" lang="ru-RU" sz="1800" b="1" i="0" u="none" strike="noStrike" kern="0" cap="none" spc="0" normalizeH="0" baseline="0" noProof="0">
              <a:ln>
                <a:noFill/>
              </a:ln>
              <a:gradFill>
                <a:gsLst>
                  <a:gs pos="43000">
                    <a:srgbClr val="8701D9"/>
                  </a:gs>
                  <a:gs pos="100000">
                    <a:srgbClr val="AD27FE"/>
                  </a:gs>
                </a:gsLst>
                <a:path path="circle">
                  <a:fillToRect t="100000" r="100000"/>
                </a:path>
              </a:gradFill>
              <a:effectLst/>
              <a:uLnTx/>
              <a:uFillTx/>
              <a:latin typeface="Calibri"/>
              <a:ea typeface="+mn-ea"/>
              <a:cs typeface="Calibri"/>
            </a:endParaRPr>
          </a:p>
        </xdr:txBody>
      </xdr:sp>
      <xdr:sp macro="" textlink="Processing!Q9">
        <xdr:nvSpPr>
          <xdr:cNvPr id="81" name="TextBox 80">
            <a:extLst>
              <a:ext uri="{FF2B5EF4-FFF2-40B4-BE49-F238E27FC236}">
                <a16:creationId xmlns:a16="http://schemas.microsoft.com/office/drawing/2014/main" id="{00000000-0008-0000-0100-000051000000}"/>
              </a:ext>
            </a:extLst>
          </xdr:cNvPr>
          <xdr:cNvSpPr txBox="1"/>
        </xdr:nvSpPr>
        <xdr:spPr>
          <a:xfrm>
            <a:off x="9385602" y="2681342"/>
            <a:ext cx="1561432" cy="598842"/>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9223CB62-3BFE-D843-81B6-AE2D5478A63E}" type="TxLink">
              <a:rPr kumimoji="0" lang="en-US" sz="1800" b="1" i="0" u="none" strike="noStrike" kern="0" cap="none" spc="0" normalizeH="0" baseline="0" noProof="0">
                <a:ln>
                  <a:noFill/>
                </a:ln>
                <a:gradFill>
                  <a:gsLst>
                    <a:gs pos="7000">
                      <a:srgbClr val="F28F33"/>
                    </a:gs>
                    <a:gs pos="72000">
                      <a:srgbClr val="FE2827"/>
                    </a:gs>
                  </a:gsLst>
                  <a:lin ang="5400000" scaled="1"/>
                </a:gra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 € 4.000 </a:t>
            </a:fld>
            <a:endParaRPr kumimoji="0" lang="ru-RU" sz="1800" b="1" i="0" u="none" strike="noStrike" kern="0" cap="none" spc="0" normalizeH="0" baseline="0" noProof="0">
              <a:ln>
                <a:noFill/>
              </a:ln>
              <a:gradFill>
                <a:gsLst>
                  <a:gs pos="7000">
                    <a:srgbClr val="F28F33"/>
                  </a:gs>
                  <a:gs pos="72000">
                    <a:srgbClr val="FE2827"/>
                  </a:gs>
                </a:gsLst>
                <a:lin ang="5400000" scaled="1"/>
              </a:gradFill>
              <a:effectLst/>
              <a:uLnTx/>
              <a:uFillTx/>
              <a:latin typeface="Calibri"/>
              <a:ea typeface="+mn-ea"/>
              <a:cs typeface="Calibri"/>
            </a:endParaRPr>
          </a:p>
        </xdr:txBody>
      </xdr:sp>
      <xdr:sp macro="" textlink="Processing!Q10">
        <xdr:nvSpPr>
          <xdr:cNvPr id="82" name="TextBox 81">
            <a:extLst>
              <a:ext uri="{FF2B5EF4-FFF2-40B4-BE49-F238E27FC236}">
                <a16:creationId xmlns:a16="http://schemas.microsoft.com/office/drawing/2014/main" id="{00000000-0008-0000-0100-000052000000}"/>
              </a:ext>
            </a:extLst>
          </xdr:cNvPr>
          <xdr:cNvSpPr txBox="1"/>
        </xdr:nvSpPr>
        <xdr:spPr>
          <a:xfrm>
            <a:off x="9385602" y="4039496"/>
            <a:ext cx="1561432" cy="598842"/>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36F1C8DC-AC27-D042-9858-34D861B455DF}" type="TxLink">
              <a:rPr kumimoji="0" lang="en-US" sz="1800" b="1" i="0" u="none" strike="noStrike" kern="0" cap="none" spc="0" normalizeH="0" baseline="0" noProof="0">
                <a:ln>
                  <a:noFill/>
                </a:ln>
                <a:gradFill>
                  <a:gsLst>
                    <a:gs pos="43000">
                      <a:srgbClr val="8701D9"/>
                    </a:gs>
                    <a:gs pos="100000">
                      <a:srgbClr val="AD27FE"/>
                    </a:gs>
                  </a:gsLst>
                  <a:path path="circle">
                    <a:fillToRect t="100000" r="100000"/>
                  </a:path>
                </a:gra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 € 359 </a:t>
            </a:fld>
            <a:endParaRPr kumimoji="0" lang="ru-RU" sz="1800" b="1" i="0" u="none" strike="noStrike" kern="0" cap="none" spc="0" normalizeH="0" baseline="0" noProof="0">
              <a:ln>
                <a:noFill/>
              </a:ln>
              <a:gradFill>
                <a:gsLst>
                  <a:gs pos="43000">
                    <a:srgbClr val="8701D9"/>
                  </a:gs>
                  <a:gs pos="100000">
                    <a:srgbClr val="AD27FE"/>
                  </a:gs>
                </a:gsLst>
                <a:path path="circle">
                  <a:fillToRect t="100000" r="100000"/>
                </a:path>
              </a:gradFill>
              <a:effectLst/>
              <a:uLnTx/>
              <a:uFillTx/>
              <a:latin typeface="Calibri"/>
              <a:ea typeface="+mn-ea"/>
              <a:cs typeface="Calibri"/>
            </a:endParaRPr>
          </a:p>
        </xdr:txBody>
      </xdr:sp>
      <xdr:sp macro="" textlink="Processing!P9">
        <xdr:nvSpPr>
          <xdr:cNvPr id="83" name="TextBox 82">
            <a:extLst>
              <a:ext uri="{FF2B5EF4-FFF2-40B4-BE49-F238E27FC236}">
                <a16:creationId xmlns:a16="http://schemas.microsoft.com/office/drawing/2014/main" id="{00000000-0008-0000-0100-000053000000}"/>
              </a:ext>
            </a:extLst>
          </xdr:cNvPr>
          <xdr:cNvSpPr txBox="1"/>
        </xdr:nvSpPr>
        <xdr:spPr>
          <a:xfrm>
            <a:off x="10577909" y="2681342"/>
            <a:ext cx="1561432" cy="598842"/>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F476F208-3180-B149-A4E2-C51FAEC3A317}" type="TxLink">
              <a:rPr kumimoji="0" lang="en-US" sz="1800" b="1" i="0" u="none" strike="noStrike" kern="0" cap="none" spc="0" normalizeH="0" baseline="0" noProof="0">
                <a:ln>
                  <a:noFill/>
                </a:ln>
                <a:gradFill>
                  <a:gsLst>
                    <a:gs pos="7000">
                      <a:srgbClr val="F28F33"/>
                    </a:gs>
                    <a:gs pos="72000">
                      <a:srgbClr val="FE2827"/>
                    </a:gs>
                  </a:gsLst>
                  <a:lin ang="5400000" scaled="1"/>
                </a:gra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92%</a:t>
            </a:fld>
            <a:endParaRPr kumimoji="0" lang="ru-RU" sz="1800" b="1" i="0" u="none" strike="noStrike" kern="0" cap="none" spc="0" normalizeH="0" baseline="0" noProof="0">
              <a:ln>
                <a:noFill/>
              </a:ln>
              <a:gradFill>
                <a:gsLst>
                  <a:gs pos="7000">
                    <a:srgbClr val="F28F33"/>
                  </a:gs>
                  <a:gs pos="72000">
                    <a:srgbClr val="FE2827"/>
                  </a:gs>
                </a:gsLst>
                <a:lin ang="5400000" scaled="1"/>
              </a:gradFill>
              <a:effectLst/>
              <a:uLnTx/>
              <a:uFillTx/>
              <a:latin typeface="Calibri"/>
              <a:ea typeface="+mn-ea"/>
              <a:cs typeface="Calibri"/>
            </a:endParaRPr>
          </a:p>
        </xdr:txBody>
      </xdr:sp>
      <xdr:sp macro="" textlink="Processing!P10">
        <xdr:nvSpPr>
          <xdr:cNvPr id="84" name="TextBox 83">
            <a:extLst>
              <a:ext uri="{FF2B5EF4-FFF2-40B4-BE49-F238E27FC236}">
                <a16:creationId xmlns:a16="http://schemas.microsoft.com/office/drawing/2014/main" id="{00000000-0008-0000-0100-000054000000}"/>
              </a:ext>
            </a:extLst>
          </xdr:cNvPr>
          <xdr:cNvSpPr txBox="1"/>
        </xdr:nvSpPr>
        <xdr:spPr>
          <a:xfrm>
            <a:off x="10577909" y="4039496"/>
            <a:ext cx="1561432" cy="598842"/>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8C89D4EC-A4BA-964F-8DEF-5F6BD87C499B}" type="TxLink">
              <a:rPr kumimoji="0" lang="en-US" sz="1800" b="1" i="0" u="none" strike="noStrike" kern="0" cap="none" spc="0" normalizeH="0" baseline="0" noProof="0">
                <a:ln>
                  <a:noFill/>
                </a:ln>
                <a:gradFill>
                  <a:gsLst>
                    <a:gs pos="43000">
                      <a:srgbClr val="8701D9"/>
                    </a:gs>
                    <a:gs pos="100000">
                      <a:srgbClr val="AD27FE"/>
                    </a:gs>
                  </a:gsLst>
                  <a:path path="circle">
                    <a:fillToRect t="100000" r="100000"/>
                  </a:path>
                </a:gra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8%</a:t>
            </a:fld>
            <a:endParaRPr kumimoji="0" lang="ru-RU" sz="1800" b="1" i="0" u="none" strike="noStrike" kern="0" cap="none" spc="0" normalizeH="0" baseline="0" noProof="0">
              <a:ln>
                <a:noFill/>
              </a:ln>
              <a:gradFill>
                <a:gsLst>
                  <a:gs pos="43000">
                    <a:srgbClr val="8701D9"/>
                  </a:gs>
                  <a:gs pos="100000">
                    <a:srgbClr val="AD27FE"/>
                  </a:gs>
                </a:gsLst>
                <a:path path="circle">
                  <a:fillToRect t="100000" r="100000"/>
                </a:path>
              </a:gradFill>
              <a:effectLst/>
              <a:uLnTx/>
              <a:uFillTx/>
              <a:latin typeface="Calibri"/>
              <a:ea typeface="+mn-ea"/>
              <a:cs typeface="Calibri"/>
            </a:endParaRPr>
          </a:p>
        </xdr:txBody>
      </xdr:sp>
    </xdr:grpSp>
    <xdr:clientData/>
  </xdr:twoCellAnchor>
  <xdr:twoCellAnchor>
    <xdr:from>
      <xdr:col>3</xdr:col>
      <xdr:colOff>597948</xdr:colOff>
      <xdr:row>34</xdr:row>
      <xdr:rowOff>60660</xdr:rowOff>
    </xdr:from>
    <xdr:to>
      <xdr:col>5</xdr:col>
      <xdr:colOff>696639</xdr:colOff>
      <xdr:row>37</xdr:row>
      <xdr:rowOff>94725</xdr:rowOff>
    </xdr:to>
    <xdr:sp macro="" textlink="Processing!R8">
      <xdr:nvSpPr>
        <xdr:cNvPr id="85" name="TextBox 84">
          <a:extLst>
            <a:ext uri="{FF2B5EF4-FFF2-40B4-BE49-F238E27FC236}">
              <a16:creationId xmlns:a16="http://schemas.microsoft.com/office/drawing/2014/main" id="{00000000-0008-0000-0100-000055000000}"/>
            </a:ext>
          </a:extLst>
        </xdr:cNvPr>
        <xdr:cNvSpPr txBox="1"/>
      </xdr:nvSpPr>
      <xdr:spPr>
        <a:xfrm>
          <a:off x="3074448" y="6969460"/>
          <a:ext cx="1749691" cy="643665"/>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F99F1D83-98DF-3341-8491-1309983AFC23}" type="TxLink">
            <a:rPr kumimoji="0" lang="en-US" sz="1400" b="1"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Used Budget</a:t>
          </a:fld>
          <a:endParaRPr kumimoji="0" lang="ru-RU" sz="1400" b="1"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3</xdr:col>
      <xdr:colOff>445992</xdr:colOff>
      <xdr:row>36</xdr:row>
      <xdr:rowOff>176304</xdr:rowOff>
    </xdr:from>
    <xdr:to>
      <xdr:col>12</xdr:col>
      <xdr:colOff>186774</xdr:colOff>
      <xdr:row>46</xdr:row>
      <xdr:rowOff>128494</xdr:rowOff>
    </xdr:to>
    <xdr:graphicFrame macro="">
      <xdr:nvGraphicFramePr>
        <xdr:cNvPr id="86" name="Chart 85">
          <a:extLst>
            <a:ext uri="{FF2B5EF4-FFF2-40B4-BE49-F238E27FC236}">
              <a16:creationId xmlns:a16="http://schemas.microsoft.com/office/drawing/2014/main" id="{00000000-0008-0000-0100-00005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43327</xdr:colOff>
      <xdr:row>36</xdr:row>
      <xdr:rowOff>158375</xdr:rowOff>
    </xdr:from>
    <xdr:to>
      <xdr:col>16</xdr:col>
      <xdr:colOff>470586</xdr:colOff>
      <xdr:row>46</xdr:row>
      <xdr:rowOff>173318</xdr:rowOff>
    </xdr:to>
    <xdr:graphicFrame macro="">
      <xdr:nvGraphicFramePr>
        <xdr:cNvPr id="87" name="Chart 86">
          <a:extLst>
            <a:ext uri="{FF2B5EF4-FFF2-40B4-BE49-F238E27FC236}">
              <a16:creationId xmlns:a16="http://schemas.microsoft.com/office/drawing/2014/main" id="{00000000-0008-0000-0100-00005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204247</xdr:colOff>
      <xdr:row>34</xdr:row>
      <xdr:rowOff>60660</xdr:rowOff>
    </xdr:from>
    <xdr:to>
      <xdr:col>16</xdr:col>
      <xdr:colOff>302938</xdr:colOff>
      <xdr:row>37</xdr:row>
      <xdr:rowOff>94725</xdr:rowOff>
    </xdr:to>
    <xdr:sp macro="" textlink="Processing!I59">
      <xdr:nvSpPr>
        <xdr:cNvPr id="88" name="TextBox 87">
          <a:extLst>
            <a:ext uri="{FF2B5EF4-FFF2-40B4-BE49-F238E27FC236}">
              <a16:creationId xmlns:a16="http://schemas.microsoft.com/office/drawing/2014/main" id="{00000000-0008-0000-0100-000058000000}"/>
            </a:ext>
          </a:extLst>
        </xdr:cNvPr>
        <xdr:cNvSpPr txBox="1"/>
      </xdr:nvSpPr>
      <xdr:spPr>
        <a:xfrm>
          <a:off x="11761247" y="6969460"/>
          <a:ext cx="1749691" cy="643665"/>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256C9B3C-CC2B-CD48-917F-0444E81EC6EE}" type="TxLink">
            <a:rPr kumimoji="0" lang="en-US" sz="1400" b="1" i="0" u="none" strike="noStrike" kern="0" cap="none" spc="0" normalizeH="0" baseline="0" noProof="0">
              <a:ln>
                <a:noFill/>
              </a:ln>
              <a:solidFill>
                <a:sysClr val="window" lastClr="FFFFFF"/>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Ratio Budget</a:t>
          </a:fld>
          <a:endParaRPr kumimoji="0" lang="ru-RU" sz="1400" b="1"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313763</xdr:colOff>
      <xdr:row>1</xdr:row>
      <xdr:rowOff>54468</xdr:rowOff>
    </xdr:from>
    <xdr:to>
      <xdr:col>2</xdr:col>
      <xdr:colOff>412454</xdr:colOff>
      <xdr:row>4</xdr:row>
      <xdr:rowOff>61000</xdr:rowOff>
    </xdr:to>
    <xdr:sp macro="" textlink="Processing!G3">
      <xdr:nvSpPr>
        <xdr:cNvPr id="89" name="TextBox 88">
          <a:extLst>
            <a:ext uri="{FF2B5EF4-FFF2-40B4-BE49-F238E27FC236}">
              <a16:creationId xmlns:a16="http://schemas.microsoft.com/office/drawing/2014/main" id="{00000000-0008-0000-0100-000059000000}"/>
            </a:ext>
          </a:extLst>
        </xdr:cNvPr>
        <xdr:cNvSpPr txBox="1"/>
      </xdr:nvSpPr>
      <xdr:spPr>
        <a:xfrm>
          <a:off x="313763" y="257668"/>
          <a:ext cx="1749691" cy="616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0811F093-235A-3C46-BC48-B88631A91856}" type="TxLink">
            <a:rPr lang="en-US" sz="1200" b="0"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Personal Finance</a:t>
          </a:fld>
          <a:endParaRPr lang="ru-RU" sz="1200" b="0" i="0" u="none" strike="noStrike" noProof="0">
            <a:solidFill>
              <a:schemeClr val="bg1"/>
            </a:solidFill>
            <a:latin typeface="Calibri"/>
            <a:ea typeface="+mn-ea"/>
            <a:cs typeface="Calibri"/>
          </a:endParaRPr>
        </a:p>
      </xdr:txBody>
    </xdr:sp>
    <xdr:clientData/>
  </xdr:twoCellAnchor>
  <xdr:twoCellAnchor>
    <xdr:from>
      <xdr:col>14</xdr:col>
      <xdr:colOff>172669</xdr:colOff>
      <xdr:row>38</xdr:row>
      <xdr:rowOff>96519</xdr:rowOff>
    </xdr:from>
    <xdr:to>
      <xdr:col>16</xdr:col>
      <xdr:colOff>417444</xdr:colOff>
      <xdr:row>45</xdr:row>
      <xdr:rowOff>67830</xdr:rowOff>
    </xdr:to>
    <xdr:grpSp>
      <xdr:nvGrpSpPr>
        <xdr:cNvPr id="9" name="Group 8">
          <a:extLst>
            <a:ext uri="{FF2B5EF4-FFF2-40B4-BE49-F238E27FC236}">
              <a16:creationId xmlns:a16="http://schemas.microsoft.com/office/drawing/2014/main" id="{00000000-0008-0000-0100-000009000000}"/>
            </a:ext>
          </a:extLst>
        </xdr:cNvPr>
        <xdr:cNvGrpSpPr/>
      </xdr:nvGrpSpPr>
      <xdr:grpSpPr>
        <a:xfrm>
          <a:off x="11729669" y="7576819"/>
          <a:ext cx="1895775" cy="1349261"/>
          <a:chOff x="11729669" y="7818119"/>
          <a:chExt cx="1895775" cy="1393711"/>
        </a:xfrm>
      </xdr:grpSpPr>
      <xdr:sp macro="" textlink="Processing!B39">
        <xdr:nvSpPr>
          <xdr:cNvPr id="91" name="TextBox 90">
            <a:extLst>
              <a:ext uri="{FF2B5EF4-FFF2-40B4-BE49-F238E27FC236}">
                <a16:creationId xmlns:a16="http://schemas.microsoft.com/office/drawing/2014/main" id="{00000000-0008-0000-0100-00005B000000}"/>
              </a:ext>
            </a:extLst>
          </xdr:cNvPr>
          <xdr:cNvSpPr txBox="1"/>
        </xdr:nvSpPr>
        <xdr:spPr>
          <a:xfrm>
            <a:off x="11969583" y="7818119"/>
            <a:ext cx="1415946" cy="643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D08D8A05-5231-4843-9FCC-A921DC832DA9}" type="TxLink">
              <a:rPr lang="en-US" sz="1200" b="0" i="0" u="none" strike="noStrike" noProof="0">
                <a:solidFill>
                  <a:srgbClr val="BFCDE4"/>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Income</a:t>
            </a:fld>
            <a:endParaRPr lang="ru-RU" sz="1200" b="0" i="0" u="none" strike="noStrike" noProof="0">
              <a:solidFill>
                <a:srgbClr val="BFCDE4"/>
              </a:solidFill>
              <a:latin typeface="Calibri"/>
              <a:ea typeface="+mn-ea"/>
              <a:cs typeface="Calibri"/>
            </a:endParaRPr>
          </a:p>
        </xdr:txBody>
      </xdr:sp>
      <xdr:sp macro="" textlink="Processing!B63">
        <xdr:nvSpPr>
          <xdr:cNvPr id="92" name="TextBox 91">
            <a:extLst>
              <a:ext uri="{FF2B5EF4-FFF2-40B4-BE49-F238E27FC236}">
                <a16:creationId xmlns:a16="http://schemas.microsoft.com/office/drawing/2014/main" id="{00000000-0008-0000-0100-00005C000000}"/>
              </a:ext>
            </a:extLst>
          </xdr:cNvPr>
          <xdr:cNvSpPr txBox="1"/>
        </xdr:nvSpPr>
        <xdr:spPr>
          <a:xfrm>
            <a:off x="11969583" y="8568165"/>
            <a:ext cx="1415946" cy="643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FB114E80-8A35-4544-B247-F8BB13063104}" type="TxLink">
              <a:rPr lang="en-US" sz="1200" b="0" i="0" u="none" strike="noStrike" noProof="0">
                <a:solidFill>
                  <a:srgbClr val="BFCDE4"/>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Expenses</a:t>
            </a:fld>
            <a:endParaRPr lang="ru-RU" sz="1200" b="0" i="0" u="none" strike="noStrike" noProof="0">
              <a:solidFill>
                <a:srgbClr val="BFCDE4"/>
              </a:solidFill>
              <a:latin typeface="Calibri"/>
              <a:ea typeface="+mn-ea"/>
              <a:cs typeface="Calibri"/>
            </a:endParaRPr>
          </a:p>
        </xdr:txBody>
      </xdr:sp>
      <xdr:sp macro="" textlink="Processing!J59">
        <xdr:nvSpPr>
          <xdr:cNvPr id="93" name="TextBox 92">
            <a:extLst>
              <a:ext uri="{FF2B5EF4-FFF2-40B4-BE49-F238E27FC236}">
                <a16:creationId xmlns:a16="http://schemas.microsoft.com/office/drawing/2014/main" id="{00000000-0008-0000-0100-00005D000000}"/>
              </a:ext>
            </a:extLst>
          </xdr:cNvPr>
          <xdr:cNvSpPr txBox="1"/>
        </xdr:nvSpPr>
        <xdr:spPr>
          <a:xfrm>
            <a:off x="11729669" y="8206508"/>
            <a:ext cx="1895775" cy="327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fld id="{F1F1C76B-4418-884C-81AE-655528A48433}" type="TxLink">
              <a:rPr lang="en-US" sz="1500" b="0" i="0" u="none" strike="noStrike" noProof="0">
                <a:solidFill>
                  <a:srgbClr val="1D7DC8"/>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91%</a:t>
            </a:fld>
            <a:endParaRPr lang="ru-RU" sz="1500" b="0" i="0" u="none" strike="noStrike" noProof="0">
              <a:solidFill>
                <a:srgbClr val="1D7DC8"/>
              </a:solidFill>
              <a:latin typeface="Calibri"/>
              <a:ea typeface="+mn-ea"/>
              <a:cs typeface="Calibri"/>
            </a:endParaRPr>
          </a:p>
        </xdr:txBody>
      </xdr:sp>
      <xdr:sp macro="" textlink="Processing!K59">
        <xdr:nvSpPr>
          <xdr:cNvPr id="94" name="TextBox 93">
            <a:extLst>
              <a:ext uri="{FF2B5EF4-FFF2-40B4-BE49-F238E27FC236}">
                <a16:creationId xmlns:a16="http://schemas.microsoft.com/office/drawing/2014/main" id="{00000000-0008-0000-0100-00005E000000}"/>
              </a:ext>
            </a:extLst>
          </xdr:cNvPr>
          <xdr:cNvSpPr txBox="1"/>
        </xdr:nvSpPr>
        <xdr:spPr>
          <a:xfrm>
            <a:off x="11969583" y="8446399"/>
            <a:ext cx="1415946" cy="456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7C121745-F956-C348-BA5F-D52E8A9B4C07}" type="TxLink">
              <a:rPr lang="en-US" sz="1500" b="0"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9%
Delle Entrate Del Mese</a:t>
            </a:fld>
            <a:endParaRPr lang="ru-RU" sz="1500" b="0" i="0" u="none" strike="noStrike" noProof="0">
              <a:solidFill>
                <a:schemeClr val="bg1"/>
              </a:solidFill>
              <a:latin typeface="Calibri"/>
              <a:ea typeface="+mn-ea"/>
              <a:cs typeface="Calibri"/>
            </a:endParaRPr>
          </a:p>
        </xdr:txBody>
      </xdr:sp>
    </xdr:grpSp>
    <xdr:clientData/>
  </xdr:twoCellAnchor>
  <xdr:twoCellAnchor>
    <xdr:from>
      <xdr:col>12</xdr:col>
      <xdr:colOff>275625</xdr:colOff>
      <xdr:row>38</xdr:row>
      <xdr:rowOff>24799</xdr:rowOff>
    </xdr:from>
    <xdr:to>
      <xdr:col>14</xdr:col>
      <xdr:colOff>79291</xdr:colOff>
      <xdr:row>41</xdr:row>
      <xdr:rowOff>61064</xdr:rowOff>
    </xdr:to>
    <xdr:sp macro="" textlink="Processing!J25">
      <xdr:nvSpPr>
        <xdr:cNvPr id="96" name="TextBox 95">
          <a:extLst>
            <a:ext uri="{FF2B5EF4-FFF2-40B4-BE49-F238E27FC236}">
              <a16:creationId xmlns:a16="http://schemas.microsoft.com/office/drawing/2014/main" id="{00000000-0008-0000-0100-000060000000}"/>
            </a:ext>
          </a:extLst>
        </xdr:cNvPr>
        <xdr:cNvSpPr txBox="1"/>
      </xdr:nvSpPr>
      <xdr:spPr>
        <a:xfrm>
          <a:off x="10181625" y="7746399"/>
          <a:ext cx="1454666" cy="6458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B6375023-780C-0948-8B74-191B380748E5}" type="TxLink">
            <a:rPr lang="en-US" sz="1100" b="0" i="0" u="none" strike="noStrike" noProof="0">
              <a:solidFill>
                <a:srgbClr val="BFCDE4"/>
              </a:soli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Income Budget</a:t>
          </a:fld>
          <a:endParaRPr lang="ru-RU" sz="1100" b="0" i="0" u="none" strike="noStrike" noProof="0">
            <a:solidFill>
              <a:srgbClr val="BFCDE4"/>
            </a:solidFill>
            <a:latin typeface="Calibri"/>
            <a:ea typeface="+mn-ea"/>
            <a:cs typeface="Calibri"/>
          </a:endParaRPr>
        </a:p>
      </xdr:txBody>
    </xdr:sp>
    <xdr:clientData/>
  </xdr:twoCellAnchor>
  <xdr:twoCellAnchor>
    <xdr:from>
      <xdr:col>12</xdr:col>
      <xdr:colOff>275625</xdr:colOff>
      <xdr:row>41</xdr:row>
      <xdr:rowOff>140350</xdr:rowOff>
    </xdr:from>
    <xdr:to>
      <xdr:col>14</xdr:col>
      <xdr:colOff>79291</xdr:colOff>
      <xdr:row>44</xdr:row>
      <xdr:rowOff>176615</xdr:rowOff>
    </xdr:to>
    <xdr:sp macro="" textlink="Processing!K25">
      <xdr:nvSpPr>
        <xdr:cNvPr id="97" name="TextBox 96">
          <a:extLst>
            <a:ext uri="{FF2B5EF4-FFF2-40B4-BE49-F238E27FC236}">
              <a16:creationId xmlns:a16="http://schemas.microsoft.com/office/drawing/2014/main" id="{00000000-0008-0000-0100-000061000000}"/>
            </a:ext>
          </a:extLst>
        </xdr:cNvPr>
        <xdr:cNvSpPr txBox="1"/>
      </xdr:nvSpPr>
      <xdr:spPr>
        <a:xfrm>
          <a:off x="10181625" y="8471550"/>
          <a:ext cx="1454666" cy="6458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809FE4AE-5FFA-8445-BC82-8442535F1F08}" type="TxLink">
            <a:rPr lang="en-US" sz="1100" b="0" i="0" u="none" strike="noStrike" noProof="0">
              <a:solidFill>
                <a:srgbClr val="BFCDE4"/>
              </a:soli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Expenses Budget</a:t>
          </a:fld>
          <a:endParaRPr lang="ru-RU" sz="1100" b="0" i="0" u="none" strike="noStrike" noProof="0">
            <a:solidFill>
              <a:srgbClr val="BFCDE4"/>
            </a:solidFill>
            <a:latin typeface="Calibri"/>
            <a:ea typeface="+mn-ea"/>
            <a:cs typeface="Calibri"/>
          </a:endParaRPr>
        </a:p>
      </xdr:txBody>
    </xdr:sp>
    <xdr:clientData/>
  </xdr:twoCellAnchor>
  <xdr:twoCellAnchor>
    <xdr:from>
      <xdr:col>12</xdr:col>
      <xdr:colOff>82963</xdr:colOff>
      <xdr:row>39</xdr:row>
      <xdr:rowOff>62348</xdr:rowOff>
    </xdr:from>
    <xdr:to>
      <xdr:col>12</xdr:col>
      <xdr:colOff>245289</xdr:colOff>
      <xdr:row>40</xdr:row>
      <xdr:rowOff>14455</xdr:rowOff>
    </xdr:to>
    <xdr:sp macro="" textlink="">
      <xdr:nvSpPr>
        <xdr:cNvPr id="98" name="Oval 97">
          <a:extLst>
            <a:ext uri="{FF2B5EF4-FFF2-40B4-BE49-F238E27FC236}">
              <a16:creationId xmlns:a16="http://schemas.microsoft.com/office/drawing/2014/main" id="{00000000-0008-0000-0100-000062000000}"/>
            </a:ext>
          </a:extLst>
        </xdr:cNvPr>
        <xdr:cNvSpPr/>
      </xdr:nvSpPr>
      <xdr:spPr>
        <a:xfrm>
          <a:off x="9988963" y="7987148"/>
          <a:ext cx="162326" cy="155307"/>
        </a:xfrm>
        <a:prstGeom prst="ellipse">
          <a:avLst/>
        </a:prstGeom>
        <a:gradFill>
          <a:gsLst>
            <a:gs pos="0">
              <a:srgbClr val="55E7F9"/>
            </a:gs>
            <a:gs pos="100000">
              <a:srgbClr val="0C68BE"/>
            </a:gs>
          </a:gsLst>
          <a:lin ang="5400000" scaled="1"/>
        </a:gra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12</xdr:col>
      <xdr:colOff>62751</xdr:colOff>
      <xdr:row>42</xdr:row>
      <xdr:rowOff>187565</xdr:rowOff>
    </xdr:from>
    <xdr:to>
      <xdr:col>12</xdr:col>
      <xdr:colOff>225077</xdr:colOff>
      <xdr:row>43</xdr:row>
      <xdr:rowOff>139672</xdr:rowOff>
    </xdr:to>
    <xdr:sp macro="" textlink="">
      <xdr:nvSpPr>
        <xdr:cNvPr id="99" name="Oval 98">
          <a:extLst>
            <a:ext uri="{FF2B5EF4-FFF2-40B4-BE49-F238E27FC236}">
              <a16:creationId xmlns:a16="http://schemas.microsoft.com/office/drawing/2014/main" id="{00000000-0008-0000-0100-000063000000}"/>
            </a:ext>
          </a:extLst>
        </xdr:cNvPr>
        <xdr:cNvSpPr/>
      </xdr:nvSpPr>
      <xdr:spPr>
        <a:xfrm>
          <a:off x="9968751" y="8721965"/>
          <a:ext cx="162326" cy="155307"/>
        </a:xfrm>
        <a:prstGeom prst="ellipse">
          <a:avLst/>
        </a:prstGeom>
        <a:solidFill>
          <a:sysClr val="window" lastClr="FFFFFF"/>
        </a:soli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12</xdr:col>
      <xdr:colOff>225096</xdr:colOff>
      <xdr:row>39</xdr:row>
      <xdr:rowOff>111657</xdr:rowOff>
    </xdr:from>
    <xdr:to>
      <xdr:col>14</xdr:col>
      <xdr:colOff>28762</xdr:colOff>
      <xdr:row>42</xdr:row>
      <xdr:rowOff>147922</xdr:rowOff>
    </xdr:to>
    <xdr:sp macro="" textlink="Processing!J58">
      <xdr:nvSpPr>
        <xdr:cNvPr id="100" name="TextBox 99">
          <a:extLst>
            <a:ext uri="{FF2B5EF4-FFF2-40B4-BE49-F238E27FC236}">
              <a16:creationId xmlns:a16="http://schemas.microsoft.com/office/drawing/2014/main" id="{00000000-0008-0000-0100-000064000000}"/>
            </a:ext>
          </a:extLst>
        </xdr:cNvPr>
        <xdr:cNvSpPr txBox="1"/>
      </xdr:nvSpPr>
      <xdr:spPr>
        <a:xfrm>
          <a:off x="10131096" y="8036457"/>
          <a:ext cx="1454666" cy="645865"/>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DA924F1F-A43D-2B4E-AD3A-6D15629CCE73}" type="TxLink">
            <a:rPr kumimoji="0" lang="en-US" sz="18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 € 4.000 </a:t>
          </a:fld>
          <a:endParaRPr kumimoji="0" lang="ru-RU" sz="18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12</xdr:col>
      <xdr:colOff>225096</xdr:colOff>
      <xdr:row>43</xdr:row>
      <xdr:rowOff>0</xdr:rowOff>
    </xdr:from>
    <xdr:to>
      <xdr:col>14</xdr:col>
      <xdr:colOff>28762</xdr:colOff>
      <xdr:row>46</xdr:row>
      <xdr:rowOff>39400</xdr:rowOff>
    </xdr:to>
    <xdr:sp macro="" textlink="Processing!K58">
      <xdr:nvSpPr>
        <xdr:cNvPr id="101" name="TextBox 100">
          <a:extLst>
            <a:ext uri="{FF2B5EF4-FFF2-40B4-BE49-F238E27FC236}">
              <a16:creationId xmlns:a16="http://schemas.microsoft.com/office/drawing/2014/main" id="{00000000-0008-0000-0100-000065000000}"/>
            </a:ext>
          </a:extLst>
        </xdr:cNvPr>
        <xdr:cNvSpPr txBox="1"/>
      </xdr:nvSpPr>
      <xdr:spPr>
        <a:xfrm>
          <a:off x="10131096" y="8737600"/>
          <a:ext cx="1454666" cy="649000"/>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2F69521C-BABC-C04C-B47C-8A21F21DC376}" type="TxLink">
            <a:rPr kumimoji="0" lang="en-US" sz="18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 € 359 </a:t>
          </a:fld>
          <a:endParaRPr kumimoji="0" lang="ru-RU" sz="18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11</xdr:col>
      <xdr:colOff>726439</xdr:colOff>
      <xdr:row>34</xdr:row>
      <xdr:rowOff>60660</xdr:rowOff>
    </xdr:from>
    <xdr:to>
      <xdr:col>13</xdr:col>
      <xdr:colOff>825130</xdr:colOff>
      <xdr:row>37</xdr:row>
      <xdr:rowOff>94725</xdr:rowOff>
    </xdr:to>
    <xdr:sp macro="" textlink="Processing!I58">
      <xdr:nvSpPr>
        <xdr:cNvPr id="102" name="TextBox 101">
          <a:extLst>
            <a:ext uri="{FF2B5EF4-FFF2-40B4-BE49-F238E27FC236}">
              <a16:creationId xmlns:a16="http://schemas.microsoft.com/office/drawing/2014/main" id="{00000000-0008-0000-0100-000066000000}"/>
            </a:ext>
          </a:extLst>
        </xdr:cNvPr>
        <xdr:cNvSpPr txBox="1"/>
      </xdr:nvSpPr>
      <xdr:spPr>
        <a:xfrm>
          <a:off x="9806939" y="6969460"/>
          <a:ext cx="1749691" cy="643665"/>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A3FD0FF4-2CA3-204C-A20A-CC6D1DB5709C}" type="TxLink">
            <a:rPr kumimoji="0" lang="en-US" sz="1400" b="1" i="0" u="none" strike="noStrike" kern="0" cap="none" spc="0" normalizeH="0" baseline="0" noProof="0">
              <a:ln>
                <a:noFill/>
              </a:ln>
              <a:solidFill>
                <a:sysClr val="window" lastClr="FFFFFF"/>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Total</a:t>
          </a:fld>
          <a:endParaRPr kumimoji="0" lang="ru-RU" sz="1400" b="1"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editAs="oneCell">
    <xdr:from>
      <xdr:col>18</xdr:col>
      <xdr:colOff>55023</xdr:colOff>
      <xdr:row>32</xdr:row>
      <xdr:rowOff>122086</xdr:rowOff>
    </xdr:from>
    <xdr:to>
      <xdr:col>21</xdr:col>
      <xdr:colOff>606123</xdr:colOff>
      <xdr:row>46</xdr:row>
      <xdr:rowOff>168086</xdr:rowOff>
    </xdr:to>
    <mc:AlternateContent xmlns:mc="http://schemas.openxmlformats.org/markup-compatibility/2006" xmlns:a14="http://schemas.microsoft.com/office/drawing/2010/main">
      <mc:Choice Requires="a14">
        <xdr:graphicFrame macro="">
          <xdr:nvGraphicFramePr>
            <xdr:cNvPr id="106" name="Giorno 1">
              <a:extLst>
                <a:ext uri="{FF2B5EF4-FFF2-40B4-BE49-F238E27FC236}">
                  <a16:creationId xmlns:a16="http://schemas.microsoft.com/office/drawing/2014/main" id="{00000000-0008-0000-0100-00006A000000}"/>
                </a:ext>
              </a:extLst>
            </xdr:cNvPr>
            <xdr:cNvGraphicFramePr/>
          </xdr:nvGraphicFramePr>
          <xdr:xfrm>
            <a:off x="0" y="0"/>
            <a:ext cx="0" cy="0"/>
          </xdr:xfrm>
          <a:graphic>
            <a:graphicData uri="http://schemas.microsoft.com/office/drawing/2010/slicer">
              <sle:slicer xmlns:sle="http://schemas.microsoft.com/office/drawing/2010/slicer" name="Giorno 1"/>
            </a:graphicData>
          </a:graphic>
        </xdr:graphicFrame>
      </mc:Choice>
      <mc:Fallback xmlns="">
        <xdr:sp macro="" textlink="">
          <xdr:nvSpPr>
            <xdr:cNvPr id="0" name=""/>
            <xdr:cNvSpPr>
              <a:spLocks noTextEdit="1"/>
            </xdr:cNvSpPr>
          </xdr:nvSpPr>
          <xdr:spPr>
            <a:xfrm>
              <a:off x="14914023" y="6624486"/>
              <a:ext cx="3027600" cy="2890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177800</xdr:colOff>
      <xdr:row>29</xdr:row>
      <xdr:rowOff>114300</xdr:rowOff>
    </xdr:from>
    <xdr:to>
      <xdr:col>2</xdr:col>
      <xdr:colOff>691484</xdr:colOff>
      <xdr:row>32</xdr:row>
      <xdr:rowOff>137159</xdr:rowOff>
    </xdr:to>
    <xdr:grpSp>
      <xdr:nvGrpSpPr>
        <xdr:cNvPr id="114" name="Group 113">
          <a:extLst>
            <a:ext uri="{FF2B5EF4-FFF2-40B4-BE49-F238E27FC236}">
              <a16:creationId xmlns:a16="http://schemas.microsoft.com/office/drawing/2014/main" id="{00000000-0008-0000-0100-000072000000}"/>
            </a:ext>
          </a:extLst>
        </xdr:cNvPr>
        <xdr:cNvGrpSpPr/>
      </xdr:nvGrpSpPr>
      <xdr:grpSpPr>
        <a:xfrm>
          <a:off x="177800" y="5822950"/>
          <a:ext cx="2164684" cy="613409"/>
          <a:chOff x="190500" y="5943600"/>
          <a:chExt cx="2164684" cy="632459"/>
        </a:xfrm>
      </xdr:grpSpPr>
      <xdr:sp macro="" textlink="Processing!R13">
        <xdr:nvSpPr>
          <xdr:cNvPr id="115" name="TextBox 114">
            <a:hlinkClick xmlns:r="http://schemas.openxmlformats.org/officeDocument/2006/relationships" r:id="rId9"/>
            <a:extLst>
              <a:ext uri="{FF2B5EF4-FFF2-40B4-BE49-F238E27FC236}">
                <a16:creationId xmlns:a16="http://schemas.microsoft.com/office/drawing/2014/main" id="{00000000-0008-0000-0100-000073000000}"/>
              </a:ext>
            </a:extLst>
          </xdr:cNvPr>
          <xdr:cNvSpPr txBox="1"/>
        </xdr:nvSpPr>
        <xdr:spPr>
          <a:xfrm>
            <a:off x="603252" y="5943600"/>
            <a:ext cx="1751932" cy="632459"/>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it-IT" sz="1400" b="0" i="0" u="none" strike="noStrike" kern="0" cap="none" spc="0" normalizeH="0" baseline="0" noProof="0">
                <a:ln>
                  <a:noFill/>
                </a:ln>
                <a:solidFill>
                  <a:sysClr val="window" lastClr="FFFFFF"/>
                </a:solidFill>
                <a:effectLst/>
                <a:uLnTx/>
                <a:uFillTx/>
                <a:latin typeface="Calibri"/>
                <a:ea typeface="+mn-ea"/>
                <a:cs typeface="Calibri"/>
              </a:rPr>
              <a:t>Insert Data</a:t>
            </a:r>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sp macro="" textlink="">
        <xdr:nvSpPr>
          <xdr:cNvPr id="116" name="TextBox 115">
            <a:extLst>
              <a:ext uri="{FF2B5EF4-FFF2-40B4-BE49-F238E27FC236}">
                <a16:creationId xmlns:a16="http://schemas.microsoft.com/office/drawing/2014/main" id="{00000000-0008-0000-0100-000074000000}"/>
              </a:ext>
            </a:extLst>
          </xdr:cNvPr>
          <xdr:cNvSpPr txBox="1"/>
        </xdr:nvSpPr>
        <xdr:spPr>
          <a:xfrm>
            <a:off x="190500" y="6025829"/>
            <a:ext cx="432000" cy="468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a:t>
            </a:r>
          </a:p>
        </xdr:txBody>
      </xdr:sp>
    </xdr:grpSp>
    <xdr:clientData/>
  </xdr:twoCellAnchor>
  <xdr:twoCellAnchor>
    <xdr:from>
      <xdr:col>3</xdr:col>
      <xdr:colOff>101600</xdr:colOff>
      <xdr:row>10</xdr:row>
      <xdr:rowOff>82177</xdr:rowOff>
    </xdr:from>
    <xdr:to>
      <xdr:col>11</xdr:col>
      <xdr:colOff>370000</xdr:colOff>
      <xdr:row>32</xdr:row>
      <xdr:rowOff>124009</xdr:rowOff>
    </xdr:to>
    <xdr:grpSp>
      <xdr:nvGrpSpPr>
        <xdr:cNvPr id="95" name="Group 94">
          <a:extLst>
            <a:ext uri="{FF2B5EF4-FFF2-40B4-BE49-F238E27FC236}">
              <a16:creationId xmlns:a16="http://schemas.microsoft.com/office/drawing/2014/main" id="{00000000-0008-0000-0100-00005F000000}"/>
            </a:ext>
          </a:extLst>
        </xdr:cNvPr>
        <xdr:cNvGrpSpPr/>
      </xdr:nvGrpSpPr>
      <xdr:grpSpPr>
        <a:xfrm>
          <a:off x="2578100" y="2050677"/>
          <a:ext cx="6872400" cy="4372532"/>
          <a:chOff x="2578100" y="2184402"/>
          <a:chExt cx="6872400" cy="4512232"/>
        </a:xfrm>
      </xdr:grpSpPr>
      <xdr:graphicFrame macro="">
        <xdr:nvGraphicFramePr>
          <xdr:cNvPr id="118" name="Chart 117">
            <a:extLst>
              <a:ext uri="{FF2B5EF4-FFF2-40B4-BE49-F238E27FC236}">
                <a16:creationId xmlns:a16="http://schemas.microsoft.com/office/drawing/2014/main" id="{00000000-0008-0000-0100-000076000000}"/>
              </a:ext>
            </a:extLst>
          </xdr:cNvPr>
          <xdr:cNvGraphicFramePr>
            <a:graphicFrameLocks/>
          </xdr:cNvGraphicFramePr>
        </xdr:nvGraphicFramePr>
        <xdr:xfrm>
          <a:off x="2578100" y="2433518"/>
          <a:ext cx="6872400" cy="4014000"/>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16" name="Group 15">
            <a:extLst>
              <a:ext uri="{FF2B5EF4-FFF2-40B4-BE49-F238E27FC236}">
                <a16:creationId xmlns:a16="http://schemas.microsoft.com/office/drawing/2014/main" id="{00000000-0008-0000-0100-000010000000}"/>
              </a:ext>
            </a:extLst>
          </xdr:cNvPr>
          <xdr:cNvGrpSpPr/>
        </xdr:nvGrpSpPr>
        <xdr:grpSpPr>
          <a:xfrm>
            <a:off x="3697206" y="2184402"/>
            <a:ext cx="4634188" cy="4512232"/>
            <a:chOff x="3711671" y="2184402"/>
            <a:chExt cx="4634188" cy="4512232"/>
          </a:xfrm>
        </xdr:grpSpPr>
        <xdr:grpSp>
          <xdr:nvGrpSpPr>
            <xdr:cNvPr id="17" name="Group 16">
              <a:extLst>
                <a:ext uri="{FF2B5EF4-FFF2-40B4-BE49-F238E27FC236}">
                  <a16:creationId xmlns:a16="http://schemas.microsoft.com/office/drawing/2014/main" id="{00000000-0008-0000-0100-000011000000}"/>
                </a:ext>
              </a:extLst>
            </xdr:cNvPr>
            <xdr:cNvGrpSpPr/>
          </xdr:nvGrpSpPr>
          <xdr:grpSpPr>
            <a:xfrm>
              <a:off x="3711671" y="2184402"/>
              <a:ext cx="4634188" cy="4512232"/>
              <a:chOff x="2653553" y="5641362"/>
              <a:chExt cx="3083859" cy="3181831"/>
            </a:xfrm>
          </xdr:grpSpPr>
          <xdr:sp macro="" textlink="">
            <xdr:nvSpPr>
              <xdr:cNvPr id="18" name="Oval 17">
                <a:extLst>
                  <a:ext uri="{FF2B5EF4-FFF2-40B4-BE49-F238E27FC236}">
                    <a16:creationId xmlns:a16="http://schemas.microsoft.com/office/drawing/2014/main" id="{00000000-0008-0000-0100-000012000000}"/>
                  </a:ext>
                </a:extLst>
              </xdr:cNvPr>
              <xdr:cNvSpPr/>
            </xdr:nvSpPr>
            <xdr:spPr>
              <a:xfrm>
                <a:off x="2773906" y="5765539"/>
                <a:ext cx="2843153" cy="2933478"/>
              </a:xfrm>
              <a:prstGeom prst="ellipse">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ru-RU" sz="2800" b="0" i="0" u="none" strike="noStrike" noProof="0">
                  <a:solidFill>
                    <a:schemeClr val="bg1"/>
                  </a:solidFill>
                  <a:latin typeface="Calibri"/>
                  <a:ea typeface="+mn-ea"/>
                  <a:cs typeface="Calibri"/>
                </a:endParaRPr>
              </a:p>
            </xdr:txBody>
          </xdr:sp>
          <xdr:sp macro="" textlink="">
            <xdr:nvSpPr>
              <xdr:cNvPr id="19" name="Circle: Hollow 25">
                <a:extLst>
                  <a:ext uri="{FF2B5EF4-FFF2-40B4-BE49-F238E27FC236}">
                    <a16:creationId xmlns:a16="http://schemas.microsoft.com/office/drawing/2014/main" id="{00000000-0008-0000-0100-000013000000}"/>
                  </a:ext>
                </a:extLst>
              </xdr:cNvPr>
              <xdr:cNvSpPr/>
            </xdr:nvSpPr>
            <xdr:spPr>
              <a:xfrm>
                <a:off x="3375211" y="6385947"/>
                <a:ext cx="1640543" cy="1692662"/>
              </a:xfrm>
              <a:prstGeom prst="donut">
                <a:avLst>
                  <a:gd name="adj" fmla="val 26874"/>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ru-RU" sz="2800" b="0" i="0" u="none" strike="noStrike" noProof="0">
                  <a:solidFill>
                    <a:schemeClr val="bg1"/>
                  </a:solidFill>
                  <a:latin typeface="Calibri"/>
                  <a:ea typeface="+mn-ea"/>
                  <a:cs typeface="Calibri"/>
                </a:endParaRPr>
              </a:p>
            </xdr:txBody>
          </xdr:sp>
          <xdr:sp macro="" textlink="">
            <xdr:nvSpPr>
              <xdr:cNvPr id="21" name="Circle: Hollow 27">
                <a:extLst>
                  <a:ext uri="{FF2B5EF4-FFF2-40B4-BE49-F238E27FC236}">
                    <a16:creationId xmlns:a16="http://schemas.microsoft.com/office/drawing/2014/main" id="{00000000-0008-0000-0100-000015000000}"/>
                  </a:ext>
                </a:extLst>
              </xdr:cNvPr>
              <xdr:cNvSpPr/>
            </xdr:nvSpPr>
            <xdr:spPr>
              <a:xfrm>
                <a:off x="2653553" y="5641362"/>
                <a:ext cx="3083859" cy="3181831"/>
              </a:xfrm>
              <a:prstGeom prst="donut">
                <a:avLst>
                  <a:gd name="adj" fmla="val 13953"/>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ru-RU" sz="2800" b="0" i="0" u="none" strike="noStrike" noProof="0">
                  <a:solidFill>
                    <a:schemeClr val="bg1"/>
                  </a:solidFill>
                  <a:latin typeface="Calibri"/>
                  <a:ea typeface="+mn-ea"/>
                  <a:cs typeface="Calibri"/>
                </a:endParaRPr>
              </a:p>
            </xdr:txBody>
          </xdr:sp>
          <xdr:sp macro="" textlink="">
            <xdr:nvSpPr>
              <xdr:cNvPr id="22" name="Oval 21">
                <a:extLst>
                  <a:ext uri="{FF2B5EF4-FFF2-40B4-BE49-F238E27FC236}">
                    <a16:creationId xmlns:a16="http://schemas.microsoft.com/office/drawing/2014/main" id="{00000000-0008-0000-0100-000016000000}"/>
                  </a:ext>
                </a:extLst>
              </xdr:cNvPr>
              <xdr:cNvSpPr/>
            </xdr:nvSpPr>
            <xdr:spPr>
              <a:xfrm>
                <a:off x="3680011" y="6700430"/>
                <a:ext cx="1030942" cy="1063694"/>
              </a:xfrm>
              <a:prstGeom prst="ellipse">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US" sz="2800" b="0" i="0" u="none" strike="noStrike" noProof="0">
                  <a:solidFill>
                    <a:schemeClr val="bg1"/>
                  </a:solidFill>
                  <a:latin typeface="Calibri"/>
                  <a:ea typeface="+mn-ea"/>
                  <a:cs typeface="Calibri"/>
                </a:endParaRPr>
              </a:p>
            </xdr:txBody>
          </xdr:sp>
          <xdr:sp macro="" textlink="Processing!R9">
            <xdr:nvSpPr>
              <xdr:cNvPr id="23" name="TextBox 22">
                <a:extLst>
                  <a:ext uri="{FF2B5EF4-FFF2-40B4-BE49-F238E27FC236}">
                    <a16:creationId xmlns:a16="http://schemas.microsoft.com/office/drawing/2014/main" id="{00000000-0008-0000-0100-000017000000}"/>
                  </a:ext>
                </a:extLst>
              </xdr:cNvPr>
              <xdr:cNvSpPr txBox="1"/>
            </xdr:nvSpPr>
            <xdr:spPr>
              <a:xfrm>
                <a:off x="3629430" y="7014781"/>
                <a:ext cx="1132101" cy="4623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fld id="{BEFAEA21-800A-A14F-8CF2-D558D1B5352F}" type="TxLink">
                  <a:rPr lang="en-US" sz="1800" b="0"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9%
Delle Entrate Del Mese</a:t>
                </a:fld>
                <a:endParaRPr lang="ru-RU" sz="1800" b="0" i="0" u="none" strike="noStrike" noProof="0">
                  <a:solidFill>
                    <a:schemeClr val="bg1"/>
                  </a:solidFill>
                  <a:latin typeface="Calibri"/>
                  <a:ea typeface="+mn-ea"/>
                  <a:cs typeface="Calibri"/>
                </a:endParaRPr>
              </a:p>
            </xdr:txBody>
          </xdr:sp>
        </xdr:grpSp>
        <xdr:sp macro="" textlink="Processing!R8">
          <xdr:nvSpPr>
            <xdr:cNvPr id="90" name="TextBox 89">
              <a:extLst>
                <a:ext uri="{FF2B5EF4-FFF2-40B4-BE49-F238E27FC236}">
                  <a16:creationId xmlns:a16="http://schemas.microsoft.com/office/drawing/2014/main" id="{00000000-0008-0000-0100-00005A000000}"/>
                </a:ext>
              </a:extLst>
            </xdr:cNvPr>
            <xdr:cNvSpPr txBox="1"/>
          </xdr:nvSpPr>
          <xdr:spPr>
            <a:xfrm>
              <a:off x="5298721" y="3757108"/>
              <a:ext cx="1478698" cy="658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3B8BC7BF-2360-2040-8DB5-1466921B4534}" type="TxLink">
                <a:rPr lang="en-US" sz="1200" b="0"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Used Budget</a:t>
              </a:fld>
              <a:endParaRPr lang="ru-RU" sz="1200" b="0" i="0" u="none" strike="noStrike" noProof="0">
                <a:solidFill>
                  <a:schemeClr val="bg1"/>
                </a:solidFill>
                <a:latin typeface="Calibri"/>
                <a:ea typeface="+mn-ea"/>
                <a:cs typeface="Calibri"/>
              </a:endParaRPr>
            </a:p>
          </xdr:txBody>
        </xdr:sp>
      </xdr:grpSp>
    </xdr:grpSp>
    <xdr:clientData/>
  </xdr:twoCellAnchor>
  <xdr:twoCellAnchor>
    <xdr:from>
      <xdr:col>3</xdr:col>
      <xdr:colOff>342900</xdr:colOff>
      <xdr:row>5</xdr:row>
      <xdr:rowOff>84417</xdr:rowOff>
    </xdr:from>
    <xdr:to>
      <xdr:col>22</xdr:col>
      <xdr:colOff>283136</xdr:colOff>
      <xdr:row>8</xdr:row>
      <xdr:rowOff>118035</xdr:rowOff>
    </xdr:to>
    <xdr:sp macro="" textlink="">
      <xdr:nvSpPr>
        <xdr:cNvPr id="124" name="Rectangle: Rounded Corners 15">
          <a:extLst>
            <a:ext uri="{FF2B5EF4-FFF2-40B4-BE49-F238E27FC236}">
              <a16:creationId xmlns:a16="http://schemas.microsoft.com/office/drawing/2014/main" id="{00000000-0008-0000-0100-00007C000000}"/>
            </a:ext>
          </a:extLst>
        </xdr:cNvPr>
        <xdr:cNvSpPr/>
      </xdr:nvSpPr>
      <xdr:spPr>
        <a:xfrm>
          <a:off x="2819400" y="1100417"/>
          <a:ext cx="15624736" cy="643218"/>
        </a:xfrm>
        <a:prstGeom prst="roundRect">
          <a:avLst>
            <a:gd name="adj" fmla="val 15178"/>
          </a:avLst>
        </a:prstGeom>
        <a:solidFill>
          <a:srgbClr val="242732"/>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ru-RU" sz="24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342900</xdr:colOff>
      <xdr:row>0</xdr:row>
      <xdr:rowOff>190500</xdr:rowOff>
    </xdr:from>
    <xdr:to>
      <xdr:col>22</xdr:col>
      <xdr:colOff>284900</xdr:colOff>
      <xdr:row>3</xdr:row>
      <xdr:rowOff>190501</xdr:rowOff>
    </xdr:to>
    <xdr:sp macro="" textlink="">
      <xdr:nvSpPr>
        <xdr:cNvPr id="125" name="Rectangle: Rounded Corners 16">
          <a:extLst>
            <a:ext uri="{FF2B5EF4-FFF2-40B4-BE49-F238E27FC236}">
              <a16:creationId xmlns:a16="http://schemas.microsoft.com/office/drawing/2014/main" id="{00000000-0008-0000-0100-00007D000000}"/>
            </a:ext>
          </a:extLst>
        </xdr:cNvPr>
        <xdr:cNvSpPr/>
      </xdr:nvSpPr>
      <xdr:spPr>
        <a:xfrm>
          <a:off x="2819400" y="190500"/>
          <a:ext cx="15626500" cy="609601"/>
        </a:xfrm>
        <a:prstGeom prst="roundRect">
          <a:avLst>
            <a:gd name="adj" fmla="val 15178"/>
          </a:avLst>
        </a:prstGeom>
        <a:solidFill>
          <a:srgbClr val="242732"/>
        </a:solidFill>
        <a:ln w="12700" cap="flat" cmpd="sng" algn="ctr">
          <a:noFill/>
          <a:prstDash val="solid"/>
          <a:miter lim="800000"/>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ru-RU" sz="2400" b="1" i="0" u="none" strike="noStrike" kern="0" cap="none" spc="0" normalizeH="0" baseline="0" noProof="0">
              <a:ln>
                <a:noFill/>
              </a:ln>
              <a:solidFill>
                <a:sysClr val="window" lastClr="FFFFFF"/>
              </a:solidFill>
              <a:effectLst/>
              <a:uLnTx/>
              <a:uFillTx/>
              <a:latin typeface="Calibri" panose="020F0502020204030204"/>
              <a:ea typeface="+mn-ea"/>
              <a:cs typeface="+mn-cs"/>
            </a:rPr>
            <a:t>				</a:t>
          </a: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Personal Finance Dashboard</a:t>
          </a:r>
          <a:endParaRPr kumimoji="0" lang="ru-RU" sz="24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17</xdr:col>
      <xdr:colOff>69520</xdr:colOff>
      <xdr:row>1</xdr:row>
      <xdr:rowOff>185421</xdr:rowOff>
    </xdr:from>
    <xdr:to>
      <xdr:col>17</xdr:col>
      <xdr:colOff>290619</xdr:colOff>
      <xdr:row>2</xdr:row>
      <xdr:rowOff>195580</xdr:rowOff>
    </xdr:to>
    <xdr:grpSp>
      <xdr:nvGrpSpPr>
        <xdr:cNvPr id="126" name="Group 125">
          <a:extLst>
            <a:ext uri="{FF2B5EF4-FFF2-40B4-BE49-F238E27FC236}">
              <a16:creationId xmlns:a16="http://schemas.microsoft.com/office/drawing/2014/main" id="{00000000-0008-0000-0100-00007E000000}"/>
            </a:ext>
          </a:extLst>
        </xdr:cNvPr>
        <xdr:cNvGrpSpPr/>
      </xdr:nvGrpSpPr>
      <xdr:grpSpPr>
        <a:xfrm>
          <a:off x="14103020" y="382271"/>
          <a:ext cx="221099" cy="207009"/>
          <a:chOff x="6535559" y="690283"/>
          <a:chExt cx="274908" cy="248639"/>
        </a:xfrm>
      </xdr:grpSpPr>
      <xdr:sp macro="" textlink="">
        <xdr:nvSpPr>
          <xdr:cNvPr id="127" name="Moon">
            <a:extLst>
              <a:ext uri="{FF2B5EF4-FFF2-40B4-BE49-F238E27FC236}">
                <a16:creationId xmlns:a16="http://schemas.microsoft.com/office/drawing/2014/main" id="{00000000-0008-0000-0100-00007F000000}"/>
              </a:ext>
            </a:extLst>
          </xdr:cNvPr>
          <xdr:cNvSpPr/>
        </xdr:nvSpPr>
        <xdr:spPr>
          <a:xfrm>
            <a:off x="6535559" y="690283"/>
            <a:ext cx="140283" cy="245398"/>
          </a:xfrm>
          <a:prstGeom prst="moon">
            <a:avLst/>
          </a:prstGeom>
          <a:gradFill>
            <a:gsLst>
              <a:gs pos="0">
                <a:srgbClr val="FB6F32"/>
              </a:gs>
              <a:gs pos="72000">
                <a:srgbClr val="ED3229"/>
              </a:gs>
            </a:gsLst>
            <a:lin ang="8100000" scaled="1"/>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128" name="Big Star">
            <a:extLst>
              <a:ext uri="{FF2B5EF4-FFF2-40B4-BE49-F238E27FC236}">
                <a16:creationId xmlns:a16="http://schemas.microsoft.com/office/drawing/2014/main" id="{00000000-0008-0000-0100-000080000000}"/>
              </a:ext>
            </a:extLst>
          </xdr:cNvPr>
          <xdr:cNvSpPr/>
        </xdr:nvSpPr>
        <xdr:spPr>
          <a:xfrm>
            <a:off x="6675270" y="773921"/>
            <a:ext cx="108000" cy="107972"/>
          </a:xfrm>
          <a:prstGeom prst="star4">
            <a:avLst/>
          </a:prstGeom>
          <a:gradFill>
            <a:gsLst>
              <a:gs pos="0">
                <a:srgbClr val="FB6F32"/>
              </a:gs>
              <a:gs pos="72000">
                <a:srgbClr val="ED3229"/>
              </a:gs>
            </a:gsLst>
            <a:lin ang="8100000" scaled="1"/>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129" name="Star">
            <a:extLst>
              <a:ext uri="{FF2B5EF4-FFF2-40B4-BE49-F238E27FC236}">
                <a16:creationId xmlns:a16="http://schemas.microsoft.com/office/drawing/2014/main" id="{00000000-0008-0000-0100-000081000000}"/>
              </a:ext>
            </a:extLst>
          </xdr:cNvPr>
          <xdr:cNvSpPr/>
        </xdr:nvSpPr>
        <xdr:spPr>
          <a:xfrm>
            <a:off x="6756467" y="881723"/>
            <a:ext cx="54000" cy="57199"/>
          </a:xfrm>
          <a:prstGeom prst="star4">
            <a:avLst/>
          </a:prstGeom>
          <a:gradFill>
            <a:gsLst>
              <a:gs pos="0">
                <a:srgbClr val="FB6F32"/>
              </a:gs>
              <a:gs pos="72000">
                <a:srgbClr val="ED3229"/>
              </a:gs>
            </a:gsLst>
            <a:lin ang="8100000" scaled="1"/>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15</xdr:col>
      <xdr:colOff>767965</xdr:colOff>
      <xdr:row>1</xdr:row>
      <xdr:rowOff>185421</xdr:rowOff>
    </xdr:from>
    <xdr:to>
      <xdr:col>16</xdr:col>
      <xdr:colOff>150930</xdr:colOff>
      <xdr:row>2</xdr:row>
      <xdr:rowOff>195580</xdr:rowOff>
    </xdr:to>
    <xdr:grpSp>
      <xdr:nvGrpSpPr>
        <xdr:cNvPr id="130" name="Группа 7203">
          <a:extLst>
            <a:ext uri="{FF2B5EF4-FFF2-40B4-BE49-F238E27FC236}">
              <a16:creationId xmlns:a16="http://schemas.microsoft.com/office/drawing/2014/main" id="{00000000-0008-0000-0100-000082000000}"/>
            </a:ext>
          </a:extLst>
        </xdr:cNvPr>
        <xdr:cNvGrpSpPr/>
      </xdr:nvGrpSpPr>
      <xdr:grpSpPr>
        <a:xfrm>
          <a:off x="13150465" y="382271"/>
          <a:ext cx="208465" cy="207009"/>
          <a:chOff x="14630400" y="0"/>
          <a:chExt cx="1320905" cy="1291901"/>
        </a:xfrm>
        <a:effectLst/>
      </xdr:grpSpPr>
      <xdr:sp macro="" textlink="">
        <xdr:nvSpPr>
          <xdr:cNvPr id="131" name="Lights">
            <a:extLst>
              <a:ext uri="{FF2B5EF4-FFF2-40B4-BE49-F238E27FC236}">
                <a16:creationId xmlns:a16="http://schemas.microsoft.com/office/drawing/2014/main" id="{00000000-0008-0000-0100-000083000000}"/>
              </a:ext>
            </a:extLst>
          </xdr:cNvPr>
          <xdr:cNvSpPr/>
        </xdr:nvSpPr>
        <xdr:spPr>
          <a:xfrm rot="19122911">
            <a:off x="14630400" y="0"/>
            <a:ext cx="1320905" cy="1291901"/>
          </a:xfrm>
          <a:custGeom>
            <a:avLst/>
            <a:gdLst>
              <a:gd name="connsiteX0" fmla="*/ 721625 w 2541582"/>
              <a:gd name="connsiteY0" fmla="*/ 1903961 h 2517378"/>
              <a:gd name="connsiteX1" fmla="*/ 721626 w 2541582"/>
              <a:gd name="connsiteY1" fmla="*/ 2056116 h 2517378"/>
              <a:gd name="connsiteX2" fmla="*/ 721626 w 2541582"/>
              <a:gd name="connsiteY2" fmla="*/ 2056119 h 2517378"/>
              <a:gd name="connsiteX3" fmla="*/ 573702 w 2541582"/>
              <a:gd name="connsiteY3" fmla="*/ 2208278 h 2517378"/>
              <a:gd name="connsiteX4" fmla="*/ 573701 w 2541582"/>
              <a:gd name="connsiteY4" fmla="*/ 2208277 h 2517378"/>
              <a:gd name="connsiteX5" fmla="*/ 425777 w 2541582"/>
              <a:gd name="connsiteY5" fmla="*/ 2208278 h 2517378"/>
              <a:gd name="connsiteX6" fmla="*/ 425777 w 2541582"/>
              <a:gd name="connsiteY6" fmla="*/ 2056123 h 2517378"/>
              <a:gd name="connsiteX7" fmla="*/ 425777 w 2541582"/>
              <a:gd name="connsiteY7" fmla="*/ 2056120 h 2517378"/>
              <a:gd name="connsiteX8" fmla="*/ 573701 w 2541582"/>
              <a:gd name="connsiteY8" fmla="*/ 1903962 h 2517378"/>
              <a:gd name="connsiteX9" fmla="*/ 573702 w 2541582"/>
              <a:gd name="connsiteY9" fmla="*/ 1903962 h 2517378"/>
              <a:gd name="connsiteX10" fmla="*/ 519727 w 2541582"/>
              <a:gd name="connsiteY10" fmla="*/ 1624038 h 2517378"/>
              <a:gd name="connsiteX11" fmla="*/ 458680 w 2541582"/>
              <a:gd name="connsiteY11" fmla="*/ 1763409 h 2517378"/>
              <a:gd name="connsiteX12" fmla="*/ 458678 w 2541582"/>
              <a:gd name="connsiteY12" fmla="*/ 1763413 h 2517378"/>
              <a:gd name="connsiteX13" fmla="*/ 262134 w 2541582"/>
              <a:gd name="connsiteY13" fmla="*/ 1843437 h 2517378"/>
              <a:gd name="connsiteX14" fmla="*/ 262133 w 2541582"/>
              <a:gd name="connsiteY14" fmla="*/ 1843437 h 2517378"/>
              <a:gd name="connsiteX15" fmla="*/ 126637 w 2541582"/>
              <a:gd name="connsiteY15" fmla="*/ 1784087 h 2517378"/>
              <a:gd name="connsiteX16" fmla="*/ 187684 w 2541582"/>
              <a:gd name="connsiteY16" fmla="*/ 1644716 h 2517378"/>
              <a:gd name="connsiteX17" fmla="*/ 187686 w 2541582"/>
              <a:gd name="connsiteY17" fmla="*/ 1644713 h 2517378"/>
              <a:gd name="connsiteX18" fmla="*/ 384230 w 2541582"/>
              <a:gd name="connsiteY18" fmla="*/ 1564688 h 2517378"/>
              <a:gd name="connsiteX19" fmla="*/ 384231 w 2541582"/>
              <a:gd name="connsiteY19" fmla="*/ 1564689 h 2517378"/>
              <a:gd name="connsiteX20" fmla="*/ 1009078 w 2541582"/>
              <a:gd name="connsiteY20" fmla="*/ 2051827 h 2517378"/>
              <a:gd name="connsiteX21" fmla="*/ 1066442 w 2541582"/>
              <a:gd name="connsiteY21" fmla="*/ 2192754 h 2517378"/>
              <a:gd name="connsiteX22" fmla="*/ 1066444 w 2541582"/>
              <a:gd name="connsiteY22" fmla="*/ 2192757 h 2517378"/>
              <a:gd name="connsiteX23" fmla="*/ 986801 w 2541582"/>
              <a:gd name="connsiteY23" fmla="*/ 2389456 h 2517378"/>
              <a:gd name="connsiteX24" fmla="*/ 986801 w 2541582"/>
              <a:gd name="connsiteY24" fmla="*/ 2389457 h 2517378"/>
              <a:gd name="connsiteX25" fmla="*/ 849793 w 2541582"/>
              <a:gd name="connsiteY25" fmla="*/ 2445226 h 2517378"/>
              <a:gd name="connsiteX26" fmla="*/ 792428 w 2541582"/>
              <a:gd name="connsiteY26" fmla="*/ 2304299 h 2517378"/>
              <a:gd name="connsiteX27" fmla="*/ 792426 w 2541582"/>
              <a:gd name="connsiteY27" fmla="*/ 2304296 h 2517378"/>
              <a:gd name="connsiteX28" fmla="*/ 872069 w 2541582"/>
              <a:gd name="connsiteY28" fmla="*/ 2107597 h 2517378"/>
              <a:gd name="connsiteX29" fmla="*/ 872070 w 2541582"/>
              <a:gd name="connsiteY29" fmla="*/ 2107597 h 2517378"/>
              <a:gd name="connsiteX30" fmla="*/ 1307640 w 2541582"/>
              <a:gd name="connsiteY30" fmla="*/ 2093057 h 2517378"/>
              <a:gd name="connsiteX31" fmla="*/ 1411294 w 2541582"/>
              <a:gd name="connsiteY31" fmla="*/ 2204442 h 2517378"/>
              <a:gd name="connsiteX32" fmla="*/ 1411296 w 2541582"/>
              <a:gd name="connsiteY32" fmla="*/ 2204445 h 2517378"/>
              <a:gd name="connsiteX33" fmla="*/ 1406663 w 2541582"/>
              <a:gd name="connsiteY33" fmla="*/ 2416606 h 2517378"/>
              <a:gd name="connsiteX34" fmla="*/ 1406663 w 2541582"/>
              <a:gd name="connsiteY34" fmla="*/ 2416606 h 2517378"/>
              <a:gd name="connsiteX35" fmla="*/ 1298374 w 2541582"/>
              <a:gd name="connsiteY35" fmla="*/ 2517378 h 2517378"/>
              <a:gd name="connsiteX36" fmla="*/ 1194720 w 2541582"/>
              <a:gd name="connsiteY36" fmla="*/ 2405992 h 2517378"/>
              <a:gd name="connsiteX37" fmla="*/ 1194718 w 2541582"/>
              <a:gd name="connsiteY37" fmla="*/ 2405989 h 2517378"/>
              <a:gd name="connsiteX38" fmla="*/ 1199351 w 2541582"/>
              <a:gd name="connsiteY38" fmla="*/ 2193829 h 2517378"/>
              <a:gd name="connsiteX39" fmla="*/ 1199351 w 2541582"/>
              <a:gd name="connsiteY39" fmla="*/ 2193828 h 2517378"/>
              <a:gd name="connsiteX40" fmla="*/ 323549 w 2541582"/>
              <a:gd name="connsiteY40" fmla="*/ 1188033 h 2517378"/>
              <a:gd name="connsiteX41" fmla="*/ 323549 w 2541582"/>
              <a:gd name="connsiteY41" fmla="*/ 1188033 h 2517378"/>
              <a:gd name="connsiteX42" fmla="*/ 424321 w 2541582"/>
              <a:gd name="connsiteY42" fmla="*/ 1296322 h 2517378"/>
              <a:gd name="connsiteX43" fmla="*/ 312935 w 2541582"/>
              <a:gd name="connsiteY43" fmla="*/ 1399976 h 2517378"/>
              <a:gd name="connsiteX44" fmla="*/ 312933 w 2541582"/>
              <a:gd name="connsiteY44" fmla="*/ 1399979 h 2517378"/>
              <a:gd name="connsiteX45" fmla="*/ 100772 w 2541582"/>
              <a:gd name="connsiteY45" fmla="*/ 1395346 h 2517378"/>
              <a:gd name="connsiteX46" fmla="*/ 100771 w 2541582"/>
              <a:gd name="connsiteY46" fmla="*/ 1395345 h 2517378"/>
              <a:gd name="connsiteX47" fmla="*/ 0 w 2541582"/>
              <a:gd name="connsiteY47" fmla="*/ 1287056 h 2517378"/>
              <a:gd name="connsiteX48" fmla="*/ 111385 w 2541582"/>
              <a:gd name="connsiteY48" fmla="*/ 1183403 h 2517378"/>
              <a:gd name="connsiteX49" fmla="*/ 111388 w 2541582"/>
              <a:gd name="connsiteY49" fmla="*/ 1183400 h 2517378"/>
              <a:gd name="connsiteX50" fmla="*/ 323549 w 2541582"/>
              <a:gd name="connsiteY50" fmla="*/ 1188033 h 2517378"/>
              <a:gd name="connsiteX51" fmla="*/ 1826146 w 2541582"/>
              <a:gd name="connsiteY51" fmla="*/ 2118023 h 2517378"/>
              <a:gd name="connsiteX52" fmla="*/ 1856583 w 2541582"/>
              <a:gd name="connsiteY52" fmla="*/ 2280157 h 2517378"/>
              <a:gd name="connsiteX53" fmla="*/ 1856583 w 2541582"/>
              <a:gd name="connsiteY53" fmla="*/ 2280157 h 2517378"/>
              <a:gd name="connsiteX54" fmla="*/ 1797234 w 2541582"/>
              <a:gd name="connsiteY54" fmla="*/ 2415653 h 2517378"/>
              <a:gd name="connsiteX55" fmla="*/ 1657863 w 2541582"/>
              <a:gd name="connsiteY55" fmla="*/ 2354606 h 2517378"/>
              <a:gd name="connsiteX56" fmla="*/ 1657859 w 2541582"/>
              <a:gd name="connsiteY56" fmla="*/ 2354605 h 2517378"/>
              <a:gd name="connsiteX57" fmla="*/ 1577835 w 2541582"/>
              <a:gd name="connsiteY57" fmla="*/ 2158060 h 2517378"/>
              <a:gd name="connsiteX58" fmla="*/ 1577835 w 2541582"/>
              <a:gd name="connsiteY58" fmla="*/ 2158060 h 2517378"/>
              <a:gd name="connsiteX59" fmla="*/ 1637185 w 2541582"/>
              <a:gd name="connsiteY59" fmla="*/ 2022564 h 2517378"/>
              <a:gd name="connsiteX60" fmla="*/ 1776555 w 2541582"/>
              <a:gd name="connsiteY60" fmla="*/ 2083611 h 2517378"/>
              <a:gd name="connsiteX61" fmla="*/ 1776559 w 2541582"/>
              <a:gd name="connsiteY61" fmla="*/ 2083612 h 2517378"/>
              <a:gd name="connsiteX62" fmla="*/ 1826146 w 2541582"/>
              <a:gd name="connsiteY62" fmla="*/ 2118023 h 2517378"/>
              <a:gd name="connsiteX63" fmla="*/ 377553 w 2541582"/>
              <a:gd name="connsiteY63" fmla="*/ 807593 h 2517378"/>
              <a:gd name="connsiteX64" fmla="*/ 410335 w 2541582"/>
              <a:gd name="connsiteY64" fmla="*/ 856415 h 2517378"/>
              <a:gd name="connsiteX65" fmla="*/ 410336 w 2541582"/>
              <a:gd name="connsiteY65" fmla="*/ 856415 h 2517378"/>
              <a:gd name="connsiteX66" fmla="*/ 466105 w 2541582"/>
              <a:gd name="connsiteY66" fmla="*/ 993423 h 2517378"/>
              <a:gd name="connsiteX67" fmla="*/ 325178 w 2541582"/>
              <a:gd name="connsiteY67" fmla="*/ 1050787 h 2517378"/>
              <a:gd name="connsiteX68" fmla="*/ 325175 w 2541582"/>
              <a:gd name="connsiteY68" fmla="*/ 1050789 h 2517378"/>
              <a:gd name="connsiteX69" fmla="*/ 128476 w 2541582"/>
              <a:gd name="connsiteY69" fmla="*/ 971146 h 2517378"/>
              <a:gd name="connsiteX70" fmla="*/ 128476 w 2541582"/>
              <a:gd name="connsiteY70" fmla="*/ 971146 h 2517378"/>
              <a:gd name="connsiteX71" fmla="*/ 72706 w 2541582"/>
              <a:gd name="connsiteY71" fmla="*/ 834138 h 2517378"/>
              <a:gd name="connsiteX72" fmla="*/ 213633 w 2541582"/>
              <a:gd name="connsiteY72" fmla="*/ 776773 h 2517378"/>
              <a:gd name="connsiteX73" fmla="*/ 213636 w 2541582"/>
              <a:gd name="connsiteY73" fmla="*/ 776772 h 2517378"/>
              <a:gd name="connsiteX74" fmla="*/ 377553 w 2541582"/>
              <a:gd name="connsiteY74" fmla="*/ 807593 h 2517378"/>
              <a:gd name="connsiteX75" fmla="*/ 2166386 w 2541582"/>
              <a:gd name="connsiteY75" fmla="*/ 1843414 h 2517378"/>
              <a:gd name="connsiteX76" fmla="*/ 2210952 w 2541582"/>
              <a:gd name="connsiteY76" fmla="*/ 1948012 h 2517378"/>
              <a:gd name="connsiteX77" fmla="*/ 2210952 w 2541582"/>
              <a:gd name="connsiteY77" fmla="*/ 1948012 h 2517378"/>
              <a:gd name="connsiteX78" fmla="*/ 2210952 w 2541582"/>
              <a:gd name="connsiteY78" fmla="*/ 2095936 h 2517378"/>
              <a:gd name="connsiteX79" fmla="*/ 2058798 w 2541582"/>
              <a:gd name="connsiteY79" fmla="*/ 2095936 h 2517378"/>
              <a:gd name="connsiteX80" fmla="*/ 2058794 w 2541582"/>
              <a:gd name="connsiteY80" fmla="*/ 2095937 h 2517378"/>
              <a:gd name="connsiteX81" fmla="*/ 1906636 w 2541582"/>
              <a:gd name="connsiteY81" fmla="*/ 1948012 h 2517378"/>
              <a:gd name="connsiteX82" fmla="*/ 1906636 w 2541582"/>
              <a:gd name="connsiteY82" fmla="*/ 1948012 h 2517378"/>
              <a:gd name="connsiteX83" fmla="*/ 1906636 w 2541582"/>
              <a:gd name="connsiteY83" fmla="*/ 1800088 h 2517378"/>
              <a:gd name="connsiteX84" fmla="*/ 2058790 w 2541582"/>
              <a:gd name="connsiteY84" fmla="*/ 1800088 h 2517378"/>
              <a:gd name="connsiteX85" fmla="*/ 2058794 w 2541582"/>
              <a:gd name="connsiteY85" fmla="*/ 1800088 h 2517378"/>
              <a:gd name="connsiteX86" fmla="*/ 2166386 w 2541582"/>
              <a:gd name="connsiteY86" fmla="*/ 1843414 h 2517378"/>
              <a:gd name="connsiteX87" fmla="*/ 592924 w 2541582"/>
              <a:gd name="connsiteY87" fmla="*/ 461833 h 2517378"/>
              <a:gd name="connsiteX88" fmla="*/ 637491 w 2541582"/>
              <a:gd name="connsiteY88" fmla="*/ 566431 h 2517378"/>
              <a:gd name="connsiteX89" fmla="*/ 637490 w 2541582"/>
              <a:gd name="connsiteY89" fmla="*/ 566431 h 2517378"/>
              <a:gd name="connsiteX90" fmla="*/ 637490 w 2541582"/>
              <a:gd name="connsiteY90" fmla="*/ 714355 h 2517378"/>
              <a:gd name="connsiteX91" fmla="*/ 485336 w 2541582"/>
              <a:gd name="connsiteY91" fmla="*/ 714355 h 2517378"/>
              <a:gd name="connsiteX92" fmla="*/ 485333 w 2541582"/>
              <a:gd name="connsiteY92" fmla="*/ 714356 h 2517378"/>
              <a:gd name="connsiteX93" fmla="*/ 333174 w 2541582"/>
              <a:gd name="connsiteY93" fmla="*/ 566431 h 2517378"/>
              <a:gd name="connsiteX94" fmla="*/ 333175 w 2541582"/>
              <a:gd name="connsiteY94" fmla="*/ 566431 h 2517378"/>
              <a:gd name="connsiteX95" fmla="*/ 333175 w 2541582"/>
              <a:gd name="connsiteY95" fmla="*/ 418507 h 2517378"/>
              <a:gd name="connsiteX96" fmla="*/ 485329 w 2541582"/>
              <a:gd name="connsiteY96" fmla="*/ 418507 h 2517378"/>
              <a:gd name="connsiteX97" fmla="*/ 485333 w 2541582"/>
              <a:gd name="connsiteY97" fmla="*/ 418507 h 2517378"/>
              <a:gd name="connsiteX98" fmla="*/ 592924 w 2541582"/>
              <a:gd name="connsiteY98" fmla="*/ 461833 h 2517378"/>
              <a:gd name="connsiteX99" fmla="*/ 2378656 w 2541582"/>
              <a:gd name="connsiteY99" fmla="*/ 1501946 h 2517378"/>
              <a:gd name="connsiteX100" fmla="*/ 2411439 w 2541582"/>
              <a:gd name="connsiteY100" fmla="*/ 1550768 h 2517378"/>
              <a:gd name="connsiteX101" fmla="*/ 2411439 w 2541582"/>
              <a:gd name="connsiteY101" fmla="*/ 1550768 h 2517378"/>
              <a:gd name="connsiteX102" fmla="*/ 2467208 w 2541582"/>
              <a:gd name="connsiteY102" fmla="*/ 1687776 h 2517378"/>
              <a:gd name="connsiteX103" fmla="*/ 2326282 w 2541582"/>
              <a:gd name="connsiteY103" fmla="*/ 1745141 h 2517378"/>
              <a:gd name="connsiteX104" fmla="*/ 2326278 w 2541582"/>
              <a:gd name="connsiteY104" fmla="*/ 1745142 h 2517378"/>
              <a:gd name="connsiteX105" fmla="*/ 2129579 w 2541582"/>
              <a:gd name="connsiteY105" fmla="*/ 1665499 h 2517378"/>
              <a:gd name="connsiteX106" fmla="*/ 2129579 w 2541582"/>
              <a:gd name="connsiteY106" fmla="*/ 1665499 h 2517378"/>
              <a:gd name="connsiteX107" fmla="*/ 2073809 w 2541582"/>
              <a:gd name="connsiteY107" fmla="*/ 1528491 h 2517378"/>
              <a:gd name="connsiteX108" fmla="*/ 2214736 w 2541582"/>
              <a:gd name="connsiteY108" fmla="*/ 1471127 h 2517378"/>
              <a:gd name="connsiteX109" fmla="*/ 2214739 w 2541582"/>
              <a:gd name="connsiteY109" fmla="*/ 1471125 h 2517378"/>
              <a:gd name="connsiteX110" fmla="*/ 2378656 w 2541582"/>
              <a:gd name="connsiteY110" fmla="*/ 1501946 h 2517378"/>
              <a:gd name="connsiteX111" fmla="*/ 928939 w 2541582"/>
              <a:gd name="connsiteY111" fmla="*/ 199283 h 2517378"/>
              <a:gd name="connsiteX112" fmla="*/ 959377 w 2541582"/>
              <a:gd name="connsiteY112" fmla="*/ 361416 h 2517378"/>
              <a:gd name="connsiteX113" fmla="*/ 959376 w 2541582"/>
              <a:gd name="connsiteY113" fmla="*/ 361417 h 2517378"/>
              <a:gd name="connsiteX114" fmla="*/ 900027 w 2541582"/>
              <a:gd name="connsiteY114" fmla="*/ 496913 h 2517378"/>
              <a:gd name="connsiteX115" fmla="*/ 760656 w 2541582"/>
              <a:gd name="connsiteY115" fmla="*/ 435866 h 2517378"/>
              <a:gd name="connsiteX116" fmla="*/ 760652 w 2541582"/>
              <a:gd name="connsiteY116" fmla="*/ 435865 h 2517378"/>
              <a:gd name="connsiteX117" fmla="*/ 680628 w 2541582"/>
              <a:gd name="connsiteY117" fmla="*/ 239320 h 2517378"/>
              <a:gd name="connsiteX118" fmla="*/ 680628 w 2541582"/>
              <a:gd name="connsiteY118" fmla="*/ 239320 h 2517378"/>
              <a:gd name="connsiteX119" fmla="*/ 739978 w 2541582"/>
              <a:gd name="connsiteY119" fmla="*/ 103824 h 2517378"/>
              <a:gd name="connsiteX120" fmla="*/ 879349 w 2541582"/>
              <a:gd name="connsiteY120" fmla="*/ 164871 h 2517378"/>
              <a:gd name="connsiteX121" fmla="*/ 879352 w 2541582"/>
              <a:gd name="connsiteY121" fmla="*/ 164872 h 2517378"/>
              <a:gd name="connsiteX122" fmla="*/ 928939 w 2541582"/>
              <a:gd name="connsiteY122" fmla="*/ 199283 h 2517378"/>
              <a:gd name="connsiteX123" fmla="*/ 2440810 w 2541582"/>
              <a:gd name="connsiteY123" fmla="*/ 1126826 h 2517378"/>
              <a:gd name="connsiteX124" fmla="*/ 2440811 w 2541582"/>
              <a:gd name="connsiteY124" fmla="*/ 1126826 h 2517378"/>
              <a:gd name="connsiteX125" fmla="*/ 2541582 w 2541582"/>
              <a:gd name="connsiteY125" fmla="*/ 1235115 h 2517378"/>
              <a:gd name="connsiteX126" fmla="*/ 2430197 w 2541582"/>
              <a:gd name="connsiteY126" fmla="*/ 1338769 h 2517378"/>
              <a:gd name="connsiteX127" fmla="*/ 2430194 w 2541582"/>
              <a:gd name="connsiteY127" fmla="*/ 1338772 h 2517378"/>
              <a:gd name="connsiteX128" fmla="*/ 2218033 w 2541582"/>
              <a:gd name="connsiteY128" fmla="*/ 1334138 h 2517378"/>
              <a:gd name="connsiteX129" fmla="*/ 2218033 w 2541582"/>
              <a:gd name="connsiteY129" fmla="*/ 1334138 h 2517378"/>
              <a:gd name="connsiteX130" fmla="*/ 2117261 w 2541582"/>
              <a:gd name="connsiteY130" fmla="*/ 1225849 h 2517378"/>
              <a:gd name="connsiteX131" fmla="*/ 2228647 w 2541582"/>
              <a:gd name="connsiteY131" fmla="*/ 1122195 h 2517378"/>
              <a:gd name="connsiteX132" fmla="*/ 2228649 w 2541582"/>
              <a:gd name="connsiteY132" fmla="*/ 1122192 h 2517378"/>
              <a:gd name="connsiteX133" fmla="*/ 2440810 w 2541582"/>
              <a:gd name="connsiteY133" fmla="*/ 1126826 h 2517378"/>
              <a:gd name="connsiteX134" fmla="*/ 1247133 w 2541582"/>
              <a:gd name="connsiteY134" fmla="*/ 0 h 2517378"/>
              <a:gd name="connsiteX135" fmla="*/ 1350787 w 2541582"/>
              <a:gd name="connsiteY135" fmla="*/ 111386 h 2517378"/>
              <a:gd name="connsiteX136" fmla="*/ 1350790 w 2541582"/>
              <a:gd name="connsiteY136" fmla="*/ 111388 h 2517378"/>
              <a:gd name="connsiteX137" fmla="*/ 1346157 w 2541582"/>
              <a:gd name="connsiteY137" fmla="*/ 323549 h 2517378"/>
              <a:gd name="connsiteX138" fmla="*/ 1346157 w 2541582"/>
              <a:gd name="connsiteY138" fmla="*/ 323550 h 2517378"/>
              <a:gd name="connsiteX139" fmla="*/ 1237868 w 2541582"/>
              <a:gd name="connsiteY139" fmla="*/ 424321 h 2517378"/>
              <a:gd name="connsiteX140" fmla="*/ 1134214 w 2541582"/>
              <a:gd name="connsiteY140" fmla="*/ 312935 h 2517378"/>
              <a:gd name="connsiteX141" fmla="*/ 1134211 w 2541582"/>
              <a:gd name="connsiteY141" fmla="*/ 312933 h 2517378"/>
              <a:gd name="connsiteX142" fmla="*/ 1138844 w 2541582"/>
              <a:gd name="connsiteY142" fmla="*/ 100772 h 2517378"/>
              <a:gd name="connsiteX143" fmla="*/ 1138844 w 2541582"/>
              <a:gd name="connsiteY143" fmla="*/ 100772 h 2517378"/>
              <a:gd name="connsiteX144" fmla="*/ 2416531 w 2541582"/>
              <a:gd name="connsiteY144" fmla="*/ 737089 h 2517378"/>
              <a:gd name="connsiteX145" fmla="*/ 2355484 w 2541582"/>
              <a:gd name="connsiteY145" fmla="*/ 876459 h 2517378"/>
              <a:gd name="connsiteX146" fmla="*/ 2355483 w 2541582"/>
              <a:gd name="connsiteY146" fmla="*/ 876463 h 2517378"/>
              <a:gd name="connsiteX147" fmla="*/ 2158938 w 2541582"/>
              <a:gd name="connsiteY147" fmla="*/ 956487 h 2517378"/>
              <a:gd name="connsiteX148" fmla="*/ 2158938 w 2541582"/>
              <a:gd name="connsiteY148" fmla="*/ 956487 h 2517378"/>
              <a:gd name="connsiteX149" fmla="*/ 2023442 w 2541582"/>
              <a:gd name="connsiteY149" fmla="*/ 897137 h 2517378"/>
              <a:gd name="connsiteX150" fmla="*/ 2084489 w 2541582"/>
              <a:gd name="connsiteY150" fmla="*/ 757767 h 2517378"/>
              <a:gd name="connsiteX151" fmla="*/ 2084490 w 2541582"/>
              <a:gd name="connsiteY151" fmla="*/ 757763 h 2517378"/>
              <a:gd name="connsiteX152" fmla="*/ 2281035 w 2541582"/>
              <a:gd name="connsiteY152" fmla="*/ 677739 h 2517378"/>
              <a:gd name="connsiteX153" fmla="*/ 2281035 w 2541582"/>
              <a:gd name="connsiteY153" fmla="*/ 677739 h 2517378"/>
              <a:gd name="connsiteX154" fmla="*/ 1695493 w 2541582"/>
              <a:gd name="connsiteY154" fmla="*/ 73601 h 2517378"/>
              <a:gd name="connsiteX155" fmla="*/ 1752857 w 2541582"/>
              <a:gd name="connsiteY155" fmla="*/ 214527 h 2517378"/>
              <a:gd name="connsiteX156" fmla="*/ 1752859 w 2541582"/>
              <a:gd name="connsiteY156" fmla="*/ 214531 h 2517378"/>
              <a:gd name="connsiteX157" fmla="*/ 1673216 w 2541582"/>
              <a:gd name="connsiteY157" fmla="*/ 411230 h 2517378"/>
              <a:gd name="connsiteX158" fmla="*/ 1673216 w 2541582"/>
              <a:gd name="connsiteY158" fmla="*/ 411230 h 2517378"/>
              <a:gd name="connsiteX159" fmla="*/ 1536207 w 2541582"/>
              <a:gd name="connsiteY159" fmla="*/ 466999 h 2517378"/>
              <a:gd name="connsiteX160" fmla="*/ 1478843 w 2541582"/>
              <a:gd name="connsiteY160" fmla="*/ 326073 h 2517378"/>
              <a:gd name="connsiteX161" fmla="*/ 1478841 w 2541582"/>
              <a:gd name="connsiteY161" fmla="*/ 326069 h 2517378"/>
              <a:gd name="connsiteX162" fmla="*/ 1558484 w 2541582"/>
              <a:gd name="connsiteY162" fmla="*/ 129370 h 2517378"/>
              <a:gd name="connsiteX163" fmla="*/ 1558485 w 2541582"/>
              <a:gd name="connsiteY163" fmla="*/ 129370 h 2517378"/>
              <a:gd name="connsiteX164" fmla="*/ 2119183 w 2541582"/>
              <a:gd name="connsiteY164" fmla="*/ 312304 h 2517378"/>
              <a:gd name="connsiteX165" fmla="*/ 2119184 w 2541582"/>
              <a:gd name="connsiteY165" fmla="*/ 464458 h 2517378"/>
              <a:gd name="connsiteX166" fmla="*/ 2119184 w 2541582"/>
              <a:gd name="connsiteY166" fmla="*/ 464462 h 2517378"/>
              <a:gd name="connsiteX167" fmla="*/ 1971260 w 2541582"/>
              <a:gd name="connsiteY167" fmla="*/ 616620 h 2517378"/>
              <a:gd name="connsiteX168" fmla="*/ 1971259 w 2541582"/>
              <a:gd name="connsiteY168" fmla="*/ 616620 h 2517378"/>
              <a:gd name="connsiteX169" fmla="*/ 1823335 w 2541582"/>
              <a:gd name="connsiteY169" fmla="*/ 616620 h 2517378"/>
              <a:gd name="connsiteX170" fmla="*/ 1823335 w 2541582"/>
              <a:gd name="connsiteY170" fmla="*/ 464466 h 2517378"/>
              <a:gd name="connsiteX171" fmla="*/ 1823335 w 2541582"/>
              <a:gd name="connsiteY171" fmla="*/ 464462 h 2517378"/>
              <a:gd name="connsiteX172" fmla="*/ 1971259 w 2541582"/>
              <a:gd name="connsiteY172" fmla="*/ 312304 h 2517378"/>
              <a:gd name="connsiteX173" fmla="*/ 1971260 w 2541582"/>
              <a:gd name="connsiteY173" fmla="*/ 312304 h 25173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Lst>
            <a:rect l="l" t="t" r="r" b="b"/>
            <a:pathLst>
              <a:path w="2541582" h="2517378">
                <a:moveTo>
                  <a:pt x="721625" y="1903961"/>
                </a:moveTo>
                <a:lnTo>
                  <a:pt x="721626" y="2056116"/>
                </a:lnTo>
                <a:lnTo>
                  <a:pt x="721626" y="2056119"/>
                </a:lnTo>
                <a:cubicBezTo>
                  <a:pt x="721626" y="2140154"/>
                  <a:pt x="655398" y="2208277"/>
                  <a:pt x="573702" y="2208278"/>
                </a:cubicBezTo>
                <a:lnTo>
                  <a:pt x="573701" y="2208277"/>
                </a:lnTo>
                <a:lnTo>
                  <a:pt x="425777" y="2208278"/>
                </a:lnTo>
                <a:lnTo>
                  <a:pt x="425777" y="2056123"/>
                </a:lnTo>
                <a:lnTo>
                  <a:pt x="425777" y="2056120"/>
                </a:lnTo>
                <a:cubicBezTo>
                  <a:pt x="425777" y="1972085"/>
                  <a:pt x="492005" y="1903962"/>
                  <a:pt x="573701" y="1903962"/>
                </a:cubicBezTo>
                <a:lnTo>
                  <a:pt x="573702" y="1903962"/>
                </a:lnTo>
                <a:close/>
                <a:moveTo>
                  <a:pt x="519727" y="1624038"/>
                </a:moveTo>
                <a:lnTo>
                  <a:pt x="458680" y="1763409"/>
                </a:lnTo>
                <a:lnTo>
                  <a:pt x="458678" y="1763413"/>
                </a:lnTo>
                <a:cubicBezTo>
                  <a:pt x="424962" y="1840387"/>
                  <a:pt x="336966" y="1876215"/>
                  <a:pt x="262134" y="1843437"/>
                </a:cubicBezTo>
                <a:lnTo>
                  <a:pt x="262133" y="1843437"/>
                </a:lnTo>
                <a:lnTo>
                  <a:pt x="126637" y="1784087"/>
                </a:lnTo>
                <a:lnTo>
                  <a:pt x="187684" y="1644716"/>
                </a:lnTo>
                <a:lnTo>
                  <a:pt x="187686" y="1644713"/>
                </a:lnTo>
                <a:cubicBezTo>
                  <a:pt x="221402" y="1567739"/>
                  <a:pt x="309398" y="1531910"/>
                  <a:pt x="384230" y="1564688"/>
                </a:cubicBezTo>
                <a:lnTo>
                  <a:pt x="384231" y="1564689"/>
                </a:lnTo>
                <a:close/>
                <a:moveTo>
                  <a:pt x="1009078" y="2051827"/>
                </a:moveTo>
                <a:lnTo>
                  <a:pt x="1066442" y="2192754"/>
                </a:lnTo>
                <a:lnTo>
                  <a:pt x="1066444" y="2192757"/>
                </a:lnTo>
                <a:cubicBezTo>
                  <a:pt x="1098126" y="2270591"/>
                  <a:pt x="1062469" y="2358656"/>
                  <a:pt x="986801" y="2389456"/>
                </a:cubicBezTo>
                <a:lnTo>
                  <a:pt x="986801" y="2389457"/>
                </a:lnTo>
                <a:lnTo>
                  <a:pt x="849793" y="2445226"/>
                </a:lnTo>
                <a:lnTo>
                  <a:pt x="792428" y="2304299"/>
                </a:lnTo>
                <a:lnTo>
                  <a:pt x="792426" y="2304296"/>
                </a:lnTo>
                <a:cubicBezTo>
                  <a:pt x="760744" y="2226462"/>
                  <a:pt x="796402" y="2138397"/>
                  <a:pt x="872069" y="2107597"/>
                </a:cubicBezTo>
                <a:lnTo>
                  <a:pt x="872070" y="2107597"/>
                </a:lnTo>
                <a:close/>
                <a:moveTo>
                  <a:pt x="1307640" y="2093057"/>
                </a:moveTo>
                <a:lnTo>
                  <a:pt x="1411294" y="2204442"/>
                </a:lnTo>
                <a:lnTo>
                  <a:pt x="1411296" y="2204445"/>
                </a:lnTo>
                <a:cubicBezTo>
                  <a:pt x="1468544" y="2265963"/>
                  <a:pt x="1466470" y="2360951"/>
                  <a:pt x="1406663" y="2416606"/>
                </a:cubicBezTo>
                <a:lnTo>
                  <a:pt x="1406663" y="2416606"/>
                </a:lnTo>
                <a:lnTo>
                  <a:pt x="1298374" y="2517378"/>
                </a:lnTo>
                <a:lnTo>
                  <a:pt x="1194720" y="2405992"/>
                </a:lnTo>
                <a:lnTo>
                  <a:pt x="1194718" y="2405989"/>
                </a:lnTo>
                <a:cubicBezTo>
                  <a:pt x="1137470" y="2344471"/>
                  <a:pt x="1139544" y="2249484"/>
                  <a:pt x="1199351" y="2193829"/>
                </a:cubicBezTo>
                <a:lnTo>
                  <a:pt x="1199351" y="2193828"/>
                </a:lnTo>
                <a:close/>
                <a:moveTo>
                  <a:pt x="323549" y="1188033"/>
                </a:moveTo>
                <a:lnTo>
                  <a:pt x="323549" y="1188033"/>
                </a:lnTo>
                <a:lnTo>
                  <a:pt x="424321" y="1296322"/>
                </a:lnTo>
                <a:lnTo>
                  <a:pt x="312935" y="1399976"/>
                </a:lnTo>
                <a:lnTo>
                  <a:pt x="312933" y="1399979"/>
                </a:lnTo>
                <a:cubicBezTo>
                  <a:pt x="251414" y="1457227"/>
                  <a:pt x="156427" y="1455152"/>
                  <a:pt x="100772" y="1395346"/>
                </a:cubicBezTo>
                <a:lnTo>
                  <a:pt x="100771" y="1395345"/>
                </a:lnTo>
                <a:lnTo>
                  <a:pt x="0" y="1287056"/>
                </a:lnTo>
                <a:lnTo>
                  <a:pt x="111385" y="1183403"/>
                </a:lnTo>
                <a:lnTo>
                  <a:pt x="111388" y="1183400"/>
                </a:lnTo>
                <a:cubicBezTo>
                  <a:pt x="172906" y="1126152"/>
                  <a:pt x="267894" y="1128226"/>
                  <a:pt x="323549" y="1188033"/>
                </a:cubicBezTo>
                <a:close/>
                <a:moveTo>
                  <a:pt x="1826146" y="2118023"/>
                </a:moveTo>
                <a:cubicBezTo>
                  <a:pt x="1867160" y="2160504"/>
                  <a:pt x="1881167" y="2224032"/>
                  <a:pt x="1856583" y="2280157"/>
                </a:cubicBezTo>
                <a:lnTo>
                  <a:pt x="1856583" y="2280157"/>
                </a:lnTo>
                <a:lnTo>
                  <a:pt x="1797234" y="2415653"/>
                </a:lnTo>
                <a:lnTo>
                  <a:pt x="1657863" y="2354606"/>
                </a:lnTo>
                <a:lnTo>
                  <a:pt x="1657859" y="2354605"/>
                </a:lnTo>
                <a:cubicBezTo>
                  <a:pt x="1580885" y="2320889"/>
                  <a:pt x="1545057" y="2232893"/>
                  <a:pt x="1577835" y="2158060"/>
                </a:cubicBezTo>
                <a:lnTo>
                  <a:pt x="1577835" y="2158060"/>
                </a:lnTo>
                <a:lnTo>
                  <a:pt x="1637185" y="2022564"/>
                </a:lnTo>
                <a:lnTo>
                  <a:pt x="1776555" y="2083611"/>
                </a:lnTo>
                <a:lnTo>
                  <a:pt x="1776559" y="2083612"/>
                </a:lnTo>
                <a:cubicBezTo>
                  <a:pt x="1795803" y="2092041"/>
                  <a:pt x="1812474" y="2103863"/>
                  <a:pt x="1826146" y="2118023"/>
                </a:cubicBezTo>
                <a:close/>
                <a:moveTo>
                  <a:pt x="377553" y="807593"/>
                </a:moveTo>
                <a:cubicBezTo>
                  <a:pt x="391356" y="821081"/>
                  <a:pt x="402635" y="837498"/>
                  <a:pt x="410335" y="856415"/>
                </a:cubicBezTo>
                <a:lnTo>
                  <a:pt x="410336" y="856415"/>
                </a:lnTo>
                <a:lnTo>
                  <a:pt x="466105" y="993423"/>
                </a:lnTo>
                <a:lnTo>
                  <a:pt x="325178" y="1050787"/>
                </a:lnTo>
                <a:lnTo>
                  <a:pt x="325175" y="1050789"/>
                </a:lnTo>
                <a:cubicBezTo>
                  <a:pt x="247342" y="1082471"/>
                  <a:pt x="159276" y="1046814"/>
                  <a:pt x="128476" y="971146"/>
                </a:cubicBezTo>
                <a:lnTo>
                  <a:pt x="128476" y="971146"/>
                </a:lnTo>
                <a:lnTo>
                  <a:pt x="72706" y="834138"/>
                </a:lnTo>
                <a:lnTo>
                  <a:pt x="213633" y="776773"/>
                </a:lnTo>
                <a:lnTo>
                  <a:pt x="213636" y="776772"/>
                </a:lnTo>
                <a:cubicBezTo>
                  <a:pt x="272011" y="753010"/>
                  <a:pt x="336142" y="767127"/>
                  <a:pt x="377553" y="807593"/>
                </a:cubicBezTo>
                <a:close/>
                <a:moveTo>
                  <a:pt x="2166386" y="1843414"/>
                </a:moveTo>
                <a:cubicBezTo>
                  <a:pt x="2193921" y="1870183"/>
                  <a:pt x="2210952" y="1907164"/>
                  <a:pt x="2210952" y="1948012"/>
                </a:cubicBezTo>
                <a:lnTo>
                  <a:pt x="2210952" y="1948012"/>
                </a:lnTo>
                <a:lnTo>
                  <a:pt x="2210952" y="2095936"/>
                </a:lnTo>
                <a:lnTo>
                  <a:pt x="2058798" y="2095936"/>
                </a:lnTo>
                <a:lnTo>
                  <a:pt x="2058794" y="2095937"/>
                </a:lnTo>
                <a:cubicBezTo>
                  <a:pt x="1974759" y="2095937"/>
                  <a:pt x="1906636" y="2029709"/>
                  <a:pt x="1906636" y="1948012"/>
                </a:cubicBezTo>
                <a:lnTo>
                  <a:pt x="1906636" y="1948012"/>
                </a:lnTo>
                <a:lnTo>
                  <a:pt x="1906636" y="1800088"/>
                </a:lnTo>
                <a:lnTo>
                  <a:pt x="2058790" y="1800088"/>
                </a:lnTo>
                <a:lnTo>
                  <a:pt x="2058794" y="1800088"/>
                </a:lnTo>
                <a:cubicBezTo>
                  <a:pt x="2100811" y="1800088"/>
                  <a:pt x="2138851" y="1816645"/>
                  <a:pt x="2166386" y="1843414"/>
                </a:cubicBezTo>
                <a:close/>
                <a:moveTo>
                  <a:pt x="592924" y="461833"/>
                </a:moveTo>
                <a:cubicBezTo>
                  <a:pt x="620460" y="488602"/>
                  <a:pt x="637491" y="525583"/>
                  <a:pt x="637491" y="566431"/>
                </a:cubicBezTo>
                <a:lnTo>
                  <a:pt x="637490" y="566431"/>
                </a:lnTo>
                <a:lnTo>
                  <a:pt x="637490" y="714355"/>
                </a:lnTo>
                <a:lnTo>
                  <a:pt x="485336" y="714355"/>
                </a:lnTo>
                <a:lnTo>
                  <a:pt x="485333" y="714356"/>
                </a:lnTo>
                <a:cubicBezTo>
                  <a:pt x="401298" y="714356"/>
                  <a:pt x="333174" y="648128"/>
                  <a:pt x="333174" y="566431"/>
                </a:cubicBezTo>
                <a:lnTo>
                  <a:pt x="333175" y="566431"/>
                </a:lnTo>
                <a:lnTo>
                  <a:pt x="333175" y="418507"/>
                </a:lnTo>
                <a:lnTo>
                  <a:pt x="485329" y="418507"/>
                </a:lnTo>
                <a:lnTo>
                  <a:pt x="485333" y="418507"/>
                </a:lnTo>
                <a:cubicBezTo>
                  <a:pt x="527350" y="418507"/>
                  <a:pt x="565389" y="435064"/>
                  <a:pt x="592924" y="461833"/>
                </a:cubicBezTo>
                <a:close/>
                <a:moveTo>
                  <a:pt x="2378656" y="1501946"/>
                </a:moveTo>
                <a:cubicBezTo>
                  <a:pt x="2392459" y="1515435"/>
                  <a:pt x="2403738" y="1531851"/>
                  <a:pt x="2411439" y="1550768"/>
                </a:cubicBezTo>
                <a:lnTo>
                  <a:pt x="2411439" y="1550768"/>
                </a:lnTo>
                <a:lnTo>
                  <a:pt x="2467208" y="1687776"/>
                </a:lnTo>
                <a:lnTo>
                  <a:pt x="2326282" y="1745141"/>
                </a:lnTo>
                <a:lnTo>
                  <a:pt x="2326278" y="1745142"/>
                </a:lnTo>
                <a:cubicBezTo>
                  <a:pt x="2248445" y="1776824"/>
                  <a:pt x="2160379" y="1741167"/>
                  <a:pt x="2129579" y="1665499"/>
                </a:cubicBezTo>
                <a:lnTo>
                  <a:pt x="2129579" y="1665499"/>
                </a:lnTo>
                <a:lnTo>
                  <a:pt x="2073809" y="1528491"/>
                </a:lnTo>
                <a:lnTo>
                  <a:pt x="2214736" y="1471127"/>
                </a:lnTo>
                <a:lnTo>
                  <a:pt x="2214739" y="1471125"/>
                </a:lnTo>
                <a:cubicBezTo>
                  <a:pt x="2273114" y="1447363"/>
                  <a:pt x="2337245" y="1461480"/>
                  <a:pt x="2378656" y="1501946"/>
                </a:cubicBezTo>
                <a:close/>
                <a:moveTo>
                  <a:pt x="928939" y="199283"/>
                </a:moveTo>
                <a:cubicBezTo>
                  <a:pt x="969953" y="241764"/>
                  <a:pt x="983960" y="305292"/>
                  <a:pt x="959377" y="361416"/>
                </a:cubicBezTo>
                <a:lnTo>
                  <a:pt x="959376" y="361417"/>
                </a:lnTo>
                <a:lnTo>
                  <a:pt x="900027" y="496913"/>
                </a:lnTo>
                <a:lnTo>
                  <a:pt x="760656" y="435866"/>
                </a:lnTo>
                <a:lnTo>
                  <a:pt x="760652" y="435865"/>
                </a:lnTo>
                <a:cubicBezTo>
                  <a:pt x="683678" y="402148"/>
                  <a:pt x="647850" y="314153"/>
                  <a:pt x="680628" y="239320"/>
                </a:cubicBezTo>
                <a:lnTo>
                  <a:pt x="680628" y="239320"/>
                </a:lnTo>
                <a:lnTo>
                  <a:pt x="739978" y="103824"/>
                </a:lnTo>
                <a:lnTo>
                  <a:pt x="879349" y="164871"/>
                </a:lnTo>
                <a:lnTo>
                  <a:pt x="879352" y="164872"/>
                </a:lnTo>
                <a:cubicBezTo>
                  <a:pt x="898596" y="173301"/>
                  <a:pt x="915268" y="185122"/>
                  <a:pt x="928939" y="199283"/>
                </a:cubicBezTo>
                <a:close/>
                <a:moveTo>
                  <a:pt x="2440810" y="1126826"/>
                </a:moveTo>
                <a:lnTo>
                  <a:pt x="2440811" y="1126826"/>
                </a:lnTo>
                <a:lnTo>
                  <a:pt x="2541582" y="1235115"/>
                </a:lnTo>
                <a:lnTo>
                  <a:pt x="2430197" y="1338769"/>
                </a:lnTo>
                <a:lnTo>
                  <a:pt x="2430194" y="1338772"/>
                </a:lnTo>
                <a:cubicBezTo>
                  <a:pt x="2368676" y="1396019"/>
                  <a:pt x="2273688" y="1393945"/>
                  <a:pt x="2218033" y="1334138"/>
                </a:cubicBezTo>
                <a:lnTo>
                  <a:pt x="2218033" y="1334138"/>
                </a:lnTo>
                <a:lnTo>
                  <a:pt x="2117261" y="1225849"/>
                </a:lnTo>
                <a:lnTo>
                  <a:pt x="2228647" y="1122195"/>
                </a:lnTo>
                <a:lnTo>
                  <a:pt x="2228649" y="1122192"/>
                </a:lnTo>
                <a:cubicBezTo>
                  <a:pt x="2290168" y="1064945"/>
                  <a:pt x="2385155" y="1067019"/>
                  <a:pt x="2440810" y="1126826"/>
                </a:cubicBezTo>
                <a:close/>
                <a:moveTo>
                  <a:pt x="1247133" y="0"/>
                </a:moveTo>
                <a:lnTo>
                  <a:pt x="1350787" y="111386"/>
                </a:lnTo>
                <a:lnTo>
                  <a:pt x="1350790" y="111388"/>
                </a:lnTo>
                <a:cubicBezTo>
                  <a:pt x="1408038" y="172907"/>
                  <a:pt x="1405963" y="267894"/>
                  <a:pt x="1346157" y="323549"/>
                </a:cubicBezTo>
                <a:lnTo>
                  <a:pt x="1346157" y="323550"/>
                </a:lnTo>
                <a:lnTo>
                  <a:pt x="1237868" y="424321"/>
                </a:lnTo>
                <a:lnTo>
                  <a:pt x="1134214" y="312935"/>
                </a:lnTo>
                <a:lnTo>
                  <a:pt x="1134211" y="312933"/>
                </a:lnTo>
                <a:cubicBezTo>
                  <a:pt x="1076963" y="251415"/>
                  <a:pt x="1079038" y="156427"/>
                  <a:pt x="1138844" y="100772"/>
                </a:cubicBezTo>
                <a:lnTo>
                  <a:pt x="1138844" y="100772"/>
                </a:lnTo>
                <a:close/>
                <a:moveTo>
                  <a:pt x="2416531" y="737089"/>
                </a:moveTo>
                <a:lnTo>
                  <a:pt x="2355484" y="876459"/>
                </a:lnTo>
                <a:lnTo>
                  <a:pt x="2355483" y="876463"/>
                </a:lnTo>
                <a:cubicBezTo>
                  <a:pt x="2321766" y="953437"/>
                  <a:pt x="2233771" y="989265"/>
                  <a:pt x="2158938" y="956487"/>
                </a:cubicBezTo>
                <a:lnTo>
                  <a:pt x="2158938" y="956487"/>
                </a:lnTo>
                <a:lnTo>
                  <a:pt x="2023442" y="897137"/>
                </a:lnTo>
                <a:lnTo>
                  <a:pt x="2084489" y="757767"/>
                </a:lnTo>
                <a:lnTo>
                  <a:pt x="2084490" y="757763"/>
                </a:lnTo>
                <a:cubicBezTo>
                  <a:pt x="2118206" y="680789"/>
                  <a:pt x="2206202" y="644961"/>
                  <a:pt x="2281035" y="677739"/>
                </a:cubicBezTo>
                <a:lnTo>
                  <a:pt x="2281035" y="677739"/>
                </a:lnTo>
                <a:close/>
                <a:moveTo>
                  <a:pt x="1695493" y="73601"/>
                </a:moveTo>
                <a:lnTo>
                  <a:pt x="1752857" y="214527"/>
                </a:lnTo>
                <a:lnTo>
                  <a:pt x="1752859" y="214531"/>
                </a:lnTo>
                <a:cubicBezTo>
                  <a:pt x="1784541" y="292364"/>
                  <a:pt x="1748884" y="380429"/>
                  <a:pt x="1673216" y="411230"/>
                </a:cubicBezTo>
                <a:lnTo>
                  <a:pt x="1673216" y="411230"/>
                </a:lnTo>
                <a:lnTo>
                  <a:pt x="1536207" y="466999"/>
                </a:lnTo>
                <a:lnTo>
                  <a:pt x="1478843" y="326073"/>
                </a:lnTo>
                <a:lnTo>
                  <a:pt x="1478841" y="326069"/>
                </a:lnTo>
                <a:cubicBezTo>
                  <a:pt x="1447159" y="248236"/>
                  <a:pt x="1482817" y="160171"/>
                  <a:pt x="1558484" y="129370"/>
                </a:cubicBezTo>
                <a:lnTo>
                  <a:pt x="1558485" y="129370"/>
                </a:lnTo>
                <a:close/>
                <a:moveTo>
                  <a:pt x="2119183" y="312304"/>
                </a:moveTo>
                <a:lnTo>
                  <a:pt x="2119184" y="464458"/>
                </a:lnTo>
                <a:lnTo>
                  <a:pt x="2119184" y="464462"/>
                </a:lnTo>
                <a:cubicBezTo>
                  <a:pt x="2119184" y="548497"/>
                  <a:pt x="2052956" y="616620"/>
                  <a:pt x="1971260" y="616620"/>
                </a:cubicBezTo>
                <a:lnTo>
                  <a:pt x="1971259" y="616620"/>
                </a:lnTo>
                <a:lnTo>
                  <a:pt x="1823335" y="616620"/>
                </a:lnTo>
                <a:lnTo>
                  <a:pt x="1823335" y="464466"/>
                </a:lnTo>
                <a:lnTo>
                  <a:pt x="1823335" y="464462"/>
                </a:lnTo>
                <a:cubicBezTo>
                  <a:pt x="1823335" y="380427"/>
                  <a:pt x="1889563" y="312304"/>
                  <a:pt x="1971259" y="312304"/>
                </a:cubicBezTo>
                <a:lnTo>
                  <a:pt x="1971260" y="312304"/>
                </a:lnTo>
                <a:close/>
              </a:path>
            </a:pathLst>
          </a:custGeom>
          <a:gradFill>
            <a:gsLst>
              <a:gs pos="0">
                <a:sysClr val="window" lastClr="FFFFFF">
                  <a:lumMod val="85000"/>
                </a:sysClr>
              </a:gs>
              <a:gs pos="100000">
                <a:sysClr val="window" lastClr="FFFFFF">
                  <a:lumMod val="50000"/>
                </a:sysClr>
              </a:gs>
            </a:gsLst>
            <a:lin ang="5400000" scaled="1"/>
          </a:gra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132" name="Sun">
            <a:extLst>
              <a:ext uri="{FF2B5EF4-FFF2-40B4-BE49-F238E27FC236}">
                <a16:creationId xmlns:a16="http://schemas.microsoft.com/office/drawing/2014/main" id="{00000000-0008-0000-0100-000084000000}"/>
              </a:ext>
            </a:extLst>
          </xdr:cNvPr>
          <xdr:cNvSpPr/>
        </xdr:nvSpPr>
        <xdr:spPr>
          <a:xfrm rot="18324177">
            <a:off x="14829219" y="190232"/>
            <a:ext cx="942318" cy="930488"/>
          </a:xfrm>
          <a:prstGeom prst="ellipse">
            <a:avLst/>
          </a:prstGeom>
          <a:gradFill>
            <a:gsLst>
              <a:gs pos="0">
                <a:sysClr val="window" lastClr="FFFFFF">
                  <a:lumMod val="85000"/>
                </a:sysClr>
              </a:gs>
              <a:gs pos="100000">
                <a:sysClr val="window" lastClr="FFFFFF">
                  <a:lumMod val="50000"/>
                </a:sysClr>
              </a:gs>
            </a:gsLst>
            <a:lin ang="5400000" scaled="1"/>
          </a:gradFill>
          <a:ln w="12700" cap="flat" cmpd="sng" algn="ctr">
            <a:no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18</xdr:col>
      <xdr:colOff>704031</xdr:colOff>
      <xdr:row>1</xdr:row>
      <xdr:rowOff>7403</xdr:rowOff>
    </xdr:from>
    <xdr:to>
      <xdr:col>20</xdr:col>
      <xdr:colOff>741463</xdr:colOff>
      <xdr:row>4</xdr:row>
      <xdr:rowOff>13935</xdr:rowOff>
    </xdr:to>
    <xdr:sp macro="" textlink="Processing!I1">
      <xdr:nvSpPr>
        <xdr:cNvPr id="133" name="TextBox 132">
          <a:extLst>
            <a:ext uri="{FF2B5EF4-FFF2-40B4-BE49-F238E27FC236}">
              <a16:creationId xmlns:a16="http://schemas.microsoft.com/office/drawing/2014/main" id="{00000000-0008-0000-0100-000085000000}"/>
            </a:ext>
          </a:extLst>
        </xdr:cNvPr>
        <xdr:cNvSpPr txBox="1"/>
      </xdr:nvSpPr>
      <xdr:spPr>
        <a:xfrm>
          <a:off x="15563031" y="210603"/>
          <a:ext cx="1688432" cy="616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616529F7-6C3A-9D4C-98BF-28707077E6C5}" type="TxLink">
            <a:rPr lang="en-US" sz="1200" b="0" i="0" u="none" strike="noStrike" noProof="0">
              <a:solidFill>
                <a:srgbClr val="BFCDE4"/>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Today: 1 Settembre 2025</a:t>
          </a:fld>
          <a:endParaRPr lang="ru-RU" sz="1200" b="0" i="0" u="none" strike="noStrike" noProof="0">
            <a:solidFill>
              <a:srgbClr val="BFCDE4"/>
            </a:solidFill>
            <a:latin typeface="Calibri"/>
            <a:ea typeface="+mn-ea"/>
            <a:cs typeface="Calibri"/>
          </a:endParaRPr>
        </a:p>
      </xdr:txBody>
    </xdr:sp>
    <xdr:clientData/>
  </xdr:twoCellAnchor>
  <xdr:twoCellAnchor editAs="oneCell">
    <xdr:from>
      <xdr:col>3</xdr:col>
      <xdr:colOff>463924</xdr:colOff>
      <xdr:row>5</xdr:row>
      <xdr:rowOff>194990</xdr:rowOff>
    </xdr:from>
    <xdr:to>
      <xdr:col>17</xdr:col>
      <xdr:colOff>309902</xdr:colOff>
      <xdr:row>8</xdr:row>
      <xdr:rowOff>7462</xdr:rowOff>
    </xdr:to>
    <mc:AlternateContent xmlns:mc="http://schemas.openxmlformats.org/markup-compatibility/2006" xmlns:a14="http://schemas.microsoft.com/office/drawing/2010/main">
      <mc:Choice Requires="a14">
        <xdr:graphicFrame macro="">
          <xdr:nvGraphicFramePr>
            <xdr:cNvPr id="134" name="Mese 10">
              <a:extLst>
                <a:ext uri="{FF2B5EF4-FFF2-40B4-BE49-F238E27FC236}">
                  <a16:creationId xmlns:a16="http://schemas.microsoft.com/office/drawing/2014/main" id="{00000000-0008-0000-0100-000086000000}"/>
                </a:ext>
              </a:extLst>
            </xdr:cNvPr>
            <xdr:cNvGraphicFramePr/>
          </xdr:nvGraphicFramePr>
          <xdr:xfrm>
            <a:off x="0" y="0"/>
            <a:ext cx="0" cy="0"/>
          </xdr:xfrm>
          <a:graphic>
            <a:graphicData uri="http://schemas.microsoft.com/office/drawing/2010/slicer">
              <sle:slicer xmlns:sle="http://schemas.microsoft.com/office/drawing/2010/slicer" name="Mese 10"/>
            </a:graphicData>
          </a:graphic>
        </xdr:graphicFrame>
      </mc:Choice>
      <mc:Fallback xmlns="">
        <xdr:sp macro="" textlink="">
          <xdr:nvSpPr>
            <xdr:cNvPr id="0" name=""/>
            <xdr:cNvSpPr>
              <a:spLocks noTextEdit="1"/>
            </xdr:cNvSpPr>
          </xdr:nvSpPr>
          <xdr:spPr>
            <a:xfrm>
              <a:off x="2940424" y="1210990"/>
              <a:ext cx="11402978" cy="4220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472386</xdr:colOff>
      <xdr:row>5</xdr:row>
      <xdr:rowOff>195426</xdr:rowOff>
    </xdr:from>
    <xdr:to>
      <xdr:col>22</xdr:col>
      <xdr:colOff>156136</xdr:colOff>
      <xdr:row>8</xdr:row>
      <xdr:rowOff>7026</xdr:rowOff>
    </xdr:to>
    <mc:AlternateContent xmlns:mc="http://schemas.openxmlformats.org/markup-compatibility/2006" xmlns:a14="http://schemas.microsoft.com/office/drawing/2010/main">
      <mc:Choice Requires="a14">
        <xdr:graphicFrame macro="">
          <xdr:nvGraphicFramePr>
            <xdr:cNvPr id="135" name="Anno 2">
              <a:extLst>
                <a:ext uri="{FF2B5EF4-FFF2-40B4-BE49-F238E27FC236}">
                  <a16:creationId xmlns:a16="http://schemas.microsoft.com/office/drawing/2014/main" id="{00000000-0008-0000-0100-000087000000}"/>
                </a:ext>
              </a:extLst>
            </xdr:cNvPr>
            <xdr:cNvGraphicFramePr/>
          </xdr:nvGraphicFramePr>
          <xdr:xfrm>
            <a:off x="0" y="0"/>
            <a:ext cx="0" cy="0"/>
          </xdr:xfrm>
          <a:graphic>
            <a:graphicData uri="http://schemas.microsoft.com/office/drawing/2010/slicer">
              <sle:slicer xmlns:sle="http://schemas.microsoft.com/office/drawing/2010/slicer" name="Anno 2"/>
            </a:graphicData>
          </a:graphic>
        </xdr:graphicFrame>
      </mc:Choice>
      <mc:Fallback xmlns="">
        <xdr:sp macro="" textlink="">
          <xdr:nvSpPr>
            <xdr:cNvPr id="0" name=""/>
            <xdr:cNvSpPr>
              <a:spLocks noTextEdit="1"/>
            </xdr:cNvSpPr>
          </xdr:nvSpPr>
          <xdr:spPr>
            <a:xfrm>
              <a:off x="15331386" y="1211426"/>
              <a:ext cx="2985750" cy="421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6723</xdr:colOff>
      <xdr:row>115</xdr:row>
      <xdr:rowOff>80682</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0"/>
          <a:ext cx="2483223" cy="23448682"/>
        </a:xfrm>
        <a:prstGeom prst="rect">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17</xdr:col>
      <xdr:colOff>390712</xdr:colOff>
      <xdr:row>10</xdr:row>
      <xdr:rowOff>11952</xdr:rowOff>
    </xdr:from>
    <xdr:to>
      <xdr:col>22</xdr:col>
      <xdr:colOff>270435</xdr:colOff>
      <xdr:row>26</xdr:row>
      <xdr:rowOff>74752</xdr:rowOff>
    </xdr:to>
    <xdr:sp macro="" textlink="">
      <xdr:nvSpPr>
        <xdr:cNvPr id="3" name="Rectangle: Rounded Corners 2">
          <a:extLst>
            <a:ext uri="{FF2B5EF4-FFF2-40B4-BE49-F238E27FC236}">
              <a16:creationId xmlns:a16="http://schemas.microsoft.com/office/drawing/2014/main" id="{00000000-0008-0000-0200-000003000000}"/>
            </a:ext>
          </a:extLst>
        </xdr:cNvPr>
        <xdr:cNvSpPr/>
      </xdr:nvSpPr>
      <xdr:spPr>
        <a:xfrm>
          <a:off x="14424212" y="2043952"/>
          <a:ext cx="4007223" cy="3314000"/>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320489</xdr:colOff>
      <xdr:row>10</xdr:row>
      <xdr:rowOff>11951</xdr:rowOff>
    </xdr:from>
    <xdr:to>
      <xdr:col>8</xdr:col>
      <xdr:colOff>603623</xdr:colOff>
      <xdr:row>47</xdr:row>
      <xdr:rowOff>182282</xdr:rowOff>
    </xdr:to>
    <xdr:sp macro="" textlink="">
      <xdr:nvSpPr>
        <xdr:cNvPr id="4" name="Rectangle: Rounded Corners 3">
          <a:extLst>
            <a:ext uri="{FF2B5EF4-FFF2-40B4-BE49-F238E27FC236}">
              <a16:creationId xmlns:a16="http://schemas.microsoft.com/office/drawing/2014/main" id="{00000000-0008-0000-0200-000004000000}"/>
            </a:ext>
          </a:extLst>
        </xdr:cNvPr>
        <xdr:cNvSpPr/>
      </xdr:nvSpPr>
      <xdr:spPr>
        <a:xfrm>
          <a:off x="2796989" y="2043951"/>
          <a:ext cx="4410634" cy="7688731"/>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17</xdr:col>
      <xdr:colOff>390712</xdr:colOff>
      <xdr:row>27</xdr:row>
      <xdr:rowOff>158378</xdr:rowOff>
    </xdr:from>
    <xdr:to>
      <xdr:col>22</xdr:col>
      <xdr:colOff>270435</xdr:colOff>
      <xdr:row>47</xdr:row>
      <xdr:rowOff>155386</xdr:rowOff>
    </xdr:to>
    <xdr:sp macro=""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4424212" y="5644778"/>
          <a:ext cx="4007223" cy="4061008"/>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100853</xdr:colOff>
      <xdr:row>34</xdr:row>
      <xdr:rowOff>67810</xdr:rowOff>
    </xdr:from>
    <xdr:to>
      <xdr:col>17</xdr:col>
      <xdr:colOff>140687</xdr:colOff>
      <xdr:row>47</xdr:row>
      <xdr:rowOff>155386</xdr:rowOff>
    </xdr:to>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7530353" y="6976610"/>
          <a:ext cx="6643834" cy="2729176"/>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4</xdr:col>
      <xdr:colOff>769089</xdr:colOff>
      <xdr:row>9</xdr:row>
      <xdr:rowOff>189150</xdr:rowOff>
    </xdr:from>
    <xdr:to>
      <xdr:col>7</xdr:col>
      <xdr:colOff>559113</xdr:colOff>
      <xdr:row>13</xdr:row>
      <xdr:rowOff>34956</xdr:rowOff>
    </xdr:to>
    <xdr:sp macro="" textlink="Processing!C39">
      <xdr:nvSpPr>
        <xdr:cNvPr id="17" name="TextBox 16">
          <a:extLst>
            <a:ext uri="{FF2B5EF4-FFF2-40B4-BE49-F238E27FC236}">
              <a16:creationId xmlns:a16="http://schemas.microsoft.com/office/drawing/2014/main" id="{00000000-0008-0000-0200-000011000000}"/>
            </a:ext>
          </a:extLst>
        </xdr:cNvPr>
        <xdr:cNvSpPr txBox="1"/>
      </xdr:nvSpPr>
      <xdr:spPr>
        <a:xfrm>
          <a:off x="4071089" y="2017950"/>
          <a:ext cx="2266524" cy="658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39F2A630-CA29-954A-A17C-3DC84D513AE2}" type="TxLink">
            <a:rPr lang="en-US" sz="1400" b="1"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Fixed vs Non-Fixed</a:t>
          </a:fld>
          <a:endParaRPr lang="ru-RU" sz="1400" b="1" i="0" u="none" strike="noStrike" noProof="0">
            <a:solidFill>
              <a:schemeClr val="bg1"/>
            </a:solidFill>
            <a:latin typeface="Calibri"/>
            <a:ea typeface="+mn-ea"/>
            <a:cs typeface="Calibri"/>
          </a:endParaRPr>
        </a:p>
      </xdr:txBody>
    </xdr:sp>
    <xdr:clientData/>
  </xdr:twoCellAnchor>
  <xdr:twoCellAnchor>
    <xdr:from>
      <xdr:col>0</xdr:col>
      <xdr:colOff>8966</xdr:colOff>
      <xdr:row>17</xdr:row>
      <xdr:rowOff>34818</xdr:rowOff>
    </xdr:from>
    <xdr:to>
      <xdr:col>3</xdr:col>
      <xdr:colOff>58719</xdr:colOff>
      <xdr:row>19</xdr:row>
      <xdr:rowOff>115782</xdr:rowOff>
    </xdr:to>
    <xdr:sp macro="" textlink="">
      <xdr:nvSpPr>
        <xdr:cNvPr id="18" name="Freeform: Shape 17">
          <a:extLst>
            <a:ext uri="{FF2B5EF4-FFF2-40B4-BE49-F238E27FC236}">
              <a16:creationId xmlns:a16="http://schemas.microsoft.com/office/drawing/2014/main" id="{00000000-0008-0000-0200-000012000000}"/>
            </a:ext>
          </a:extLst>
        </xdr:cNvPr>
        <xdr:cNvSpPr/>
      </xdr:nvSpPr>
      <xdr:spPr>
        <a:xfrm>
          <a:off x="8966" y="3489218"/>
          <a:ext cx="2526253" cy="487364"/>
        </a:xfrm>
        <a:custGeom>
          <a:avLst/>
          <a:gdLst>
            <a:gd name="connsiteX0" fmla="*/ 0 w 2264319"/>
            <a:gd name="connsiteY0" fmla="*/ 0 h 555812"/>
            <a:gd name="connsiteX1" fmla="*/ 2189612 w 2264319"/>
            <a:gd name="connsiteY1" fmla="*/ 0 h 555812"/>
            <a:gd name="connsiteX2" fmla="*/ 2264319 w 2264319"/>
            <a:gd name="connsiteY2" fmla="*/ 74707 h 555812"/>
            <a:gd name="connsiteX3" fmla="*/ 2264319 w 2264319"/>
            <a:gd name="connsiteY3" fmla="*/ 481105 h 555812"/>
            <a:gd name="connsiteX4" fmla="*/ 2189612 w 2264319"/>
            <a:gd name="connsiteY4" fmla="*/ 555812 h 555812"/>
            <a:gd name="connsiteX5" fmla="*/ 0 w 2264319"/>
            <a:gd name="connsiteY5" fmla="*/ 555812 h 555812"/>
            <a:gd name="connsiteX6" fmla="*/ 0 w 2264319"/>
            <a:gd name="connsiteY6" fmla="*/ 0 h 555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264319" h="555812">
              <a:moveTo>
                <a:pt x="0" y="0"/>
              </a:moveTo>
              <a:lnTo>
                <a:pt x="2189612" y="0"/>
              </a:lnTo>
              <a:cubicBezTo>
                <a:pt x="2230872" y="0"/>
                <a:pt x="2264319" y="33447"/>
                <a:pt x="2264319" y="74707"/>
              </a:cubicBezTo>
              <a:lnTo>
                <a:pt x="2264319" y="481105"/>
              </a:lnTo>
              <a:cubicBezTo>
                <a:pt x="2264319" y="522365"/>
                <a:pt x="2230872" y="555812"/>
                <a:pt x="2189612" y="555812"/>
              </a:cubicBezTo>
              <a:lnTo>
                <a:pt x="0" y="555812"/>
              </a:lnTo>
              <a:lnTo>
                <a:pt x="0" y="0"/>
              </a:lnTo>
              <a:close/>
            </a:path>
          </a:pathLst>
        </a:custGeom>
        <a:gradFill flip="none" rotWithShape="1">
          <a:gsLst>
            <a:gs pos="1000">
              <a:srgbClr val="F28F33"/>
            </a:gs>
            <a:gs pos="76000">
              <a:srgbClr val="FE2827"/>
            </a:gs>
          </a:gsLst>
          <a:lin ang="0" scaled="0"/>
          <a:tileRect/>
        </a:gra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600192</xdr:colOff>
      <xdr:row>11</xdr:row>
      <xdr:rowOff>126400</xdr:rowOff>
    </xdr:from>
    <xdr:to>
      <xdr:col>2</xdr:col>
      <xdr:colOff>698883</xdr:colOff>
      <xdr:row>14</xdr:row>
      <xdr:rowOff>160466</xdr:rowOff>
    </xdr:to>
    <xdr:sp macro="" textlink="Processing!B1">
      <xdr:nvSpPr>
        <xdr:cNvPr id="19" name="TextBox 18">
          <a:hlinkClick xmlns:r="http://schemas.openxmlformats.org/officeDocument/2006/relationships" r:id="rId1"/>
          <a:extLst>
            <a:ext uri="{FF2B5EF4-FFF2-40B4-BE49-F238E27FC236}">
              <a16:creationId xmlns:a16="http://schemas.microsoft.com/office/drawing/2014/main" id="{00000000-0008-0000-0200-000013000000}"/>
            </a:ext>
          </a:extLst>
        </xdr:cNvPr>
        <xdr:cNvSpPr txBox="1"/>
      </xdr:nvSpPr>
      <xdr:spPr>
        <a:xfrm>
          <a:off x="600192" y="2361600"/>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9BD14BA0-C51C-EB42-9D44-C1BB75E3D418}"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Dashboard</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14</xdr:row>
      <xdr:rowOff>41236</xdr:rowOff>
    </xdr:from>
    <xdr:to>
      <xdr:col>2</xdr:col>
      <xdr:colOff>698883</xdr:colOff>
      <xdr:row>17</xdr:row>
      <xdr:rowOff>75302</xdr:rowOff>
    </xdr:to>
    <xdr:sp macro="" textlink="Processing!T1">
      <xdr:nvSpPr>
        <xdr:cNvPr id="20" name="TextBox 19">
          <a:hlinkClick xmlns:r="http://schemas.openxmlformats.org/officeDocument/2006/relationships" r:id="rId2"/>
          <a:extLst>
            <a:ext uri="{FF2B5EF4-FFF2-40B4-BE49-F238E27FC236}">
              <a16:creationId xmlns:a16="http://schemas.microsoft.com/office/drawing/2014/main" id="{00000000-0008-0000-0200-000014000000}"/>
            </a:ext>
          </a:extLst>
        </xdr:cNvPr>
        <xdr:cNvSpPr txBox="1"/>
      </xdr:nvSpPr>
      <xdr:spPr>
        <a:xfrm>
          <a:off x="600192" y="2886036"/>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6C95C377-E9F4-7C4D-B9AE-A3C22FC2D624}"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Daily Budgeting</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16</xdr:row>
      <xdr:rowOff>144330</xdr:rowOff>
    </xdr:from>
    <xdr:to>
      <xdr:col>2</xdr:col>
      <xdr:colOff>698883</xdr:colOff>
      <xdr:row>19</xdr:row>
      <xdr:rowOff>193336</xdr:rowOff>
    </xdr:to>
    <xdr:sp macro="" textlink="Processing!B39">
      <xdr:nvSpPr>
        <xdr:cNvPr id="21" name="TextBox 20">
          <a:extLst>
            <a:ext uri="{FF2B5EF4-FFF2-40B4-BE49-F238E27FC236}">
              <a16:creationId xmlns:a16="http://schemas.microsoft.com/office/drawing/2014/main" id="{00000000-0008-0000-0200-000015000000}"/>
            </a:ext>
          </a:extLst>
        </xdr:cNvPr>
        <xdr:cNvSpPr txBox="1"/>
      </xdr:nvSpPr>
      <xdr:spPr>
        <a:xfrm>
          <a:off x="600192" y="3395530"/>
          <a:ext cx="1749691" cy="65860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4A48F390-8757-AC4F-B529-0E91E4467EE9}"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Income</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19</xdr:row>
      <xdr:rowOff>59166</xdr:rowOff>
    </xdr:from>
    <xdr:to>
      <xdr:col>2</xdr:col>
      <xdr:colOff>698883</xdr:colOff>
      <xdr:row>22</xdr:row>
      <xdr:rowOff>93231</xdr:rowOff>
    </xdr:to>
    <xdr:sp macro="" textlink="Processing!B63">
      <xdr:nvSpPr>
        <xdr:cNvPr id="22" name="TextBox 21">
          <a:hlinkClick xmlns:r="http://schemas.openxmlformats.org/officeDocument/2006/relationships" r:id="rId3"/>
          <a:extLst>
            <a:ext uri="{FF2B5EF4-FFF2-40B4-BE49-F238E27FC236}">
              <a16:creationId xmlns:a16="http://schemas.microsoft.com/office/drawing/2014/main" id="{00000000-0008-0000-0200-000016000000}"/>
            </a:ext>
          </a:extLst>
        </xdr:cNvPr>
        <xdr:cNvSpPr txBox="1"/>
      </xdr:nvSpPr>
      <xdr:spPr>
        <a:xfrm>
          <a:off x="600192" y="3919966"/>
          <a:ext cx="1749691" cy="643665"/>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467C8A30-13CB-C343-8827-649F94AB9A3B}"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Expenses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21</xdr:row>
      <xdr:rowOff>177201</xdr:rowOff>
    </xdr:from>
    <xdr:to>
      <xdr:col>2</xdr:col>
      <xdr:colOff>698883</xdr:colOff>
      <xdr:row>25</xdr:row>
      <xdr:rowOff>8067</xdr:rowOff>
    </xdr:to>
    <xdr:sp macro="" textlink="Processing!I17">
      <xdr:nvSpPr>
        <xdr:cNvPr id="23" name="TextBox 22">
          <a:hlinkClick xmlns:r="http://schemas.openxmlformats.org/officeDocument/2006/relationships" r:id="rId4"/>
          <a:extLst>
            <a:ext uri="{FF2B5EF4-FFF2-40B4-BE49-F238E27FC236}">
              <a16:creationId xmlns:a16="http://schemas.microsoft.com/office/drawing/2014/main" id="{00000000-0008-0000-0200-000017000000}"/>
            </a:ext>
          </a:extLst>
        </xdr:cNvPr>
        <xdr:cNvSpPr txBox="1"/>
      </xdr:nvSpPr>
      <xdr:spPr>
        <a:xfrm>
          <a:off x="600192" y="4444401"/>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E2A54C63-59B6-1844-A8A5-F80BAF022520}"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Investments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24</xdr:row>
      <xdr:rowOff>77096</xdr:rowOff>
    </xdr:from>
    <xdr:to>
      <xdr:col>2</xdr:col>
      <xdr:colOff>698883</xdr:colOff>
      <xdr:row>27</xdr:row>
      <xdr:rowOff>126102</xdr:rowOff>
    </xdr:to>
    <xdr:sp macro="" textlink="Processing!B18">
      <xdr:nvSpPr>
        <xdr:cNvPr id="24" name="TextBox 23">
          <a:hlinkClick xmlns:r="http://schemas.openxmlformats.org/officeDocument/2006/relationships" r:id="rId5"/>
          <a:extLst>
            <a:ext uri="{FF2B5EF4-FFF2-40B4-BE49-F238E27FC236}">
              <a16:creationId xmlns:a16="http://schemas.microsoft.com/office/drawing/2014/main" id="{00000000-0008-0000-0200-000018000000}"/>
            </a:ext>
          </a:extLst>
        </xdr:cNvPr>
        <xdr:cNvSpPr txBox="1"/>
      </xdr:nvSpPr>
      <xdr:spPr>
        <a:xfrm>
          <a:off x="600192" y="4953896"/>
          <a:ext cx="1749691" cy="65860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9F059F80-03B2-4846-AB6A-798B41905E4A}"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Debts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26</xdr:row>
      <xdr:rowOff>195133</xdr:rowOff>
    </xdr:from>
    <xdr:to>
      <xdr:col>2</xdr:col>
      <xdr:colOff>698883</xdr:colOff>
      <xdr:row>30</xdr:row>
      <xdr:rowOff>25997</xdr:rowOff>
    </xdr:to>
    <xdr:sp macro="" textlink="Processing!R13">
      <xdr:nvSpPr>
        <xdr:cNvPr id="25" name="TextBox 24">
          <a:hlinkClick xmlns:r="http://schemas.openxmlformats.org/officeDocument/2006/relationships" r:id="rId6"/>
          <a:extLst>
            <a:ext uri="{FF2B5EF4-FFF2-40B4-BE49-F238E27FC236}">
              <a16:creationId xmlns:a16="http://schemas.microsoft.com/office/drawing/2014/main" id="{00000000-0008-0000-0200-000019000000}"/>
            </a:ext>
          </a:extLst>
        </xdr:cNvPr>
        <xdr:cNvSpPr txBox="1"/>
      </xdr:nvSpPr>
      <xdr:spPr>
        <a:xfrm>
          <a:off x="600192" y="5478333"/>
          <a:ext cx="1749691" cy="643664"/>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2D3298A7-A03C-3445-9001-BD0283FEB7C7}"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Financial Goals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276340</xdr:colOff>
      <xdr:row>12</xdr:row>
      <xdr:rowOff>116933</xdr:rowOff>
    </xdr:from>
    <xdr:to>
      <xdr:col>0</xdr:col>
      <xdr:colOff>528340</xdr:colOff>
      <xdr:row>13</xdr:row>
      <xdr:rowOff>177088</xdr:rowOff>
    </xdr:to>
    <xdr:sp macro="" textlink="">
      <xdr:nvSpPr>
        <xdr:cNvPr id="26" name="Freeform: Shape 25">
          <a:extLst>
            <a:ext uri="{FF2B5EF4-FFF2-40B4-BE49-F238E27FC236}">
              <a16:creationId xmlns:a16="http://schemas.microsoft.com/office/drawing/2014/main" id="{00000000-0008-0000-0200-00001A000000}"/>
            </a:ext>
          </a:extLst>
        </xdr:cNvPr>
        <xdr:cNvSpPr/>
      </xdr:nvSpPr>
      <xdr:spPr>
        <a:xfrm>
          <a:off x="276340" y="2555333"/>
          <a:ext cx="252000" cy="263355"/>
        </a:xfrm>
        <a:custGeom>
          <a:avLst/>
          <a:gdLst>
            <a:gd name="connsiteX0" fmla="*/ 0 w 2612439"/>
            <a:gd name="connsiteY0" fmla="*/ 1633347 h 2629917"/>
            <a:gd name="connsiteX1" fmla="*/ 914400 w 2612439"/>
            <a:gd name="connsiteY1" fmla="*/ 1633347 h 2629917"/>
            <a:gd name="connsiteX2" fmla="*/ 914400 w 2612439"/>
            <a:gd name="connsiteY2" fmla="*/ 2629917 h 2629917"/>
            <a:gd name="connsiteX3" fmla="*/ 0 w 2612439"/>
            <a:gd name="connsiteY3" fmla="*/ 2629917 h 2629917"/>
            <a:gd name="connsiteX4" fmla="*/ 1165379 w 2612439"/>
            <a:gd name="connsiteY4" fmla="*/ 1076325 h 2629917"/>
            <a:gd name="connsiteX5" fmla="*/ 2612439 w 2612439"/>
            <a:gd name="connsiteY5" fmla="*/ 1076325 h 2629917"/>
            <a:gd name="connsiteX6" fmla="*/ 2612439 w 2612439"/>
            <a:gd name="connsiteY6" fmla="*/ 2629917 h 2629917"/>
            <a:gd name="connsiteX7" fmla="*/ 1165379 w 2612439"/>
            <a:gd name="connsiteY7" fmla="*/ 2629917 h 2629917"/>
            <a:gd name="connsiteX8" fmla="*/ 1165379 w 2612439"/>
            <a:gd name="connsiteY8" fmla="*/ 0 h 2629917"/>
            <a:gd name="connsiteX9" fmla="*/ 2612439 w 2612439"/>
            <a:gd name="connsiteY9" fmla="*/ 0 h 2629917"/>
            <a:gd name="connsiteX10" fmla="*/ 2612439 w 2612439"/>
            <a:gd name="connsiteY10" fmla="*/ 847725 h 2629917"/>
            <a:gd name="connsiteX11" fmla="*/ 1165379 w 2612439"/>
            <a:gd name="connsiteY11" fmla="*/ 847725 h 2629917"/>
            <a:gd name="connsiteX12" fmla="*/ 0 w 2612439"/>
            <a:gd name="connsiteY12" fmla="*/ 0 h 2629917"/>
            <a:gd name="connsiteX13" fmla="*/ 914400 w 2612439"/>
            <a:gd name="connsiteY13" fmla="*/ 0 h 2629917"/>
            <a:gd name="connsiteX14" fmla="*/ 914400 w 2612439"/>
            <a:gd name="connsiteY14" fmla="*/ 1428750 h 2629917"/>
            <a:gd name="connsiteX15" fmla="*/ 0 w 2612439"/>
            <a:gd name="connsiteY15" fmla="*/ 1428750 h 2629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612439" h="2629917">
              <a:moveTo>
                <a:pt x="0" y="1633347"/>
              </a:moveTo>
              <a:lnTo>
                <a:pt x="914400" y="1633347"/>
              </a:lnTo>
              <a:lnTo>
                <a:pt x="914400" y="2629917"/>
              </a:lnTo>
              <a:lnTo>
                <a:pt x="0" y="2629917"/>
              </a:lnTo>
              <a:close/>
              <a:moveTo>
                <a:pt x="1165379" y="1076325"/>
              </a:moveTo>
              <a:lnTo>
                <a:pt x="2612439" y="1076325"/>
              </a:lnTo>
              <a:lnTo>
                <a:pt x="2612439" y="2629917"/>
              </a:lnTo>
              <a:lnTo>
                <a:pt x="1165379" y="2629917"/>
              </a:lnTo>
              <a:close/>
              <a:moveTo>
                <a:pt x="1165379" y="0"/>
              </a:moveTo>
              <a:lnTo>
                <a:pt x="2612439" y="0"/>
              </a:lnTo>
              <a:lnTo>
                <a:pt x="2612439" y="847725"/>
              </a:lnTo>
              <a:lnTo>
                <a:pt x="1165379" y="847725"/>
              </a:lnTo>
              <a:close/>
              <a:moveTo>
                <a:pt x="0" y="0"/>
              </a:moveTo>
              <a:lnTo>
                <a:pt x="914400" y="0"/>
              </a:lnTo>
              <a:lnTo>
                <a:pt x="914400" y="1428750"/>
              </a:lnTo>
              <a:lnTo>
                <a:pt x="0" y="1428750"/>
              </a:lnTo>
              <a:close/>
            </a:path>
          </a:pathLst>
        </a:custGeom>
        <a:solidFill>
          <a:sysClr val="window" lastClr="FFFFFF"/>
        </a:soli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276340</xdr:colOff>
      <xdr:row>17</xdr:row>
      <xdr:rowOff>133538</xdr:rowOff>
    </xdr:from>
    <xdr:to>
      <xdr:col>0</xdr:col>
      <xdr:colOff>528340</xdr:colOff>
      <xdr:row>19</xdr:row>
      <xdr:rowOff>1848</xdr:rowOff>
    </xdr:to>
    <xdr:sp macro="" textlink="">
      <xdr:nvSpPr>
        <xdr:cNvPr id="27" name="Freeform: Shape 26">
          <a:extLst>
            <a:ext uri="{FF2B5EF4-FFF2-40B4-BE49-F238E27FC236}">
              <a16:creationId xmlns:a16="http://schemas.microsoft.com/office/drawing/2014/main" id="{00000000-0008-0000-0200-00001B000000}"/>
            </a:ext>
          </a:extLst>
        </xdr:cNvPr>
        <xdr:cNvSpPr/>
      </xdr:nvSpPr>
      <xdr:spPr>
        <a:xfrm>
          <a:off x="276340" y="3587938"/>
          <a:ext cx="252000" cy="274710"/>
        </a:xfrm>
        <a:custGeom>
          <a:avLst/>
          <a:gdLst>
            <a:gd name="connsiteX0" fmla="*/ 478368 w 2434877"/>
            <a:gd name="connsiteY0" fmla="*/ 1660447 h 2669419"/>
            <a:gd name="connsiteX1" fmla="*/ 478368 w 2434877"/>
            <a:gd name="connsiteY1" fmla="*/ 2669419 h 2669419"/>
            <a:gd name="connsiteX2" fmla="*/ 4662 w 2434877"/>
            <a:gd name="connsiteY2" fmla="*/ 2669419 h 2669419"/>
            <a:gd name="connsiteX3" fmla="*/ 14134 w 2434877"/>
            <a:gd name="connsiteY3" fmla="*/ 2124668 h 2669419"/>
            <a:gd name="connsiteX4" fmla="*/ 805273 w 2434877"/>
            <a:gd name="connsiteY4" fmla="*/ 1333554 h 2669419"/>
            <a:gd name="connsiteX5" fmla="*/ 1072919 w 2434877"/>
            <a:gd name="connsiteY5" fmla="*/ 1601215 h 2669419"/>
            <a:gd name="connsiteX6" fmla="*/ 1072919 w 2434877"/>
            <a:gd name="connsiteY6" fmla="*/ 2664691 h 2669419"/>
            <a:gd name="connsiteX7" fmla="*/ 606315 w 2434877"/>
            <a:gd name="connsiteY7" fmla="*/ 2669407 h 2669419"/>
            <a:gd name="connsiteX8" fmla="*/ 606315 w 2434877"/>
            <a:gd name="connsiteY8" fmla="*/ 1532527 h 2669419"/>
            <a:gd name="connsiteX9" fmla="*/ 1681683 w 2434877"/>
            <a:gd name="connsiteY9" fmla="*/ 1139327 h 2669419"/>
            <a:gd name="connsiteX10" fmla="*/ 1681683 w 2434877"/>
            <a:gd name="connsiteY10" fmla="*/ 2669400 h 2669419"/>
            <a:gd name="connsiteX11" fmla="*/ 1217448 w 2434877"/>
            <a:gd name="connsiteY11" fmla="*/ 2659932 h 2669419"/>
            <a:gd name="connsiteX12" fmla="*/ 1217448 w 2434877"/>
            <a:gd name="connsiteY12" fmla="*/ 1603584 h 2669419"/>
            <a:gd name="connsiteX13" fmla="*/ 2288060 w 2434877"/>
            <a:gd name="connsiteY13" fmla="*/ 528130 h 2669419"/>
            <a:gd name="connsiteX14" fmla="*/ 2288060 w 2434877"/>
            <a:gd name="connsiteY14" fmla="*/ 2659908 h 2669419"/>
            <a:gd name="connsiteX15" fmla="*/ 1814372 w 2434877"/>
            <a:gd name="connsiteY15" fmla="*/ 2664660 h 2669419"/>
            <a:gd name="connsiteX16" fmla="*/ 1814372 w 2434877"/>
            <a:gd name="connsiteY16" fmla="*/ 1001818 h 2669419"/>
            <a:gd name="connsiteX17" fmla="*/ 1987216 w 2434877"/>
            <a:gd name="connsiteY17" fmla="*/ 0 h 2669419"/>
            <a:gd name="connsiteX18" fmla="*/ 2434877 w 2434877"/>
            <a:gd name="connsiteY18" fmla="*/ 0 h 2669419"/>
            <a:gd name="connsiteX19" fmla="*/ 2434877 w 2434877"/>
            <a:gd name="connsiteY19" fmla="*/ 461881 h 2669419"/>
            <a:gd name="connsiteX20" fmla="*/ 2323528 w 2434877"/>
            <a:gd name="connsiteY20" fmla="*/ 350532 h 2669419"/>
            <a:gd name="connsiteX21" fmla="*/ 1141637 w 2434877"/>
            <a:gd name="connsiteY21" fmla="*/ 1532450 h 2669419"/>
            <a:gd name="connsiteX22" fmla="*/ 817147 w 2434877"/>
            <a:gd name="connsiteY22" fmla="*/ 1207945 h 2669419"/>
            <a:gd name="connsiteX23" fmla="*/ 0 w 2434877"/>
            <a:gd name="connsiteY23" fmla="*/ 2001422 h 2669419"/>
            <a:gd name="connsiteX24" fmla="*/ 0 w 2434877"/>
            <a:gd name="connsiteY24" fmla="*/ 1532450 h 2669419"/>
            <a:gd name="connsiteX25" fmla="*/ 805303 w 2434877"/>
            <a:gd name="connsiteY25" fmla="*/ 727129 h 2669419"/>
            <a:gd name="connsiteX26" fmla="*/ 1146374 w 2434877"/>
            <a:gd name="connsiteY26" fmla="*/ 1068193 h 2669419"/>
            <a:gd name="connsiteX27" fmla="*/ 2100904 w 2434877"/>
            <a:gd name="connsiteY27" fmla="*/ 113688 h 26694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2434877" h="2669419">
              <a:moveTo>
                <a:pt x="478368" y="1660447"/>
              </a:moveTo>
              <a:lnTo>
                <a:pt x="478368" y="2669419"/>
              </a:lnTo>
              <a:lnTo>
                <a:pt x="4662" y="2669419"/>
              </a:lnTo>
              <a:lnTo>
                <a:pt x="14134" y="2124668"/>
              </a:lnTo>
              <a:close/>
              <a:moveTo>
                <a:pt x="805273" y="1333554"/>
              </a:moveTo>
              <a:lnTo>
                <a:pt x="1072919" y="1601215"/>
              </a:lnTo>
              <a:lnTo>
                <a:pt x="1072919" y="2664691"/>
              </a:lnTo>
              <a:lnTo>
                <a:pt x="606315" y="2669407"/>
              </a:lnTo>
              <a:lnTo>
                <a:pt x="606315" y="1532527"/>
              </a:lnTo>
              <a:close/>
              <a:moveTo>
                <a:pt x="1681683" y="1139327"/>
              </a:moveTo>
              <a:lnTo>
                <a:pt x="1681683" y="2669400"/>
              </a:lnTo>
              <a:lnTo>
                <a:pt x="1217448" y="2659932"/>
              </a:lnTo>
              <a:lnTo>
                <a:pt x="1217448" y="1603584"/>
              </a:lnTo>
              <a:close/>
              <a:moveTo>
                <a:pt x="2288060" y="528130"/>
              </a:moveTo>
              <a:lnTo>
                <a:pt x="2288060" y="2659908"/>
              </a:lnTo>
              <a:lnTo>
                <a:pt x="1814372" y="2664660"/>
              </a:lnTo>
              <a:lnTo>
                <a:pt x="1814372" y="1001818"/>
              </a:lnTo>
              <a:close/>
              <a:moveTo>
                <a:pt x="1987216" y="0"/>
              </a:moveTo>
              <a:lnTo>
                <a:pt x="2434877" y="0"/>
              </a:lnTo>
              <a:lnTo>
                <a:pt x="2434877" y="461881"/>
              </a:lnTo>
              <a:lnTo>
                <a:pt x="2323528" y="350532"/>
              </a:lnTo>
              <a:lnTo>
                <a:pt x="1141637" y="1532450"/>
              </a:lnTo>
              <a:lnTo>
                <a:pt x="817147" y="1207945"/>
              </a:lnTo>
              <a:lnTo>
                <a:pt x="0" y="2001422"/>
              </a:lnTo>
              <a:lnTo>
                <a:pt x="0" y="1532450"/>
              </a:lnTo>
              <a:lnTo>
                <a:pt x="805303" y="727129"/>
              </a:lnTo>
              <a:lnTo>
                <a:pt x="1146374" y="1068193"/>
              </a:lnTo>
              <a:lnTo>
                <a:pt x="2100904" y="113688"/>
              </a:lnTo>
              <a:close/>
            </a:path>
          </a:pathLst>
        </a:custGeom>
        <a:solidFill>
          <a:sysClr val="window" lastClr="FFFFFF"/>
        </a:solidFill>
        <a:ln w="6350" cap="flat">
          <a:noFill/>
          <a:prstDash val="solid"/>
          <a:miter/>
        </a:ln>
        <a:effectLst>
          <a:outerShdw blurRad="50800" dist="38100" dir="2700000" algn="tl" rotWithShape="0">
            <a:prstClr val="black">
              <a:alpha val="40000"/>
            </a:prstClr>
          </a:outerShdw>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294340</xdr:colOff>
      <xdr:row>15</xdr:row>
      <xdr:rowOff>29313</xdr:rowOff>
    </xdr:from>
    <xdr:to>
      <xdr:col>0</xdr:col>
      <xdr:colOff>510340</xdr:colOff>
      <xdr:row>16</xdr:row>
      <xdr:rowOff>89468</xdr:rowOff>
    </xdr:to>
    <xdr:sp macro="" textlink="">
      <xdr:nvSpPr>
        <xdr:cNvPr id="28" name="Freeform: Shape 27">
          <a:extLst>
            <a:ext uri="{FF2B5EF4-FFF2-40B4-BE49-F238E27FC236}">
              <a16:creationId xmlns:a16="http://schemas.microsoft.com/office/drawing/2014/main" id="{00000000-0008-0000-0200-00001C000000}"/>
            </a:ext>
          </a:extLst>
        </xdr:cNvPr>
        <xdr:cNvSpPr/>
      </xdr:nvSpPr>
      <xdr:spPr>
        <a:xfrm>
          <a:off x="294340" y="3077313"/>
          <a:ext cx="216000" cy="263355"/>
        </a:xfrm>
        <a:custGeom>
          <a:avLst/>
          <a:gdLst>
            <a:gd name="connsiteX0" fmla="*/ 1038471 w 1997598"/>
            <a:gd name="connsiteY0" fmla="*/ 1798798 h 2622542"/>
            <a:gd name="connsiteX1" fmla="*/ 1083642 w 1997598"/>
            <a:gd name="connsiteY1" fmla="*/ 1825060 h 2622542"/>
            <a:gd name="connsiteX2" fmla="*/ 1097649 w 1997598"/>
            <a:gd name="connsiteY2" fmla="*/ 1865328 h 2622542"/>
            <a:gd name="connsiteX3" fmla="*/ 1081191 w 1997598"/>
            <a:gd name="connsiteY3" fmla="*/ 1911202 h 2622542"/>
            <a:gd name="connsiteX4" fmla="*/ 1038471 w 1997598"/>
            <a:gd name="connsiteY4" fmla="*/ 1935364 h 2622542"/>
            <a:gd name="connsiteX5" fmla="*/ 987696 w 1997598"/>
            <a:gd name="connsiteY5" fmla="*/ 1562783 h 2622542"/>
            <a:gd name="connsiteX6" fmla="*/ 987696 w 1997598"/>
            <a:gd name="connsiteY6" fmla="*/ 1683942 h 2622542"/>
            <a:gd name="connsiteX7" fmla="*/ 953730 w 1997598"/>
            <a:gd name="connsiteY7" fmla="*/ 1658378 h 2622542"/>
            <a:gd name="connsiteX8" fmla="*/ 942524 w 1997598"/>
            <a:gd name="connsiteY8" fmla="*/ 1623713 h 2622542"/>
            <a:gd name="connsiteX9" fmla="*/ 954780 w 1997598"/>
            <a:gd name="connsiteY9" fmla="*/ 1586593 h 2622542"/>
            <a:gd name="connsiteX10" fmla="*/ 987696 w 1997598"/>
            <a:gd name="connsiteY10" fmla="*/ 1562783 h 2622542"/>
            <a:gd name="connsiteX11" fmla="*/ 987696 w 1997598"/>
            <a:gd name="connsiteY11" fmla="*/ 1451780 h 2622542"/>
            <a:gd name="connsiteX12" fmla="*/ 987696 w 1997598"/>
            <a:gd name="connsiteY12" fmla="*/ 1486445 h 2622542"/>
            <a:gd name="connsiteX13" fmla="*/ 891050 w 1997598"/>
            <a:gd name="connsiteY13" fmla="*/ 1531616 h 2622542"/>
            <a:gd name="connsiteX14" fmla="*/ 854984 w 1997598"/>
            <a:gd name="connsiteY14" fmla="*/ 1627914 h 2622542"/>
            <a:gd name="connsiteX15" fmla="*/ 886849 w 1997598"/>
            <a:gd name="connsiteY15" fmla="*/ 1724560 h 2622542"/>
            <a:gd name="connsiteX16" fmla="*/ 987696 w 1997598"/>
            <a:gd name="connsiteY16" fmla="*/ 1783738 h 2622542"/>
            <a:gd name="connsiteX17" fmla="*/ 987696 w 1997598"/>
            <a:gd name="connsiteY17" fmla="*/ 1930460 h 2622542"/>
            <a:gd name="connsiteX18" fmla="*/ 953379 w 1997598"/>
            <a:gd name="connsiteY18" fmla="*/ 1901047 h 2622542"/>
            <a:gd name="connsiteX19" fmla="*/ 932368 w 1997598"/>
            <a:gd name="connsiteY19" fmla="*/ 1852725 h 2622542"/>
            <a:gd name="connsiteX20" fmla="*/ 840974 w 1997598"/>
            <a:gd name="connsiteY20" fmla="*/ 1862529 h 2622542"/>
            <a:gd name="connsiteX21" fmla="*/ 889297 w 1997598"/>
            <a:gd name="connsiteY21" fmla="*/ 1969329 h 2622542"/>
            <a:gd name="connsiteX22" fmla="*/ 987696 w 1997598"/>
            <a:gd name="connsiteY22" fmla="*/ 2014502 h 2622542"/>
            <a:gd name="connsiteX23" fmla="*/ 987696 w 1997598"/>
            <a:gd name="connsiteY23" fmla="*/ 2078232 h 2622542"/>
            <a:gd name="connsiteX24" fmla="*/ 1038471 w 1997598"/>
            <a:gd name="connsiteY24" fmla="*/ 2078232 h 2622542"/>
            <a:gd name="connsiteX25" fmla="*/ 1038471 w 1997598"/>
            <a:gd name="connsiteY25" fmla="*/ 2012749 h 2622542"/>
            <a:gd name="connsiteX26" fmla="*/ 1144921 w 1997598"/>
            <a:gd name="connsiteY26" fmla="*/ 1959525 h 2622542"/>
            <a:gd name="connsiteX27" fmla="*/ 1183440 w 1997598"/>
            <a:gd name="connsiteY27" fmla="*/ 1852725 h 2622542"/>
            <a:gd name="connsiteX28" fmla="*/ 1152976 w 1997598"/>
            <a:gd name="connsiteY28" fmla="*/ 1759928 h 2622542"/>
            <a:gd name="connsiteX29" fmla="*/ 1038471 w 1997598"/>
            <a:gd name="connsiteY29" fmla="*/ 1700750 h 2622542"/>
            <a:gd name="connsiteX30" fmla="*/ 1038471 w 1997598"/>
            <a:gd name="connsiteY30" fmla="*/ 1563833 h 2622542"/>
            <a:gd name="connsiteX31" fmla="*/ 1080492 w 1997598"/>
            <a:gd name="connsiteY31" fmla="*/ 1619859 h 2622542"/>
            <a:gd name="connsiteX32" fmla="*/ 1169083 w 1997598"/>
            <a:gd name="connsiteY32" fmla="*/ 1608306 h 2622542"/>
            <a:gd name="connsiteX33" fmla="*/ 1127065 w 1997598"/>
            <a:gd name="connsiteY33" fmla="*/ 1524616 h 2622542"/>
            <a:gd name="connsiteX34" fmla="*/ 1038471 w 1997598"/>
            <a:gd name="connsiteY34" fmla="*/ 1486445 h 2622542"/>
            <a:gd name="connsiteX35" fmla="*/ 1038471 w 1997598"/>
            <a:gd name="connsiteY35" fmla="*/ 1451780 h 2622542"/>
            <a:gd name="connsiteX36" fmla="*/ 1018529 w 1997598"/>
            <a:gd name="connsiteY36" fmla="*/ 1275937 h 2622542"/>
            <a:gd name="connsiteX37" fmla="*/ 1488375 w 1997598"/>
            <a:gd name="connsiteY37" fmla="*/ 1745783 h 2622542"/>
            <a:gd name="connsiteX38" fmla="*/ 1018529 w 1997598"/>
            <a:gd name="connsiteY38" fmla="*/ 2215629 h 2622542"/>
            <a:gd name="connsiteX39" fmla="*/ 548683 w 1997598"/>
            <a:gd name="connsiteY39" fmla="*/ 1745783 h 2622542"/>
            <a:gd name="connsiteX40" fmla="*/ 1018529 w 1997598"/>
            <a:gd name="connsiteY40" fmla="*/ 1275937 h 2622542"/>
            <a:gd name="connsiteX41" fmla="*/ 1018529 w 1997598"/>
            <a:gd name="connsiteY41" fmla="*/ 1183712 h 2622542"/>
            <a:gd name="connsiteX42" fmla="*/ 456458 w 1997598"/>
            <a:gd name="connsiteY42" fmla="*/ 1745783 h 2622542"/>
            <a:gd name="connsiteX43" fmla="*/ 1018529 w 1997598"/>
            <a:gd name="connsiteY43" fmla="*/ 2307854 h 2622542"/>
            <a:gd name="connsiteX44" fmla="*/ 1580600 w 1997598"/>
            <a:gd name="connsiteY44" fmla="*/ 1745783 h 2622542"/>
            <a:gd name="connsiteX45" fmla="*/ 1018529 w 1997598"/>
            <a:gd name="connsiteY45" fmla="*/ 1183712 h 2622542"/>
            <a:gd name="connsiteX46" fmla="*/ 664325 w 1997598"/>
            <a:gd name="connsiteY46" fmla="*/ 707629 h 2622542"/>
            <a:gd name="connsiteX47" fmla="*/ 1314151 w 1997598"/>
            <a:gd name="connsiteY47" fmla="*/ 707629 h 2622542"/>
            <a:gd name="connsiteX48" fmla="*/ 1997478 w 1997598"/>
            <a:gd name="connsiteY48" fmla="*/ 1799581 h 2622542"/>
            <a:gd name="connsiteX49" fmla="*/ 1568718 w 1997598"/>
            <a:gd name="connsiteY49" fmla="*/ 2622542 h 2622542"/>
            <a:gd name="connsiteX50" fmla="*/ 429850 w 1997598"/>
            <a:gd name="connsiteY50" fmla="*/ 2615846 h 2622542"/>
            <a:gd name="connsiteX51" fmla="*/ 1100 w 1997598"/>
            <a:gd name="connsiteY51" fmla="*/ 1792886 h 2622542"/>
            <a:gd name="connsiteX52" fmla="*/ 664325 w 1997598"/>
            <a:gd name="connsiteY52" fmla="*/ 707629 h 2622542"/>
            <a:gd name="connsiteX53" fmla="*/ 986902 w 1997598"/>
            <a:gd name="connsiteY53" fmla="*/ 180 h 2622542"/>
            <a:gd name="connsiteX54" fmla="*/ 1253856 w 1997598"/>
            <a:gd name="connsiteY54" fmla="*/ 231858 h 2622542"/>
            <a:gd name="connsiteX55" fmla="*/ 1602233 w 1997598"/>
            <a:gd name="connsiteY55" fmla="*/ 211770 h 2622542"/>
            <a:gd name="connsiteX56" fmla="*/ 1307453 w 1997598"/>
            <a:gd name="connsiteY56" fmla="*/ 647228 h 2622542"/>
            <a:gd name="connsiteX57" fmla="*/ 1253841 w 1997598"/>
            <a:gd name="connsiteY57" fmla="*/ 646050 h 2622542"/>
            <a:gd name="connsiteX58" fmla="*/ 1307042 w 1997598"/>
            <a:gd name="connsiteY58" fmla="*/ 424909 h 2622542"/>
            <a:gd name="connsiteX59" fmla="*/ 1275900 w 1997598"/>
            <a:gd name="connsiteY59" fmla="*/ 369830 h 2622542"/>
            <a:gd name="connsiteX60" fmla="*/ 1275900 w 1997598"/>
            <a:gd name="connsiteY60" fmla="*/ 369830 h 2622542"/>
            <a:gd name="connsiteX61" fmla="*/ 1224136 w 1997598"/>
            <a:gd name="connsiteY61" fmla="*/ 400473 h 2622542"/>
            <a:gd name="connsiteX62" fmla="*/ 1165526 w 1997598"/>
            <a:gd name="connsiteY62" fmla="*/ 644109 h 2622542"/>
            <a:gd name="connsiteX63" fmla="*/ 1041982 w 1997598"/>
            <a:gd name="connsiteY63" fmla="*/ 641396 h 2622542"/>
            <a:gd name="connsiteX64" fmla="*/ 1041017 w 1997598"/>
            <a:gd name="connsiteY64" fmla="*/ 583209 h 2622542"/>
            <a:gd name="connsiteX65" fmla="*/ 997569 w 1997598"/>
            <a:gd name="connsiteY65" fmla="*/ 537907 h 2622542"/>
            <a:gd name="connsiteX66" fmla="*/ 997570 w 1997598"/>
            <a:gd name="connsiteY66" fmla="*/ 537908 h 2622542"/>
            <a:gd name="connsiteX67" fmla="*/ 955600 w 1997598"/>
            <a:gd name="connsiteY67" fmla="*/ 581732 h 2622542"/>
            <a:gd name="connsiteX68" fmla="*/ 956559 w 1997598"/>
            <a:gd name="connsiteY68" fmla="*/ 639518 h 2622542"/>
            <a:gd name="connsiteX69" fmla="*/ 845567 w 1997598"/>
            <a:gd name="connsiteY69" fmla="*/ 637080 h 2622542"/>
            <a:gd name="connsiteX70" fmla="*/ 799761 w 1997598"/>
            <a:gd name="connsiteY70" fmla="*/ 506078 h 2622542"/>
            <a:gd name="connsiteX71" fmla="*/ 744896 w 1997598"/>
            <a:gd name="connsiteY71" fmla="*/ 477778 h 2622542"/>
            <a:gd name="connsiteX72" fmla="*/ 744897 w 1997598"/>
            <a:gd name="connsiteY72" fmla="*/ 477779 h 2622542"/>
            <a:gd name="connsiteX73" fmla="*/ 719619 w 1997598"/>
            <a:gd name="connsiteY73" fmla="*/ 534100 h 2622542"/>
            <a:gd name="connsiteX74" fmla="*/ 754930 w 1997598"/>
            <a:gd name="connsiteY74" fmla="*/ 635089 h 2622542"/>
            <a:gd name="connsiteX75" fmla="*/ 697819 w 1997598"/>
            <a:gd name="connsiteY75" fmla="*/ 633834 h 2622542"/>
            <a:gd name="connsiteX76" fmla="*/ 382954 w 1997598"/>
            <a:gd name="connsiteY76" fmla="*/ 198378 h 2622542"/>
            <a:gd name="connsiteX77" fmla="*/ 764810 w 1997598"/>
            <a:gd name="connsiteY77" fmla="*/ 218466 h 2622542"/>
            <a:gd name="connsiteX78" fmla="*/ 986902 w 1997598"/>
            <a:gd name="connsiteY78" fmla="*/ 180 h 26225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Lst>
          <a:rect l="l" t="t" r="r" b="b"/>
          <a:pathLst>
            <a:path w="1997598" h="2622542">
              <a:moveTo>
                <a:pt x="1038471" y="1798798"/>
              </a:moveTo>
              <a:cubicBezTo>
                <a:pt x="1059481" y="1804868"/>
                <a:pt x="1074537" y="1813621"/>
                <a:pt x="1083642" y="1825060"/>
              </a:cubicBezTo>
              <a:cubicBezTo>
                <a:pt x="1092981" y="1836266"/>
                <a:pt x="1097649" y="1849687"/>
                <a:pt x="1097649" y="1865328"/>
              </a:cubicBezTo>
              <a:cubicBezTo>
                <a:pt x="1097649" y="1882836"/>
                <a:pt x="1092164" y="1898129"/>
                <a:pt x="1081191" y="1911202"/>
              </a:cubicBezTo>
              <a:cubicBezTo>
                <a:pt x="1070218" y="1924039"/>
                <a:pt x="1055979" y="1932094"/>
                <a:pt x="1038471" y="1935364"/>
              </a:cubicBezTo>
              <a:close/>
              <a:moveTo>
                <a:pt x="987696" y="1562783"/>
              </a:moveTo>
              <a:lnTo>
                <a:pt x="987696" y="1683942"/>
              </a:lnTo>
              <a:cubicBezTo>
                <a:pt x="972522" y="1677407"/>
                <a:pt x="961201" y="1668886"/>
                <a:pt x="953730" y="1658378"/>
              </a:cubicBezTo>
              <a:cubicBezTo>
                <a:pt x="946260" y="1647642"/>
                <a:pt x="942524" y="1636085"/>
                <a:pt x="942524" y="1623713"/>
              </a:cubicBezTo>
              <a:cubicBezTo>
                <a:pt x="942524" y="1610174"/>
                <a:pt x="946611" y="1597799"/>
                <a:pt x="954780" y="1586593"/>
              </a:cubicBezTo>
              <a:cubicBezTo>
                <a:pt x="962951" y="1575386"/>
                <a:pt x="973923" y="1567450"/>
                <a:pt x="987696" y="1562783"/>
              </a:cubicBezTo>
              <a:close/>
              <a:moveTo>
                <a:pt x="987696" y="1451780"/>
              </a:moveTo>
              <a:lnTo>
                <a:pt x="987696" y="1486445"/>
              </a:lnTo>
              <a:cubicBezTo>
                <a:pt x="947543" y="1490413"/>
                <a:pt x="915327" y="1505473"/>
                <a:pt x="891050" y="1531616"/>
              </a:cubicBezTo>
              <a:cubicBezTo>
                <a:pt x="867004" y="1557531"/>
                <a:pt x="854984" y="1589629"/>
                <a:pt x="854984" y="1627914"/>
              </a:cubicBezTo>
              <a:cubicBezTo>
                <a:pt x="854984" y="1665731"/>
                <a:pt x="865606" y="1697947"/>
                <a:pt x="886849" y="1724560"/>
              </a:cubicBezTo>
              <a:cubicBezTo>
                <a:pt x="908326" y="1750941"/>
                <a:pt x="941940" y="1770669"/>
                <a:pt x="987696" y="1783738"/>
              </a:cubicBezTo>
              <a:lnTo>
                <a:pt x="987696" y="1930460"/>
              </a:lnTo>
              <a:cubicBezTo>
                <a:pt x="975088" y="1924391"/>
                <a:pt x="963653" y="1914587"/>
                <a:pt x="953379" y="1901047"/>
              </a:cubicBezTo>
              <a:cubicBezTo>
                <a:pt x="943109" y="1887507"/>
                <a:pt x="936104" y="1871397"/>
                <a:pt x="932368" y="1852725"/>
              </a:cubicBezTo>
              <a:lnTo>
                <a:pt x="840974" y="1862529"/>
              </a:lnTo>
              <a:cubicBezTo>
                <a:pt x="847979" y="1908518"/>
                <a:pt x="864085" y="1944119"/>
                <a:pt x="889297" y="1969329"/>
              </a:cubicBezTo>
              <a:cubicBezTo>
                <a:pt x="914509" y="1994541"/>
                <a:pt x="947310" y="2009597"/>
                <a:pt x="987696" y="2014502"/>
              </a:cubicBezTo>
              <a:lnTo>
                <a:pt x="987696" y="2078232"/>
              </a:lnTo>
              <a:lnTo>
                <a:pt x="1038471" y="2078232"/>
              </a:lnTo>
              <a:lnTo>
                <a:pt x="1038471" y="2012749"/>
              </a:lnTo>
              <a:cubicBezTo>
                <a:pt x="1083994" y="2006214"/>
                <a:pt x="1119476" y="1988473"/>
                <a:pt x="1144921" y="1959525"/>
              </a:cubicBezTo>
              <a:cubicBezTo>
                <a:pt x="1170602" y="1930578"/>
                <a:pt x="1183440" y="1894978"/>
                <a:pt x="1183440" y="1852725"/>
              </a:cubicBezTo>
              <a:cubicBezTo>
                <a:pt x="1183440" y="1814904"/>
                <a:pt x="1173288" y="1783971"/>
                <a:pt x="1152976" y="1759928"/>
              </a:cubicBezTo>
              <a:cubicBezTo>
                <a:pt x="1132665" y="1735648"/>
                <a:pt x="1094497" y="1715925"/>
                <a:pt x="1038471" y="1700750"/>
              </a:cubicBezTo>
              <a:lnTo>
                <a:pt x="1038471" y="1563833"/>
              </a:lnTo>
              <a:cubicBezTo>
                <a:pt x="1061116" y="1573638"/>
                <a:pt x="1075122" y="1592315"/>
                <a:pt x="1080492" y="1619859"/>
              </a:cubicBezTo>
              <a:lnTo>
                <a:pt x="1169083" y="1608306"/>
              </a:lnTo>
              <a:cubicBezTo>
                <a:pt x="1163013" y="1573286"/>
                <a:pt x="1149008" y="1545389"/>
                <a:pt x="1127065" y="1524616"/>
              </a:cubicBezTo>
              <a:cubicBezTo>
                <a:pt x="1105119" y="1503605"/>
                <a:pt x="1075587" y="1490883"/>
                <a:pt x="1038471" y="1486445"/>
              </a:cubicBezTo>
              <a:lnTo>
                <a:pt x="1038471" y="1451780"/>
              </a:lnTo>
              <a:close/>
              <a:moveTo>
                <a:pt x="1018529" y="1275937"/>
              </a:moveTo>
              <a:cubicBezTo>
                <a:pt x="1278018" y="1275937"/>
                <a:pt x="1488375" y="1486294"/>
                <a:pt x="1488375" y="1745783"/>
              </a:cubicBezTo>
              <a:cubicBezTo>
                <a:pt x="1488375" y="2005272"/>
                <a:pt x="1278018" y="2215629"/>
                <a:pt x="1018529" y="2215629"/>
              </a:cubicBezTo>
              <a:cubicBezTo>
                <a:pt x="759040" y="2215629"/>
                <a:pt x="548683" y="2005272"/>
                <a:pt x="548683" y="1745783"/>
              </a:cubicBezTo>
              <a:cubicBezTo>
                <a:pt x="548683" y="1486294"/>
                <a:pt x="759040" y="1275937"/>
                <a:pt x="1018529" y="1275937"/>
              </a:cubicBezTo>
              <a:close/>
              <a:moveTo>
                <a:pt x="1018529" y="1183712"/>
              </a:moveTo>
              <a:cubicBezTo>
                <a:pt x="708106" y="1183712"/>
                <a:pt x="456458" y="1435360"/>
                <a:pt x="456458" y="1745783"/>
              </a:cubicBezTo>
              <a:cubicBezTo>
                <a:pt x="456458" y="2056206"/>
                <a:pt x="708106" y="2307854"/>
                <a:pt x="1018529" y="2307854"/>
              </a:cubicBezTo>
              <a:cubicBezTo>
                <a:pt x="1328952" y="2307854"/>
                <a:pt x="1580600" y="2056206"/>
                <a:pt x="1580600" y="1745783"/>
              </a:cubicBezTo>
              <a:cubicBezTo>
                <a:pt x="1580600" y="1435360"/>
                <a:pt x="1328952" y="1183712"/>
                <a:pt x="1018529" y="1183712"/>
              </a:cubicBezTo>
              <a:close/>
              <a:moveTo>
                <a:pt x="664325" y="707629"/>
              </a:moveTo>
              <a:lnTo>
                <a:pt x="1314151" y="707629"/>
              </a:lnTo>
              <a:cubicBezTo>
                <a:pt x="1314151" y="707629"/>
                <a:pt x="2008098" y="1167205"/>
                <a:pt x="1997478" y="1799581"/>
              </a:cubicBezTo>
              <a:cubicBezTo>
                <a:pt x="1985742" y="2498450"/>
                <a:pt x="1568718" y="2622542"/>
                <a:pt x="1568718" y="2622542"/>
              </a:cubicBezTo>
              <a:lnTo>
                <a:pt x="429850" y="2615846"/>
              </a:lnTo>
              <a:cubicBezTo>
                <a:pt x="429850" y="2615846"/>
                <a:pt x="-25234" y="2404706"/>
                <a:pt x="1100" y="1792886"/>
              </a:cubicBezTo>
              <a:cubicBezTo>
                <a:pt x="27107" y="1188661"/>
                <a:pt x="664325" y="707629"/>
                <a:pt x="664325" y="707629"/>
              </a:cubicBezTo>
              <a:close/>
              <a:moveTo>
                <a:pt x="986902" y="180"/>
              </a:moveTo>
              <a:cubicBezTo>
                <a:pt x="1109577" y="-4712"/>
                <a:pt x="1237396" y="90440"/>
                <a:pt x="1253856" y="231858"/>
              </a:cubicBezTo>
              <a:cubicBezTo>
                <a:pt x="1388526" y="103410"/>
                <a:pt x="1501498" y="170515"/>
                <a:pt x="1602233" y="211770"/>
              </a:cubicBezTo>
              <a:lnTo>
                <a:pt x="1307453" y="647228"/>
              </a:lnTo>
              <a:lnTo>
                <a:pt x="1253841" y="646050"/>
              </a:lnTo>
              <a:lnTo>
                <a:pt x="1307042" y="424909"/>
              </a:lnTo>
              <a:cubicBezTo>
                <a:pt x="1312735" y="401236"/>
                <a:pt x="1298793" y="376577"/>
                <a:pt x="1275900" y="369830"/>
              </a:cubicBezTo>
              <a:lnTo>
                <a:pt x="1275900" y="369830"/>
              </a:lnTo>
              <a:cubicBezTo>
                <a:pt x="1253009" y="363080"/>
                <a:pt x="1229832" y="376802"/>
                <a:pt x="1224136" y="400473"/>
              </a:cubicBezTo>
              <a:lnTo>
                <a:pt x="1165526" y="644109"/>
              </a:lnTo>
              <a:lnTo>
                <a:pt x="1041982" y="641396"/>
              </a:lnTo>
              <a:lnTo>
                <a:pt x="1041017" y="583209"/>
              </a:lnTo>
              <a:cubicBezTo>
                <a:pt x="1040609" y="558598"/>
                <a:pt x="1021158" y="538315"/>
                <a:pt x="997569" y="537907"/>
              </a:cubicBezTo>
              <a:lnTo>
                <a:pt x="997570" y="537908"/>
              </a:lnTo>
              <a:cubicBezTo>
                <a:pt x="973984" y="537499"/>
                <a:pt x="955192" y="557122"/>
                <a:pt x="955600" y="581732"/>
              </a:cubicBezTo>
              <a:lnTo>
                <a:pt x="956559" y="639518"/>
              </a:lnTo>
              <a:lnTo>
                <a:pt x="845567" y="637080"/>
              </a:lnTo>
              <a:lnTo>
                <a:pt x="799761" y="506078"/>
              </a:lnTo>
              <a:cubicBezTo>
                <a:pt x="791590" y="482710"/>
                <a:pt x="767027" y="470040"/>
                <a:pt x="744896" y="477778"/>
              </a:cubicBezTo>
              <a:lnTo>
                <a:pt x="744897" y="477779"/>
              </a:lnTo>
              <a:cubicBezTo>
                <a:pt x="722766" y="485517"/>
                <a:pt x="711450" y="510735"/>
                <a:pt x="719619" y="534100"/>
              </a:cubicBezTo>
              <a:lnTo>
                <a:pt x="754930" y="635089"/>
              </a:lnTo>
              <a:lnTo>
                <a:pt x="697819" y="633834"/>
              </a:lnTo>
              <a:lnTo>
                <a:pt x="382954" y="198378"/>
              </a:lnTo>
              <a:cubicBezTo>
                <a:pt x="500883" y="146647"/>
                <a:pt x="611231" y="145422"/>
                <a:pt x="764810" y="218466"/>
              </a:cubicBezTo>
              <a:cubicBezTo>
                <a:pt x="799186" y="68313"/>
                <a:pt x="891489" y="3986"/>
                <a:pt x="986902" y="180"/>
              </a:cubicBezTo>
              <a:close/>
            </a:path>
          </a:pathLst>
        </a:custGeom>
        <a:solidFill>
          <a:sysClr val="window" lastClr="FFFFFF"/>
        </a:solidFill>
        <a:ln w="18002"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276340</xdr:colOff>
      <xdr:row>20</xdr:row>
      <xdr:rowOff>45917</xdr:rowOff>
    </xdr:from>
    <xdr:to>
      <xdr:col>0</xdr:col>
      <xdr:colOff>528340</xdr:colOff>
      <xdr:row>21</xdr:row>
      <xdr:rowOff>106073</xdr:rowOff>
    </xdr:to>
    <xdr:sp macro="" textlink="">
      <xdr:nvSpPr>
        <xdr:cNvPr id="29" name="Freeform: Shape 28">
          <a:extLst>
            <a:ext uri="{FF2B5EF4-FFF2-40B4-BE49-F238E27FC236}">
              <a16:creationId xmlns:a16="http://schemas.microsoft.com/office/drawing/2014/main" id="{00000000-0008-0000-0200-00001D000000}"/>
            </a:ext>
          </a:extLst>
        </xdr:cNvPr>
        <xdr:cNvSpPr/>
      </xdr:nvSpPr>
      <xdr:spPr>
        <a:xfrm>
          <a:off x="276340" y="4109917"/>
          <a:ext cx="252000" cy="263356"/>
        </a:xfrm>
        <a:custGeom>
          <a:avLst/>
          <a:gdLst>
            <a:gd name="connsiteX0" fmla="*/ 1845168 w 2847163"/>
            <a:gd name="connsiteY0" fmla="*/ 1750443 h 2759416"/>
            <a:gd name="connsiteX1" fmla="*/ 2309388 w 2847163"/>
            <a:gd name="connsiteY1" fmla="*/ 2214663 h 2759416"/>
            <a:gd name="connsiteX2" fmla="*/ 2318856 w 2847163"/>
            <a:gd name="connsiteY2" fmla="*/ 2759416 h 2759416"/>
            <a:gd name="connsiteX3" fmla="*/ 1845168 w 2847163"/>
            <a:gd name="connsiteY3" fmla="*/ 2759416 h 2759416"/>
            <a:gd name="connsiteX4" fmla="*/ 1518242 w 2847163"/>
            <a:gd name="connsiteY4" fmla="*/ 1423550 h 2759416"/>
            <a:gd name="connsiteX5" fmla="*/ 1717214 w 2847163"/>
            <a:gd name="connsiteY5" fmla="*/ 1622523 h 2759416"/>
            <a:gd name="connsiteX6" fmla="*/ 1717214 w 2847163"/>
            <a:gd name="connsiteY6" fmla="*/ 2759403 h 2759416"/>
            <a:gd name="connsiteX7" fmla="*/ 1250617 w 2847163"/>
            <a:gd name="connsiteY7" fmla="*/ 2754687 h 2759416"/>
            <a:gd name="connsiteX8" fmla="*/ 1250617 w 2847163"/>
            <a:gd name="connsiteY8" fmla="*/ 1691210 h 2759416"/>
            <a:gd name="connsiteX9" fmla="*/ 641835 w 2847163"/>
            <a:gd name="connsiteY9" fmla="*/ 1229322 h 2759416"/>
            <a:gd name="connsiteX10" fmla="*/ 1106070 w 2847163"/>
            <a:gd name="connsiteY10" fmla="*/ 1693578 h 2759416"/>
            <a:gd name="connsiteX11" fmla="*/ 1106070 w 2847163"/>
            <a:gd name="connsiteY11" fmla="*/ 2749927 h 2759416"/>
            <a:gd name="connsiteX12" fmla="*/ 641835 w 2847163"/>
            <a:gd name="connsiteY12" fmla="*/ 2759395 h 2759416"/>
            <a:gd name="connsiteX13" fmla="*/ 35444 w 2847163"/>
            <a:gd name="connsiteY13" fmla="*/ 618126 h 2759416"/>
            <a:gd name="connsiteX14" fmla="*/ 509154 w 2847163"/>
            <a:gd name="connsiteY14" fmla="*/ 1091814 h 2759416"/>
            <a:gd name="connsiteX15" fmla="*/ 509154 w 2847163"/>
            <a:gd name="connsiteY15" fmla="*/ 2754655 h 2759416"/>
            <a:gd name="connsiteX16" fmla="*/ 35444 w 2847163"/>
            <a:gd name="connsiteY16" fmla="*/ 2749904 h 2759416"/>
            <a:gd name="connsiteX17" fmla="*/ 0 w 2847163"/>
            <a:gd name="connsiteY17" fmla="*/ 0 h 2759416"/>
            <a:gd name="connsiteX18" fmla="*/ 1177165 w 2847163"/>
            <a:gd name="connsiteY18" fmla="*/ 1158192 h 2759416"/>
            <a:gd name="connsiteX19" fmla="*/ 1518233 w 2847163"/>
            <a:gd name="connsiteY19" fmla="*/ 817128 h 2759416"/>
            <a:gd name="connsiteX20" fmla="*/ 2746509 w 2847163"/>
            <a:gd name="connsiteY20" fmla="*/ 2007744 h 2759416"/>
            <a:gd name="connsiteX21" fmla="*/ 2847163 w 2847163"/>
            <a:gd name="connsiteY21" fmla="*/ 1910921 h 2759416"/>
            <a:gd name="connsiteX22" fmla="*/ 2847163 w 2847163"/>
            <a:gd name="connsiteY22" fmla="*/ 2340365 h 2759416"/>
            <a:gd name="connsiteX23" fmla="*/ 2400726 w 2847163"/>
            <a:gd name="connsiteY23" fmla="*/ 2340365 h 2759416"/>
            <a:gd name="connsiteX24" fmla="*/ 2494986 w 2847163"/>
            <a:gd name="connsiteY24" fmla="*/ 2249694 h 2759416"/>
            <a:gd name="connsiteX25" fmla="*/ 1506389 w 2847163"/>
            <a:gd name="connsiteY25" fmla="*/ 1297944 h 2759416"/>
            <a:gd name="connsiteX26" fmla="*/ 1181903 w 2847163"/>
            <a:gd name="connsiteY26" fmla="*/ 1622449 h 2759416"/>
            <a:gd name="connsiteX27" fmla="*/ 0 w 2847163"/>
            <a:gd name="connsiteY27" fmla="*/ 440532 h 275941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2847163" h="2759416">
              <a:moveTo>
                <a:pt x="1845168" y="1750443"/>
              </a:moveTo>
              <a:lnTo>
                <a:pt x="2309388" y="2214663"/>
              </a:lnTo>
              <a:lnTo>
                <a:pt x="2318856" y="2759416"/>
              </a:lnTo>
              <a:lnTo>
                <a:pt x="1845168" y="2759416"/>
              </a:lnTo>
              <a:close/>
              <a:moveTo>
                <a:pt x="1518242" y="1423550"/>
              </a:moveTo>
              <a:lnTo>
                <a:pt x="1717214" y="1622523"/>
              </a:lnTo>
              <a:lnTo>
                <a:pt x="1717214" y="2759403"/>
              </a:lnTo>
              <a:lnTo>
                <a:pt x="1250617" y="2754687"/>
              </a:lnTo>
              <a:lnTo>
                <a:pt x="1250617" y="1691210"/>
              </a:lnTo>
              <a:close/>
              <a:moveTo>
                <a:pt x="641835" y="1229322"/>
              </a:moveTo>
              <a:lnTo>
                <a:pt x="1106070" y="1693578"/>
              </a:lnTo>
              <a:lnTo>
                <a:pt x="1106070" y="2749927"/>
              </a:lnTo>
              <a:lnTo>
                <a:pt x="641835" y="2759395"/>
              </a:lnTo>
              <a:close/>
              <a:moveTo>
                <a:pt x="35444" y="618126"/>
              </a:moveTo>
              <a:lnTo>
                <a:pt x="509154" y="1091814"/>
              </a:lnTo>
              <a:lnTo>
                <a:pt x="509154" y="2754655"/>
              </a:lnTo>
              <a:lnTo>
                <a:pt x="35444" y="2749904"/>
              </a:lnTo>
              <a:close/>
              <a:moveTo>
                <a:pt x="0" y="0"/>
              </a:moveTo>
              <a:lnTo>
                <a:pt x="1177165" y="1158192"/>
              </a:lnTo>
              <a:lnTo>
                <a:pt x="1518233" y="817128"/>
              </a:lnTo>
              <a:lnTo>
                <a:pt x="2746509" y="2007744"/>
              </a:lnTo>
              <a:lnTo>
                <a:pt x="2847163" y="1910921"/>
              </a:lnTo>
              <a:lnTo>
                <a:pt x="2847163" y="2340365"/>
              </a:lnTo>
              <a:lnTo>
                <a:pt x="2400726" y="2340365"/>
              </a:lnTo>
              <a:lnTo>
                <a:pt x="2494986" y="2249694"/>
              </a:lnTo>
              <a:lnTo>
                <a:pt x="1506389" y="1297944"/>
              </a:lnTo>
              <a:lnTo>
                <a:pt x="1181903" y="1622449"/>
              </a:lnTo>
              <a:lnTo>
                <a:pt x="0" y="440532"/>
              </a:lnTo>
              <a:close/>
            </a:path>
          </a:pathLst>
        </a:custGeom>
        <a:solidFill>
          <a:sysClr val="window" lastClr="FFFFFF"/>
        </a:solidFill>
        <a:ln w="6350" cap="flat">
          <a:solidFill>
            <a:sysClr val="windowText" lastClr="000000"/>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276340</xdr:colOff>
      <xdr:row>22</xdr:row>
      <xdr:rowOff>161497</xdr:rowOff>
    </xdr:from>
    <xdr:to>
      <xdr:col>0</xdr:col>
      <xdr:colOff>528340</xdr:colOff>
      <xdr:row>24</xdr:row>
      <xdr:rowOff>18453</xdr:rowOff>
    </xdr:to>
    <xdr:sp macro="" textlink="">
      <xdr:nvSpPr>
        <xdr:cNvPr id="30" name="Freeform: Shape 29">
          <a:extLst>
            <a:ext uri="{FF2B5EF4-FFF2-40B4-BE49-F238E27FC236}">
              <a16:creationId xmlns:a16="http://schemas.microsoft.com/office/drawing/2014/main" id="{00000000-0008-0000-0200-00001E000000}"/>
            </a:ext>
          </a:extLst>
        </xdr:cNvPr>
        <xdr:cNvSpPr/>
      </xdr:nvSpPr>
      <xdr:spPr>
        <a:xfrm>
          <a:off x="276340" y="4631897"/>
          <a:ext cx="252000" cy="263356"/>
        </a:xfrm>
        <a:custGeom>
          <a:avLst/>
          <a:gdLst>
            <a:gd name="connsiteX0" fmla="*/ 639778 w 4884414"/>
            <a:gd name="connsiteY0" fmla="*/ 2912647 h 4858772"/>
            <a:gd name="connsiteX1" fmla="*/ 1031685 w 4884414"/>
            <a:gd name="connsiteY1" fmla="*/ 4714736 h 4858772"/>
            <a:gd name="connsiteX2" fmla="*/ 385208 w 4884414"/>
            <a:gd name="connsiteY2" fmla="*/ 4858772 h 4858772"/>
            <a:gd name="connsiteX3" fmla="*/ 0 w 4884414"/>
            <a:gd name="connsiteY3" fmla="*/ 3053299 h 4858772"/>
            <a:gd name="connsiteX4" fmla="*/ 4607863 w 4884414"/>
            <a:gd name="connsiteY4" fmla="*/ 2902441 h 4858772"/>
            <a:gd name="connsiteX5" fmla="*/ 4789111 w 4884414"/>
            <a:gd name="connsiteY5" fmla="*/ 2958353 h 4858772"/>
            <a:gd name="connsiteX6" fmla="*/ 4811396 w 4884414"/>
            <a:gd name="connsiteY6" fmla="*/ 3250422 h 4858772"/>
            <a:gd name="connsiteX7" fmla="*/ 2814330 w 4884414"/>
            <a:gd name="connsiteY7" fmla="*/ 4524139 h 4858772"/>
            <a:gd name="connsiteX8" fmla="*/ 1445303 w 4884414"/>
            <a:gd name="connsiteY8" fmla="*/ 4391479 h 4858772"/>
            <a:gd name="connsiteX9" fmla="*/ 1161080 w 4884414"/>
            <a:gd name="connsiteY9" fmla="*/ 4453075 h 4858772"/>
            <a:gd name="connsiteX10" fmla="*/ 895802 w 4884414"/>
            <a:gd name="connsiteY10" fmla="*/ 3202470 h 4858772"/>
            <a:gd name="connsiteX11" fmla="*/ 1492676 w 4884414"/>
            <a:gd name="connsiteY11" fmla="*/ 3046158 h 4858772"/>
            <a:gd name="connsiteX12" fmla="*/ 2495226 w 4884414"/>
            <a:gd name="connsiteY12" fmla="*/ 3450762 h 4858772"/>
            <a:gd name="connsiteX13" fmla="*/ 3321174 w 4884414"/>
            <a:gd name="connsiteY13" fmla="*/ 3055626 h 4858772"/>
            <a:gd name="connsiteX14" fmla="*/ 3742807 w 4884414"/>
            <a:gd name="connsiteY14" fmla="*/ 3103002 h 4858772"/>
            <a:gd name="connsiteX15" fmla="*/ 3723259 w 4884414"/>
            <a:gd name="connsiteY15" fmla="*/ 3443274 h 4858772"/>
            <a:gd name="connsiteX16" fmla="*/ 2513442 w 4884414"/>
            <a:gd name="connsiteY16" fmla="*/ 4087494 h 4858772"/>
            <a:gd name="connsiteX17" fmla="*/ 1386497 w 4884414"/>
            <a:gd name="connsiteY17" fmla="*/ 3877686 h 4858772"/>
            <a:gd name="connsiteX18" fmla="*/ 1345824 w 4884414"/>
            <a:gd name="connsiteY18" fmla="*/ 4040946 h 4858772"/>
            <a:gd name="connsiteX19" fmla="*/ 2583822 w 4884414"/>
            <a:gd name="connsiteY19" fmla="*/ 4264146 h 4858772"/>
            <a:gd name="connsiteX20" fmla="*/ 3918055 w 4884414"/>
            <a:gd name="connsiteY20" fmla="*/ 3524598 h 4858772"/>
            <a:gd name="connsiteX21" fmla="*/ 4020079 w 4884414"/>
            <a:gd name="connsiteY21" fmla="*/ 3359394 h 4858772"/>
            <a:gd name="connsiteX22" fmla="*/ 3984367 w 4884414"/>
            <a:gd name="connsiteY22" fmla="*/ 3155094 h 4858772"/>
            <a:gd name="connsiteX23" fmla="*/ 4420327 w 4884414"/>
            <a:gd name="connsiteY23" fmla="*/ 2932794 h 4858772"/>
            <a:gd name="connsiteX24" fmla="*/ 4607863 w 4884414"/>
            <a:gd name="connsiteY24" fmla="*/ 2902441 h 4858772"/>
            <a:gd name="connsiteX25" fmla="*/ 1433727 w 4884414"/>
            <a:gd name="connsiteY25" fmla="*/ 2168924 h 4858772"/>
            <a:gd name="connsiteX26" fmla="*/ 1849081 w 4884414"/>
            <a:gd name="connsiteY26" fmla="*/ 2168924 h 4858772"/>
            <a:gd name="connsiteX27" fmla="*/ 1849081 w 4884414"/>
            <a:gd name="connsiteY27" fmla="*/ 2845548 h 4858772"/>
            <a:gd name="connsiteX28" fmla="*/ 1433727 w 4884414"/>
            <a:gd name="connsiteY28" fmla="*/ 2845548 h 4858772"/>
            <a:gd name="connsiteX29" fmla="*/ 2941179 w 4884414"/>
            <a:gd name="connsiteY29" fmla="*/ 2004757 h 4858772"/>
            <a:gd name="connsiteX30" fmla="*/ 3359881 w 4884414"/>
            <a:gd name="connsiteY30" fmla="*/ 2004757 h 4858772"/>
            <a:gd name="connsiteX31" fmla="*/ 3359881 w 4884414"/>
            <a:gd name="connsiteY31" fmla="*/ 2842165 h 4858772"/>
            <a:gd name="connsiteX32" fmla="*/ 2941179 w 4884414"/>
            <a:gd name="connsiteY32" fmla="*/ 2842165 h 4858772"/>
            <a:gd name="connsiteX33" fmla="*/ 2187461 w 4884414"/>
            <a:gd name="connsiteY33" fmla="*/ 1666453 h 4858772"/>
            <a:gd name="connsiteX34" fmla="*/ 2609514 w 4884414"/>
            <a:gd name="connsiteY34" fmla="*/ 1666453 h 4858772"/>
            <a:gd name="connsiteX35" fmla="*/ 2609514 w 4884414"/>
            <a:gd name="connsiteY35" fmla="*/ 2858921 h 4858772"/>
            <a:gd name="connsiteX36" fmla="*/ 2187461 w 4884414"/>
            <a:gd name="connsiteY36" fmla="*/ 2858921 h 4858772"/>
            <a:gd name="connsiteX37" fmla="*/ 3691550 w 4884414"/>
            <a:gd name="connsiteY37" fmla="*/ 1488894 h 4858772"/>
            <a:gd name="connsiteX38" fmla="*/ 4110252 w 4884414"/>
            <a:gd name="connsiteY38" fmla="*/ 1488894 h 4858772"/>
            <a:gd name="connsiteX39" fmla="*/ 4110252 w 4884414"/>
            <a:gd name="connsiteY39" fmla="*/ 2852193 h 4858772"/>
            <a:gd name="connsiteX40" fmla="*/ 3691550 w 4884414"/>
            <a:gd name="connsiteY40" fmla="*/ 2852193 h 4858772"/>
            <a:gd name="connsiteX41" fmla="*/ 4884414 w 4884414"/>
            <a:gd name="connsiteY41" fmla="*/ 0 h 4858772"/>
            <a:gd name="connsiteX42" fmla="*/ 4879661 w 4884414"/>
            <a:gd name="connsiteY42" fmla="*/ 497394 h 4858772"/>
            <a:gd name="connsiteX43" fmla="*/ 4718597 w 4884414"/>
            <a:gd name="connsiteY43" fmla="*/ 497394 h 4858772"/>
            <a:gd name="connsiteX44" fmla="*/ 4713882 w 4884414"/>
            <a:gd name="connsiteY44" fmla="*/ 274752 h 4858772"/>
            <a:gd name="connsiteX45" fmla="*/ 3775937 w 4884414"/>
            <a:gd name="connsiteY45" fmla="*/ 1198498 h 4858772"/>
            <a:gd name="connsiteX46" fmla="*/ 3041680 w 4884414"/>
            <a:gd name="connsiteY46" fmla="*/ 454759 h 4858772"/>
            <a:gd name="connsiteX47" fmla="*/ 2027937 w 4884414"/>
            <a:gd name="connsiteY47" fmla="*/ 1430590 h 4858772"/>
            <a:gd name="connsiteX48" fmla="*/ 1426330 w 4884414"/>
            <a:gd name="connsiteY48" fmla="*/ 876370 h 4858772"/>
            <a:gd name="connsiteX49" fmla="*/ 327325 w 4884414"/>
            <a:gd name="connsiteY49" fmla="*/ 1984846 h 4858772"/>
            <a:gd name="connsiteX50" fmla="*/ 194686 w 4884414"/>
            <a:gd name="connsiteY50" fmla="*/ 1871158 h 4858772"/>
            <a:gd name="connsiteX51" fmla="*/ 1416855 w 4884414"/>
            <a:gd name="connsiteY51" fmla="*/ 644242 h 4858772"/>
            <a:gd name="connsiteX52" fmla="*/ 2027937 w 4884414"/>
            <a:gd name="connsiteY52" fmla="*/ 1203214 h 4858772"/>
            <a:gd name="connsiteX53" fmla="*/ 3022744 w 4884414"/>
            <a:gd name="connsiteY53" fmla="*/ 222642 h 4858772"/>
            <a:gd name="connsiteX54" fmla="*/ 3799624 w 4884414"/>
            <a:gd name="connsiteY54" fmla="*/ 961618 h 4858772"/>
            <a:gd name="connsiteX55" fmla="*/ 4604909 w 4884414"/>
            <a:gd name="connsiteY55" fmla="*/ 161060 h 4858772"/>
            <a:gd name="connsiteX56" fmla="*/ 4377533 w 4884414"/>
            <a:gd name="connsiteY56" fmla="*/ 151585 h 4858772"/>
            <a:gd name="connsiteX57" fmla="*/ 4372781 w 4884414"/>
            <a:gd name="connsiteY57" fmla="*/ 4737 h 4858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4884414" h="4858772">
              <a:moveTo>
                <a:pt x="639778" y="2912647"/>
              </a:moveTo>
              <a:lnTo>
                <a:pt x="1031685" y="4714736"/>
              </a:lnTo>
              <a:lnTo>
                <a:pt x="385208" y="4858772"/>
              </a:lnTo>
              <a:lnTo>
                <a:pt x="0" y="3053299"/>
              </a:lnTo>
              <a:close/>
              <a:moveTo>
                <a:pt x="4607863" y="2902441"/>
              </a:moveTo>
              <a:cubicBezTo>
                <a:pt x="4668385" y="2903746"/>
                <a:pt x="4734018" y="2917543"/>
                <a:pt x="4789111" y="2958353"/>
              </a:cubicBezTo>
              <a:cubicBezTo>
                <a:pt x="4984268" y="3102893"/>
                <a:pt x="4811396" y="3250422"/>
                <a:pt x="4811396" y="3250422"/>
              </a:cubicBezTo>
              <a:cubicBezTo>
                <a:pt x="4811396" y="3250422"/>
                <a:pt x="3126199" y="4484683"/>
                <a:pt x="2814330" y="4524139"/>
              </a:cubicBezTo>
              <a:cubicBezTo>
                <a:pt x="2436006" y="4571983"/>
                <a:pt x="1681870" y="4399758"/>
                <a:pt x="1445303" y="4391479"/>
              </a:cubicBezTo>
              <a:cubicBezTo>
                <a:pt x="1331655" y="4387519"/>
                <a:pt x="1161080" y="4453075"/>
                <a:pt x="1161080" y="4453075"/>
              </a:cubicBezTo>
              <a:lnTo>
                <a:pt x="895802" y="3202470"/>
              </a:lnTo>
              <a:cubicBezTo>
                <a:pt x="895802" y="3202470"/>
                <a:pt x="1206936" y="3031326"/>
                <a:pt x="1492676" y="3046158"/>
              </a:cubicBezTo>
              <a:cubicBezTo>
                <a:pt x="1861078" y="3065273"/>
                <a:pt x="2261046" y="3451698"/>
                <a:pt x="2495226" y="3450762"/>
              </a:cubicBezTo>
              <a:cubicBezTo>
                <a:pt x="2653086" y="3450150"/>
                <a:pt x="3321174" y="3055626"/>
                <a:pt x="3321174" y="3055626"/>
              </a:cubicBezTo>
              <a:cubicBezTo>
                <a:pt x="3321174" y="3055626"/>
                <a:pt x="3595819" y="2954430"/>
                <a:pt x="3742807" y="3103002"/>
              </a:cubicBezTo>
              <a:cubicBezTo>
                <a:pt x="3947863" y="3310290"/>
                <a:pt x="3723259" y="3443274"/>
                <a:pt x="3723259" y="3443274"/>
              </a:cubicBezTo>
              <a:cubicBezTo>
                <a:pt x="3723259" y="3443274"/>
                <a:pt x="2958654" y="3989718"/>
                <a:pt x="2513442" y="4087494"/>
              </a:cubicBezTo>
              <a:cubicBezTo>
                <a:pt x="2233902" y="4148910"/>
                <a:pt x="1386497" y="3877686"/>
                <a:pt x="1386497" y="3877686"/>
              </a:cubicBezTo>
              <a:lnTo>
                <a:pt x="1345824" y="4040946"/>
              </a:lnTo>
              <a:cubicBezTo>
                <a:pt x="1345824" y="4040946"/>
                <a:pt x="2201574" y="4299750"/>
                <a:pt x="2583822" y="4264146"/>
              </a:cubicBezTo>
              <a:cubicBezTo>
                <a:pt x="2873478" y="4237218"/>
                <a:pt x="3918055" y="3524598"/>
                <a:pt x="3918055" y="3524598"/>
              </a:cubicBezTo>
              <a:cubicBezTo>
                <a:pt x="3918055" y="3524598"/>
                <a:pt x="3992143" y="3470274"/>
                <a:pt x="4020079" y="3359394"/>
              </a:cubicBezTo>
              <a:cubicBezTo>
                <a:pt x="4045927" y="3256794"/>
                <a:pt x="3984367" y="3155094"/>
                <a:pt x="3984367" y="3155094"/>
              </a:cubicBezTo>
              <a:lnTo>
                <a:pt x="4420327" y="2932794"/>
              </a:lnTo>
              <a:cubicBezTo>
                <a:pt x="4420327" y="2932794"/>
                <a:pt x="4506995" y="2900267"/>
                <a:pt x="4607863" y="2902441"/>
              </a:cubicBezTo>
              <a:close/>
              <a:moveTo>
                <a:pt x="1433727" y="2168924"/>
              </a:moveTo>
              <a:lnTo>
                <a:pt x="1849081" y="2168924"/>
              </a:lnTo>
              <a:lnTo>
                <a:pt x="1849081" y="2845548"/>
              </a:lnTo>
              <a:lnTo>
                <a:pt x="1433727" y="2845548"/>
              </a:lnTo>
              <a:close/>
              <a:moveTo>
                <a:pt x="2941179" y="2004757"/>
              </a:moveTo>
              <a:lnTo>
                <a:pt x="3359881" y="2004757"/>
              </a:lnTo>
              <a:lnTo>
                <a:pt x="3359881" y="2842165"/>
              </a:lnTo>
              <a:lnTo>
                <a:pt x="2941179" y="2842165"/>
              </a:lnTo>
              <a:close/>
              <a:moveTo>
                <a:pt x="2187461" y="1666453"/>
              </a:moveTo>
              <a:lnTo>
                <a:pt x="2609514" y="1666453"/>
              </a:lnTo>
              <a:lnTo>
                <a:pt x="2609514" y="2858921"/>
              </a:lnTo>
              <a:lnTo>
                <a:pt x="2187461" y="2858921"/>
              </a:lnTo>
              <a:close/>
              <a:moveTo>
                <a:pt x="3691550" y="1488894"/>
              </a:moveTo>
              <a:lnTo>
                <a:pt x="4110252" y="1488894"/>
              </a:lnTo>
              <a:lnTo>
                <a:pt x="4110252" y="2852193"/>
              </a:lnTo>
              <a:lnTo>
                <a:pt x="3691550" y="2852193"/>
              </a:lnTo>
              <a:close/>
              <a:moveTo>
                <a:pt x="4884414" y="0"/>
              </a:moveTo>
              <a:lnTo>
                <a:pt x="4879661" y="497394"/>
              </a:lnTo>
              <a:lnTo>
                <a:pt x="4718597" y="497394"/>
              </a:lnTo>
              <a:lnTo>
                <a:pt x="4713882" y="274752"/>
              </a:lnTo>
              <a:lnTo>
                <a:pt x="3775937" y="1198498"/>
              </a:lnTo>
              <a:lnTo>
                <a:pt x="3041680" y="454759"/>
              </a:lnTo>
              <a:lnTo>
                <a:pt x="2027937" y="1430590"/>
              </a:lnTo>
              <a:lnTo>
                <a:pt x="1426330" y="876370"/>
              </a:lnTo>
              <a:lnTo>
                <a:pt x="327325" y="1984846"/>
              </a:lnTo>
              <a:lnTo>
                <a:pt x="194686" y="1871158"/>
              </a:lnTo>
              <a:lnTo>
                <a:pt x="1416855" y="644242"/>
              </a:lnTo>
              <a:lnTo>
                <a:pt x="2027937" y="1203214"/>
              </a:lnTo>
              <a:lnTo>
                <a:pt x="3022744" y="222642"/>
              </a:lnTo>
              <a:lnTo>
                <a:pt x="3799624" y="961618"/>
              </a:lnTo>
              <a:lnTo>
                <a:pt x="4604909" y="161060"/>
              </a:lnTo>
              <a:lnTo>
                <a:pt x="4377533" y="151585"/>
              </a:lnTo>
              <a:lnTo>
                <a:pt x="4372781" y="4737"/>
              </a:lnTo>
              <a:close/>
            </a:path>
          </a:pathLst>
        </a:custGeom>
        <a:solidFill>
          <a:sysClr val="window" lastClr="FFFFFF"/>
        </a:solidFill>
        <a:ln w="17998"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299103</xdr:colOff>
      <xdr:row>25</xdr:row>
      <xdr:rowOff>62522</xdr:rowOff>
    </xdr:from>
    <xdr:to>
      <xdr:col>0</xdr:col>
      <xdr:colOff>497103</xdr:colOff>
      <xdr:row>26</xdr:row>
      <xdr:rowOff>134033</xdr:rowOff>
    </xdr:to>
    <xdr:sp macro="" textlink="">
      <xdr:nvSpPr>
        <xdr:cNvPr id="31" name="Freeform: Shape 30">
          <a:extLst>
            <a:ext uri="{FF2B5EF4-FFF2-40B4-BE49-F238E27FC236}">
              <a16:creationId xmlns:a16="http://schemas.microsoft.com/office/drawing/2014/main" id="{00000000-0008-0000-0200-00001F000000}"/>
            </a:ext>
          </a:extLst>
        </xdr:cNvPr>
        <xdr:cNvSpPr/>
      </xdr:nvSpPr>
      <xdr:spPr>
        <a:xfrm>
          <a:off x="299103" y="5142522"/>
          <a:ext cx="198000" cy="274711"/>
        </a:xfrm>
        <a:custGeom>
          <a:avLst/>
          <a:gdLst>
            <a:gd name="connsiteX0" fmla="*/ 1055978 w 2078051"/>
            <a:gd name="connsiteY0" fmla="*/ 1929003 h 2870971"/>
            <a:gd name="connsiteX1" fmla="*/ 1107799 w 2078051"/>
            <a:gd name="connsiteY1" fmla="*/ 1959131 h 2870971"/>
            <a:gd name="connsiteX2" fmla="*/ 1123868 w 2078051"/>
            <a:gd name="connsiteY2" fmla="*/ 2005327 h 2870971"/>
            <a:gd name="connsiteX3" fmla="*/ 1104987 w 2078051"/>
            <a:gd name="connsiteY3" fmla="*/ 2057955 h 2870971"/>
            <a:gd name="connsiteX4" fmla="*/ 1055978 w 2078051"/>
            <a:gd name="connsiteY4" fmla="*/ 2085674 h 2870971"/>
            <a:gd name="connsiteX5" fmla="*/ 997728 w 2078051"/>
            <a:gd name="connsiteY5" fmla="*/ 1658243 h 2870971"/>
            <a:gd name="connsiteX6" fmla="*/ 997728 w 2078051"/>
            <a:gd name="connsiteY6" fmla="*/ 1797238 h 2870971"/>
            <a:gd name="connsiteX7" fmla="*/ 958762 w 2078051"/>
            <a:gd name="connsiteY7" fmla="*/ 1767911 h 2870971"/>
            <a:gd name="connsiteX8" fmla="*/ 945906 w 2078051"/>
            <a:gd name="connsiteY8" fmla="*/ 1728143 h 2870971"/>
            <a:gd name="connsiteX9" fmla="*/ 959966 w 2078051"/>
            <a:gd name="connsiteY9" fmla="*/ 1685558 h 2870971"/>
            <a:gd name="connsiteX10" fmla="*/ 997728 w 2078051"/>
            <a:gd name="connsiteY10" fmla="*/ 1658243 h 2870971"/>
            <a:gd name="connsiteX11" fmla="*/ 997728 w 2078051"/>
            <a:gd name="connsiteY11" fmla="*/ 1530898 h 2870971"/>
            <a:gd name="connsiteX12" fmla="*/ 997728 w 2078051"/>
            <a:gd name="connsiteY12" fmla="*/ 1570667 h 2870971"/>
            <a:gd name="connsiteX13" fmla="*/ 886854 w 2078051"/>
            <a:gd name="connsiteY13" fmla="*/ 1622487 h 2870971"/>
            <a:gd name="connsiteX14" fmla="*/ 845479 w 2078051"/>
            <a:gd name="connsiteY14" fmla="*/ 1732962 h 2870971"/>
            <a:gd name="connsiteX15" fmla="*/ 882035 w 2078051"/>
            <a:gd name="connsiteY15" fmla="*/ 1843836 h 2870971"/>
            <a:gd name="connsiteX16" fmla="*/ 997728 w 2078051"/>
            <a:gd name="connsiteY16" fmla="*/ 1911726 h 2870971"/>
            <a:gd name="connsiteX17" fmla="*/ 997728 w 2078051"/>
            <a:gd name="connsiteY17" fmla="*/ 2080048 h 2870971"/>
            <a:gd name="connsiteX18" fmla="*/ 958359 w 2078051"/>
            <a:gd name="connsiteY18" fmla="*/ 2046305 h 2870971"/>
            <a:gd name="connsiteX19" fmla="*/ 934255 w 2078051"/>
            <a:gd name="connsiteY19" fmla="*/ 1990869 h 2870971"/>
            <a:gd name="connsiteX20" fmla="*/ 829406 w 2078051"/>
            <a:gd name="connsiteY20" fmla="*/ 2002116 h 2870971"/>
            <a:gd name="connsiteX21" fmla="*/ 884843 w 2078051"/>
            <a:gd name="connsiteY21" fmla="*/ 2124639 h 2870971"/>
            <a:gd name="connsiteX22" fmla="*/ 997728 w 2078051"/>
            <a:gd name="connsiteY22" fmla="*/ 2176462 h 2870971"/>
            <a:gd name="connsiteX23" fmla="*/ 997728 w 2078051"/>
            <a:gd name="connsiteY23" fmla="*/ 2249574 h 2870971"/>
            <a:gd name="connsiteX24" fmla="*/ 1055978 w 2078051"/>
            <a:gd name="connsiteY24" fmla="*/ 2249574 h 2870971"/>
            <a:gd name="connsiteX25" fmla="*/ 1055978 w 2078051"/>
            <a:gd name="connsiteY25" fmla="*/ 2174451 h 2870971"/>
            <a:gd name="connsiteX26" fmla="*/ 1178099 w 2078051"/>
            <a:gd name="connsiteY26" fmla="*/ 2113392 h 2870971"/>
            <a:gd name="connsiteX27" fmla="*/ 1222289 w 2078051"/>
            <a:gd name="connsiteY27" fmla="*/ 1990869 h 2870971"/>
            <a:gd name="connsiteX28" fmla="*/ 1187340 w 2078051"/>
            <a:gd name="connsiteY28" fmla="*/ 1884411 h 2870971"/>
            <a:gd name="connsiteX29" fmla="*/ 1055978 w 2078051"/>
            <a:gd name="connsiteY29" fmla="*/ 1816521 h 2870971"/>
            <a:gd name="connsiteX30" fmla="*/ 1055978 w 2078051"/>
            <a:gd name="connsiteY30" fmla="*/ 1659447 h 2870971"/>
            <a:gd name="connsiteX31" fmla="*/ 1104185 w 2078051"/>
            <a:gd name="connsiteY31" fmla="*/ 1723721 h 2870971"/>
            <a:gd name="connsiteX32" fmla="*/ 1205818 w 2078051"/>
            <a:gd name="connsiteY32" fmla="*/ 1710467 h 2870971"/>
            <a:gd name="connsiteX33" fmla="*/ 1157614 w 2078051"/>
            <a:gd name="connsiteY33" fmla="*/ 1614457 h 2870971"/>
            <a:gd name="connsiteX34" fmla="*/ 1055978 w 2078051"/>
            <a:gd name="connsiteY34" fmla="*/ 1570667 h 2870971"/>
            <a:gd name="connsiteX35" fmla="*/ 1055978 w 2078051"/>
            <a:gd name="connsiteY35" fmla="*/ 1530898 h 2870971"/>
            <a:gd name="connsiteX36" fmla="*/ 1033100 w 2078051"/>
            <a:gd name="connsiteY36" fmla="*/ 1329168 h 2870971"/>
            <a:gd name="connsiteX37" fmla="*/ 1572115 w 2078051"/>
            <a:gd name="connsiteY37" fmla="*/ 1868183 h 2870971"/>
            <a:gd name="connsiteX38" fmla="*/ 1033100 w 2078051"/>
            <a:gd name="connsiteY38" fmla="*/ 2407198 h 2870971"/>
            <a:gd name="connsiteX39" fmla="*/ 494085 w 2078051"/>
            <a:gd name="connsiteY39" fmla="*/ 1868183 h 2870971"/>
            <a:gd name="connsiteX40" fmla="*/ 1033100 w 2078051"/>
            <a:gd name="connsiteY40" fmla="*/ 1329168 h 2870971"/>
            <a:gd name="connsiteX41" fmla="*/ 1033100 w 2078051"/>
            <a:gd name="connsiteY41" fmla="*/ 1223366 h 2870971"/>
            <a:gd name="connsiteX42" fmla="*/ 388283 w 2078051"/>
            <a:gd name="connsiteY42" fmla="*/ 1868183 h 2870971"/>
            <a:gd name="connsiteX43" fmla="*/ 1033100 w 2078051"/>
            <a:gd name="connsiteY43" fmla="*/ 2513000 h 2870971"/>
            <a:gd name="connsiteX44" fmla="*/ 1677917 w 2078051"/>
            <a:gd name="connsiteY44" fmla="*/ 1868183 h 2870971"/>
            <a:gd name="connsiteX45" fmla="*/ 1033100 w 2078051"/>
            <a:gd name="connsiteY45" fmla="*/ 1223366 h 2870971"/>
            <a:gd name="connsiteX46" fmla="*/ 983183 w 2078051"/>
            <a:gd name="connsiteY46" fmla="*/ 335217 h 2870971"/>
            <a:gd name="connsiteX47" fmla="*/ 758164 w 2078051"/>
            <a:gd name="connsiteY47" fmla="*/ 343982 h 2870971"/>
            <a:gd name="connsiteX48" fmla="*/ 488284 w 2078051"/>
            <a:gd name="connsiteY48" fmla="*/ 983732 h 2870971"/>
            <a:gd name="connsiteX49" fmla="*/ 488749 w 2078051"/>
            <a:gd name="connsiteY49" fmla="*/ 985270 h 2870971"/>
            <a:gd name="connsiteX50" fmla="*/ 642599 w 2078051"/>
            <a:gd name="connsiteY50" fmla="*/ 899738 h 2870971"/>
            <a:gd name="connsiteX51" fmla="*/ 1558297 w 2078051"/>
            <a:gd name="connsiteY51" fmla="*/ 983595 h 2870971"/>
            <a:gd name="connsiteX52" fmla="*/ 1599794 w 2078051"/>
            <a:gd name="connsiteY52" fmla="*/ 1014524 h 2870971"/>
            <a:gd name="connsiteX53" fmla="*/ 1602875 w 2078051"/>
            <a:gd name="connsiteY53" fmla="*/ 999811 h 2870971"/>
            <a:gd name="connsiteX54" fmla="*/ 1383012 w 2078051"/>
            <a:gd name="connsiteY54" fmla="*/ 357449 h 2870971"/>
            <a:gd name="connsiteX55" fmla="*/ 983183 w 2078051"/>
            <a:gd name="connsiteY55" fmla="*/ 335217 h 2870971"/>
            <a:gd name="connsiteX56" fmla="*/ 1024198 w 2078051"/>
            <a:gd name="connsiteY56" fmla="*/ 0 h 2870971"/>
            <a:gd name="connsiteX57" fmla="*/ 1463633 w 2078051"/>
            <a:gd name="connsiteY57" fmla="*/ 41646 h 2870971"/>
            <a:gd name="connsiteX58" fmla="*/ 1850752 w 2078051"/>
            <a:gd name="connsiteY58" fmla="*/ 1233583 h 2870971"/>
            <a:gd name="connsiteX59" fmla="*/ 1848614 w 2078051"/>
            <a:gd name="connsiteY59" fmla="*/ 1239078 h 2870971"/>
            <a:gd name="connsiteX60" fmla="*/ 1936700 w 2078051"/>
            <a:gd name="connsiteY60" fmla="*/ 1360517 h 2870971"/>
            <a:gd name="connsiteX61" fmla="*/ 1430019 w 2078051"/>
            <a:gd name="connsiteY61" fmla="*/ 2823279 h 2870971"/>
            <a:gd name="connsiteX62" fmla="*/ 583477 w 2078051"/>
            <a:gd name="connsiteY62" fmla="*/ 2796381 h 2870971"/>
            <a:gd name="connsiteX63" fmla="*/ 131162 w 2078051"/>
            <a:gd name="connsiteY63" fmla="*/ 1394268 h 2870971"/>
            <a:gd name="connsiteX64" fmla="*/ 216742 w 2078051"/>
            <a:gd name="connsiteY64" fmla="*/ 1260356 h 2870971"/>
            <a:gd name="connsiteX65" fmla="*/ 216557 w 2078051"/>
            <a:gd name="connsiteY65" fmla="*/ 1259844 h 2870971"/>
            <a:gd name="connsiteX66" fmla="*/ 637229 w 2078051"/>
            <a:gd name="connsiteY66" fmla="*/ 28215 h 2870971"/>
            <a:gd name="connsiteX67" fmla="*/ 1024198 w 2078051"/>
            <a:gd name="connsiteY67" fmla="*/ 0 h 287097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Lst>
          <a:rect l="l" t="t" r="r" b="b"/>
          <a:pathLst>
            <a:path w="2078051" h="2870971">
              <a:moveTo>
                <a:pt x="1055978" y="1929003"/>
              </a:moveTo>
              <a:cubicBezTo>
                <a:pt x="1080081" y="1935967"/>
                <a:pt x="1097353" y="1946008"/>
                <a:pt x="1107799" y="1959131"/>
              </a:cubicBezTo>
              <a:cubicBezTo>
                <a:pt x="1118513" y="1971987"/>
                <a:pt x="1123868" y="1987384"/>
                <a:pt x="1123868" y="2005327"/>
              </a:cubicBezTo>
              <a:cubicBezTo>
                <a:pt x="1123868" y="2025413"/>
                <a:pt x="1117575" y="2042957"/>
                <a:pt x="1104987" y="2057955"/>
              </a:cubicBezTo>
              <a:cubicBezTo>
                <a:pt x="1092399" y="2072682"/>
                <a:pt x="1076063" y="2081922"/>
                <a:pt x="1055978" y="2085674"/>
              </a:cubicBezTo>
              <a:close/>
              <a:moveTo>
                <a:pt x="997728" y="1658243"/>
              </a:moveTo>
              <a:lnTo>
                <a:pt x="997728" y="1797238"/>
              </a:lnTo>
              <a:cubicBezTo>
                <a:pt x="980320" y="1789741"/>
                <a:pt x="967333" y="1779966"/>
                <a:pt x="958762" y="1767911"/>
              </a:cubicBezTo>
              <a:cubicBezTo>
                <a:pt x="950192" y="1755594"/>
                <a:pt x="945906" y="1742336"/>
                <a:pt x="945906" y="1728143"/>
              </a:cubicBezTo>
              <a:cubicBezTo>
                <a:pt x="945906" y="1712610"/>
                <a:pt x="950595" y="1698414"/>
                <a:pt x="959966" y="1685558"/>
              </a:cubicBezTo>
              <a:cubicBezTo>
                <a:pt x="969340" y="1672701"/>
                <a:pt x="981927" y="1663597"/>
                <a:pt x="997728" y="1658243"/>
              </a:cubicBezTo>
              <a:close/>
              <a:moveTo>
                <a:pt x="997728" y="1530898"/>
              </a:moveTo>
              <a:lnTo>
                <a:pt x="997728" y="1570667"/>
              </a:lnTo>
              <a:cubicBezTo>
                <a:pt x="951664" y="1575219"/>
                <a:pt x="914705" y="1592496"/>
                <a:pt x="886854" y="1622487"/>
              </a:cubicBezTo>
              <a:cubicBezTo>
                <a:pt x="859268" y="1652218"/>
                <a:pt x="845479" y="1689041"/>
                <a:pt x="845479" y="1732962"/>
              </a:cubicBezTo>
              <a:cubicBezTo>
                <a:pt x="845479" y="1776346"/>
                <a:pt x="857664" y="1813305"/>
                <a:pt x="882035" y="1843836"/>
              </a:cubicBezTo>
              <a:cubicBezTo>
                <a:pt x="906673" y="1874101"/>
                <a:pt x="945236" y="1896733"/>
                <a:pt x="997728" y="1911726"/>
              </a:cubicBezTo>
              <a:lnTo>
                <a:pt x="997728" y="2080048"/>
              </a:lnTo>
              <a:cubicBezTo>
                <a:pt x="983264" y="2073085"/>
                <a:pt x="970145" y="2061838"/>
                <a:pt x="958359" y="2046305"/>
              </a:cubicBezTo>
              <a:cubicBezTo>
                <a:pt x="946577" y="2030771"/>
                <a:pt x="938541" y="2012290"/>
                <a:pt x="934255" y="1990869"/>
              </a:cubicBezTo>
              <a:lnTo>
                <a:pt x="829406" y="2002116"/>
              </a:lnTo>
              <a:cubicBezTo>
                <a:pt x="837442" y="2054876"/>
                <a:pt x="855919" y="2095718"/>
                <a:pt x="884843" y="2124639"/>
              </a:cubicBezTo>
              <a:cubicBezTo>
                <a:pt x="913767" y="2153563"/>
                <a:pt x="951397" y="2170835"/>
                <a:pt x="997728" y="2176462"/>
              </a:cubicBezTo>
              <a:lnTo>
                <a:pt x="997728" y="2249574"/>
              </a:lnTo>
              <a:lnTo>
                <a:pt x="1055978" y="2249574"/>
              </a:lnTo>
              <a:lnTo>
                <a:pt x="1055978" y="2174451"/>
              </a:lnTo>
              <a:cubicBezTo>
                <a:pt x="1108203" y="2166954"/>
                <a:pt x="1148908" y="2146601"/>
                <a:pt x="1178099" y="2113392"/>
              </a:cubicBezTo>
              <a:cubicBezTo>
                <a:pt x="1207561" y="2080183"/>
                <a:pt x="1222289" y="2039342"/>
                <a:pt x="1222289" y="1990869"/>
              </a:cubicBezTo>
              <a:cubicBezTo>
                <a:pt x="1222289" y="1947480"/>
                <a:pt x="1210642" y="1911993"/>
                <a:pt x="1187340" y="1884411"/>
              </a:cubicBezTo>
              <a:cubicBezTo>
                <a:pt x="1164039" y="1856556"/>
                <a:pt x="1120252" y="1833930"/>
                <a:pt x="1055978" y="1816521"/>
              </a:cubicBezTo>
              <a:lnTo>
                <a:pt x="1055978" y="1659447"/>
              </a:lnTo>
              <a:cubicBezTo>
                <a:pt x="1081957" y="1670696"/>
                <a:pt x="1098025" y="1692122"/>
                <a:pt x="1104185" y="1723721"/>
              </a:cubicBezTo>
              <a:lnTo>
                <a:pt x="1205818" y="1710467"/>
              </a:lnTo>
              <a:cubicBezTo>
                <a:pt x="1198855" y="1670292"/>
                <a:pt x="1182788" y="1638288"/>
                <a:pt x="1157614" y="1614457"/>
              </a:cubicBezTo>
              <a:cubicBezTo>
                <a:pt x="1132438" y="1590353"/>
                <a:pt x="1098558" y="1575758"/>
                <a:pt x="1055978" y="1570667"/>
              </a:cubicBezTo>
              <a:lnTo>
                <a:pt x="1055978" y="1530898"/>
              </a:lnTo>
              <a:close/>
              <a:moveTo>
                <a:pt x="1033100" y="1329168"/>
              </a:moveTo>
              <a:cubicBezTo>
                <a:pt x="1330790" y="1329168"/>
                <a:pt x="1572115" y="1570493"/>
                <a:pt x="1572115" y="1868183"/>
              </a:cubicBezTo>
              <a:cubicBezTo>
                <a:pt x="1572115" y="2165873"/>
                <a:pt x="1330790" y="2407198"/>
                <a:pt x="1033100" y="2407198"/>
              </a:cubicBezTo>
              <a:cubicBezTo>
                <a:pt x="735410" y="2407198"/>
                <a:pt x="494085" y="2165873"/>
                <a:pt x="494085" y="1868183"/>
              </a:cubicBezTo>
              <a:cubicBezTo>
                <a:pt x="494085" y="1570493"/>
                <a:pt x="735410" y="1329168"/>
                <a:pt x="1033100" y="1329168"/>
              </a:cubicBezTo>
              <a:close/>
              <a:moveTo>
                <a:pt x="1033100" y="1223366"/>
              </a:moveTo>
              <a:cubicBezTo>
                <a:pt x="676978" y="1223366"/>
                <a:pt x="388283" y="1512061"/>
                <a:pt x="388283" y="1868183"/>
              </a:cubicBezTo>
              <a:cubicBezTo>
                <a:pt x="388283" y="2224306"/>
                <a:pt x="676978" y="2513000"/>
                <a:pt x="1033100" y="2513000"/>
              </a:cubicBezTo>
              <a:cubicBezTo>
                <a:pt x="1389223" y="2513000"/>
                <a:pt x="1677917" y="2224306"/>
                <a:pt x="1677917" y="1868183"/>
              </a:cubicBezTo>
              <a:cubicBezTo>
                <a:pt x="1677917" y="1512061"/>
                <a:pt x="1389223" y="1223366"/>
                <a:pt x="1033100" y="1223366"/>
              </a:cubicBezTo>
              <a:close/>
              <a:moveTo>
                <a:pt x="983183" y="335217"/>
              </a:moveTo>
              <a:cubicBezTo>
                <a:pt x="882977" y="335206"/>
                <a:pt x="793965" y="338025"/>
                <a:pt x="758164" y="343982"/>
              </a:cubicBezTo>
              <a:cubicBezTo>
                <a:pt x="350402" y="411872"/>
                <a:pt x="455610" y="870209"/>
                <a:pt x="488284" y="983732"/>
              </a:cubicBezTo>
              <a:lnTo>
                <a:pt x="488749" y="985270"/>
              </a:lnTo>
              <a:lnTo>
                <a:pt x="642599" y="899738"/>
              </a:lnTo>
              <a:cubicBezTo>
                <a:pt x="932499" y="777096"/>
                <a:pt x="1276563" y="811395"/>
                <a:pt x="1558297" y="983595"/>
              </a:cubicBezTo>
              <a:lnTo>
                <a:pt x="1599794" y="1014524"/>
              </a:lnTo>
              <a:lnTo>
                <a:pt x="1602875" y="999811"/>
              </a:lnTo>
              <a:cubicBezTo>
                <a:pt x="1622986" y="897761"/>
                <a:pt x="1684582" y="481792"/>
                <a:pt x="1383012" y="357449"/>
              </a:cubicBezTo>
              <a:cubicBezTo>
                <a:pt x="1348307" y="343121"/>
                <a:pt x="1150195" y="335237"/>
                <a:pt x="983183" y="335217"/>
              </a:cubicBezTo>
              <a:close/>
              <a:moveTo>
                <a:pt x="1024198" y="0"/>
              </a:moveTo>
              <a:cubicBezTo>
                <a:pt x="1194350" y="-9"/>
                <a:pt x="1373246" y="11626"/>
                <a:pt x="1463633" y="41646"/>
              </a:cubicBezTo>
              <a:cubicBezTo>
                <a:pt x="2185740" y="281592"/>
                <a:pt x="1890480" y="1128639"/>
                <a:pt x="1850752" y="1233583"/>
              </a:cubicBezTo>
              <a:lnTo>
                <a:pt x="1848614" y="1239078"/>
              </a:lnTo>
              <a:lnTo>
                <a:pt x="1936700" y="1360517"/>
              </a:lnTo>
              <a:cubicBezTo>
                <a:pt x="2317913" y="1979920"/>
                <a:pt x="1852931" y="2700800"/>
                <a:pt x="1430019" y="2823279"/>
              </a:cubicBezTo>
              <a:cubicBezTo>
                <a:pt x="1158841" y="2901805"/>
                <a:pt x="730150" y="2876713"/>
                <a:pt x="583477" y="2796381"/>
              </a:cubicBezTo>
              <a:cubicBezTo>
                <a:pt x="191527" y="2581783"/>
                <a:pt x="-215596" y="2019195"/>
                <a:pt x="131162" y="1394268"/>
              </a:cubicBezTo>
              <a:lnTo>
                <a:pt x="216742" y="1260356"/>
              </a:lnTo>
              <a:lnTo>
                <a:pt x="216557" y="1259844"/>
              </a:lnTo>
              <a:cubicBezTo>
                <a:pt x="177285" y="1148690"/>
                <a:pt x="-113420" y="252456"/>
                <a:pt x="637229" y="28215"/>
              </a:cubicBezTo>
              <a:cubicBezTo>
                <a:pt x="692639" y="11662"/>
                <a:pt x="854047" y="9"/>
                <a:pt x="1024198" y="0"/>
              </a:cubicBezTo>
              <a:close/>
            </a:path>
          </a:pathLst>
        </a:custGeom>
        <a:solidFill>
          <a:sysClr val="window" lastClr="FFFFFF"/>
        </a:soli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276340</xdr:colOff>
      <xdr:row>27</xdr:row>
      <xdr:rowOff>178099</xdr:rowOff>
    </xdr:from>
    <xdr:to>
      <xdr:col>0</xdr:col>
      <xdr:colOff>528340</xdr:colOff>
      <xdr:row>29</xdr:row>
      <xdr:rowOff>35054</xdr:rowOff>
    </xdr:to>
    <xdr:sp macro="" textlink="">
      <xdr:nvSpPr>
        <xdr:cNvPr id="32" name="Freeform: Shape 31">
          <a:extLst>
            <a:ext uri="{FF2B5EF4-FFF2-40B4-BE49-F238E27FC236}">
              <a16:creationId xmlns:a16="http://schemas.microsoft.com/office/drawing/2014/main" id="{00000000-0008-0000-0200-000020000000}"/>
            </a:ext>
          </a:extLst>
        </xdr:cNvPr>
        <xdr:cNvSpPr/>
      </xdr:nvSpPr>
      <xdr:spPr>
        <a:xfrm>
          <a:off x="276340" y="5664499"/>
          <a:ext cx="252000" cy="263355"/>
        </a:xfrm>
        <a:custGeom>
          <a:avLst/>
          <a:gdLst>
            <a:gd name="connsiteX0" fmla="*/ 669226 w 3163078"/>
            <a:gd name="connsiteY0" fmla="*/ 1658213 h 3163078"/>
            <a:gd name="connsiteX1" fmla="*/ 244013 w 3163078"/>
            <a:gd name="connsiteY1" fmla="*/ 1658214 h 3163078"/>
            <a:gd name="connsiteX2" fmla="*/ 247066 w 3163078"/>
            <a:gd name="connsiteY2" fmla="*/ 1718689 h 3163078"/>
            <a:gd name="connsiteX3" fmla="*/ 1444389 w 3163078"/>
            <a:gd name="connsiteY3" fmla="*/ 2916012 h 3163078"/>
            <a:gd name="connsiteX4" fmla="*/ 1499820 w 3163078"/>
            <a:gd name="connsiteY4" fmla="*/ 2918811 h 3163078"/>
            <a:gd name="connsiteX5" fmla="*/ 1495533 w 3163078"/>
            <a:gd name="connsiteY5" fmla="*/ 2890456 h 3163078"/>
            <a:gd name="connsiteX6" fmla="*/ 1495533 w 3163078"/>
            <a:gd name="connsiteY6" fmla="*/ 2467055 h 3163078"/>
            <a:gd name="connsiteX7" fmla="*/ 1479365 w 3163078"/>
            <a:gd name="connsiteY7" fmla="*/ 2466239 h 3163078"/>
            <a:gd name="connsiteX8" fmla="*/ 682606 w 3163078"/>
            <a:gd name="connsiteY8" fmla="*/ 1745881 h 3163078"/>
            <a:gd name="connsiteX9" fmla="*/ 2919066 w 3163078"/>
            <a:gd name="connsiteY9" fmla="*/ 1658213 h 3163078"/>
            <a:gd name="connsiteX10" fmla="*/ 2475189 w 3163078"/>
            <a:gd name="connsiteY10" fmla="*/ 1658214 h 3163078"/>
            <a:gd name="connsiteX11" fmla="*/ 2461810 w 3163078"/>
            <a:gd name="connsiteY11" fmla="*/ 1745881 h 3163078"/>
            <a:gd name="connsiteX12" fmla="*/ 1755212 w 3163078"/>
            <a:gd name="connsiteY12" fmla="*/ 2452479 h 3163078"/>
            <a:gd name="connsiteX13" fmla="*/ 1704868 w 3163078"/>
            <a:gd name="connsiteY13" fmla="*/ 2460162 h 3163078"/>
            <a:gd name="connsiteX14" fmla="*/ 1704868 w 3163078"/>
            <a:gd name="connsiteY14" fmla="*/ 2890456 h 3163078"/>
            <a:gd name="connsiteX15" fmla="*/ 1700869 w 3163078"/>
            <a:gd name="connsiteY15" fmla="*/ 2916912 h 3163078"/>
            <a:gd name="connsiteX16" fmla="*/ 1718689 w 3163078"/>
            <a:gd name="connsiteY16" fmla="*/ 2916012 h 3163078"/>
            <a:gd name="connsiteX17" fmla="*/ 2916012 w 3163078"/>
            <a:gd name="connsiteY17" fmla="*/ 1718689 h 3163078"/>
            <a:gd name="connsiteX18" fmla="*/ 1665289 w 3163078"/>
            <a:gd name="connsiteY18" fmla="*/ 1628851 h 3163078"/>
            <a:gd name="connsiteX19" fmla="*/ 1665289 w 3163078"/>
            <a:gd name="connsiteY19" fmla="*/ 1751958 h 3163078"/>
            <a:gd name="connsiteX20" fmla="*/ 1741278 w 3163078"/>
            <a:gd name="connsiteY20" fmla="*/ 1733090 h 3163078"/>
            <a:gd name="connsiteX21" fmla="*/ 1772883 w 3163078"/>
            <a:gd name="connsiteY21" fmla="*/ 1689910 h 3163078"/>
            <a:gd name="connsiteX22" fmla="*/ 1736568 w 3163078"/>
            <a:gd name="connsiteY22" fmla="*/ 1647194 h 3163078"/>
            <a:gd name="connsiteX23" fmla="*/ 1665289 w 3163078"/>
            <a:gd name="connsiteY23" fmla="*/ 1628851 h 3163078"/>
            <a:gd name="connsiteX24" fmla="*/ 1561731 w 3163078"/>
            <a:gd name="connsiteY24" fmla="*/ 1346387 h 3163078"/>
            <a:gd name="connsiteX25" fmla="*/ 1481712 w 3163078"/>
            <a:gd name="connsiteY25" fmla="*/ 1363245 h 3163078"/>
            <a:gd name="connsiteX26" fmla="*/ 1446742 w 3163078"/>
            <a:gd name="connsiteY26" fmla="*/ 1402960 h 3163078"/>
            <a:gd name="connsiteX27" fmla="*/ 1469607 w 3163078"/>
            <a:gd name="connsiteY27" fmla="*/ 1439212 h 3163078"/>
            <a:gd name="connsiteX28" fmla="*/ 1561731 w 3163078"/>
            <a:gd name="connsiteY28" fmla="*/ 1461544 h 3163078"/>
            <a:gd name="connsiteX29" fmla="*/ 1550971 w 3163078"/>
            <a:gd name="connsiteY29" fmla="*/ 1101133 h 3163078"/>
            <a:gd name="connsiteX30" fmla="*/ 1667979 w 3163078"/>
            <a:gd name="connsiteY30" fmla="*/ 1101133 h 3163078"/>
            <a:gd name="connsiteX31" fmla="*/ 1667979 w 3163078"/>
            <a:gd name="connsiteY31" fmla="*/ 1215826 h 3163078"/>
            <a:gd name="connsiteX32" fmla="*/ 1812557 w 3163078"/>
            <a:gd name="connsiteY32" fmla="*/ 1228724 h 3163078"/>
            <a:gd name="connsiteX33" fmla="*/ 1943685 w 3163078"/>
            <a:gd name="connsiteY33" fmla="*/ 1254026 h 3163078"/>
            <a:gd name="connsiteX34" fmla="*/ 1943685 w 3163078"/>
            <a:gd name="connsiteY34" fmla="*/ 1397021 h 3163078"/>
            <a:gd name="connsiteX35" fmla="*/ 1914100 w 3163078"/>
            <a:gd name="connsiteY35" fmla="*/ 1397021 h 3163078"/>
            <a:gd name="connsiteX36" fmla="*/ 1803142 w 3163078"/>
            <a:gd name="connsiteY36" fmla="*/ 1363245 h 3163078"/>
            <a:gd name="connsiteX37" fmla="*/ 1667979 w 3163078"/>
            <a:gd name="connsiteY37" fmla="*/ 1346387 h 3163078"/>
            <a:gd name="connsiteX38" fmla="*/ 1667979 w 3163078"/>
            <a:gd name="connsiteY38" fmla="*/ 1472463 h 3163078"/>
            <a:gd name="connsiteX39" fmla="*/ 1721778 w 3163078"/>
            <a:gd name="connsiteY39" fmla="*/ 1480412 h 3163078"/>
            <a:gd name="connsiteX40" fmla="*/ 1945030 w 3163078"/>
            <a:gd name="connsiteY40" fmla="*/ 1546914 h 3163078"/>
            <a:gd name="connsiteX41" fmla="*/ 2016984 w 3163078"/>
            <a:gd name="connsiteY41" fmla="*/ 1670547 h 3163078"/>
            <a:gd name="connsiteX42" fmla="*/ 1921495 w 3163078"/>
            <a:gd name="connsiteY42" fmla="*/ 1814501 h 3163078"/>
            <a:gd name="connsiteX43" fmla="*/ 1667979 w 3163078"/>
            <a:gd name="connsiteY43" fmla="*/ 1882519 h 3163078"/>
            <a:gd name="connsiteX44" fmla="*/ 1667979 w 3163078"/>
            <a:gd name="connsiteY44" fmla="*/ 2062725 h 3163078"/>
            <a:gd name="connsiteX45" fmla="*/ 1550971 w 3163078"/>
            <a:gd name="connsiteY45" fmla="*/ 2062725 h 3163078"/>
            <a:gd name="connsiteX46" fmla="*/ 1550971 w 3163078"/>
            <a:gd name="connsiteY46" fmla="*/ 1885489 h 3163078"/>
            <a:gd name="connsiteX47" fmla="*/ 1376808 w 3163078"/>
            <a:gd name="connsiteY47" fmla="*/ 1872095 h 3163078"/>
            <a:gd name="connsiteX48" fmla="*/ 1222145 w 3163078"/>
            <a:gd name="connsiteY48" fmla="*/ 1839803 h 3163078"/>
            <a:gd name="connsiteX49" fmla="*/ 1222145 w 3163078"/>
            <a:gd name="connsiteY49" fmla="*/ 1694859 h 3163078"/>
            <a:gd name="connsiteX50" fmla="*/ 1252405 w 3163078"/>
            <a:gd name="connsiteY50" fmla="*/ 1694859 h 3163078"/>
            <a:gd name="connsiteX51" fmla="*/ 1394293 w 3163078"/>
            <a:gd name="connsiteY51" fmla="*/ 1734575 h 3163078"/>
            <a:gd name="connsiteX52" fmla="*/ 1554336 w 3163078"/>
            <a:gd name="connsiteY52" fmla="*/ 1753938 h 3163078"/>
            <a:gd name="connsiteX53" fmla="*/ 1554336 w 3163078"/>
            <a:gd name="connsiteY53" fmla="*/ 1617902 h 3163078"/>
            <a:gd name="connsiteX54" fmla="*/ 1489107 w 3163078"/>
            <a:gd name="connsiteY54" fmla="*/ 1606983 h 3163078"/>
            <a:gd name="connsiteX55" fmla="*/ 1374789 w 3163078"/>
            <a:gd name="connsiteY55" fmla="*/ 1582671 h 3163078"/>
            <a:gd name="connsiteX56" fmla="*/ 1285355 w 3163078"/>
            <a:gd name="connsiteY56" fmla="*/ 1545925 h 3163078"/>
            <a:gd name="connsiteX57" fmla="*/ 1226851 w 3163078"/>
            <a:gd name="connsiteY57" fmla="*/ 1489847 h 3163078"/>
            <a:gd name="connsiteX58" fmla="*/ 1206006 w 3163078"/>
            <a:gd name="connsiteY58" fmla="*/ 1406950 h 3163078"/>
            <a:gd name="connsiteX59" fmla="*/ 1297459 w 3163078"/>
            <a:gd name="connsiteY59" fmla="*/ 1280349 h 3163078"/>
            <a:gd name="connsiteX60" fmla="*/ 1550971 w 3163078"/>
            <a:gd name="connsiteY60" fmla="*/ 1216816 h 3163078"/>
            <a:gd name="connsiteX61" fmla="*/ 1495533 w 3163078"/>
            <a:gd name="connsiteY61" fmla="*/ 796577 h 3163078"/>
            <a:gd name="connsiteX62" fmla="*/ 1493463 w 3163078"/>
            <a:gd name="connsiteY62" fmla="*/ 796681 h 3163078"/>
            <a:gd name="connsiteX63" fmla="*/ 817683 w 3163078"/>
            <a:gd name="connsiteY63" fmla="*/ 1407661 h 3163078"/>
            <a:gd name="connsiteX64" fmla="*/ 811308 w 3163078"/>
            <a:gd name="connsiteY64" fmla="*/ 1449430 h 3163078"/>
            <a:gd name="connsiteX65" fmla="*/ 838783 w 3163078"/>
            <a:gd name="connsiteY65" fmla="*/ 1453584 h 3163078"/>
            <a:gd name="connsiteX66" fmla="*/ 904101 w 3163078"/>
            <a:gd name="connsiteY66" fmla="*/ 1512804 h 3163078"/>
            <a:gd name="connsiteX67" fmla="*/ 912326 w 3163078"/>
            <a:gd name="connsiteY67" fmla="*/ 1553546 h 3163078"/>
            <a:gd name="connsiteX68" fmla="*/ 904101 w 3163078"/>
            <a:gd name="connsiteY68" fmla="*/ 1594287 h 3163078"/>
            <a:gd name="connsiteX69" fmla="*/ 838783 w 3163078"/>
            <a:gd name="connsiteY69" fmla="*/ 1653508 h 3163078"/>
            <a:gd name="connsiteX70" fmla="*/ 808524 w 3163078"/>
            <a:gd name="connsiteY70" fmla="*/ 1658082 h 3163078"/>
            <a:gd name="connsiteX71" fmla="*/ 817683 w 3163078"/>
            <a:gd name="connsiteY71" fmla="*/ 1718094 h 3163078"/>
            <a:gd name="connsiteX72" fmla="*/ 1493463 w 3163078"/>
            <a:gd name="connsiteY72" fmla="*/ 2329073 h 3163078"/>
            <a:gd name="connsiteX73" fmla="*/ 1495532 w 3163078"/>
            <a:gd name="connsiteY73" fmla="*/ 2329177 h 3163078"/>
            <a:gd name="connsiteX74" fmla="*/ 1495532 w 3163078"/>
            <a:gd name="connsiteY74" fmla="*/ 2306691 h 3163078"/>
            <a:gd name="connsiteX75" fmla="*/ 1600200 w 3163078"/>
            <a:gd name="connsiteY75" fmla="*/ 2202023 h 3163078"/>
            <a:gd name="connsiteX76" fmla="*/ 1600200 w 3163078"/>
            <a:gd name="connsiteY76" fmla="*/ 2202022 h 3163078"/>
            <a:gd name="connsiteX77" fmla="*/ 1704868 w 3163078"/>
            <a:gd name="connsiteY77" fmla="*/ 2306690 h 3163078"/>
            <a:gd name="connsiteX78" fmla="*/ 1704868 w 3163078"/>
            <a:gd name="connsiteY78" fmla="*/ 2320844 h 3163078"/>
            <a:gd name="connsiteX79" fmla="*/ 1727425 w 3163078"/>
            <a:gd name="connsiteY79" fmla="*/ 2317402 h 3163078"/>
            <a:gd name="connsiteX80" fmla="*/ 2326733 w 3163078"/>
            <a:gd name="connsiteY80" fmla="*/ 1718094 h 3163078"/>
            <a:gd name="connsiteX81" fmla="*/ 2335902 w 3163078"/>
            <a:gd name="connsiteY81" fmla="*/ 1658015 h 3163078"/>
            <a:gd name="connsiteX82" fmla="*/ 2296149 w 3163078"/>
            <a:gd name="connsiteY82" fmla="*/ 1649989 h 3163078"/>
            <a:gd name="connsiteX83" fmla="*/ 2232222 w 3163078"/>
            <a:gd name="connsiteY83" fmla="*/ 1553546 h 3163078"/>
            <a:gd name="connsiteX84" fmla="*/ 2232221 w 3163078"/>
            <a:gd name="connsiteY84" fmla="*/ 1553546 h 3163078"/>
            <a:gd name="connsiteX85" fmla="*/ 2296148 w 3163078"/>
            <a:gd name="connsiteY85" fmla="*/ 1457103 h 3163078"/>
            <a:gd name="connsiteX86" fmla="*/ 2333139 w 3163078"/>
            <a:gd name="connsiteY86" fmla="*/ 1449635 h 3163078"/>
            <a:gd name="connsiteX87" fmla="*/ 2326733 w 3163078"/>
            <a:gd name="connsiteY87" fmla="*/ 1407661 h 3163078"/>
            <a:gd name="connsiteX88" fmla="*/ 1727425 w 3163078"/>
            <a:gd name="connsiteY88" fmla="*/ 808352 h 3163078"/>
            <a:gd name="connsiteX89" fmla="*/ 1704868 w 3163078"/>
            <a:gd name="connsiteY89" fmla="*/ 804910 h 3163078"/>
            <a:gd name="connsiteX90" fmla="*/ 1704868 w 3163078"/>
            <a:gd name="connsiteY90" fmla="*/ 809732 h 3163078"/>
            <a:gd name="connsiteX91" fmla="*/ 1640942 w 3163078"/>
            <a:gd name="connsiteY91" fmla="*/ 906175 h 3163078"/>
            <a:gd name="connsiteX92" fmla="*/ 1600201 w 3163078"/>
            <a:gd name="connsiteY92" fmla="*/ 914400 h 3163078"/>
            <a:gd name="connsiteX93" fmla="*/ 1559460 w 3163078"/>
            <a:gd name="connsiteY93" fmla="*/ 906175 h 3163078"/>
            <a:gd name="connsiteX94" fmla="*/ 1495533 w 3163078"/>
            <a:gd name="connsiteY94" fmla="*/ 809732 h 3163078"/>
            <a:gd name="connsiteX95" fmla="*/ 1704868 w 3163078"/>
            <a:gd name="connsiteY95" fmla="*/ 246369 h 3163078"/>
            <a:gd name="connsiteX96" fmla="*/ 1704868 w 3163078"/>
            <a:gd name="connsiteY96" fmla="*/ 665592 h 3163078"/>
            <a:gd name="connsiteX97" fmla="*/ 1755212 w 3163078"/>
            <a:gd name="connsiteY97" fmla="*/ 673275 h 3163078"/>
            <a:gd name="connsiteX98" fmla="*/ 2461810 w 3163078"/>
            <a:gd name="connsiteY98" fmla="*/ 1379873 h 3163078"/>
            <a:gd name="connsiteX99" fmla="*/ 2472341 w 3163078"/>
            <a:gd name="connsiteY99" fmla="*/ 1448878 h 3163078"/>
            <a:gd name="connsiteX100" fmla="*/ 2916238 w 3163078"/>
            <a:gd name="connsiteY100" fmla="*/ 1448878 h 3163078"/>
            <a:gd name="connsiteX101" fmla="*/ 2916012 w 3163078"/>
            <a:gd name="connsiteY101" fmla="*/ 1444389 h 3163078"/>
            <a:gd name="connsiteX102" fmla="*/ 1718689 w 3163078"/>
            <a:gd name="connsiteY102" fmla="*/ 247066 h 3163078"/>
            <a:gd name="connsiteX103" fmla="*/ 1495532 w 3163078"/>
            <a:gd name="connsiteY103" fmla="*/ 244484 h 3163078"/>
            <a:gd name="connsiteX104" fmla="*/ 1444389 w 3163078"/>
            <a:gd name="connsiteY104" fmla="*/ 247066 h 3163078"/>
            <a:gd name="connsiteX105" fmla="*/ 247066 w 3163078"/>
            <a:gd name="connsiteY105" fmla="*/ 1444389 h 3163078"/>
            <a:gd name="connsiteX106" fmla="*/ 246840 w 3163078"/>
            <a:gd name="connsiteY106" fmla="*/ 1448878 h 3163078"/>
            <a:gd name="connsiteX107" fmla="*/ 672075 w 3163078"/>
            <a:gd name="connsiteY107" fmla="*/ 1448878 h 3163078"/>
            <a:gd name="connsiteX108" fmla="*/ 682606 w 3163078"/>
            <a:gd name="connsiteY108" fmla="*/ 1379873 h 3163078"/>
            <a:gd name="connsiteX109" fmla="*/ 1479365 w 3163078"/>
            <a:gd name="connsiteY109" fmla="*/ 659515 h 3163078"/>
            <a:gd name="connsiteX110" fmla="*/ 1495533 w 3163078"/>
            <a:gd name="connsiteY110" fmla="*/ 658699 h 3163078"/>
            <a:gd name="connsiteX111" fmla="*/ 1581539 w 3163078"/>
            <a:gd name="connsiteY111" fmla="*/ 0 h 3163078"/>
            <a:gd name="connsiteX112" fmla="*/ 3163078 w 3163078"/>
            <a:gd name="connsiteY112" fmla="*/ 1581539 h 3163078"/>
            <a:gd name="connsiteX113" fmla="*/ 1581539 w 3163078"/>
            <a:gd name="connsiteY113" fmla="*/ 3163078 h 3163078"/>
            <a:gd name="connsiteX114" fmla="*/ 0 w 3163078"/>
            <a:gd name="connsiteY114" fmla="*/ 1581539 h 3163078"/>
            <a:gd name="connsiteX115" fmla="*/ 1581539 w 3163078"/>
            <a:gd name="connsiteY115" fmla="*/ 0 h 31630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Lst>
          <a:rect l="l" t="t" r="r" b="b"/>
          <a:pathLst>
            <a:path w="3163078" h="3163078">
              <a:moveTo>
                <a:pt x="669226" y="1658213"/>
              </a:moveTo>
              <a:lnTo>
                <a:pt x="244013" y="1658214"/>
              </a:lnTo>
              <a:lnTo>
                <a:pt x="247066" y="1718689"/>
              </a:lnTo>
              <a:cubicBezTo>
                <a:pt x="311180" y="2350004"/>
                <a:pt x="813074" y="2851898"/>
                <a:pt x="1444389" y="2916012"/>
              </a:cubicBezTo>
              <a:lnTo>
                <a:pt x="1499820" y="2918811"/>
              </a:lnTo>
              <a:lnTo>
                <a:pt x="1495533" y="2890456"/>
              </a:lnTo>
              <a:lnTo>
                <a:pt x="1495533" y="2467055"/>
              </a:lnTo>
              <a:lnTo>
                <a:pt x="1479365" y="2466239"/>
              </a:lnTo>
              <a:cubicBezTo>
                <a:pt x="1082527" y="2425938"/>
                <a:pt x="761230" y="2130108"/>
                <a:pt x="682606" y="1745881"/>
              </a:cubicBezTo>
              <a:close/>
              <a:moveTo>
                <a:pt x="2919066" y="1658213"/>
              </a:moveTo>
              <a:lnTo>
                <a:pt x="2475189" y="1658214"/>
              </a:lnTo>
              <a:lnTo>
                <a:pt x="2461810" y="1745881"/>
              </a:lnTo>
              <a:cubicBezTo>
                <a:pt x="2389234" y="2100552"/>
                <a:pt x="2109883" y="2379903"/>
                <a:pt x="1755212" y="2452479"/>
              </a:cubicBezTo>
              <a:lnTo>
                <a:pt x="1704868" y="2460162"/>
              </a:lnTo>
              <a:lnTo>
                <a:pt x="1704868" y="2890456"/>
              </a:lnTo>
              <a:lnTo>
                <a:pt x="1700869" y="2916912"/>
              </a:lnTo>
              <a:lnTo>
                <a:pt x="1718689" y="2916012"/>
              </a:lnTo>
              <a:cubicBezTo>
                <a:pt x="2350004" y="2851898"/>
                <a:pt x="2851898" y="2350004"/>
                <a:pt x="2916012" y="1718689"/>
              </a:cubicBezTo>
              <a:close/>
              <a:moveTo>
                <a:pt x="1665289" y="1628851"/>
              </a:moveTo>
              <a:lnTo>
                <a:pt x="1665289" y="1751958"/>
              </a:lnTo>
              <a:cubicBezTo>
                <a:pt x="1694879" y="1748958"/>
                <a:pt x="1720207" y="1742679"/>
                <a:pt x="1741278" y="1733090"/>
              </a:cubicBezTo>
              <a:cubicBezTo>
                <a:pt x="1762349" y="1723161"/>
                <a:pt x="1772883" y="1708747"/>
                <a:pt x="1772883" y="1689910"/>
              </a:cubicBezTo>
              <a:cubicBezTo>
                <a:pt x="1772883" y="1670702"/>
                <a:pt x="1760778" y="1656473"/>
                <a:pt x="1736568" y="1647194"/>
              </a:cubicBezTo>
              <a:cubicBezTo>
                <a:pt x="1712812" y="1637605"/>
                <a:pt x="1689050" y="1631481"/>
                <a:pt x="1665289" y="1628851"/>
              </a:cubicBezTo>
              <a:close/>
              <a:moveTo>
                <a:pt x="1561731" y="1346387"/>
              </a:moveTo>
              <a:cubicBezTo>
                <a:pt x="1532146" y="1348026"/>
                <a:pt x="1505469" y="1353656"/>
                <a:pt x="1481712" y="1363245"/>
              </a:cubicBezTo>
              <a:cubicBezTo>
                <a:pt x="1458399" y="1372524"/>
                <a:pt x="1446742" y="1385763"/>
                <a:pt x="1446742" y="1402960"/>
              </a:cubicBezTo>
              <a:cubicBezTo>
                <a:pt x="1446742" y="1418519"/>
                <a:pt x="1454364" y="1430613"/>
                <a:pt x="1469607" y="1439212"/>
              </a:cubicBezTo>
              <a:cubicBezTo>
                <a:pt x="1484850" y="1447811"/>
                <a:pt x="1515558" y="1455265"/>
                <a:pt x="1561731" y="1461544"/>
              </a:cubicBezTo>
              <a:close/>
              <a:moveTo>
                <a:pt x="1550971" y="1101133"/>
              </a:moveTo>
              <a:lnTo>
                <a:pt x="1667979" y="1101133"/>
              </a:lnTo>
              <a:lnTo>
                <a:pt x="1667979" y="1215826"/>
              </a:lnTo>
              <a:cubicBezTo>
                <a:pt x="1709225" y="1217125"/>
                <a:pt x="1757418" y="1221424"/>
                <a:pt x="1812557" y="1228724"/>
              </a:cubicBezTo>
              <a:cubicBezTo>
                <a:pt x="1868149" y="1235993"/>
                <a:pt x="1911859" y="1244437"/>
                <a:pt x="1943685" y="1254026"/>
              </a:cubicBezTo>
              <a:lnTo>
                <a:pt x="1943685" y="1397021"/>
              </a:lnTo>
              <a:lnTo>
                <a:pt x="1914100" y="1397021"/>
              </a:lnTo>
              <a:cubicBezTo>
                <a:pt x="1882269" y="1383443"/>
                <a:pt x="1845285" y="1372184"/>
                <a:pt x="1803142" y="1363245"/>
              </a:cubicBezTo>
              <a:cubicBezTo>
                <a:pt x="1761004" y="1354305"/>
                <a:pt x="1715950" y="1348676"/>
                <a:pt x="1667979" y="1346387"/>
              </a:cubicBezTo>
              <a:lnTo>
                <a:pt x="1667979" y="1472463"/>
              </a:lnTo>
              <a:lnTo>
                <a:pt x="1721778" y="1480412"/>
              </a:lnTo>
              <a:cubicBezTo>
                <a:pt x="1823095" y="1494981"/>
                <a:pt x="1897512" y="1517128"/>
                <a:pt x="1945030" y="1546914"/>
              </a:cubicBezTo>
              <a:cubicBezTo>
                <a:pt x="1993001" y="1576392"/>
                <a:pt x="2016984" y="1617592"/>
                <a:pt x="2016984" y="1670547"/>
              </a:cubicBezTo>
              <a:cubicBezTo>
                <a:pt x="2016984" y="1726471"/>
                <a:pt x="1985153" y="1774445"/>
                <a:pt x="1921495" y="1814501"/>
              </a:cubicBezTo>
              <a:cubicBezTo>
                <a:pt x="1857838" y="1854557"/>
                <a:pt x="1773331" y="1877230"/>
                <a:pt x="1667979" y="1882519"/>
              </a:cubicBezTo>
              <a:lnTo>
                <a:pt x="1667979" y="2062725"/>
              </a:lnTo>
              <a:lnTo>
                <a:pt x="1550971" y="2062725"/>
              </a:lnTo>
              <a:lnTo>
                <a:pt x="1550971" y="1885489"/>
              </a:lnTo>
              <a:cubicBezTo>
                <a:pt x="1500763" y="1885148"/>
                <a:pt x="1442708" y="1880694"/>
                <a:pt x="1376808" y="1872095"/>
              </a:cubicBezTo>
              <a:cubicBezTo>
                <a:pt x="1310909" y="1863496"/>
                <a:pt x="1259352" y="1852732"/>
                <a:pt x="1222145" y="1839803"/>
              </a:cubicBezTo>
              <a:lnTo>
                <a:pt x="1222145" y="1694859"/>
              </a:lnTo>
              <a:lnTo>
                <a:pt x="1252405" y="1694859"/>
              </a:lnTo>
              <a:cubicBezTo>
                <a:pt x="1293646" y="1711407"/>
                <a:pt x="1340942" y="1724646"/>
                <a:pt x="1394293" y="1734575"/>
              </a:cubicBezTo>
              <a:cubicBezTo>
                <a:pt x="1448087" y="1744503"/>
                <a:pt x="1501438" y="1750968"/>
                <a:pt x="1554336" y="1753938"/>
              </a:cubicBezTo>
              <a:lnTo>
                <a:pt x="1554336" y="1617902"/>
              </a:lnTo>
              <a:lnTo>
                <a:pt x="1489107" y="1606983"/>
              </a:lnTo>
              <a:cubicBezTo>
                <a:pt x="1447865" y="1600054"/>
                <a:pt x="1409758" y="1591951"/>
                <a:pt x="1374789" y="1582671"/>
              </a:cubicBezTo>
              <a:cubicBezTo>
                <a:pt x="1340272" y="1573392"/>
                <a:pt x="1310461" y="1561174"/>
                <a:pt x="1285355" y="1545925"/>
              </a:cubicBezTo>
              <a:cubicBezTo>
                <a:pt x="1260249" y="1530707"/>
                <a:pt x="1240749" y="1512024"/>
                <a:pt x="1226851" y="1489847"/>
              </a:cubicBezTo>
              <a:cubicBezTo>
                <a:pt x="1212953" y="1467328"/>
                <a:pt x="1206006" y="1439707"/>
                <a:pt x="1206006" y="1406950"/>
              </a:cubicBezTo>
              <a:cubicBezTo>
                <a:pt x="1206006" y="1357615"/>
                <a:pt x="1236487" y="1315425"/>
                <a:pt x="1297459" y="1280349"/>
              </a:cubicBezTo>
              <a:cubicBezTo>
                <a:pt x="1358427" y="1245272"/>
                <a:pt x="1442934" y="1224084"/>
                <a:pt x="1550971" y="1216816"/>
              </a:cubicBezTo>
              <a:close/>
              <a:moveTo>
                <a:pt x="1495533" y="796577"/>
              </a:moveTo>
              <a:lnTo>
                <a:pt x="1493463" y="796681"/>
              </a:lnTo>
              <a:cubicBezTo>
                <a:pt x="1156880" y="830863"/>
                <a:pt x="884369" y="1081774"/>
                <a:pt x="817683" y="1407661"/>
              </a:cubicBezTo>
              <a:lnTo>
                <a:pt x="811308" y="1449430"/>
              </a:lnTo>
              <a:lnTo>
                <a:pt x="838783" y="1453584"/>
              </a:lnTo>
              <a:cubicBezTo>
                <a:pt x="868280" y="1462758"/>
                <a:pt x="892184" y="1484629"/>
                <a:pt x="904101" y="1512804"/>
              </a:cubicBezTo>
              <a:lnTo>
                <a:pt x="912326" y="1553546"/>
              </a:lnTo>
              <a:lnTo>
                <a:pt x="904101" y="1594287"/>
              </a:lnTo>
              <a:cubicBezTo>
                <a:pt x="892184" y="1622462"/>
                <a:pt x="868280" y="1644333"/>
                <a:pt x="838783" y="1653508"/>
              </a:cubicBezTo>
              <a:lnTo>
                <a:pt x="808524" y="1658082"/>
              </a:lnTo>
              <a:lnTo>
                <a:pt x="817683" y="1718094"/>
              </a:lnTo>
              <a:cubicBezTo>
                <a:pt x="884369" y="2043980"/>
                <a:pt x="1156880" y="2294891"/>
                <a:pt x="1493463" y="2329073"/>
              </a:cubicBezTo>
              <a:lnTo>
                <a:pt x="1495532" y="2329177"/>
              </a:lnTo>
              <a:lnTo>
                <a:pt x="1495532" y="2306691"/>
              </a:lnTo>
              <a:cubicBezTo>
                <a:pt x="1495532" y="2248884"/>
                <a:pt x="1542393" y="2202023"/>
                <a:pt x="1600200" y="2202023"/>
              </a:cubicBezTo>
              <a:lnTo>
                <a:pt x="1600200" y="2202022"/>
              </a:lnTo>
              <a:cubicBezTo>
                <a:pt x="1658007" y="2202022"/>
                <a:pt x="1704868" y="2248883"/>
                <a:pt x="1704868" y="2306690"/>
              </a:cubicBezTo>
              <a:lnTo>
                <a:pt x="1704868" y="2320844"/>
              </a:lnTo>
              <a:lnTo>
                <a:pt x="1727425" y="2317402"/>
              </a:lnTo>
              <a:cubicBezTo>
                <a:pt x="2028243" y="2255846"/>
                <a:pt x="2265177" y="2018912"/>
                <a:pt x="2326733" y="1718094"/>
              </a:cubicBezTo>
              <a:lnTo>
                <a:pt x="2335902" y="1658015"/>
              </a:lnTo>
              <a:lnTo>
                <a:pt x="2296149" y="1649989"/>
              </a:lnTo>
              <a:cubicBezTo>
                <a:pt x="2258582" y="1634099"/>
                <a:pt x="2232222" y="1596901"/>
                <a:pt x="2232222" y="1553546"/>
              </a:cubicBezTo>
              <a:lnTo>
                <a:pt x="2232221" y="1553546"/>
              </a:lnTo>
              <a:cubicBezTo>
                <a:pt x="2232221" y="1510191"/>
                <a:pt x="2258581" y="1472993"/>
                <a:pt x="2296148" y="1457103"/>
              </a:cubicBezTo>
              <a:lnTo>
                <a:pt x="2333139" y="1449635"/>
              </a:lnTo>
              <a:lnTo>
                <a:pt x="2326733" y="1407661"/>
              </a:lnTo>
              <a:cubicBezTo>
                <a:pt x="2265177" y="1106843"/>
                <a:pt x="2028243" y="869908"/>
                <a:pt x="1727425" y="808352"/>
              </a:cubicBezTo>
              <a:lnTo>
                <a:pt x="1704868" y="804910"/>
              </a:lnTo>
              <a:lnTo>
                <a:pt x="1704868" y="809732"/>
              </a:lnTo>
              <a:cubicBezTo>
                <a:pt x="1704868" y="853087"/>
                <a:pt x="1678509" y="890285"/>
                <a:pt x="1640942" y="906175"/>
              </a:cubicBezTo>
              <a:lnTo>
                <a:pt x="1600201" y="914400"/>
              </a:lnTo>
              <a:lnTo>
                <a:pt x="1559460" y="906175"/>
              </a:lnTo>
              <a:cubicBezTo>
                <a:pt x="1521893" y="890285"/>
                <a:pt x="1495533" y="853087"/>
                <a:pt x="1495533" y="809732"/>
              </a:cubicBezTo>
              <a:close/>
              <a:moveTo>
                <a:pt x="1704868" y="246369"/>
              </a:moveTo>
              <a:lnTo>
                <a:pt x="1704868" y="665592"/>
              </a:lnTo>
              <a:lnTo>
                <a:pt x="1755212" y="673275"/>
              </a:lnTo>
              <a:cubicBezTo>
                <a:pt x="2109883" y="745852"/>
                <a:pt x="2389234" y="1025202"/>
                <a:pt x="2461810" y="1379873"/>
              </a:cubicBezTo>
              <a:lnTo>
                <a:pt x="2472341" y="1448878"/>
              </a:lnTo>
              <a:lnTo>
                <a:pt x="2916238" y="1448878"/>
              </a:lnTo>
              <a:lnTo>
                <a:pt x="2916012" y="1444389"/>
              </a:lnTo>
              <a:cubicBezTo>
                <a:pt x="2851898" y="813074"/>
                <a:pt x="2350004" y="311180"/>
                <a:pt x="1718689" y="247066"/>
              </a:cubicBezTo>
              <a:close/>
              <a:moveTo>
                <a:pt x="1495532" y="244484"/>
              </a:moveTo>
              <a:lnTo>
                <a:pt x="1444389" y="247066"/>
              </a:lnTo>
              <a:cubicBezTo>
                <a:pt x="813074" y="311180"/>
                <a:pt x="311180" y="813074"/>
                <a:pt x="247066" y="1444389"/>
              </a:cubicBezTo>
              <a:lnTo>
                <a:pt x="246840" y="1448878"/>
              </a:lnTo>
              <a:lnTo>
                <a:pt x="672075" y="1448878"/>
              </a:lnTo>
              <a:lnTo>
                <a:pt x="682606" y="1379873"/>
              </a:lnTo>
              <a:cubicBezTo>
                <a:pt x="761230" y="995646"/>
                <a:pt x="1082527" y="699816"/>
                <a:pt x="1479365" y="659515"/>
              </a:cubicBezTo>
              <a:lnTo>
                <a:pt x="1495533" y="658699"/>
              </a:lnTo>
              <a:close/>
              <a:moveTo>
                <a:pt x="1581539" y="0"/>
              </a:moveTo>
              <a:cubicBezTo>
                <a:pt x="2454999" y="0"/>
                <a:pt x="3163078" y="708079"/>
                <a:pt x="3163078" y="1581539"/>
              </a:cubicBezTo>
              <a:cubicBezTo>
                <a:pt x="3163078" y="2454999"/>
                <a:pt x="2454999" y="3163078"/>
                <a:pt x="1581539" y="3163078"/>
              </a:cubicBezTo>
              <a:cubicBezTo>
                <a:pt x="708079" y="3163078"/>
                <a:pt x="0" y="2454999"/>
                <a:pt x="0" y="1581539"/>
              </a:cubicBezTo>
              <a:cubicBezTo>
                <a:pt x="0" y="708079"/>
                <a:pt x="708079" y="0"/>
                <a:pt x="1581539" y="0"/>
              </a:cubicBezTo>
              <a:close/>
            </a:path>
          </a:pathLst>
        </a:custGeom>
        <a:solidFill>
          <a:sysClr val="window" lastClr="FFFFFF"/>
        </a:solidFill>
        <a:ln w="35341"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519952</xdr:colOff>
      <xdr:row>3</xdr:row>
      <xdr:rowOff>170327</xdr:rowOff>
    </xdr:from>
    <xdr:to>
      <xdr:col>2</xdr:col>
      <xdr:colOff>94491</xdr:colOff>
      <xdr:row>9</xdr:row>
      <xdr:rowOff>98611</xdr:rowOff>
    </xdr:to>
    <xdr:grpSp>
      <xdr:nvGrpSpPr>
        <xdr:cNvPr id="33" name="Group 32">
          <a:extLst>
            <a:ext uri="{FF2B5EF4-FFF2-40B4-BE49-F238E27FC236}">
              <a16:creationId xmlns:a16="http://schemas.microsoft.com/office/drawing/2014/main" id="{00000000-0008-0000-0200-000021000000}"/>
            </a:ext>
          </a:extLst>
        </xdr:cNvPr>
        <xdr:cNvGrpSpPr/>
      </xdr:nvGrpSpPr>
      <xdr:grpSpPr>
        <a:xfrm>
          <a:off x="519952" y="760877"/>
          <a:ext cx="1225539" cy="1109384"/>
          <a:chOff x="0" y="0"/>
          <a:chExt cx="3878604" cy="3794658"/>
        </a:xfrm>
        <a:solidFill>
          <a:sysClr val="window" lastClr="FFFFFF"/>
        </a:solidFill>
      </xdr:grpSpPr>
      <xdr:sp macro="" textlink="">
        <xdr:nvSpPr>
          <xdr:cNvPr id="34" name="Freeform: Shape 33">
            <a:extLst>
              <a:ext uri="{FF2B5EF4-FFF2-40B4-BE49-F238E27FC236}">
                <a16:creationId xmlns:a16="http://schemas.microsoft.com/office/drawing/2014/main" id="{00000000-0008-0000-0200-000022000000}"/>
              </a:ext>
            </a:extLst>
          </xdr:cNvPr>
          <xdr:cNvSpPr/>
        </xdr:nvSpPr>
        <xdr:spPr>
          <a:xfrm>
            <a:off x="1567237" y="24810"/>
            <a:ext cx="2311367" cy="2470875"/>
          </a:xfrm>
          <a:custGeom>
            <a:avLst/>
            <a:gdLst>
              <a:gd name="connsiteX0" fmla="*/ 216 w 2257633"/>
              <a:gd name="connsiteY0" fmla="*/ 1936113 h 2405021"/>
              <a:gd name="connsiteX1" fmla="*/ 361980 w 2257633"/>
              <a:gd name="connsiteY1" fmla="*/ 2405050 h 2405021"/>
              <a:gd name="connsiteX2" fmla="*/ 1159200 w 2257633"/>
              <a:gd name="connsiteY2" fmla="*/ 1694949 h 2405021"/>
              <a:gd name="connsiteX3" fmla="*/ 998424 w 2257633"/>
              <a:gd name="connsiteY3" fmla="*/ 1406877 h 2405021"/>
              <a:gd name="connsiteX4" fmla="*/ 2164069 w 2257633"/>
              <a:gd name="connsiteY4" fmla="*/ 944626 h 2405021"/>
              <a:gd name="connsiteX5" fmla="*/ 2157373 w 2257633"/>
              <a:gd name="connsiteY5" fmla="*/ 221105 h 2405021"/>
              <a:gd name="connsiteX6" fmla="*/ 2257849 w 2257633"/>
              <a:gd name="connsiteY6" fmla="*/ 221105 h 2405021"/>
              <a:gd name="connsiteX7" fmla="*/ 2110501 w 2257633"/>
              <a:gd name="connsiteY7" fmla="*/ 29 h 2405021"/>
              <a:gd name="connsiteX8" fmla="*/ 1963117 w 2257633"/>
              <a:gd name="connsiteY8" fmla="*/ 214405 h 2405021"/>
              <a:gd name="connsiteX9" fmla="*/ 2066401 w 2257633"/>
              <a:gd name="connsiteY9" fmla="*/ 217958 h 2405021"/>
              <a:gd name="connsiteX10" fmla="*/ 2050201 w 2257633"/>
              <a:gd name="connsiteY10" fmla="*/ 703451 h 2405021"/>
              <a:gd name="connsiteX11" fmla="*/ 375372 w 2257633"/>
              <a:gd name="connsiteY11" fmla="*/ 1205896 h 2405021"/>
              <a:gd name="connsiteX12" fmla="*/ 596448 w 2257633"/>
              <a:gd name="connsiteY12" fmla="*/ 160786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63854 w 2311368"/>
              <a:gd name="connsiteY4" fmla="*/ 944598 h 2405021"/>
              <a:gd name="connsiteX5" fmla="*/ 2157158 w 2311368"/>
              <a:gd name="connsiteY5" fmla="*/ 221077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63854 w 2311368"/>
              <a:gd name="connsiteY4" fmla="*/ 944598 h 2405021"/>
              <a:gd name="connsiteX5" fmla="*/ 2157158 w 2311368"/>
              <a:gd name="connsiteY5" fmla="*/ 221077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157158 w 2311368"/>
              <a:gd name="connsiteY5" fmla="*/ 221077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210894 w 2311368"/>
              <a:gd name="connsiteY5" fmla="*/ 221078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210894 w 2311368"/>
              <a:gd name="connsiteY5" fmla="*/ 221078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210894 w 2311368"/>
              <a:gd name="connsiteY5" fmla="*/ 221078 h 2405021"/>
              <a:gd name="connsiteX6" fmla="*/ 2311368 w 2311368"/>
              <a:gd name="connsiteY6" fmla="*/ 221077 h 2405021"/>
              <a:gd name="connsiteX7" fmla="*/ 2157304 w 2311368"/>
              <a:gd name="connsiteY7" fmla="*/ 0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2001937 h 2470873"/>
              <a:gd name="connsiteX1" fmla="*/ 361765 w 2311368"/>
              <a:gd name="connsiteY1" fmla="*/ 2470874 h 2470873"/>
              <a:gd name="connsiteX2" fmla="*/ 1158985 w 2311368"/>
              <a:gd name="connsiteY2" fmla="*/ 1760773 h 2470873"/>
              <a:gd name="connsiteX3" fmla="*/ 998209 w 2311368"/>
              <a:gd name="connsiteY3" fmla="*/ 1472701 h 2470873"/>
              <a:gd name="connsiteX4" fmla="*/ 2197439 w 2311368"/>
              <a:gd name="connsiteY4" fmla="*/ 1010449 h 2470873"/>
              <a:gd name="connsiteX5" fmla="*/ 2210894 w 2311368"/>
              <a:gd name="connsiteY5" fmla="*/ 286930 h 2470873"/>
              <a:gd name="connsiteX6" fmla="*/ 2311368 w 2311368"/>
              <a:gd name="connsiteY6" fmla="*/ 286929 h 2470873"/>
              <a:gd name="connsiteX7" fmla="*/ 2164021 w 2311368"/>
              <a:gd name="connsiteY7" fmla="*/ 0 h 2470873"/>
              <a:gd name="connsiteX8" fmla="*/ 1962902 w 2311368"/>
              <a:gd name="connsiteY8" fmla="*/ 280229 h 2470873"/>
              <a:gd name="connsiteX9" fmla="*/ 2066186 w 2311368"/>
              <a:gd name="connsiteY9" fmla="*/ 283782 h 2470873"/>
              <a:gd name="connsiteX10" fmla="*/ 2049986 w 2311368"/>
              <a:gd name="connsiteY10" fmla="*/ 769275 h 2470873"/>
              <a:gd name="connsiteX11" fmla="*/ 375157 w 2311368"/>
              <a:gd name="connsiteY11" fmla="*/ 1271720 h 2470873"/>
              <a:gd name="connsiteX12" fmla="*/ 596233 w 2311368"/>
              <a:gd name="connsiteY12" fmla="*/ 1673689 h 2470873"/>
              <a:gd name="connsiteX13" fmla="*/ 1 w 2311368"/>
              <a:gd name="connsiteY13" fmla="*/ 2001937 h 2470873"/>
              <a:gd name="connsiteX0" fmla="*/ 1 w 2311368"/>
              <a:gd name="connsiteY0" fmla="*/ 2001937 h 2470873"/>
              <a:gd name="connsiteX1" fmla="*/ 361765 w 2311368"/>
              <a:gd name="connsiteY1" fmla="*/ 2470874 h 2470873"/>
              <a:gd name="connsiteX2" fmla="*/ 1158985 w 2311368"/>
              <a:gd name="connsiteY2" fmla="*/ 1760773 h 2470873"/>
              <a:gd name="connsiteX3" fmla="*/ 998209 w 2311368"/>
              <a:gd name="connsiteY3" fmla="*/ 1472701 h 2470873"/>
              <a:gd name="connsiteX4" fmla="*/ 2217590 w 2311368"/>
              <a:gd name="connsiteY4" fmla="*/ 1010449 h 2470873"/>
              <a:gd name="connsiteX5" fmla="*/ 2210894 w 2311368"/>
              <a:gd name="connsiteY5" fmla="*/ 286930 h 2470873"/>
              <a:gd name="connsiteX6" fmla="*/ 2311368 w 2311368"/>
              <a:gd name="connsiteY6" fmla="*/ 286929 h 2470873"/>
              <a:gd name="connsiteX7" fmla="*/ 2164021 w 2311368"/>
              <a:gd name="connsiteY7" fmla="*/ 0 h 2470873"/>
              <a:gd name="connsiteX8" fmla="*/ 1962902 w 2311368"/>
              <a:gd name="connsiteY8" fmla="*/ 280229 h 2470873"/>
              <a:gd name="connsiteX9" fmla="*/ 2066186 w 2311368"/>
              <a:gd name="connsiteY9" fmla="*/ 283782 h 2470873"/>
              <a:gd name="connsiteX10" fmla="*/ 2049986 w 2311368"/>
              <a:gd name="connsiteY10" fmla="*/ 769275 h 2470873"/>
              <a:gd name="connsiteX11" fmla="*/ 375157 w 2311368"/>
              <a:gd name="connsiteY11" fmla="*/ 1271720 h 2470873"/>
              <a:gd name="connsiteX12" fmla="*/ 596233 w 2311368"/>
              <a:gd name="connsiteY12" fmla="*/ 1673689 h 2470873"/>
              <a:gd name="connsiteX13" fmla="*/ 1 w 2311368"/>
              <a:gd name="connsiteY13" fmla="*/ 2001937 h 2470873"/>
              <a:gd name="connsiteX0" fmla="*/ 1 w 2311368"/>
              <a:gd name="connsiteY0" fmla="*/ 2001937 h 2470873"/>
              <a:gd name="connsiteX1" fmla="*/ 361765 w 2311368"/>
              <a:gd name="connsiteY1" fmla="*/ 2470874 h 2470873"/>
              <a:gd name="connsiteX2" fmla="*/ 1158985 w 2311368"/>
              <a:gd name="connsiteY2" fmla="*/ 1760773 h 2470873"/>
              <a:gd name="connsiteX3" fmla="*/ 998209 w 2311368"/>
              <a:gd name="connsiteY3" fmla="*/ 1472701 h 2470873"/>
              <a:gd name="connsiteX4" fmla="*/ 2217590 w 2311368"/>
              <a:gd name="connsiteY4" fmla="*/ 1010449 h 2470873"/>
              <a:gd name="connsiteX5" fmla="*/ 2210894 w 2311368"/>
              <a:gd name="connsiteY5" fmla="*/ 286930 h 2470873"/>
              <a:gd name="connsiteX6" fmla="*/ 2311368 w 2311368"/>
              <a:gd name="connsiteY6" fmla="*/ 286929 h 2470873"/>
              <a:gd name="connsiteX7" fmla="*/ 2164021 w 2311368"/>
              <a:gd name="connsiteY7" fmla="*/ 0 h 2470873"/>
              <a:gd name="connsiteX8" fmla="*/ 1962902 w 2311368"/>
              <a:gd name="connsiteY8" fmla="*/ 280229 h 2470873"/>
              <a:gd name="connsiteX9" fmla="*/ 2066186 w 2311368"/>
              <a:gd name="connsiteY9" fmla="*/ 283782 h 2470873"/>
              <a:gd name="connsiteX10" fmla="*/ 2049986 w 2311368"/>
              <a:gd name="connsiteY10" fmla="*/ 769275 h 2470873"/>
              <a:gd name="connsiteX11" fmla="*/ 375157 w 2311368"/>
              <a:gd name="connsiteY11" fmla="*/ 1271720 h 2470873"/>
              <a:gd name="connsiteX12" fmla="*/ 596233 w 2311368"/>
              <a:gd name="connsiteY12" fmla="*/ 1673689 h 2470873"/>
              <a:gd name="connsiteX13" fmla="*/ 1 w 2311368"/>
              <a:gd name="connsiteY13" fmla="*/ 2001937 h 247087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2311368" h="2470873">
                <a:moveTo>
                  <a:pt x="1" y="2001937"/>
                </a:moveTo>
                <a:cubicBezTo>
                  <a:pt x="230617" y="2202278"/>
                  <a:pt x="307405" y="2341058"/>
                  <a:pt x="361765" y="2470874"/>
                </a:cubicBezTo>
                <a:lnTo>
                  <a:pt x="1158985" y="1760773"/>
                </a:lnTo>
                <a:lnTo>
                  <a:pt x="998209" y="1472701"/>
                </a:lnTo>
                <a:cubicBezTo>
                  <a:pt x="998209" y="1472701"/>
                  <a:pt x="1952386" y="1136105"/>
                  <a:pt x="2217590" y="1010449"/>
                </a:cubicBezTo>
                <a:cubicBezTo>
                  <a:pt x="2239842" y="999906"/>
                  <a:pt x="2210894" y="286930"/>
                  <a:pt x="2210894" y="286930"/>
                </a:cubicBezTo>
                <a:lnTo>
                  <a:pt x="2311368" y="286929"/>
                </a:lnTo>
                <a:lnTo>
                  <a:pt x="2164021" y="0"/>
                </a:lnTo>
                <a:lnTo>
                  <a:pt x="1962902" y="280229"/>
                </a:lnTo>
                <a:lnTo>
                  <a:pt x="2066186" y="283782"/>
                </a:lnTo>
                <a:lnTo>
                  <a:pt x="2049986" y="769275"/>
                </a:lnTo>
                <a:lnTo>
                  <a:pt x="375157" y="1271720"/>
                </a:lnTo>
                <a:lnTo>
                  <a:pt x="596233" y="1673689"/>
                </a:lnTo>
                <a:lnTo>
                  <a:pt x="1" y="2001937"/>
                </a:lnTo>
                <a:close/>
              </a:path>
            </a:pathLst>
          </a:custGeom>
          <a:grpFill/>
          <a:ln w="17998" cap="flat">
            <a:solidFill>
              <a:sysClr val="windowText" lastClr="000000"/>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5" name="Freeform: Shape 34">
            <a:extLst>
              <a:ext uri="{FF2B5EF4-FFF2-40B4-BE49-F238E27FC236}">
                <a16:creationId xmlns:a16="http://schemas.microsoft.com/office/drawing/2014/main" id="{00000000-0008-0000-0200-000023000000}"/>
              </a:ext>
            </a:extLst>
          </xdr:cNvPr>
          <xdr:cNvSpPr/>
        </xdr:nvSpPr>
        <xdr:spPr>
          <a:xfrm>
            <a:off x="0" y="1872131"/>
            <a:ext cx="1997598" cy="1914913"/>
          </a:xfrm>
          <a:custGeom>
            <a:avLst/>
            <a:gdLst>
              <a:gd name="connsiteX0" fmla="*/ 1038471 w 1997598"/>
              <a:gd name="connsiteY0" fmla="*/ 1091169 h 1914913"/>
              <a:gd name="connsiteX1" fmla="*/ 1083642 w 1997598"/>
              <a:gd name="connsiteY1" fmla="*/ 1117431 h 1914913"/>
              <a:gd name="connsiteX2" fmla="*/ 1097649 w 1997598"/>
              <a:gd name="connsiteY2" fmla="*/ 1157699 h 1914913"/>
              <a:gd name="connsiteX3" fmla="*/ 1081191 w 1997598"/>
              <a:gd name="connsiteY3" fmla="*/ 1203573 h 1914913"/>
              <a:gd name="connsiteX4" fmla="*/ 1038471 w 1997598"/>
              <a:gd name="connsiteY4" fmla="*/ 1227735 h 1914913"/>
              <a:gd name="connsiteX5" fmla="*/ 987696 w 1997598"/>
              <a:gd name="connsiteY5" fmla="*/ 855154 h 1914913"/>
              <a:gd name="connsiteX6" fmla="*/ 987696 w 1997598"/>
              <a:gd name="connsiteY6" fmla="*/ 976313 h 1914913"/>
              <a:gd name="connsiteX7" fmla="*/ 953730 w 1997598"/>
              <a:gd name="connsiteY7" fmla="*/ 950749 h 1914913"/>
              <a:gd name="connsiteX8" fmla="*/ 942524 w 1997598"/>
              <a:gd name="connsiteY8" fmla="*/ 916084 h 1914913"/>
              <a:gd name="connsiteX9" fmla="*/ 954780 w 1997598"/>
              <a:gd name="connsiteY9" fmla="*/ 878964 h 1914913"/>
              <a:gd name="connsiteX10" fmla="*/ 987696 w 1997598"/>
              <a:gd name="connsiteY10" fmla="*/ 855154 h 1914913"/>
              <a:gd name="connsiteX11" fmla="*/ 987696 w 1997598"/>
              <a:gd name="connsiteY11" fmla="*/ 744151 h 1914913"/>
              <a:gd name="connsiteX12" fmla="*/ 987696 w 1997598"/>
              <a:gd name="connsiteY12" fmla="*/ 778816 h 1914913"/>
              <a:gd name="connsiteX13" fmla="*/ 891050 w 1997598"/>
              <a:gd name="connsiteY13" fmla="*/ 823987 h 1914913"/>
              <a:gd name="connsiteX14" fmla="*/ 854984 w 1997598"/>
              <a:gd name="connsiteY14" fmla="*/ 920285 h 1914913"/>
              <a:gd name="connsiteX15" fmla="*/ 886849 w 1997598"/>
              <a:gd name="connsiteY15" fmla="*/ 1016931 h 1914913"/>
              <a:gd name="connsiteX16" fmla="*/ 987696 w 1997598"/>
              <a:gd name="connsiteY16" fmla="*/ 1076109 h 1914913"/>
              <a:gd name="connsiteX17" fmla="*/ 987696 w 1997598"/>
              <a:gd name="connsiteY17" fmla="*/ 1222831 h 1914913"/>
              <a:gd name="connsiteX18" fmla="*/ 953379 w 1997598"/>
              <a:gd name="connsiteY18" fmla="*/ 1193418 h 1914913"/>
              <a:gd name="connsiteX19" fmla="*/ 932368 w 1997598"/>
              <a:gd name="connsiteY19" fmla="*/ 1145096 h 1914913"/>
              <a:gd name="connsiteX20" fmla="*/ 840974 w 1997598"/>
              <a:gd name="connsiteY20" fmla="*/ 1154900 h 1914913"/>
              <a:gd name="connsiteX21" fmla="*/ 889297 w 1997598"/>
              <a:gd name="connsiteY21" fmla="*/ 1261700 h 1914913"/>
              <a:gd name="connsiteX22" fmla="*/ 987696 w 1997598"/>
              <a:gd name="connsiteY22" fmla="*/ 1306873 h 1914913"/>
              <a:gd name="connsiteX23" fmla="*/ 987696 w 1997598"/>
              <a:gd name="connsiteY23" fmla="*/ 1370603 h 1914913"/>
              <a:gd name="connsiteX24" fmla="*/ 1038471 w 1997598"/>
              <a:gd name="connsiteY24" fmla="*/ 1370603 h 1914913"/>
              <a:gd name="connsiteX25" fmla="*/ 1038471 w 1997598"/>
              <a:gd name="connsiteY25" fmla="*/ 1305120 h 1914913"/>
              <a:gd name="connsiteX26" fmla="*/ 1144921 w 1997598"/>
              <a:gd name="connsiteY26" fmla="*/ 1251896 h 1914913"/>
              <a:gd name="connsiteX27" fmla="*/ 1183440 w 1997598"/>
              <a:gd name="connsiteY27" fmla="*/ 1145096 h 1914913"/>
              <a:gd name="connsiteX28" fmla="*/ 1152976 w 1997598"/>
              <a:gd name="connsiteY28" fmla="*/ 1052299 h 1914913"/>
              <a:gd name="connsiteX29" fmla="*/ 1038471 w 1997598"/>
              <a:gd name="connsiteY29" fmla="*/ 993121 h 1914913"/>
              <a:gd name="connsiteX30" fmla="*/ 1038471 w 1997598"/>
              <a:gd name="connsiteY30" fmla="*/ 856204 h 1914913"/>
              <a:gd name="connsiteX31" fmla="*/ 1080492 w 1997598"/>
              <a:gd name="connsiteY31" fmla="*/ 912230 h 1914913"/>
              <a:gd name="connsiteX32" fmla="*/ 1169083 w 1997598"/>
              <a:gd name="connsiteY32" fmla="*/ 900677 h 1914913"/>
              <a:gd name="connsiteX33" fmla="*/ 1127065 w 1997598"/>
              <a:gd name="connsiteY33" fmla="*/ 816987 h 1914913"/>
              <a:gd name="connsiteX34" fmla="*/ 1038471 w 1997598"/>
              <a:gd name="connsiteY34" fmla="*/ 778816 h 1914913"/>
              <a:gd name="connsiteX35" fmla="*/ 1038471 w 1997598"/>
              <a:gd name="connsiteY35" fmla="*/ 744151 h 1914913"/>
              <a:gd name="connsiteX36" fmla="*/ 1018529 w 1997598"/>
              <a:gd name="connsiteY36" fmla="*/ 568308 h 1914913"/>
              <a:gd name="connsiteX37" fmla="*/ 1488375 w 1997598"/>
              <a:gd name="connsiteY37" fmla="*/ 1038154 h 1914913"/>
              <a:gd name="connsiteX38" fmla="*/ 1018529 w 1997598"/>
              <a:gd name="connsiteY38" fmla="*/ 1508000 h 1914913"/>
              <a:gd name="connsiteX39" fmla="*/ 548683 w 1997598"/>
              <a:gd name="connsiteY39" fmla="*/ 1038154 h 1914913"/>
              <a:gd name="connsiteX40" fmla="*/ 1018529 w 1997598"/>
              <a:gd name="connsiteY40" fmla="*/ 568308 h 1914913"/>
              <a:gd name="connsiteX41" fmla="*/ 1018529 w 1997598"/>
              <a:gd name="connsiteY41" fmla="*/ 476083 h 1914913"/>
              <a:gd name="connsiteX42" fmla="*/ 456458 w 1997598"/>
              <a:gd name="connsiteY42" fmla="*/ 1038154 h 1914913"/>
              <a:gd name="connsiteX43" fmla="*/ 1018529 w 1997598"/>
              <a:gd name="connsiteY43" fmla="*/ 1600225 h 1914913"/>
              <a:gd name="connsiteX44" fmla="*/ 1580600 w 1997598"/>
              <a:gd name="connsiteY44" fmla="*/ 1038154 h 1914913"/>
              <a:gd name="connsiteX45" fmla="*/ 1018529 w 1997598"/>
              <a:gd name="connsiteY45" fmla="*/ 476083 h 1914913"/>
              <a:gd name="connsiteX46" fmla="*/ 664325 w 1997598"/>
              <a:gd name="connsiteY46" fmla="*/ 0 h 1914913"/>
              <a:gd name="connsiteX47" fmla="*/ 1314151 w 1997598"/>
              <a:gd name="connsiteY47" fmla="*/ 0 h 1914913"/>
              <a:gd name="connsiteX48" fmla="*/ 1997478 w 1997598"/>
              <a:gd name="connsiteY48" fmla="*/ 1091952 h 1914913"/>
              <a:gd name="connsiteX49" fmla="*/ 1568718 w 1997598"/>
              <a:gd name="connsiteY49" fmla="*/ 1914913 h 1914913"/>
              <a:gd name="connsiteX50" fmla="*/ 429850 w 1997598"/>
              <a:gd name="connsiteY50" fmla="*/ 1908217 h 1914913"/>
              <a:gd name="connsiteX51" fmla="*/ 1100 w 1997598"/>
              <a:gd name="connsiteY51" fmla="*/ 1085257 h 1914913"/>
              <a:gd name="connsiteX52" fmla="*/ 664325 w 1997598"/>
              <a:gd name="connsiteY52" fmla="*/ 0 h 19149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Lst>
            <a:rect l="l" t="t" r="r" b="b"/>
            <a:pathLst>
              <a:path w="1997598" h="1914913">
                <a:moveTo>
                  <a:pt x="1038471" y="1091169"/>
                </a:moveTo>
                <a:cubicBezTo>
                  <a:pt x="1059481" y="1097239"/>
                  <a:pt x="1074537" y="1105992"/>
                  <a:pt x="1083642" y="1117431"/>
                </a:cubicBezTo>
                <a:cubicBezTo>
                  <a:pt x="1092981" y="1128637"/>
                  <a:pt x="1097649" y="1142058"/>
                  <a:pt x="1097649" y="1157699"/>
                </a:cubicBezTo>
                <a:cubicBezTo>
                  <a:pt x="1097649" y="1175207"/>
                  <a:pt x="1092164" y="1190500"/>
                  <a:pt x="1081191" y="1203573"/>
                </a:cubicBezTo>
                <a:cubicBezTo>
                  <a:pt x="1070218" y="1216410"/>
                  <a:pt x="1055979" y="1224465"/>
                  <a:pt x="1038471" y="1227735"/>
                </a:cubicBezTo>
                <a:close/>
                <a:moveTo>
                  <a:pt x="987696" y="855154"/>
                </a:moveTo>
                <a:lnTo>
                  <a:pt x="987696" y="976313"/>
                </a:lnTo>
                <a:cubicBezTo>
                  <a:pt x="972522" y="969778"/>
                  <a:pt x="961201" y="961257"/>
                  <a:pt x="953730" y="950749"/>
                </a:cubicBezTo>
                <a:cubicBezTo>
                  <a:pt x="946260" y="940013"/>
                  <a:pt x="942524" y="928456"/>
                  <a:pt x="942524" y="916084"/>
                </a:cubicBezTo>
                <a:cubicBezTo>
                  <a:pt x="942524" y="902545"/>
                  <a:pt x="946611" y="890170"/>
                  <a:pt x="954780" y="878964"/>
                </a:cubicBezTo>
                <a:cubicBezTo>
                  <a:pt x="962951" y="867757"/>
                  <a:pt x="973923" y="859821"/>
                  <a:pt x="987696" y="855154"/>
                </a:cubicBezTo>
                <a:close/>
                <a:moveTo>
                  <a:pt x="987696" y="744151"/>
                </a:moveTo>
                <a:lnTo>
                  <a:pt x="987696" y="778816"/>
                </a:lnTo>
                <a:cubicBezTo>
                  <a:pt x="947543" y="782784"/>
                  <a:pt x="915327" y="797844"/>
                  <a:pt x="891050" y="823987"/>
                </a:cubicBezTo>
                <a:cubicBezTo>
                  <a:pt x="867004" y="849902"/>
                  <a:pt x="854984" y="882000"/>
                  <a:pt x="854984" y="920285"/>
                </a:cubicBezTo>
                <a:cubicBezTo>
                  <a:pt x="854984" y="958102"/>
                  <a:pt x="865606" y="990318"/>
                  <a:pt x="886849" y="1016931"/>
                </a:cubicBezTo>
                <a:cubicBezTo>
                  <a:pt x="908326" y="1043312"/>
                  <a:pt x="941940" y="1063040"/>
                  <a:pt x="987696" y="1076109"/>
                </a:cubicBezTo>
                <a:lnTo>
                  <a:pt x="987696" y="1222831"/>
                </a:lnTo>
                <a:cubicBezTo>
                  <a:pt x="975088" y="1216762"/>
                  <a:pt x="963653" y="1206958"/>
                  <a:pt x="953379" y="1193418"/>
                </a:cubicBezTo>
                <a:cubicBezTo>
                  <a:pt x="943109" y="1179878"/>
                  <a:pt x="936104" y="1163768"/>
                  <a:pt x="932368" y="1145096"/>
                </a:cubicBezTo>
                <a:lnTo>
                  <a:pt x="840974" y="1154900"/>
                </a:lnTo>
                <a:cubicBezTo>
                  <a:pt x="847979" y="1200889"/>
                  <a:pt x="864085" y="1236490"/>
                  <a:pt x="889297" y="1261700"/>
                </a:cubicBezTo>
                <a:cubicBezTo>
                  <a:pt x="914509" y="1286912"/>
                  <a:pt x="947310" y="1301968"/>
                  <a:pt x="987696" y="1306873"/>
                </a:cubicBezTo>
                <a:lnTo>
                  <a:pt x="987696" y="1370603"/>
                </a:lnTo>
                <a:lnTo>
                  <a:pt x="1038471" y="1370603"/>
                </a:lnTo>
                <a:lnTo>
                  <a:pt x="1038471" y="1305120"/>
                </a:lnTo>
                <a:cubicBezTo>
                  <a:pt x="1083994" y="1298585"/>
                  <a:pt x="1119476" y="1280844"/>
                  <a:pt x="1144921" y="1251896"/>
                </a:cubicBezTo>
                <a:cubicBezTo>
                  <a:pt x="1170602" y="1222949"/>
                  <a:pt x="1183440" y="1187349"/>
                  <a:pt x="1183440" y="1145096"/>
                </a:cubicBezTo>
                <a:cubicBezTo>
                  <a:pt x="1183440" y="1107275"/>
                  <a:pt x="1173288" y="1076342"/>
                  <a:pt x="1152976" y="1052299"/>
                </a:cubicBezTo>
                <a:cubicBezTo>
                  <a:pt x="1132665" y="1028019"/>
                  <a:pt x="1094497" y="1008296"/>
                  <a:pt x="1038471" y="993121"/>
                </a:cubicBezTo>
                <a:lnTo>
                  <a:pt x="1038471" y="856204"/>
                </a:lnTo>
                <a:cubicBezTo>
                  <a:pt x="1061116" y="866009"/>
                  <a:pt x="1075122" y="884686"/>
                  <a:pt x="1080492" y="912230"/>
                </a:cubicBezTo>
                <a:lnTo>
                  <a:pt x="1169083" y="900677"/>
                </a:lnTo>
                <a:cubicBezTo>
                  <a:pt x="1163013" y="865657"/>
                  <a:pt x="1149008" y="837760"/>
                  <a:pt x="1127065" y="816987"/>
                </a:cubicBezTo>
                <a:cubicBezTo>
                  <a:pt x="1105119" y="795976"/>
                  <a:pt x="1075587" y="783254"/>
                  <a:pt x="1038471" y="778816"/>
                </a:cubicBezTo>
                <a:lnTo>
                  <a:pt x="1038471" y="744151"/>
                </a:lnTo>
                <a:close/>
                <a:moveTo>
                  <a:pt x="1018529" y="568308"/>
                </a:moveTo>
                <a:cubicBezTo>
                  <a:pt x="1278018" y="568308"/>
                  <a:pt x="1488375" y="778665"/>
                  <a:pt x="1488375" y="1038154"/>
                </a:cubicBezTo>
                <a:cubicBezTo>
                  <a:pt x="1488375" y="1297643"/>
                  <a:pt x="1278018" y="1508000"/>
                  <a:pt x="1018529" y="1508000"/>
                </a:cubicBezTo>
                <a:cubicBezTo>
                  <a:pt x="759040" y="1508000"/>
                  <a:pt x="548683" y="1297643"/>
                  <a:pt x="548683" y="1038154"/>
                </a:cubicBezTo>
                <a:cubicBezTo>
                  <a:pt x="548683" y="778665"/>
                  <a:pt x="759040" y="568308"/>
                  <a:pt x="1018529" y="568308"/>
                </a:cubicBezTo>
                <a:close/>
                <a:moveTo>
                  <a:pt x="1018529" y="476083"/>
                </a:moveTo>
                <a:cubicBezTo>
                  <a:pt x="708106" y="476083"/>
                  <a:pt x="456458" y="727731"/>
                  <a:pt x="456458" y="1038154"/>
                </a:cubicBezTo>
                <a:cubicBezTo>
                  <a:pt x="456458" y="1348577"/>
                  <a:pt x="708106" y="1600225"/>
                  <a:pt x="1018529" y="1600225"/>
                </a:cubicBezTo>
                <a:cubicBezTo>
                  <a:pt x="1328952" y="1600225"/>
                  <a:pt x="1580600" y="1348577"/>
                  <a:pt x="1580600" y="1038154"/>
                </a:cubicBezTo>
                <a:cubicBezTo>
                  <a:pt x="1580600" y="727731"/>
                  <a:pt x="1328952" y="476083"/>
                  <a:pt x="1018529" y="476083"/>
                </a:cubicBezTo>
                <a:close/>
                <a:moveTo>
                  <a:pt x="664325" y="0"/>
                </a:moveTo>
                <a:lnTo>
                  <a:pt x="1314151" y="0"/>
                </a:lnTo>
                <a:cubicBezTo>
                  <a:pt x="1314151" y="0"/>
                  <a:pt x="2008098" y="459576"/>
                  <a:pt x="1997478" y="1091952"/>
                </a:cubicBezTo>
                <a:cubicBezTo>
                  <a:pt x="1985742" y="1790821"/>
                  <a:pt x="1568718" y="1914913"/>
                  <a:pt x="1568718" y="1914913"/>
                </a:cubicBezTo>
                <a:lnTo>
                  <a:pt x="429850" y="1908217"/>
                </a:lnTo>
                <a:cubicBezTo>
                  <a:pt x="429850" y="1908217"/>
                  <a:pt x="-25234" y="1697077"/>
                  <a:pt x="1100" y="1085257"/>
                </a:cubicBezTo>
                <a:cubicBezTo>
                  <a:pt x="27107" y="481032"/>
                  <a:pt x="664325" y="0"/>
                  <a:pt x="664325" y="0"/>
                </a:cubicBezTo>
                <a:close/>
              </a:path>
            </a:pathLst>
          </a:custGeom>
          <a:grpFill/>
          <a:ln w="18002"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6" name="Freeform: Shape 35">
            <a:extLst>
              <a:ext uri="{FF2B5EF4-FFF2-40B4-BE49-F238E27FC236}">
                <a16:creationId xmlns:a16="http://schemas.microsoft.com/office/drawing/2014/main" id="{00000000-0008-0000-0200-000024000000}"/>
              </a:ext>
            </a:extLst>
          </xdr:cNvPr>
          <xdr:cNvSpPr/>
        </xdr:nvSpPr>
        <xdr:spPr>
          <a:xfrm rot="15043660" flipV="1">
            <a:off x="678904" y="943653"/>
            <a:ext cx="730416" cy="1146531"/>
          </a:xfrm>
          <a:custGeom>
            <a:avLst/>
            <a:gdLst>
              <a:gd name="connsiteX0" fmla="*/ 716588 w 730416"/>
              <a:gd name="connsiteY0" fmla="*/ 511011 h 1146531"/>
              <a:gd name="connsiteX1" fmla="*/ 409782 w 730416"/>
              <a:gd name="connsiteY1" fmla="*/ 335484 h 1146531"/>
              <a:gd name="connsiteX2" fmla="*/ 313760 w 730416"/>
              <a:gd name="connsiteY2" fmla="*/ 0 h 1146531"/>
              <a:gd name="connsiteX3" fmla="*/ 0 w 730416"/>
              <a:gd name="connsiteY3" fmla="*/ 421987 h 1146531"/>
              <a:gd name="connsiteX4" fmla="*/ 18807 w 730416"/>
              <a:gd name="connsiteY4" fmla="*/ 472206 h 1146531"/>
              <a:gd name="connsiteX5" fmla="*/ 209996 w 730416"/>
              <a:gd name="connsiteY5" fmla="*/ 348997 h 1146531"/>
              <a:gd name="connsiteX6" fmla="*/ 272267 w 730416"/>
              <a:gd name="connsiteY6" fmla="*/ 360214 h 1146531"/>
              <a:gd name="connsiteX7" fmla="*/ 272266 w 730416"/>
              <a:gd name="connsiteY7" fmla="*/ 360214 h 1146531"/>
              <a:gd name="connsiteX8" fmla="*/ 260426 w 730416"/>
              <a:gd name="connsiteY8" fmla="*/ 419191 h 1146531"/>
              <a:gd name="connsiteX9" fmla="*/ 49788 w 730416"/>
              <a:gd name="connsiteY9" fmla="*/ 554931 h 1146531"/>
              <a:gd name="connsiteX10" fmla="*/ 93126 w 730416"/>
              <a:gd name="connsiteY10" fmla="*/ 670656 h 1146531"/>
              <a:gd name="connsiteX11" fmla="*/ 148370 w 730416"/>
              <a:gd name="connsiteY11" fmla="*/ 652362 h 1146531"/>
              <a:gd name="connsiteX12" fmla="*/ 205474 w 730416"/>
              <a:gd name="connsiteY12" fmla="*/ 678423 h 1146531"/>
              <a:gd name="connsiteX13" fmla="*/ 205473 w 730416"/>
              <a:gd name="connsiteY13" fmla="*/ 678422 h 1146531"/>
              <a:gd name="connsiteX14" fmla="*/ 177957 w 730416"/>
              <a:gd name="connsiteY14" fmla="*/ 732505 h 1146531"/>
              <a:gd name="connsiteX15" fmla="*/ 123093 w 730416"/>
              <a:gd name="connsiteY15" fmla="*/ 750672 h 1146531"/>
              <a:gd name="connsiteX16" fmla="*/ 162028 w 730416"/>
              <a:gd name="connsiteY16" fmla="*/ 854640 h 1146531"/>
              <a:gd name="connsiteX17" fmla="*/ 300808 w 730416"/>
              <a:gd name="connsiteY17" fmla="*/ 854640 h 1146531"/>
              <a:gd name="connsiteX18" fmla="*/ 345630 w 730416"/>
              <a:gd name="connsiteY18" fmla="*/ 897090 h 1146531"/>
              <a:gd name="connsiteX19" fmla="*/ 345629 w 730416"/>
              <a:gd name="connsiteY19" fmla="*/ 897090 h 1146531"/>
              <a:gd name="connsiteX20" fmla="*/ 300807 w 730416"/>
              <a:gd name="connsiteY20" fmla="*/ 939540 h 1146531"/>
              <a:gd name="connsiteX21" fmla="*/ 193823 w 730416"/>
              <a:gd name="connsiteY21" fmla="*/ 939540 h 1146531"/>
              <a:gd name="connsiteX22" fmla="*/ 213858 w 730416"/>
              <a:gd name="connsiteY22" fmla="*/ 993037 h 1146531"/>
              <a:gd name="connsiteX23" fmla="*/ 728835 w 730416"/>
              <a:gd name="connsiteY23" fmla="*/ 1146531 h 1146531"/>
              <a:gd name="connsiteX24" fmla="*/ 583838 w 730416"/>
              <a:gd name="connsiteY24" fmla="*/ 792704 h 1146531"/>
              <a:gd name="connsiteX25" fmla="*/ 716588 w 730416"/>
              <a:gd name="connsiteY25" fmla="*/ 511011 h 114653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30416" h="1146531">
                <a:moveTo>
                  <a:pt x="716588" y="511011"/>
                </a:moveTo>
                <a:cubicBezTo>
                  <a:pt x="680716" y="393596"/>
                  <a:pt x="548708" y="304346"/>
                  <a:pt x="409782" y="335484"/>
                </a:cubicBezTo>
                <a:cubicBezTo>
                  <a:pt x="486583" y="165966"/>
                  <a:pt x="385952" y="81473"/>
                  <a:pt x="313760" y="0"/>
                </a:cubicBezTo>
                <a:lnTo>
                  <a:pt x="0" y="421987"/>
                </a:lnTo>
                <a:lnTo>
                  <a:pt x="18807" y="472206"/>
                </a:lnTo>
                <a:lnTo>
                  <a:pt x="209996" y="348997"/>
                </a:lnTo>
                <a:cubicBezTo>
                  <a:pt x="230463" y="335809"/>
                  <a:pt x="258342" y="340831"/>
                  <a:pt x="272267" y="360214"/>
                </a:cubicBezTo>
                <a:lnTo>
                  <a:pt x="272266" y="360214"/>
                </a:lnTo>
                <a:cubicBezTo>
                  <a:pt x="286194" y="379595"/>
                  <a:pt x="280891" y="406002"/>
                  <a:pt x="260426" y="419191"/>
                </a:cubicBezTo>
                <a:lnTo>
                  <a:pt x="49788" y="554931"/>
                </a:lnTo>
                <a:lnTo>
                  <a:pt x="93126" y="670656"/>
                </a:lnTo>
                <a:lnTo>
                  <a:pt x="148370" y="652362"/>
                </a:lnTo>
                <a:cubicBezTo>
                  <a:pt x="171737" y="644624"/>
                  <a:pt x="197303" y="656291"/>
                  <a:pt x="205474" y="678423"/>
                </a:cubicBezTo>
                <a:lnTo>
                  <a:pt x="205473" y="678422"/>
                </a:lnTo>
                <a:cubicBezTo>
                  <a:pt x="213644" y="700552"/>
                  <a:pt x="201323" y="724767"/>
                  <a:pt x="177957" y="732505"/>
                </a:cubicBezTo>
                <a:lnTo>
                  <a:pt x="123093" y="750672"/>
                </a:lnTo>
                <a:lnTo>
                  <a:pt x="162028" y="854640"/>
                </a:lnTo>
                <a:lnTo>
                  <a:pt x="300808" y="854640"/>
                </a:lnTo>
                <a:cubicBezTo>
                  <a:pt x="325563" y="854641"/>
                  <a:pt x="345630" y="873646"/>
                  <a:pt x="345630" y="897090"/>
                </a:cubicBezTo>
                <a:lnTo>
                  <a:pt x="345629" y="897090"/>
                </a:lnTo>
                <a:cubicBezTo>
                  <a:pt x="345629" y="920534"/>
                  <a:pt x="325560" y="939540"/>
                  <a:pt x="300807" y="939540"/>
                </a:cubicBezTo>
                <a:lnTo>
                  <a:pt x="193823" y="939540"/>
                </a:lnTo>
                <a:lnTo>
                  <a:pt x="213858" y="993037"/>
                </a:lnTo>
                <a:lnTo>
                  <a:pt x="728835" y="1146531"/>
                </a:lnTo>
                <a:cubicBezTo>
                  <a:pt x="738744" y="1018136"/>
                  <a:pt x="703479" y="913568"/>
                  <a:pt x="583838" y="792704"/>
                </a:cubicBezTo>
                <a:cubicBezTo>
                  <a:pt x="714230" y="710695"/>
                  <a:pt x="744487" y="602333"/>
                  <a:pt x="716588" y="511011"/>
                </a:cubicBezTo>
                <a:close/>
              </a:path>
            </a:pathLst>
          </a:custGeom>
          <a:grp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37" name="Freeform: Shape 36">
            <a:extLst>
              <a:ext uri="{FF2B5EF4-FFF2-40B4-BE49-F238E27FC236}">
                <a16:creationId xmlns:a16="http://schemas.microsoft.com/office/drawing/2014/main" id="{00000000-0008-0000-0200-000025000000}"/>
              </a:ext>
            </a:extLst>
          </xdr:cNvPr>
          <xdr:cNvSpPr/>
        </xdr:nvSpPr>
        <xdr:spPr>
          <a:xfrm>
            <a:off x="1066684" y="0"/>
            <a:ext cx="1014942" cy="1014942"/>
          </a:xfrm>
          <a:custGeom>
            <a:avLst/>
            <a:gdLst>
              <a:gd name="connsiteX0" fmla="*/ 529764 w 1014942"/>
              <a:gd name="connsiteY0" fmla="*/ 520172 h 1014942"/>
              <a:gd name="connsiteX1" fmla="*/ 568161 w 1014942"/>
              <a:gd name="connsiteY1" fmla="*/ 542495 h 1014942"/>
              <a:gd name="connsiteX2" fmla="*/ 580067 w 1014942"/>
              <a:gd name="connsiteY2" fmla="*/ 576724 h 1014942"/>
              <a:gd name="connsiteX3" fmla="*/ 566077 w 1014942"/>
              <a:gd name="connsiteY3" fmla="*/ 615719 h 1014942"/>
              <a:gd name="connsiteX4" fmla="*/ 529764 w 1014942"/>
              <a:gd name="connsiteY4" fmla="*/ 636257 h 1014942"/>
              <a:gd name="connsiteX5" fmla="*/ 486603 w 1014942"/>
              <a:gd name="connsiteY5" fmla="*/ 319551 h 1014942"/>
              <a:gd name="connsiteX6" fmla="*/ 486603 w 1014942"/>
              <a:gd name="connsiteY6" fmla="*/ 422540 h 1014942"/>
              <a:gd name="connsiteX7" fmla="*/ 457731 w 1014942"/>
              <a:gd name="connsiteY7" fmla="*/ 400810 h 1014942"/>
              <a:gd name="connsiteX8" fmla="*/ 448206 w 1014942"/>
              <a:gd name="connsiteY8" fmla="*/ 371344 h 1014942"/>
              <a:gd name="connsiteX9" fmla="*/ 458624 w 1014942"/>
              <a:gd name="connsiteY9" fmla="*/ 339790 h 1014942"/>
              <a:gd name="connsiteX10" fmla="*/ 486603 w 1014942"/>
              <a:gd name="connsiteY10" fmla="*/ 319551 h 1014942"/>
              <a:gd name="connsiteX11" fmla="*/ 486603 w 1014942"/>
              <a:gd name="connsiteY11" fmla="*/ 225195 h 1014942"/>
              <a:gd name="connsiteX12" fmla="*/ 486603 w 1014942"/>
              <a:gd name="connsiteY12" fmla="*/ 254661 h 1014942"/>
              <a:gd name="connsiteX13" fmla="*/ 404451 w 1014942"/>
              <a:gd name="connsiteY13" fmla="*/ 293058 h 1014942"/>
              <a:gd name="connsiteX14" fmla="*/ 373794 w 1014942"/>
              <a:gd name="connsiteY14" fmla="*/ 374915 h 1014942"/>
              <a:gd name="connsiteX15" fmla="*/ 400880 w 1014942"/>
              <a:gd name="connsiteY15" fmla="*/ 457067 h 1014942"/>
              <a:gd name="connsiteX16" fmla="*/ 486603 w 1014942"/>
              <a:gd name="connsiteY16" fmla="*/ 507370 h 1014942"/>
              <a:gd name="connsiteX17" fmla="*/ 486603 w 1014942"/>
              <a:gd name="connsiteY17" fmla="*/ 632088 h 1014942"/>
              <a:gd name="connsiteX18" fmla="*/ 457433 w 1014942"/>
              <a:gd name="connsiteY18" fmla="*/ 607087 h 1014942"/>
              <a:gd name="connsiteX19" fmla="*/ 439573 w 1014942"/>
              <a:gd name="connsiteY19" fmla="*/ 566011 h 1014942"/>
              <a:gd name="connsiteX20" fmla="*/ 361885 w 1014942"/>
              <a:gd name="connsiteY20" fmla="*/ 574344 h 1014942"/>
              <a:gd name="connsiteX21" fmla="*/ 402961 w 1014942"/>
              <a:gd name="connsiteY21" fmla="*/ 665129 h 1014942"/>
              <a:gd name="connsiteX22" fmla="*/ 486603 w 1014942"/>
              <a:gd name="connsiteY22" fmla="*/ 703527 h 1014942"/>
              <a:gd name="connsiteX23" fmla="*/ 486603 w 1014942"/>
              <a:gd name="connsiteY23" fmla="*/ 757700 h 1014942"/>
              <a:gd name="connsiteX24" fmla="*/ 529764 w 1014942"/>
              <a:gd name="connsiteY24" fmla="*/ 757700 h 1014942"/>
              <a:gd name="connsiteX25" fmla="*/ 529764 w 1014942"/>
              <a:gd name="connsiteY25" fmla="*/ 702036 h 1014942"/>
              <a:gd name="connsiteX26" fmla="*/ 620250 w 1014942"/>
              <a:gd name="connsiteY26" fmla="*/ 656795 h 1014942"/>
              <a:gd name="connsiteX27" fmla="*/ 652992 w 1014942"/>
              <a:gd name="connsiteY27" fmla="*/ 566011 h 1014942"/>
              <a:gd name="connsiteX28" fmla="*/ 627097 w 1014942"/>
              <a:gd name="connsiteY28" fmla="*/ 487131 h 1014942"/>
              <a:gd name="connsiteX29" fmla="*/ 529764 w 1014942"/>
              <a:gd name="connsiteY29" fmla="*/ 436828 h 1014942"/>
              <a:gd name="connsiteX30" fmla="*/ 529764 w 1014942"/>
              <a:gd name="connsiteY30" fmla="*/ 320444 h 1014942"/>
              <a:gd name="connsiteX31" fmla="*/ 565483 w 1014942"/>
              <a:gd name="connsiteY31" fmla="*/ 368068 h 1014942"/>
              <a:gd name="connsiteX32" fmla="*/ 640788 w 1014942"/>
              <a:gd name="connsiteY32" fmla="*/ 358247 h 1014942"/>
              <a:gd name="connsiteX33" fmla="*/ 605072 w 1014942"/>
              <a:gd name="connsiteY33" fmla="*/ 287107 h 1014942"/>
              <a:gd name="connsiteX34" fmla="*/ 529764 w 1014942"/>
              <a:gd name="connsiteY34" fmla="*/ 254661 h 1014942"/>
              <a:gd name="connsiteX35" fmla="*/ 529764 w 1014942"/>
              <a:gd name="connsiteY35" fmla="*/ 225195 h 1014942"/>
              <a:gd name="connsiteX36" fmla="*/ 507471 w 1014942"/>
              <a:gd name="connsiteY36" fmla="*/ 0 h 1014942"/>
              <a:gd name="connsiteX37" fmla="*/ 1014942 w 1014942"/>
              <a:gd name="connsiteY37" fmla="*/ 507471 h 1014942"/>
              <a:gd name="connsiteX38" fmla="*/ 507471 w 1014942"/>
              <a:gd name="connsiteY38" fmla="*/ 1014942 h 1014942"/>
              <a:gd name="connsiteX39" fmla="*/ 0 w 1014942"/>
              <a:gd name="connsiteY39" fmla="*/ 507471 h 1014942"/>
              <a:gd name="connsiteX40" fmla="*/ 507471 w 1014942"/>
              <a:gd name="connsiteY40" fmla="*/ 0 h 1014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1014942" h="1014942">
                <a:moveTo>
                  <a:pt x="529764" y="520172"/>
                </a:moveTo>
                <a:cubicBezTo>
                  <a:pt x="547623" y="525330"/>
                  <a:pt x="560421" y="532772"/>
                  <a:pt x="568161" y="542495"/>
                </a:cubicBezTo>
                <a:cubicBezTo>
                  <a:pt x="576099" y="552021"/>
                  <a:pt x="580067" y="563429"/>
                  <a:pt x="580067" y="576724"/>
                </a:cubicBezTo>
                <a:cubicBezTo>
                  <a:pt x="580067" y="591607"/>
                  <a:pt x="575405" y="604606"/>
                  <a:pt x="566077" y="615719"/>
                </a:cubicBezTo>
                <a:cubicBezTo>
                  <a:pt x="556750" y="626631"/>
                  <a:pt x="544646" y="633478"/>
                  <a:pt x="529764" y="636257"/>
                </a:cubicBezTo>
                <a:close/>
                <a:moveTo>
                  <a:pt x="486603" y="319551"/>
                </a:moveTo>
                <a:lnTo>
                  <a:pt x="486603" y="422540"/>
                </a:lnTo>
                <a:cubicBezTo>
                  <a:pt x="473705" y="416985"/>
                  <a:pt x="464082" y="409742"/>
                  <a:pt x="457731" y="400810"/>
                </a:cubicBezTo>
                <a:cubicBezTo>
                  <a:pt x="451381" y="391684"/>
                  <a:pt x="448206" y="381860"/>
                  <a:pt x="448206" y="371344"/>
                </a:cubicBezTo>
                <a:cubicBezTo>
                  <a:pt x="448206" y="359835"/>
                  <a:pt x="451680" y="349316"/>
                  <a:pt x="458624" y="339790"/>
                </a:cubicBezTo>
                <a:cubicBezTo>
                  <a:pt x="465569" y="330264"/>
                  <a:pt x="474896" y="323518"/>
                  <a:pt x="486603" y="319551"/>
                </a:cubicBezTo>
                <a:close/>
                <a:moveTo>
                  <a:pt x="486603" y="225195"/>
                </a:moveTo>
                <a:lnTo>
                  <a:pt x="486603" y="254661"/>
                </a:lnTo>
                <a:cubicBezTo>
                  <a:pt x="452472" y="258034"/>
                  <a:pt x="425087" y="270835"/>
                  <a:pt x="404451" y="293058"/>
                </a:cubicBezTo>
                <a:cubicBezTo>
                  <a:pt x="384011" y="315087"/>
                  <a:pt x="373794" y="342371"/>
                  <a:pt x="373794" y="374915"/>
                </a:cubicBezTo>
                <a:cubicBezTo>
                  <a:pt x="373794" y="407060"/>
                  <a:pt x="382823" y="434445"/>
                  <a:pt x="400880" y="457067"/>
                </a:cubicBezTo>
                <a:cubicBezTo>
                  <a:pt x="419136" y="479492"/>
                  <a:pt x="447709" y="496260"/>
                  <a:pt x="486603" y="507370"/>
                </a:cubicBezTo>
                <a:lnTo>
                  <a:pt x="486603" y="632088"/>
                </a:lnTo>
                <a:cubicBezTo>
                  <a:pt x="475886" y="626930"/>
                  <a:pt x="466166" y="618596"/>
                  <a:pt x="457433" y="607087"/>
                </a:cubicBezTo>
                <a:cubicBezTo>
                  <a:pt x="448703" y="595577"/>
                  <a:pt x="442748" y="581883"/>
                  <a:pt x="439573" y="566011"/>
                </a:cubicBezTo>
                <a:lnTo>
                  <a:pt x="361885" y="574344"/>
                </a:lnTo>
                <a:cubicBezTo>
                  <a:pt x="367839" y="613437"/>
                  <a:pt x="381530" y="643698"/>
                  <a:pt x="402961" y="665129"/>
                </a:cubicBezTo>
                <a:cubicBezTo>
                  <a:pt x="424392" y="686560"/>
                  <a:pt x="452274" y="699358"/>
                  <a:pt x="486603" y="703527"/>
                </a:cubicBezTo>
                <a:lnTo>
                  <a:pt x="486603" y="757700"/>
                </a:lnTo>
                <a:lnTo>
                  <a:pt x="529764" y="757700"/>
                </a:lnTo>
                <a:lnTo>
                  <a:pt x="529764" y="702036"/>
                </a:lnTo>
                <a:cubicBezTo>
                  <a:pt x="568460" y="696482"/>
                  <a:pt x="598621" y="681401"/>
                  <a:pt x="620250" y="656795"/>
                </a:cubicBezTo>
                <a:cubicBezTo>
                  <a:pt x="642080" y="632189"/>
                  <a:pt x="652992" y="601928"/>
                  <a:pt x="652992" y="566011"/>
                </a:cubicBezTo>
                <a:cubicBezTo>
                  <a:pt x="652992" y="533862"/>
                  <a:pt x="644363" y="507568"/>
                  <a:pt x="627097" y="487131"/>
                </a:cubicBezTo>
                <a:cubicBezTo>
                  <a:pt x="609832" y="466492"/>
                  <a:pt x="577388" y="449727"/>
                  <a:pt x="529764" y="436828"/>
                </a:cubicBezTo>
                <a:lnTo>
                  <a:pt x="529764" y="320444"/>
                </a:lnTo>
                <a:cubicBezTo>
                  <a:pt x="549013" y="328778"/>
                  <a:pt x="560918" y="344653"/>
                  <a:pt x="565483" y="368068"/>
                </a:cubicBezTo>
                <a:lnTo>
                  <a:pt x="640788" y="358247"/>
                </a:lnTo>
                <a:cubicBezTo>
                  <a:pt x="635629" y="328479"/>
                  <a:pt x="623724" y="304766"/>
                  <a:pt x="605072" y="287107"/>
                </a:cubicBezTo>
                <a:cubicBezTo>
                  <a:pt x="586417" y="269248"/>
                  <a:pt x="561314" y="258433"/>
                  <a:pt x="529764" y="254661"/>
                </a:cubicBezTo>
                <a:lnTo>
                  <a:pt x="529764" y="225195"/>
                </a:lnTo>
                <a:close/>
                <a:moveTo>
                  <a:pt x="507471" y="0"/>
                </a:moveTo>
                <a:cubicBezTo>
                  <a:pt x="787739" y="0"/>
                  <a:pt x="1014942" y="227203"/>
                  <a:pt x="1014942" y="507471"/>
                </a:cubicBezTo>
                <a:cubicBezTo>
                  <a:pt x="1014942" y="787739"/>
                  <a:pt x="787739" y="1014942"/>
                  <a:pt x="507471" y="1014942"/>
                </a:cubicBezTo>
                <a:cubicBezTo>
                  <a:pt x="227203" y="1014942"/>
                  <a:pt x="0" y="787739"/>
                  <a:pt x="0" y="507471"/>
                </a:cubicBezTo>
                <a:cubicBezTo>
                  <a:pt x="0" y="227203"/>
                  <a:pt x="227203" y="0"/>
                  <a:pt x="507471" y="0"/>
                </a:cubicBezTo>
                <a:close/>
              </a:path>
            </a:pathLst>
          </a:custGeom>
          <a:grpFill/>
          <a:ln w="17998"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8" name="Freeform: Shape 37">
            <a:extLst>
              <a:ext uri="{FF2B5EF4-FFF2-40B4-BE49-F238E27FC236}">
                <a16:creationId xmlns:a16="http://schemas.microsoft.com/office/drawing/2014/main" id="{00000000-0008-0000-0200-000026000000}"/>
              </a:ext>
            </a:extLst>
          </xdr:cNvPr>
          <xdr:cNvSpPr/>
        </xdr:nvSpPr>
        <xdr:spPr>
          <a:xfrm>
            <a:off x="3439631" y="1737986"/>
            <a:ext cx="305142" cy="2056672"/>
          </a:xfrm>
          <a:custGeom>
            <a:avLst/>
            <a:gdLst>
              <a:gd name="connsiteX0" fmla="*/ 294 w 274669"/>
              <a:gd name="connsiteY0" fmla="*/ 147 h 2056670"/>
              <a:gd name="connsiteX1" fmla="*/ 274963 w 274669"/>
              <a:gd name="connsiteY1" fmla="*/ 147 h 2056670"/>
              <a:gd name="connsiteX2" fmla="*/ 274963 w 274669"/>
              <a:gd name="connsiteY2" fmla="*/ 2056818 h 2056670"/>
              <a:gd name="connsiteX3" fmla="*/ 294 w 274669"/>
              <a:gd name="connsiteY3" fmla="*/ 2056818 h 2056670"/>
            </a:gdLst>
            <a:ahLst/>
            <a:cxnLst>
              <a:cxn ang="0">
                <a:pos x="connsiteX0" y="connsiteY0"/>
              </a:cxn>
              <a:cxn ang="0">
                <a:pos x="connsiteX1" y="connsiteY1"/>
              </a:cxn>
              <a:cxn ang="0">
                <a:pos x="connsiteX2" y="connsiteY2"/>
              </a:cxn>
              <a:cxn ang="0">
                <a:pos x="connsiteX3" y="connsiteY3"/>
              </a:cxn>
            </a:cxnLst>
            <a:rect l="l" t="t" r="r" b="b"/>
            <a:pathLst>
              <a:path w="274669" h="2056670">
                <a:moveTo>
                  <a:pt x="294" y="147"/>
                </a:moveTo>
                <a:lnTo>
                  <a:pt x="274963" y="147"/>
                </a:lnTo>
                <a:lnTo>
                  <a:pt x="274963" y="2056818"/>
                </a:lnTo>
                <a:lnTo>
                  <a:pt x="294" y="2056818"/>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9" name="Freeform: Shape 38">
            <a:extLst>
              <a:ext uri="{FF2B5EF4-FFF2-40B4-BE49-F238E27FC236}">
                <a16:creationId xmlns:a16="http://schemas.microsoft.com/office/drawing/2014/main" id="{00000000-0008-0000-0200-000027000000}"/>
              </a:ext>
            </a:extLst>
          </xdr:cNvPr>
          <xdr:cNvSpPr/>
        </xdr:nvSpPr>
        <xdr:spPr>
          <a:xfrm>
            <a:off x="2890307" y="2173441"/>
            <a:ext cx="305142" cy="1621217"/>
          </a:xfrm>
          <a:custGeom>
            <a:avLst/>
            <a:gdLst>
              <a:gd name="connsiteX0" fmla="*/ 252 w 281368"/>
              <a:gd name="connsiteY0" fmla="*/ 163 h 1621217"/>
              <a:gd name="connsiteX1" fmla="*/ 281621 w 281368"/>
              <a:gd name="connsiteY1" fmla="*/ 163 h 1621217"/>
              <a:gd name="connsiteX2" fmla="*/ 281621 w 281368"/>
              <a:gd name="connsiteY2" fmla="*/ 1621381 h 1621217"/>
              <a:gd name="connsiteX3" fmla="*/ 252 w 281368"/>
              <a:gd name="connsiteY3" fmla="*/ 1621381 h 1621217"/>
            </a:gdLst>
            <a:ahLst/>
            <a:cxnLst>
              <a:cxn ang="0">
                <a:pos x="connsiteX0" y="connsiteY0"/>
              </a:cxn>
              <a:cxn ang="0">
                <a:pos x="connsiteX1" y="connsiteY1"/>
              </a:cxn>
              <a:cxn ang="0">
                <a:pos x="connsiteX2" y="connsiteY2"/>
              </a:cxn>
              <a:cxn ang="0">
                <a:pos x="connsiteX3" y="connsiteY3"/>
              </a:cxn>
            </a:cxnLst>
            <a:rect l="l" t="t" r="r" b="b"/>
            <a:pathLst>
              <a:path w="281368" h="1621217">
                <a:moveTo>
                  <a:pt x="252" y="163"/>
                </a:moveTo>
                <a:lnTo>
                  <a:pt x="281621" y="163"/>
                </a:lnTo>
                <a:lnTo>
                  <a:pt x="281621" y="1621381"/>
                </a:lnTo>
                <a:lnTo>
                  <a:pt x="252" y="1621381"/>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0" name="Freeform: Shape 39">
            <a:extLst>
              <a:ext uri="{FF2B5EF4-FFF2-40B4-BE49-F238E27FC236}">
                <a16:creationId xmlns:a16="http://schemas.microsoft.com/office/drawing/2014/main" id="{00000000-0008-0000-0200-000028000000}"/>
              </a:ext>
            </a:extLst>
          </xdr:cNvPr>
          <xdr:cNvSpPr/>
        </xdr:nvSpPr>
        <xdr:spPr>
          <a:xfrm>
            <a:off x="2354373" y="2736176"/>
            <a:ext cx="305142" cy="1058482"/>
          </a:xfrm>
          <a:custGeom>
            <a:avLst/>
            <a:gdLst>
              <a:gd name="connsiteX0" fmla="*/ 211 w 281368"/>
              <a:gd name="connsiteY0" fmla="*/ 184 h 1058483"/>
              <a:gd name="connsiteX1" fmla="*/ 281580 w 281368"/>
              <a:gd name="connsiteY1" fmla="*/ 184 h 1058483"/>
              <a:gd name="connsiteX2" fmla="*/ 281580 w 281368"/>
              <a:gd name="connsiteY2" fmla="*/ 1058668 h 1058483"/>
              <a:gd name="connsiteX3" fmla="*/ 211 w 281368"/>
              <a:gd name="connsiteY3" fmla="*/ 1058668 h 1058483"/>
            </a:gdLst>
            <a:ahLst/>
            <a:cxnLst>
              <a:cxn ang="0">
                <a:pos x="connsiteX0" y="connsiteY0"/>
              </a:cxn>
              <a:cxn ang="0">
                <a:pos x="connsiteX1" y="connsiteY1"/>
              </a:cxn>
              <a:cxn ang="0">
                <a:pos x="connsiteX2" y="connsiteY2"/>
              </a:cxn>
              <a:cxn ang="0">
                <a:pos x="connsiteX3" y="connsiteY3"/>
              </a:cxn>
            </a:cxnLst>
            <a:rect l="l" t="t" r="r" b="b"/>
            <a:pathLst>
              <a:path w="281368" h="1058483">
                <a:moveTo>
                  <a:pt x="211" y="184"/>
                </a:moveTo>
                <a:lnTo>
                  <a:pt x="281580" y="184"/>
                </a:lnTo>
                <a:lnTo>
                  <a:pt x="281580" y="1058668"/>
                </a:lnTo>
                <a:lnTo>
                  <a:pt x="211" y="1058668"/>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1" name="Freeform: Shape 40">
            <a:extLst>
              <a:ext uri="{FF2B5EF4-FFF2-40B4-BE49-F238E27FC236}">
                <a16:creationId xmlns:a16="http://schemas.microsoft.com/office/drawing/2014/main" id="{00000000-0008-0000-0200-000029000000}"/>
              </a:ext>
            </a:extLst>
          </xdr:cNvPr>
          <xdr:cNvSpPr/>
        </xdr:nvSpPr>
        <xdr:spPr>
          <a:xfrm>
            <a:off x="1844938" y="3097384"/>
            <a:ext cx="305142" cy="697274"/>
          </a:xfrm>
          <a:custGeom>
            <a:avLst/>
            <a:gdLst>
              <a:gd name="connsiteX0" fmla="*/ 171 w 275221"/>
              <a:gd name="connsiteY0" fmla="*/ 197 h 697273"/>
              <a:gd name="connsiteX1" fmla="*/ 275393 w 275221"/>
              <a:gd name="connsiteY1" fmla="*/ 197 h 697273"/>
              <a:gd name="connsiteX2" fmla="*/ 275393 w 275221"/>
              <a:gd name="connsiteY2" fmla="*/ 697471 h 697273"/>
              <a:gd name="connsiteX3" fmla="*/ 171 w 275221"/>
              <a:gd name="connsiteY3" fmla="*/ 697471 h 697273"/>
            </a:gdLst>
            <a:ahLst/>
            <a:cxnLst>
              <a:cxn ang="0">
                <a:pos x="connsiteX0" y="connsiteY0"/>
              </a:cxn>
              <a:cxn ang="0">
                <a:pos x="connsiteX1" y="connsiteY1"/>
              </a:cxn>
              <a:cxn ang="0">
                <a:pos x="connsiteX2" y="connsiteY2"/>
              </a:cxn>
              <a:cxn ang="0">
                <a:pos x="connsiteX3" y="connsiteY3"/>
              </a:cxn>
            </a:cxnLst>
            <a:rect l="l" t="t" r="r" b="b"/>
            <a:pathLst>
              <a:path w="275221" h="697273">
                <a:moveTo>
                  <a:pt x="171" y="197"/>
                </a:moveTo>
                <a:lnTo>
                  <a:pt x="275393" y="197"/>
                </a:lnTo>
                <a:lnTo>
                  <a:pt x="275393" y="697471"/>
                </a:lnTo>
                <a:lnTo>
                  <a:pt x="171" y="697471"/>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grpSp>
    <xdr:clientData/>
  </xdr:twoCellAnchor>
  <xdr:twoCellAnchor>
    <xdr:from>
      <xdr:col>18</xdr:col>
      <xdr:colOff>309657</xdr:colOff>
      <xdr:row>13</xdr:row>
      <xdr:rowOff>74061</xdr:rowOff>
    </xdr:from>
    <xdr:to>
      <xdr:col>21</xdr:col>
      <xdr:colOff>612746</xdr:colOff>
      <xdr:row>21</xdr:row>
      <xdr:rowOff>163922</xdr:rowOff>
    </xdr:to>
    <xdr:grpSp>
      <xdr:nvGrpSpPr>
        <xdr:cNvPr id="42" name="Group 41">
          <a:extLst>
            <a:ext uri="{FF2B5EF4-FFF2-40B4-BE49-F238E27FC236}">
              <a16:creationId xmlns:a16="http://schemas.microsoft.com/office/drawing/2014/main" id="{00000000-0008-0000-0200-00002A000000}"/>
            </a:ext>
          </a:extLst>
        </xdr:cNvPr>
        <xdr:cNvGrpSpPr/>
      </xdr:nvGrpSpPr>
      <xdr:grpSpPr>
        <a:xfrm>
          <a:off x="15168657" y="2633111"/>
          <a:ext cx="2779589" cy="1664661"/>
          <a:chOff x="6684884" y="1133961"/>
          <a:chExt cx="4632942" cy="2991773"/>
        </a:xfrm>
        <a:effectLst>
          <a:outerShdw blurRad="50800" dist="38100" dir="2700000" algn="tl" rotWithShape="0">
            <a:prstClr val="black">
              <a:alpha val="40000"/>
            </a:prstClr>
          </a:outerShdw>
        </a:effectLst>
      </xdr:grpSpPr>
      <xdr:sp macro="" textlink="">
        <xdr:nvSpPr>
          <xdr:cNvPr id="43" name="Rectangle: Rounded Corners 42">
            <a:extLst>
              <a:ext uri="{FF2B5EF4-FFF2-40B4-BE49-F238E27FC236}">
                <a16:creationId xmlns:a16="http://schemas.microsoft.com/office/drawing/2014/main" id="{00000000-0008-0000-0200-00002B000000}"/>
              </a:ext>
            </a:extLst>
          </xdr:cNvPr>
          <xdr:cNvSpPr/>
        </xdr:nvSpPr>
        <xdr:spPr>
          <a:xfrm>
            <a:off x="6684884" y="1133961"/>
            <a:ext cx="4632942" cy="2991773"/>
          </a:xfrm>
          <a:prstGeom prst="roundRect">
            <a:avLst>
              <a:gd name="adj" fmla="val 6897"/>
            </a:avLst>
          </a:prstGeom>
          <a:gradFill flip="none" rotWithShape="1">
            <a:gsLst>
              <a:gs pos="77000">
                <a:srgbClr val="2D3540"/>
              </a:gs>
              <a:gs pos="0">
                <a:srgbClr val="4472C4">
                  <a:lumMod val="30000"/>
                  <a:lumOff val="70000"/>
                </a:srgbClr>
              </a:gs>
            </a:gsLst>
            <a:path path="circle">
              <a:fillToRect l="100000" b="100000"/>
            </a:path>
            <a:tileRect t="-100000" r="-100000"/>
          </a:gradFill>
          <a:ln w="12700" cap="flat" cmpd="sng" algn="ctr">
            <a:solidFill>
              <a:srgbClr val="4472C4">
                <a:shade val="15000"/>
              </a:srgbClr>
            </a:solid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nvGrpSpPr>
          <xdr:cNvPr id="44" name="Group 43">
            <a:extLst>
              <a:ext uri="{FF2B5EF4-FFF2-40B4-BE49-F238E27FC236}">
                <a16:creationId xmlns:a16="http://schemas.microsoft.com/office/drawing/2014/main" id="{00000000-0008-0000-0200-00002C000000}"/>
              </a:ext>
            </a:extLst>
          </xdr:cNvPr>
          <xdr:cNvGrpSpPr/>
        </xdr:nvGrpSpPr>
        <xdr:grpSpPr>
          <a:xfrm>
            <a:off x="7138979" y="2378947"/>
            <a:ext cx="710550" cy="501799"/>
            <a:chOff x="2716066" y="2011251"/>
            <a:chExt cx="710550" cy="501799"/>
          </a:xfrm>
          <a:solidFill>
            <a:srgbClr val="FBF1BD"/>
          </a:solidFill>
        </xdr:grpSpPr>
        <xdr:sp macro="" textlink="">
          <xdr:nvSpPr>
            <xdr:cNvPr id="48" name="Freeform: Shape 47">
              <a:extLst>
                <a:ext uri="{FF2B5EF4-FFF2-40B4-BE49-F238E27FC236}">
                  <a16:creationId xmlns:a16="http://schemas.microsoft.com/office/drawing/2014/main" id="{00000000-0008-0000-0200-000030000000}"/>
                </a:ext>
              </a:extLst>
            </xdr:cNvPr>
            <xdr:cNvSpPr/>
          </xdr:nvSpPr>
          <xdr:spPr>
            <a:xfrm>
              <a:off x="2716066" y="2011251"/>
              <a:ext cx="710548" cy="102310"/>
            </a:xfrm>
            <a:custGeom>
              <a:avLst/>
              <a:gdLst>
                <a:gd name="connsiteX0" fmla="*/ 80328 w 710548"/>
                <a:gd name="connsiteY0" fmla="*/ 0 h 102310"/>
                <a:gd name="connsiteX1" fmla="*/ 630220 w 710548"/>
                <a:gd name="connsiteY1" fmla="*/ 0 h 102310"/>
                <a:gd name="connsiteX2" fmla="*/ 710548 w 710548"/>
                <a:gd name="connsiteY2" fmla="*/ 80328 h 102310"/>
                <a:gd name="connsiteX3" fmla="*/ 710548 w 710548"/>
                <a:gd name="connsiteY3" fmla="*/ 102310 h 102310"/>
                <a:gd name="connsiteX4" fmla="*/ 426341 w 710548"/>
                <a:gd name="connsiteY4" fmla="*/ 102310 h 102310"/>
                <a:gd name="connsiteX5" fmla="*/ 417706 w 710548"/>
                <a:gd name="connsiteY5" fmla="*/ 89503 h 102310"/>
                <a:gd name="connsiteX6" fmla="*/ 379637 w 710548"/>
                <a:gd name="connsiteY6" fmla="*/ 73734 h 102310"/>
                <a:gd name="connsiteX7" fmla="*/ 330912 w 710548"/>
                <a:gd name="connsiteY7" fmla="*/ 73734 h 102310"/>
                <a:gd name="connsiteX8" fmla="*/ 292843 w 710548"/>
                <a:gd name="connsiteY8" fmla="*/ 89503 h 102310"/>
                <a:gd name="connsiteX9" fmla="*/ 284208 w 710548"/>
                <a:gd name="connsiteY9" fmla="*/ 102310 h 102310"/>
                <a:gd name="connsiteX10" fmla="*/ 0 w 710548"/>
                <a:gd name="connsiteY10" fmla="*/ 102310 h 102310"/>
                <a:gd name="connsiteX11" fmla="*/ 0 w 710548"/>
                <a:gd name="connsiteY11" fmla="*/ 80328 h 102310"/>
                <a:gd name="connsiteX12" fmla="*/ 80328 w 710548"/>
                <a:gd name="connsiteY12" fmla="*/ 0 h 10231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710548" h="102310">
                  <a:moveTo>
                    <a:pt x="80328" y="0"/>
                  </a:moveTo>
                  <a:lnTo>
                    <a:pt x="630220" y="0"/>
                  </a:lnTo>
                  <a:cubicBezTo>
                    <a:pt x="674584" y="0"/>
                    <a:pt x="710548" y="35964"/>
                    <a:pt x="710548" y="80328"/>
                  </a:cubicBezTo>
                  <a:lnTo>
                    <a:pt x="710548" y="102310"/>
                  </a:lnTo>
                  <a:lnTo>
                    <a:pt x="426341" y="102310"/>
                  </a:lnTo>
                  <a:lnTo>
                    <a:pt x="417706" y="89503"/>
                  </a:lnTo>
                  <a:cubicBezTo>
                    <a:pt x="407964" y="79760"/>
                    <a:pt x="394504" y="73734"/>
                    <a:pt x="379637" y="73734"/>
                  </a:cubicBezTo>
                  <a:lnTo>
                    <a:pt x="330912" y="73734"/>
                  </a:lnTo>
                  <a:cubicBezTo>
                    <a:pt x="316045" y="73734"/>
                    <a:pt x="302586" y="79760"/>
                    <a:pt x="292843" y="89503"/>
                  </a:cubicBezTo>
                  <a:lnTo>
                    <a:pt x="284208" y="102310"/>
                  </a:lnTo>
                  <a:lnTo>
                    <a:pt x="0" y="102310"/>
                  </a:lnTo>
                  <a:lnTo>
                    <a:pt x="0" y="80328"/>
                  </a:lnTo>
                  <a:cubicBezTo>
                    <a:pt x="0" y="35964"/>
                    <a:pt x="35964" y="0"/>
                    <a:pt x="80328" y="0"/>
                  </a:cubicBez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49" name="Freeform: Shape 48">
              <a:extLst>
                <a:ext uri="{FF2B5EF4-FFF2-40B4-BE49-F238E27FC236}">
                  <a16:creationId xmlns:a16="http://schemas.microsoft.com/office/drawing/2014/main" id="{00000000-0008-0000-0200-000031000000}"/>
                </a:ext>
              </a:extLst>
            </xdr:cNvPr>
            <xdr:cNvSpPr/>
          </xdr:nvSpPr>
          <xdr:spPr>
            <a:xfrm>
              <a:off x="2716066" y="2410739"/>
              <a:ext cx="710548" cy="102311"/>
            </a:xfrm>
            <a:custGeom>
              <a:avLst/>
              <a:gdLst>
                <a:gd name="connsiteX0" fmla="*/ 0 w 710548"/>
                <a:gd name="connsiteY0" fmla="*/ 0 h 102311"/>
                <a:gd name="connsiteX1" fmla="*/ 284208 w 710548"/>
                <a:gd name="connsiteY1" fmla="*/ 0 h 102311"/>
                <a:gd name="connsiteX2" fmla="*/ 292843 w 710548"/>
                <a:gd name="connsiteY2" fmla="*/ 12807 h 102311"/>
                <a:gd name="connsiteX3" fmla="*/ 330912 w 710548"/>
                <a:gd name="connsiteY3" fmla="*/ 28576 h 102311"/>
                <a:gd name="connsiteX4" fmla="*/ 379637 w 710548"/>
                <a:gd name="connsiteY4" fmla="*/ 28576 h 102311"/>
                <a:gd name="connsiteX5" fmla="*/ 417706 w 710548"/>
                <a:gd name="connsiteY5" fmla="*/ 12807 h 102311"/>
                <a:gd name="connsiteX6" fmla="*/ 426341 w 710548"/>
                <a:gd name="connsiteY6" fmla="*/ 0 h 102311"/>
                <a:gd name="connsiteX7" fmla="*/ 710548 w 710548"/>
                <a:gd name="connsiteY7" fmla="*/ 0 h 102311"/>
                <a:gd name="connsiteX8" fmla="*/ 710548 w 710548"/>
                <a:gd name="connsiteY8" fmla="*/ 21983 h 102311"/>
                <a:gd name="connsiteX9" fmla="*/ 630220 w 710548"/>
                <a:gd name="connsiteY9" fmla="*/ 102311 h 102311"/>
                <a:gd name="connsiteX10" fmla="*/ 80328 w 710548"/>
                <a:gd name="connsiteY10" fmla="*/ 102311 h 102311"/>
                <a:gd name="connsiteX11" fmla="*/ 0 w 710548"/>
                <a:gd name="connsiteY11" fmla="*/ 21983 h 102311"/>
                <a:gd name="connsiteX12" fmla="*/ 0 w 710548"/>
                <a:gd name="connsiteY12" fmla="*/ 0 h 10231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710548" h="102311">
                  <a:moveTo>
                    <a:pt x="0" y="0"/>
                  </a:moveTo>
                  <a:lnTo>
                    <a:pt x="284208" y="0"/>
                  </a:lnTo>
                  <a:lnTo>
                    <a:pt x="292843" y="12807"/>
                  </a:lnTo>
                  <a:cubicBezTo>
                    <a:pt x="302586" y="22550"/>
                    <a:pt x="316045" y="28576"/>
                    <a:pt x="330912" y="28576"/>
                  </a:cubicBezTo>
                  <a:lnTo>
                    <a:pt x="379637" y="28576"/>
                  </a:lnTo>
                  <a:cubicBezTo>
                    <a:pt x="394504" y="28576"/>
                    <a:pt x="407964" y="22550"/>
                    <a:pt x="417706" y="12807"/>
                  </a:cubicBezTo>
                  <a:lnTo>
                    <a:pt x="426341" y="0"/>
                  </a:lnTo>
                  <a:lnTo>
                    <a:pt x="710548" y="0"/>
                  </a:lnTo>
                  <a:lnTo>
                    <a:pt x="710548" y="21983"/>
                  </a:lnTo>
                  <a:cubicBezTo>
                    <a:pt x="710548" y="66347"/>
                    <a:pt x="674584" y="102311"/>
                    <a:pt x="630220" y="102311"/>
                  </a:cubicBezTo>
                  <a:lnTo>
                    <a:pt x="80328" y="102311"/>
                  </a:lnTo>
                  <a:cubicBezTo>
                    <a:pt x="35964" y="102311"/>
                    <a:pt x="0" y="66347"/>
                    <a:pt x="0" y="21983"/>
                  </a:cubicBezTo>
                  <a:lnTo>
                    <a:pt x="0"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0" name="Freeform: Shape 49">
              <a:extLst>
                <a:ext uri="{FF2B5EF4-FFF2-40B4-BE49-F238E27FC236}">
                  <a16:creationId xmlns:a16="http://schemas.microsoft.com/office/drawing/2014/main" id="{00000000-0008-0000-0200-000032000000}"/>
                </a:ext>
              </a:extLst>
            </xdr:cNvPr>
            <xdr:cNvSpPr/>
          </xdr:nvSpPr>
          <xdr:spPr>
            <a:xfrm>
              <a:off x="2716066" y="2113561"/>
              <a:ext cx="284208" cy="148588"/>
            </a:xfrm>
            <a:custGeom>
              <a:avLst/>
              <a:gdLst>
                <a:gd name="connsiteX0" fmla="*/ 0 w 284208"/>
                <a:gd name="connsiteY0" fmla="*/ 0 h 148588"/>
                <a:gd name="connsiteX1" fmla="*/ 284208 w 284208"/>
                <a:gd name="connsiteY1" fmla="*/ 0 h 148588"/>
                <a:gd name="connsiteX2" fmla="*/ 281305 w 284208"/>
                <a:gd name="connsiteY2" fmla="*/ 4306 h 148588"/>
                <a:gd name="connsiteX3" fmla="*/ 277074 w 284208"/>
                <a:gd name="connsiteY3" fmla="*/ 25262 h 148588"/>
                <a:gd name="connsiteX4" fmla="*/ 277074 w 284208"/>
                <a:gd name="connsiteY4" fmla="*/ 148588 h 148588"/>
                <a:gd name="connsiteX5" fmla="*/ 0 w 284208"/>
                <a:gd name="connsiteY5" fmla="*/ 148588 h 148588"/>
                <a:gd name="connsiteX6" fmla="*/ 0 w 284208"/>
                <a:gd name="connsiteY6" fmla="*/ 0 h 1485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8" h="148588">
                  <a:moveTo>
                    <a:pt x="0" y="0"/>
                  </a:moveTo>
                  <a:lnTo>
                    <a:pt x="284208" y="0"/>
                  </a:lnTo>
                  <a:lnTo>
                    <a:pt x="281305" y="4306"/>
                  </a:lnTo>
                  <a:cubicBezTo>
                    <a:pt x="278581" y="10747"/>
                    <a:pt x="277074" y="17829"/>
                    <a:pt x="277074" y="25262"/>
                  </a:cubicBezTo>
                  <a:lnTo>
                    <a:pt x="277074" y="148588"/>
                  </a:lnTo>
                  <a:lnTo>
                    <a:pt x="0" y="148588"/>
                  </a:lnTo>
                  <a:lnTo>
                    <a:pt x="0"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1" name="Freeform: Shape 50">
              <a:extLst>
                <a:ext uri="{FF2B5EF4-FFF2-40B4-BE49-F238E27FC236}">
                  <a16:creationId xmlns:a16="http://schemas.microsoft.com/office/drawing/2014/main" id="{00000000-0008-0000-0200-000033000000}"/>
                </a:ext>
              </a:extLst>
            </xdr:cNvPr>
            <xdr:cNvSpPr/>
          </xdr:nvSpPr>
          <xdr:spPr>
            <a:xfrm>
              <a:off x="3142409" y="2113561"/>
              <a:ext cx="284207" cy="148588"/>
            </a:xfrm>
            <a:custGeom>
              <a:avLst/>
              <a:gdLst>
                <a:gd name="connsiteX0" fmla="*/ 0 w 284207"/>
                <a:gd name="connsiteY0" fmla="*/ 0 h 148588"/>
                <a:gd name="connsiteX1" fmla="*/ 284207 w 284207"/>
                <a:gd name="connsiteY1" fmla="*/ 0 h 148588"/>
                <a:gd name="connsiteX2" fmla="*/ 284207 w 284207"/>
                <a:gd name="connsiteY2" fmla="*/ 148588 h 148588"/>
                <a:gd name="connsiteX3" fmla="*/ 7134 w 284207"/>
                <a:gd name="connsiteY3" fmla="*/ 148588 h 148588"/>
                <a:gd name="connsiteX4" fmla="*/ 7134 w 284207"/>
                <a:gd name="connsiteY4" fmla="*/ 25262 h 148588"/>
                <a:gd name="connsiteX5" fmla="*/ 2903 w 284207"/>
                <a:gd name="connsiteY5" fmla="*/ 4306 h 148588"/>
                <a:gd name="connsiteX6" fmla="*/ 0 w 284207"/>
                <a:gd name="connsiteY6" fmla="*/ 0 h 1485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7" h="148588">
                  <a:moveTo>
                    <a:pt x="0" y="0"/>
                  </a:moveTo>
                  <a:lnTo>
                    <a:pt x="284207" y="0"/>
                  </a:lnTo>
                  <a:lnTo>
                    <a:pt x="284207" y="148588"/>
                  </a:lnTo>
                  <a:lnTo>
                    <a:pt x="7134" y="148588"/>
                  </a:lnTo>
                  <a:lnTo>
                    <a:pt x="7134" y="25262"/>
                  </a:lnTo>
                  <a:cubicBezTo>
                    <a:pt x="7134" y="17829"/>
                    <a:pt x="5628" y="10747"/>
                    <a:pt x="2903" y="4306"/>
                  </a:cubicBezTo>
                  <a:lnTo>
                    <a:pt x="0"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2" name="Freeform: Shape 51">
              <a:extLst>
                <a:ext uri="{FF2B5EF4-FFF2-40B4-BE49-F238E27FC236}">
                  <a16:creationId xmlns:a16="http://schemas.microsoft.com/office/drawing/2014/main" id="{00000000-0008-0000-0200-000034000000}"/>
                </a:ext>
              </a:extLst>
            </xdr:cNvPr>
            <xdr:cNvSpPr/>
          </xdr:nvSpPr>
          <xdr:spPr>
            <a:xfrm>
              <a:off x="2716066" y="2262150"/>
              <a:ext cx="284208" cy="148589"/>
            </a:xfrm>
            <a:custGeom>
              <a:avLst/>
              <a:gdLst>
                <a:gd name="connsiteX0" fmla="*/ 0 w 284208"/>
                <a:gd name="connsiteY0" fmla="*/ 0 h 148589"/>
                <a:gd name="connsiteX1" fmla="*/ 277074 w 284208"/>
                <a:gd name="connsiteY1" fmla="*/ 0 h 148589"/>
                <a:gd name="connsiteX2" fmla="*/ 277074 w 284208"/>
                <a:gd name="connsiteY2" fmla="*/ 123327 h 148589"/>
                <a:gd name="connsiteX3" fmla="*/ 281305 w 284208"/>
                <a:gd name="connsiteY3" fmla="*/ 144283 h 148589"/>
                <a:gd name="connsiteX4" fmla="*/ 284208 w 284208"/>
                <a:gd name="connsiteY4" fmla="*/ 148589 h 148589"/>
                <a:gd name="connsiteX5" fmla="*/ 0 w 284208"/>
                <a:gd name="connsiteY5" fmla="*/ 148589 h 148589"/>
                <a:gd name="connsiteX6" fmla="*/ 0 w 284208"/>
                <a:gd name="connsiteY6" fmla="*/ 0 h 1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8" h="148589">
                  <a:moveTo>
                    <a:pt x="0" y="0"/>
                  </a:moveTo>
                  <a:lnTo>
                    <a:pt x="277074" y="0"/>
                  </a:lnTo>
                  <a:lnTo>
                    <a:pt x="277074" y="123327"/>
                  </a:lnTo>
                  <a:cubicBezTo>
                    <a:pt x="277074" y="130761"/>
                    <a:pt x="278581" y="137842"/>
                    <a:pt x="281305" y="144283"/>
                  </a:cubicBezTo>
                  <a:lnTo>
                    <a:pt x="284208" y="148589"/>
                  </a:lnTo>
                  <a:lnTo>
                    <a:pt x="0" y="148589"/>
                  </a:lnTo>
                  <a:lnTo>
                    <a:pt x="0" y="0"/>
                  </a:lnTo>
                  <a:close/>
                </a:path>
              </a:pathLst>
            </a:custGeom>
            <a:grpFill/>
            <a:ln w="6350" cap="flat" cmpd="sng" algn="ctr">
              <a:solidFill>
                <a:srgbClr val="4472C4">
                  <a:shade val="15000"/>
                </a:srgbClr>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3" name="Freeform: Shape 52">
              <a:extLst>
                <a:ext uri="{FF2B5EF4-FFF2-40B4-BE49-F238E27FC236}">
                  <a16:creationId xmlns:a16="http://schemas.microsoft.com/office/drawing/2014/main" id="{00000000-0008-0000-0200-000035000000}"/>
                </a:ext>
              </a:extLst>
            </xdr:cNvPr>
            <xdr:cNvSpPr/>
          </xdr:nvSpPr>
          <xdr:spPr>
            <a:xfrm>
              <a:off x="3142409" y="2262150"/>
              <a:ext cx="284207" cy="148589"/>
            </a:xfrm>
            <a:custGeom>
              <a:avLst/>
              <a:gdLst>
                <a:gd name="connsiteX0" fmla="*/ 7134 w 284207"/>
                <a:gd name="connsiteY0" fmla="*/ 0 h 148589"/>
                <a:gd name="connsiteX1" fmla="*/ 284207 w 284207"/>
                <a:gd name="connsiteY1" fmla="*/ 0 h 148589"/>
                <a:gd name="connsiteX2" fmla="*/ 284207 w 284207"/>
                <a:gd name="connsiteY2" fmla="*/ 148589 h 148589"/>
                <a:gd name="connsiteX3" fmla="*/ 0 w 284207"/>
                <a:gd name="connsiteY3" fmla="*/ 148589 h 148589"/>
                <a:gd name="connsiteX4" fmla="*/ 2903 w 284207"/>
                <a:gd name="connsiteY4" fmla="*/ 144283 h 148589"/>
                <a:gd name="connsiteX5" fmla="*/ 7134 w 284207"/>
                <a:gd name="connsiteY5" fmla="*/ 123327 h 148589"/>
                <a:gd name="connsiteX6" fmla="*/ 7134 w 284207"/>
                <a:gd name="connsiteY6" fmla="*/ 0 h 1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7" h="148589">
                  <a:moveTo>
                    <a:pt x="7134" y="0"/>
                  </a:moveTo>
                  <a:lnTo>
                    <a:pt x="284207" y="0"/>
                  </a:lnTo>
                  <a:lnTo>
                    <a:pt x="284207" y="148589"/>
                  </a:lnTo>
                  <a:lnTo>
                    <a:pt x="0" y="148589"/>
                  </a:lnTo>
                  <a:lnTo>
                    <a:pt x="2903" y="144283"/>
                  </a:lnTo>
                  <a:cubicBezTo>
                    <a:pt x="5628" y="137842"/>
                    <a:pt x="7134" y="130761"/>
                    <a:pt x="7134" y="123327"/>
                  </a:cubicBezTo>
                  <a:lnTo>
                    <a:pt x="7134"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4" name="Rectangle: Rounded Corners 53">
              <a:extLst>
                <a:ext uri="{FF2B5EF4-FFF2-40B4-BE49-F238E27FC236}">
                  <a16:creationId xmlns:a16="http://schemas.microsoft.com/office/drawing/2014/main" id="{00000000-0008-0000-0200-000036000000}"/>
                </a:ext>
              </a:extLst>
            </xdr:cNvPr>
            <xdr:cNvSpPr/>
          </xdr:nvSpPr>
          <xdr:spPr>
            <a:xfrm>
              <a:off x="2993139" y="2084984"/>
              <a:ext cx="156401" cy="354330"/>
            </a:xfrm>
            <a:prstGeom prst="roundRect">
              <a:avLst>
                <a:gd name="adj" fmla="val 34423"/>
              </a:avLst>
            </a:prstGeom>
            <a:grpFill/>
            <a:ln w="6350" cap="flat" cmpd="sng" algn="ctr">
              <a:solidFill>
                <a:sysClr val="windowText" lastClr="000000"/>
              </a:solid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sp macro="" textlink="">
        <xdr:nvSpPr>
          <xdr:cNvPr id="45" name="Oval 44">
            <a:extLst>
              <a:ext uri="{FF2B5EF4-FFF2-40B4-BE49-F238E27FC236}">
                <a16:creationId xmlns:a16="http://schemas.microsoft.com/office/drawing/2014/main" id="{00000000-0008-0000-0200-00002D000000}"/>
              </a:ext>
            </a:extLst>
          </xdr:cNvPr>
          <xdr:cNvSpPr/>
        </xdr:nvSpPr>
        <xdr:spPr>
          <a:xfrm>
            <a:off x="10163787" y="1535610"/>
            <a:ext cx="504000" cy="504000"/>
          </a:xfrm>
          <a:prstGeom prst="ellipse">
            <a:avLst/>
          </a:prstGeom>
          <a:solidFill>
            <a:srgbClr val="FF0000"/>
          </a:solidFill>
          <a:ln w="12700" cap="flat" cmpd="sng" algn="ctr">
            <a:no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46" name="Oval 45">
            <a:extLst>
              <a:ext uri="{FF2B5EF4-FFF2-40B4-BE49-F238E27FC236}">
                <a16:creationId xmlns:a16="http://schemas.microsoft.com/office/drawing/2014/main" id="{00000000-0008-0000-0200-00002E000000}"/>
              </a:ext>
            </a:extLst>
          </xdr:cNvPr>
          <xdr:cNvSpPr/>
        </xdr:nvSpPr>
        <xdr:spPr>
          <a:xfrm>
            <a:off x="10414983" y="1535610"/>
            <a:ext cx="505609" cy="504000"/>
          </a:xfrm>
          <a:prstGeom prst="ellipse">
            <a:avLst/>
          </a:prstGeom>
          <a:solidFill>
            <a:srgbClr val="FFC000"/>
          </a:solidFill>
          <a:ln w="12700" cap="flat" cmpd="sng" algn="ctr">
            <a:no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47" name="TextBox 55">
            <a:extLst>
              <a:ext uri="{FF2B5EF4-FFF2-40B4-BE49-F238E27FC236}">
                <a16:creationId xmlns:a16="http://schemas.microsoft.com/office/drawing/2014/main" id="{00000000-0008-0000-0200-00002F000000}"/>
              </a:ext>
            </a:extLst>
          </xdr:cNvPr>
          <xdr:cNvSpPr txBox="1"/>
        </xdr:nvSpPr>
        <xdr:spPr>
          <a:xfrm>
            <a:off x="7227366" y="3183940"/>
            <a:ext cx="3547978" cy="708003"/>
          </a:xfrm>
          <a:prstGeom prst="rect">
            <a:avLst/>
          </a:prstGeom>
          <a:noFill/>
        </xdr:spPr>
        <xdr:txBody>
          <a:bodyPr wrap="square" rtlCol="0">
            <a:sp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ysClr val="window" lastClr="FFFFFF"/>
                </a:solidFill>
                <a:effectLst/>
                <a:uLnTx/>
                <a:uFillTx/>
                <a:latin typeface="Calibri" panose="020F0502020204030204"/>
                <a:ea typeface="+mn-ea"/>
                <a:cs typeface="+mn-cs"/>
              </a:rPr>
              <a:t>1234 …. …. 5678</a:t>
            </a: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19</xdr:col>
      <xdr:colOff>361656</xdr:colOff>
      <xdr:row>22</xdr:row>
      <xdr:rowOff>897</xdr:rowOff>
    </xdr:from>
    <xdr:to>
      <xdr:col>21</xdr:col>
      <xdr:colOff>460346</xdr:colOff>
      <xdr:row>25</xdr:row>
      <xdr:rowOff>34963</xdr:rowOff>
    </xdr:to>
    <xdr:sp macro="" textlink="Processing!M1">
      <xdr:nvSpPr>
        <xdr:cNvPr id="55" name="TextBox 54">
          <a:extLst>
            <a:ext uri="{FF2B5EF4-FFF2-40B4-BE49-F238E27FC236}">
              <a16:creationId xmlns:a16="http://schemas.microsoft.com/office/drawing/2014/main" id="{00000000-0008-0000-0200-000037000000}"/>
            </a:ext>
          </a:extLst>
        </xdr:cNvPr>
        <xdr:cNvSpPr txBox="1"/>
      </xdr:nvSpPr>
      <xdr:spPr>
        <a:xfrm>
          <a:off x="16046156" y="4471297"/>
          <a:ext cx="1749690" cy="643666"/>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90DC41C4-6ED0-174A-A552-02B42293A67F}" type="TxLink">
            <a:rPr kumimoji="0" lang="en-US" sz="1800" b="0" i="0" u="none" strike="noStrike" kern="0" cap="none" spc="0" normalizeH="0" baseline="0" noProof="0">
              <a:ln>
                <a:noFill/>
              </a:ln>
              <a:solidFill>
                <a:srgbClr val="BFCDE4"/>
              </a:soli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Sum of Balance</a:t>
          </a:fld>
          <a:endParaRPr kumimoji="0" lang="ru-RU" sz="1800" b="0" i="0" u="none" strike="noStrike" kern="0" cap="none" spc="0" normalizeH="0" baseline="0" noProof="0">
            <a:ln>
              <a:noFill/>
            </a:ln>
            <a:solidFill>
              <a:srgbClr val="BFCDE4"/>
            </a:solidFill>
            <a:effectLst/>
            <a:uLnTx/>
            <a:uFillTx/>
            <a:latin typeface="Calibri"/>
            <a:ea typeface="+mn-ea"/>
            <a:cs typeface="Calibri"/>
          </a:endParaRPr>
        </a:p>
      </xdr:txBody>
    </xdr:sp>
    <xdr:clientData/>
  </xdr:twoCellAnchor>
  <xdr:twoCellAnchor>
    <xdr:from>
      <xdr:col>18</xdr:col>
      <xdr:colOff>157257</xdr:colOff>
      <xdr:row>22</xdr:row>
      <xdr:rowOff>897</xdr:rowOff>
    </xdr:from>
    <xdr:to>
      <xdr:col>20</xdr:col>
      <xdr:colOff>193195</xdr:colOff>
      <xdr:row>25</xdr:row>
      <xdr:rowOff>34963</xdr:rowOff>
    </xdr:to>
    <xdr:sp macro="" textlink="Processing!L1">
      <xdr:nvSpPr>
        <xdr:cNvPr id="56" name="TextBox 55">
          <a:extLst>
            <a:ext uri="{FF2B5EF4-FFF2-40B4-BE49-F238E27FC236}">
              <a16:creationId xmlns:a16="http://schemas.microsoft.com/office/drawing/2014/main" id="{00000000-0008-0000-0200-000038000000}"/>
            </a:ext>
          </a:extLst>
        </xdr:cNvPr>
        <xdr:cNvSpPr txBox="1"/>
      </xdr:nvSpPr>
      <xdr:spPr>
        <a:xfrm>
          <a:off x="15016257" y="4471297"/>
          <a:ext cx="1686938"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236B239E-7062-AA40-833D-E95A67499EA1}" type="TxLink">
            <a:rPr kumimoji="0" lang="en-US" sz="1800" b="0" i="0" u="none" strike="noStrike" kern="0" cap="none" spc="0" normalizeH="0" baseline="0" noProof="0">
              <a:ln>
                <a:noFill/>
              </a:ln>
              <a:solidFill>
                <a:srgbClr val="BFCDE4"/>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Balance:</a:t>
          </a:fld>
          <a:endParaRPr kumimoji="0" lang="ru-RU" sz="1800" b="0" i="0" u="none" strike="noStrike" kern="0" cap="none" spc="0" normalizeH="0" baseline="0" noProof="0">
            <a:ln>
              <a:noFill/>
            </a:ln>
            <a:solidFill>
              <a:srgbClr val="BFCDE4"/>
            </a:solidFill>
            <a:effectLst/>
            <a:uLnTx/>
            <a:uFillTx/>
            <a:latin typeface="Calibri"/>
            <a:ea typeface="+mn-ea"/>
            <a:cs typeface="Calibri"/>
          </a:endParaRPr>
        </a:p>
      </xdr:txBody>
    </xdr:sp>
    <xdr:clientData/>
  </xdr:twoCellAnchor>
  <xdr:twoCellAnchor>
    <xdr:from>
      <xdr:col>17</xdr:col>
      <xdr:colOff>648963</xdr:colOff>
      <xdr:row>27</xdr:row>
      <xdr:rowOff>159270</xdr:rowOff>
    </xdr:from>
    <xdr:to>
      <xdr:col>19</xdr:col>
      <xdr:colOff>747654</xdr:colOff>
      <xdr:row>30</xdr:row>
      <xdr:rowOff>193336</xdr:rowOff>
    </xdr:to>
    <xdr:sp macro="" textlink="Processing!G1">
      <xdr:nvSpPr>
        <xdr:cNvPr id="57" name="TextBox 56">
          <a:extLst>
            <a:ext uri="{FF2B5EF4-FFF2-40B4-BE49-F238E27FC236}">
              <a16:creationId xmlns:a16="http://schemas.microsoft.com/office/drawing/2014/main" id="{00000000-0008-0000-0200-000039000000}"/>
            </a:ext>
          </a:extLst>
        </xdr:cNvPr>
        <xdr:cNvSpPr txBox="1"/>
      </xdr:nvSpPr>
      <xdr:spPr>
        <a:xfrm>
          <a:off x="14682463" y="5645670"/>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AD2C44A4-CFF0-404F-83A1-3CF8D89E5169}"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Calendar</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18</xdr:col>
      <xdr:colOff>40344</xdr:colOff>
      <xdr:row>30</xdr:row>
      <xdr:rowOff>158378</xdr:rowOff>
    </xdr:from>
    <xdr:to>
      <xdr:col>21</xdr:col>
      <xdr:colOff>586858</xdr:colOff>
      <xdr:row>32</xdr:row>
      <xdr:rowOff>14568</xdr:rowOff>
    </xdr:to>
    <xdr:sp macro="" textlink="">
      <xdr:nvSpPr>
        <xdr:cNvPr id="59" name="TextBox 58">
          <a:extLst>
            <a:ext uri="{FF2B5EF4-FFF2-40B4-BE49-F238E27FC236}">
              <a16:creationId xmlns:a16="http://schemas.microsoft.com/office/drawing/2014/main" id="{00000000-0008-0000-0200-00003B000000}"/>
            </a:ext>
          </a:extLst>
        </xdr:cNvPr>
        <xdr:cNvSpPr txBox="1"/>
      </xdr:nvSpPr>
      <xdr:spPr>
        <a:xfrm>
          <a:off x="14899344" y="6254378"/>
          <a:ext cx="3023014" cy="262590"/>
        </a:xfrm>
        <a:prstGeom prst="rect">
          <a:avLst/>
        </a:prstGeom>
        <a:noFill/>
        <a:ln w="9525" cmpd="sng">
          <a:no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rgbClr val="FF00FF"/>
              </a:solidFill>
              <a:effectLst/>
              <a:uLnTx/>
              <a:uFillTx/>
              <a:latin typeface="Calibri Light" panose="020F0302020204030204"/>
              <a:ea typeface="+mn-ea"/>
              <a:cs typeface="Calibri"/>
            </a:rPr>
            <a:t>SU </a:t>
          </a:r>
          <a:r>
            <a:rPr kumimoji="0" lang="en-US" sz="1200" b="0" i="0" u="none" strike="noStrike" kern="0" cap="none" spc="0" normalizeH="0" baseline="0" noProof="0">
              <a:ln>
                <a:noFill/>
              </a:ln>
              <a:solidFill>
                <a:sysClr val="windowText" lastClr="000000"/>
              </a:solidFill>
              <a:effectLst/>
              <a:uLnTx/>
              <a:uFillTx/>
              <a:latin typeface="Calibri Light" panose="020F0302020204030204"/>
              <a:ea typeface="+mn-ea"/>
              <a:cs typeface="+mn-cs"/>
            </a:rPr>
            <a:t> </a:t>
          </a:r>
          <a:r>
            <a:rPr kumimoji="0" lang="en-US" sz="1200" b="0" i="0" u="none" strike="noStrike" kern="0" cap="none" spc="0" normalizeH="0" baseline="0" noProof="0">
              <a:ln>
                <a:noFill/>
              </a:ln>
              <a:solidFill>
                <a:srgbClr val="00FAE3"/>
              </a:solidFill>
              <a:effectLst/>
              <a:uLnTx/>
              <a:uFillTx/>
              <a:latin typeface="Calibri Light" panose="020F0302020204030204"/>
              <a:ea typeface="+mn-ea"/>
              <a:cs typeface="+mn-cs"/>
            </a:rPr>
            <a:t>   </a:t>
          </a:r>
          <a:r>
            <a:rPr kumimoji="0" lang="en-US" sz="1200" b="0" i="0" u="none" strike="noStrike" kern="0" cap="none" spc="0" normalizeH="0" baseline="0" noProof="0">
              <a:ln>
                <a:noFill/>
              </a:ln>
              <a:solidFill>
                <a:sysClr val="window" lastClr="FFFFFF">
                  <a:lumMod val="95000"/>
                </a:sysClr>
              </a:solidFill>
              <a:effectLst/>
              <a:uLnTx/>
              <a:uFillTx/>
              <a:latin typeface="Calibri Light" panose="020F0302020204030204"/>
              <a:ea typeface="+mn-ea"/>
              <a:cs typeface="Calibri"/>
            </a:rPr>
            <a:t>MO      TU      WE      TH      FR </a:t>
          </a:r>
          <a:r>
            <a:rPr kumimoji="0" lang="en-US" sz="1200" b="0" i="0" u="none" strike="noStrike" kern="0" cap="none" spc="0" normalizeH="0" baseline="0" noProof="0">
              <a:ln>
                <a:noFill/>
              </a:ln>
              <a:solidFill>
                <a:sysClr val="window" lastClr="FFFFFF">
                  <a:lumMod val="95000"/>
                </a:sysClr>
              </a:solidFill>
              <a:effectLst/>
              <a:uLnTx/>
              <a:uFillTx/>
              <a:latin typeface="Calibri Light" panose="020F0302020204030204"/>
              <a:ea typeface="+mn-ea"/>
              <a:cs typeface="+mn-cs"/>
            </a:rPr>
            <a:t>    </a:t>
          </a:r>
          <a:r>
            <a:rPr kumimoji="0" lang="en-US" sz="1200" b="1" i="0" u="none" strike="noStrike" kern="0" cap="none" spc="0" normalizeH="0" baseline="0" noProof="0">
              <a:ln>
                <a:noFill/>
              </a:ln>
              <a:solidFill>
                <a:srgbClr val="FF00FF"/>
              </a:solidFill>
              <a:effectLst/>
              <a:uLnTx/>
              <a:uFillTx/>
              <a:latin typeface="Calibri Light" panose="020F0302020204030204"/>
              <a:ea typeface="+mn-ea"/>
              <a:cs typeface="+mn-cs"/>
            </a:rPr>
            <a:t>SA</a:t>
          </a:r>
          <a:endParaRPr kumimoji="0" lang="en-US" sz="1200" b="1" i="0" u="none" strike="noStrike" kern="0" cap="none" spc="0" normalizeH="0" baseline="0" noProof="0">
            <a:ln>
              <a:noFill/>
            </a:ln>
            <a:solidFill>
              <a:srgbClr val="FF00FF"/>
            </a:solidFill>
            <a:effectLst/>
            <a:uLnTx/>
            <a:uFillTx/>
            <a:latin typeface="Calibri Light" panose="020F0302020204030204"/>
            <a:ea typeface="+mn-ea"/>
            <a:cs typeface="Calibri"/>
          </a:endParaRPr>
        </a:p>
      </xdr:txBody>
    </xdr:sp>
    <xdr:clientData/>
  </xdr:twoCellAnchor>
  <xdr:twoCellAnchor>
    <xdr:from>
      <xdr:col>18</xdr:col>
      <xdr:colOff>708382</xdr:colOff>
      <xdr:row>27</xdr:row>
      <xdr:rowOff>159270</xdr:rowOff>
    </xdr:from>
    <xdr:to>
      <xdr:col>20</xdr:col>
      <xdr:colOff>744320</xdr:colOff>
      <xdr:row>30</xdr:row>
      <xdr:rowOff>193336</xdr:rowOff>
    </xdr:to>
    <xdr:sp macro="" textlink="Processing!F3">
      <xdr:nvSpPr>
        <xdr:cNvPr id="60" name="TextBox 59">
          <a:extLst>
            <a:ext uri="{FF2B5EF4-FFF2-40B4-BE49-F238E27FC236}">
              <a16:creationId xmlns:a16="http://schemas.microsoft.com/office/drawing/2014/main" id="{00000000-0008-0000-0200-00003C000000}"/>
            </a:ext>
          </a:extLst>
        </xdr:cNvPr>
        <xdr:cNvSpPr txBox="1"/>
      </xdr:nvSpPr>
      <xdr:spPr>
        <a:xfrm>
          <a:off x="15567382" y="5645670"/>
          <a:ext cx="1686938" cy="643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290CD79C-1883-E841-9F2D-7549CCBB5C70}" type="TxLink">
            <a:rPr lang="en-US" sz="1400" b="0"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Maggio</a:t>
          </a:fld>
          <a:endParaRPr lang="ru-RU" sz="1400" b="0" i="0" u="none" strike="noStrike" noProof="0">
            <a:solidFill>
              <a:schemeClr val="bg1"/>
            </a:solidFill>
            <a:latin typeface="Calibri"/>
            <a:ea typeface="+mn-ea"/>
            <a:cs typeface="Calibri"/>
          </a:endParaRPr>
        </a:p>
      </xdr:txBody>
    </xdr:sp>
    <xdr:clientData/>
  </xdr:twoCellAnchor>
  <xdr:twoCellAnchor>
    <xdr:from>
      <xdr:col>20</xdr:col>
      <xdr:colOff>558800</xdr:colOff>
      <xdr:row>27</xdr:row>
      <xdr:rowOff>159270</xdr:rowOff>
    </xdr:from>
    <xdr:to>
      <xdr:col>21</xdr:col>
      <xdr:colOff>698748</xdr:colOff>
      <xdr:row>30</xdr:row>
      <xdr:rowOff>193336</xdr:rowOff>
    </xdr:to>
    <xdr:sp macro="" textlink="Processing!D1">
      <xdr:nvSpPr>
        <xdr:cNvPr id="61" name="TextBox 60">
          <a:extLst>
            <a:ext uri="{FF2B5EF4-FFF2-40B4-BE49-F238E27FC236}">
              <a16:creationId xmlns:a16="http://schemas.microsoft.com/office/drawing/2014/main" id="{00000000-0008-0000-0200-00003D000000}"/>
            </a:ext>
          </a:extLst>
        </xdr:cNvPr>
        <xdr:cNvSpPr txBox="1"/>
      </xdr:nvSpPr>
      <xdr:spPr>
        <a:xfrm>
          <a:off x="17068800" y="5645670"/>
          <a:ext cx="965448" cy="643666"/>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B101DB52-D01B-D64C-8201-B24AED9EB728}"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2025</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9</xdr:col>
      <xdr:colOff>109370</xdr:colOff>
      <xdr:row>34</xdr:row>
      <xdr:rowOff>69625</xdr:rowOff>
    </xdr:from>
    <xdr:to>
      <xdr:col>11</xdr:col>
      <xdr:colOff>145308</xdr:colOff>
      <xdr:row>37</xdr:row>
      <xdr:rowOff>103690</xdr:rowOff>
    </xdr:to>
    <xdr:sp macro="" textlink="Processing!AL25">
      <xdr:nvSpPr>
        <xdr:cNvPr id="62" name="TextBox 61">
          <a:extLst>
            <a:ext uri="{FF2B5EF4-FFF2-40B4-BE49-F238E27FC236}">
              <a16:creationId xmlns:a16="http://schemas.microsoft.com/office/drawing/2014/main" id="{00000000-0008-0000-0200-00003E000000}"/>
            </a:ext>
          </a:extLst>
        </xdr:cNvPr>
        <xdr:cNvSpPr txBox="1"/>
      </xdr:nvSpPr>
      <xdr:spPr>
        <a:xfrm>
          <a:off x="7538870" y="6978425"/>
          <a:ext cx="1686938" cy="643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3F88F05B-7BD6-234E-A524-D5B160D1E92E}" type="TxLink">
            <a:rPr lang="en-US" sz="1400" b="1"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Incom by Days</a:t>
          </a:fld>
          <a:endParaRPr lang="ru-RU" sz="1400" b="1" i="0" u="none" strike="noStrike" noProof="0">
            <a:solidFill>
              <a:schemeClr val="bg1"/>
            </a:solidFill>
            <a:latin typeface="Calibri"/>
            <a:ea typeface="+mn-ea"/>
            <a:cs typeface="Calibri"/>
          </a:endParaRPr>
        </a:p>
      </xdr:txBody>
    </xdr:sp>
    <xdr:clientData/>
  </xdr:twoCellAnchor>
  <xdr:twoCellAnchor>
    <xdr:from>
      <xdr:col>9</xdr:col>
      <xdr:colOff>217391</xdr:colOff>
      <xdr:row>36</xdr:row>
      <xdr:rowOff>149409</xdr:rowOff>
    </xdr:from>
    <xdr:to>
      <xdr:col>17</xdr:col>
      <xdr:colOff>218894</xdr:colOff>
      <xdr:row>46</xdr:row>
      <xdr:rowOff>86657</xdr:rowOff>
    </xdr:to>
    <xdr:graphicFrame macro="">
      <xdr:nvGraphicFramePr>
        <xdr:cNvPr id="63" name="Chart 62">
          <a:extLst>
            <a:ext uri="{FF2B5EF4-FFF2-40B4-BE49-F238E27FC236}">
              <a16:creationId xmlns:a16="http://schemas.microsoft.com/office/drawing/2014/main" id="{00000000-0008-0000-02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313763</xdr:colOff>
      <xdr:row>1</xdr:row>
      <xdr:rowOff>54468</xdr:rowOff>
    </xdr:from>
    <xdr:to>
      <xdr:col>2</xdr:col>
      <xdr:colOff>412454</xdr:colOff>
      <xdr:row>4</xdr:row>
      <xdr:rowOff>61000</xdr:rowOff>
    </xdr:to>
    <xdr:sp macro="" textlink="Processing!G3">
      <xdr:nvSpPr>
        <xdr:cNvPr id="64" name="TextBox 63">
          <a:extLst>
            <a:ext uri="{FF2B5EF4-FFF2-40B4-BE49-F238E27FC236}">
              <a16:creationId xmlns:a16="http://schemas.microsoft.com/office/drawing/2014/main" id="{00000000-0008-0000-0200-000040000000}"/>
            </a:ext>
          </a:extLst>
        </xdr:cNvPr>
        <xdr:cNvSpPr txBox="1"/>
      </xdr:nvSpPr>
      <xdr:spPr>
        <a:xfrm>
          <a:off x="313763" y="257668"/>
          <a:ext cx="1749691" cy="616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923F9044-88CD-D943-82F6-484806036A85}" type="TxLink">
            <a:rPr lang="en-US" sz="1200" b="0"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Personal Finance</a:t>
          </a:fld>
          <a:endParaRPr lang="ru-RU" sz="1200" b="0" i="0" u="none" strike="noStrike" noProof="0">
            <a:solidFill>
              <a:schemeClr val="bg1"/>
            </a:solidFill>
            <a:latin typeface="Calibri"/>
            <a:ea typeface="+mn-ea"/>
            <a:cs typeface="Calibri"/>
          </a:endParaRPr>
        </a:p>
      </xdr:txBody>
    </xdr:sp>
    <xdr:clientData/>
  </xdr:twoCellAnchor>
  <xdr:twoCellAnchor>
    <xdr:from>
      <xdr:col>14</xdr:col>
      <xdr:colOff>187343</xdr:colOff>
      <xdr:row>34</xdr:row>
      <xdr:rowOff>69625</xdr:rowOff>
    </xdr:from>
    <xdr:to>
      <xdr:col>15</xdr:col>
      <xdr:colOff>777789</xdr:colOff>
      <xdr:row>37</xdr:row>
      <xdr:rowOff>103690</xdr:rowOff>
    </xdr:to>
    <xdr:sp macro="" textlink="Processing!B42">
      <xdr:nvSpPr>
        <xdr:cNvPr id="65" name="TextBox 64">
          <a:extLst>
            <a:ext uri="{FF2B5EF4-FFF2-40B4-BE49-F238E27FC236}">
              <a16:creationId xmlns:a16="http://schemas.microsoft.com/office/drawing/2014/main" id="{00000000-0008-0000-0200-000041000000}"/>
            </a:ext>
          </a:extLst>
        </xdr:cNvPr>
        <xdr:cNvSpPr txBox="1"/>
      </xdr:nvSpPr>
      <xdr:spPr>
        <a:xfrm>
          <a:off x="11744343" y="6978425"/>
          <a:ext cx="1415946" cy="643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EBD7B2A6-5839-A748-8B0B-559CB1E4742D}" type="TxLink">
            <a:rPr lang="en-US" sz="1200" b="1" i="0" u="none" strike="noStrike" noProof="0">
              <a:gradFill>
                <a:gsLst>
                  <a:gs pos="0">
                    <a:srgbClr val="C4FEF9"/>
                  </a:gs>
                  <a:gs pos="100000">
                    <a:srgbClr val="00FFFF"/>
                  </a:gs>
                </a:gsLst>
                <a:lin ang="5400000" scaled="1"/>
              </a:gra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Entrate</a:t>
          </a:fld>
          <a:endParaRPr lang="ru-RU" sz="1200" b="1" i="0" u="none" strike="noStrike" noProof="0">
            <a:gradFill>
              <a:gsLst>
                <a:gs pos="0">
                  <a:srgbClr val="C4FEF9"/>
                </a:gs>
                <a:gs pos="100000">
                  <a:srgbClr val="00FFFF"/>
                </a:gs>
              </a:gsLst>
              <a:lin ang="5400000" scaled="1"/>
            </a:gradFill>
            <a:latin typeface="Calibri"/>
            <a:ea typeface="+mn-ea"/>
            <a:cs typeface="Calibri"/>
          </a:endParaRPr>
        </a:p>
      </xdr:txBody>
    </xdr:sp>
    <xdr:clientData/>
  </xdr:twoCellAnchor>
  <xdr:twoCellAnchor>
    <xdr:from>
      <xdr:col>14</xdr:col>
      <xdr:colOff>70222</xdr:colOff>
      <xdr:row>35</xdr:row>
      <xdr:rowOff>113549</xdr:rowOff>
    </xdr:from>
    <xdr:to>
      <xdr:col>14</xdr:col>
      <xdr:colOff>214222</xdr:colOff>
      <xdr:row>36</xdr:row>
      <xdr:rowOff>69289</xdr:rowOff>
    </xdr:to>
    <xdr:sp macro="" textlink="">
      <xdr:nvSpPr>
        <xdr:cNvPr id="66" name="Oval 65">
          <a:extLst>
            <a:ext uri="{FF2B5EF4-FFF2-40B4-BE49-F238E27FC236}">
              <a16:creationId xmlns:a16="http://schemas.microsoft.com/office/drawing/2014/main" id="{00000000-0008-0000-0200-000042000000}"/>
            </a:ext>
          </a:extLst>
        </xdr:cNvPr>
        <xdr:cNvSpPr/>
      </xdr:nvSpPr>
      <xdr:spPr>
        <a:xfrm>
          <a:off x="11627222" y="7225549"/>
          <a:ext cx="144000" cy="158940"/>
        </a:xfrm>
        <a:prstGeom prst="ellipse">
          <a:avLst/>
        </a:prstGeom>
        <a:gradFill>
          <a:gsLst>
            <a:gs pos="0">
              <a:srgbClr val="C4FEF9"/>
            </a:gs>
            <a:gs pos="93000">
              <a:srgbClr val="00FFFF"/>
            </a:gs>
          </a:gsLst>
          <a:lin ang="5400000" scaled="1"/>
        </a:gra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gradFill>
              <a:gsLst>
                <a:gs pos="0">
                  <a:srgbClr val="C4FEF9"/>
                </a:gs>
                <a:gs pos="100000">
                  <a:srgbClr val="00FFFF"/>
                </a:gs>
              </a:gsLst>
              <a:lin ang="5400000" scaled="1"/>
            </a:gradFill>
            <a:effectLst/>
            <a:uLnTx/>
            <a:uFillTx/>
            <a:latin typeface="Calibri" panose="020F0502020204030204"/>
            <a:ea typeface="+mn-ea"/>
            <a:cs typeface="+mn-cs"/>
          </a:endParaRPr>
        </a:p>
      </xdr:txBody>
    </xdr:sp>
    <xdr:clientData/>
  </xdr:twoCellAnchor>
  <xdr:twoCellAnchor>
    <xdr:from>
      <xdr:col>11</xdr:col>
      <xdr:colOff>171076</xdr:colOff>
      <xdr:row>34</xdr:row>
      <xdr:rowOff>87551</xdr:rowOff>
    </xdr:from>
    <xdr:to>
      <xdr:col>14</xdr:col>
      <xdr:colOff>124111</xdr:colOff>
      <xdr:row>37</xdr:row>
      <xdr:rowOff>121617</xdr:rowOff>
    </xdr:to>
    <xdr:grpSp>
      <xdr:nvGrpSpPr>
        <xdr:cNvPr id="67" name="Group 66">
          <a:extLst>
            <a:ext uri="{FF2B5EF4-FFF2-40B4-BE49-F238E27FC236}">
              <a16:creationId xmlns:a16="http://schemas.microsoft.com/office/drawing/2014/main" id="{00000000-0008-0000-0200-000043000000}"/>
            </a:ext>
          </a:extLst>
        </xdr:cNvPr>
        <xdr:cNvGrpSpPr/>
      </xdr:nvGrpSpPr>
      <xdr:grpSpPr>
        <a:xfrm>
          <a:off x="9251576" y="6780451"/>
          <a:ext cx="2429535" cy="624616"/>
          <a:chOff x="8489575" y="6500304"/>
          <a:chExt cx="2178523" cy="598843"/>
        </a:xfrm>
      </xdr:grpSpPr>
      <xdr:sp macro="" textlink="Processing!B41">
        <xdr:nvSpPr>
          <xdr:cNvPr id="68" name="TextBox 67">
            <a:extLst>
              <a:ext uri="{FF2B5EF4-FFF2-40B4-BE49-F238E27FC236}">
                <a16:creationId xmlns:a16="http://schemas.microsoft.com/office/drawing/2014/main" id="{00000000-0008-0000-0200-000044000000}"/>
              </a:ext>
            </a:extLst>
          </xdr:cNvPr>
          <xdr:cNvSpPr txBox="1"/>
        </xdr:nvSpPr>
        <xdr:spPr>
          <a:xfrm>
            <a:off x="8606696" y="6500305"/>
            <a:ext cx="1290440" cy="598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B518E8B9-82D5-E041-8B4D-8FDCD2564C56}" type="TxLink">
              <a:rPr lang="en-US" sz="1200" b="1" i="0" u="none" strike="noStrike" noProof="0">
                <a:gradFill>
                  <a:gsLst>
                    <a:gs pos="75000">
                      <a:srgbClr val="F28F33"/>
                    </a:gs>
                    <a:gs pos="3000">
                      <a:srgbClr val="FE2827"/>
                    </a:gs>
                  </a:gsLst>
                  <a:lin ang="5400000" scaled="1"/>
                </a:gra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Entrate Fisse</a:t>
            </a:fld>
            <a:endParaRPr lang="ru-RU" sz="1200" b="1" i="0" u="none" strike="noStrike" noProof="0">
              <a:gradFill>
                <a:gsLst>
                  <a:gs pos="75000">
                    <a:srgbClr val="F28F33"/>
                  </a:gs>
                  <a:gs pos="3000">
                    <a:srgbClr val="FE2827"/>
                  </a:gs>
                </a:gsLst>
                <a:lin ang="5400000" scaled="1"/>
              </a:gradFill>
              <a:latin typeface="Calibri"/>
              <a:ea typeface="+mn-ea"/>
              <a:cs typeface="Calibri"/>
            </a:endParaRPr>
          </a:p>
        </xdr:txBody>
      </xdr:sp>
      <xdr:sp macro="" textlink="">
        <xdr:nvSpPr>
          <xdr:cNvPr id="69" name="Oval 68">
            <a:extLst>
              <a:ext uri="{FF2B5EF4-FFF2-40B4-BE49-F238E27FC236}">
                <a16:creationId xmlns:a16="http://schemas.microsoft.com/office/drawing/2014/main" id="{00000000-0008-0000-0200-000045000000}"/>
              </a:ext>
            </a:extLst>
          </xdr:cNvPr>
          <xdr:cNvSpPr/>
        </xdr:nvSpPr>
        <xdr:spPr>
          <a:xfrm>
            <a:off x="8489575" y="6723526"/>
            <a:ext cx="144000" cy="144000"/>
          </a:xfrm>
          <a:prstGeom prst="ellipse">
            <a:avLst/>
          </a:prstGeom>
          <a:gradFill>
            <a:gsLst>
              <a:gs pos="75000">
                <a:srgbClr val="F28F33"/>
              </a:gs>
              <a:gs pos="3000">
                <a:srgbClr val="FE2827"/>
              </a:gs>
            </a:gsLst>
            <a:lin ang="5400000" scaled="1"/>
          </a:gra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Processing!H41">
        <xdr:nvSpPr>
          <xdr:cNvPr id="70" name="TextBox 69">
            <a:extLst>
              <a:ext uri="{FF2B5EF4-FFF2-40B4-BE49-F238E27FC236}">
                <a16:creationId xmlns:a16="http://schemas.microsoft.com/office/drawing/2014/main" id="{00000000-0008-0000-0200-000046000000}"/>
              </a:ext>
            </a:extLst>
          </xdr:cNvPr>
          <xdr:cNvSpPr txBox="1"/>
        </xdr:nvSpPr>
        <xdr:spPr>
          <a:xfrm>
            <a:off x="9377658" y="6500304"/>
            <a:ext cx="1290440" cy="598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F22F6A50-8D7D-9043-9854-105ADA6FFE15}" type="TxLink">
              <a:rPr lang="en-US" sz="1800" b="0" i="0" u="none" strike="noStrike" noProof="0">
                <a:gradFill>
                  <a:gsLst>
                    <a:gs pos="75000">
                      <a:srgbClr val="F28F33"/>
                    </a:gs>
                    <a:gs pos="3000">
                      <a:srgbClr val="FE2827"/>
                    </a:gs>
                  </a:gsLst>
                  <a:lin ang="5400000" scaled="1"/>
                </a:gra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 € - </a:t>
            </a:fld>
            <a:endParaRPr lang="ru-RU" sz="1800" b="0" i="0" u="none" strike="noStrike" noProof="0">
              <a:gradFill>
                <a:gsLst>
                  <a:gs pos="75000">
                    <a:srgbClr val="F28F33"/>
                  </a:gs>
                  <a:gs pos="3000">
                    <a:srgbClr val="FE2827"/>
                  </a:gs>
                </a:gsLst>
                <a:lin ang="5400000" scaled="1"/>
              </a:gradFill>
              <a:latin typeface="Calibri"/>
              <a:ea typeface="+mn-ea"/>
              <a:cs typeface="Calibri"/>
            </a:endParaRPr>
          </a:p>
        </xdr:txBody>
      </xdr:sp>
    </xdr:grpSp>
    <xdr:clientData/>
  </xdr:twoCellAnchor>
  <xdr:twoCellAnchor>
    <xdr:from>
      <xdr:col>15</xdr:col>
      <xdr:colOff>500358</xdr:colOff>
      <xdr:row>34</xdr:row>
      <xdr:rowOff>78587</xdr:rowOff>
    </xdr:from>
    <xdr:to>
      <xdr:col>17</xdr:col>
      <xdr:colOff>265304</xdr:colOff>
      <xdr:row>37</xdr:row>
      <xdr:rowOff>112652</xdr:rowOff>
    </xdr:to>
    <xdr:sp macro="" textlink="Processing!H42">
      <xdr:nvSpPr>
        <xdr:cNvPr id="71" name="TextBox 70">
          <a:extLst>
            <a:ext uri="{FF2B5EF4-FFF2-40B4-BE49-F238E27FC236}">
              <a16:creationId xmlns:a16="http://schemas.microsoft.com/office/drawing/2014/main" id="{00000000-0008-0000-0200-000047000000}"/>
            </a:ext>
          </a:extLst>
        </xdr:cNvPr>
        <xdr:cNvSpPr txBox="1"/>
      </xdr:nvSpPr>
      <xdr:spPr>
        <a:xfrm>
          <a:off x="12882858" y="6987387"/>
          <a:ext cx="1415946" cy="643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F0B3BDD2-2480-2349-9AAD-8B41A76A7389}" type="TxLink">
            <a:rPr lang="en-US" sz="1800" b="0" i="0" u="none" strike="noStrike" noProof="0">
              <a:gradFill>
                <a:gsLst>
                  <a:gs pos="0">
                    <a:srgbClr val="C4FEF9"/>
                  </a:gs>
                  <a:gs pos="100000">
                    <a:srgbClr val="00FFFF"/>
                  </a:gs>
                </a:gsLst>
                <a:lin ang="5400000" scaled="1"/>
              </a:gra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 € - </a:t>
          </a:fld>
          <a:endParaRPr lang="ru-RU" sz="1800" b="0" i="0" u="none" strike="noStrike" noProof="0">
            <a:gradFill>
              <a:gsLst>
                <a:gs pos="0">
                  <a:srgbClr val="C4FEF9"/>
                </a:gs>
                <a:gs pos="100000">
                  <a:srgbClr val="00FFFF"/>
                </a:gs>
              </a:gsLst>
              <a:lin ang="5400000" scaled="1"/>
            </a:gradFill>
            <a:latin typeface="Calibri"/>
            <a:ea typeface="+mn-ea"/>
            <a:cs typeface="Calibri"/>
          </a:endParaRPr>
        </a:p>
      </xdr:txBody>
    </xdr:sp>
    <xdr:clientData/>
  </xdr:twoCellAnchor>
  <xdr:twoCellAnchor>
    <xdr:from>
      <xdr:col>9</xdr:col>
      <xdr:colOff>91887</xdr:colOff>
      <xdr:row>10</xdr:row>
      <xdr:rowOff>11951</xdr:rowOff>
    </xdr:from>
    <xdr:to>
      <xdr:col>17</xdr:col>
      <xdr:colOff>148664</xdr:colOff>
      <xdr:row>32</xdr:row>
      <xdr:rowOff>176306</xdr:rowOff>
    </xdr:to>
    <xdr:sp macro="" textlink="">
      <xdr:nvSpPr>
        <xdr:cNvPr id="72" name="Rectangle: Rounded Corners 72">
          <a:extLst>
            <a:ext uri="{FF2B5EF4-FFF2-40B4-BE49-F238E27FC236}">
              <a16:creationId xmlns:a16="http://schemas.microsoft.com/office/drawing/2014/main" id="{00000000-0008-0000-0200-000048000000}"/>
            </a:ext>
          </a:extLst>
        </xdr:cNvPr>
        <xdr:cNvSpPr/>
      </xdr:nvSpPr>
      <xdr:spPr>
        <a:xfrm>
          <a:off x="7521387" y="2043951"/>
          <a:ext cx="6660777" cy="4634755"/>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745304</xdr:colOff>
      <xdr:row>9</xdr:row>
      <xdr:rowOff>189150</xdr:rowOff>
    </xdr:from>
    <xdr:to>
      <xdr:col>11</xdr:col>
      <xdr:colOff>781242</xdr:colOff>
      <xdr:row>13</xdr:row>
      <xdr:rowOff>34956</xdr:rowOff>
    </xdr:to>
    <xdr:sp macro="" textlink="Processing!B44">
      <xdr:nvSpPr>
        <xdr:cNvPr id="73" name="TextBox 72">
          <a:extLst>
            <a:ext uri="{FF2B5EF4-FFF2-40B4-BE49-F238E27FC236}">
              <a16:creationId xmlns:a16="http://schemas.microsoft.com/office/drawing/2014/main" id="{00000000-0008-0000-0200-000049000000}"/>
            </a:ext>
          </a:extLst>
        </xdr:cNvPr>
        <xdr:cNvSpPr txBox="1"/>
      </xdr:nvSpPr>
      <xdr:spPr>
        <a:xfrm>
          <a:off x="8174804" y="2017950"/>
          <a:ext cx="1686938" cy="658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60A8E92C-AF32-7048-AB63-475653E0AE49}" type="TxLink">
            <a:rPr lang="en-US" sz="1400" b="1" i="0" u="none" strike="noStrike" noProof="0">
              <a:solidFill>
                <a:schemeClr val="bg1"/>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Income Share</a:t>
          </a:fld>
          <a:endParaRPr lang="ru-RU" sz="1400" b="1" i="0" u="none" strike="noStrike" noProof="0">
            <a:solidFill>
              <a:schemeClr val="bg1"/>
            </a:solidFill>
            <a:latin typeface="Calibri"/>
            <a:ea typeface="+mn-ea"/>
            <a:cs typeface="Calibri"/>
          </a:endParaRPr>
        </a:p>
      </xdr:txBody>
    </xdr:sp>
    <xdr:clientData/>
  </xdr:twoCellAnchor>
  <xdr:twoCellAnchor>
    <xdr:from>
      <xdr:col>14</xdr:col>
      <xdr:colOff>190242</xdr:colOff>
      <xdr:row>9</xdr:row>
      <xdr:rowOff>189150</xdr:rowOff>
    </xdr:from>
    <xdr:to>
      <xdr:col>16</xdr:col>
      <xdr:colOff>288933</xdr:colOff>
      <xdr:row>13</xdr:row>
      <xdr:rowOff>34956</xdr:rowOff>
    </xdr:to>
    <xdr:sp macro="" textlink="Processing!E52">
      <xdr:nvSpPr>
        <xdr:cNvPr id="74" name="TextBox 73">
          <a:extLst>
            <a:ext uri="{FF2B5EF4-FFF2-40B4-BE49-F238E27FC236}">
              <a16:creationId xmlns:a16="http://schemas.microsoft.com/office/drawing/2014/main" id="{00000000-0008-0000-0200-00004A000000}"/>
            </a:ext>
          </a:extLst>
        </xdr:cNvPr>
        <xdr:cNvSpPr txBox="1"/>
      </xdr:nvSpPr>
      <xdr:spPr>
        <a:xfrm>
          <a:off x="11747242" y="2017950"/>
          <a:ext cx="1749691" cy="658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821F923A-A683-9647-9B4A-4891ADFC0A55}" type="TxLink">
            <a:rPr lang="en-US" sz="1400" b="1" i="0" u="none" strike="noStrike" noProof="0">
              <a:solidFill>
                <a:schemeClr val="bg1"/>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Income Ranking</a:t>
          </a:fld>
          <a:endParaRPr lang="ru-RU" sz="1400" b="1" i="0" u="none" strike="noStrike" noProof="0">
            <a:solidFill>
              <a:schemeClr val="bg1"/>
            </a:solidFill>
            <a:latin typeface="Calibri"/>
            <a:ea typeface="+mn-ea"/>
            <a:cs typeface="Calibri"/>
          </a:endParaRPr>
        </a:p>
      </xdr:txBody>
    </xdr:sp>
    <xdr:clientData/>
  </xdr:twoCellAnchor>
  <xdr:twoCellAnchor>
    <xdr:from>
      <xdr:col>14</xdr:col>
      <xdr:colOff>231588</xdr:colOff>
      <xdr:row>25</xdr:row>
      <xdr:rowOff>113552</xdr:rowOff>
    </xdr:from>
    <xdr:to>
      <xdr:col>16</xdr:col>
      <xdr:colOff>660397</xdr:colOff>
      <xdr:row>32</xdr:row>
      <xdr:rowOff>149411</xdr:rowOff>
    </xdr:to>
    <xdr:graphicFrame macro="">
      <xdr:nvGraphicFramePr>
        <xdr:cNvPr id="75" name="Chart 74">
          <a:extLst>
            <a:ext uri="{FF2B5EF4-FFF2-40B4-BE49-F238E27FC236}">
              <a16:creationId xmlns:a16="http://schemas.microsoft.com/office/drawing/2014/main" id="{00000000-0008-0000-02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132806</xdr:colOff>
      <xdr:row>28</xdr:row>
      <xdr:rowOff>60196</xdr:rowOff>
    </xdr:from>
    <xdr:to>
      <xdr:col>15</xdr:col>
      <xdr:colOff>768721</xdr:colOff>
      <xdr:row>31</xdr:row>
      <xdr:rowOff>106790</xdr:rowOff>
    </xdr:to>
    <xdr:sp macro="" textlink="Processing!E46">
      <xdr:nvSpPr>
        <xdr:cNvPr id="76" name="TextBox 75">
          <a:extLst>
            <a:ext uri="{FF2B5EF4-FFF2-40B4-BE49-F238E27FC236}">
              <a16:creationId xmlns:a16="http://schemas.microsoft.com/office/drawing/2014/main" id="{00000000-0008-0000-0200-00004C000000}"/>
            </a:ext>
          </a:extLst>
        </xdr:cNvPr>
        <xdr:cNvSpPr txBox="1"/>
      </xdr:nvSpPr>
      <xdr:spPr>
        <a:xfrm>
          <a:off x="12515306" y="5749796"/>
          <a:ext cx="635915" cy="6561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19D9B521-8068-FE42-89DF-F849DDCA140E}" type="TxLink">
            <a:rPr lang="en-US" sz="1300" b="0"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0%</a:t>
          </a:fld>
          <a:endParaRPr lang="ru-RU" sz="1300" b="0" i="0" u="none" strike="noStrike" noProof="0">
            <a:solidFill>
              <a:schemeClr val="bg1"/>
            </a:solidFill>
            <a:latin typeface="Calibri"/>
            <a:ea typeface="+mn-ea"/>
            <a:cs typeface="Calibri"/>
          </a:endParaRPr>
        </a:p>
      </xdr:txBody>
    </xdr:sp>
    <xdr:clientData/>
  </xdr:twoCellAnchor>
  <xdr:twoCellAnchor>
    <xdr:from>
      <xdr:col>3</xdr:col>
      <xdr:colOff>589430</xdr:colOff>
      <xdr:row>12</xdr:row>
      <xdr:rowOff>125504</xdr:rowOff>
    </xdr:from>
    <xdr:to>
      <xdr:col>8</xdr:col>
      <xdr:colOff>379505</xdr:colOff>
      <xdr:row>47</xdr:row>
      <xdr:rowOff>41834</xdr:rowOff>
    </xdr:to>
    <xdr:graphicFrame macro="">
      <xdr:nvGraphicFramePr>
        <xdr:cNvPr id="77" name="Chart 76">
          <a:extLst>
            <a:ext uri="{FF2B5EF4-FFF2-40B4-BE49-F238E27FC236}">
              <a16:creationId xmlns:a16="http://schemas.microsoft.com/office/drawing/2014/main" id="{00000000-0008-0000-0200-00004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567765</xdr:colOff>
      <xdr:row>12</xdr:row>
      <xdr:rowOff>134471</xdr:rowOff>
    </xdr:from>
    <xdr:to>
      <xdr:col>13</xdr:col>
      <xdr:colOff>611543</xdr:colOff>
      <xdr:row>32</xdr:row>
      <xdr:rowOff>194236</xdr:rowOff>
    </xdr:to>
    <xdr:graphicFrame macro="">
      <xdr:nvGraphicFramePr>
        <xdr:cNvPr id="78" name="Chart 77">
          <a:extLst>
            <a:ext uri="{FF2B5EF4-FFF2-40B4-BE49-F238E27FC236}">
              <a16:creationId xmlns:a16="http://schemas.microsoft.com/office/drawing/2014/main" id="{00000000-0008-0000-0200-00004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160624</xdr:colOff>
      <xdr:row>12</xdr:row>
      <xdr:rowOff>35855</xdr:rowOff>
    </xdr:from>
    <xdr:to>
      <xdr:col>17</xdr:col>
      <xdr:colOff>229353</xdr:colOff>
      <xdr:row>25</xdr:row>
      <xdr:rowOff>158377</xdr:rowOff>
    </xdr:to>
    <xdr:graphicFrame macro="">
      <xdr:nvGraphicFramePr>
        <xdr:cNvPr id="79" name="Chart 78">
          <a:extLst>
            <a:ext uri="{FF2B5EF4-FFF2-40B4-BE49-F238E27FC236}">
              <a16:creationId xmlns:a16="http://schemas.microsoft.com/office/drawing/2014/main" id="{00000000-0008-0000-0200-00004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261469</xdr:colOff>
      <xdr:row>16</xdr:row>
      <xdr:rowOff>146188</xdr:rowOff>
    </xdr:from>
    <xdr:to>
      <xdr:col>12</xdr:col>
      <xdr:colOff>53788</xdr:colOff>
      <xdr:row>23</xdr:row>
      <xdr:rowOff>161131</xdr:rowOff>
    </xdr:to>
    <xdr:sp macro="" textlink="">
      <xdr:nvSpPr>
        <xdr:cNvPr id="80" name="Овал 12">
          <a:extLst>
            <a:ext uri="{FF2B5EF4-FFF2-40B4-BE49-F238E27FC236}">
              <a16:creationId xmlns:a16="http://schemas.microsoft.com/office/drawing/2014/main" id="{00000000-0008-0000-0200-000050000000}"/>
            </a:ext>
          </a:extLst>
        </xdr:cNvPr>
        <xdr:cNvSpPr/>
      </xdr:nvSpPr>
      <xdr:spPr>
        <a:xfrm>
          <a:off x="8516469" y="3397388"/>
          <a:ext cx="1443319" cy="1437343"/>
        </a:xfrm>
        <a:prstGeom prst="ellipse">
          <a:avLst/>
        </a:prstGeom>
        <a:gradFill flip="none" rotWithShape="1">
          <a:gsLst>
            <a:gs pos="47000">
              <a:srgbClr val="242732"/>
            </a:gs>
            <a:gs pos="52000">
              <a:srgbClr val="22252E"/>
            </a:gs>
            <a:gs pos="100000">
              <a:srgbClr val="262626">
                <a:alpha val="0"/>
              </a:srgbClr>
            </a:gs>
          </a:gsLst>
          <a:path path="circle">
            <a:fillToRect l="50000" t="50000" r="50000" b="50000"/>
          </a:path>
          <a:tileRect/>
        </a:gra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2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10</xdr:col>
      <xdr:colOff>125990</xdr:colOff>
      <xdr:row>18</xdr:row>
      <xdr:rowOff>108468</xdr:rowOff>
    </xdr:from>
    <xdr:to>
      <xdr:col>12</xdr:col>
      <xdr:colOff>224681</xdr:colOff>
      <xdr:row>21</xdr:row>
      <xdr:rowOff>157474</xdr:rowOff>
    </xdr:to>
    <xdr:sp macro="" textlink="Processing!H43">
      <xdr:nvSpPr>
        <xdr:cNvPr id="81" name="TextBox 80">
          <a:extLst>
            <a:ext uri="{FF2B5EF4-FFF2-40B4-BE49-F238E27FC236}">
              <a16:creationId xmlns:a16="http://schemas.microsoft.com/office/drawing/2014/main" id="{00000000-0008-0000-0200-000051000000}"/>
            </a:ext>
          </a:extLst>
        </xdr:cNvPr>
        <xdr:cNvSpPr txBox="1"/>
      </xdr:nvSpPr>
      <xdr:spPr>
        <a:xfrm>
          <a:off x="8380990" y="3766068"/>
          <a:ext cx="1749691" cy="658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8BAB9F86-F3AE-6D4D-8472-F73606C94F38}" type="TxLink">
            <a:rPr lang="en-US" sz="2000" b="0"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 € - </a:t>
          </a:fld>
          <a:endParaRPr lang="ru-RU" sz="2000" b="0" i="0" u="none" strike="noStrike" noProof="0">
            <a:solidFill>
              <a:schemeClr val="bg1"/>
            </a:solidFill>
            <a:latin typeface="Calibri"/>
            <a:ea typeface="+mn-ea"/>
            <a:cs typeface="Calibri"/>
          </a:endParaRPr>
        </a:p>
      </xdr:txBody>
    </xdr:sp>
    <xdr:clientData/>
  </xdr:twoCellAnchor>
  <xdr:twoCellAnchor editAs="oneCell">
    <xdr:from>
      <xdr:col>18</xdr:col>
      <xdr:colOff>55023</xdr:colOff>
      <xdr:row>32</xdr:row>
      <xdr:rowOff>122086</xdr:rowOff>
    </xdr:from>
    <xdr:to>
      <xdr:col>21</xdr:col>
      <xdr:colOff>606123</xdr:colOff>
      <xdr:row>46</xdr:row>
      <xdr:rowOff>168086</xdr:rowOff>
    </xdr:to>
    <mc:AlternateContent xmlns:mc="http://schemas.openxmlformats.org/markup-compatibility/2006" xmlns:a14="http://schemas.microsoft.com/office/drawing/2010/main">
      <mc:Choice Requires="a14">
        <xdr:graphicFrame macro="">
          <xdr:nvGraphicFramePr>
            <xdr:cNvPr id="85" name="Giorno 2">
              <a:extLst>
                <a:ext uri="{FF2B5EF4-FFF2-40B4-BE49-F238E27FC236}">
                  <a16:creationId xmlns:a16="http://schemas.microsoft.com/office/drawing/2014/main" id="{00000000-0008-0000-0200-000055000000}"/>
                </a:ext>
              </a:extLst>
            </xdr:cNvPr>
            <xdr:cNvGraphicFramePr/>
          </xdr:nvGraphicFramePr>
          <xdr:xfrm>
            <a:off x="0" y="0"/>
            <a:ext cx="0" cy="0"/>
          </xdr:xfrm>
          <a:graphic>
            <a:graphicData uri="http://schemas.microsoft.com/office/drawing/2010/slicer">
              <sle:slicer xmlns:sle="http://schemas.microsoft.com/office/drawing/2010/slicer" name="Giorno 2"/>
            </a:graphicData>
          </a:graphic>
        </xdr:graphicFrame>
      </mc:Choice>
      <mc:Fallback xmlns="">
        <xdr:sp macro="" textlink="">
          <xdr:nvSpPr>
            <xdr:cNvPr id="0" name=""/>
            <xdr:cNvSpPr>
              <a:spLocks noTextEdit="1"/>
            </xdr:cNvSpPr>
          </xdr:nvSpPr>
          <xdr:spPr>
            <a:xfrm>
              <a:off x="14914023" y="6624486"/>
              <a:ext cx="3027600" cy="2890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177800</xdr:colOff>
      <xdr:row>29</xdr:row>
      <xdr:rowOff>114300</xdr:rowOff>
    </xdr:from>
    <xdr:to>
      <xdr:col>2</xdr:col>
      <xdr:colOff>691484</xdr:colOff>
      <xdr:row>32</xdr:row>
      <xdr:rowOff>137159</xdr:rowOff>
    </xdr:to>
    <xdr:grpSp>
      <xdr:nvGrpSpPr>
        <xdr:cNvPr id="83" name="Group 82">
          <a:extLst>
            <a:ext uri="{FF2B5EF4-FFF2-40B4-BE49-F238E27FC236}">
              <a16:creationId xmlns:a16="http://schemas.microsoft.com/office/drawing/2014/main" id="{00000000-0008-0000-0200-000053000000}"/>
            </a:ext>
          </a:extLst>
        </xdr:cNvPr>
        <xdr:cNvGrpSpPr/>
      </xdr:nvGrpSpPr>
      <xdr:grpSpPr>
        <a:xfrm>
          <a:off x="177800" y="5822950"/>
          <a:ext cx="2164684" cy="613409"/>
          <a:chOff x="190500" y="5943600"/>
          <a:chExt cx="2164684" cy="632459"/>
        </a:xfrm>
      </xdr:grpSpPr>
      <xdr:sp macro="" textlink="Processing!R13">
        <xdr:nvSpPr>
          <xdr:cNvPr id="86" name="TextBox 85">
            <a:hlinkClick xmlns:r="http://schemas.openxmlformats.org/officeDocument/2006/relationships" r:id="rId12"/>
            <a:extLst>
              <a:ext uri="{FF2B5EF4-FFF2-40B4-BE49-F238E27FC236}">
                <a16:creationId xmlns:a16="http://schemas.microsoft.com/office/drawing/2014/main" id="{00000000-0008-0000-0200-000056000000}"/>
              </a:ext>
            </a:extLst>
          </xdr:cNvPr>
          <xdr:cNvSpPr txBox="1"/>
        </xdr:nvSpPr>
        <xdr:spPr>
          <a:xfrm>
            <a:off x="603252" y="5943600"/>
            <a:ext cx="1751932" cy="632459"/>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it-IT" sz="1400" b="0" i="0" u="none" strike="noStrike" kern="0" cap="none" spc="0" normalizeH="0" baseline="0" noProof="0">
                <a:ln>
                  <a:noFill/>
                </a:ln>
                <a:solidFill>
                  <a:sysClr val="window" lastClr="FFFFFF"/>
                </a:solidFill>
                <a:effectLst/>
                <a:uLnTx/>
                <a:uFillTx/>
                <a:latin typeface="Calibri"/>
                <a:ea typeface="+mn-ea"/>
                <a:cs typeface="Calibri"/>
              </a:rPr>
              <a:t>Insert Data</a:t>
            </a:r>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sp macro="" textlink="">
        <xdr:nvSpPr>
          <xdr:cNvPr id="87" name="TextBox 86">
            <a:extLst>
              <a:ext uri="{FF2B5EF4-FFF2-40B4-BE49-F238E27FC236}">
                <a16:creationId xmlns:a16="http://schemas.microsoft.com/office/drawing/2014/main" id="{00000000-0008-0000-0200-000057000000}"/>
              </a:ext>
            </a:extLst>
          </xdr:cNvPr>
          <xdr:cNvSpPr txBox="1"/>
        </xdr:nvSpPr>
        <xdr:spPr>
          <a:xfrm>
            <a:off x="190500" y="6025829"/>
            <a:ext cx="432000" cy="468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a:t>
            </a:r>
          </a:p>
        </xdr:txBody>
      </xdr:sp>
    </xdr:grpSp>
    <xdr:clientData/>
  </xdr:twoCellAnchor>
  <xdr:twoCellAnchor>
    <xdr:from>
      <xdr:col>3</xdr:col>
      <xdr:colOff>342900</xdr:colOff>
      <xdr:row>5</xdr:row>
      <xdr:rowOff>97117</xdr:rowOff>
    </xdr:from>
    <xdr:to>
      <xdr:col>22</xdr:col>
      <xdr:colOff>283136</xdr:colOff>
      <xdr:row>8</xdr:row>
      <xdr:rowOff>130735</xdr:rowOff>
    </xdr:to>
    <xdr:sp macro="" textlink="">
      <xdr:nvSpPr>
        <xdr:cNvPr id="88" name="Rectangle: Rounded Corners 15">
          <a:extLst>
            <a:ext uri="{FF2B5EF4-FFF2-40B4-BE49-F238E27FC236}">
              <a16:creationId xmlns:a16="http://schemas.microsoft.com/office/drawing/2014/main" id="{00000000-0008-0000-0200-000058000000}"/>
            </a:ext>
          </a:extLst>
        </xdr:cNvPr>
        <xdr:cNvSpPr/>
      </xdr:nvSpPr>
      <xdr:spPr>
        <a:xfrm>
          <a:off x="2819400" y="1113117"/>
          <a:ext cx="15624736" cy="643218"/>
        </a:xfrm>
        <a:prstGeom prst="roundRect">
          <a:avLst>
            <a:gd name="adj" fmla="val 15178"/>
          </a:avLst>
        </a:prstGeom>
        <a:solidFill>
          <a:srgbClr val="242732"/>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ru-RU" sz="24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342900</xdr:colOff>
      <xdr:row>1</xdr:row>
      <xdr:rowOff>0</xdr:rowOff>
    </xdr:from>
    <xdr:to>
      <xdr:col>22</xdr:col>
      <xdr:colOff>284900</xdr:colOff>
      <xdr:row>4</xdr:row>
      <xdr:rowOff>1</xdr:rowOff>
    </xdr:to>
    <xdr:sp macro="" textlink="">
      <xdr:nvSpPr>
        <xdr:cNvPr id="89" name="Rectangle: Rounded Corners 16">
          <a:extLst>
            <a:ext uri="{FF2B5EF4-FFF2-40B4-BE49-F238E27FC236}">
              <a16:creationId xmlns:a16="http://schemas.microsoft.com/office/drawing/2014/main" id="{00000000-0008-0000-0200-000059000000}"/>
            </a:ext>
          </a:extLst>
        </xdr:cNvPr>
        <xdr:cNvSpPr/>
      </xdr:nvSpPr>
      <xdr:spPr>
        <a:xfrm>
          <a:off x="2819400" y="203200"/>
          <a:ext cx="15626500" cy="609601"/>
        </a:xfrm>
        <a:prstGeom prst="roundRect">
          <a:avLst>
            <a:gd name="adj" fmla="val 15178"/>
          </a:avLst>
        </a:prstGeom>
        <a:solidFill>
          <a:srgbClr val="242732"/>
        </a:solidFill>
        <a:ln w="12700" cap="flat" cmpd="sng" algn="ctr">
          <a:noFill/>
          <a:prstDash val="solid"/>
          <a:miter lim="800000"/>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ru-RU" sz="2400" b="1" i="0" u="none" strike="noStrike" kern="0" cap="none" spc="0" normalizeH="0" baseline="0" noProof="0">
              <a:ln>
                <a:noFill/>
              </a:ln>
              <a:solidFill>
                <a:sysClr val="window" lastClr="FFFFFF"/>
              </a:solidFill>
              <a:effectLst/>
              <a:uLnTx/>
              <a:uFillTx/>
              <a:latin typeface="Calibri" panose="020F0502020204030204"/>
              <a:ea typeface="+mn-ea"/>
              <a:cs typeface="+mn-cs"/>
            </a:rPr>
            <a:t>				</a:t>
          </a: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Personal Finance Dashboard</a:t>
          </a:r>
          <a:endParaRPr kumimoji="0" lang="ru-RU" sz="24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17</xdr:col>
      <xdr:colOff>69520</xdr:colOff>
      <xdr:row>1</xdr:row>
      <xdr:rowOff>198121</xdr:rowOff>
    </xdr:from>
    <xdr:to>
      <xdr:col>17</xdr:col>
      <xdr:colOff>290619</xdr:colOff>
      <xdr:row>3</xdr:row>
      <xdr:rowOff>5080</xdr:rowOff>
    </xdr:to>
    <xdr:grpSp>
      <xdr:nvGrpSpPr>
        <xdr:cNvPr id="90" name="Group 89">
          <a:extLst>
            <a:ext uri="{FF2B5EF4-FFF2-40B4-BE49-F238E27FC236}">
              <a16:creationId xmlns:a16="http://schemas.microsoft.com/office/drawing/2014/main" id="{00000000-0008-0000-0200-00005A000000}"/>
            </a:ext>
          </a:extLst>
        </xdr:cNvPr>
        <xdr:cNvGrpSpPr/>
      </xdr:nvGrpSpPr>
      <xdr:grpSpPr>
        <a:xfrm>
          <a:off x="14103020" y="394971"/>
          <a:ext cx="221099" cy="200659"/>
          <a:chOff x="6535559" y="690283"/>
          <a:chExt cx="274908" cy="248639"/>
        </a:xfrm>
      </xdr:grpSpPr>
      <xdr:sp macro="" textlink="">
        <xdr:nvSpPr>
          <xdr:cNvPr id="91" name="Moon">
            <a:extLst>
              <a:ext uri="{FF2B5EF4-FFF2-40B4-BE49-F238E27FC236}">
                <a16:creationId xmlns:a16="http://schemas.microsoft.com/office/drawing/2014/main" id="{00000000-0008-0000-0200-00005B000000}"/>
              </a:ext>
            </a:extLst>
          </xdr:cNvPr>
          <xdr:cNvSpPr/>
        </xdr:nvSpPr>
        <xdr:spPr>
          <a:xfrm>
            <a:off x="6535559" y="690283"/>
            <a:ext cx="140283" cy="245398"/>
          </a:xfrm>
          <a:prstGeom prst="moon">
            <a:avLst/>
          </a:prstGeom>
          <a:gradFill>
            <a:gsLst>
              <a:gs pos="0">
                <a:srgbClr val="FB6F32"/>
              </a:gs>
              <a:gs pos="72000">
                <a:srgbClr val="ED3229"/>
              </a:gs>
            </a:gsLst>
            <a:lin ang="8100000" scaled="1"/>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92" name="Big Star">
            <a:extLst>
              <a:ext uri="{FF2B5EF4-FFF2-40B4-BE49-F238E27FC236}">
                <a16:creationId xmlns:a16="http://schemas.microsoft.com/office/drawing/2014/main" id="{00000000-0008-0000-0200-00005C000000}"/>
              </a:ext>
            </a:extLst>
          </xdr:cNvPr>
          <xdr:cNvSpPr/>
        </xdr:nvSpPr>
        <xdr:spPr>
          <a:xfrm>
            <a:off x="6675270" y="773921"/>
            <a:ext cx="108000" cy="107972"/>
          </a:xfrm>
          <a:prstGeom prst="star4">
            <a:avLst/>
          </a:prstGeom>
          <a:gradFill>
            <a:gsLst>
              <a:gs pos="0">
                <a:srgbClr val="FB6F32"/>
              </a:gs>
              <a:gs pos="72000">
                <a:srgbClr val="ED3229"/>
              </a:gs>
            </a:gsLst>
            <a:lin ang="8100000" scaled="1"/>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93" name="Star">
            <a:extLst>
              <a:ext uri="{FF2B5EF4-FFF2-40B4-BE49-F238E27FC236}">
                <a16:creationId xmlns:a16="http://schemas.microsoft.com/office/drawing/2014/main" id="{00000000-0008-0000-0200-00005D000000}"/>
              </a:ext>
            </a:extLst>
          </xdr:cNvPr>
          <xdr:cNvSpPr/>
        </xdr:nvSpPr>
        <xdr:spPr>
          <a:xfrm>
            <a:off x="6756467" y="881723"/>
            <a:ext cx="54000" cy="57199"/>
          </a:xfrm>
          <a:prstGeom prst="star4">
            <a:avLst/>
          </a:prstGeom>
          <a:gradFill>
            <a:gsLst>
              <a:gs pos="0">
                <a:srgbClr val="FB6F32"/>
              </a:gs>
              <a:gs pos="72000">
                <a:srgbClr val="ED3229"/>
              </a:gs>
            </a:gsLst>
            <a:lin ang="8100000" scaled="1"/>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15</xdr:col>
      <xdr:colOff>767965</xdr:colOff>
      <xdr:row>1</xdr:row>
      <xdr:rowOff>198121</xdr:rowOff>
    </xdr:from>
    <xdr:to>
      <xdr:col>16</xdr:col>
      <xdr:colOff>150930</xdr:colOff>
      <xdr:row>3</xdr:row>
      <xdr:rowOff>5080</xdr:rowOff>
    </xdr:to>
    <xdr:grpSp>
      <xdr:nvGrpSpPr>
        <xdr:cNvPr id="94" name="Группа 7203">
          <a:extLst>
            <a:ext uri="{FF2B5EF4-FFF2-40B4-BE49-F238E27FC236}">
              <a16:creationId xmlns:a16="http://schemas.microsoft.com/office/drawing/2014/main" id="{00000000-0008-0000-0200-00005E000000}"/>
            </a:ext>
          </a:extLst>
        </xdr:cNvPr>
        <xdr:cNvGrpSpPr/>
      </xdr:nvGrpSpPr>
      <xdr:grpSpPr>
        <a:xfrm>
          <a:off x="13150465" y="394971"/>
          <a:ext cx="208465" cy="200659"/>
          <a:chOff x="14630400" y="0"/>
          <a:chExt cx="1320905" cy="1291901"/>
        </a:xfrm>
        <a:effectLst/>
      </xdr:grpSpPr>
      <xdr:sp macro="" textlink="">
        <xdr:nvSpPr>
          <xdr:cNvPr id="95" name="Lights">
            <a:extLst>
              <a:ext uri="{FF2B5EF4-FFF2-40B4-BE49-F238E27FC236}">
                <a16:creationId xmlns:a16="http://schemas.microsoft.com/office/drawing/2014/main" id="{00000000-0008-0000-0200-00005F000000}"/>
              </a:ext>
            </a:extLst>
          </xdr:cNvPr>
          <xdr:cNvSpPr/>
        </xdr:nvSpPr>
        <xdr:spPr>
          <a:xfrm rot="19122911">
            <a:off x="14630400" y="0"/>
            <a:ext cx="1320905" cy="1291901"/>
          </a:xfrm>
          <a:custGeom>
            <a:avLst/>
            <a:gdLst>
              <a:gd name="connsiteX0" fmla="*/ 721625 w 2541582"/>
              <a:gd name="connsiteY0" fmla="*/ 1903961 h 2517378"/>
              <a:gd name="connsiteX1" fmla="*/ 721626 w 2541582"/>
              <a:gd name="connsiteY1" fmla="*/ 2056116 h 2517378"/>
              <a:gd name="connsiteX2" fmla="*/ 721626 w 2541582"/>
              <a:gd name="connsiteY2" fmla="*/ 2056119 h 2517378"/>
              <a:gd name="connsiteX3" fmla="*/ 573702 w 2541582"/>
              <a:gd name="connsiteY3" fmla="*/ 2208278 h 2517378"/>
              <a:gd name="connsiteX4" fmla="*/ 573701 w 2541582"/>
              <a:gd name="connsiteY4" fmla="*/ 2208277 h 2517378"/>
              <a:gd name="connsiteX5" fmla="*/ 425777 w 2541582"/>
              <a:gd name="connsiteY5" fmla="*/ 2208278 h 2517378"/>
              <a:gd name="connsiteX6" fmla="*/ 425777 w 2541582"/>
              <a:gd name="connsiteY6" fmla="*/ 2056123 h 2517378"/>
              <a:gd name="connsiteX7" fmla="*/ 425777 w 2541582"/>
              <a:gd name="connsiteY7" fmla="*/ 2056120 h 2517378"/>
              <a:gd name="connsiteX8" fmla="*/ 573701 w 2541582"/>
              <a:gd name="connsiteY8" fmla="*/ 1903962 h 2517378"/>
              <a:gd name="connsiteX9" fmla="*/ 573702 w 2541582"/>
              <a:gd name="connsiteY9" fmla="*/ 1903962 h 2517378"/>
              <a:gd name="connsiteX10" fmla="*/ 519727 w 2541582"/>
              <a:gd name="connsiteY10" fmla="*/ 1624038 h 2517378"/>
              <a:gd name="connsiteX11" fmla="*/ 458680 w 2541582"/>
              <a:gd name="connsiteY11" fmla="*/ 1763409 h 2517378"/>
              <a:gd name="connsiteX12" fmla="*/ 458678 w 2541582"/>
              <a:gd name="connsiteY12" fmla="*/ 1763413 h 2517378"/>
              <a:gd name="connsiteX13" fmla="*/ 262134 w 2541582"/>
              <a:gd name="connsiteY13" fmla="*/ 1843437 h 2517378"/>
              <a:gd name="connsiteX14" fmla="*/ 262133 w 2541582"/>
              <a:gd name="connsiteY14" fmla="*/ 1843437 h 2517378"/>
              <a:gd name="connsiteX15" fmla="*/ 126637 w 2541582"/>
              <a:gd name="connsiteY15" fmla="*/ 1784087 h 2517378"/>
              <a:gd name="connsiteX16" fmla="*/ 187684 w 2541582"/>
              <a:gd name="connsiteY16" fmla="*/ 1644716 h 2517378"/>
              <a:gd name="connsiteX17" fmla="*/ 187686 w 2541582"/>
              <a:gd name="connsiteY17" fmla="*/ 1644713 h 2517378"/>
              <a:gd name="connsiteX18" fmla="*/ 384230 w 2541582"/>
              <a:gd name="connsiteY18" fmla="*/ 1564688 h 2517378"/>
              <a:gd name="connsiteX19" fmla="*/ 384231 w 2541582"/>
              <a:gd name="connsiteY19" fmla="*/ 1564689 h 2517378"/>
              <a:gd name="connsiteX20" fmla="*/ 1009078 w 2541582"/>
              <a:gd name="connsiteY20" fmla="*/ 2051827 h 2517378"/>
              <a:gd name="connsiteX21" fmla="*/ 1066442 w 2541582"/>
              <a:gd name="connsiteY21" fmla="*/ 2192754 h 2517378"/>
              <a:gd name="connsiteX22" fmla="*/ 1066444 w 2541582"/>
              <a:gd name="connsiteY22" fmla="*/ 2192757 h 2517378"/>
              <a:gd name="connsiteX23" fmla="*/ 986801 w 2541582"/>
              <a:gd name="connsiteY23" fmla="*/ 2389456 h 2517378"/>
              <a:gd name="connsiteX24" fmla="*/ 986801 w 2541582"/>
              <a:gd name="connsiteY24" fmla="*/ 2389457 h 2517378"/>
              <a:gd name="connsiteX25" fmla="*/ 849793 w 2541582"/>
              <a:gd name="connsiteY25" fmla="*/ 2445226 h 2517378"/>
              <a:gd name="connsiteX26" fmla="*/ 792428 w 2541582"/>
              <a:gd name="connsiteY26" fmla="*/ 2304299 h 2517378"/>
              <a:gd name="connsiteX27" fmla="*/ 792426 w 2541582"/>
              <a:gd name="connsiteY27" fmla="*/ 2304296 h 2517378"/>
              <a:gd name="connsiteX28" fmla="*/ 872069 w 2541582"/>
              <a:gd name="connsiteY28" fmla="*/ 2107597 h 2517378"/>
              <a:gd name="connsiteX29" fmla="*/ 872070 w 2541582"/>
              <a:gd name="connsiteY29" fmla="*/ 2107597 h 2517378"/>
              <a:gd name="connsiteX30" fmla="*/ 1307640 w 2541582"/>
              <a:gd name="connsiteY30" fmla="*/ 2093057 h 2517378"/>
              <a:gd name="connsiteX31" fmla="*/ 1411294 w 2541582"/>
              <a:gd name="connsiteY31" fmla="*/ 2204442 h 2517378"/>
              <a:gd name="connsiteX32" fmla="*/ 1411296 w 2541582"/>
              <a:gd name="connsiteY32" fmla="*/ 2204445 h 2517378"/>
              <a:gd name="connsiteX33" fmla="*/ 1406663 w 2541582"/>
              <a:gd name="connsiteY33" fmla="*/ 2416606 h 2517378"/>
              <a:gd name="connsiteX34" fmla="*/ 1406663 w 2541582"/>
              <a:gd name="connsiteY34" fmla="*/ 2416606 h 2517378"/>
              <a:gd name="connsiteX35" fmla="*/ 1298374 w 2541582"/>
              <a:gd name="connsiteY35" fmla="*/ 2517378 h 2517378"/>
              <a:gd name="connsiteX36" fmla="*/ 1194720 w 2541582"/>
              <a:gd name="connsiteY36" fmla="*/ 2405992 h 2517378"/>
              <a:gd name="connsiteX37" fmla="*/ 1194718 w 2541582"/>
              <a:gd name="connsiteY37" fmla="*/ 2405989 h 2517378"/>
              <a:gd name="connsiteX38" fmla="*/ 1199351 w 2541582"/>
              <a:gd name="connsiteY38" fmla="*/ 2193829 h 2517378"/>
              <a:gd name="connsiteX39" fmla="*/ 1199351 w 2541582"/>
              <a:gd name="connsiteY39" fmla="*/ 2193828 h 2517378"/>
              <a:gd name="connsiteX40" fmla="*/ 323549 w 2541582"/>
              <a:gd name="connsiteY40" fmla="*/ 1188033 h 2517378"/>
              <a:gd name="connsiteX41" fmla="*/ 323549 w 2541582"/>
              <a:gd name="connsiteY41" fmla="*/ 1188033 h 2517378"/>
              <a:gd name="connsiteX42" fmla="*/ 424321 w 2541582"/>
              <a:gd name="connsiteY42" fmla="*/ 1296322 h 2517378"/>
              <a:gd name="connsiteX43" fmla="*/ 312935 w 2541582"/>
              <a:gd name="connsiteY43" fmla="*/ 1399976 h 2517378"/>
              <a:gd name="connsiteX44" fmla="*/ 312933 w 2541582"/>
              <a:gd name="connsiteY44" fmla="*/ 1399979 h 2517378"/>
              <a:gd name="connsiteX45" fmla="*/ 100772 w 2541582"/>
              <a:gd name="connsiteY45" fmla="*/ 1395346 h 2517378"/>
              <a:gd name="connsiteX46" fmla="*/ 100771 w 2541582"/>
              <a:gd name="connsiteY46" fmla="*/ 1395345 h 2517378"/>
              <a:gd name="connsiteX47" fmla="*/ 0 w 2541582"/>
              <a:gd name="connsiteY47" fmla="*/ 1287056 h 2517378"/>
              <a:gd name="connsiteX48" fmla="*/ 111385 w 2541582"/>
              <a:gd name="connsiteY48" fmla="*/ 1183403 h 2517378"/>
              <a:gd name="connsiteX49" fmla="*/ 111388 w 2541582"/>
              <a:gd name="connsiteY49" fmla="*/ 1183400 h 2517378"/>
              <a:gd name="connsiteX50" fmla="*/ 323549 w 2541582"/>
              <a:gd name="connsiteY50" fmla="*/ 1188033 h 2517378"/>
              <a:gd name="connsiteX51" fmla="*/ 1826146 w 2541582"/>
              <a:gd name="connsiteY51" fmla="*/ 2118023 h 2517378"/>
              <a:gd name="connsiteX52" fmla="*/ 1856583 w 2541582"/>
              <a:gd name="connsiteY52" fmla="*/ 2280157 h 2517378"/>
              <a:gd name="connsiteX53" fmla="*/ 1856583 w 2541582"/>
              <a:gd name="connsiteY53" fmla="*/ 2280157 h 2517378"/>
              <a:gd name="connsiteX54" fmla="*/ 1797234 w 2541582"/>
              <a:gd name="connsiteY54" fmla="*/ 2415653 h 2517378"/>
              <a:gd name="connsiteX55" fmla="*/ 1657863 w 2541582"/>
              <a:gd name="connsiteY55" fmla="*/ 2354606 h 2517378"/>
              <a:gd name="connsiteX56" fmla="*/ 1657859 w 2541582"/>
              <a:gd name="connsiteY56" fmla="*/ 2354605 h 2517378"/>
              <a:gd name="connsiteX57" fmla="*/ 1577835 w 2541582"/>
              <a:gd name="connsiteY57" fmla="*/ 2158060 h 2517378"/>
              <a:gd name="connsiteX58" fmla="*/ 1577835 w 2541582"/>
              <a:gd name="connsiteY58" fmla="*/ 2158060 h 2517378"/>
              <a:gd name="connsiteX59" fmla="*/ 1637185 w 2541582"/>
              <a:gd name="connsiteY59" fmla="*/ 2022564 h 2517378"/>
              <a:gd name="connsiteX60" fmla="*/ 1776555 w 2541582"/>
              <a:gd name="connsiteY60" fmla="*/ 2083611 h 2517378"/>
              <a:gd name="connsiteX61" fmla="*/ 1776559 w 2541582"/>
              <a:gd name="connsiteY61" fmla="*/ 2083612 h 2517378"/>
              <a:gd name="connsiteX62" fmla="*/ 1826146 w 2541582"/>
              <a:gd name="connsiteY62" fmla="*/ 2118023 h 2517378"/>
              <a:gd name="connsiteX63" fmla="*/ 377553 w 2541582"/>
              <a:gd name="connsiteY63" fmla="*/ 807593 h 2517378"/>
              <a:gd name="connsiteX64" fmla="*/ 410335 w 2541582"/>
              <a:gd name="connsiteY64" fmla="*/ 856415 h 2517378"/>
              <a:gd name="connsiteX65" fmla="*/ 410336 w 2541582"/>
              <a:gd name="connsiteY65" fmla="*/ 856415 h 2517378"/>
              <a:gd name="connsiteX66" fmla="*/ 466105 w 2541582"/>
              <a:gd name="connsiteY66" fmla="*/ 993423 h 2517378"/>
              <a:gd name="connsiteX67" fmla="*/ 325178 w 2541582"/>
              <a:gd name="connsiteY67" fmla="*/ 1050787 h 2517378"/>
              <a:gd name="connsiteX68" fmla="*/ 325175 w 2541582"/>
              <a:gd name="connsiteY68" fmla="*/ 1050789 h 2517378"/>
              <a:gd name="connsiteX69" fmla="*/ 128476 w 2541582"/>
              <a:gd name="connsiteY69" fmla="*/ 971146 h 2517378"/>
              <a:gd name="connsiteX70" fmla="*/ 128476 w 2541582"/>
              <a:gd name="connsiteY70" fmla="*/ 971146 h 2517378"/>
              <a:gd name="connsiteX71" fmla="*/ 72706 w 2541582"/>
              <a:gd name="connsiteY71" fmla="*/ 834138 h 2517378"/>
              <a:gd name="connsiteX72" fmla="*/ 213633 w 2541582"/>
              <a:gd name="connsiteY72" fmla="*/ 776773 h 2517378"/>
              <a:gd name="connsiteX73" fmla="*/ 213636 w 2541582"/>
              <a:gd name="connsiteY73" fmla="*/ 776772 h 2517378"/>
              <a:gd name="connsiteX74" fmla="*/ 377553 w 2541582"/>
              <a:gd name="connsiteY74" fmla="*/ 807593 h 2517378"/>
              <a:gd name="connsiteX75" fmla="*/ 2166386 w 2541582"/>
              <a:gd name="connsiteY75" fmla="*/ 1843414 h 2517378"/>
              <a:gd name="connsiteX76" fmla="*/ 2210952 w 2541582"/>
              <a:gd name="connsiteY76" fmla="*/ 1948012 h 2517378"/>
              <a:gd name="connsiteX77" fmla="*/ 2210952 w 2541582"/>
              <a:gd name="connsiteY77" fmla="*/ 1948012 h 2517378"/>
              <a:gd name="connsiteX78" fmla="*/ 2210952 w 2541582"/>
              <a:gd name="connsiteY78" fmla="*/ 2095936 h 2517378"/>
              <a:gd name="connsiteX79" fmla="*/ 2058798 w 2541582"/>
              <a:gd name="connsiteY79" fmla="*/ 2095936 h 2517378"/>
              <a:gd name="connsiteX80" fmla="*/ 2058794 w 2541582"/>
              <a:gd name="connsiteY80" fmla="*/ 2095937 h 2517378"/>
              <a:gd name="connsiteX81" fmla="*/ 1906636 w 2541582"/>
              <a:gd name="connsiteY81" fmla="*/ 1948012 h 2517378"/>
              <a:gd name="connsiteX82" fmla="*/ 1906636 w 2541582"/>
              <a:gd name="connsiteY82" fmla="*/ 1948012 h 2517378"/>
              <a:gd name="connsiteX83" fmla="*/ 1906636 w 2541582"/>
              <a:gd name="connsiteY83" fmla="*/ 1800088 h 2517378"/>
              <a:gd name="connsiteX84" fmla="*/ 2058790 w 2541582"/>
              <a:gd name="connsiteY84" fmla="*/ 1800088 h 2517378"/>
              <a:gd name="connsiteX85" fmla="*/ 2058794 w 2541582"/>
              <a:gd name="connsiteY85" fmla="*/ 1800088 h 2517378"/>
              <a:gd name="connsiteX86" fmla="*/ 2166386 w 2541582"/>
              <a:gd name="connsiteY86" fmla="*/ 1843414 h 2517378"/>
              <a:gd name="connsiteX87" fmla="*/ 592924 w 2541582"/>
              <a:gd name="connsiteY87" fmla="*/ 461833 h 2517378"/>
              <a:gd name="connsiteX88" fmla="*/ 637491 w 2541582"/>
              <a:gd name="connsiteY88" fmla="*/ 566431 h 2517378"/>
              <a:gd name="connsiteX89" fmla="*/ 637490 w 2541582"/>
              <a:gd name="connsiteY89" fmla="*/ 566431 h 2517378"/>
              <a:gd name="connsiteX90" fmla="*/ 637490 w 2541582"/>
              <a:gd name="connsiteY90" fmla="*/ 714355 h 2517378"/>
              <a:gd name="connsiteX91" fmla="*/ 485336 w 2541582"/>
              <a:gd name="connsiteY91" fmla="*/ 714355 h 2517378"/>
              <a:gd name="connsiteX92" fmla="*/ 485333 w 2541582"/>
              <a:gd name="connsiteY92" fmla="*/ 714356 h 2517378"/>
              <a:gd name="connsiteX93" fmla="*/ 333174 w 2541582"/>
              <a:gd name="connsiteY93" fmla="*/ 566431 h 2517378"/>
              <a:gd name="connsiteX94" fmla="*/ 333175 w 2541582"/>
              <a:gd name="connsiteY94" fmla="*/ 566431 h 2517378"/>
              <a:gd name="connsiteX95" fmla="*/ 333175 w 2541582"/>
              <a:gd name="connsiteY95" fmla="*/ 418507 h 2517378"/>
              <a:gd name="connsiteX96" fmla="*/ 485329 w 2541582"/>
              <a:gd name="connsiteY96" fmla="*/ 418507 h 2517378"/>
              <a:gd name="connsiteX97" fmla="*/ 485333 w 2541582"/>
              <a:gd name="connsiteY97" fmla="*/ 418507 h 2517378"/>
              <a:gd name="connsiteX98" fmla="*/ 592924 w 2541582"/>
              <a:gd name="connsiteY98" fmla="*/ 461833 h 2517378"/>
              <a:gd name="connsiteX99" fmla="*/ 2378656 w 2541582"/>
              <a:gd name="connsiteY99" fmla="*/ 1501946 h 2517378"/>
              <a:gd name="connsiteX100" fmla="*/ 2411439 w 2541582"/>
              <a:gd name="connsiteY100" fmla="*/ 1550768 h 2517378"/>
              <a:gd name="connsiteX101" fmla="*/ 2411439 w 2541582"/>
              <a:gd name="connsiteY101" fmla="*/ 1550768 h 2517378"/>
              <a:gd name="connsiteX102" fmla="*/ 2467208 w 2541582"/>
              <a:gd name="connsiteY102" fmla="*/ 1687776 h 2517378"/>
              <a:gd name="connsiteX103" fmla="*/ 2326282 w 2541582"/>
              <a:gd name="connsiteY103" fmla="*/ 1745141 h 2517378"/>
              <a:gd name="connsiteX104" fmla="*/ 2326278 w 2541582"/>
              <a:gd name="connsiteY104" fmla="*/ 1745142 h 2517378"/>
              <a:gd name="connsiteX105" fmla="*/ 2129579 w 2541582"/>
              <a:gd name="connsiteY105" fmla="*/ 1665499 h 2517378"/>
              <a:gd name="connsiteX106" fmla="*/ 2129579 w 2541582"/>
              <a:gd name="connsiteY106" fmla="*/ 1665499 h 2517378"/>
              <a:gd name="connsiteX107" fmla="*/ 2073809 w 2541582"/>
              <a:gd name="connsiteY107" fmla="*/ 1528491 h 2517378"/>
              <a:gd name="connsiteX108" fmla="*/ 2214736 w 2541582"/>
              <a:gd name="connsiteY108" fmla="*/ 1471127 h 2517378"/>
              <a:gd name="connsiteX109" fmla="*/ 2214739 w 2541582"/>
              <a:gd name="connsiteY109" fmla="*/ 1471125 h 2517378"/>
              <a:gd name="connsiteX110" fmla="*/ 2378656 w 2541582"/>
              <a:gd name="connsiteY110" fmla="*/ 1501946 h 2517378"/>
              <a:gd name="connsiteX111" fmla="*/ 928939 w 2541582"/>
              <a:gd name="connsiteY111" fmla="*/ 199283 h 2517378"/>
              <a:gd name="connsiteX112" fmla="*/ 959377 w 2541582"/>
              <a:gd name="connsiteY112" fmla="*/ 361416 h 2517378"/>
              <a:gd name="connsiteX113" fmla="*/ 959376 w 2541582"/>
              <a:gd name="connsiteY113" fmla="*/ 361417 h 2517378"/>
              <a:gd name="connsiteX114" fmla="*/ 900027 w 2541582"/>
              <a:gd name="connsiteY114" fmla="*/ 496913 h 2517378"/>
              <a:gd name="connsiteX115" fmla="*/ 760656 w 2541582"/>
              <a:gd name="connsiteY115" fmla="*/ 435866 h 2517378"/>
              <a:gd name="connsiteX116" fmla="*/ 760652 w 2541582"/>
              <a:gd name="connsiteY116" fmla="*/ 435865 h 2517378"/>
              <a:gd name="connsiteX117" fmla="*/ 680628 w 2541582"/>
              <a:gd name="connsiteY117" fmla="*/ 239320 h 2517378"/>
              <a:gd name="connsiteX118" fmla="*/ 680628 w 2541582"/>
              <a:gd name="connsiteY118" fmla="*/ 239320 h 2517378"/>
              <a:gd name="connsiteX119" fmla="*/ 739978 w 2541582"/>
              <a:gd name="connsiteY119" fmla="*/ 103824 h 2517378"/>
              <a:gd name="connsiteX120" fmla="*/ 879349 w 2541582"/>
              <a:gd name="connsiteY120" fmla="*/ 164871 h 2517378"/>
              <a:gd name="connsiteX121" fmla="*/ 879352 w 2541582"/>
              <a:gd name="connsiteY121" fmla="*/ 164872 h 2517378"/>
              <a:gd name="connsiteX122" fmla="*/ 928939 w 2541582"/>
              <a:gd name="connsiteY122" fmla="*/ 199283 h 2517378"/>
              <a:gd name="connsiteX123" fmla="*/ 2440810 w 2541582"/>
              <a:gd name="connsiteY123" fmla="*/ 1126826 h 2517378"/>
              <a:gd name="connsiteX124" fmla="*/ 2440811 w 2541582"/>
              <a:gd name="connsiteY124" fmla="*/ 1126826 h 2517378"/>
              <a:gd name="connsiteX125" fmla="*/ 2541582 w 2541582"/>
              <a:gd name="connsiteY125" fmla="*/ 1235115 h 2517378"/>
              <a:gd name="connsiteX126" fmla="*/ 2430197 w 2541582"/>
              <a:gd name="connsiteY126" fmla="*/ 1338769 h 2517378"/>
              <a:gd name="connsiteX127" fmla="*/ 2430194 w 2541582"/>
              <a:gd name="connsiteY127" fmla="*/ 1338772 h 2517378"/>
              <a:gd name="connsiteX128" fmla="*/ 2218033 w 2541582"/>
              <a:gd name="connsiteY128" fmla="*/ 1334138 h 2517378"/>
              <a:gd name="connsiteX129" fmla="*/ 2218033 w 2541582"/>
              <a:gd name="connsiteY129" fmla="*/ 1334138 h 2517378"/>
              <a:gd name="connsiteX130" fmla="*/ 2117261 w 2541582"/>
              <a:gd name="connsiteY130" fmla="*/ 1225849 h 2517378"/>
              <a:gd name="connsiteX131" fmla="*/ 2228647 w 2541582"/>
              <a:gd name="connsiteY131" fmla="*/ 1122195 h 2517378"/>
              <a:gd name="connsiteX132" fmla="*/ 2228649 w 2541582"/>
              <a:gd name="connsiteY132" fmla="*/ 1122192 h 2517378"/>
              <a:gd name="connsiteX133" fmla="*/ 2440810 w 2541582"/>
              <a:gd name="connsiteY133" fmla="*/ 1126826 h 2517378"/>
              <a:gd name="connsiteX134" fmla="*/ 1247133 w 2541582"/>
              <a:gd name="connsiteY134" fmla="*/ 0 h 2517378"/>
              <a:gd name="connsiteX135" fmla="*/ 1350787 w 2541582"/>
              <a:gd name="connsiteY135" fmla="*/ 111386 h 2517378"/>
              <a:gd name="connsiteX136" fmla="*/ 1350790 w 2541582"/>
              <a:gd name="connsiteY136" fmla="*/ 111388 h 2517378"/>
              <a:gd name="connsiteX137" fmla="*/ 1346157 w 2541582"/>
              <a:gd name="connsiteY137" fmla="*/ 323549 h 2517378"/>
              <a:gd name="connsiteX138" fmla="*/ 1346157 w 2541582"/>
              <a:gd name="connsiteY138" fmla="*/ 323550 h 2517378"/>
              <a:gd name="connsiteX139" fmla="*/ 1237868 w 2541582"/>
              <a:gd name="connsiteY139" fmla="*/ 424321 h 2517378"/>
              <a:gd name="connsiteX140" fmla="*/ 1134214 w 2541582"/>
              <a:gd name="connsiteY140" fmla="*/ 312935 h 2517378"/>
              <a:gd name="connsiteX141" fmla="*/ 1134211 w 2541582"/>
              <a:gd name="connsiteY141" fmla="*/ 312933 h 2517378"/>
              <a:gd name="connsiteX142" fmla="*/ 1138844 w 2541582"/>
              <a:gd name="connsiteY142" fmla="*/ 100772 h 2517378"/>
              <a:gd name="connsiteX143" fmla="*/ 1138844 w 2541582"/>
              <a:gd name="connsiteY143" fmla="*/ 100772 h 2517378"/>
              <a:gd name="connsiteX144" fmla="*/ 2416531 w 2541582"/>
              <a:gd name="connsiteY144" fmla="*/ 737089 h 2517378"/>
              <a:gd name="connsiteX145" fmla="*/ 2355484 w 2541582"/>
              <a:gd name="connsiteY145" fmla="*/ 876459 h 2517378"/>
              <a:gd name="connsiteX146" fmla="*/ 2355483 w 2541582"/>
              <a:gd name="connsiteY146" fmla="*/ 876463 h 2517378"/>
              <a:gd name="connsiteX147" fmla="*/ 2158938 w 2541582"/>
              <a:gd name="connsiteY147" fmla="*/ 956487 h 2517378"/>
              <a:gd name="connsiteX148" fmla="*/ 2158938 w 2541582"/>
              <a:gd name="connsiteY148" fmla="*/ 956487 h 2517378"/>
              <a:gd name="connsiteX149" fmla="*/ 2023442 w 2541582"/>
              <a:gd name="connsiteY149" fmla="*/ 897137 h 2517378"/>
              <a:gd name="connsiteX150" fmla="*/ 2084489 w 2541582"/>
              <a:gd name="connsiteY150" fmla="*/ 757767 h 2517378"/>
              <a:gd name="connsiteX151" fmla="*/ 2084490 w 2541582"/>
              <a:gd name="connsiteY151" fmla="*/ 757763 h 2517378"/>
              <a:gd name="connsiteX152" fmla="*/ 2281035 w 2541582"/>
              <a:gd name="connsiteY152" fmla="*/ 677739 h 2517378"/>
              <a:gd name="connsiteX153" fmla="*/ 2281035 w 2541582"/>
              <a:gd name="connsiteY153" fmla="*/ 677739 h 2517378"/>
              <a:gd name="connsiteX154" fmla="*/ 1695493 w 2541582"/>
              <a:gd name="connsiteY154" fmla="*/ 73601 h 2517378"/>
              <a:gd name="connsiteX155" fmla="*/ 1752857 w 2541582"/>
              <a:gd name="connsiteY155" fmla="*/ 214527 h 2517378"/>
              <a:gd name="connsiteX156" fmla="*/ 1752859 w 2541582"/>
              <a:gd name="connsiteY156" fmla="*/ 214531 h 2517378"/>
              <a:gd name="connsiteX157" fmla="*/ 1673216 w 2541582"/>
              <a:gd name="connsiteY157" fmla="*/ 411230 h 2517378"/>
              <a:gd name="connsiteX158" fmla="*/ 1673216 w 2541582"/>
              <a:gd name="connsiteY158" fmla="*/ 411230 h 2517378"/>
              <a:gd name="connsiteX159" fmla="*/ 1536207 w 2541582"/>
              <a:gd name="connsiteY159" fmla="*/ 466999 h 2517378"/>
              <a:gd name="connsiteX160" fmla="*/ 1478843 w 2541582"/>
              <a:gd name="connsiteY160" fmla="*/ 326073 h 2517378"/>
              <a:gd name="connsiteX161" fmla="*/ 1478841 w 2541582"/>
              <a:gd name="connsiteY161" fmla="*/ 326069 h 2517378"/>
              <a:gd name="connsiteX162" fmla="*/ 1558484 w 2541582"/>
              <a:gd name="connsiteY162" fmla="*/ 129370 h 2517378"/>
              <a:gd name="connsiteX163" fmla="*/ 1558485 w 2541582"/>
              <a:gd name="connsiteY163" fmla="*/ 129370 h 2517378"/>
              <a:gd name="connsiteX164" fmla="*/ 2119183 w 2541582"/>
              <a:gd name="connsiteY164" fmla="*/ 312304 h 2517378"/>
              <a:gd name="connsiteX165" fmla="*/ 2119184 w 2541582"/>
              <a:gd name="connsiteY165" fmla="*/ 464458 h 2517378"/>
              <a:gd name="connsiteX166" fmla="*/ 2119184 w 2541582"/>
              <a:gd name="connsiteY166" fmla="*/ 464462 h 2517378"/>
              <a:gd name="connsiteX167" fmla="*/ 1971260 w 2541582"/>
              <a:gd name="connsiteY167" fmla="*/ 616620 h 2517378"/>
              <a:gd name="connsiteX168" fmla="*/ 1971259 w 2541582"/>
              <a:gd name="connsiteY168" fmla="*/ 616620 h 2517378"/>
              <a:gd name="connsiteX169" fmla="*/ 1823335 w 2541582"/>
              <a:gd name="connsiteY169" fmla="*/ 616620 h 2517378"/>
              <a:gd name="connsiteX170" fmla="*/ 1823335 w 2541582"/>
              <a:gd name="connsiteY170" fmla="*/ 464466 h 2517378"/>
              <a:gd name="connsiteX171" fmla="*/ 1823335 w 2541582"/>
              <a:gd name="connsiteY171" fmla="*/ 464462 h 2517378"/>
              <a:gd name="connsiteX172" fmla="*/ 1971259 w 2541582"/>
              <a:gd name="connsiteY172" fmla="*/ 312304 h 2517378"/>
              <a:gd name="connsiteX173" fmla="*/ 1971260 w 2541582"/>
              <a:gd name="connsiteY173" fmla="*/ 312304 h 25173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Lst>
            <a:rect l="l" t="t" r="r" b="b"/>
            <a:pathLst>
              <a:path w="2541582" h="2517378">
                <a:moveTo>
                  <a:pt x="721625" y="1903961"/>
                </a:moveTo>
                <a:lnTo>
                  <a:pt x="721626" y="2056116"/>
                </a:lnTo>
                <a:lnTo>
                  <a:pt x="721626" y="2056119"/>
                </a:lnTo>
                <a:cubicBezTo>
                  <a:pt x="721626" y="2140154"/>
                  <a:pt x="655398" y="2208277"/>
                  <a:pt x="573702" y="2208278"/>
                </a:cubicBezTo>
                <a:lnTo>
                  <a:pt x="573701" y="2208277"/>
                </a:lnTo>
                <a:lnTo>
                  <a:pt x="425777" y="2208278"/>
                </a:lnTo>
                <a:lnTo>
                  <a:pt x="425777" y="2056123"/>
                </a:lnTo>
                <a:lnTo>
                  <a:pt x="425777" y="2056120"/>
                </a:lnTo>
                <a:cubicBezTo>
                  <a:pt x="425777" y="1972085"/>
                  <a:pt x="492005" y="1903962"/>
                  <a:pt x="573701" y="1903962"/>
                </a:cubicBezTo>
                <a:lnTo>
                  <a:pt x="573702" y="1903962"/>
                </a:lnTo>
                <a:close/>
                <a:moveTo>
                  <a:pt x="519727" y="1624038"/>
                </a:moveTo>
                <a:lnTo>
                  <a:pt x="458680" y="1763409"/>
                </a:lnTo>
                <a:lnTo>
                  <a:pt x="458678" y="1763413"/>
                </a:lnTo>
                <a:cubicBezTo>
                  <a:pt x="424962" y="1840387"/>
                  <a:pt x="336966" y="1876215"/>
                  <a:pt x="262134" y="1843437"/>
                </a:cubicBezTo>
                <a:lnTo>
                  <a:pt x="262133" y="1843437"/>
                </a:lnTo>
                <a:lnTo>
                  <a:pt x="126637" y="1784087"/>
                </a:lnTo>
                <a:lnTo>
                  <a:pt x="187684" y="1644716"/>
                </a:lnTo>
                <a:lnTo>
                  <a:pt x="187686" y="1644713"/>
                </a:lnTo>
                <a:cubicBezTo>
                  <a:pt x="221402" y="1567739"/>
                  <a:pt x="309398" y="1531910"/>
                  <a:pt x="384230" y="1564688"/>
                </a:cubicBezTo>
                <a:lnTo>
                  <a:pt x="384231" y="1564689"/>
                </a:lnTo>
                <a:close/>
                <a:moveTo>
                  <a:pt x="1009078" y="2051827"/>
                </a:moveTo>
                <a:lnTo>
                  <a:pt x="1066442" y="2192754"/>
                </a:lnTo>
                <a:lnTo>
                  <a:pt x="1066444" y="2192757"/>
                </a:lnTo>
                <a:cubicBezTo>
                  <a:pt x="1098126" y="2270591"/>
                  <a:pt x="1062469" y="2358656"/>
                  <a:pt x="986801" y="2389456"/>
                </a:cubicBezTo>
                <a:lnTo>
                  <a:pt x="986801" y="2389457"/>
                </a:lnTo>
                <a:lnTo>
                  <a:pt x="849793" y="2445226"/>
                </a:lnTo>
                <a:lnTo>
                  <a:pt x="792428" y="2304299"/>
                </a:lnTo>
                <a:lnTo>
                  <a:pt x="792426" y="2304296"/>
                </a:lnTo>
                <a:cubicBezTo>
                  <a:pt x="760744" y="2226462"/>
                  <a:pt x="796402" y="2138397"/>
                  <a:pt x="872069" y="2107597"/>
                </a:cubicBezTo>
                <a:lnTo>
                  <a:pt x="872070" y="2107597"/>
                </a:lnTo>
                <a:close/>
                <a:moveTo>
                  <a:pt x="1307640" y="2093057"/>
                </a:moveTo>
                <a:lnTo>
                  <a:pt x="1411294" y="2204442"/>
                </a:lnTo>
                <a:lnTo>
                  <a:pt x="1411296" y="2204445"/>
                </a:lnTo>
                <a:cubicBezTo>
                  <a:pt x="1468544" y="2265963"/>
                  <a:pt x="1466470" y="2360951"/>
                  <a:pt x="1406663" y="2416606"/>
                </a:cubicBezTo>
                <a:lnTo>
                  <a:pt x="1406663" y="2416606"/>
                </a:lnTo>
                <a:lnTo>
                  <a:pt x="1298374" y="2517378"/>
                </a:lnTo>
                <a:lnTo>
                  <a:pt x="1194720" y="2405992"/>
                </a:lnTo>
                <a:lnTo>
                  <a:pt x="1194718" y="2405989"/>
                </a:lnTo>
                <a:cubicBezTo>
                  <a:pt x="1137470" y="2344471"/>
                  <a:pt x="1139544" y="2249484"/>
                  <a:pt x="1199351" y="2193829"/>
                </a:cubicBezTo>
                <a:lnTo>
                  <a:pt x="1199351" y="2193828"/>
                </a:lnTo>
                <a:close/>
                <a:moveTo>
                  <a:pt x="323549" y="1188033"/>
                </a:moveTo>
                <a:lnTo>
                  <a:pt x="323549" y="1188033"/>
                </a:lnTo>
                <a:lnTo>
                  <a:pt x="424321" y="1296322"/>
                </a:lnTo>
                <a:lnTo>
                  <a:pt x="312935" y="1399976"/>
                </a:lnTo>
                <a:lnTo>
                  <a:pt x="312933" y="1399979"/>
                </a:lnTo>
                <a:cubicBezTo>
                  <a:pt x="251414" y="1457227"/>
                  <a:pt x="156427" y="1455152"/>
                  <a:pt x="100772" y="1395346"/>
                </a:cubicBezTo>
                <a:lnTo>
                  <a:pt x="100771" y="1395345"/>
                </a:lnTo>
                <a:lnTo>
                  <a:pt x="0" y="1287056"/>
                </a:lnTo>
                <a:lnTo>
                  <a:pt x="111385" y="1183403"/>
                </a:lnTo>
                <a:lnTo>
                  <a:pt x="111388" y="1183400"/>
                </a:lnTo>
                <a:cubicBezTo>
                  <a:pt x="172906" y="1126152"/>
                  <a:pt x="267894" y="1128226"/>
                  <a:pt x="323549" y="1188033"/>
                </a:cubicBezTo>
                <a:close/>
                <a:moveTo>
                  <a:pt x="1826146" y="2118023"/>
                </a:moveTo>
                <a:cubicBezTo>
                  <a:pt x="1867160" y="2160504"/>
                  <a:pt x="1881167" y="2224032"/>
                  <a:pt x="1856583" y="2280157"/>
                </a:cubicBezTo>
                <a:lnTo>
                  <a:pt x="1856583" y="2280157"/>
                </a:lnTo>
                <a:lnTo>
                  <a:pt x="1797234" y="2415653"/>
                </a:lnTo>
                <a:lnTo>
                  <a:pt x="1657863" y="2354606"/>
                </a:lnTo>
                <a:lnTo>
                  <a:pt x="1657859" y="2354605"/>
                </a:lnTo>
                <a:cubicBezTo>
                  <a:pt x="1580885" y="2320889"/>
                  <a:pt x="1545057" y="2232893"/>
                  <a:pt x="1577835" y="2158060"/>
                </a:cubicBezTo>
                <a:lnTo>
                  <a:pt x="1577835" y="2158060"/>
                </a:lnTo>
                <a:lnTo>
                  <a:pt x="1637185" y="2022564"/>
                </a:lnTo>
                <a:lnTo>
                  <a:pt x="1776555" y="2083611"/>
                </a:lnTo>
                <a:lnTo>
                  <a:pt x="1776559" y="2083612"/>
                </a:lnTo>
                <a:cubicBezTo>
                  <a:pt x="1795803" y="2092041"/>
                  <a:pt x="1812474" y="2103863"/>
                  <a:pt x="1826146" y="2118023"/>
                </a:cubicBezTo>
                <a:close/>
                <a:moveTo>
                  <a:pt x="377553" y="807593"/>
                </a:moveTo>
                <a:cubicBezTo>
                  <a:pt x="391356" y="821081"/>
                  <a:pt x="402635" y="837498"/>
                  <a:pt x="410335" y="856415"/>
                </a:cubicBezTo>
                <a:lnTo>
                  <a:pt x="410336" y="856415"/>
                </a:lnTo>
                <a:lnTo>
                  <a:pt x="466105" y="993423"/>
                </a:lnTo>
                <a:lnTo>
                  <a:pt x="325178" y="1050787"/>
                </a:lnTo>
                <a:lnTo>
                  <a:pt x="325175" y="1050789"/>
                </a:lnTo>
                <a:cubicBezTo>
                  <a:pt x="247342" y="1082471"/>
                  <a:pt x="159276" y="1046814"/>
                  <a:pt x="128476" y="971146"/>
                </a:cubicBezTo>
                <a:lnTo>
                  <a:pt x="128476" y="971146"/>
                </a:lnTo>
                <a:lnTo>
                  <a:pt x="72706" y="834138"/>
                </a:lnTo>
                <a:lnTo>
                  <a:pt x="213633" y="776773"/>
                </a:lnTo>
                <a:lnTo>
                  <a:pt x="213636" y="776772"/>
                </a:lnTo>
                <a:cubicBezTo>
                  <a:pt x="272011" y="753010"/>
                  <a:pt x="336142" y="767127"/>
                  <a:pt x="377553" y="807593"/>
                </a:cubicBezTo>
                <a:close/>
                <a:moveTo>
                  <a:pt x="2166386" y="1843414"/>
                </a:moveTo>
                <a:cubicBezTo>
                  <a:pt x="2193921" y="1870183"/>
                  <a:pt x="2210952" y="1907164"/>
                  <a:pt x="2210952" y="1948012"/>
                </a:cubicBezTo>
                <a:lnTo>
                  <a:pt x="2210952" y="1948012"/>
                </a:lnTo>
                <a:lnTo>
                  <a:pt x="2210952" y="2095936"/>
                </a:lnTo>
                <a:lnTo>
                  <a:pt x="2058798" y="2095936"/>
                </a:lnTo>
                <a:lnTo>
                  <a:pt x="2058794" y="2095937"/>
                </a:lnTo>
                <a:cubicBezTo>
                  <a:pt x="1974759" y="2095937"/>
                  <a:pt x="1906636" y="2029709"/>
                  <a:pt x="1906636" y="1948012"/>
                </a:cubicBezTo>
                <a:lnTo>
                  <a:pt x="1906636" y="1948012"/>
                </a:lnTo>
                <a:lnTo>
                  <a:pt x="1906636" y="1800088"/>
                </a:lnTo>
                <a:lnTo>
                  <a:pt x="2058790" y="1800088"/>
                </a:lnTo>
                <a:lnTo>
                  <a:pt x="2058794" y="1800088"/>
                </a:lnTo>
                <a:cubicBezTo>
                  <a:pt x="2100811" y="1800088"/>
                  <a:pt x="2138851" y="1816645"/>
                  <a:pt x="2166386" y="1843414"/>
                </a:cubicBezTo>
                <a:close/>
                <a:moveTo>
                  <a:pt x="592924" y="461833"/>
                </a:moveTo>
                <a:cubicBezTo>
                  <a:pt x="620460" y="488602"/>
                  <a:pt x="637491" y="525583"/>
                  <a:pt x="637491" y="566431"/>
                </a:cubicBezTo>
                <a:lnTo>
                  <a:pt x="637490" y="566431"/>
                </a:lnTo>
                <a:lnTo>
                  <a:pt x="637490" y="714355"/>
                </a:lnTo>
                <a:lnTo>
                  <a:pt x="485336" y="714355"/>
                </a:lnTo>
                <a:lnTo>
                  <a:pt x="485333" y="714356"/>
                </a:lnTo>
                <a:cubicBezTo>
                  <a:pt x="401298" y="714356"/>
                  <a:pt x="333174" y="648128"/>
                  <a:pt x="333174" y="566431"/>
                </a:cubicBezTo>
                <a:lnTo>
                  <a:pt x="333175" y="566431"/>
                </a:lnTo>
                <a:lnTo>
                  <a:pt x="333175" y="418507"/>
                </a:lnTo>
                <a:lnTo>
                  <a:pt x="485329" y="418507"/>
                </a:lnTo>
                <a:lnTo>
                  <a:pt x="485333" y="418507"/>
                </a:lnTo>
                <a:cubicBezTo>
                  <a:pt x="527350" y="418507"/>
                  <a:pt x="565389" y="435064"/>
                  <a:pt x="592924" y="461833"/>
                </a:cubicBezTo>
                <a:close/>
                <a:moveTo>
                  <a:pt x="2378656" y="1501946"/>
                </a:moveTo>
                <a:cubicBezTo>
                  <a:pt x="2392459" y="1515435"/>
                  <a:pt x="2403738" y="1531851"/>
                  <a:pt x="2411439" y="1550768"/>
                </a:cubicBezTo>
                <a:lnTo>
                  <a:pt x="2411439" y="1550768"/>
                </a:lnTo>
                <a:lnTo>
                  <a:pt x="2467208" y="1687776"/>
                </a:lnTo>
                <a:lnTo>
                  <a:pt x="2326282" y="1745141"/>
                </a:lnTo>
                <a:lnTo>
                  <a:pt x="2326278" y="1745142"/>
                </a:lnTo>
                <a:cubicBezTo>
                  <a:pt x="2248445" y="1776824"/>
                  <a:pt x="2160379" y="1741167"/>
                  <a:pt x="2129579" y="1665499"/>
                </a:cubicBezTo>
                <a:lnTo>
                  <a:pt x="2129579" y="1665499"/>
                </a:lnTo>
                <a:lnTo>
                  <a:pt x="2073809" y="1528491"/>
                </a:lnTo>
                <a:lnTo>
                  <a:pt x="2214736" y="1471127"/>
                </a:lnTo>
                <a:lnTo>
                  <a:pt x="2214739" y="1471125"/>
                </a:lnTo>
                <a:cubicBezTo>
                  <a:pt x="2273114" y="1447363"/>
                  <a:pt x="2337245" y="1461480"/>
                  <a:pt x="2378656" y="1501946"/>
                </a:cubicBezTo>
                <a:close/>
                <a:moveTo>
                  <a:pt x="928939" y="199283"/>
                </a:moveTo>
                <a:cubicBezTo>
                  <a:pt x="969953" y="241764"/>
                  <a:pt x="983960" y="305292"/>
                  <a:pt x="959377" y="361416"/>
                </a:cubicBezTo>
                <a:lnTo>
                  <a:pt x="959376" y="361417"/>
                </a:lnTo>
                <a:lnTo>
                  <a:pt x="900027" y="496913"/>
                </a:lnTo>
                <a:lnTo>
                  <a:pt x="760656" y="435866"/>
                </a:lnTo>
                <a:lnTo>
                  <a:pt x="760652" y="435865"/>
                </a:lnTo>
                <a:cubicBezTo>
                  <a:pt x="683678" y="402148"/>
                  <a:pt x="647850" y="314153"/>
                  <a:pt x="680628" y="239320"/>
                </a:cubicBezTo>
                <a:lnTo>
                  <a:pt x="680628" y="239320"/>
                </a:lnTo>
                <a:lnTo>
                  <a:pt x="739978" y="103824"/>
                </a:lnTo>
                <a:lnTo>
                  <a:pt x="879349" y="164871"/>
                </a:lnTo>
                <a:lnTo>
                  <a:pt x="879352" y="164872"/>
                </a:lnTo>
                <a:cubicBezTo>
                  <a:pt x="898596" y="173301"/>
                  <a:pt x="915268" y="185122"/>
                  <a:pt x="928939" y="199283"/>
                </a:cubicBezTo>
                <a:close/>
                <a:moveTo>
                  <a:pt x="2440810" y="1126826"/>
                </a:moveTo>
                <a:lnTo>
                  <a:pt x="2440811" y="1126826"/>
                </a:lnTo>
                <a:lnTo>
                  <a:pt x="2541582" y="1235115"/>
                </a:lnTo>
                <a:lnTo>
                  <a:pt x="2430197" y="1338769"/>
                </a:lnTo>
                <a:lnTo>
                  <a:pt x="2430194" y="1338772"/>
                </a:lnTo>
                <a:cubicBezTo>
                  <a:pt x="2368676" y="1396019"/>
                  <a:pt x="2273688" y="1393945"/>
                  <a:pt x="2218033" y="1334138"/>
                </a:cubicBezTo>
                <a:lnTo>
                  <a:pt x="2218033" y="1334138"/>
                </a:lnTo>
                <a:lnTo>
                  <a:pt x="2117261" y="1225849"/>
                </a:lnTo>
                <a:lnTo>
                  <a:pt x="2228647" y="1122195"/>
                </a:lnTo>
                <a:lnTo>
                  <a:pt x="2228649" y="1122192"/>
                </a:lnTo>
                <a:cubicBezTo>
                  <a:pt x="2290168" y="1064945"/>
                  <a:pt x="2385155" y="1067019"/>
                  <a:pt x="2440810" y="1126826"/>
                </a:cubicBezTo>
                <a:close/>
                <a:moveTo>
                  <a:pt x="1247133" y="0"/>
                </a:moveTo>
                <a:lnTo>
                  <a:pt x="1350787" y="111386"/>
                </a:lnTo>
                <a:lnTo>
                  <a:pt x="1350790" y="111388"/>
                </a:lnTo>
                <a:cubicBezTo>
                  <a:pt x="1408038" y="172907"/>
                  <a:pt x="1405963" y="267894"/>
                  <a:pt x="1346157" y="323549"/>
                </a:cubicBezTo>
                <a:lnTo>
                  <a:pt x="1346157" y="323550"/>
                </a:lnTo>
                <a:lnTo>
                  <a:pt x="1237868" y="424321"/>
                </a:lnTo>
                <a:lnTo>
                  <a:pt x="1134214" y="312935"/>
                </a:lnTo>
                <a:lnTo>
                  <a:pt x="1134211" y="312933"/>
                </a:lnTo>
                <a:cubicBezTo>
                  <a:pt x="1076963" y="251415"/>
                  <a:pt x="1079038" y="156427"/>
                  <a:pt x="1138844" y="100772"/>
                </a:cubicBezTo>
                <a:lnTo>
                  <a:pt x="1138844" y="100772"/>
                </a:lnTo>
                <a:close/>
                <a:moveTo>
                  <a:pt x="2416531" y="737089"/>
                </a:moveTo>
                <a:lnTo>
                  <a:pt x="2355484" y="876459"/>
                </a:lnTo>
                <a:lnTo>
                  <a:pt x="2355483" y="876463"/>
                </a:lnTo>
                <a:cubicBezTo>
                  <a:pt x="2321766" y="953437"/>
                  <a:pt x="2233771" y="989265"/>
                  <a:pt x="2158938" y="956487"/>
                </a:cubicBezTo>
                <a:lnTo>
                  <a:pt x="2158938" y="956487"/>
                </a:lnTo>
                <a:lnTo>
                  <a:pt x="2023442" y="897137"/>
                </a:lnTo>
                <a:lnTo>
                  <a:pt x="2084489" y="757767"/>
                </a:lnTo>
                <a:lnTo>
                  <a:pt x="2084490" y="757763"/>
                </a:lnTo>
                <a:cubicBezTo>
                  <a:pt x="2118206" y="680789"/>
                  <a:pt x="2206202" y="644961"/>
                  <a:pt x="2281035" y="677739"/>
                </a:cubicBezTo>
                <a:lnTo>
                  <a:pt x="2281035" y="677739"/>
                </a:lnTo>
                <a:close/>
                <a:moveTo>
                  <a:pt x="1695493" y="73601"/>
                </a:moveTo>
                <a:lnTo>
                  <a:pt x="1752857" y="214527"/>
                </a:lnTo>
                <a:lnTo>
                  <a:pt x="1752859" y="214531"/>
                </a:lnTo>
                <a:cubicBezTo>
                  <a:pt x="1784541" y="292364"/>
                  <a:pt x="1748884" y="380429"/>
                  <a:pt x="1673216" y="411230"/>
                </a:cubicBezTo>
                <a:lnTo>
                  <a:pt x="1673216" y="411230"/>
                </a:lnTo>
                <a:lnTo>
                  <a:pt x="1536207" y="466999"/>
                </a:lnTo>
                <a:lnTo>
                  <a:pt x="1478843" y="326073"/>
                </a:lnTo>
                <a:lnTo>
                  <a:pt x="1478841" y="326069"/>
                </a:lnTo>
                <a:cubicBezTo>
                  <a:pt x="1447159" y="248236"/>
                  <a:pt x="1482817" y="160171"/>
                  <a:pt x="1558484" y="129370"/>
                </a:cubicBezTo>
                <a:lnTo>
                  <a:pt x="1558485" y="129370"/>
                </a:lnTo>
                <a:close/>
                <a:moveTo>
                  <a:pt x="2119183" y="312304"/>
                </a:moveTo>
                <a:lnTo>
                  <a:pt x="2119184" y="464458"/>
                </a:lnTo>
                <a:lnTo>
                  <a:pt x="2119184" y="464462"/>
                </a:lnTo>
                <a:cubicBezTo>
                  <a:pt x="2119184" y="548497"/>
                  <a:pt x="2052956" y="616620"/>
                  <a:pt x="1971260" y="616620"/>
                </a:cubicBezTo>
                <a:lnTo>
                  <a:pt x="1971259" y="616620"/>
                </a:lnTo>
                <a:lnTo>
                  <a:pt x="1823335" y="616620"/>
                </a:lnTo>
                <a:lnTo>
                  <a:pt x="1823335" y="464466"/>
                </a:lnTo>
                <a:lnTo>
                  <a:pt x="1823335" y="464462"/>
                </a:lnTo>
                <a:cubicBezTo>
                  <a:pt x="1823335" y="380427"/>
                  <a:pt x="1889563" y="312304"/>
                  <a:pt x="1971259" y="312304"/>
                </a:cubicBezTo>
                <a:lnTo>
                  <a:pt x="1971260" y="312304"/>
                </a:lnTo>
                <a:close/>
              </a:path>
            </a:pathLst>
          </a:custGeom>
          <a:gradFill>
            <a:gsLst>
              <a:gs pos="0">
                <a:sysClr val="window" lastClr="FFFFFF">
                  <a:lumMod val="85000"/>
                </a:sysClr>
              </a:gs>
              <a:gs pos="100000">
                <a:sysClr val="window" lastClr="FFFFFF">
                  <a:lumMod val="50000"/>
                </a:sysClr>
              </a:gs>
            </a:gsLst>
            <a:lin ang="5400000" scaled="1"/>
          </a:gra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96" name="Sun">
            <a:extLst>
              <a:ext uri="{FF2B5EF4-FFF2-40B4-BE49-F238E27FC236}">
                <a16:creationId xmlns:a16="http://schemas.microsoft.com/office/drawing/2014/main" id="{00000000-0008-0000-0200-000060000000}"/>
              </a:ext>
            </a:extLst>
          </xdr:cNvPr>
          <xdr:cNvSpPr/>
        </xdr:nvSpPr>
        <xdr:spPr>
          <a:xfrm rot="18324177">
            <a:off x="14829219" y="190232"/>
            <a:ext cx="942318" cy="930488"/>
          </a:xfrm>
          <a:prstGeom prst="ellipse">
            <a:avLst/>
          </a:prstGeom>
          <a:gradFill>
            <a:gsLst>
              <a:gs pos="0">
                <a:sysClr val="window" lastClr="FFFFFF">
                  <a:lumMod val="85000"/>
                </a:sysClr>
              </a:gs>
              <a:gs pos="100000">
                <a:sysClr val="window" lastClr="FFFFFF">
                  <a:lumMod val="50000"/>
                </a:sysClr>
              </a:gs>
            </a:gsLst>
            <a:lin ang="5400000" scaled="1"/>
          </a:gradFill>
          <a:ln w="12700" cap="flat" cmpd="sng" algn="ctr">
            <a:no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18</xdr:col>
      <xdr:colOff>704031</xdr:colOff>
      <xdr:row>1</xdr:row>
      <xdr:rowOff>20103</xdr:rowOff>
    </xdr:from>
    <xdr:to>
      <xdr:col>20</xdr:col>
      <xdr:colOff>741463</xdr:colOff>
      <xdr:row>4</xdr:row>
      <xdr:rowOff>26635</xdr:rowOff>
    </xdr:to>
    <xdr:sp macro="" textlink="Processing!I1">
      <xdr:nvSpPr>
        <xdr:cNvPr id="97" name="TextBox 96">
          <a:extLst>
            <a:ext uri="{FF2B5EF4-FFF2-40B4-BE49-F238E27FC236}">
              <a16:creationId xmlns:a16="http://schemas.microsoft.com/office/drawing/2014/main" id="{00000000-0008-0000-0200-000061000000}"/>
            </a:ext>
          </a:extLst>
        </xdr:cNvPr>
        <xdr:cNvSpPr txBox="1"/>
      </xdr:nvSpPr>
      <xdr:spPr>
        <a:xfrm>
          <a:off x="15563031" y="223303"/>
          <a:ext cx="1688432" cy="616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616529F7-6C3A-9D4C-98BF-28707077E6C5}" type="TxLink">
            <a:rPr lang="en-US" sz="1200" b="0" i="0" u="none" strike="noStrike" noProof="0">
              <a:solidFill>
                <a:srgbClr val="BFCDE4"/>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Today: 1 Settembre 2025</a:t>
          </a:fld>
          <a:endParaRPr lang="ru-RU" sz="1200" b="0" i="0" u="none" strike="noStrike" noProof="0">
            <a:solidFill>
              <a:srgbClr val="BFCDE4"/>
            </a:solidFill>
            <a:latin typeface="Calibri"/>
            <a:ea typeface="+mn-ea"/>
            <a:cs typeface="Calibri"/>
          </a:endParaRPr>
        </a:p>
      </xdr:txBody>
    </xdr:sp>
    <xdr:clientData/>
  </xdr:twoCellAnchor>
  <xdr:twoCellAnchor editAs="oneCell">
    <xdr:from>
      <xdr:col>3</xdr:col>
      <xdr:colOff>463924</xdr:colOff>
      <xdr:row>6</xdr:row>
      <xdr:rowOff>4490</xdr:rowOff>
    </xdr:from>
    <xdr:to>
      <xdr:col>17</xdr:col>
      <xdr:colOff>309902</xdr:colOff>
      <xdr:row>8</xdr:row>
      <xdr:rowOff>20162</xdr:rowOff>
    </xdr:to>
    <mc:AlternateContent xmlns:mc="http://schemas.openxmlformats.org/markup-compatibility/2006" xmlns:a14="http://schemas.microsoft.com/office/drawing/2010/main">
      <mc:Choice Requires="a14">
        <xdr:graphicFrame macro="">
          <xdr:nvGraphicFramePr>
            <xdr:cNvPr id="98" name="Mese 11">
              <a:extLst>
                <a:ext uri="{FF2B5EF4-FFF2-40B4-BE49-F238E27FC236}">
                  <a16:creationId xmlns:a16="http://schemas.microsoft.com/office/drawing/2014/main" id="{00000000-0008-0000-0200-000062000000}"/>
                </a:ext>
              </a:extLst>
            </xdr:cNvPr>
            <xdr:cNvGraphicFramePr/>
          </xdr:nvGraphicFramePr>
          <xdr:xfrm>
            <a:off x="0" y="0"/>
            <a:ext cx="0" cy="0"/>
          </xdr:xfrm>
          <a:graphic>
            <a:graphicData uri="http://schemas.microsoft.com/office/drawing/2010/slicer">
              <sle:slicer xmlns:sle="http://schemas.microsoft.com/office/drawing/2010/slicer" name="Mese 11"/>
            </a:graphicData>
          </a:graphic>
        </xdr:graphicFrame>
      </mc:Choice>
      <mc:Fallback xmlns="">
        <xdr:sp macro="" textlink="">
          <xdr:nvSpPr>
            <xdr:cNvPr id="0" name=""/>
            <xdr:cNvSpPr>
              <a:spLocks noTextEdit="1"/>
            </xdr:cNvSpPr>
          </xdr:nvSpPr>
          <xdr:spPr>
            <a:xfrm>
              <a:off x="2940424" y="1223690"/>
              <a:ext cx="11402978" cy="4220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472386</xdr:colOff>
      <xdr:row>6</xdr:row>
      <xdr:rowOff>4926</xdr:rowOff>
    </xdr:from>
    <xdr:to>
      <xdr:col>22</xdr:col>
      <xdr:colOff>156136</xdr:colOff>
      <xdr:row>8</xdr:row>
      <xdr:rowOff>19726</xdr:rowOff>
    </xdr:to>
    <mc:AlternateContent xmlns:mc="http://schemas.openxmlformats.org/markup-compatibility/2006" xmlns:a14="http://schemas.microsoft.com/office/drawing/2010/main">
      <mc:Choice Requires="a14">
        <xdr:graphicFrame macro="">
          <xdr:nvGraphicFramePr>
            <xdr:cNvPr id="99" name="Anno 3">
              <a:extLst>
                <a:ext uri="{FF2B5EF4-FFF2-40B4-BE49-F238E27FC236}">
                  <a16:creationId xmlns:a16="http://schemas.microsoft.com/office/drawing/2014/main" id="{00000000-0008-0000-0200-000063000000}"/>
                </a:ext>
              </a:extLst>
            </xdr:cNvPr>
            <xdr:cNvGraphicFramePr/>
          </xdr:nvGraphicFramePr>
          <xdr:xfrm>
            <a:off x="0" y="0"/>
            <a:ext cx="0" cy="0"/>
          </xdr:xfrm>
          <a:graphic>
            <a:graphicData uri="http://schemas.microsoft.com/office/drawing/2010/slicer">
              <sle:slicer xmlns:sle="http://schemas.microsoft.com/office/drawing/2010/slicer" name="Anno 3"/>
            </a:graphicData>
          </a:graphic>
        </xdr:graphicFrame>
      </mc:Choice>
      <mc:Fallback xmlns="">
        <xdr:sp macro="" textlink="">
          <xdr:nvSpPr>
            <xdr:cNvPr id="0" name=""/>
            <xdr:cNvSpPr>
              <a:spLocks noTextEdit="1"/>
            </xdr:cNvSpPr>
          </xdr:nvSpPr>
          <xdr:spPr>
            <a:xfrm>
              <a:off x="15331386" y="1224126"/>
              <a:ext cx="2985750" cy="421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6723</xdr:colOff>
      <xdr:row>115</xdr:row>
      <xdr:rowOff>80682</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0" y="0"/>
          <a:ext cx="2483223" cy="23448682"/>
        </a:xfrm>
        <a:prstGeom prst="rect">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17</xdr:col>
      <xdr:colOff>390712</xdr:colOff>
      <xdr:row>10</xdr:row>
      <xdr:rowOff>11952</xdr:rowOff>
    </xdr:from>
    <xdr:to>
      <xdr:col>22</xdr:col>
      <xdr:colOff>270435</xdr:colOff>
      <xdr:row>26</xdr:row>
      <xdr:rowOff>74752</xdr:rowOff>
    </xdr:to>
    <xdr:sp macro="" textlink="">
      <xdr:nvSpPr>
        <xdr:cNvPr id="3" name="Rectangle: Rounded Corners 2">
          <a:extLst>
            <a:ext uri="{FF2B5EF4-FFF2-40B4-BE49-F238E27FC236}">
              <a16:creationId xmlns:a16="http://schemas.microsoft.com/office/drawing/2014/main" id="{00000000-0008-0000-0300-000003000000}"/>
            </a:ext>
          </a:extLst>
        </xdr:cNvPr>
        <xdr:cNvSpPr/>
      </xdr:nvSpPr>
      <xdr:spPr>
        <a:xfrm>
          <a:off x="14424212" y="2043952"/>
          <a:ext cx="4007223" cy="3314000"/>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320489</xdr:colOff>
      <xdr:row>10</xdr:row>
      <xdr:rowOff>11951</xdr:rowOff>
    </xdr:from>
    <xdr:to>
      <xdr:col>8</xdr:col>
      <xdr:colOff>603623</xdr:colOff>
      <xdr:row>83</xdr:row>
      <xdr:rowOff>88900</xdr:rowOff>
    </xdr:to>
    <xdr:sp macro="" textlink="">
      <xdr:nvSpPr>
        <xdr:cNvPr id="4" name="Rectangle: Rounded Corners 3">
          <a:extLst>
            <a:ext uri="{FF2B5EF4-FFF2-40B4-BE49-F238E27FC236}">
              <a16:creationId xmlns:a16="http://schemas.microsoft.com/office/drawing/2014/main" id="{00000000-0008-0000-0300-000004000000}"/>
            </a:ext>
          </a:extLst>
        </xdr:cNvPr>
        <xdr:cNvSpPr/>
      </xdr:nvSpPr>
      <xdr:spPr>
        <a:xfrm>
          <a:off x="2796989" y="2043951"/>
          <a:ext cx="4410634" cy="14910549"/>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17</xdr:col>
      <xdr:colOff>398556</xdr:colOff>
      <xdr:row>27</xdr:row>
      <xdr:rowOff>158378</xdr:rowOff>
    </xdr:from>
    <xdr:to>
      <xdr:col>22</xdr:col>
      <xdr:colOff>278279</xdr:colOff>
      <xdr:row>47</xdr:row>
      <xdr:rowOff>155178</xdr:rowOff>
    </xdr:to>
    <xdr:sp macro="" textlink="">
      <xdr:nvSpPr>
        <xdr:cNvPr id="5" name="Rectangle: Rounded Corners 4">
          <a:extLst>
            <a:ext uri="{FF2B5EF4-FFF2-40B4-BE49-F238E27FC236}">
              <a16:creationId xmlns:a16="http://schemas.microsoft.com/office/drawing/2014/main" id="{00000000-0008-0000-0300-000005000000}"/>
            </a:ext>
          </a:extLst>
        </xdr:cNvPr>
        <xdr:cNvSpPr/>
      </xdr:nvSpPr>
      <xdr:spPr>
        <a:xfrm>
          <a:off x="14432056" y="5644778"/>
          <a:ext cx="4007223" cy="4060800"/>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5</xdr:col>
      <xdr:colOff>226806</xdr:colOff>
      <xdr:row>10</xdr:row>
      <xdr:rowOff>129793</xdr:rowOff>
    </xdr:from>
    <xdr:to>
      <xdr:col>6</xdr:col>
      <xdr:colOff>697306</xdr:colOff>
      <xdr:row>11</xdr:row>
      <xdr:rowOff>106593</xdr:rowOff>
    </xdr:to>
    <xdr:sp macro="" textlink="Processing!J63">
      <xdr:nvSpPr>
        <xdr:cNvPr id="17" name="TextBox 16">
          <a:extLst>
            <a:ext uri="{FF2B5EF4-FFF2-40B4-BE49-F238E27FC236}">
              <a16:creationId xmlns:a16="http://schemas.microsoft.com/office/drawing/2014/main" id="{00000000-0008-0000-0300-000011000000}"/>
            </a:ext>
          </a:extLst>
        </xdr:cNvPr>
        <xdr:cNvSpPr txBox="1"/>
      </xdr:nvSpPr>
      <xdr:spPr>
        <a:xfrm>
          <a:off x="4354306" y="2161793"/>
          <a:ext cx="1296000" cy="180000"/>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7136C84A-6476-DE48-A2B4-F6C99BD4CF10}" type="TxLink">
            <a:rPr kumimoji="0" lang="en-US" sz="1600" b="1"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Cost Ranking</a:t>
          </a:fld>
          <a:endParaRPr kumimoji="0" lang="ru-RU" sz="1600" b="1"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8966</xdr:colOff>
      <xdr:row>19</xdr:row>
      <xdr:rowOff>142396</xdr:rowOff>
    </xdr:from>
    <xdr:to>
      <xdr:col>3</xdr:col>
      <xdr:colOff>58719</xdr:colOff>
      <xdr:row>22</xdr:row>
      <xdr:rowOff>35101</xdr:rowOff>
    </xdr:to>
    <xdr:sp macro="" textlink="">
      <xdr:nvSpPr>
        <xdr:cNvPr id="18" name="Freeform: Shape 24">
          <a:extLst>
            <a:ext uri="{FF2B5EF4-FFF2-40B4-BE49-F238E27FC236}">
              <a16:creationId xmlns:a16="http://schemas.microsoft.com/office/drawing/2014/main" id="{00000000-0008-0000-0300-000012000000}"/>
            </a:ext>
          </a:extLst>
        </xdr:cNvPr>
        <xdr:cNvSpPr/>
      </xdr:nvSpPr>
      <xdr:spPr>
        <a:xfrm>
          <a:off x="8966" y="4003196"/>
          <a:ext cx="2526253" cy="502305"/>
        </a:xfrm>
        <a:custGeom>
          <a:avLst/>
          <a:gdLst>
            <a:gd name="connsiteX0" fmla="*/ 0 w 2264319"/>
            <a:gd name="connsiteY0" fmla="*/ 0 h 555812"/>
            <a:gd name="connsiteX1" fmla="*/ 2189612 w 2264319"/>
            <a:gd name="connsiteY1" fmla="*/ 0 h 555812"/>
            <a:gd name="connsiteX2" fmla="*/ 2264319 w 2264319"/>
            <a:gd name="connsiteY2" fmla="*/ 74707 h 555812"/>
            <a:gd name="connsiteX3" fmla="*/ 2264319 w 2264319"/>
            <a:gd name="connsiteY3" fmla="*/ 481105 h 555812"/>
            <a:gd name="connsiteX4" fmla="*/ 2189612 w 2264319"/>
            <a:gd name="connsiteY4" fmla="*/ 555812 h 555812"/>
            <a:gd name="connsiteX5" fmla="*/ 0 w 2264319"/>
            <a:gd name="connsiteY5" fmla="*/ 555812 h 555812"/>
            <a:gd name="connsiteX6" fmla="*/ 0 w 2264319"/>
            <a:gd name="connsiteY6" fmla="*/ 0 h 555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264319" h="555812">
              <a:moveTo>
                <a:pt x="0" y="0"/>
              </a:moveTo>
              <a:lnTo>
                <a:pt x="2189612" y="0"/>
              </a:lnTo>
              <a:cubicBezTo>
                <a:pt x="2230872" y="0"/>
                <a:pt x="2264319" y="33447"/>
                <a:pt x="2264319" y="74707"/>
              </a:cubicBezTo>
              <a:lnTo>
                <a:pt x="2264319" y="481105"/>
              </a:lnTo>
              <a:cubicBezTo>
                <a:pt x="2264319" y="522365"/>
                <a:pt x="2230872" y="555812"/>
                <a:pt x="2189612" y="555812"/>
              </a:cubicBezTo>
              <a:lnTo>
                <a:pt x="0" y="555812"/>
              </a:lnTo>
              <a:lnTo>
                <a:pt x="0" y="0"/>
              </a:lnTo>
              <a:close/>
            </a:path>
          </a:pathLst>
        </a:custGeom>
        <a:gradFill flip="none" rotWithShape="1">
          <a:gsLst>
            <a:gs pos="1000">
              <a:srgbClr val="F28F33"/>
            </a:gs>
            <a:gs pos="76000">
              <a:srgbClr val="FE2827"/>
            </a:gs>
          </a:gsLst>
          <a:lin ang="0" scaled="0"/>
          <a:tileRect/>
        </a:gra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600192</xdr:colOff>
      <xdr:row>11</xdr:row>
      <xdr:rowOff>126400</xdr:rowOff>
    </xdr:from>
    <xdr:to>
      <xdr:col>2</xdr:col>
      <xdr:colOff>698883</xdr:colOff>
      <xdr:row>14</xdr:row>
      <xdr:rowOff>160466</xdr:rowOff>
    </xdr:to>
    <xdr:sp macro="" textlink="Processing!B1">
      <xdr:nvSpPr>
        <xdr:cNvPr id="19" name="TextBox 18">
          <a:hlinkClick xmlns:r="http://schemas.openxmlformats.org/officeDocument/2006/relationships" r:id="rId1"/>
          <a:extLst>
            <a:ext uri="{FF2B5EF4-FFF2-40B4-BE49-F238E27FC236}">
              <a16:creationId xmlns:a16="http://schemas.microsoft.com/office/drawing/2014/main" id="{00000000-0008-0000-0300-000013000000}"/>
            </a:ext>
          </a:extLst>
        </xdr:cNvPr>
        <xdr:cNvSpPr txBox="1"/>
      </xdr:nvSpPr>
      <xdr:spPr>
        <a:xfrm>
          <a:off x="600192" y="2361600"/>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35422526-44F6-914B-B566-E60D3AA6F072}"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Dashboard</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14</xdr:row>
      <xdr:rowOff>41236</xdr:rowOff>
    </xdr:from>
    <xdr:to>
      <xdr:col>2</xdr:col>
      <xdr:colOff>698883</xdr:colOff>
      <xdr:row>17</xdr:row>
      <xdr:rowOff>75302</xdr:rowOff>
    </xdr:to>
    <xdr:sp macro="" textlink="Processing!T1">
      <xdr:nvSpPr>
        <xdr:cNvPr id="20" name="TextBox 19">
          <a:hlinkClick xmlns:r="http://schemas.openxmlformats.org/officeDocument/2006/relationships" r:id="rId2"/>
          <a:extLst>
            <a:ext uri="{FF2B5EF4-FFF2-40B4-BE49-F238E27FC236}">
              <a16:creationId xmlns:a16="http://schemas.microsoft.com/office/drawing/2014/main" id="{00000000-0008-0000-0300-000014000000}"/>
            </a:ext>
          </a:extLst>
        </xdr:cNvPr>
        <xdr:cNvSpPr txBox="1"/>
      </xdr:nvSpPr>
      <xdr:spPr>
        <a:xfrm>
          <a:off x="600192" y="2886036"/>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1D49E009-9FD4-8643-A845-E88575DC20D4}"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Daily Budgeting</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16</xdr:row>
      <xdr:rowOff>144330</xdr:rowOff>
    </xdr:from>
    <xdr:to>
      <xdr:col>2</xdr:col>
      <xdr:colOff>698883</xdr:colOff>
      <xdr:row>19</xdr:row>
      <xdr:rowOff>193336</xdr:rowOff>
    </xdr:to>
    <xdr:sp macro="" textlink="Processing!B39">
      <xdr:nvSpPr>
        <xdr:cNvPr id="21" name="TextBox 20">
          <a:hlinkClick xmlns:r="http://schemas.openxmlformats.org/officeDocument/2006/relationships" r:id="rId3"/>
          <a:extLst>
            <a:ext uri="{FF2B5EF4-FFF2-40B4-BE49-F238E27FC236}">
              <a16:creationId xmlns:a16="http://schemas.microsoft.com/office/drawing/2014/main" id="{00000000-0008-0000-0300-000015000000}"/>
            </a:ext>
          </a:extLst>
        </xdr:cNvPr>
        <xdr:cNvSpPr txBox="1"/>
      </xdr:nvSpPr>
      <xdr:spPr>
        <a:xfrm>
          <a:off x="600192" y="3395530"/>
          <a:ext cx="1749691" cy="65860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0E1E1495-E114-3040-ACF4-0A9723766BC8}"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Income</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19</xdr:row>
      <xdr:rowOff>59166</xdr:rowOff>
    </xdr:from>
    <xdr:to>
      <xdr:col>2</xdr:col>
      <xdr:colOff>698883</xdr:colOff>
      <xdr:row>22</xdr:row>
      <xdr:rowOff>93231</xdr:rowOff>
    </xdr:to>
    <xdr:sp macro="" textlink="Processing!B63">
      <xdr:nvSpPr>
        <xdr:cNvPr id="22" name="TextBox 21">
          <a:extLst>
            <a:ext uri="{FF2B5EF4-FFF2-40B4-BE49-F238E27FC236}">
              <a16:creationId xmlns:a16="http://schemas.microsoft.com/office/drawing/2014/main" id="{00000000-0008-0000-0300-000016000000}"/>
            </a:ext>
          </a:extLst>
        </xdr:cNvPr>
        <xdr:cNvSpPr txBox="1"/>
      </xdr:nvSpPr>
      <xdr:spPr>
        <a:xfrm>
          <a:off x="600192" y="3919966"/>
          <a:ext cx="1749691" cy="643665"/>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4F1ED303-28C7-5941-930C-74E04F0C6630}"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Expenses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21</xdr:row>
      <xdr:rowOff>177201</xdr:rowOff>
    </xdr:from>
    <xdr:to>
      <xdr:col>2</xdr:col>
      <xdr:colOff>698883</xdr:colOff>
      <xdr:row>25</xdr:row>
      <xdr:rowOff>8067</xdr:rowOff>
    </xdr:to>
    <xdr:sp macro="" textlink="Processing!I17">
      <xdr:nvSpPr>
        <xdr:cNvPr id="23" name="TextBox 22">
          <a:hlinkClick xmlns:r="http://schemas.openxmlformats.org/officeDocument/2006/relationships" r:id="rId4"/>
          <a:extLst>
            <a:ext uri="{FF2B5EF4-FFF2-40B4-BE49-F238E27FC236}">
              <a16:creationId xmlns:a16="http://schemas.microsoft.com/office/drawing/2014/main" id="{00000000-0008-0000-0300-000017000000}"/>
            </a:ext>
          </a:extLst>
        </xdr:cNvPr>
        <xdr:cNvSpPr txBox="1"/>
      </xdr:nvSpPr>
      <xdr:spPr>
        <a:xfrm>
          <a:off x="600192" y="4444401"/>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E460999C-CDFF-C844-8B00-A2AD5A733593}"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Investments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24</xdr:row>
      <xdr:rowOff>77096</xdr:rowOff>
    </xdr:from>
    <xdr:to>
      <xdr:col>2</xdr:col>
      <xdr:colOff>698883</xdr:colOff>
      <xdr:row>27</xdr:row>
      <xdr:rowOff>126102</xdr:rowOff>
    </xdr:to>
    <xdr:sp macro="" textlink="Processing!B18">
      <xdr:nvSpPr>
        <xdr:cNvPr id="24" name="TextBox 23">
          <a:hlinkClick xmlns:r="http://schemas.openxmlformats.org/officeDocument/2006/relationships" r:id="rId5"/>
          <a:extLst>
            <a:ext uri="{FF2B5EF4-FFF2-40B4-BE49-F238E27FC236}">
              <a16:creationId xmlns:a16="http://schemas.microsoft.com/office/drawing/2014/main" id="{00000000-0008-0000-0300-000018000000}"/>
            </a:ext>
          </a:extLst>
        </xdr:cNvPr>
        <xdr:cNvSpPr txBox="1"/>
      </xdr:nvSpPr>
      <xdr:spPr>
        <a:xfrm>
          <a:off x="600192" y="4953896"/>
          <a:ext cx="1749691" cy="65860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AF370921-516A-F74F-9989-447B03885ECF}"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Debts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26</xdr:row>
      <xdr:rowOff>195133</xdr:rowOff>
    </xdr:from>
    <xdr:to>
      <xdr:col>2</xdr:col>
      <xdr:colOff>698883</xdr:colOff>
      <xdr:row>30</xdr:row>
      <xdr:rowOff>25997</xdr:rowOff>
    </xdr:to>
    <xdr:sp macro="" textlink="Processing!R13">
      <xdr:nvSpPr>
        <xdr:cNvPr id="25" name="TextBox 24">
          <a:hlinkClick xmlns:r="http://schemas.openxmlformats.org/officeDocument/2006/relationships" r:id="rId6"/>
          <a:extLst>
            <a:ext uri="{FF2B5EF4-FFF2-40B4-BE49-F238E27FC236}">
              <a16:creationId xmlns:a16="http://schemas.microsoft.com/office/drawing/2014/main" id="{00000000-0008-0000-0300-000019000000}"/>
            </a:ext>
          </a:extLst>
        </xdr:cNvPr>
        <xdr:cNvSpPr txBox="1"/>
      </xdr:nvSpPr>
      <xdr:spPr>
        <a:xfrm>
          <a:off x="600192" y="5478333"/>
          <a:ext cx="1749691" cy="643664"/>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BEF6E6F7-C2B1-2241-AE7D-A953FCE4DB44}"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Financial Goals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276340</xdr:colOff>
      <xdr:row>12</xdr:row>
      <xdr:rowOff>116933</xdr:rowOff>
    </xdr:from>
    <xdr:to>
      <xdr:col>0</xdr:col>
      <xdr:colOff>528340</xdr:colOff>
      <xdr:row>13</xdr:row>
      <xdr:rowOff>177088</xdr:rowOff>
    </xdr:to>
    <xdr:sp macro="" textlink="">
      <xdr:nvSpPr>
        <xdr:cNvPr id="26" name="Freeform: Shape 32">
          <a:extLst>
            <a:ext uri="{FF2B5EF4-FFF2-40B4-BE49-F238E27FC236}">
              <a16:creationId xmlns:a16="http://schemas.microsoft.com/office/drawing/2014/main" id="{00000000-0008-0000-0300-00001A000000}"/>
            </a:ext>
          </a:extLst>
        </xdr:cNvPr>
        <xdr:cNvSpPr/>
      </xdr:nvSpPr>
      <xdr:spPr>
        <a:xfrm>
          <a:off x="276340" y="2555333"/>
          <a:ext cx="252000" cy="263355"/>
        </a:xfrm>
        <a:custGeom>
          <a:avLst/>
          <a:gdLst>
            <a:gd name="connsiteX0" fmla="*/ 0 w 2612439"/>
            <a:gd name="connsiteY0" fmla="*/ 1633347 h 2629917"/>
            <a:gd name="connsiteX1" fmla="*/ 914400 w 2612439"/>
            <a:gd name="connsiteY1" fmla="*/ 1633347 h 2629917"/>
            <a:gd name="connsiteX2" fmla="*/ 914400 w 2612439"/>
            <a:gd name="connsiteY2" fmla="*/ 2629917 h 2629917"/>
            <a:gd name="connsiteX3" fmla="*/ 0 w 2612439"/>
            <a:gd name="connsiteY3" fmla="*/ 2629917 h 2629917"/>
            <a:gd name="connsiteX4" fmla="*/ 1165379 w 2612439"/>
            <a:gd name="connsiteY4" fmla="*/ 1076325 h 2629917"/>
            <a:gd name="connsiteX5" fmla="*/ 2612439 w 2612439"/>
            <a:gd name="connsiteY5" fmla="*/ 1076325 h 2629917"/>
            <a:gd name="connsiteX6" fmla="*/ 2612439 w 2612439"/>
            <a:gd name="connsiteY6" fmla="*/ 2629917 h 2629917"/>
            <a:gd name="connsiteX7" fmla="*/ 1165379 w 2612439"/>
            <a:gd name="connsiteY7" fmla="*/ 2629917 h 2629917"/>
            <a:gd name="connsiteX8" fmla="*/ 1165379 w 2612439"/>
            <a:gd name="connsiteY8" fmla="*/ 0 h 2629917"/>
            <a:gd name="connsiteX9" fmla="*/ 2612439 w 2612439"/>
            <a:gd name="connsiteY9" fmla="*/ 0 h 2629917"/>
            <a:gd name="connsiteX10" fmla="*/ 2612439 w 2612439"/>
            <a:gd name="connsiteY10" fmla="*/ 847725 h 2629917"/>
            <a:gd name="connsiteX11" fmla="*/ 1165379 w 2612439"/>
            <a:gd name="connsiteY11" fmla="*/ 847725 h 2629917"/>
            <a:gd name="connsiteX12" fmla="*/ 0 w 2612439"/>
            <a:gd name="connsiteY12" fmla="*/ 0 h 2629917"/>
            <a:gd name="connsiteX13" fmla="*/ 914400 w 2612439"/>
            <a:gd name="connsiteY13" fmla="*/ 0 h 2629917"/>
            <a:gd name="connsiteX14" fmla="*/ 914400 w 2612439"/>
            <a:gd name="connsiteY14" fmla="*/ 1428750 h 2629917"/>
            <a:gd name="connsiteX15" fmla="*/ 0 w 2612439"/>
            <a:gd name="connsiteY15" fmla="*/ 1428750 h 2629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612439" h="2629917">
              <a:moveTo>
                <a:pt x="0" y="1633347"/>
              </a:moveTo>
              <a:lnTo>
                <a:pt x="914400" y="1633347"/>
              </a:lnTo>
              <a:lnTo>
                <a:pt x="914400" y="2629917"/>
              </a:lnTo>
              <a:lnTo>
                <a:pt x="0" y="2629917"/>
              </a:lnTo>
              <a:close/>
              <a:moveTo>
                <a:pt x="1165379" y="1076325"/>
              </a:moveTo>
              <a:lnTo>
                <a:pt x="2612439" y="1076325"/>
              </a:lnTo>
              <a:lnTo>
                <a:pt x="2612439" y="2629917"/>
              </a:lnTo>
              <a:lnTo>
                <a:pt x="1165379" y="2629917"/>
              </a:lnTo>
              <a:close/>
              <a:moveTo>
                <a:pt x="1165379" y="0"/>
              </a:moveTo>
              <a:lnTo>
                <a:pt x="2612439" y="0"/>
              </a:lnTo>
              <a:lnTo>
                <a:pt x="2612439" y="847725"/>
              </a:lnTo>
              <a:lnTo>
                <a:pt x="1165379" y="847725"/>
              </a:lnTo>
              <a:close/>
              <a:moveTo>
                <a:pt x="0" y="0"/>
              </a:moveTo>
              <a:lnTo>
                <a:pt x="914400" y="0"/>
              </a:lnTo>
              <a:lnTo>
                <a:pt x="914400" y="1428750"/>
              </a:lnTo>
              <a:lnTo>
                <a:pt x="0" y="1428750"/>
              </a:lnTo>
              <a:close/>
            </a:path>
          </a:pathLst>
        </a:custGeom>
        <a:solidFill>
          <a:sysClr val="window" lastClr="FFFFFF"/>
        </a:soli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276340</xdr:colOff>
      <xdr:row>17</xdr:row>
      <xdr:rowOff>133538</xdr:rowOff>
    </xdr:from>
    <xdr:to>
      <xdr:col>0</xdr:col>
      <xdr:colOff>528340</xdr:colOff>
      <xdr:row>19</xdr:row>
      <xdr:rowOff>1848</xdr:rowOff>
    </xdr:to>
    <xdr:sp macro="" textlink="">
      <xdr:nvSpPr>
        <xdr:cNvPr id="27" name="Freeform: Shape 33">
          <a:extLst>
            <a:ext uri="{FF2B5EF4-FFF2-40B4-BE49-F238E27FC236}">
              <a16:creationId xmlns:a16="http://schemas.microsoft.com/office/drawing/2014/main" id="{00000000-0008-0000-0300-00001B000000}"/>
            </a:ext>
          </a:extLst>
        </xdr:cNvPr>
        <xdr:cNvSpPr/>
      </xdr:nvSpPr>
      <xdr:spPr>
        <a:xfrm>
          <a:off x="276340" y="3587938"/>
          <a:ext cx="252000" cy="274710"/>
        </a:xfrm>
        <a:custGeom>
          <a:avLst/>
          <a:gdLst>
            <a:gd name="connsiteX0" fmla="*/ 478368 w 2434877"/>
            <a:gd name="connsiteY0" fmla="*/ 1660447 h 2669419"/>
            <a:gd name="connsiteX1" fmla="*/ 478368 w 2434877"/>
            <a:gd name="connsiteY1" fmla="*/ 2669419 h 2669419"/>
            <a:gd name="connsiteX2" fmla="*/ 4662 w 2434877"/>
            <a:gd name="connsiteY2" fmla="*/ 2669419 h 2669419"/>
            <a:gd name="connsiteX3" fmla="*/ 14134 w 2434877"/>
            <a:gd name="connsiteY3" fmla="*/ 2124668 h 2669419"/>
            <a:gd name="connsiteX4" fmla="*/ 805273 w 2434877"/>
            <a:gd name="connsiteY4" fmla="*/ 1333554 h 2669419"/>
            <a:gd name="connsiteX5" fmla="*/ 1072919 w 2434877"/>
            <a:gd name="connsiteY5" fmla="*/ 1601215 h 2669419"/>
            <a:gd name="connsiteX6" fmla="*/ 1072919 w 2434877"/>
            <a:gd name="connsiteY6" fmla="*/ 2664691 h 2669419"/>
            <a:gd name="connsiteX7" fmla="*/ 606315 w 2434877"/>
            <a:gd name="connsiteY7" fmla="*/ 2669407 h 2669419"/>
            <a:gd name="connsiteX8" fmla="*/ 606315 w 2434877"/>
            <a:gd name="connsiteY8" fmla="*/ 1532527 h 2669419"/>
            <a:gd name="connsiteX9" fmla="*/ 1681683 w 2434877"/>
            <a:gd name="connsiteY9" fmla="*/ 1139327 h 2669419"/>
            <a:gd name="connsiteX10" fmla="*/ 1681683 w 2434877"/>
            <a:gd name="connsiteY10" fmla="*/ 2669400 h 2669419"/>
            <a:gd name="connsiteX11" fmla="*/ 1217448 w 2434877"/>
            <a:gd name="connsiteY11" fmla="*/ 2659932 h 2669419"/>
            <a:gd name="connsiteX12" fmla="*/ 1217448 w 2434877"/>
            <a:gd name="connsiteY12" fmla="*/ 1603584 h 2669419"/>
            <a:gd name="connsiteX13" fmla="*/ 2288060 w 2434877"/>
            <a:gd name="connsiteY13" fmla="*/ 528130 h 2669419"/>
            <a:gd name="connsiteX14" fmla="*/ 2288060 w 2434877"/>
            <a:gd name="connsiteY14" fmla="*/ 2659908 h 2669419"/>
            <a:gd name="connsiteX15" fmla="*/ 1814372 w 2434877"/>
            <a:gd name="connsiteY15" fmla="*/ 2664660 h 2669419"/>
            <a:gd name="connsiteX16" fmla="*/ 1814372 w 2434877"/>
            <a:gd name="connsiteY16" fmla="*/ 1001818 h 2669419"/>
            <a:gd name="connsiteX17" fmla="*/ 1987216 w 2434877"/>
            <a:gd name="connsiteY17" fmla="*/ 0 h 2669419"/>
            <a:gd name="connsiteX18" fmla="*/ 2434877 w 2434877"/>
            <a:gd name="connsiteY18" fmla="*/ 0 h 2669419"/>
            <a:gd name="connsiteX19" fmla="*/ 2434877 w 2434877"/>
            <a:gd name="connsiteY19" fmla="*/ 461881 h 2669419"/>
            <a:gd name="connsiteX20" fmla="*/ 2323528 w 2434877"/>
            <a:gd name="connsiteY20" fmla="*/ 350532 h 2669419"/>
            <a:gd name="connsiteX21" fmla="*/ 1141637 w 2434877"/>
            <a:gd name="connsiteY21" fmla="*/ 1532450 h 2669419"/>
            <a:gd name="connsiteX22" fmla="*/ 817147 w 2434877"/>
            <a:gd name="connsiteY22" fmla="*/ 1207945 h 2669419"/>
            <a:gd name="connsiteX23" fmla="*/ 0 w 2434877"/>
            <a:gd name="connsiteY23" fmla="*/ 2001422 h 2669419"/>
            <a:gd name="connsiteX24" fmla="*/ 0 w 2434877"/>
            <a:gd name="connsiteY24" fmla="*/ 1532450 h 2669419"/>
            <a:gd name="connsiteX25" fmla="*/ 805303 w 2434877"/>
            <a:gd name="connsiteY25" fmla="*/ 727129 h 2669419"/>
            <a:gd name="connsiteX26" fmla="*/ 1146374 w 2434877"/>
            <a:gd name="connsiteY26" fmla="*/ 1068193 h 2669419"/>
            <a:gd name="connsiteX27" fmla="*/ 2100904 w 2434877"/>
            <a:gd name="connsiteY27" fmla="*/ 113688 h 26694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2434877" h="2669419">
              <a:moveTo>
                <a:pt x="478368" y="1660447"/>
              </a:moveTo>
              <a:lnTo>
                <a:pt x="478368" y="2669419"/>
              </a:lnTo>
              <a:lnTo>
                <a:pt x="4662" y="2669419"/>
              </a:lnTo>
              <a:lnTo>
                <a:pt x="14134" y="2124668"/>
              </a:lnTo>
              <a:close/>
              <a:moveTo>
                <a:pt x="805273" y="1333554"/>
              </a:moveTo>
              <a:lnTo>
                <a:pt x="1072919" y="1601215"/>
              </a:lnTo>
              <a:lnTo>
                <a:pt x="1072919" y="2664691"/>
              </a:lnTo>
              <a:lnTo>
                <a:pt x="606315" y="2669407"/>
              </a:lnTo>
              <a:lnTo>
                <a:pt x="606315" y="1532527"/>
              </a:lnTo>
              <a:close/>
              <a:moveTo>
                <a:pt x="1681683" y="1139327"/>
              </a:moveTo>
              <a:lnTo>
                <a:pt x="1681683" y="2669400"/>
              </a:lnTo>
              <a:lnTo>
                <a:pt x="1217448" y="2659932"/>
              </a:lnTo>
              <a:lnTo>
                <a:pt x="1217448" y="1603584"/>
              </a:lnTo>
              <a:close/>
              <a:moveTo>
                <a:pt x="2288060" y="528130"/>
              </a:moveTo>
              <a:lnTo>
                <a:pt x="2288060" y="2659908"/>
              </a:lnTo>
              <a:lnTo>
                <a:pt x="1814372" y="2664660"/>
              </a:lnTo>
              <a:lnTo>
                <a:pt x="1814372" y="1001818"/>
              </a:lnTo>
              <a:close/>
              <a:moveTo>
                <a:pt x="1987216" y="0"/>
              </a:moveTo>
              <a:lnTo>
                <a:pt x="2434877" y="0"/>
              </a:lnTo>
              <a:lnTo>
                <a:pt x="2434877" y="461881"/>
              </a:lnTo>
              <a:lnTo>
                <a:pt x="2323528" y="350532"/>
              </a:lnTo>
              <a:lnTo>
                <a:pt x="1141637" y="1532450"/>
              </a:lnTo>
              <a:lnTo>
                <a:pt x="817147" y="1207945"/>
              </a:lnTo>
              <a:lnTo>
                <a:pt x="0" y="2001422"/>
              </a:lnTo>
              <a:lnTo>
                <a:pt x="0" y="1532450"/>
              </a:lnTo>
              <a:lnTo>
                <a:pt x="805303" y="727129"/>
              </a:lnTo>
              <a:lnTo>
                <a:pt x="1146374" y="1068193"/>
              </a:lnTo>
              <a:lnTo>
                <a:pt x="2100904" y="113688"/>
              </a:lnTo>
              <a:close/>
            </a:path>
          </a:pathLst>
        </a:custGeom>
        <a:solidFill>
          <a:sysClr val="window" lastClr="FFFFFF"/>
        </a:solidFill>
        <a:ln w="6350" cap="flat">
          <a:solidFill>
            <a:sysClr val="windowText" lastClr="000000"/>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294340</xdr:colOff>
      <xdr:row>15</xdr:row>
      <xdr:rowOff>29313</xdr:rowOff>
    </xdr:from>
    <xdr:to>
      <xdr:col>0</xdr:col>
      <xdr:colOff>510340</xdr:colOff>
      <xdr:row>16</xdr:row>
      <xdr:rowOff>89468</xdr:rowOff>
    </xdr:to>
    <xdr:sp macro="" textlink="">
      <xdr:nvSpPr>
        <xdr:cNvPr id="28" name="Freeform: Shape 34">
          <a:extLst>
            <a:ext uri="{FF2B5EF4-FFF2-40B4-BE49-F238E27FC236}">
              <a16:creationId xmlns:a16="http://schemas.microsoft.com/office/drawing/2014/main" id="{00000000-0008-0000-0300-00001C000000}"/>
            </a:ext>
          </a:extLst>
        </xdr:cNvPr>
        <xdr:cNvSpPr/>
      </xdr:nvSpPr>
      <xdr:spPr>
        <a:xfrm>
          <a:off x="294340" y="3077313"/>
          <a:ext cx="216000" cy="263355"/>
        </a:xfrm>
        <a:custGeom>
          <a:avLst/>
          <a:gdLst>
            <a:gd name="connsiteX0" fmla="*/ 1038471 w 1997598"/>
            <a:gd name="connsiteY0" fmla="*/ 1798798 h 2622542"/>
            <a:gd name="connsiteX1" fmla="*/ 1083642 w 1997598"/>
            <a:gd name="connsiteY1" fmla="*/ 1825060 h 2622542"/>
            <a:gd name="connsiteX2" fmla="*/ 1097649 w 1997598"/>
            <a:gd name="connsiteY2" fmla="*/ 1865328 h 2622542"/>
            <a:gd name="connsiteX3" fmla="*/ 1081191 w 1997598"/>
            <a:gd name="connsiteY3" fmla="*/ 1911202 h 2622542"/>
            <a:gd name="connsiteX4" fmla="*/ 1038471 w 1997598"/>
            <a:gd name="connsiteY4" fmla="*/ 1935364 h 2622542"/>
            <a:gd name="connsiteX5" fmla="*/ 987696 w 1997598"/>
            <a:gd name="connsiteY5" fmla="*/ 1562783 h 2622542"/>
            <a:gd name="connsiteX6" fmla="*/ 987696 w 1997598"/>
            <a:gd name="connsiteY6" fmla="*/ 1683942 h 2622542"/>
            <a:gd name="connsiteX7" fmla="*/ 953730 w 1997598"/>
            <a:gd name="connsiteY7" fmla="*/ 1658378 h 2622542"/>
            <a:gd name="connsiteX8" fmla="*/ 942524 w 1997598"/>
            <a:gd name="connsiteY8" fmla="*/ 1623713 h 2622542"/>
            <a:gd name="connsiteX9" fmla="*/ 954780 w 1997598"/>
            <a:gd name="connsiteY9" fmla="*/ 1586593 h 2622542"/>
            <a:gd name="connsiteX10" fmla="*/ 987696 w 1997598"/>
            <a:gd name="connsiteY10" fmla="*/ 1562783 h 2622542"/>
            <a:gd name="connsiteX11" fmla="*/ 987696 w 1997598"/>
            <a:gd name="connsiteY11" fmla="*/ 1451780 h 2622542"/>
            <a:gd name="connsiteX12" fmla="*/ 987696 w 1997598"/>
            <a:gd name="connsiteY12" fmla="*/ 1486445 h 2622542"/>
            <a:gd name="connsiteX13" fmla="*/ 891050 w 1997598"/>
            <a:gd name="connsiteY13" fmla="*/ 1531616 h 2622542"/>
            <a:gd name="connsiteX14" fmla="*/ 854984 w 1997598"/>
            <a:gd name="connsiteY14" fmla="*/ 1627914 h 2622542"/>
            <a:gd name="connsiteX15" fmla="*/ 886849 w 1997598"/>
            <a:gd name="connsiteY15" fmla="*/ 1724560 h 2622542"/>
            <a:gd name="connsiteX16" fmla="*/ 987696 w 1997598"/>
            <a:gd name="connsiteY16" fmla="*/ 1783738 h 2622542"/>
            <a:gd name="connsiteX17" fmla="*/ 987696 w 1997598"/>
            <a:gd name="connsiteY17" fmla="*/ 1930460 h 2622542"/>
            <a:gd name="connsiteX18" fmla="*/ 953379 w 1997598"/>
            <a:gd name="connsiteY18" fmla="*/ 1901047 h 2622542"/>
            <a:gd name="connsiteX19" fmla="*/ 932368 w 1997598"/>
            <a:gd name="connsiteY19" fmla="*/ 1852725 h 2622542"/>
            <a:gd name="connsiteX20" fmla="*/ 840974 w 1997598"/>
            <a:gd name="connsiteY20" fmla="*/ 1862529 h 2622542"/>
            <a:gd name="connsiteX21" fmla="*/ 889297 w 1997598"/>
            <a:gd name="connsiteY21" fmla="*/ 1969329 h 2622542"/>
            <a:gd name="connsiteX22" fmla="*/ 987696 w 1997598"/>
            <a:gd name="connsiteY22" fmla="*/ 2014502 h 2622542"/>
            <a:gd name="connsiteX23" fmla="*/ 987696 w 1997598"/>
            <a:gd name="connsiteY23" fmla="*/ 2078232 h 2622542"/>
            <a:gd name="connsiteX24" fmla="*/ 1038471 w 1997598"/>
            <a:gd name="connsiteY24" fmla="*/ 2078232 h 2622542"/>
            <a:gd name="connsiteX25" fmla="*/ 1038471 w 1997598"/>
            <a:gd name="connsiteY25" fmla="*/ 2012749 h 2622542"/>
            <a:gd name="connsiteX26" fmla="*/ 1144921 w 1997598"/>
            <a:gd name="connsiteY26" fmla="*/ 1959525 h 2622542"/>
            <a:gd name="connsiteX27" fmla="*/ 1183440 w 1997598"/>
            <a:gd name="connsiteY27" fmla="*/ 1852725 h 2622542"/>
            <a:gd name="connsiteX28" fmla="*/ 1152976 w 1997598"/>
            <a:gd name="connsiteY28" fmla="*/ 1759928 h 2622542"/>
            <a:gd name="connsiteX29" fmla="*/ 1038471 w 1997598"/>
            <a:gd name="connsiteY29" fmla="*/ 1700750 h 2622542"/>
            <a:gd name="connsiteX30" fmla="*/ 1038471 w 1997598"/>
            <a:gd name="connsiteY30" fmla="*/ 1563833 h 2622542"/>
            <a:gd name="connsiteX31" fmla="*/ 1080492 w 1997598"/>
            <a:gd name="connsiteY31" fmla="*/ 1619859 h 2622542"/>
            <a:gd name="connsiteX32" fmla="*/ 1169083 w 1997598"/>
            <a:gd name="connsiteY32" fmla="*/ 1608306 h 2622542"/>
            <a:gd name="connsiteX33" fmla="*/ 1127065 w 1997598"/>
            <a:gd name="connsiteY33" fmla="*/ 1524616 h 2622542"/>
            <a:gd name="connsiteX34" fmla="*/ 1038471 w 1997598"/>
            <a:gd name="connsiteY34" fmla="*/ 1486445 h 2622542"/>
            <a:gd name="connsiteX35" fmla="*/ 1038471 w 1997598"/>
            <a:gd name="connsiteY35" fmla="*/ 1451780 h 2622542"/>
            <a:gd name="connsiteX36" fmla="*/ 1018529 w 1997598"/>
            <a:gd name="connsiteY36" fmla="*/ 1275937 h 2622542"/>
            <a:gd name="connsiteX37" fmla="*/ 1488375 w 1997598"/>
            <a:gd name="connsiteY37" fmla="*/ 1745783 h 2622542"/>
            <a:gd name="connsiteX38" fmla="*/ 1018529 w 1997598"/>
            <a:gd name="connsiteY38" fmla="*/ 2215629 h 2622542"/>
            <a:gd name="connsiteX39" fmla="*/ 548683 w 1997598"/>
            <a:gd name="connsiteY39" fmla="*/ 1745783 h 2622542"/>
            <a:gd name="connsiteX40" fmla="*/ 1018529 w 1997598"/>
            <a:gd name="connsiteY40" fmla="*/ 1275937 h 2622542"/>
            <a:gd name="connsiteX41" fmla="*/ 1018529 w 1997598"/>
            <a:gd name="connsiteY41" fmla="*/ 1183712 h 2622542"/>
            <a:gd name="connsiteX42" fmla="*/ 456458 w 1997598"/>
            <a:gd name="connsiteY42" fmla="*/ 1745783 h 2622542"/>
            <a:gd name="connsiteX43" fmla="*/ 1018529 w 1997598"/>
            <a:gd name="connsiteY43" fmla="*/ 2307854 h 2622542"/>
            <a:gd name="connsiteX44" fmla="*/ 1580600 w 1997598"/>
            <a:gd name="connsiteY44" fmla="*/ 1745783 h 2622542"/>
            <a:gd name="connsiteX45" fmla="*/ 1018529 w 1997598"/>
            <a:gd name="connsiteY45" fmla="*/ 1183712 h 2622542"/>
            <a:gd name="connsiteX46" fmla="*/ 664325 w 1997598"/>
            <a:gd name="connsiteY46" fmla="*/ 707629 h 2622542"/>
            <a:gd name="connsiteX47" fmla="*/ 1314151 w 1997598"/>
            <a:gd name="connsiteY47" fmla="*/ 707629 h 2622542"/>
            <a:gd name="connsiteX48" fmla="*/ 1997478 w 1997598"/>
            <a:gd name="connsiteY48" fmla="*/ 1799581 h 2622542"/>
            <a:gd name="connsiteX49" fmla="*/ 1568718 w 1997598"/>
            <a:gd name="connsiteY49" fmla="*/ 2622542 h 2622542"/>
            <a:gd name="connsiteX50" fmla="*/ 429850 w 1997598"/>
            <a:gd name="connsiteY50" fmla="*/ 2615846 h 2622542"/>
            <a:gd name="connsiteX51" fmla="*/ 1100 w 1997598"/>
            <a:gd name="connsiteY51" fmla="*/ 1792886 h 2622542"/>
            <a:gd name="connsiteX52" fmla="*/ 664325 w 1997598"/>
            <a:gd name="connsiteY52" fmla="*/ 707629 h 2622542"/>
            <a:gd name="connsiteX53" fmla="*/ 986902 w 1997598"/>
            <a:gd name="connsiteY53" fmla="*/ 180 h 2622542"/>
            <a:gd name="connsiteX54" fmla="*/ 1253856 w 1997598"/>
            <a:gd name="connsiteY54" fmla="*/ 231858 h 2622542"/>
            <a:gd name="connsiteX55" fmla="*/ 1602233 w 1997598"/>
            <a:gd name="connsiteY55" fmla="*/ 211770 h 2622542"/>
            <a:gd name="connsiteX56" fmla="*/ 1307453 w 1997598"/>
            <a:gd name="connsiteY56" fmla="*/ 647228 h 2622542"/>
            <a:gd name="connsiteX57" fmla="*/ 1253841 w 1997598"/>
            <a:gd name="connsiteY57" fmla="*/ 646050 h 2622542"/>
            <a:gd name="connsiteX58" fmla="*/ 1307042 w 1997598"/>
            <a:gd name="connsiteY58" fmla="*/ 424909 h 2622542"/>
            <a:gd name="connsiteX59" fmla="*/ 1275900 w 1997598"/>
            <a:gd name="connsiteY59" fmla="*/ 369830 h 2622542"/>
            <a:gd name="connsiteX60" fmla="*/ 1275900 w 1997598"/>
            <a:gd name="connsiteY60" fmla="*/ 369830 h 2622542"/>
            <a:gd name="connsiteX61" fmla="*/ 1224136 w 1997598"/>
            <a:gd name="connsiteY61" fmla="*/ 400473 h 2622542"/>
            <a:gd name="connsiteX62" fmla="*/ 1165526 w 1997598"/>
            <a:gd name="connsiteY62" fmla="*/ 644109 h 2622542"/>
            <a:gd name="connsiteX63" fmla="*/ 1041982 w 1997598"/>
            <a:gd name="connsiteY63" fmla="*/ 641396 h 2622542"/>
            <a:gd name="connsiteX64" fmla="*/ 1041017 w 1997598"/>
            <a:gd name="connsiteY64" fmla="*/ 583209 h 2622542"/>
            <a:gd name="connsiteX65" fmla="*/ 997569 w 1997598"/>
            <a:gd name="connsiteY65" fmla="*/ 537907 h 2622542"/>
            <a:gd name="connsiteX66" fmla="*/ 997570 w 1997598"/>
            <a:gd name="connsiteY66" fmla="*/ 537908 h 2622542"/>
            <a:gd name="connsiteX67" fmla="*/ 955600 w 1997598"/>
            <a:gd name="connsiteY67" fmla="*/ 581732 h 2622542"/>
            <a:gd name="connsiteX68" fmla="*/ 956559 w 1997598"/>
            <a:gd name="connsiteY68" fmla="*/ 639518 h 2622542"/>
            <a:gd name="connsiteX69" fmla="*/ 845567 w 1997598"/>
            <a:gd name="connsiteY69" fmla="*/ 637080 h 2622542"/>
            <a:gd name="connsiteX70" fmla="*/ 799761 w 1997598"/>
            <a:gd name="connsiteY70" fmla="*/ 506078 h 2622542"/>
            <a:gd name="connsiteX71" fmla="*/ 744896 w 1997598"/>
            <a:gd name="connsiteY71" fmla="*/ 477778 h 2622542"/>
            <a:gd name="connsiteX72" fmla="*/ 744897 w 1997598"/>
            <a:gd name="connsiteY72" fmla="*/ 477779 h 2622542"/>
            <a:gd name="connsiteX73" fmla="*/ 719619 w 1997598"/>
            <a:gd name="connsiteY73" fmla="*/ 534100 h 2622542"/>
            <a:gd name="connsiteX74" fmla="*/ 754930 w 1997598"/>
            <a:gd name="connsiteY74" fmla="*/ 635089 h 2622542"/>
            <a:gd name="connsiteX75" fmla="*/ 697819 w 1997598"/>
            <a:gd name="connsiteY75" fmla="*/ 633834 h 2622542"/>
            <a:gd name="connsiteX76" fmla="*/ 382954 w 1997598"/>
            <a:gd name="connsiteY76" fmla="*/ 198378 h 2622542"/>
            <a:gd name="connsiteX77" fmla="*/ 764810 w 1997598"/>
            <a:gd name="connsiteY77" fmla="*/ 218466 h 2622542"/>
            <a:gd name="connsiteX78" fmla="*/ 986902 w 1997598"/>
            <a:gd name="connsiteY78" fmla="*/ 180 h 26225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Lst>
          <a:rect l="l" t="t" r="r" b="b"/>
          <a:pathLst>
            <a:path w="1997598" h="2622542">
              <a:moveTo>
                <a:pt x="1038471" y="1798798"/>
              </a:moveTo>
              <a:cubicBezTo>
                <a:pt x="1059481" y="1804868"/>
                <a:pt x="1074537" y="1813621"/>
                <a:pt x="1083642" y="1825060"/>
              </a:cubicBezTo>
              <a:cubicBezTo>
                <a:pt x="1092981" y="1836266"/>
                <a:pt x="1097649" y="1849687"/>
                <a:pt x="1097649" y="1865328"/>
              </a:cubicBezTo>
              <a:cubicBezTo>
                <a:pt x="1097649" y="1882836"/>
                <a:pt x="1092164" y="1898129"/>
                <a:pt x="1081191" y="1911202"/>
              </a:cubicBezTo>
              <a:cubicBezTo>
                <a:pt x="1070218" y="1924039"/>
                <a:pt x="1055979" y="1932094"/>
                <a:pt x="1038471" y="1935364"/>
              </a:cubicBezTo>
              <a:close/>
              <a:moveTo>
                <a:pt x="987696" y="1562783"/>
              </a:moveTo>
              <a:lnTo>
                <a:pt x="987696" y="1683942"/>
              </a:lnTo>
              <a:cubicBezTo>
                <a:pt x="972522" y="1677407"/>
                <a:pt x="961201" y="1668886"/>
                <a:pt x="953730" y="1658378"/>
              </a:cubicBezTo>
              <a:cubicBezTo>
                <a:pt x="946260" y="1647642"/>
                <a:pt x="942524" y="1636085"/>
                <a:pt x="942524" y="1623713"/>
              </a:cubicBezTo>
              <a:cubicBezTo>
                <a:pt x="942524" y="1610174"/>
                <a:pt x="946611" y="1597799"/>
                <a:pt x="954780" y="1586593"/>
              </a:cubicBezTo>
              <a:cubicBezTo>
                <a:pt x="962951" y="1575386"/>
                <a:pt x="973923" y="1567450"/>
                <a:pt x="987696" y="1562783"/>
              </a:cubicBezTo>
              <a:close/>
              <a:moveTo>
                <a:pt x="987696" y="1451780"/>
              </a:moveTo>
              <a:lnTo>
                <a:pt x="987696" y="1486445"/>
              </a:lnTo>
              <a:cubicBezTo>
                <a:pt x="947543" y="1490413"/>
                <a:pt x="915327" y="1505473"/>
                <a:pt x="891050" y="1531616"/>
              </a:cubicBezTo>
              <a:cubicBezTo>
                <a:pt x="867004" y="1557531"/>
                <a:pt x="854984" y="1589629"/>
                <a:pt x="854984" y="1627914"/>
              </a:cubicBezTo>
              <a:cubicBezTo>
                <a:pt x="854984" y="1665731"/>
                <a:pt x="865606" y="1697947"/>
                <a:pt x="886849" y="1724560"/>
              </a:cubicBezTo>
              <a:cubicBezTo>
                <a:pt x="908326" y="1750941"/>
                <a:pt x="941940" y="1770669"/>
                <a:pt x="987696" y="1783738"/>
              </a:cubicBezTo>
              <a:lnTo>
                <a:pt x="987696" y="1930460"/>
              </a:lnTo>
              <a:cubicBezTo>
                <a:pt x="975088" y="1924391"/>
                <a:pt x="963653" y="1914587"/>
                <a:pt x="953379" y="1901047"/>
              </a:cubicBezTo>
              <a:cubicBezTo>
                <a:pt x="943109" y="1887507"/>
                <a:pt x="936104" y="1871397"/>
                <a:pt x="932368" y="1852725"/>
              </a:cubicBezTo>
              <a:lnTo>
                <a:pt x="840974" y="1862529"/>
              </a:lnTo>
              <a:cubicBezTo>
                <a:pt x="847979" y="1908518"/>
                <a:pt x="864085" y="1944119"/>
                <a:pt x="889297" y="1969329"/>
              </a:cubicBezTo>
              <a:cubicBezTo>
                <a:pt x="914509" y="1994541"/>
                <a:pt x="947310" y="2009597"/>
                <a:pt x="987696" y="2014502"/>
              </a:cubicBezTo>
              <a:lnTo>
                <a:pt x="987696" y="2078232"/>
              </a:lnTo>
              <a:lnTo>
                <a:pt x="1038471" y="2078232"/>
              </a:lnTo>
              <a:lnTo>
                <a:pt x="1038471" y="2012749"/>
              </a:lnTo>
              <a:cubicBezTo>
                <a:pt x="1083994" y="2006214"/>
                <a:pt x="1119476" y="1988473"/>
                <a:pt x="1144921" y="1959525"/>
              </a:cubicBezTo>
              <a:cubicBezTo>
                <a:pt x="1170602" y="1930578"/>
                <a:pt x="1183440" y="1894978"/>
                <a:pt x="1183440" y="1852725"/>
              </a:cubicBezTo>
              <a:cubicBezTo>
                <a:pt x="1183440" y="1814904"/>
                <a:pt x="1173288" y="1783971"/>
                <a:pt x="1152976" y="1759928"/>
              </a:cubicBezTo>
              <a:cubicBezTo>
                <a:pt x="1132665" y="1735648"/>
                <a:pt x="1094497" y="1715925"/>
                <a:pt x="1038471" y="1700750"/>
              </a:cubicBezTo>
              <a:lnTo>
                <a:pt x="1038471" y="1563833"/>
              </a:lnTo>
              <a:cubicBezTo>
                <a:pt x="1061116" y="1573638"/>
                <a:pt x="1075122" y="1592315"/>
                <a:pt x="1080492" y="1619859"/>
              </a:cubicBezTo>
              <a:lnTo>
                <a:pt x="1169083" y="1608306"/>
              </a:lnTo>
              <a:cubicBezTo>
                <a:pt x="1163013" y="1573286"/>
                <a:pt x="1149008" y="1545389"/>
                <a:pt x="1127065" y="1524616"/>
              </a:cubicBezTo>
              <a:cubicBezTo>
                <a:pt x="1105119" y="1503605"/>
                <a:pt x="1075587" y="1490883"/>
                <a:pt x="1038471" y="1486445"/>
              </a:cubicBezTo>
              <a:lnTo>
                <a:pt x="1038471" y="1451780"/>
              </a:lnTo>
              <a:close/>
              <a:moveTo>
                <a:pt x="1018529" y="1275937"/>
              </a:moveTo>
              <a:cubicBezTo>
                <a:pt x="1278018" y="1275937"/>
                <a:pt x="1488375" y="1486294"/>
                <a:pt x="1488375" y="1745783"/>
              </a:cubicBezTo>
              <a:cubicBezTo>
                <a:pt x="1488375" y="2005272"/>
                <a:pt x="1278018" y="2215629"/>
                <a:pt x="1018529" y="2215629"/>
              </a:cubicBezTo>
              <a:cubicBezTo>
                <a:pt x="759040" y="2215629"/>
                <a:pt x="548683" y="2005272"/>
                <a:pt x="548683" y="1745783"/>
              </a:cubicBezTo>
              <a:cubicBezTo>
                <a:pt x="548683" y="1486294"/>
                <a:pt x="759040" y="1275937"/>
                <a:pt x="1018529" y="1275937"/>
              </a:cubicBezTo>
              <a:close/>
              <a:moveTo>
                <a:pt x="1018529" y="1183712"/>
              </a:moveTo>
              <a:cubicBezTo>
                <a:pt x="708106" y="1183712"/>
                <a:pt x="456458" y="1435360"/>
                <a:pt x="456458" y="1745783"/>
              </a:cubicBezTo>
              <a:cubicBezTo>
                <a:pt x="456458" y="2056206"/>
                <a:pt x="708106" y="2307854"/>
                <a:pt x="1018529" y="2307854"/>
              </a:cubicBezTo>
              <a:cubicBezTo>
                <a:pt x="1328952" y="2307854"/>
                <a:pt x="1580600" y="2056206"/>
                <a:pt x="1580600" y="1745783"/>
              </a:cubicBezTo>
              <a:cubicBezTo>
                <a:pt x="1580600" y="1435360"/>
                <a:pt x="1328952" y="1183712"/>
                <a:pt x="1018529" y="1183712"/>
              </a:cubicBezTo>
              <a:close/>
              <a:moveTo>
                <a:pt x="664325" y="707629"/>
              </a:moveTo>
              <a:lnTo>
                <a:pt x="1314151" y="707629"/>
              </a:lnTo>
              <a:cubicBezTo>
                <a:pt x="1314151" y="707629"/>
                <a:pt x="2008098" y="1167205"/>
                <a:pt x="1997478" y="1799581"/>
              </a:cubicBezTo>
              <a:cubicBezTo>
                <a:pt x="1985742" y="2498450"/>
                <a:pt x="1568718" y="2622542"/>
                <a:pt x="1568718" y="2622542"/>
              </a:cubicBezTo>
              <a:lnTo>
                <a:pt x="429850" y="2615846"/>
              </a:lnTo>
              <a:cubicBezTo>
                <a:pt x="429850" y="2615846"/>
                <a:pt x="-25234" y="2404706"/>
                <a:pt x="1100" y="1792886"/>
              </a:cubicBezTo>
              <a:cubicBezTo>
                <a:pt x="27107" y="1188661"/>
                <a:pt x="664325" y="707629"/>
                <a:pt x="664325" y="707629"/>
              </a:cubicBezTo>
              <a:close/>
              <a:moveTo>
                <a:pt x="986902" y="180"/>
              </a:moveTo>
              <a:cubicBezTo>
                <a:pt x="1109577" y="-4712"/>
                <a:pt x="1237396" y="90440"/>
                <a:pt x="1253856" y="231858"/>
              </a:cubicBezTo>
              <a:cubicBezTo>
                <a:pt x="1388526" y="103410"/>
                <a:pt x="1501498" y="170515"/>
                <a:pt x="1602233" y="211770"/>
              </a:cubicBezTo>
              <a:lnTo>
                <a:pt x="1307453" y="647228"/>
              </a:lnTo>
              <a:lnTo>
                <a:pt x="1253841" y="646050"/>
              </a:lnTo>
              <a:lnTo>
                <a:pt x="1307042" y="424909"/>
              </a:lnTo>
              <a:cubicBezTo>
                <a:pt x="1312735" y="401236"/>
                <a:pt x="1298793" y="376577"/>
                <a:pt x="1275900" y="369830"/>
              </a:cubicBezTo>
              <a:lnTo>
                <a:pt x="1275900" y="369830"/>
              </a:lnTo>
              <a:cubicBezTo>
                <a:pt x="1253009" y="363080"/>
                <a:pt x="1229832" y="376802"/>
                <a:pt x="1224136" y="400473"/>
              </a:cubicBezTo>
              <a:lnTo>
                <a:pt x="1165526" y="644109"/>
              </a:lnTo>
              <a:lnTo>
                <a:pt x="1041982" y="641396"/>
              </a:lnTo>
              <a:lnTo>
                <a:pt x="1041017" y="583209"/>
              </a:lnTo>
              <a:cubicBezTo>
                <a:pt x="1040609" y="558598"/>
                <a:pt x="1021158" y="538315"/>
                <a:pt x="997569" y="537907"/>
              </a:cubicBezTo>
              <a:lnTo>
                <a:pt x="997570" y="537908"/>
              </a:lnTo>
              <a:cubicBezTo>
                <a:pt x="973984" y="537499"/>
                <a:pt x="955192" y="557122"/>
                <a:pt x="955600" y="581732"/>
              </a:cubicBezTo>
              <a:lnTo>
                <a:pt x="956559" y="639518"/>
              </a:lnTo>
              <a:lnTo>
                <a:pt x="845567" y="637080"/>
              </a:lnTo>
              <a:lnTo>
                <a:pt x="799761" y="506078"/>
              </a:lnTo>
              <a:cubicBezTo>
                <a:pt x="791590" y="482710"/>
                <a:pt x="767027" y="470040"/>
                <a:pt x="744896" y="477778"/>
              </a:cubicBezTo>
              <a:lnTo>
                <a:pt x="744897" y="477779"/>
              </a:lnTo>
              <a:cubicBezTo>
                <a:pt x="722766" y="485517"/>
                <a:pt x="711450" y="510735"/>
                <a:pt x="719619" y="534100"/>
              </a:cubicBezTo>
              <a:lnTo>
                <a:pt x="754930" y="635089"/>
              </a:lnTo>
              <a:lnTo>
                <a:pt x="697819" y="633834"/>
              </a:lnTo>
              <a:lnTo>
                <a:pt x="382954" y="198378"/>
              </a:lnTo>
              <a:cubicBezTo>
                <a:pt x="500883" y="146647"/>
                <a:pt x="611231" y="145422"/>
                <a:pt x="764810" y="218466"/>
              </a:cubicBezTo>
              <a:cubicBezTo>
                <a:pt x="799186" y="68313"/>
                <a:pt x="891489" y="3986"/>
                <a:pt x="986902" y="180"/>
              </a:cubicBezTo>
              <a:close/>
            </a:path>
          </a:pathLst>
        </a:custGeom>
        <a:solidFill>
          <a:sysClr val="window" lastClr="FFFFFF"/>
        </a:solidFill>
        <a:ln w="18002"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276340</xdr:colOff>
      <xdr:row>20</xdr:row>
      <xdr:rowOff>45917</xdr:rowOff>
    </xdr:from>
    <xdr:to>
      <xdr:col>0</xdr:col>
      <xdr:colOff>528340</xdr:colOff>
      <xdr:row>21</xdr:row>
      <xdr:rowOff>106073</xdr:rowOff>
    </xdr:to>
    <xdr:sp macro="" textlink="">
      <xdr:nvSpPr>
        <xdr:cNvPr id="29" name="Freeform: Shape 35">
          <a:extLst>
            <a:ext uri="{FF2B5EF4-FFF2-40B4-BE49-F238E27FC236}">
              <a16:creationId xmlns:a16="http://schemas.microsoft.com/office/drawing/2014/main" id="{00000000-0008-0000-0300-00001D000000}"/>
            </a:ext>
          </a:extLst>
        </xdr:cNvPr>
        <xdr:cNvSpPr/>
      </xdr:nvSpPr>
      <xdr:spPr>
        <a:xfrm>
          <a:off x="276340" y="4109917"/>
          <a:ext cx="252000" cy="263356"/>
        </a:xfrm>
        <a:custGeom>
          <a:avLst/>
          <a:gdLst>
            <a:gd name="connsiteX0" fmla="*/ 1845168 w 2847163"/>
            <a:gd name="connsiteY0" fmla="*/ 1750443 h 2759416"/>
            <a:gd name="connsiteX1" fmla="*/ 2309388 w 2847163"/>
            <a:gd name="connsiteY1" fmla="*/ 2214663 h 2759416"/>
            <a:gd name="connsiteX2" fmla="*/ 2318856 w 2847163"/>
            <a:gd name="connsiteY2" fmla="*/ 2759416 h 2759416"/>
            <a:gd name="connsiteX3" fmla="*/ 1845168 w 2847163"/>
            <a:gd name="connsiteY3" fmla="*/ 2759416 h 2759416"/>
            <a:gd name="connsiteX4" fmla="*/ 1518242 w 2847163"/>
            <a:gd name="connsiteY4" fmla="*/ 1423550 h 2759416"/>
            <a:gd name="connsiteX5" fmla="*/ 1717214 w 2847163"/>
            <a:gd name="connsiteY5" fmla="*/ 1622523 h 2759416"/>
            <a:gd name="connsiteX6" fmla="*/ 1717214 w 2847163"/>
            <a:gd name="connsiteY6" fmla="*/ 2759403 h 2759416"/>
            <a:gd name="connsiteX7" fmla="*/ 1250617 w 2847163"/>
            <a:gd name="connsiteY7" fmla="*/ 2754687 h 2759416"/>
            <a:gd name="connsiteX8" fmla="*/ 1250617 w 2847163"/>
            <a:gd name="connsiteY8" fmla="*/ 1691210 h 2759416"/>
            <a:gd name="connsiteX9" fmla="*/ 641835 w 2847163"/>
            <a:gd name="connsiteY9" fmla="*/ 1229322 h 2759416"/>
            <a:gd name="connsiteX10" fmla="*/ 1106070 w 2847163"/>
            <a:gd name="connsiteY10" fmla="*/ 1693578 h 2759416"/>
            <a:gd name="connsiteX11" fmla="*/ 1106070 w 2847163"/>
            <a:gd name="connsiteY11" fmla="*/ 2749927 h 2759416"/>
            <a:gd name="connsiteX12" fmla="*/ 641835 w 2847163"/>
            <a:gd name="connsiteY12" fmla="*/ 2759395 h 2759416"/>
            <a:gd name="connsiteX13" fmla="*/ 35444 w 2847163"/>
            <a:gd name="connsiteY13" fmla="*/ 618126 h 2759416"/>
            <a:gd name="connsiteX14" fmla="*/ 509154 w 2847163"/>
            <a:gd name="connsiteY14" fmla="*/ 1091814 h 2759416"/>
            <a:gd name="connsiteX15" fmla="*/ 509154 w 2847163"/>
            <a:gd name="connsiteY15" fmla="*/ 2754655 h 2759416"/>
            <a:gd name="connsiteX16" fmla="*/ 35444 w 2847163"/>
            <a:gd name="connsiteY16" fmla="*/ 2749904 h 2759416"/>
            <a:gd name="connsiteX17" fmla="*/ 0 w 2847163"/>
            <a:gd name="connsiteY17" fmla="*/ 0 h 2759416"/>
            <a:gd name="connsiteX18" fmla="*/ 1177165 w 2847163"/>
            <a:gd name="connsiteY18" fmla="*/ 1158192 h 2759416"/>
            <a:gd name="connsiteX19" fmla="*/ 1518233 w 2847163"/>
            <a:gd name="connsiteY19" fmla="*/ 817128 h 2759416"/>
            <a:gd name="connsiteX20" fmla="*/ 2746509 w 2847163"/>
            <a:gd name="connsiteY20" fmla="*/ 2007744 h 2759416"/>
            <a:gd name="connsiteX21" fmla="*/ 2847163 w 2847163"/>
            <a:gd name="connsiteY21" fmla="*/ 1910921 h 2759416"/>
            <a:gd name="connsiteX22" fmla="*/ 2847163 w 2847163"/>
            <a:gd name="connsiteY22" fmla="*/ 2340365 h 2759416"/>
            <a:gd name="connsiteX23" fmla="*/ 2400726 w 2847163"/>
            <a:gd name="connsiteY23" fmla="*/ 2340365 h 2759416"/>
            <a:gd name="connsiteX24" fmla="*/ 2494986 w 2847163"/>
            <a:gd name="connsiteY24" fmla="*/ 2249694 h 2759416"/>
            <a:gd name="connsiteX25" fmla="*/ 1506389 w 2847163"/>
            <a:gd name="connsiteY25" fmla="*/ 1297944 h 2759416"/>
            <a:gd name="connsiteX26" fmla="*/ 1181903 w 2847163"/>
            <a:gd name="connsiteY26" fmla="*/ 1622449 h 2759416"/>
            <a:gd name="connsiteX27" fmla="*/ 0 w 2847163"/>
            <a:gd name="connsiteY27" fmla="*/ 440532 h 275941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2847163" h="2759416">
              <a:moveTo>
                <a:pt x="1845168" y="1750443"/>
              </a:moveTo>
              <a:lnTo>
                <a:pt x="2309388" y="2214663"/>
              </a:lnTo>
              <a:lnTo>
                <a:pt x="2318856" y="2759416"/>
              </a:lnTo>
              <a:lnTo>
                <a:pt x="1845168" y="2759416"/>
              </a:lnTo>
              <a:close/>
              <a:moveTo>
                <a:pt x="1518242" y="1423550"/>
              </a:moveTo>
              <a:lnTo>
                <a:pt x="1717214" y="1622523"/>
              </a:lnTo>
              <a:lnTo>
                <a:pt x="1717214" y="2759403"/>
              </a:lnTo>
              <a:lnTo>
                <a:pt x="1250617" y="2754687"/>
              </a:lnTo>
              <a:lnTo>
                <a:pt x="1250617" y="1691210"/>
              </a:lnTo>
              <a:close/>
              <a:moveTo>
                <a:pt x="641835" y="1229322"/>
              </a:moveTo>
              <a:lnTo>
                <a:pt x="1106070" y="1693578"/>
              </a:lnTo>
              <a:lnTo>
                <a:pt x="1106070" y="2749927"/>
              </a:lnTo>
              <a:lnTo>
                <a:pt x="641835" y="2759395"/>
              </a:lnTo>
              <a:close/>
              <a:moveTo>
                <a:pt x="35444" y="618126"/>
              </a:moveTo>
              <a:lnTo>
                <a:pt x="509154" y="1091814"/>
              </a:lnTo>
              <a:lnTo>
                <a:pt x="509154" y="2754655"/>
              </a:lnTo>
              <a:lnTo>
                <a:pt x="35444" y="2749904"/>
              </a:lnTo>
              <a:close/>
              <a:moveTo>
                <a:pt x="0" y="0"/>
              </a:moveTo>
              <a:lnTo>
                <a:pt x="1177165" y="1158192"/>
              </a:lnTo>
              <a:lnTo>
                <a:pt x="1518233" y="817128"/>
              </a:lnTo>
              <a:lnTo>
                <a:pt x="2746509" y="2007744"/>
              </a:lnTo>
              <a:lnTo>
                <a:pt x="2847163" y="1910921"/>
              </a:lnTo>
              <a:lnTo>
                <a:pt x="2847163" y="2340365"/>
              </a:lnTo>
              <a:lnTo>
                <a:pt x="2400726" y="2340365"/>
              </a:lnTo>
              <a:lnTo>
                <a:pt x="2494986" y="2249694"/>
              </a:lnTo>
              <a:lnTo>
                <a:pt x="1506389" y="1297944"/>
              </a:lnTo>
              <a:lnTo>
                <a:pt x="1181903" y="1622449"/>
              </a:lnTo>
              <a:lnTo>
                <a:pt x="0" y="440532"/>
              </a:lnTo>
              <a:close/>
            </a:path>
          </a:pathLst>
        </a:custGeom>
        <a:solidFill>
          <a:sysClr val="window" lastClr="FFFFFF"/>
        </a:solidFill>
        <a:ln w="6350" cap="flat">
          <a:noFill/>
          <a:prstDash val="solid"/>
          <a:miter/>
        </a:ln>
        <a:effectLst>
          <a:outerShdw blurRad="50800" dist="38100" dir="2700000" algn="tl" rotWithShape="0">
            <a:prstClr val="black">
              <a:alpha val="40000"/>
            </a:prstClr>
          </a:outerShdw>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276340</xdr:colOff>
      <xdr:row>22</xdr:row>
      <xdr:rowOff>161497</xdr:rowOff>
    </xdr:from>
    <xdr:to>
      <xdr:col>0</xdr:col>
      <xdr:colOff>528340</xdr:colOff>
      <xdr:row>24</xdr:row>
      <xdr:rowOff>18453</xdr:rowOff>
    </xdr:to>
    <xdr:sp macro="" textlink="">
      <xdr:nvSpPr>
        <xdr:cNvPr id="30" name="Freeform: Shape 36">
          <a:extLst>
            <a:ext uri="{FF2B5EF4-FFF2-40B4-BE49-F238E27FC236}">
              <a16:creationId xmlns:a16="http://schemas.microsoft.com/office/drawing/2014/main" id="{00000000-0008-0000-0300-00001E000000}"/>
            </a:ext>
          </a:extLst>
        </xdr:cNvPr>
        <xdr:cNvSpPr/>
      </xdr:nvSpPr>
      <xdr:spPr>
        <a:xfrm>
          <a:off x="276340" y="4631897"/>
          <a:ext cx="252000" cy="263356"/>
        </a:xfrm>
        <a:custGeom>
          <a:avLst/>
          <a:gdLst>
            <a:gd name="connsiteX0" fmla="*/ 639778 w 4884414"/>
            <a:gd name="connsiteY0" fmla="*/ 2912647 h 4858772"/>
            <a:gd name="connsiteX1" fmla="*/ 1031685 w 4884414"/>
            <a:gd name="connsiteY1" fmla="*/ 4714736 h 4858772"/>
            <a:gd name="connsiteX2" fmla="*/ 385208 w 4884414"/>
            <a:gd name="connsiteY2" fmla="*/ 4858772 h 4858772"/>
            <a:gd name="connsiteX3" fmla="*/ 0 w 4884414"/>
            <a:gd name="connsiteY3" fmla="*/ 3053299 h 4858772"/>
            <a:gd name="connsiteX4" fmla="*/ 4607863 w 4884414"/>
            <a:gd name="connsiteY4" fmla="*/ 2902441 h 4858772"/>
            <a:gd name="connsiteX5" fmla="*/ 4789111 w 4884414"/>
            <a:gd name="connsiteY5" fmla="*/ 2958353 h 4858772"/>
            <a:gd name="connsiteX6" fmla="*/ 4811396 w 4884414"/>
            <a:gd name="connsiteY6" fmla="*/ 3250422 h 4858772"/>
            <a:gd name="connsiteX7" fmla="*/ 2814330 w 4884414"/>
            <a:gd name="connsiteY7" fmla="*/ 4524139 h 4858772"/>
            <a:gd name="connsiteX8" fmla="*/ 1445303 w 4884414"/>
            <a:gd name="connsiteY8" fmla="*/ 4391479 h 4858772"/>
            <a:gd name="connsiteX9" fmla="*/ 1161080 w 4884414"/>
            <a:gd name="connsiteY9" fmla="*/ 4453075 h 4858772"/>
            <a:gd name="connsiteX10" fmla="*/ 895802 w 4884414"/>
            <a:gd name="connsiteY10" fmla="*/ 3202470 h 4858772"/>
            <a:gd name="connsiteX11" fmla="*/ 1492676 w 4884414"/>
            <a:gd name="connsiteY11" fmla="*/ 3046158 h 4858772"/>
            <a:gd name="connsiteX12" fmla="*/ 2495226 w 4884414"/>
            <a:gd name="connsiteY12" fmla="*/ 3450762 h 4858772"/>
            <a:gd name="connsiteX13" fmla="*/ 3321174 w 4884414"/>
            <a:gd name="connsiteY13" fmla="*/ 3055626 h 4858772"/>
            <a:gd name="connsiteX14" fmla="*/ 3742807 w 4884414"/>
            <a:gd name="connsiteY14" fmla="*/ 3103002 h 4858772"/>
            <a:gd name="connsiteX15" fmla="*/ 3723259 w 4884414"/>
            <a:gd name="connsiteY15" fmla="*/ 3443274 h 4858772"/>
            <a:gd name="connsiteX16" fmla="*/ 2513442 w 4884414"/>
            <a:gd name="connsiteY16" fmla="*/ 4087494 h 4858772"/>
            <a:gd name="connsiteX17" fmla="*/ 1386497 w 4884414"/>
            <a:gd name="connsiteY17" fmla="*/ 3877686 h 4858772"/>
            <a:gd name="connsiteX18" fmla="*/ 1345824 w 4884414"/>
            <a:gd name="connsiteY18" fmla="*/ 4040946 h 4858772"/>
            <a:gd name="connsiteX19" fmla="*/ 2583822 w 4884414"/>
            <a:gd name="connsiteY19" fmla="*/ 4264146 h 4858772"/>
            <a:gd name="connsiteX20" fmla="*/ 3918055 w 4884414"/>
            <a:gd name="connsiteY20" fmla="*/ 3524598 h 4858772"/>
            <a:gd name="connsiteX21" fmla="*/ 4020079 w 4884414"/>
            <a:gd name="connsiteY21" fmla="*/ 3359394 h 4858772"/>
            <a:gd name="connsiteX22" fmla="*/ 3984367 w 4884414"/>
            <a:gd name="connsiteY22" fmla="*/ 3155094 h 4858772"/>
            <a:gd name="connsiteX23" fmla="*/ 4420327 w 4884414"/>
            <a:gd name="connsiteY23" fmla="*/ 2932794 h 4858772"/>
            <a:gd name="connsiteX24" fmla="*/ 4607863 w 4884414"/>
            <a:gd name="connsiteY24" fmla="*/ 2902441 h 4858772"/>
            <a:gd name="connsiteX25" fmla="*/ 1433727 w 4884414"/>
            <a:gd name="connsiteY25" fmla="*/ 2168924 h 4858772"/>
            <a:gd name="connsiteX26" fmla="*/ 1849081 w 4884414"/>
            <a:gd name="connsiteY26" fmla="*/ 2168924 h 4858772"/>
            <a:gd name="connsiteX27" fmla="*/ 1849081 w 4884414"/>
            <a:gd name="connsiteY27" fmla="*/ 2845548 h 4858772"/>
            <a:gd name="connsiteX28" fmla="*/ 1433727 w 4884414"/>
            <a:gd name="connsiteY28" fmla="*/ 2845548 h 4858772"/>
            <a:gd name="connsiteX29" fmla="*/ 2941179 w 4884414"/>
            <a:gd name="connsiteY29" fmla="*/ 2004757 h 4858772"/>
            <a:gd name="connsiteX30" fmla="*/ 3359881 w 4884414"/>
            <a:gd name="connsiteY30" fmla="*/ 2004757 h 4858772"/>
            <a:gd name="connsiteX31" fmla="*/ 3359881 w 4884414"/>
            <a:gd name="connsiteY31" fmla="*/ 2842165 h 4858772"/>
            <a:gd name="connsiteX32" fmla="*/ 2941179 w 4884414"/>
            <a:gd name="connsiteY32" fmla="*/ 2842165 h 4858772"/>
            <a:gd name="connsiteX33" fmla="*/ 2187461 w 4884414"/>
            <a:gd name="connsiteY33" fmla="*/ 1666453 h 4858772"/>
            <a:gd name="connsiteX34" fmla="*/ 2609514 w 4884414"/>
            <a:gd name="connsiteY34" fmla="*/ 1666453 h 4858772"/>
            <a:gd name="connsiteX35" fmla="*/ 2609514 w 4884414"/>
            <a:gd name="connsiteY35" fmla="*/ 2858921 h 4858772"/>
            <a:gd name="connsiteX36" fmla="*/ 2187461 w 4884414"/>
            <a:gd name="connsiteY36" fmla="*/ 2858921 h 4858772"/>
            <a:gd name="connsiteX37" fmla="*/ 3691550 w 4884414"/>
            <a:gd name="connsiteY37" fmla="*/ 1488894 h 4858772"/>
            <a:gd name="connsiteX38" fmla="*/ 4110252 w 4884414"/>
            <a:gd name="connsiteY38" fmla="*/ 1488894 h 4858772"/>
            <a:gd name="connsiteX39" fmla="*/ 4110252 w 4884414"/>
            <a:gd name="connsiteY39" fmla="*/ 2852193 h 4858772"/>
            <a:gd name="connsiteX40" fmla="*/ 3691550 w 4884414"/>
            <a:gd name="connsiteY40" fmla="*/ 2852193 h 4858772"/>
            <a:gd name="connsiteX41" fmla="*/ 4884414 w 4884414"/>
            <a:gd name="connsiteY41" fmla="*/ 0 h 4858772"/>
            <a:gd name="connsiteX42" fmla="*/ 4879661 w 4884414"/>
            <a:gd name="connsiteY42" fmla="*/ 497394 h 4858772"/>
            <a:gd name="connsiteX43" fmla="*/ 4718597 w 4884414"/>
            <a:gd name="connsiteY43" fmla="*/ 497394 h 4858772"/>
            <a:gd name="connsiteX44" fmla="*/ 4713882 w 4884414"/>
            <a:gd name="connsiteY44" fmla="*/ 274752 h 4858772"/>
            <a:gd name="connsiteX45" fmla="*/ 3775937 w 4884414"/>
            <a:gd name="connsiteY45" fmla="*/ 1198498 h 4858772"/>
            <a:gd name="connsiteX46" fmla="*/ 3041680 w 4884414"/>
            <a:gd name="connsiteY46" fmla="*/ 454759 h 4858772"/>
            <a:gd name="connsiteX47" fmla="*/ 2027937 w 4884414"/>
            <a:gd name="connsiteY47" fmla="*/ 1430590 h 4858772"/>
            <a:gd name="connsiteX48" fmla="*/ 1426330 w 4884414"/>
            <a:gd name="connsiteY48" fmla="*/ 876370 h 4858772"/>
            <a:gd name="connsiteX49" fmla="*/ 327325 w 4884414"/>
            <a:gd name="connsiteY49" fmla="*/ 1984846 h 4858772"/>
            <a:gd name="connsiteX50" fmla="*/ 194686 w 4884414"/>
            <a:gd name="connsiteY50" fmla="*/ 1871158 h 4858772"/>
            <a:gd name="connsiteX51" fmla="*/ 1416855 w 4884414"/>
            <a:gd name="connsiteY51" fmla="*/ 644242 h 4858772"/>
            <a:gd name="connsiteX52" fmla="*/ 2027937 w 4884414"/>
            <a:gd name="connsiteY52" fmla="*/ 1203214 h 4858772"/>
            <a:gd name="connsiteX53" fmla="*/ 3022744 w 4884414"/>
            <a:gd name="connsiteY53" fmla="*/ 222642 h 4858772"/>
            <a:gd name="connsiteX54" fmla="*/ 3799624 w 4884414"/>
            <a:gd name="connsiteY54" fmla="*/ 961618 h 4858772"/>
            <a:gd name="connsiteX55" fmla="*/ 4604909 w 4884414"/>
            <a:gd name="connsiteY55" fmla="*/ 161060 h 4858772"/>
            <a:gd name="connsiteX56" fmla="*/ 4377533 w 4884414"/>
            <a:gd name="connsiteY56" fmla="*/ 151585 h 4858772"/>
            <a:gd name="connsiteX57" fmla="*/ 4372781 w 4884414"/>
            <a:gd name="connsiteY57" fmla="*/ 4737 h 4858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4884414" h="4858772">
              <a:moveTo>
                <a:pt x="639778" y="2912647"/>
              </a:moveTo>
              <a:lnTo>
                <a:pt x="1031685" y="4714736"/>
              </a:lnTo>
              <a:lnTo>
                <a:pt x="385208" y="4858772"/>
              </a:lnTo>
              <a:lnTo>
                <a:pt x="0" y="3053299"/>
              </a:lnTo>
              <a:close/>
              <a:moveTo>
                <a:pt x="4607863" y="2902441"/>
              </a:moveTo>
              <a:cubicBezTo>
                <a:pt x="4668385" y="2903746"/>
                <a:pt x="4734018" y="2917543"/>
                <a:pt x="4789111" y="2958353"/>
              </a:cubicBezTo>
              <a:cubicBezTo>
                <a:pt x="4984268" y="3102893"/>
                <a:pt x="4811396" y="3250422"/>
                <a:pt x="4811396" y="3250422"/>
              </a:cubicBezTo>
              <a:cubicBezTo>
                <a:pt x="4811396" y="3250422"/>
                <a:pt x="3126199" y="4484683"/>
                <a:pt x="2814330" y="4524139"/>
              </a:cubicBezTo>
              <a:cubicBezTo>
                <a:pt x="2436006" y="4571983"/>
                <a:pt x="1681870" y="4399758"/>
                <a:pt x="1445303" y="4391479"/>
              </a:cubicBezTo>
              <a:cubicBezTo>
                <a:pt x="1331655" y="4387519"/>
                <a:pt x="1161080" y="4453075"/>
                <a:pt x="1161080" y="4453075"/>
              </a:cubicBezTo>
              <a:lnTo>
                <a:pt x="895802" y="3202470"/>
              </a:lnTo>
              <a:cubicBezTo>
                <a:pt x="895802" y="3202470"/>
                <a:pt x="1206936" y="3031326"/>
                <a:pt x="1492676" y="3046158"/>
              </a:cubicBezTo>
              <a:cubicBezTo>
                <a:pt x="1861078" y="3065273"/>
                <a:pt x="2261046" y="3451698"/>
                <a:pt x="2495226" y="3450762"/>
              </a:cubicBezTo>
              <a:cubicBezTo>
                <a:pt x="2653086" y="3450150"/>
                <a:pt x="3321174" y="3055626"/>
                <a:pt x="3321174" y="3055626"/>
              </a:cubicBezTo>
              <a:cubicBezTo>
                <a:pt x="3321174" y="3055626"/>
                <a:pt x="3595819" y="2954430"/>
                <a:pt x="3742807" y="3103002"/>
              </a:cubicBezTo>
              <a:cubicBezTo>
                <a:pt x="3947863" y="3310290"/>
                <a:pt x="3723259" y="3443274"/>
                <a:pt x="3723259" y="3443274"/>
              </a:cubicBezTo>
              <a:cubicBezTo>
                <a:pt x="3723259" y="3443274"/>
                <a:pt x="2958654" y="3989718"/>
                <a:pt x="2513442" y="4087494"/>
              </a:cubicBezTo>
              <a:cubicBezTo>
                <a:pt x="2233902" y="4148910"/>
                <a:pt x="1386497" y="3877686"/>
                <a:pt x="1386497" y="3877686"/>
              </a:cubicBezTo>
              <a:lnTo>
                <a:pt x="1345824" y="4040946"/>
              </a:lnTo>
              <a:cubicBezTo>
                <a:pt x="1345824" y="4040946"/>
                <a:pt x="2201574" y="4299750"/>
                <a:pt x="2583822" y="4264146"/>
              </a:cubicBezTo>
              <a:cubicBezTo>
                <a:pt x="2873478" y="4237218"/>
                <a:pt x="3918055" y="3524598"/>
                <a:pt x="3918055" y="3524598"/>
              </a:cubicBezTo>
              <a:cubicBezTo>
                <a:pt x="3918055" y="3524598"/>
                <a:pt x="3992143" y="3470274"/>
                <a:pt x="4020079" y="3359394"/>
              </a:cubicBezTo>
              <a:cubicBezTo>
                <a:pt x="4045927" y="3256794"/>
                <a:pt x="3984367" y="3155094"/>
                <a:pt x="3984367" y="3155094"/>
              </a:cubicBezTo>
              <a:lnTo>
                <a:pt x="4420327" y="2932794"/>
              </a:lnTo>
              <a:cubicBezTo>
                <a:pt x="4420327" y="2932794"/>
                <a:pt x="4506995" y="2900267"/>
                <a:pt x="4607863" y="2902441"/>
              </a:cubicBezTo>
              <a:close/>
              <a:moveTo>
                <a:pt x="1433727" y="2168924"/>
              </a:moveTo>
              <a:lnTo>
                <a:pt x="1849081" y="2168924"/>
              </a:lnTo>
              <a:lnTo>
                <a:pt x="1849081" y="2845548"/>
              </a:lnTo>
              <a:lnTo>
                <a:pt x="1433727" y="2845548"/>
              </a:lnTo>
              <a:close/>
              <a:moveTo>
                <a:pt x="2941179" y="2004757"/>
              </a:moveTo>
              <a:lnTo>
                <a:pt x="3359881" y="2004757"/>
              </a:lnTo>
              <a:lnTo>
                <a:pt x="3359881" y="2842165"/>
              </a:lnTo>
              <a:lnTo>
                <a:pt x="2941179" y="2842165"/>
              </a:lnTo>
              <a:close/>
              <a:moveTo>
                <a:pt x="2187461" y="1666453"/>
              </a:moveTo>
              <a:lnTo>
                <a:pt x="2609514" y="1666453"/>
              </a:lnTo>
              <a:lnTo>
                <a:pt x="2609514" y="2858921"/>
              </a:lnTo>
              <a:lnTo>
                <a:pt x="2187461" y="2858921"/>
              </a:lnTo>
              <a:close/>
              <a:moveTo>
                <a:pt x="3691550" y="1488894"/>
              </a:moveTo>
              <a:lnTo>
                <a:pt x="4110252" y="1488894"/>
              </a:lnTo>
              <a:lnTo>
                <a:pt x="4110252" y="2852193"/>
              </a:lnTo>
              <a:lnTo>
                <a:pt x="3691550" y="2852193"/>
              </a:lnTo>
              <a:close/>
              <a:moveTo>
                <a:pt x="4884414" y="0"/>
              </a:moveTo>
              <a:lnTo>
                <a:pt x="4879661" y="497394"/>
              </a:lnTo>
              <a:lnTo>
                <a:pt x="4718597" y="497394"/>
              </a:lnTo>
              <a:lnTo>
                <a:pt x="4713882" y="274752"/>
              </a:lnTo>
              <a:lnTo>
                <a:pt x="3775937" y="1198498"/>
              </a:lnTo>
              <a:lnTo>
                <a:pt x="3041680" y="454759"/>
              </a:lnTo>
              <a:lnTo>
                <a:pt x="2027937" y="1430590"/>
              </a:lnTo>
              <a:lnTo>
                <a:pt x="1426330" y="876370"/>
              </a:lnTo>
              <a:lnTo>
                <a:pt x="327325" y="1984846"/>
              </a:lnTo>
              <a:lnTo>
                <a:pt x="194686" y="1871158"/>
              </a:lnTo>
              <a:lnTo>
                <a:pt x="1416855" y="644242"/>
              </a:lnTo>
              <a:lnTo>
                <a:pt x="2027937" y="1203214"/>
              </a:lnTo>
              <a:lnTo>
                <a:pt x="3022744" y="222642"/>
              </a:lnTo>
              <a:lnTo>
                <a:pt x="3799624" y="961618"/>
              </a:lnTo>
              <a:lnTo>
                <a:pt x="4604909" y="161060"/>
              </a:lnTo>
              <a:lnTo>
                <a:pt x="4377533" y="151585"/>
              </a:lnTo>
              <a:lnTo>
                <a:pt x="4372781" y="4737"/>
              </a:lnTo>
              <a:close/>
            </a:path>
          </a:pathLst>
        </a:custGeom>
        <a:solidFill>
          <a:sysClr val="window" lastClr="FFFFFF"/>
        </a:solidFill>
        <a:ln w="17998"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299103</xdr:colOff>
      <xdr:row>25</xdr:row>
      <xdr:rowOff>62522</xdr:rowOff>
    </xdr:from>
    <xdr:to>
      <xdr:col>0</xdr:col>
      <xdr:colOff>497103</xdr:colOff>
      <xdr:row>26</xdr:row>
      <xdr:rowOff>134033</xdr:rowOff>
    </xdr:to>
    <xdr:sp macro="" textlink="">
      <xdr:nvSpPr>
        <xdr:cNvPr id="31" name="Freeform: Shape 37">
          <a:extLst>
            <a:ext uri="{FF2B5EF4-FFF2-40B4-BE49-F238E27FC236}">
              <a16:creationId xmlns:a16="http://schemas.microsoft.com/office/drawing/2014/main" id="{00000000-0008-0000-0300-00001F000000}"/>
            </a:ext>
          </a:extLst>
        </xdr:cNvPr>
        <xdr:cNvSpPr/>
      </xdr:nvSpPr>
      <xdr:spPr>
        <a:xfrm>
          <a:off x="299103" y="5142522"/>
          <a:ext cx="198000" cy="274711"/>
        </a:xfrm>
        <a:custGeom>
          <a:avLst/>
          <a:gdLst>
            <a:gd name="connsiteX0" fmla="*/ 1055978 w 2078051"/>
            <a:gd name="connsiteY0" fmla="*/ 1929003 h 2870971"/>
            <a:gd name="connsiteX1" fmla="*/ 1107799 w 2078051"/>
            <a:gd name="connsiteY1" fmla="*/ 1959131 h 2870971"/>
            <a:gd name="connsiteX2" fmla="*/ 1123868 w 2078051"/>
            <a:gd name="connsiteY2" fmla="*/ 2005327 h 2870971"/>
            <a:gd name="connsiteX3" fmla="*/ 1104987 w 2078051"/>
            <a:gd name="connsiteY3" fmla="*/ 2057955 h 2870971"/>
            <a:gd name="connsiteX4" fmla="*/ 1055978 w 2078051"/>
            <a:gd name="connsiteY4" fmla="*/ 2085674 h 2870971"/>
            <a:gd name="connsiteX5" fmla="*/ 997728 w 2078051"/>
            <a:gd name="connsiteY5" fmla="*/ 1658243 h 2870971"/>
            <a:gd name="connsiteX6" fmla="*/ 997728 w 2078051"/>
            <a:gd name="connsiteY6" fmla="*/ 1797238 h 2870971"/>
            <a:gd name="connsiteX7" fmla="*/ 958762 w 2078051"/>
            <a:gd name="connsiteY7" fmla="*/ 1767911 h 2870971"/>
            <a:gd name="connsiteX8" fmla="*/ 945906 w 2078051"/>
            <a:gd name="connsiteY8" fmla="*/ 1728143 h 2870971"/>
            <a:gd name="connsiteX9" fmla="*/ 959966 w 2078051"/>
            <a:gd name="connsiteY9" fmla="*/ 1685558 h 2870971"/>
            <a:gd name="connsiteX10" fmla="*/ 997728 w 2078051"/>
            <a:gd name="connsiteY10" fmla="*/ 1658243 h 2870971"/>
            <a:gd name="connsiteX11" fmla="*/ 997728 w 2078051"/>
            <a:gd name="connsiteY11" fmla="*/ 1530898 h 2870971"/>
            <a:gd name="connsiteX12" fmla="*/ 997728 w 2078051"/>
            <a:gd name="connsiteY12" fmla="*/ 1570667 h 2870971"/>
            <a:gd name="connsiteX13" fmla="*/ 886854 w 2078051"/>
            <a:gd name="connsiteY13" fmla="*/ 1622487 h 2870971"/>
            <a:gd name="connsiteX14" fmla="*/ 845479 w 2078051"/>
            <a:gd name="connsiteY14" fmla="*/ 1732962 h 2870971"/>
            <a:gd name="connsiteX15" fmla="*/ 882035 w 2078051"/>
            <a:gd name="connsiteY15" fmla="*/ 1843836 h 2870971"/>
            <a:gd name="connsiteX16" fmla="*/ 997728 w 2078051"/>
            <a:gd name="connsiteY16" fmla="*/ 1911726 h 2870971"/>
            <a:gd name="connsiteX17" fmla="*/ 997728 w 2078051"/>
            <a:gd name="connsiteY17" fmla="*/ 2080048 h 2870971"/>
            <a:gd name="connsiteX18" fmla="*/ 958359 w 2078051"/>
            <a:gd name="connsiteY18" fmla="*/ 2046305 h 2870971"/>
            <a:gd name="connsiteX19" fmla="*/ 934255 w 2078051"/>
            <a:gd name="connsiteY19" fmla="*/ 1990869 h 2870971"/>
            <a:gd name="connsiteX20" fmla="*/ 829406 w 2078051"/>
            <a:gd name="connsiteY20" fmla="*/ 2002116 h 2870971"/>
            <a:gd name="connsiteX21" fmla="*/ 884843 w 2078051"/>
            <a:gd name="connsiteY21" fmla="*/ 2124639 h 2870971"/>
            <a:gd name="connsiteX22" fmla="*/ 997728 w 2078051"/>
            <a:gd name="connsiteY22" fmla="*/ 2176462 h 2870971"/>
            <a:gd name="connsiteX23" fmla="*/ 997728 w 2078051"/>
            <a:gd name="connsiteY23" fmla="*/ 2249574 h 2870971"/>
            <a:gd name="connsiteX24" fmla="*/ 1055978 w 2078051"/>
            <a:gd name="connsiteY24" fmla="*/ 2249574 h 2870971"/>
            <a:gd name="connsiteX25" fmla="*/ 1055978 w 2078051"/>
            <a:gd name="connsiteY25" fmla="*/ 2174451 h 2870971"/>
            <a:gd name="connsiteX26" fmla="*/ 1178099 w 2078051"/>
            <a:gd name="connsiteY26" fmla="*/ 2113392 h 2870971"/>
            <a:gd name="connsiteX27" fmla="*/ 1222289 w 2078051"/>
            <a:gd name="connsiteY27" fmla="*/ 1990869 h 2870971"/>
            <a:gd name="connsiteX28" fmla="*/ 1187340 w 2078051"/>
            <a:gd name="connsiteY28" fmla="*/ 1884411 h 2870971"/>
            <a:gd name="connsiteX29" fmla="*/ 1055978 w 2078051"/>
            <a:gd name="connsiteY29" fmla="*/ 1816521 h 2870971"/>
            <a:gd name="connsiteX30" fmla="*/ 1055978 w 2078051"/>
            <a:gd name="connsiteY30" fmla="*/ 1659447 h 2870971"/>
            <a:gd name="connsiteX31" fmla="*/ 1104185 w 2078051"/>
            <a:gd name="connsiteY31" fmla="*/ 1723721 h 2870971"/>
            <a:gd name="connsiteX32" fmla="*/ 1205818 w 2078051"/>
            <a:gd name="connsiteY32" fmla="*/ 1710467 h 2870971"/>
            <a:gd name="connsiteX33" fmla="*/ 1157614 w 2078051"/>
            <a:gd name="connsiteY33" fmla="*/ 1614457 h 2870971"/>
            <a:gd name="connsiteX34" fmla="*/ 1055978 w 2078051"/>
            <a:gd name="connsiteY34" fmla="*/ 1570667 h 2870971"/>
            <a:gd name="connsiteX35" fmla="*/ 1055978 w 2078051"/>
            <a:gd name="connsiteY35" fmla="*/ 1530898 h 2870971"/>
            <a:gd name="connsiteX36" fmla="*/ 1033100 w 2078051"/>
            <a:gd name="connsiteY36" fmla="*/ 1329168 h 2870971"/>
            <a:gd name="connsiteX37" fmla="*/ 1572115 w 2078051"/>
            <a:gd name="connsiteY37" fmla="*/ 1868183 h 2870971"/>
            <a:gd name="connsiteX38" fmla="*/ 1033100 w 2078051"/>
            <a:gd name="connsiteY38" fmla="*/ 2407198 h 2870971"/>
            <a:gd name="connsiteX39" fmla="*/ 494085 w 2078051"/>
            <a:gd name="connsiteY39" fmla="*/ 1868183 h 2870971"/>
            <a:gd name="connsiteX40" fmla="*/ 1033100 w 2078051"/>
            <a:gd name="connsiteY40" fmla="*/ 1329168 h 2870971"/>
            <a:gd name="connsiteX41" fmla="*/ 1033100 w 2078051"/>
            <a:gd name="connsiteY41" fmla="*/ 1223366 h 2870971"/>
            <a:gd name="connsiteX42" fmla="*/ 388283 w 2078051"/>
            <a:gd name="connsiteY42" fmla="*/ 1868183 h 2870971"/>
            <a:gd name="connsiteX43" fmla="*/ 1033100 w 2078051"/>
            <a:gd name="connsiteY43" fmla="*/ 2513000 h 2870971"/>
            <a:gd name="connsiteX44" fmla="*/ 1677917 w 2078051"/>
            <a:gd name="connsiteY44" fmla="*/ 1868183 h 2870971"/>
            <a:gd name="connsiteX45" fmla="*/ 1033100 w 2078051"/>
            <a:gd name="connsiteY45" fmla="*/ 1223366 h 2870971"/>
            <a:gd name="connsiteX46" fmla="*/ 983183 w 2078051"/>
            <a:gd name="connsiteY46" fmla="*/ 335217 h 2870971"/>
            <a:gd name="connsiteX47" fmla="*/ 758164 w 2078051"/>
            <a:gd name="connsiteY47" fmla="*/ 343982 h 2870971"/>
            <a:gd name="connsiteX48" fmla="*/ 488284 w 2078051"/>
            <a:gd name="connsiteY48" fmla="*/ 983732 h 2870971"/>
            <a:gd name="connsiteX49" fmla="*/ 488749 w 2078051"/>
            <a:gd name="connsiteY49" fmla="*/ 985270 h 2870971"/>
            <a:gd name="connsiteX50" fmla="*/ 642599 w 2078051"/>
            <a:gd name="connsiteY50" fmla="*/ 899738 h 2870971"/>
            <a:gd name="connsiteX51" fmla="*/ 1558297 w 2078051"/>
            <a:gd name="connsiteY51" fmla="*/ 983595 h 2870971"/>
            <a:gd name="connsiteX52" fmla="*/ 1599794 w 2078051"/>
            <a:gd name="connsiteY52" fmla="*/ 1014524 h 2870971"/>
            <a:gd name="connsiteX53" fmla="*/ 1602875 w 2078051"/>
            <a:gd name="connsiteY53" fmla="*/ 999811 h 2870971"/>
            <a:gd name="connsiteX54" fmla="*/ 1383012 w 2078051"/>
            <a:gd name="connsiteY54" fmla="*/ 357449 h 2870971"/>
            <a:gd name="connsiteX55" fmla="*/ 983183 w 2078051"/>
            <a:gd name="connsiteY55" fmla="*/ 335217 h 2870971"/>
            <a:gd name="connsiteX56" fmla="*/ 1024198 w 2078051"/>
            <a:gd name="connsiteY56" fmla="*/ 0 h 2870971"/>
            <a:gd name="connsiteX57" fmla="*/ 1463633 w 2078051"/>
            <a:gd name="connsiteY57" fmla="*/ 41646 h 2870971"/>
            <a:gd name="connsiteX58" fmla="*/ 1850752 w 2078051"/>
            <a:gd name="connsiteY58" fmla="*/ 1233583 h 2870971"/>
            <a:gd name="connsiteX59" fmla="*/ 1848614 w 2078051"/>
            <a:gd name="connsiteY59" fmla="*/ 1239078 h 2870971"/>
            <a:gd name="connsiteX60" fmla="*/ 1936700 w 2078051"/>
            <a:gd name="connsiteY60" fmla="*/ 1360517 h 2870971"/>
            <a:gd name="connsiteX61" fmla="*/ 1430019 w 2078051"/>
            <a:gd name="connsiteY61" fmla="*/ 2823279 h 2870971"/>
            <a:gd name="connsiteX62" fmla="*/ 583477 w 2078051"/>
            <a:gd name="connsiteY62" fmla="*/ 2796381 h 2870971"/>
            <a:gd name="connsiteX63" fmla="*/ 131162 w 2078051"/>
            <a:gd name="connsiteY63" fmla="*/ 1394268 h 2870971"/>
            <a:gd name="connsiteX64" fmla="*/ 216742 w 2078051"/>
            <a:gd name="connsiteY64" fmla="*/ 1260356 h 2870971"/>
            <a:gd name="connsiteX65" fmla="*/ 216557 w 2078051"/>
            <a:gd name="connsiteY65" fmla="*/ 1259844 h 2870971"/>
            <a:gd name="connsiteX66" fmla="*/ 637229 w 2078051"/>
            <a:gd name="connsiteY66" fmla="*/ 28215 h 2870971"/>
            <a:gd name="connsiteX67" fmla="*/ 1024198 w 2078051"/>
            <a:gd name="connsiteY67" fmla="*/ 0 h 287097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Lst>
          <a:rect l="l" t="t" r="r" b="b"/>
          <a:pathLst>
            <a:path w="2078051" h="2870971">
              <a:moveTo>
                <a:pt x="1055978" y="1929003"/>
              </a:moveTo>
              <a:cubicBezTo>
                <a:pt x="1080081" y="1935967"/>
                <a:pt x="1097353" y="1946008"/>
                <a:pt x="1107799" y="1959131"/>
              </a:cubicBezTo>
              <a:cubicBezTo>
                <a:pt x="1118513" y="1971987"/>
                <a:pt x="1123868" y="1987384"/>
                <a:pt x="1123868" y="2005327"/>
              </a:cubicBezTo>
              <a:cubicBezTo>
                <a:pt x="1123868" y="2025413"/>
                <a:pt x="1117575" y="2042957"/>
                <a:pt x="1104987" y="2057955"/>
              </a:cubicBezTo>
              <a:cubicBezTo>
                <a:pt x="1092399" y="2072682"/>
                <a:pt x="1076063" y="2081922"/>
                <a:pt x="1055978" y="2085674"/>
              </a:cubicBezTo>
              <a:close/>
              <a:moveTo>
                <a:pt x="997728" y="1658243"/>
              </a:moveTo>
              <a:lnTo>
                <a:pt x="997728" y="1797238"/>
              </a:lnTo>
              <a:cubicBezTo>
                <a:pt x="980320" y="1789741"/>
                <a:pt x="967333" y="1779966"/>
                <a:pt x="958762" y="1767911"/>
              </a:cubicBezTo>
              <a:cubicBezTo>
                <a:pt x="950192" y="1755594"/>
                <a:pt x="945906" y="1742336"/>
                <a:pt x="945906" y="1728143"/>
              </a:cubicBezTo>
              <a:cubicBezTo>
                <a:pt x="945906" y="1712610"/>
                <a:pt x="950595" y="1698414"/>
                <a:pt x="959966" y="1685558"/>
              </a:cubicBezTo>
              <a:cubicBezTo>
                <a:pt x="969340" y="1672701"/>
                <a:pt x="981927" y="1663597"/>
                <a:pt x="997728" y="1658243"/>
              </a:cubicBezTo>
              <a:close/>
              <a:moveTo>
                <a:pt x="997728" y="1530898"/>
              </a:moveTo>
              <a:lnTo>
                <a:pt x="997728" y="1570667"/>
              </a:lnTo>
              <a:cubicBezTo>
                <a:pt x="951664" y="1575219"/>
                <a:pt x="914705" y="1592496"/>
                <a:pt x="886854" y="1622487"/>
              </a:cubicBezTo>
              <a:cubicBezTo>
                <a:pt x="859268" y="1652218"/>
                <a:pt x="845479" y="1689041"/>
                <a:pt x="845479" y="1732962"/>
              </a:cubicBezTo>
              <a:cubicBezTo>
                <a:pt x="845479" y="1776346"/>
                <a:pt x="857664" y="1813305"/>
                <a:pt x="882035" y="1843836"/>
              </a:cubicBezTo>
              <a:cubicBezTo>
                <a:pt x="906673" y="1874101"/>
                <a:pt x="945236" y="1896733"/>
                <a:pt x="997728" y="1911726"/>
              </a:cubicBezTo>
              <a:lnTo>
                <a:pt x="997728" y="2080048"/>
              </a:lnTo>
              <a:cubicBezTo>
                <a:pt x="983264" y="2073085"/>
                <a:pt x="970145" y="2061838"/>
                <a:pt x="958359" y="2046305"/>
              </a:cubicBezTo>
              <a:cubicBezTo>
                <a:pt x="946577" y="2030771"/>
                <a:pt x="938541" y="2012290"/>
                <a:pt x="934255" y="1990869"/>
              </a:cubicBezTo>
              <a:lnTo>
                <a:pt x="829406" y="2002116"/>
              </a:lnTo>
              <a:cubicBezTo>
                <a:pt x="837442" y="2054876"/>
                <a:pt x="855919" y="2095718"/>
                <a:pt x="884843" y="2124639"/>
              </a:cubicBezTo>
              <a:cubicBezTo>
                <a:pt x="913767" y="2153563"/>
                <a:pt x="951397" y="2170835"/>
                <a:pt x="997728" y="2176462"/>
              </a:cubicBezTo>
              <a:lnTo>
                <a:pt x="997728" y="2249574"/>
              </a:lnTo>
              <a:lnTo>
                <a:pt x="1055978" y="2249574"/>
              </a:lnTo>
              <a:lnTo>
                <a:pt x="1055978" y="2174451"/>
              </a:lnTo>
              <a:cubicBezTo>
                <a:pt x="1108203" y="2166954"/>
                <a:pt x="1148908" y="2146601"/>
                <a:pt x="1178099" y="2113392"/>
              </a:cubicBezTo>
              <a:cubicBezTo>
                <a:pt x="1207561" y="2080183"/>
                <a:pt x="1222289" y="2039342"/>
                <a:pt x="1222289" y="1990869"/>
              </a:cubicBezTo>
              <a:cubicBezTo>
                <a:pt x="1222289" y="1947480"/>
                <a:pt x="1210642" y="1911993"/>
                <a:pt x="1187340" y="1884411"/>
              </a:cubicBezTo>
              <a:cubicBezTo>
                <a:pt x="1164039" y="1856556"/>
                <a:pt x="1120252" y="1833930"/>
                <a:pt x="1055978" y="1816521"/>
              </a:cubicBezTo>
              <a:lnTo>
                <a:pt x="1055978" y="1659447"/>
              </a:lnTo>
              <a:cubicBezTo>
                <a:pt x="1081957" y="1670696"/>
                <a:pt x="1098025" y="1692122"/>
                <a:pt x="1104185" y="1723721"/>
              </a:cubicBezTo>
              <a:lnTo>
                <a:pt x="1205818" y="1710467"/>
              </a:lnTo>
              <a:cubicBezTo>
                <a:pt x="1198855" y="1670292"/>
                <a:pt x="1182788" y="1638288"/>
                <a:pt x="1157614" y="1614457"/>
              </a:cubicBezTo>
              <a:cubicBezTo>
                <a:pt x="1132438" y="1590353"/>
                <a:pt x="1098558" y="1575758"/>
                <a:pt x="1055978" y="1570667"/>
              </a:cubicBezTo>
              <a:lnTo>
                <a:pt x="1055978" y="1530898"/>
              </a:lnTo>
              <a:close/>
              <a:moveTo>
                <a:pt x="1033100" y="1329168"/>
              </a:moveTo>
              <a:cubicBezTo>
                <a:pt x="1330790" y="1329168"/>
                <a:pt x="1572115" y="1570493"/>
                <a:pt x="1572115" y="1868183"/>
              </a:cubicBezTo>
              <a:cubicBezTo>
                <a:pt x="1572115" y="2165873"/>
                <a:pt x="1330790" y="2407198"/>
                <a:pt x="1033100" y="2407198"/>
              </a:cubicBezTo>
              <a:cubicBezTo>
                <a:pt x="735410" y="2407198"/>
                <a:pt x="494085" y="2165873"/>
                <a:pt x="494085" y="1868183"/>
              </a:cubicBezTo>
              <a:cubicBezTo>
                <a:pt x="494085" y="1570493"/>
                <a:pt x="735410" y="1329168"/>
                <a:pt x="1033100" y="1329168"/>
              </a:cubicBezTo>
              <a:close/>
              <a:moveTo>
                <a:pt x="1033100" y="1223366"/>
              </a:moveTo>
              <a:cubicBezTo>
                <a:pt x="676978" y="1223366"/>
                <a:pt x="388283" y="1512061"/>
                <a:pt x="388283" y="1868183"/>
              </a:cubicBezTo>
              <a:cubicBezTo>
                <a:pt x="388283" y="2224306"/>
                <a:pt x="676978" y="2513000"/>
                <a:pt x="1033100" y="2513000"/>
              </a:cubicBezTo>
              <a:cubicBezTo>
                <a:pt x="1389223" y="2513000"/>
                <a:pt x="1677917" y="2224306"/>
                <a:pt x="1677917" y="1868183"/>
              </a:cubicBezTo>
              <a:cubicBezTo>
                <a:pt x="1677917" y="1512061"/>
                <a:pt x="1389223" y="1223366"/>
                <a:pt x="1033100" y="1223366"/>
              </a:cubicBezTo>
              <a:close/>
              <a:moveTo>
                <a:pt x="983183" y="335217"/>
              </a:moveTo>
              <a:cubicBezTo>
                <a:pt x="882977" y="335206"/>
                <a:pt x="793965" y="338025"/>
                <a:pt x="758164" y="343982"/>
              </a:cubicBezTo>
              <a:cubicBezTo>
                <a:pt x="350402" y="411872"/>
                <a:pt x="455610" y="870209"/>
                <a:pt x="488284" y="983732"/>
              </a:cubicBezTo>
              <a:lnTo>
                <a:pt x="488749" y="985270"/>
              </a:lnTo>
              <a:lnTo>
                <a:pt x="642599" y="899738"/>
              </a:lnTo>
              <a:cubicBezTo>
                <a:pt x="932499" y="777096"/>
                <a:pt x="1276563" y="811395"/>
                <a:pt x="1558297" y="983595"/>
              </a:cubicBezTo>
              <a:lnTo>
                <a:pt x="1599794" y="1014524"/>
              </a:lnTo>
              <a:lnTo>
                <a:pt x="1602875" y="999811"/>
              </a:lnTo>
              <a:cubicBezTo>
                <a:pt x="1622986" y="897761"/>
                <a:pt x="1684582" y="481792"/>
                <a:pt x="1383012" y="357449"/>
              </a:cubicBezTo>
              <a:cubicBezTo>
                <a:pt x="1348307" y="343121"/>
                <a:pt x="1150195" y="335237"/>
                <a:pt x="983183" y="335217"/>
              </a:cubicBezTo>
              <a:close/>
              <a:moveTo>
                <a:pt x="1024198" y="0"/>
              </a:moveTo>
              <a:cubicBezTo>
                <a:pt x="1194350" y="-9"/>
                <a:pt x="1373246" y="11626"/>
                <a:pt x="1463633" y="41646"/>
              </a:cubicBezTo>
              <a:cubicBezTo>
                <a:pt x="2185740" y="281592"/>
                <a:pt x="1890480" y="1128639"/>
                <a:pt x="1850752" y="1233583"/>
              </a:cubicBezTo>
              <a:lnTo>
                <a:pt x="1848614" y="1239078"/>
              </a:lnTo>
              <a:lnTo>
                <a:pt x="1936700" y="1360517"/>
              </a:lnTo>
              <a:cubicBezTo>
                <a:pt x="2317913" y="1979920"/>
                <a:pt x="1852931" y="2700800"/>
                <a:pt x="1430019" y="2823279"/>
              </a:cubicBezTo>
              <a:cubicBezTo>
                <a:pt x="1158841" y="2901805"/>
                <a:pt x="730150" y="2876713"/>
                <a:pt x="583477" y="2796381"/>
              </a:cubicBezTo>
              <a:cubicBezTo>
                <a:pt x="191527" y="2581783"/>
                <a:pt x="-215596" y="2019195"/>
                <a:pt x="131162" y="1394268"/>
              </a:cubicBezTo>
              <a:lnTo>
                <a:pt x="216742" y="1260356"/>
              </a:lnTo>
              <a:lnTo>
                <a:pt x="216557" y="1259844"/>
              </a:lnTo>
              <a:cubicBezTo>
                <a:pt x="177285" y="1148690"/>
                <a:pt x="-113420" y="252456"/>
                <a:pt x="637229" y="28215"/>
              </a:cubicBezTo>
              <a:cubicBezTo>
                <a:pt x="692639" y="11662"/>
                <a:pt x="854047" y="9"/>
                <a:pt x="1024198" y="0"/>
              </a:cubicBezTo>
              <a:close/>
            </a:path>
          </a:pathLst>
        </a:custGeom>
        <a:solidFill>
          <a:sysClr val="window" lastClr="FFFFFF"/>
        </a:soli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276340</xdr:colOff>
      <xdr:row>27</xdr:row>
      <xdr:rowOff>178099</xdr:rowOff>
    </xdr:from>
    <xdr:to>
      <xdr:col>0</xdr:col>
      <xdr:colOff>528340</xdr:colOff>
      <xdr:row>29</xdr:row>
      <xdr:rowOff>35054</xdr:rowOff>
    </xdr:to>
    <xdr:sp macro="" textlink="">
      <xdr:nvSpPr>
        <xdr:cNvPr id="32" name="Freeform: Shape 38">
          <a:extLst>
            <a:ext uri="{FF2B5EF4-FFF2-40B4-BE49-F238E27FC236}">
              <a16:creationId xmlns:a16="http://schemas.microsoft.com/office/drawing/2014/main" id="{00000000-0008-0000-0300-000020000000}"/>
            </a:ext>
          </a:extLst>
        </xdr:cNvPr>
        <xdr:cNvSpPr/>
      </xdr:nvSpPr>
      <xdr:spPr>
        <a:xfrm>
          <a:off x="276340" y="5664499"/>
          <a:ext cx="252000" cy="263355"/>
        </a:xfrm>
        <a:custGeom>
          <a:avLst/>
          <a:gdLst>
            <a:gd name="connsiteX0" fmla="*/ 669226 w 3163078"/>
            <a:gd name="connsiteY0" fmla="*/ 1658213 h 3163078"/>
            <a:gd name="connsiteX1" fmla="*/ 244013 w 3163078"/>
            <a:gd name="connsiteY1" fmla="*/ 1658214 h 3163078"/>
            <a:gd name="connsiteX2" fmla="*/ 247066 w 3163078"/>
            <a:gd name="connsiteY2" fmla="*/ 1718689 h 3163078"/>
            <a:gd name="connsiteX3" fmla="*/ 1444389 w 3163078"/>
            <a:gd name="connsiteY3" fmla="*/ 2916012 h 3163078"/>
            <a:gd name="connsiteX4" fmla="*/ 1499820 w 3163078"/>
            <a:gd name="connsiteY4" fmla="*/ 2918811 h 3163078"/>
            <a:gd name="connsiteX5" fmla="*/ 1495533 w 3163078"/>
            <a:gd name="connsiteY5" fmla="*/ 2890456 h 3163078"/>
            <a:gd name="connsiteX6" fmla="*/ 1495533 w 3163078"/>
            <a:gd name="connsiteY6" fmla="*/ 2467055 h 3163078"/>
            <a:gd name="connsiteX7" fmla="*/ 1479365 w 3163078"/>
            <a:gd name="connsiteY7" fmla="*/ 2466239 h 3163078"/>
            <a:gd name="connsiteX8" fmla="*/ 682606 w 3163078"/>
            <a:gd name="connsiteY8" fmla="*/ 1745881 h 3163078"/>
            <a:gd name="connsiteX9" fmla="*/ 2919066 w 3163078"/>
            <a:gd name="connsiteY9" fmla="*/ 1658213 h 3163078"/>
            <a:gd name="connsiteX10" fmla="*/ 2475189 w 3163078"/>
            <a:gd name="connsiteY10" fmla="*/ 1658214 h 3163078"/>
            <a:gd name="connsiteX11" fmla="*/ 2461810 w 3163078"/>
            <a:gd name="connsiteY11" fmla="*/ 1745881 h 3163078"/>
            <a:gd name="connsiteX12" fmla="*/ 1755212 w 3163078"/>
            <a:gd name="connsiteY12" fmla="*/ 2452479 h 3163078"/>
            <a:gd name="connsiteX13" fmla="*/ 1704868 w 3163078"/>
            <a:gd name="connsiteY13" fmla="*/ 2460162 h 3163078"/>
            <a:gd name="connsiteX14" fmla="*/ 1704868 w 3163078"/>
            <a:gd name="connsiteY14" fmla="*/ 2890456 h 3163078"/>
            <a:gd name="connsiteX15" fmla="*/ 1700869 w 3163078"/>
            <a:gd name="connsiteY15" fmla="*/ 2916912 h 3163078"/>
            <a:gd name="connsiteX16" fmla="*/ 1718689 w 3163078"/>
            <a:gd name="connsiteY16" fmla="*/ 2916012 h 3163078"/>
            <a:gd name="connsiteX17" fmla="*/ 2916012 w 3163078"/>
            <a:gd name="connsiteY17" fmla="*/ 1718689 h 3163078"/>
            <a:gd name="connsiteX18" fmla="*/ 1665289 w 3163078"/>
            <a:gd name="connsiteY18" fmla="*/ 1628851 h 3163078"/>
            <a:gd name="connsiteX19" fmla="*/ 1665289 w 3163078"/>
            <a:gd name="connsiteY19" fmla="*/ 1751958 h 3163078"/>
            <a:gd name="connsiteX20" fmla="*/ 1741278 w 3163078"/>
            <a:gd name="connsiteY20" fmla="*/ 1733090 h 3163078"/>
            <a:gd name="connsiteX21" fmla="*/ 1772883 w 3163078"/>
            <a:gd name="connsiteY21" fmla="*/ 1689910 h 3163078"/>
            <a:gd name="connsiteX22" fmla="*/ 1736568 w 3163078"/>
            <a:gd name="connsiteY22" fmla="*/ 1647194 h 3163078"/>
            <a:gd name="connsiteX23" fmla="*/ 1665289 w 3163078"/>
            <a:gd name="connsiteY23" fmla="*/ 1628851 h 3163078"/>
            <a:gd name="connsiteX24" fmla="*/ 1561731 w 3163078"/>
            <a:gd name="connsiteY24" fmla="*/ 1346387 h 3163078"/>
            <a:gd name="connsiteX25" fmla="*/ 1481712 w 3163078"/>
            <a:gd name="connsiteY25" fmla="*/ 1363245 h 3163078"/>
            <a:gd name="connsiteX26" fmla="*/ 1446742 w 3163078"/>
            <a:gd name="connsiteY26" fmla="*/ 1402960 h 3163078"/>
            <a:gd name="connsiteX27" fmla="*/ 1469607 w 3163078"/>
            <a:gd name="connsiteY27" fmla="*/ 1439212 h 3163078"/>
            <a:gd name="connsiteX28" fmla="*/ 1561731 w 3163078"/>
            <a:gd name="connsiteY28" fmla="*/ 1461544 h 3163078"/>
            <a:gd name="connsiteX29" fmla="*/ 1550971 w 3163078"/>
            <a:gd name="connsiteY29" fmla="*/ 1101133 h 3163078"/>
            <a:gd name="connsiteX30" fmla="*/ 1667979 w 3163078"/>
            <a:gd name="connsiteY30" fmla="*/ 1101133 h 3163078"/>
            <a:gd name="connsiteX31" fmla="*/ 1667979 w 3163078"/>
            <a:gd name="connsiteY31" fmla="*/ 1215826 h 3163078"/>
            <a:gd name="connsiteX32" fmla="*/ 1812557 w 3163078"/>
            <a:gd name="connsiteY32" fmla="*/ 1228724 h 3163078"/>
            <a:gd name="connsiteX33" fmla="*/ 1943685 w 3163078"/>
            <a:gd name="connsiteY33" fmla="*/ 1254026 h 3163078"/>
            <a:gd name="connsiteX34" fmla="*/ 1943685 w 3163078"/>
            <a:gd name="connsiteY34" fmla="*/ 1397021 h 3163078"/>
            <a:gd name="connsiteX35" fmla="*/ 1914100 w 3163078"/>
            <a:gd name="connsiteY35" fmla="*/ 1397021 h 3163078"/>
            <a:gd name="connsiteX36" fmla="*/ 1803142 w 3163078"/>
            <a:gd name="connsiteY36" fmla="*/ 1363245 h 3163078"/>
            <a:gd name="connsiteX37" fmla="*/ 1667979 w 3163078"/>
            <a:gd name="connsiteY37" fmla="*/ 1346387 h 3163078"/>
            <a:gd name="connsiteX38" fmla="*/ 1667979 w 3163078"/>
            <a:gd name="connsiteY38" fmla="*/ 1472463 h 3163078"/>
            <a:gd name="connsiteX39" fmla="*/ 1721778 w 3163078"/>
            <a:gd name="connsiteY39" fmla="*/ 1480412 h 3163078"/>
            <a:gd name="connsiteX40" fmla="*/ 1945030 w 3163078"/>
            <a:gd name="connsiteY40" fmla="*/ 1546914 h 3163078"/>
            <a:gd name="connsiteX41" fmla="*/ 2016984 w 3163078"/>
            <a:gd name="connsiteY41" fmla="*/ 1670547 h 3163078"/>
            <a:gd name="connsiteX42" fmla="*/ 1921495 w 3163078"/>
            <a:gd name="connsiteY42" fmla="*/ 1814501 h 3163078"/>
            <a:gd name="connsiteX43" fmla="*/ 1667979 w 3163078"/>
            <a:gd name="connsiteY43" fmla="*/ 1882519 h 3163078"/>
            <a:gd name="connsiteX44" fmla="*/ 1667979 w 3163078"/>
            <a:gd name="connsiteY44" fmla="*/ 2062725 h 3163078"/>
            <a:gd name="connsiteX45" fmla="*/ 1550971 w 3163078"/>
            <a:gd name="connsiteY45" fmla="*/ 2062725 h 3163078"/>
            <a:gd name="connsiteX46" fmla="*/ 1550971 w 3163078"/>
            <a:gd name="connsiteY46" fmla="*/ 1885489 h 3163078"/>
            <a:gd name="connsiteX47" fmla="*/ 1376808 w 3163078"/>
            <a:gd name="connsiteY47" fmla="*/ 1872095 h 3163078"/>
            <a:gd name="connsiteX48" fmla="*/ 1222145 w 3163078"/>
            <a:gd name="connsiteY48" fmla="*/ 1839803 h 3163078"/>
            <a:gd name="connsiteX49" fmla="*/ 1222145 w 3163078"/>
            <a:gd name="connsiteY49" fmla="*/ 1694859 h 3163078"/>
            <a:gd name="connsiteX50" fmla="*/ 1252405 w 3163078"/>
            <a:gd name="connsiteY50" fmla="*/ 1694859 h 3163078"/>
            <a:gd name="connsiteX51" fmla="*/ 1394293 w 3163078"/>
            <a:gd name="connsiteY51" fmla="*/ 1734575 h 3163078"/>
            <a:gd name="connsiteX52" fmla="*/ 1554336 w 3163078"/>
            <a:gd name="connsiteY52" fmla="*/ 1753938 h 3163078"/>
            <a:gd name="connsiteX53" fmla="*/ 1554336 w 3163078"/>
            <a:gd name="connsiteY53" fmla="*/ 1617902 h 3163078"/>
            <a:gd name="connsiteX54" fmla="*/ 1489107 w 3163078"/>
            <a:gd name="connsiteY54" fmla="*/ 1606983 h 3163078"/>
            <a:gd name="connsiteX55" fmla="*/ 1374789 w 3163078"/>
            <a:gd name="connsiteY55" fmla="*/ 1582671 h 3163078"/>
            <a:gd name="connsiteX56" fmla="*/ 1285355 w 3163078"/>
            <a:gd name="connsiteY56" fmla="*/ 1545925 h 3163078"/>
            <a:gd name="connsiteX57" fmla="*/ 1226851 w 3163078"/>
            <a:gd name="connsiteY57" fmla="*/ 1489847 h 3163078"/>
            <a:gd name="connsiteX58" fmla="*/ 1206006 w 3163078"/>
            <a:gd name="connsiteY58" fmla="*/ 1406950 h 3163078"/>
            <a:gd name="connsiteX59" fmla="*/ 1297459 w 3163078"/>
            <a:gd name="connsiteY59" fmla="*/ 1280349 h 3163078"/>
            <a:gd name="connsiteX60" fmla="*/ 1550971 w 3163078"/>
            <a:gd name="connsiteY60" fmla="*/ 1216816 h 3163078"/>
            <a:gd name="connsiteX61" fmla="*/ 1495533 w 3163078"/>
            <a:gd name="connsiteY61" fmla="*/ 796577 h 3163078"/>
            <a:gd name="connsiteX62" fmla="*/ 1493463 w 3163078"/>
            <a:gd name="connsiteY62" fmla="*/ 796681 h 3163078"/>
            <a:gd name="connsiteX63" fmla="*/ 817683 w 3163078"/>
            <a:gd name="connsiteY63" fmla="*/ 1407661 h 3163078"/>
            <a:gd name="connsiteX64" fmla="*/ 811308 w 3163078"/>
            <a:gd name="connsiteY64" fmla="*/ 1449430 h 3163078"/>
            <a:gd name="connsiteX65" fmla="*/ 838783 w 3163078"/>
            <a:gd name="connsiteY65" fmla="*/ 1453584 h 3163078"/>
            <a:gd name="connsiteX66" fmla="*/ 904101 w 3163078"/>
            <a:gd name="connsiteY66" fmla="*/ 1512804 h 3163078"/>
            <a:gd name="connsiteX67" fmla="*/ 912326 w 3163078"/>
            <a:gd name="connsiteY67" fmla="*/ 1553546 h 3163078"/>
            <a:gd name="connsiteX68" fmla="*/ 904101 w 3163078"/>
            <a:gd name="connsiteY68" fmla="*/ 1594287 h 3163078"/>
            <a:gd name="connsiteX69" fmla="*/ 838783 w 3163078"/>
            <a:gd name="connsiteY69" fmla="*/ 1653508 h 3163078"/>
            <a:gd name="connsiteX70" fmla="*/ 808524 w 3163078"/>
            <a:gd name="connsiteY70" fmla="*/ 1658082 h 3163078"/>
            <a:gd name="connsiteX71" fmla="*/ 817683 w 3163078"/>
            <a:gd name="connsiteY71" fmla="*/ 1718094 h 3163078"/>
            <a:gd name="connsiteX72" fmla="*/ 1493463 w 3163078"/>
            <a:gd name="connsiteY72" fmla="*/ 2329073 h 3163078"/>
            <a:gd name="connsiteX73" fmla="*/ 1495532 w 3163078"/>
            <a:gd name="connsiteY73" fmla="*/ 2329177 h 3163078"/>
            <a:gd name="connsiteX74" fmla="*/ 1495532 w 3163078"/>
            <a:gd name="connsiteY74" fmla="*/ 2306691 h 3163078"/>
            <a:gd name="connsiteX75" fmla="*/ 1600200 w 3163078"/>
            <a:gd name="connsiteY75" fmla="*/ 2202023 h 3163078"/>
            <a:gd name="connsiteX76" fmla="*/ 1600200 w 3163078"/>
            <a:gd name="connsiteY76" fmla="*/ 2202022 h 3163078"/>
            <a:gd name="connsiteX77" fmla="*/ 1704868 w 3163078"/>
            <a:gd name="connsiteY77" fmla="*/ 2306690 h 3163078"/>
            <a:gd name="connsiteX78" fmla="*/ 1704868 w 3163078"/>
            <a:gd name="connsiteY78" fmla="*/ 2320844 h 3163078"/>
            <a:gd name="connsiteX79" fmla="*/ 1727425 w 3163078"/>
            <a:gd name="connsiteY79" fmla="*/ 2317402 h 3163078"/>
            <a:gd name="connsiteX80" fmla="*/ 2326733 w 3163078"/>
            <a:gd name="connsiteY80" fmla="*/ 1718094 h 3163078"/>
            <a:gd name="connsiteX81" fmla="*/ 2335902 w 3163078"/>
            <a:gd name="connsiteY81" fmla="*/ 1658015 h 3163078"/>
            <a:gd name="connsiteX82" fmla="*/ 2296149 w 3163078"/>
            <a:gd name="connsiteY82" fmla="*/ 1649989 h 3163078"/>
            <a:gd name="connsiteX83" fmla="*/ 2232222 w 3163078"/>
            <a:gd name="connsiteY83" fmla="*/ 1553546 h 3163078"/>
            <a:gd name="connsiteX84" fmla="*/ 2232221 w 3163078"/>
            <a:gd name="connsiteY84" fmla="*/ 1553546 h 3163078"/>
            <a:gd name="connsiteX85" fmla="*/ 2296148 w 3163078"/>
            <a:gd name="connsiteY85" fmla="*/ 1457103 h 3163078"/>
            <a:gd name="connsiteX86" fmla="*/ 2333139 w 3163078"/>
            <a:gd name="connsiteY86" fmla="*/ 1449635 h 3163078"/>
            <a:gd name="connsiteX87" fmla="*/ 2326733 w 3163078"/>
            <a:gd name="connsiteY87" fmla="*/ 1407661 h 3163078"/>
            <a:gd name="connsiteX88" fmla="*/ 1727425 w 3163078"/>
            <a:gd name="connsiteY88" fmla="*/ 808352 h 3163078"/>
            <a:gd name="connsiteX89" fmla="*/ 1704868 w 3163078"/>
            <a:gd name="connsiteY89" fmla="*/ 804910 h 3163078"/>
            <a:gd name="connsiteX90" fmla="*/ 1704868 w 3163078"/>
            <a:gd name="connsiteY90" fmla="*/ 809732 h 3163078"/>
            <a:gd name="connsiteX91" fmla="*/ 1640942 w 3163078"/>
            <a:gd name="connsiteY91" fmla="*/ 906175 h 3163078"/>
            <a:gd name="connsiteX92" fmla="*/ 1600201 w 3163078"/>
            <a:gd name="connsiteY92" fmla="*/ 914400 h 3163078"/>
            <a:gd name="connsiteX93" fmla="*/ 1559460 w 3163078"/>
            <a:gd name="connsiteY93" fmla="*/ 906175 h 3163078"/>
            <a:gd name="connsiteX94" fmla="*/ 1495533 w 3163078"/>
            <a:gd name="connsiteY94" fmla="*/ 809732 h 3163078"/>
            <a:gd name="connsiteX95" fmla="*/ 1704868 w 3163078"/>
            <a:gd name="connsiteY95" fmla="*/ 246369 h 3163078"/>
            <a:gd name="connsiteX96" fmla="*/ 1704868 w 3163078"/>
            <a:gd name="connsiteY96" fmla="*/ 665592 h 3163078"/>
            <a:gd name="connsiteX97" fmla="*/ 1755212 w 3163078"/>
            <a:gd name="connsiteY97" fmla="*/ 673275 h 3163078"/>
            <a:gd name="connsiteX98" fmla="*/ 2461810 w 3163078"/>
            <a:gd name="connsiteY98" fmla="*/ 1379873 h 3163078"/>
            <a:gd name="connsiteX99" fmla="*/ 2472341 w 3163078"/>
            <a:gd name="connsiteY99" fmla="*/ 1448878 h 3163078"/>
            <a:gd name="connsiteX100" fmla="*/ 2916238 w 3163078"/>
            <a:gd name="connsiteY100" fmla="*/ 1448878 h 3163078"/>
            <a:gd name="connsiteX101" fmla="*/ 2916012 w 3163078"/>
            <a:gd name="connsiteY101" fmla="*/ 1444389 h 3163078"/>
            <a:gd name="connsiteX102" fmla="*/ 1718689 w 3163078"/>
            <a:gd name="connsiteY102" fmla="*/ 247066 h 3163078"/>
            <a:gd name="connsiteX103" fmla="*/ 1495532 w 3163078"/>
            <a:gd name="connsiteY103" fmla="*/ 244484 h 3163078"/>
            <a:gd name="connsiteX104" fmla="*/ 1444389 w 3163078"/>
            <a:gd name="connsiteY104" fmla="*/ 247066 h 3163078"/>
            <a:gd name="connsiteX105" fmla="*/ 247066 w 3163078"/>
            <a:gd name="connsiteY105" fmla="*/ 1444389 h 3163078"/>
            <a:gd name="connsiteX106" fmla="*/ 246840 w 3163078"/>
            <a:gd name="connsiteY106" fmla="*/ 1448878 h 3163078"/>
            <a:gd name="connsiteX107" fmla="*/ 672075 w 3163078"/>
            <a:gd name="connsiteY107" fmla="*/ 1448878 h 3163078"/>
            <a:gd name="connsiteX108" fmla="*/ 682606 w 3163078"/>
            <a:gd name="connsiteY108" fmla="*/ 1379873 h 3163078"/>
            <a:gd name="connsiteX109" fmla="*/ 1479365 w 3163078"/>
            <a:gd name="connsiteY109" fmla="*/ 659515 h 3163078"/>
            <a:gd name="connsiteX110" fmla="*/ 1495533 w 3163078"/>
            <a:gd name="connsiteY110" fmla="*/ 658699 h 3163078"/>
            <a:gd name="connsiteX111" fmla="*/ 1581539 w 3163078"/>
            <a:gd name="connsiteY111" fmla="*/ 0 h 3163078"/>
            <a:gd name="connsiteX112" fmla="*/ 3163078 w 3163078"/>
            <a:gd name="connsiteY112" fmla="*/ 1581539 h 3163078"/>
            <a:gd name="connsiteX113" fmla="*/ 1581539 w 3163078"/>
            <a:gd name="connsiteY113" fmla="*/ 3163078 h 3163078"/>
            <a:gd name="connsiteX114" fmla="*/ 0 w 3163078"/>
            <a:gd name="connsiteY114" fmla="*/ 1581539 h 3163078"/>
            <a:gd name="connsiteX115" fmla="*/ 1581539 w 3163078"/>
            <a:gd name="connsiteY115" fmla="*/ 0 h 31630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Lst>
          <a:rect l="l" t="t" r="r" b="b"/>
          <a:pathLst>
            <a:path w="3163078" h="3163078">
              <a:moveTo>
                <a:pt x="669226" y="1658213"/>
              </a:moveTo>
              <a:lnTo>
                <a:pt x="244013" y="1658214"/>
              </a:lnTo>
              <a:lnTo>
                <a:pt x="247066" y="1718689"/>
              </a:lnTo>
              <a:cubicBezTo>
                <a:pt x="311180" y="2350004"/>
                <a:pt x="813074" y="2851898"/>
                <a:pt x="1444389" y="2916012"/>
              </a:cubicBezTo>
              <a:lnTo>
                <a:pt x="1499820" y="2918811"/>
              </a:lnTo>
              <a:lnTo>
                <a:pt x="1495533" y="2890456"/>
              </a:lnTo>
              <a:lnTo>
                <a:pt x="1495533" y="2467055"/>
              </a:lnTo>
              <a:lnTo>
                <a:pt x="1479365" y="2466239"/>
              </a:lnTo>
              <a:cubicBezTo>
                <a:pt x="1082527" y="2425938"/>
                <a:pt x="761230" y="2130108"/>
                <a:pt x="682606" y="1745881"/>
              </a:cubicBezTo>
              <a:close/>
              <a:moveTo>
                <a:pt x="2919066" y="1658213"/>
              </a:moveTo>
              <a:lnTo>
                <a:pt x="2475189" y="1658214"/>
              </a:lnTo>
              <a:lnTo>
                <a:pt x="2461810" y="1745881"/>
              </a:lnTo>
              <a:cubicBezTo>
                <a:pt x="2389234" y="2100552"/>
                <a:pt x="2109883" y="2379903"/>
                <a:pt x="1755212" y="2452479"/>
              </a:cubicBezTo>
              <a:lnTo>
                <a:pt x="1704868" y="2460162"/>
              </a:lnTo>
              <a:lnTo>
                <a:pt x="1704868" y="2890456"/>
              </a:lnTo>
              <a:lnTo>
                <a:pt x="1700869" y="2916912"/>
              </a:lnTo>
              <a:lnTo>
                <a:pt x="1718689" y="2916012"/>
              </a:lnTo>
              <a:cubicBezTo>
                <a:pt x="2350004" y="2851898"/>
                <a:pt x="2851898" y="2350004"/>
                <a:pt x="2916012" y="1718689"/>
              </a:cubicBezTo>
              <a:close/>
              <a:moveTo>
                <a:pt x="1665289" y="1628851"/>
              </a:moveTo>
              <a:lnTo>
                <a:pt x="1665289" y="1751958"/>
              </a:lnTo>
              <a:cubicBezTo>
                <a:pt x="1694879" y="1748958"/>
                <a:pt x="1720207" y="1742679"/>
                <a:pt x="1741278" y="1733090"/>
              </a:cubicBezTo>
              <a:cubicBezTo>
                <a:pt x="1762349" y="1723161"/>
                <a:pt x="1772883" y="1708747"/>
                <a:pt x="1772883" y="1689910"/>
              </a:cubicBezTo>
              <a:cubicBezTo>
                <a:pt x="1772883" y="1670702"/>
                <a:pt x="1760778" y="1656473"/>
                <a:pt x="1736568" y="1647194"/>
              </a:cubicBezTo>
              <a:cubicBezTo>
                <a:pt x="1712812" y="1637605"/>
                <a:pt x="1689050" y="1631481"/>
                <a:pt x="1665289" y="1628851"/>
              </a:cubicBezTo>
              <a:close/>
              <a:moveTo>
                <a:pt x="1561731" y="1346387"/>
              </a:moveTo>
              <a:cubicBezTo>
                <a:pt x="1532146" y="1348026"/>
                <a:pt x="1505469" y="1353656"/>
                <a:pt x="1481712" y="1363245"/>
              </a:cubicBezTo>
              <a:cubicBezTo>
                <a:pt x="1458399" y="1372524"/>
                <a:pt x="1446742" y="1385763"/>
                <a:pt x="1446742" y="1402960"/>
              </a:cubicBezTo>
              <a:cubicBezTo>
                <a:pt x="1446742" y="1418519"/>
                <a:pt x="1454364" y="1430613"/>
                <a:pt x="1469607" y="1439212"/>
              </a:cubicBezTo>
              <a:cubicBezTo>
                <a:pt x="1484850" y="1447811"/>
                <a:pt x="1515558" y="1455265"/>
                <a:pt x="1561731" y="1461544"/>
              </a:cubicBezTo>
              <a:close/>
              <a:moveTo>
                <a:pt x="1550971" y="1101133"/>
              </a:moveTo>
              <a:lnTo>
                <a:pt x="1667979" y="1101133"/>
              </a:lnTo>
              <a:lnTo>
                <a:pt x="1667979" y="1215826"/>
              </a:lnTo>
              <a:cubicBezTo>
                <a:pt x="1709225" y="1217125"/>
                <a:pt x="1757418" y="1221424"/>
                <a:pt x="1812557" y="1228724"/>
              </a:cubicBezTo>
              <a:cubicBezTo>
                <a:pt x="1868149" y="1235993"/>
                <a:pt x="1911859" y="1244437"/>
                <a:pt x="1943685" y="1254026"/>
              </a:cubicBezTo>
              <a:lnTo>
                <a:pt x="1943685" y="1397021"/>
              </a:lnTo>
              <a:lnTo>
                <a:pt x="1914100" y="1397021"/>
              </a:lnTo>
              <a:cubicBezTo>
                <a:pt x="1882269" y="1383443"/>
                <a:pt x="1845285" y="1372184"/>
                <a:pt x="1803142" y="1363245"/>
              </a:cubicBezTo>
              <a:cubicBezTo>
                <a:pt x="1761004" y="1354305"/>
                <a:pt x="1715950" y="1348676"/>
                <a:pt x="1667979" y="1346387"/>
              </a:cubicBezTo>
              <a:lnTo>
                <a:pt x="1667979" y="1472463"/>
              </a:lnTo>
              <a:lnTo>
                <a:pt x="1721778" y="1480412"/>
              </a:lnTo>
              <a:cubicBezTo>
                <a:pt x="1823095" y="1494981"/>
                <a:pt x="1897512" y="1517128"/>
                <a:pt x="1945030" y="1546914"/>
              </a:cubicBezTo>
              <a:cubicBezTo>
                <a:pt x="1993001" y="1576392"/>
                <a:pt x="2016984" y="1617592"/>
                <a:pt x="2016984" y="1670547"/>
              </a:cubicBezTo>
              <a:cubicBezTo>
                <a:pt x="2016984" y="1726471"/>
                <a:pt x="1985153" y="1774445"/>
                <a:pt x="1921495" y="1814501"/>
              </a:cubicBezTo>
              <a:cubicBezTo>
                <a:pt x="1857838" y="1854557"/>
                <a:pt x="1773331" y="1877230"/>
                <a:pt x="1667979" y="1882519"/>
              </a:cubicBezTo>
              <a:lnTo>
                <a:pt x="1667979" y="2062725"/>
              </a:lnTo>
              <a:lnTo>
                <a:pt x="1550971" y="2062725"/>
              </a:lnTo>
              <a:lnTo>
                <a:pt x="1550971" y="1885489"/>
              </a:lnTo>
              <a:cubicBezTo>
                <a:pt x="1500763" y="1885148"/>
                <a:pt x="1442708" y="1880694"/>
                <a:pt x="1376808" y="1872095"/>
              </a:cubicBezTo>
              <a:cubicBezTo>
                <a:pt x="1310909" y="1863496"/>
                <a:pt x="1259352" y="1852732"/>
                <a:pt x="1222145" y="1839803"/>
              </a:cubicBezTo>
              <a:lnTo>
                <a:pt x="1222145" y="1694859"/>
              </a:lnTo>
              <a:lnTo>
                <a:pt x="1252405" y="1694859"/>
              </a:lnTo>
              <a:cubicBezTo>
                <a:pt x="1293646" y="1711407"/>
                <a:pt x="1340942" y="1724646"/>
                <a:pt x="1394293" y="1734575"/>
              </a:cubicBezTo>
              <a:cubicBezTo>
                <a:pt x="1448087" y="1744503"/>
                <a:pt x="1501438" y="1750968"/>
                <a:pt x="1554336" y="1753938"/>
              </a:cubicBezTo>
              <a:lnTo>
                <a:pt x="1554336" y="1617902"/>
              </a:lnTo>
              <a:lnTo>
                <a:pt x="1489107" y="1606983"/>
              </a:lnTo>
              <a:cubicBezTo>
                <a:pt x="1447865" y="1600054"/>
                <a:pt x="1409758" y="1591951"/>
                <a:pt x="1374789" y="1582671"/>
              </a:cubicBezTo>
              <a:cubicBezTo>
                <a:pt x="1340272" y="1573392"/>
                <a:pt x="1310461" y="1561174"/>
                <a:pt x="1285355" y="1545925"/>
              </a:cubicBezTo>
              <a:cubicBezTo>
                <a:pt x="1260249" y="1530707"/>
                <a:pt x="1240749" y="1512024"/>
                <a:pt x="1226851" y="1489847"/>
              </a:cubicBezTo>
              <a:cubicBezTo>
                <a:pt x="1212953" y="1467328"/>
                <a:pt x="1206006" y="1439707"/>
                <a:pt x="1206006" y="1406950"/>
              </a:cubicBezTo>
              <a:cubicBezTo>
                <a:pt x="1206006" y="1357615"/>
                <a:pt x="1236487" y="1315425"/>
                <a:pt x="1297459" y="1280349"/>
              </a:cubicBezTo>
              <a:cubicBezTo>
                <a:pt x="1358427" y="1245272"/>
                <a:pt x="1442934" y="1224084"/>
                <a:pt x="1550971" y="1216816"/>
              </a:cubicBezTo>
              <a:close/>
              <a:moveTo>
                <a:pt x="1495533" y="796577"/>
              </a:moveTo>
              <a:lnTo>
                <a:pt x="1493463" y="796681"/>
              </a:lnTo>
              <a:cubicBezTo>
                <a:pt x="1156880" y="830863"/>
                <a:pt x="884369" y="1081774"/>
                <a:pt x="817683" y="1407661"/>
              </a:cubicBezTo>
              <a:lnTo>
                <a:pt x="811308" y="1449430"/>
              </a:lnTo>
              <a:lnTo>
                <a:pt x="838783" y="1453584"/>
              </a:lnTo>
              <a:cubicBezTo>
                <a:pt x="868280" y="1462758"/>
                <a:pt x="892184" y="1484629"/>
                <a:pt x="904101" y="1512804"/>
              </a:cubicBezTo>
              <a:lnTo>
                <a:pt x="912326" y="1553546"/>
              </a:lnTo>
              <a:lnTo>
                <a:pt x="904101" y="1594287"/>
              </a:lnTo>
              <a:cubicBezTo>
                <a:pt x="892184" y="1622462"/>
                <a:pt x="868280" y="1644333"/>
                <a:pt x="838783" y="1653508"/>
              </a:cubicBezTo>
              <a:lnTo>
                <a:pt x="808524" y="1658082"/>
              </a:lnTo>
              <a:lnTo>
                <a:pt x="817683" y="1718094"/>
              </a:lnTo>
              <a:cubicBezTo>
                <a:pt x="884369" y="2043980"/>
                <a:pt x="1156880" y="2294891"/>
                <a:pt x="1493463" y="2329073"/>
              </a:cubicBezTo>
              <a:lnTo>
                <a:pt x="1495532" y="2329177"/>
              </a:lnTo>
              <a:lnTo>
                <a:pt x="1495532" y="2306691"/>
              </a:lnTo>
              <a:cubicBezTo>
                <a:pt x="1495532" y="2248884"/>
                <a:pt x="1542393" y="2202023"/>
                <a:pt x="1600200" y="2202023"/>
              </a:cubicBezTo>
              <a:lnTo>
                <a:pt x="1600200" y="2202022"/>
              </a:lnTo>
              <a:cubicBezTo>
                <a:pt x="1658007" y="2202022"/>
                <a:pt x="1704868" y="2248883"/>
                <a:pt x="1704868" y="2306690"/>
              </a:cubicBezTo>
              <a:lnTo>
                <a:pt x="1704868" y="2320844"/>
              </a:lnTo>
              <a:lnTo>
                <a:pt x="1727425" y="2317402"/>
              </a:lnTo>
              <a:cubicBezTo>
                <a:pt x="2028243" y="2255846"/>
                <a:pt x="2265177" y="2018912"/>
                <a:pt x="2326733" y="1718094"/>
              </a:cubicBezTo>
              <a:lnTo>
                <a:pt x="2335902" y="1658015"/>
              </a:lnTo>
              <a:lnTo>
                <a:pt x="2296149" y="1649989"/>
              </a:lnTo>
              <a:cubicBezTo>
                <a:pt x="2258582" y="1634099"/>
                <a:pt x="2232222" y="1596901"/>
                <a:pt x="2232222" y="1553546"/>
              </a:cubicBezTo>
              <a:lnTo>
                <a:pt x="2232221" y="1553546"/>
              </a:lnTo>
              <a:cubicBezTo>
                <a:pt x="2232221" y="1510191"/>
                <a:pt x="2258581" y="1472993"/>
                <a:pt x="2296148" y="1457103"/>
              </a:cubicBezTo>
              <a:lnTo>
                <a:pt x="2333139" y="1449635"/>
              </a:lnTo>
              <a:lnTo>
                <a:pt x="2326733" y="1407661"/>
              </a:lnTo>
              <a:cubicBezTo>
                <a:pt x="2265177" y="1106843"/>
                <a:pt x="2028243" y="869908"/>
                <a:pt x="1727425" y="808352"/>
              </a:cubicBezTo>
              <a:lnTo>
                <a:pt x="1704868" y="804910"/>
              </a:lnTo>
              <a:lnTo>
                <a:pt x="1704868" y="809732"/>
              </a:lnTo>
              <a:cubicBezTo>
                <a:pt x="1704868" y="853087"/>
                <a:pt x="1678509" y="890285"/>
                <a:pt x="1640942" y="906175"/>
              </a:cubicBezTo>
              <a:lnTo>
                <a:pt x="1600201" y="914400"/>
              </a:lnTo>
              <a:lnTo>
                <a:pt x="1559460" y="906175"/>
              </a:lnTo>
              <a:cubicBezTo>
                <a:pt x="1521893" y="890285"/>
                <a:pt x="1495533" y="853087"/>
                <a:pt x="1495533" y="809732"/>
              </a:cubicBezTo>
              <a:close/>
              <a:moveTo>
                <a:pt x="1704868" y="246369"/>
              </a:moveTo>
              <a:lnTo>
                <a:pt x="1704868" y="665592"/>
              </a:lnTo>
              <a:lnTo>
                <a:pt x="1755212" y="673275"/>
              </a:lnTo>
              <a:cubicBezTo>
                <a:pt x="2109883" y="745852"/>
                <a:pt x="2389234" y="1025202"/>
                <a:pt x="2461810" y="1379873"/>
              </a:cubicBezTo>
              <a:lnTo>
                <a:pt x="2472341" y="1448878"/>
              </a:lnTo>
              <a:lnTo>
                <a:pt x="2916238" y="1448878"/>
              </a:lnTo>
              <a:lnTo>
                <a:pt x="2916012" y="1444389"/>
              </a:lnTo>
              <a:cubicBezTo>
                <a:pt x="2851898" y="813074"/>
                <a:pt x="2350004" y="311180"/>
                <a:pt x="1718689" y="247066"/>
              </a:cubicBezTo>
              <a:close/>
              <a:moveTo>
                <a:pt x="1495532" y="244484"/>
              </a:moveTo>
              <a:lnTo>
                <a:pt x="1444389" y="247066"/>
              </a:lnTo>
              <a:cubicBezTo>
                <a:pt x="813074" y="311180"/>
                <a:pt x="311180" y="813074"/>
                <a:pt x="247066" y="1444389"/>
              </a:cubicBezTo>
              <a:lnTo>
                <a:pt x="246840" y="1448878"/>
              </a:lnTo>
              <a:lnTo>
                <a:pt x="672075" y="1448878"/>
              </a:lnTo>
              <a:lnTo>
                <a:pt x="682606" y="1379873"/>
              </a:lnTo>
              <a:cubicBezTo>
                <a:pt x="761230" y="995646"/>
                <a:pt x="1082527" y="699816"/>
                <a:pt x="1479365" y="659515"/>
              </a:cubicBezTo>
              <a:lnTo>
                <a:pt x="1495533" y="658699"/>
              </a:lnTo>
              <a:close/>
              <a:moveTo>
                <a:pt x="1581539" y="0"/>
              </a:moveTo>
              <a:cubicBezTo>
                <a:pt x="2454999" y="0"/>
                <a:pt x="3163078" y="708079"/>
                <a:pt x="3163078" y="1581539"/>
              </a:cubicBezTo>
              <a:cubicBezTo>
                <a:pt x="3163078" y="2454999"/>
                <a:pt x="2454999" y="3163078"/>
                <a:pt x="1581539" y="3163078"/>
              </a:cubicBezTo>
              <a:cubicBezTo>
                <a:pt x="708079" y="3163078"/>
                <a:pt x="0" y="2454999"/>
                <a:pt x="0" y="1581539"/>
              </a:cubicBezTo>
              <a:cubicBezTo>
                <a:pt x="0" y="708079"/>
                <a:pt x="708079" y="0"/>
                <a:pt x="1581539" y="0"/>
              </a:cubicBezTo>
              <a:close/>
            </a:path>
          </a:pathLst>
        </a:custGeom>
        <a:solidFill>
          <a:sysClr val="window" lastClr="FFFFFF"/>
        </a:solidFill>
        <a:ln w="35341"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519952</xdr:colOff>
      <xdr:row>3</xdr:row>
      <xdr:rowOff>170327</xdr:rowOff>
    </xdr:from>
    <xdr:to>
      <xdr:col>2</xdr:col>
      <xdr:colOff>94491</xdr:colOff>
      <xdr:row>9</xdr:row>
      <xdr:rowOff>98611</xdr:rowOff>
    </xdr:to>
    <xdr:grpSp>
      <xdr:nvGrpSpPr>
        <xdr:cNvPr id="33" name="Group 32">
          <a:extLst>
            <a:ext uri="{FF2B5EF4-FFF2-40B4-BE49-F238E27FC236}">
              <a16:creationId xmlns:a16="http://schemas.microsoft.com/office/drawing/2014/main" id="{00000000-0008-0000-0300-000021000000}"/>
            </a:ext>
          </a:extLst>
        </xdr:cNvPr>
        <xdr:cNvGrpSpPr/>
      </xdr:nvGrpSpPr>
      <xdr:grpSpPr>
        <a:xfrm>
          <a:off x="519952" y="760877"/>
          <a:ext cx="1225539" cy="1109384"/>
          <a:chOff x="0" y="0"/>
          <a:chExt cx="3878604" cy="3794658"/>
        </a:xfrm>
        <a:solidFill>
          <a:sysClr val="window" lastClr="FFFFFF"/>
        </a:solidFill>
      </xdr:grpSpPr>
      <xdr:sp macro="" textlink="">
        <xdr:nvSpPr>
          <xdr:cNvPr id="34" name="Freeform: Shape 40">
            <a:extLst>
              <a:ext uri="{FF2B5EF4-FFF2-40B4-BE49-F238E27FC236}">
                <a16:creationId xmlns:a16="http://schemas.microsoft.com/office/drawing/2014/main" id="{00000000-0008-0000-0300-000022000000}"/>
              </a:ext>
            </a:extLst>
          </xdr:cNvPr>
          <xdr:cNvSpPr/>
        </xdr:nvSpPr>
        <xdr:spPr>
          <a:xfrm>
            <a:off x="1567237" y="24810"/>
            <a:ext cx="2311367" cy="2470875"/>
          </a:xfrm>
          <a:custGeom>
            <a:avLst/>
            <a:gdLst>
              <a:gd name="connsiteX0" fmla="*/ 216 w 2257633"/>
              <a:gd name="connsiteY0" fmla="*/ 1936113 h 2405021"/>
              <a:gd name="connsiteX1" fmla="*/ 361980 w 2257633"/>
              <a:gd name="connsiteY1" fmla="*/ 2405050 h 2405021"/>
              <a:gd name="connsiteX2" fmla="*/ 1159200 w 2257633"/>
              <a:gd name="connsiteY2" fmla="*/ 1694949 h 2405021"/>
              <a:gd name="connsiteX3" fmla="*/ 998424 w 2257633"/>
              <a:gd name="connsiteY3" fmla="*/ 1406877 h 2405021"/>
              <a:gd name="connsiteX4" fmla="*/ 2164069 w 2257633"/>
              <a:gd name="connsiteY4" fmla="*/ 944626 h 2405021"/>
              <a:gd name="connsiteX5" fmla="*/ 2157373 w 2257633"/>
              <a:gd name="connsiteY5" fmla="*/ 221105 h 2405021"/>
              <a:gd name="connsiteX6" fmla="*/ 2257849 w 2257633"/>
              <a:gd name="connsiteY6" fmla="*/ 221105 h 2405021"/>
              <a:gd name="connsiteX7" fmla="*/ 2110501 w 2257633"/>
              <a:gd name="connsiteY7" fmla="*/ 29 h 2405021"/>
              <a:gd name="connsiteX8" fmla="*/ 1963117 w 2257633"/>
              <a:gd name="connsiteY8" fmla="*/ 214405 h 2405021"/>
              <a:gd name="connsiteX9" fmla="*/ 2066401 w 2257633"/>
              <a:gd name="connsiteY9" fmla="*/ 217958 h 2405021"/>
              <a:gd name="connsiteX10" fmla="*/ 2050201 w 2257633"/>
              <a:gd name="connsiteY10" fmla="*/ 703451 h 2405021"/>
              <a:gd name="connsiteX11" fmla="*/ 375372 w 2257633"/>
              <a:gd name="connsiteY11" fmla="*/ 1205896 h 2405021"/>
              <a:gd name="connsiteX12" fmla="*/ 596448 w 2257633"/>
              <a:gd name="connsiteY12" fmla="*/ 160786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63854 w 2311368"/>
              <a:gd name="connsiteY4" fmla="*/ 944598 h 2405021"/>
              <a:gd name="connsiteX5" fmla="*/ 2157158 w 2311368"/>
              <a:gd name="connsiteY5" fmla="*/ 221077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63854 w 2311368"/>
              <a:gd name="connsiteY4" fmla="*/ 944598 h 2405021"/>
              <a:gd name="connsiteX5" fmla="*/ 2157158 w 2311368"/>
              <a:gd name="connsiteY5" fmla="*/ 221077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157158 w 2311368"/>
              <a:gd name="connsiteY5" fmla="*/ 221077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210894 w 2311368"/>
              <a:gd name="connsiteY5" fmla="*/ 221078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210894 w 2311368"/>
              <a:gd name="connsiteY5" fmla="*/ 221078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210894 w 2311368"/>
              <a:gd name="connsiteY5" fmla="*/ 221078 h 2405021"/>
              <a:gd name="connsiteX6" fmla="*/ 2311368 w 2311368"/>
              <a:gd name="connsiteY6" fmla="*/ 221077 h 2405021"/>
              <a:gd name="connsiteX7" fmla="*/ 2157304 w 2311368"/>
              <a:gd name="connsiteY7" fmla="*/ 0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2001937 h 2470873"/>
              <a:gd name="connsiteX1" fmla="*/ 361765 w 2311368"/>
              <a:gd name="connsiteY1" fmla="*/ 2470874 h 2470873"/>
              <a:gd name="connsiteX2" fmla="*/ 1158985 w 2311368"/>
              <a:gd name="connsiteY2" fmla="*/ 1760773 h 2470873"/>
              <a:gd name="connsiteX3" fmla="*/ 998209 w 2311368"/>
              <a:gd name="connsiteY3" fmla="*/ 1472701 h 2470873"/>
              <a:gd name="connsiteX4" fmla="*/ 2197439 w 2311368"/>
              <a:gd name="connsiteY4" fmla="*/ 1010449 h 2470873"/>
              <a:gd name="connsiteX5" fmla="*/ 2210894 w 2311368"/>
              <a:gd name="connsiteY5" fmla="*/ 286930 h 2470873"/>
              <a:gd name="connsiteX6" fmla="*/ 2311368 w 2311368"/>
              <a:gd name="connsiteY6" fmla="*/ 286929 h 2470873"/>
              <a:gd name="connsiteX7" fmla="*/ 2164021 w 2311368"/>
              <a:gd name="connsiteY7" fmla="*/ 0 h 2470873"/>
              <a:gd name="connsiteX8" fmla="*/ 1962902 w 2311368"/>
              <a:gd name="connsiteY8" fmla="*/ 280229 h 2470873"/>
              <a:gd name="connsiteX9" fmla="*/ 2066186 w 2311368"/>
              <a:gd name="connsiteY9" fmla="*/ 283782 h 2470873"/>
              <a:gd name="connsiteX10" fmla="*/ 2049986 w 2311368"/>
              <a:gd name="connsiteY10" fmla="*/ 769275 h 2470873"/>
              <a:gd name="connsiteX11" fmla="*/ 375157 w 2311368"/>
              <a:gd name="connsiteY11" fmla="*/ 1271720 h 2470873"/>
              <a:gd name="connsiteX12" fmla="*/ 596233 w 2311368"/>
              <a:gd name="connsiteY12" fmla="*/ 1673689 h 2470873"/>
              <a:gd name="connsiteX13" fmla="*/ 1 w 2311368"/>
              <a:gd name="connsiteY13" fmla="*/ 2001937 h 2470873"/>
              <a:gd name="connsiteX0" fmla="*/ 1 w 2311368"/>
              <a:gd name="connsiteY0" fmla="*/ 2001937 h 2470873"/>
              <a:gd name="connsiteX1" fmla="*/ 361765 w 2311368"/>
              <a:gd name="connsiteY1" fmla="*/ 2470874 h 2470873"/>
              <a:gd name="connsiteX2" fmla="*/ 1158985 w 2311368"/>
              <a:gd name="connsiteY2" fmla="*/ 1760773 h 2470873"/>
              <a:gd name="connsiteX3" fmla="*/ 998209 w 2311368"/>
              <a:gd name="connsiteY3" fmla="*/ 1472701 h 2470873"/>
              <a:gd name="connsiteX4" fmla="*/ 2217590 w 2311368"/>
              <a:gd name="connsiteY4" fmla="*/ 1010449 h 2470873"/>
              <a:gd name="connsiteX5" fmla="*/ 2210894 w 2311368"/>
              <a:gd name="connsiteY5" fmla="*/ 286930 h 2470873"/>
              <a:gd name="connsiteX6" fmla="*/ 2311368 w 2311368"/>
              <a:gd name="connsiteY6" fmla="*/ 286929 h 2470873"/>
              <a:gd name="connsiteX7" fmla="*/ 2164021 w 2311368"/>
              <a:gd name="connsiteY7" fmla="*/ 0 h 2470873"/>
              <a:gd name="connsiteX8" fmla="*/ 1962902 w 2311368"/>
              <a:gd name="connsiteY8" fmla="*/ 280229 h 2470873"/>
              <a:gd name="connsiteX9" fmla="*/ 2066186 w 2311368"/>
              <a:gd name="connsiteY9" fmla="*/ 283782 h 2470873"/>
              <a:gd name="connsiteX10" fmla="*/ 2049986 w 2311368"/>
              <a:gd name="connsiteY10" fmla="*/ 769275 h 2470873"/>
              <a:gd name="connsiteX11" fmla="*/ 375157 w 2311368"/>
              <a:gd name="connsiteY11" fmla="*/ 1271720 h 2470873"/>
              <a:gd name="connsiteX12" fmla="*/ 596233 w 2311368"/>
              <a:gd name="connsiteY12" fmla="*/ 1673689 h 2470873"/>
              <a:gd name="connsiteX13" fmla="*/ 1 w 2311368"/>
              <a:gd name="connsiteY13" fmla="*/ 2001937 h 2470873"/>
              <a:gd name="connsiteX0" fmla="*/ 1 w 2311368"/>
              <a:gd name="connsiteY0" fmla="*/ 2001937 h 2470873"/>
              <a:gd name="connsiteX1" fmla="*/ 361765 w 2311368"/>
              <a:gd name="connsiteY1" fmla="*/ 2470874 h 2470873"/>
              <a:gd name="connsiteX2" fmla="*/ 1158985 w 2311368"/>
              <a:gd name="connsiteY2" fmla="*/ 1760773 h 2470873"/>
              <a:gd name="connsiteX3" fmla="*/ 998209 w 2311368"/>
              <a:gd name="connsiteY3" fmla="*/ 1472701 h 2470873"/>
              <a:gd name="connsiteX4" fmla="*/ 2217590 w 2311368"/>
              <a:gd name="connsiteY4" fmla="*/ 1010449 h 2470873"/>
              <a:gd name="connsiteX5" fmla="*/ 2210894 w 2311368"/>
              <a:gd name="connsiteY5" fmla="*/ 286930 h 2470873"/>
              <a:gd name="connsiteX6" fmla="*/ 2311368 w 2311368"/>
              <a:gd name="connsiteY6" fmla="*/ 286929 h 2470873"/>
              <a:gd name="connsiteX7" fmla="*/ 2164021 w 2311368"/>
              <a:gd name="connsiteY7" fmla="*/ 0 h 2470873"/>
              <a:gd name="connsiteX8" fmla="*/ 1962902 w 2311368"/>
              <a:gd name="connsiteY8" fmla="*/ 280229 h 2470873"/>
              <a:gd name="connsiteX9" fmla="*/ 2066186 w 2311368"/>
              <a:gd name="connsiteY9" fmla="*/ 283782 h 2470873"/>
              <a:gd name="connsiteX10" fmla="*/ 2049986 w 2311368"/>
              <a:gd name="connsiteY10" fmla="*/ 769275 h 2470873"/>
              <a:gd name="connsiteX11" fmla="*/ 375157 w 2311368"/>
              <a:gd name="connsiteY11" fmla="*/ 1271720 h 2470873"/>
              <a:gd name="connsiteX12" fmla="*/ 596233 w 2311368"/>
              <a:gd name="connsiteY12" fmla="*/ 1673689 h 2470873"/>
              <a:gd name="connsiteX13" fmla="*/ 1 w 2311368"/>
              <a:gd name="connsiteY13" fmla="*/ 2001937 h 247087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2311368" h="2470873">
                <a:moveTo>
                  <a:pt x="1" y="2001937"/>
                </a:moveTo>
                <a:cubicBezTo>
                  <a:pt x="230617" y="2202278"/>
                  <a:pt x="307405" y="2341058"/>
                  <a:pt x="361765" y="2470874"/>
                </a:cubicBezTo>
                <a:lnTo>
                  <a:pt x="1158985" y="1760773"/>
                </a:lnTo>
                <a:lnTo>
                  <a:pt x="998209" y="1472701"/>
                </a:lnTo>
                <a:cubicBezTo>
                  <a:pt x="998209" y="1472701"/>
                  <a:pt x="1952386" y="1136105"/>
                  <a:pt x="2217590" y="1010449"/>
                </a:cubicBezTo>
                <a:cubicBezTo>
                  <a:pt x="2239842" y="999906"/>
                  <a:pt x="2210894" y="286930"/>
                  <a:pt x="2210894" y="286930"/>
                </a:cubicBezTo>
                <a:lnTo>
                  <a:pt x="2311368" y="286929"/>
                </a:lnTo>
                <a:lnTo>
                  <a:pt x="2164021" y="0"/>
                </a:lnTo>
                <a:lnTo>
                  <a:pt x="1962902" y="280229"/>
                </a:lnTo>
                <a:lnTo>
                  <a:pt x="2066186" y="283782"/>
                </a:lnTo>
                <a:lnTo>
                  <a:pt x="2049986" y="769275"/>
                </a:lnTo>
                <a:lnTo>
                  <a:pt x="375157" y="1271720"/>
                </a:lnTo>
                <a:lnTo>
                  <a:pt x="596233" y="1673689"/>
                </a:lnTo>
                <a:lnTo>
                  <a:pt x="1" y="2001937"/>
                </a:lnTo>
                <a:close/>
              </a:path>
            </a:pathLst>
          </a:custGeom>
          <a:grpFill/>
          <a:ln w="17998" cap="flat">
            <a:solidFill>
              <a:sysClr val="windowText" lastClr="000000"/>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5" name="Freeform: Shape 41">
            <a:extLst>
              <a:ext uri="{FF2B5EF4-FFF2-40B4-BE49-F238E27FC236}">
                <a16:creationId xmlns:a16="http://schemas.microsoft.com/office/drawing/2014/main" id="{00000000-0008-0000-0300-000023000000}"/>
              </a:ext>
            </a:extLst>
          </xdr:cNvPr>
          <xdr:cNvSpPr/>
        </xdr:nvSpPr>
        <xdr:spPr>
          <a:xfrm>
            <a:off x="0" y="1872131"/>
            <a:ext cx="1997598" cy="1914913"/>
          </a:xfrm>
          <a:custGeom>
            <a:avLst/>
            <a:gdLst>
              <a:gd name="connsiteX0" fmla="*/ 1038471 w 1997598"/>
              <a:gd name="connsiteY0" fmla="*/ 1091169 h 1914913"/>
              <a:gd name="connsiteX1" fmla="*/ 1083642 w 1997598"/>
              <a:gd name="connsiteY1" fmla="*/ 1117431 h 1914913"/>
              <a:gd name="connsiteX2" fmla="*/ 1097649 w 1997598"/>
              <a:gd name="connsiteY2" fmla="*/ 1157699 h 1914913"/>
              <a:gd name="connsiteX3" fmla="*/ 1081191 w 1997598"/>
              <a:gd name="connsiteY3" fmla="*/ 1203573 h 1914913"/>
              <a:gd name="connsiteX4" fmla="*/ 1038471 w 1997598"/>
              <a:gd name="connsiteY4" fmla="*/ 1227735 h 1914913"/>
              <a:gd name="connsiteX5" fmla="*/ 987696 w 1997598"/>
              <a:gd name="connsiteY5" fmla="*/ 855154 h 1914913"/>
              <a:gd name="connsiteX6" fmla="*/ 987696 w 1997598"/>
              <a:gd name="connsiteY6" fmla="*/ 976313 h 1914913"/>
              <a:gd name="connsiteX7" fmla="*/ 953730 w 1997598"/>
              <a:gd name="connsiteY7" fmla="*/ 950749 h 1914913"/>
              <a:gd name="connsiteX8" fmla="*/ 942524 w 1997598"/>
              <a:gd name="connsiteY8" fmla="*/ 916084 h 1914913"/>
              <a:gd name="connsiteX9" fmla="*/ 954780 w 1997598"/>
              <a:gd name="connsiteY9" fmla="*/ 878964 h 1914913"/>
              <a:gd name="connsiteX10" fmla="*/ 987696 w 1997598"/>
              <a:gd name="connsiteY10" fmla="*/ 855154 h 1914913"/>
              <a:gd name="connsiteX11" fmla="*/ 987696 w 1997598"/>
              <a:gd name="connsiteY11" fmla="*/ 744151 h 1914913"/>
              <a:gd name="connsiteX12" fmla="*/ 987696 w 1997598"/>
              <a:gd name="connsiteY12" fmla="*/ 778816 h 1914913"/>
              <a:gd name="connsiteX13" fmla="*/ 891050 w 1997598"/>
              <a:gd name="connsiteY13" fmla="*/ 823987 h 1914913"/>
              <a:gd name="connsiteX14" fmla="*/ 854984 w 1997598"/>
              <a:gd name="connsiteY14" fmla="*/ 920285 h 1914913"/>
              <a:gd name="connsiteX15" fmla="*/ 886849 w 1997598"/>
              <a:gd name="connsiteY15" fmla="*/ 1016931 h 1914913"/>
              <a:gd name="connsiteX16" fmla="*/ 987696 w 1997598"/>
              <a:gd name="connsiteY16" fmla="*/ 1076109 h 1914913"/>
              <a:gd name="connsiteX17" fmla="*/ 987696 w 1997598"/>
              <a:gd name="connsiteY17" fmla="*/ 1222831 h 1914913"/>
              <a:gd name="connsiteX18" fmla="*/ 953379 w 1997598"/>
              <a:gd name="connsiteY18" fmla="*/ 1193418 h 1914913"/>
              <a:gd name="connsiteX19" fmla="*/ 932368 w 1997598"/>
              <a:gd name="connsiteY19" fmla="*/ 1145096 h 1914913"/>
              <a:gd name="connsiteX20" fmla="*/ 840974 w 1997598"/>
              <a:gd name="connsiteY20" fmla="*/ 1154900 h 1914913"/>
              <a:gd name="connsiteX21" fmla="*/ 889297 w 1997598"/>
              <a:gd name="connsiteY21" fmla="*/ 1261700 h 1914913"/>
              <a:gd name="connsiteX22" fmla="*/ 987696 w 1997598"/>
              <a:gd name="connsiteY22" fmla="*/ 1306873 h 1914913"/>
              <a:gd name="connsiteX23" fmla="*/ 987696 w 1997598"/>
              <a:gd name="connsiteY23" fmla="*/ 1370603 h 1914913"/>
              <a:gd name="connsiteX24" fmla="*/ 1038471 w 1997598"/>
              <a:gd name="connsiteY24" fmla="*/ 1370603 h 1914913"/>
              <a:gd name="connsiteX25" fmla="*/ 1038471 w 1997598"/>
              <a:gd name="connsiteY25" fmla="*/ 1305120 h 1914913"/>
              <a:gd name="connsiteX26" fmla="*/ 1144921 w 1997598"/>
              <a:gd name="connsiteY26" fmla="*/ 1251896 h 1914913"/>
              <a:gd name="connsiteX27" fmla="*/ 1183440 w 1997598"/>
              <a:gd name="connsiteY27" fmla="*/ 1145096 h 1914913"/>
              <a:gd name="connsiteX28" fmla="*/ 1152976 w 1997598"/>
              <a:gd name="connsiteY28" fmla="*/ 1052299 h 1914913"/>
              <a:gd name="connsiteX29" fmla="*/ 1038471 w 1997598"/>
              <a:gd name="connsiteY29" fmla="*/ 993121 h 1914913"/>
              <a:gd name="connsiteX30" fmla="*/ 1038471 w 1997598"/>
              <a:gd name="connsiteY30" fmla="*/ 856204 h 1914913"/>
              <a:gd name="connsiteX31" fmla="*/ 1080492 w 1997598"/>
              <a:gd name="connsiteY31" fmla="*/ 912230 h 1914913"/>
              <a:gd name="connsiteX32" fmla="*/ 1169083 w 1997598"/>
              <a:gd name="connsiteY32" fmla="*/ 900677 h 1914913"/>
              <a:gd name="connsiteX33" fmla="*/ 1127065 w 1997598"/>
              <a:gd name="connsiteY33" fmla="*/ 816987 h 1914913"/>
              <a:gd name="connsiteX34" fmla="*/ 1038471 w 1997598"/>
              <a:gd name="connsiteY34" fmla="*/ 778816 h 1914913"/>
              <a:gd name="connsiteX35" fmla="*/ 1038471 w 1997598"/>
              <a:gd name="connsiteY35" fmla="*/ 744151 h 1914913"/>
              <a:gd name="connsiteX36" fmla="*/ 1018529 w 1997598"/>
              <a:gd name="connsiteY36" fmla="*/ 568308 h 1914913"/>
              <a:gd name="connsiteX37" fmla="*/ 1488375 w 1997598"/>
              <a:gd name="connsiteY37" fmla="*/ 1038154 h 1914913"/>
              <a:gd name="connsiteX38" fmla="*/ 1018529 w 1997598"/>
              <a:gd name="connsiteY38" fmla="*/ 1508000 h 1914913"/>
              <a:gd name="connsiteX39" fmla="*/ 548683 w 1997598"/>
              <a:gd name="connsiteY39" fmla="*/ 1038154 h 1914913"/>
              <a:gd name="connsiteX40" fmla="*/ 1018529 w 1997598"/>
              <a:gd name="connsiteY40" fmla="*/ 568308 h 1914913"/>
              <a:gd name="connsiteX41" fmla="*/ 1018529 w 1997598"/>
              <a:gd name="connsiteY41" fmla="*/ 476083 h 1914913"/>
              <a:gd name="connsiteX42" fmla="*/ 456458 w 1997598"/>
              <a:gd name="connsiteY42" fmla="*/ 1038154 h 1914913"/>
              <a:gd name="connsiteX43" fmla="*/ 1018529 w 1997598"/>
              <a:gd name="connsiteY43" fmla="*/ 1600225 h 1914913"/>
              <a:gd name="connsiteX44" fmla="*/ 1580600 w 1997598"/>
              <a:gd name="connsiteY44" fmla="*/ 1038154 h 1914913"/>
              <a:gd name="connsiteX45" fmla="*/ 1018529 w 1997598"/>
              <a:gd name="connsiteY45" fmla="*/ 476083 h 1914913"/>
              <a:gd name="connsiteX46" fmla="*/ 664325 w 1997598"/>
              <a:gd name="connsiteY46" fmla="*/ 0 h 1914913"/>
              <a:gd name="connsiteX47" fmla="*/ 1314151 w 1997598"/>
              <a:gd name="connsiteY47" fmla="*/ 0 h 1914913"/>
              <a:gd name="connsiteX48" fmla="*/ 1997478 w 1997598"/>
              <a:gd name="connsiteY48" fmla="*/ 1091952 h 1914913"/>
              <a:gd name="connsiteX49" fmla="*/ 1568718 w 1997598"/>
              <a:gd name="connsiteY49" fmla="*/ 1914913 h 1914913"/>
              <a:gd name="connsiteX50" fmla="*/ 429850 w 1997598"/>
              <a:gd name="connsiteY50" fmla="*/ 1908217 h 1914913"/>
              <a:gd name="connsiteX51" fmla="*/ 1100 w 1997598"/>
              <a:gd name="connsiteY51" fmla="*/ 1085257 h 1914913"/>
              <a:gd name="connsiteX52" fmla="*/ 664325 w 1997598"/>
              <a:gd name="connsiteY52" fmla="*/ 0 h 19149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Lst>
            <a:rect l="l" t="t" r="r" b="b"/>
            <a:pathLst>
              <a:path w="1997598" h="1914913">
                <a:moveTo>
                  <a:pt x="1038471" y="1091169"/>
                </a:moveTo>
                <a:cubicBezTo>
                  <a:pt x="1059481" y="1097239"/>
                  <a:pt x="1074537" y="1105992"/>
                  <a:pt x="1083642" y="1117431"/>
                </a:cubicBezTo>
                <a:cubicBezTo>
                  <a:pt x="1092981" y="1128637"/>
                  <a:pt x="1097649" y="1142058"/>
                  <a:pt x="1097649" y="1157699"/>
                </a:cubicBezTo>
                <a:cubicBezTo>
                  <a:pt x="1097649" y="1175207"/>
                  <a:pt x="1092164" y="1190500"/>
                  <a:pt x="1081191" y="1203573"/>
                </a:cubicBezTo>
                <a:cubicBezTo>
                  <a:pt x="1070218" y="1216410"/>
                  <a:pt x="1055979" y="1224465"/>
                  <a:pt x="1038471" y="1227735"/>
                </a:cubicBezTo>
                <a:close/>
                <a:moveTo>
                  <a:pt x="987696" y="855154"/>
                </a:moveTo>
                <a:lnTo>
                  <a:pt x="987696" y="976313"/>
                </a:lnTo>
                <a:cubicBezTo>
                  <a:pt x="972522" y="969778"/>
                  <a:pt x="961201" y="961257"/>
                  <a:pt x="953730" y="950749"/>
                </a:cubicBezTo>
                <a:cubicBezTo>
                  <a:pt x="946260" y="940013"/>
                  <a:pt x="942524" y="928456"/>
                  <a:pt x="942524" y="916084"/>
                </a:cubicBezTo>
                <a:cubicBezTo>
                  <a:pt x="942524" y="902545"/>
                  <a:pt x="946611" y="890170"/>
                  <a:pt x="954780" y="878964"/>
                </a:cubicBezTo>
                <a:cubicBezTo>
                  <a:pt x="962951" y="867757"/>
                  <a:pt x="973923" y="859821"/>
                  <a:pt x="987696" y="855154"/>
                </a:cubicBezTo>
                <a:close/>
                <a:moveTo>
                  <a:pt x="987696" y="744151"/>
                </a:moveTo>
                <a:lnTo>
                  <a:pt x="987696" y="778816"/>
                </a:lnTo>
                <a:cubicBezTo>
                  <a:pt x="947543" y="782784"/>
                  <a:pt x="915327" y="797844"/>
                  <a:pt x="891050" y="823987"/>
                </a:cubicBezTo>
                <a:cubicBezTo>
                  <a:pt x="867004" y="849902"/>
                  <a:pt x="854984" y="882000"/>
                  <a:pt x="854984" y="920285"/>
                </a:cubicBezTo>
                <a:cubicBezTo>
                  <a:pt x="854984" y="958102"/>
                  <a:pt x="865606" y="990318"/>
                  <a:pt x="886849" y="1016931"/>
                </a:cubicBezTo>
                <a:cubicBezTo>
                  <a:pt x="908326" y="1043312"/>
                  <a:pt x="941940" y="1063040"/>
                  <a:pt x="987696" y="1076109"/>
                </a:cubicBezTo>
                <a:lnTo>
                  <a:pt x="987696" y="1222831"/>
                </a:lnTo>
                <a:cubicBezTo>
                  <a:pt x="975088" y="1216762"/>
                  <a:pt x="963653" y="1206958"/>
                  <a:pt x="953379" y="1193418"/>
                </a:cubicBezTo>
                <a:cubicBezTo>
                  <a:pt x="943109" y="1179878"/>
                  <a:pt x="936104" y="1163768"/>
                  <a:pt x="932368" y="1145096"/>
                </a:cubicBezTo>
                <a:lnTo>
                  <a:pt x="840974" y="1154900"/>
                </a:lnTo>
                <a:cubicBezTo>
                  <a:pt x="847979" y="1200889"/>
                  <a:pt x="864085" y="1236490"/>
                  <a:pt x="889297" y="1261700"/>
                </a:cubicBezTo>
                <a:cubicBezTo>
                  <a:pt x="914509" y="1286912"/>
                  <a:pt x="947310" y="1301968"/>
                  <a:pt x="987696" y="1306873"/>
                </a:cubicBezTo>
                <a:lnTo>
                  <a:pt x="987696" y="1370603"/>
                </a:lnTo>
                <a:lnTo>
                  <a:pt x="1038471" y="1370603"/>
                </a:lnTo>
                <a:lnTo>
                  <a:pt x="1038471" y="1305120"/>
                </a:lnTo>
                <a:cubicBezTo>
                  <a:pt x="1083994" y="1298585"/>
                  <a:pt x="1119476" y="1280844"/>
                  <a:pt x="1144921" y="1251896"/>
                </a:cubicBezTo>
                <a:cubicBezTo>
                  <a:pt x="1170602" y="1222949"/>
                  <a:pt x="1183440" y="1187349"/>
                  <a:pt x="1183440" y="1145096"/>
                </a:cubicBezTo>
                <a:cubicBezTo>
                  <a:pt x="1183440" y="1107275"/>
                  <a:pt x="1173288" y="1076342"/>
                  <a:pt x="1152976" y="1052299"/>
                </a:cubicBezTo>
                <a:cubicBezTo>
                  <a:pt x="1132665" y="1028019"/>
                  <a:pt x="1094497" y="1008296"/>
                  <a:pt x="1038471" y="993121"/>
                </a:cubicBezTo>
                <a:lnTo>
                  <a:pt x="1038471" y="856204"/>
                </a:lnTo>
                <a:cubicBezTo>
                  <a:pt x="1061116" y="866009"/>
                  <a:pt x="1075122" y="884686"/>
                  <a:pt x="1080492" y="912230"/>
                </a:cubicBezTo>
                <a:lnTo>
                  <a:pt x="1169083" y="900677"/>
                </a:lnTo>
                <a:cubicBezTo>
                  <a:pt x="1163013" y="865657"/>
                  <a:pt x="1149008" y="837760"/>
                  <a:pt x="1127065" y="816987"/>
                </a:cubicBezTo>
                <a:cubicBezTo>
                  <a:pt x="1105119" y="795976"/>
                  <a:pt x="1075587" y="783254"/>
                  <a:pt x="1038471" y="778816"/>
                </a:cubicBezTo>
                <a:lnTo>
                  <a:pt x="1038471" y="744151"/>
                </a:lnTo>
                <a:close/>
                <a:moveTo>
                  <a:pt x="1018529" y="568308"/>
                </a:moveTo>
                <a:cubicBezTo>
                  <a:pt x="1278018" y="568308"/>
                  <a:pt x="1488375" y="778665"/>
                  <a:pt x="1488375" y="1038154"/>
                </a:cubicBezTo>
                <a:cubicBezTo>
                  <a:pt x="1488375" y="1297643"/>
                  <a:pt x="1278018" y="1508000"/>
                  <a:pt x="1018529" y="1508000"/>
                </a:cubicBezTo>
                <a:cubicBezTo>
                  <a:pt x="759040" y="1508000"/>
                  <a:pt x="548683" y="1297643"/>
                  <a:pt x="548683" y="1038154"/>
                </a:cubicBezTo>
                <a:cubicBezTo>
                  <a:pt x="548683" y="778665"/>
                  <a:pt x="759040" y="568308"/>
                  <a:pt x="1018529" y="568308"/>
                </a:cubicBezTo>
                <a:close/>
                <a:moveTo>
                  <a:pt x="1018529" y="476083"/>
                </a:moveTo>
                <a:cubicBezTo>
                  <a:pt x="708106" y="476083"/>
                  <a:pt x="456458" y="727731"/>
                  <a:pt x="456458" y="1038154"/>
                </a:cubicBezTo>
                <a:cubicBezTo>
                  <a:pt x="456458" y="1348577"/>
                  <a:pt x="708106" y="1600225"/>
                  <a:pt x="1018529" y="1600225"/>
                </a:cubicBezTo>
                <a:cubicBezTo>
                  <a:pt x="1328952" y="1600225"/>
                  <a:pt x="1580600" y="1348577"/>
                  <a:pt x="1580600" y="1038154"/>
                </a:cubicBezTo>
                <a:cubicBezTo>
                  <a:pt x="1580600" y="727731"/>
                  <a:pt x="1328952" y="476083"/>
                  <a:pt x="1018529" y="476083"/>
                </a:cubicBezTo>
                <a:close/>
                <a:moveTo>
                  <a:pt x="664325" y="0"/>
                </a:moveTo>
                <a:lnTo>
                  <a:pt x="1314151" y="0"/>
                </a:lnTo>
                <a:cubicBezTo>
                  <a:pt x="1314151" y="0"/>
                  <a:pt x="2008098" y="459576"/>
                  <a:pt x="1997478" y="1091952"/>
                </a:cubicBezTo>
                <a:cubicBezTo>
                  <a:pt x="1985742" y="1790821"/>
                  <a:pt x="1568718" y="1914913"/>
                  <a:pt x="1568718" y="1914913"/>
                </a:cubicBezTo>
                <a:lnTo>
                  <a:pt x="429850" y="1908217"/>
                </a:lnTo>
                <a:cubicBezTo>
                  <a:pt x="429850" y="1908217"/>
                  <a:pt x="-25234" y="1697077"/>
                  <a:pt x="1100" y="1085257"/>
                </a:cubicBezTo>
                <a:cubicBezTo>
                  <a:pt x="27107" y="481032"/>
                  <a:pt x="664325" y="0"/>
                  <a:pt x="664325" y="0"/>
                </a:cubicBezTo>
                <a:close/>
              </a:path>
            </a:pathLst>
          </a:custGeom>
          <a:grpFill/>
          <a:ln w="18002"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6" name="Freeform: Shape 42">
            <a:extLst>
              <a:ext uri="{FF2B5EF4-FFF2-40B4-BE49-F238E27FC236}">
                <a16:creationId xmlns:a16="http://schemas.microsoft.com/office/drawing/2014/main" id="{00000000-0008-0000-0300-000024000000}"/>
              </a:ext>
            </a:extLst>
          </xdr:cNvPr>
          <xdr:cNvSpPr/>
        </xdr:nvSpPr>
        <xdr:spPr>
          <a:xfrm rot="15043660" flipV="1">
            <a:off x="678904" y="943653"/>
            <a:ext cx="730416" cy="1146531"/>
          </a:xfrm>
          <a:custGeom>
            <a:avLst/>
            <a:gdLst>
              <a:gd name="connsiteX0" fmla="*/ 716588 w 730416"/>
              <a:gd name="connsiteY0" fmla="*/ 511011 h 1146531"/>
              <a:gd name="connsiteX1" fmla="*/ 409782 w 730416"/>
              <a:gd name="connsiteY1" fmla="*/ 335484 h 1146531"/>
              <a:gd name="connsiteX2" fmla="*/ 313760 w 730416"/>
              <a:gd name="connsiteY2" fmla="*/ 0 h 1146531"/>
              <a:gd name="connsiteX3" fmla="*/ 0 w 730416"/>
              <a:gd name="connsiteY3" fmla="*/ 421987 h 1146531"/>
              <a:gd name="connsiteX4" fmla="*/ 18807 w 730416"/>
              <a:gd name="connsiteY4" fmla="*/ 472206 h 1146531"/>
              <a:gd name="connsiteX5" fmla="*/ 209996 w 730416"/>
              <a:gd name="connsiteY5" fmla="*/ 348997 h 1146531"/>
              <a:gd name="connsiteX6" fmla="*/ 272267 w 730416"/>
              <a:gd name="connsiteY6" fmla="*/ 360214 h 1146531"/>
              <a:gd name="connsiteX7" fmla="*/ 272266 w 730416"/>
              <a:gd name="connsiteY7" fmla="*/ 360214 h 1146531"/>
              <a:gd name="connsiteX8" fmla="*/ 260426 w 730416"/>
              <a:gd name="connsiteY8" fmla="*/ 419191 h 1146531"/>
              <a:gd name="connsiteX9" fmla="*/ 49788 w 730416"/>
              <a:gd name="connsiteY9" fmla="*/ 554931 h 1146531"/>
              <a:gd name="connsiteX10" fmla="*/ 93126 w 730416"/>
              <a:gd name="connsiteY10" fmla="*/ 670656 h 1146531"/>
              <a:gd name="connsiteX11" fmla="*/ 148370 w 730416"/>
              <a:gd name="connsiteY11" fmla="*/ 652362 h 1146531"/>
              <a:gd name="connsiteX12" fmla="*/ 205474 w 730416"/>
              <a:gd name="connsiteY12" fmla="*/ 678423 h 1146531"/>
              <a:gd name="connsiteX13" fmla="*/ 205473 w 730416"/>
              <a:gd name="connsiteY13" fmla="*/ 678422 h 1146531"/>
              <a:gd name="connsiteX14" fmla="*/ 177957 w 730416"/>
              <a:gd name="connsiteY14" fmla="*/ 732505 h 1146531"/>
              <a:gd name="connsiteX15" fmla="*/ 123093 w 730416"/>
              <a:gd name="connsiteY15" fmla="*/ 750672 h 1146531"/>
              <a:gd name="connsiteX16" fmla="*/ 162028 w 730416"/>
              <a:gd name="connsiteY16" fmla="*/ 854640 h 1146531"/>
              <a:gd name="connsiteX17" fmla="*/ 300808 w 730416"/>
              <a:gd name="connsiteY17" fmla="*/ 854640 h 1146531"/>
              <a:gd name="connsiteX18" fmla="*/ 345630 w 730416"/>
              <a:gd name="connsiteY18" fmla="*/ 897090 h 1146531"/>
              <a:gd name="connsiteX19" fmla="*/ 345629 w 730416"/>
              <a:gd name="connsiteY19" fmla="*/ 897090 h 1146531"/>
              <a:gd name="connsiteX20" fmla="*/ 300807 w 730416"/>
              <a:gd name="connsiteY20" fmla="*/ 939540 h 1146531"/>
              <a:gd name="connsiteX21" fmla="*/ 193823 w 730416"/>
              <a:gd name="connsiteY21" fmla="*/ 939540 h 1146531"/>
              <a:gd name="connsiteX22" fmla="*/ 213858 w 730416"/>
              <a:gd name="connsiteY22" fmla="*/ 993037 h 1146531"/>
              <a:gd name="connsiteX23" fmla="*/ 728835 w 730416"/>
              <a:gd name="connsiteY23" fmla="*/ 1146531 h 1146531"/>
              <a:gd name="connsiteX24" fmla="*/ 583838 w 730416"/>
              <a:gd name="connsiteY24" fmla="*/ 792704 h 1146531"/>
              <a:gd name="connsiteX25" fmla="*/ 716588 w 730416"/>
              <a:gd name="connsiteY25" fmla="*/ 511011 h 114653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30416" h="1146531">
                <a:moveTo>
                  <a:pt x="716588" y="511011"/>
                </a:moveTo>
                <a:cubicBezTo>
                  <a:pt x="680716" y="393596"/>
                  <a:pt x="548708" y="304346"/>
                  <a:pt x="409782" y="335484"/>
                </a:cubicBezTo>
                <a:cubicBezTo>
                  <a:pt x="486583" y="165966"/>
                  <a:pt x="385952" y="81473"/>
                  <a:pt x="313760" y="0"/>
                </a:cubicBezTo>
                <a:lnTo>
                  <a:pt x="0" y="421987"/>
                </a:lnTo>
                <a:lnTo>
                  <a:pt x="18807" y="472206"/>
                </a:lnTo>
                <a:lnTo>
                  <a:pt x="209996" y="348997"/>
                </a:lnTo>
                <a:cubicBezTo>
                  <a:pt x="230463" y="335809"/>
                  <a:pt x="258342" y="340831"/>
                  <a:pt x="272267" y="360214"/>
                </a:cubicBezTo>
                <a:lnTo>
                  <a:pt x="272266" y="360214"/>
                </a:lnTo>
                <a:cubicBezTo>
                  <a:pt x="286194" y="379595"/>
                  <a:pt x="280891" y="406002"/>
                  <a:pt x="260426" y="419191"/>
                </a:cubicBezTo>
                <a:lnTo>
                  <a:pt x="49788" y="554931"/>
                </a:lnTo>
                <a:lnTo>
                  <a:pt x="93126" y="670656"/>
                </a:lnTo>
                <a:lnTo>
                  <a:pt x="148370" y="652362"/>
                </a:lnTo>
                <a:cubicBezTo>
                  <a:pt x="171737" y="644624"/>
                  <a:pt x="197303" y="656291"/>
                  <a:pt x="205474" y="678423"/>
                </a:cubicBezTo>
                <a:lnTo>
                  <a:pt x="205473" y="678422"/>
                </a:lnTo>
                <a:cubicBezTo>
                  <a:pt x="213644" y="700552"/>
                  <a:pt x="201323" y="724767"/>
                  <a:pt x="177957" y="732505"/>
                </a:cubicBezTo>
                <a:lnTo>
                  <a:pt x="123093" y="750672"/>
                </a:lnTo>
                <a:lnTo>
                  <a:pt x="162028" y="854640"/>
                </a:lnTo>
                <a:lnTo>
                  <a:pt x="300808" y="854640"/>
                </a:lnTo>
                <a:cubicBezTo>
                  <a:pt x="325563" y="854641"/>
                  <a:pt x="345630" y="873646"/>
                  <a:pt x="345630" y="897090"/>
                </a:cubicBezTo>
                <a:lnTo>
                  <a:pt x="345629" y="897090"/>
                </a:lnTo>
                <a:cubicBezTo>
                  <a:pt x="345629" y="920534"/>
                  <a:pt x="325560" y="939540"/>
                  <a:pt x="300807" y="939540"/>
                </a:cubicBezTo>
                <a:lnTo>
                  <a:pt x="193823" y="939540"/>
                </a:lnTo>
                <a:lnTo>
                  <a:pt x="213858" y="993037"/>
                </a:lnTo>
                <a:lnTo>
                  <a:pt x="728835" y="1146531"/>
                </a:lnTo>
                <a:cubicBezTo>
                  <a:pt x="738744" y="1018136"/>
                  <a:pt x="703479" y="913568"/>
                  <a:pt x="583838" y="792704"/>
                </a:cubicBezTo>
                <a:cubicBezTo>
                  <a:pt x="714230" y="710695"/>
                  <a:pt x="744487" y="602333"/>
                  <a:pt x="716588" y="511011"/>
                </a:cubicBezTo>
                <a:close/>
              </a:path>
            </a:pathLst>
          </a:custGeom>
          <a:grp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37" name="Freeform: Shape 43">
            <a:extLst>
              <a:ext uri="{FF2B5EF4-FFF2-40B4-BE49-F238E27FC236}">
                <a16:creationId xmlns:a16="http://schemas.microsoft.com/office/drawing/2014/main" id="{00000000-0008-0000-0300-000025000000}"/>
              </a:ext>
            </a:extLst>
          </xdr:cNvPr>
          <xdr:cNvSpPr/>
        </xdr:nvSpPr>
        <xdr:spPr>
          <a:xfrm>
            <a:off x="1066684" y="0"/>
            <a:ext cx="1014942" cy="1014942"/>
          </a:xfrm>
          <a:custGeom>
            <a:avLst/>
            <a:gdLst>
              <a:gd name="connsiteX0" fmla="*/ 529764 w 1014942"/>
              <a:gd name="connsiteY0" fmla="*/ 520172 h 1014942"/>
              <a:gd name="connsiteX1" fmla="*/ 568161 w 1014942"/>
              <a:gd name="connsiteY1" fmla="*/ 542495 h 1014942"/>
              <a:gd name="connsiteX2" fmla="*/ 580067 w 1014942"/>
              <a:gd name="connsiteY2" fmla="*/ 576724 h 1014942"/>
              <a:gd name="connsiteX3" fmla="*/ 566077 w 1014942"/>
              <a:gd name="connsiteY3" fmla="*/ 615719 h 1014942"/>
              <a:gd name="connsiteX4" fmla="*/ 529764 w 1014942"/>
              <a:gd name="connsiteY4" fmla="*/ 636257 h 1014942"/>
              <a:gd name="connsiteX5" fmla="*/ 486603 w 1014942"/>
              <a:gd name="connsiteY5" fmla="*/ 319551 h 1014942"/>
              <a:gd name="connsiteX6" fmla="*/ 486603 w 1014942"/>
              <a:gd name="connsiteY6" fmla="*/ 422540 h 1014942"/>
              <a:gd name="connsiteX7" fmla="*/ 457731 w 1014942"/>
              <a:gd name="connsiteY7" fmla="*/ 400810 h 1014942"/>
              <a:gd name="connsiteX8" fmla="*/ 448206 w 1014942"/>
              <a:gd name="connsiteY8" fmla="*/ 371344 h 1014942"/>
              <a:gd name="connsiteX9" fmla="*/ 458624 w 1014942"/>
              <a:gd name="connsiteY9" fmla="*/ 339790 h 1014942"/>
              <a:gd name="connsiteX10" fmla="*/ 486603 w 1014942"/>
              <a:gd name="connsiteY10" fmla="*/ 319551 h 1014942"/>
              <a:gd name="connsiteX11" fmla="*/ 486603 w 1014942"/>
              <a:gd name="connsiteY11" fmla="*/ 225195 h 1014942"/>
              <a:gd name="connsiteX12" fmla="*/ 486603 w 1014942"/>
              <a:gd name="connsiteY12" fmla="*/ 254661 h 1014942"/>
              <a:gd name="connsiteX13" fmla="*/ 404451 w 1014942"/>
              <a:gd name="connsiteY13" fmla="*/ 293058 h 1014942"/>
              <a:gd name="connsiteX14" fmla="*/ 373794 w 1014942"/>
              <a:gd name="connsiteY14" fmla="*/ 374915 h 1014942"/>
              <a:gd name="connsiteX15" fmla="*/ 400880 w 1014942"/>
              <a:gd name="connsiteY15" fmla="*/ 457067 h 1014942"/>
              <a:gd name="connsiteX16" fmla="*/ 486603 w 1014942"/>
              <a:gd name="connsiteY16" fmla="*/ 507370 h 1014942"/>
              <a:gd name="connsiteX17" fmla="*/ 486603 w 1014942"/>
              <a:gd name="connsiteY17" fmla="*/ 632088 h 1014942"/>
              <a:gd name="connsiteX18" fmla="*/ 457433 w 1014942"/>
              <a:gd name="connsiteY18" fmla="*/ 607087 h 1014942"/>
              <a:gd name="connsiteX19" fmla="*/ 439573 w 1014942"/>
              <a:gd name="connsiteY19" fmla="*/ 566011 h 1014942"/>
              <a:gd name="connsiteX20" fmla="*/ 361885 w 1014942"/>
              <a:gd name="connsiteY20" fmla="*/ 574344 h 1014942"/>
              <a:gd name="connsiteX21" fmla="*/ 402961 w 1014942"/>
              <a:gd name="connsiteY21" fmla="*/ 665129 h 1014942"/>
              <a:gd name="connsiteX22" fmla="*/ 486603 w 1014942"/>
              <a:gd name="connsiteY22" fmla="*/ 703527 h 1014942"/>
              <a:gd name="connsiteX23" fmla="*/ 486603 w 1014942"/>
              <a:gd name="connsiteY23" fmla="*/ 757700 h 1014942"/>
              <a:gd name="connsiteX24" fmla="*/ 529764 w 1014942"/>
              <a:gd name="connsiteY24" fmla="*/ 757700 h 1014942"/>
              <a:gd name="connsiteX25" fmla="*/ 529764 w 1014942"/>
              <a:gd name="connsiteY25" fmla="*/ 702036 h 1014942"/>
              <a:gd name="connsiteX26" fmla="*/ 620250 w 1014942"/>
              <a:gd name="connsiteY26" fmla="*/ 656795 h 1014942"/>
              <a:gd name="connsiteX27" fmla="*/ 652992 w 1014942"/>
              <a:gd name="connsiteY27" fmla="*/ 566011 h 1014942"/>
              <a:gd name="connsiteX28" fmla="*/ 627097 w 1014942"/>
              <a:gd name="connsiteY28" fmla="*/ 487131 h 1014942"/>
              <a:gd name="connsiteX29" fmla="*/ 529764 w 1014942"/>
              <a:gd name="connsiteY29" fmla="*/ 436828 h 1014942"/>
              <a:gd name="connsiteX30" fmla="*/ 529764 w 1014942"/>
              <a:gd name="connsiteY30" fmla="*/ 320444 h 1014942"/>
              <a:gd name="connsiteX31" fmla="*/ 565483 w 1014942"/>
              <a:gd name="connsiteY31" fmla="*/ 368068 h 1014942"/>
              <a:gd name="connsiteX32" fmla="*/ 640788 w 1014942"/>
              <a:gd name="connsiteY32" fmla="*/ 358247 h 1014942"/>
              <a:gd name="connsiteX33" fmla="*/ 605072 w 1014942"/>
              <a:gd name="connsiteY33" fmla="*/ 287107 h 1014942"/>
              <a:gd name="connsiteX34" fmla="*/ 529764 w 1014942"/>
              <a:gd name="connsiteY34" fmla="*/ 254661 h 1014942"/>
              <a:gd name="connsiteX35" fmla="*/ 529764 w 1014942"/>
              <a:gd name="connsiteY35" fmla="*/ 225195 h 1014942"/>
              <a:gd name="connsiteX36" fmla="*/ 507471 w 1014942"/>
              <a:gd name="connsiteY36" fmla="*/ 0 h 1014942"/>
              <a:gd name="connsiteX37" fmla="*/ 1014942 w 1014942"/>
              <a:gd name="connsiteY37" fmla="*/ 507471 h 1014942"/>
              <a:gd name="connsiteX38" fmla="*/ 507471 w 1014942"/>
              <a:gd name="connsiteY38" fmla="*/ 1014942 h 1014942"/>
              <a:gd name="connsiteX39" fmla="*/ 0 w 1014942"/>
              <a:gd name="connsiteY39" fmla="*/ 507471 h 1014942"/>
              <a:gd name="connsiteX40" fmla="*/ 507471 w 1014942"/>
              <a:gd name="connsiteY40" fmla="*/ 0 h 1014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1014942" h="1014942">
                <a:moveTo>
                  <a:pt x="529764" y="520172"/>
                </a:moveTo>
                <a:cubicBezTo>
                  <a:pt x="547623" y="525330"/>
                  <a:pt x="560421" y="532772"/>
                  <a:pt x="568161" y="542495"/>
                </a:cubicBezTo>
                <a:cubicBezTo>
                  <a:pt x="576099" y="552021"/>
                  <a:pt x="580067" y="563429"/>
                  <a:pt x="580067" y="576724"/>
                </a:cubicBezTo>
                <a:cubicBezTo>
                  <a:pt x="580067" y="591607"/>
                  <a:pt x="575405" y="604606"/>
                  <a:pt x="566077" y="615719"/>
                </a:cubicBezTo>
                <a:cubicBezTo>
                  <a:pt x="556750" y="626631"/>
                  <a:pt x="544646" y="633478"/>
                  <a:pt x="529764" y="636257"/>
                </a:cubicBezTo>
                <a:close/>
                <a:moveTo>
                  <a:pt x="486603" y="319551"/>
                </a:moveTo>
                <a:lnTo>
                  <a:pt x="486603" y="422540"/>
                </a:lnTo>
                <a:cubicBezTo>
                  <a:pt x="473705" y="416985"/>
                  <a:pt x="464082" y="409742"/>
                  <a:pt x="457731" y="400810"/>
                </a:cubicBezTo>
                <a:cubicBezTo>
                  <a:pt x="451381" y="391684"/>
                  <a:pt x="448206" y="381860"/>
                  <a:pt x="448206" y="371344"/>
                </a:cubicBezTo>
                <a:cubicBezTo>
                  <a:pt x="448206" y="359835"/>
                  <a:pt x="451680" y="349316"/>
                  <a:pt x="458624" y="339790"/>
                </a:cubicBezTo>
                <a:cubicBezTo>
                  <a:pt x="465569" y="330264"/>
                  <a:pt x="474896" y="323518"/>
                  <a:pt x="486603" y="319551"/>
                </a:cubicBezTo>
                <a:close/>
                <a:moveTo>
                  <a:pt x="486603" y="225195"/>
                </a:moveTo>
                <a:lnTo>
                  <a:pt x="486603" y="254661"/>
                </a:lnTo>
                <a:cubicBezTo>
                  <a:pt x="452472" y="258034"/>
                  <a:pt x="425087" y="270835"/>
                  <a:pt x="404451" y="293058"/>
                </a:cubicBezTo>
                <a:cubicBezTo>
                  <a:pt x="384011" y="315087"/>
                  <a:pt x="373794" y="342371"/>
                  <a:pt x="373794" y="374915"/>
                </a:cubicBezTo>
                <a:cubicBezTo>
                  <a:pt x="373794" y="407060"/>
                  <a:pt x="382823" y="434445"/>
                  <a:pt x="400880" y="457067"/>
                </a:cubicBezTo>
                <a:cubicBezTo>
                  <a:pt x="419136" y="479492"/>
                  <a:pt x="447709" y="496260"/>
                  <a:pt x="486603" y="507370"/>
                </a:cubicBezTo>
                <a:lnTo>
                  <a:pt x="486603" y="632088"/>
                </a:lnTo>
                <a:cubicBezTo>
                  <a:pt x="475886" y="626930"/>
                  <a:pt x="466166" y="618596"/>
                  <a:pt x="457433" y="607087"/>
                </a:cubicBezTo>
                <a:cubicBezTo>
                  <a:pt x="448703" y="595577"/>
                  <a:pt x="442748" y="581883"/>
                  <a:pt x="439573" y="566011"/>
                </a:cubicBezTo>
                <a:lnTo>
                  <a:pt x="361885" y="574344"/>
                </a:lnTo>
                <a:cubicBezTo>
                  <a:pt x="367839" y="613437"/>
                  <a:pt x="381530" y="643698"/>
                  <a:pt x="402961" y="665129"/>
                </a:cubicBezTo>
                <a:cubicBezTo>
                  <a:pt x="424392" y="686560"/>
                  <a:pt x="452274" y="699358"/>
                  <a:pt x="486603" y="703527"/>
                </a:cubicBezTo>
                <a:lnTo>
                  <a:pt x="486603" y="757700"/>
                </a:lnTo>
                <a:lnTo>
                  <a:pt x="529764" y="757700"/>
                </a:lnTo>
                <a:lnTo>
                  <a:pt x="529764" y="702036"/>
                </a:lnTo>
                <a:cubicBezTo>
                  <a:pt x="568460" y="696482"/>
                  <a:pt x="598621" y="681401"/>
                  <a:pt x="620250" y="656795"/>
                </a:cubicBezTo>
                <a:cubicBezTo>
                  <a:pt x="642080" y="632189"/>
                  <a:pt x="652992" y="601928"/>
                  <a:pt x="652992" y="566011"/>
                </a:cubicBezTo>
                <a:cubicBezTo>
                  <a:pt x="652992" y="533862"/>
                  <a:pt x="644363" y="507568"/>
                  <a:pt x="627097" y="487131"/>
                </a:cubicBezTo>
                <a:cubicBezTo>
                  <a:pt x="609832" y="466492"/>
                  <a:pt x="577388" y="449727"/>
                  <a:pt x="529764" y="436828"/>
                </a:cubicBezTo>
                <a:lnTo>
                  <a:pt x="529764" y="320444"/>
                </a:lnTo>
                <a:cubicBezTo>
                  <a:pt x="549013" y="328778"/>
                  <a:pt x="560918" y="344653"/>
                  <a:pt x="565483" y="368068"/>
                </a:cubicBezTo>
                <a:lnTo>
                  <a:pt x="640788" y="358247"/>
                </a:lnTo>
                <a:cubicBezTo>
                  <a:pt x="635629" y="328479"/>
                  <a:pt x="623724" y="304766"/>
                  <a:pt x="605072" y="287107"/>
                </a:cubicBezTo>
                <a:cubicBezTo>
                  <a:pt x="586417" y="269248"/>
                  <a:pt x="561314" y="258433"/>
                  <a:pt x="529764" y="254661"/>
                </a:cubicBezTo>
                <a:lnTo>
                  <a:pt x="529764" y="225195"/>
                </a:lnTo>
                <a:close/>
                <a:moveTo>
                  <a:pt x="507471" y="0"/>
                </a:moveTo>
                <a:cubicBezTo>
                  <a:pt x="787739" y="0"/>
                  <a:pt x="1014942" y="227203"/>
                  <a:pt x="1014942" y="507471"/>
                </a:cubicBezTo>
                <a:cubicBezTo>
                  <a:pt x="1014942" y="787739"/>
                  <a:pt x="787739" y="1014942"/>
                  <a:pt x="507471" y="1014942"/>
                </a:cubicBezTo>
                <a:cubicBezTo>
                  <a:pt x="227203" y="1014942"/>
                  <a:pt x="0" y="787739"/>
                  <a:pt x="0" y="507471"/>
                </a:cubicBezTo>
                <a:cubicBezTo>
                  <a:pt x="0" y="227203"/>
                  <a:pt x="227203" y="0"/>
                  <a:pt x="507471" y="0"/>
                </a:cubicBezTo>
                <a:close/>
              </a:path>
            </a:pathLst>
          </a:custGeom>
          <a:grpFill/>
          <a:ln w="17998"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8" name="Freeform: Shape 44">
            <a:extLst>
              <a:ext uri="{FF2B5EF4-FFF2-40B4-BE49-F238E27FC236}">
                <a16:creationId xmlns:a16="http://schemas.microsoft.com/office/drawing/2014/main" id="{00000000-0008-0000-0300-000026000000}"/>
              </a:ext>
            </a:extLst>
          </xdr:cNvPr>
          <xdr:cNvSpPr/>
        </xdr:nvSpPr>
        <xdr:spPr>
          <a:xfrm>
            <a:off x="3439631" y="1737986"/>
            <a:ext cx="305142" cy="2056672"/>
          </a:xfrm>
          <a:custGeom>
            <a:avLst/>
            <a:gdLst>
              <a:gd name="connsiteX0" fmla="*/ 294 w 274669"/>
              <a:gd name="connsiteY0" fmla="*/ 147 h 2056670"/>
              <a:gd name="connsiteX1" fmla="*/ 274963 w 274669"/>
              <a:gd name="connsiteY1" fmla="*/ 147 h 2056670"/>
              <a:gd name="connsiteX2" fmla="*/ 274963 w 274669"/>
              <a:gd name="connsiteY2" fmla="*/ 2056818 h 2056670"/>
              <a:gd name="connsiteX3" fmla="*/ 294 w 274669"/>
              <a:gd name="connsiteY3" fmla="*/ 2056818 h 2056670"/>
            </a:gdLst>
            <a:ahLst/>
            <a:cxnLst>
              <a:cxn ang="0">
                <a:pos x="connsiteX0" y="connsiteY0"/>
              </a:cxn>
              <a:cxn ang="0">
                <a:pos x="connsiteX1" y="connsiteY1"/>
              </a:cxn>
              <a:cxn ang="0">
                <a:pos x="connsiteX2" y="connsiteY2"/>
              </a:cxn>
              <a:cxn ang="0">
                <a:pos x="connsiteX3" y="connsiteY3"/>
              </a:cxn>
            </a:cxnLst>
            <a:rect l="l" t="t" r="r" b="b"/>
            <a:pathLst>
              <a:path w="274669" h="2056670">
                <a:moveTo>
                  <a:pt x="294" y="147"/>
                </a:moveTo>
                <a:lnTo>
                  <a:pt x="274963" y="147"/>
                </a:lnTo>
                <a:lnTo>
                  <a:pt x="274963" y="2056818"/>
                </a:lnTo>
                <a:lnTo>
                  <a:pt x="294" y="2056818"/>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9" name="Freeform: Shape 45">
            <a:extLst>
              <a:ext uri="{FF2B5EF4-FFF2-40B4-BE49-F238E27FC236}">
                <a16:creationId xmlns:a16="http://schemas.microsoft.com/office/drawing/2014/main" id="{00000000-0008-0000-0300-000027000000}"/>
              </a:ext>
            </a:extLst>
          </xdr:cNvPr>
          <xdr:cNvSpPr/>
        </xdr:nvSpPr>
        <xdr:spPr>
          <a:xfrm>
            <a:off x="2890307" y="2173441"/>
            <a:ext cx="305142" cy="1621217"/>
          </a:xfrm>
          <a:custGeom>
            <a:avLst/>
            <a:gdLst>
              <a:gd name="connsiteX0" fmla="*/ 252 w 281368"/>
              <a:gd name="connsiteY0" fmla="*/ 163 h 1621217"/>
              <a:gd name="connsiteX1" fmla="*/ 281621 w 281368"/>
              <a:gd name="connsiteY1" fmla="*/ 163 h 1621217"/>
              <a:gd name="connsiteX2" fmla="*/ 281621 w 281368"/>
              <a:gd name="connsiteY2" fmla="*/ 1621381 h 1621217"/>
              <a:gd name="connsiteX3" fmla="*/ 252 w 281368"/>
              <a:gd name="connsiteY3" fmla="*/ 1621381 h 1621217"/>
            </a:gdLst>
            <a:ahLst/>
            <a:cxnLst>
              <a:cxn ang="0">
                <a:pos x="connsiteX0" y="connsiteY0"/>
              </a:cxn>
              <a:cxn ang="0">
                <a:pos x="connsiteX1" y="connsiteY1"/>
              </a:cxn>
              <a:cxn ang="0">
                <a:pos x="connsiteX2" y="connsiteY2"/>
              </a:cxn>
              <a:cxn ang="0">
                <a:pos x="connsiteX3" y="connsiteY3"/>
              </a:cxn>
            </a:cxnLst>
            <a:rect l="l" t="t" r="r" b="b"/>
            <a:pathLst>
              <a:path w="281368" h="1621217">
                <a:moveTo>
                  <a:pt x="252" y="163"/>
                </a:moveTo>
                <a:lnTo>
                  <a:pt x="281621" y="163"/>
                </a:lnTo>
                <a:lnTo>
                  <a:pt x="281621" y="1621381"/>
                </a:lnTo>
                <a:lnTo>
                  <a:pt x="252" y="1621381"/>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0" name="Freeform: Shape 46">
            <a:extLst>
              <a:ext uri="{FF2B5EF4-FFF2-40B4-BE49-F238E27FC236}">
                <a16:creationId xmlns:a16="http://schemas.microsoft.com/office/drawing/2014/main" id="{00000000-0008-0000-0300-000028000000}"/>
              </a:ext>
            </a:extLst>
          </xdr:cNvPr>
          <xdr:cNvSpPr/>
        </xdr:nvSpPr>
        <xdr:spPr>
          <a:xfrm>
            <a:off x="2354373" y="2736176"/>
            <a:ext cx="305142" cy="1058482"/>
          </a:xfrm>
          <a:custGeom>
            <a:avLst/>
            <a:gdLst>
              <a:gd name="connsiteX0" fmla="*/ 211 w 281368"/>
              <a:gd name="connsiteY0" fmla="*/ 184 h 1058483"/>
              <a:gd name="connsiteX1" fmla="*/ 281580 w 281368"/>
              <a:gd name="connsiteY1" fmla="*/ 184 h 1058483"/>
              <a:gd name="connsiteX2" fmla="*/ 281580 w 281368"/>
              <a:gd name="connsiteY2" fmla="*/ 1058668 h 1058483"/>
              <a:gd name="connsiteX3" fmla="*/ 211 w 281368"/>
              <a:gd name="connsiteY3" fmla="*/ 1058668 h 1058483"/>
            </a:gdLst>
            <a:ahLst/>
            <a:cxnLst>
              <a:cxn ang="0">
                <a:pos x="connsiteX0" y="connsiteY0"/>
              </a:cxn>
              <a:cxn ang="0">
                <a:pos x="connsiteX1" y="connsiteY1"/>
              </a:cxn>
              <a:cxn ang="0">
                <a:pos x="connsiteX2" y="connsiteY2"/>
              </a:cxn>
              <a:cxn ang="0">
                <a:pos x="connsiteX3" y="connsiteY3"/>
              </a:cxn>
            </a:cxnLst>
            <a:rect l="l" t="t" r="r" b="b"/>
            <a:pathLst>
              <a:path w="281368" h="1058483">
                <a:moveTo>
                  <a:pt x="211" y="184"/>
                </a:moveTo>
                <a:lnTo>
                  <a:pt x="281580" y="184"/>
                </a:lnTo>
                <a:lnTo>
                  <a:pt x="281580" y="1058668"/>
                </a:lnTo>
                <a:lnTo>
                  <a:pt x="211" y="1058668"/>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1" name="Freeform: Shape 47">
            <a:extLst>
              <a:ext uri="{FF2B5EF4-FFF2-40B4-BE49-F238E27FC236}">
                <a16:creationId xmlns:a16="http://schemas.microsoft.com/office/drawing/2014/main" id="{00000000-0008-0000-0300-000029000000}"/>
              </a:ext>
            </a:extLst>
          </xdr:cNvPr>
          <xdr:cNvSpPr/>
        </xdr:nvSpPr>
        <xdr:spPr>
          <a:xfrm>
            <a:off x="1844938" y="3097384"/>
            <a:ext cx="305142" cy="697274"/>
          </a:xfrm>
          <a:custGeom>
            <a:avLst/>
            <a:gdLst>
              <a:gd name="connsiteX0" fmla="*/ 171 w 275221"/>
              <a:gd name="connsiteY0" fmla="*/ 197 h 697273"/>
              <a:gd name="connsiteX1" fmla="*/ 275393 w 275221"/>
              <a:gd name="connsiteY1" fmla="*/ 197 h 697273"/>
              <a:gd name="connsiteX2" fmla="*/ 275393 w 275221"/>
              <a:gd name="connsiteY2" fmla="*/ 697471 h 697273"/>
              <a:gd name="connsiteX3" fmla="*/ 171 w 275221"/>
              <a:gd name="connsiteY3" fmla="*/ 697471 h 697273"/>
            </a:gdLst>
            <a:ahLst/>
            <a:cxnLst>
              <a:cxn ang="0">
                <a:pos x="connsiteX0" y="connsiteY0"/>
              </a:cxn>
              <a:cxn ang="0">
                <a:pos x="connsiteX1" y="connsiteY1"/>
              </a:cxn>
              <a:cxn ang="0">
                <a:pos x="connsiteX2" y="connsiteY2"/>
              </a:cxn>
              <a:cxn ang="0">
                <a:pos x="connsiteX3" y="connsiteY3"/>
              </a:cxn>
            </a:cxnLst>
            <a:rect l="l" t="t" r="r" b="b"/>
            <a:pathLst>
              <a:path w="275221" h="697273">
                <a:moveTo>
                  <a:pt x="171" y="197"/>
                </a:moveTo>
                <a:lnTo>
                  <a:pt x="275393" y="197"/>
                </a:lnTo>
                <a:lnTo>
                  <a:pt x="275393" y="697471"/>
                </a:lnTo>
                <a:lnTo>
                  <a:pt x="171" y="697471"/>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grpSp>
    <xdr:clientData/>
  </xdr:twoCellAnchor>
  <xdr:twoCellAnchor>
    <xdr:from>
      <xdr:col>18</xdr:col>
      <xdr:colOff>309657</xdr:colOff>
      <xdr:row>13</xdr:row>
      <xdr:rowOff>74061</xdr:rowOff>
    </xdr:from>
    <xdr:to>
      <xdr:col>21</xdr:col>
      <xdr:colOff>612746</xdr:colOff>
      <xdr:row>21</xdr:row>
      <xdr:rowOff>163922</xdr:rowOff>
    </xdr:to>
    <xdr:grpSp>
      <xdr:nvGrpSpPr>
        <xdr:cNvPr id="42" name="Group 41">
          <a:extLst>
            <a:ext uri="{FF2B5EF4-FFF2-40B4-BE49-F238E27FC236}">
              <a16:creationId xmlns:a16="http://schemas.microsoft.com/office/drawing/2014/main" id="{00000000-0008-0000-0300-00002A000000}"/>
            </a:ext>
          </a:extLst>
        </xdr:cNvPr>
        <xdr:cNvGrpSpPr/>
      </xdr:nvGrpSpPr>
      <xdr:grpSpPr>
        <a:xfrm>
          <a:off x="15168657" y="2633111"/>
          <a:ext cx="2779589" cy="1664661"/>
          <a:chOff x="6684884" y="1133961"/>
          <a:chExt cx="4632942" cy="2991773"/>
        </a:xfrm>
        <a:effectLst>
          <a:outerShdw blurRad="50800" dist="38100" dir="2700000" algn="tl" rotWithShape="0">
            <a:prstClr val="black">
              <a:alpha val="40000"/>
            </a:prstClr>
          </a:outerShdw>
        </a:effectLst>
      </xdr:grpSpPr>
      <xdr:sp macro="" textlink="">
        <xdr:nvSpPr>
          <xdr:cNvPr id="43" name="Rectangle: Rounded Corners 49">
            <a:extLst>
              <a:ext uri="{FF2B5EF4-FFF2-40B4-BE49-F238E27FC236}">
                <a16:creationId xmlns:a16="http://schemas.microsoft.com/office/drawing/2014/main" id="{00000000-0008-0000-0300-00002B000000}"/>
              </a:ext>
            </a:extLst>
          </xdr:cNvPr>
          <xdr:cNvSpPr/>
        </xdr:nvSpPr>
        <xdr:spPr>
          <a:xfrm>
            <a:off x="6684884" y="1133961"/>
            <a:ext cx="4632942" cy="2991773"/>
          </a:xfrm>
          <a:prstGeom prst="roundRect">
            <a:avLst>
              <a:gd name="adj" fmla="val 6897"/>
            </a:avLst>
          </a:prstGeom>
          <a:gradFill flip="none" rotWithShape="1">
            <a:gsLst>
              <a:gs pos="77000">
                <a:srgbClr val="2D3540"/>
              </a:gs>
              <a:gs pos="0">
                <a:srgbClr val="4472C4">
                  <a:lumMod val="30000"/>
                  <a:lumOff val="70000"/>
                </a:srgbClr>
              </a:gs>
            </a:gsLst>
            <a:path path="circle">
              <a:fillToRect l="100000" b="100000"/>
            </a:path>
            <a:tileRect t="-100000" r="-100000"/>
          </a:gradFill>
          <a:ln w="12700" cap="flat" cmpd="sng" algn="ctr">
            <a:solidFill>
              <a:srgbClr val="4472C4">
                <a:shade val="15000"/>
              </a:srgbClr>
            </a:solid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nvGrpSpPr>
          <xdr:cNvPr id="44" name="Group 43">
            <a:extLst>
              <a:ext uri="{FF2B5EF4-FFF2-40B4-BE49-F238E27FC236}">
                <a16:creationId xmlns:a16="http://schemas.microsoft.com/office/drawing/2014/main" id="{00000000-0008-0000-0300-00002C000000}"/>
              </a:ext>
            </a:extLst>
          </xdr:cNvPr>
          <xdr:cNvGrpSpPr/>
        </xdr:nvGrpSpPr>
        <xdr:grpSpPr>
          <a:xfrm>
            <a:off x="7138979" y="2378947"/>
            <a:ext cx="710550" cy="501799"/>
            <a:chOff x="2716066" y="2011251"/>
            <a:chExt cx="710550" cy="501799"/>
          </a:xfrm>
          <a:solidFill>
            <a:srgbClr val="FBF1BD"/>
          </a:solidFill>
        </xdr:grpSpPr>
        <xdr:sp macro="" textlink="">
          <xdr:nvSpPr>
            <xdr:cNvPr id="48" name="Freeform: Shape 54">
              <a:extLst>
                <a:ext uri="{FF2B5EF4-FFF2-40B4-BE49-F238E27FC236}">
                  <a16:creationId xmlns:a16="http://schemas.microsoft.com/office/drawing/2014/main" id="{00000000-0008-0000-0300-000030000000}"/>
                </a:ext>
              </a:extLst>
            </xdr:cNvPr>
            <xdr:cNvSpPr/>
          </xdr:nvSpPr>
          <xdr:spPr>
            <a:xfrm>
              <a:off x="2716066" y="2011251"/>
              <a:ext cx="710548" cy="102310"/>
            </a:xfrm>
            <a:custGeom>
              <a:avLst/>
              <a:gdLst>
                <a:gd name="connsiteX0" fmla="*/ 80328 w 710548"/>
                <a:gd name="connsiteY0" fmla="*/ 0 h 102310"/>
                <a:gd name="connsiteX1" fmla="*/ 630220 w 710548"/>
                <a:gd name="connsiteY1" fmla="*/ 0 h 102310"/>
                <a:gd name="connsiteX2" fmla="*/ 710548 w 710548"/>
                <a:gd name="connsiteY2" fmla="*/ 80328 h 102310"/>
                <a:gd name="connsiteX3" fmla="*/ 710548 w 710548"/>
                <a:gd name="connsiteY3" fmla="*/ 102310 h 102310"/>
                <a:gd name="connsiteX4" fmla="*/ 426341 w 710548"/>
                <a:gd name="connsiteY4" fmla="*/ 102310 h 102310"/>
                <a:gd name="connsiteX5" fmla="*/ 417706 w 710548"/>
                <a:gd name="connsiteY5" fmla="*/ 89503 h 102310"/>
                <a:gd name="connsiteX6" fmla="*/ 379637 w 710548"/>
                <a:gd name="connsiteY6" fmla="*/ 73734 h 102310"/>
                <a:gd name="connsiteX7" fmla="*/ 330912 w 710548"/>
                <a:gd name="connsiteY7" fmla="*/ 73734 h 102310"/>
                <a:gd name="connsiteX8" fmla="*/ 292843 w 710548"/>
                <a:gd name="connsiteY8" fmla="*/ 89503 h 102310"/>
                <a:gd name="connsiteX9" fmla="*/ 284208 w 710548"/>
                <a:gd name="connsiteY9" fmla="*/ 102310 h 102310"/>
                <a:gd name="connsiteX10" fmla="*/ 0 w 710548"/>
                <a:gd name="connsiteY10" fmla="*/ 102310 h 102310"/>
                <a:gd name="connsiteX11" fmla="*/ 0 w 710548"/>
                <a:gd name="connsiteY11" fmla="*/ 80328 h 102310"/>
                <a:gd name="connsiteX12" fmla="*/ 80328 w 710548"/>
                <a:gd name="connsiteY12" fmla="*/ 0 h 10231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710548" h="102310">
                  <a:moveTo>
                    <a:pt x="80328" y="0"/>
                  </a:moveTo>
                  <a:lnTo>
                    <a:pt x="630220" y="0"/>
                  </a:lnTo>
                  <a:cubicBezTo>
                    <a:pt x="674584" y="0"/>
                    <a:pt x="710548" y="35964"/>
                    <a:pt x="710548" y="80328"/>
                  </a:cubicBezTo>
                  <a:lnTo>
                    <a:pt x="710548" y="102310"/>
                  </a:lnTo>
                  <a:lnTo>
                    <a:pt x="426341" y="102310"/>
                  </a:lnTo>
                  <a:lnTo>
                    <a:pt x="417706" y="89503"/>
                  </a:lnTo>
                  <a:cubicBezTo>
                    <a:pt x="407964" y="79760"/>
                    <a:pt x="394504" y="73734"/>
                    <a:pt x="379637" y="73734"/>
                  </a:cubicBezTo>
                  <a:lnTo>
                    <a:pt x="330912" y="73734"/>
                  </a:lnTo>
                  <a:cubicBezTo>
                    <a:pt x="316045" y="73734"/>
                    <a:pt x="302586" y="79760"/>
                    <a:pt x="292843" y="89503"/>
                  </a:cubicBezTo>
                  <a:lnTo>
                    <a:pt x="284208" y="102310"/>
                  </a:lnTo>
                  <a:lnTo>
                    <a:pt x="0" y="102310"/>
                  </a:lnTo>
                  <a:lnTo>
                    <a:pt x="0" y="80328"/>
                  </a:lnTo>
                  <a:cubicBezTo>
                    <a:pt x="0" y="35964"/>
                    <a:pt x="35964" y="0"/>
                    <a:pt x="80328" y="0"/>
                  </a:cubicBez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49" name="Freeform: Shape 55">
              <a:extLst>
                <a:ext uri="{FF2B5EF4-FFF2-40B4-BE49-F238E27FC236}">
                  <a16:creationId xmlns:a16="http://schemas.microsoft.com/office/drawing/2014/main" id="{00000000-0008-0000-0300-000031000000}"/>
                </a:ext>
              </a:extLst>
            </xdr:cNvPr>
            <xdr:cNvSpPr/>
          </xdr:nvSpPr>
          <xdr:spPr>
            <a:xfrm>
              <a:off x="2716066" y="2410739"/>
              <a:ext cx="710548" cy="102311"/>
            </a:xfrm>
            <a:custGeom>
              <a:avLst/>
              <a:gdLst>
                <a:gd name="connsiteX0" fmla="*/ 0 w 710548"/>
                <a:gd name="connsiteY0" fmla="*/ 0 h 102311"/>
                <a:gd name="connsiteX1" fmla="*/ 284208 w 710548"/>
                <a:gd name="connsiteY1" fmla="*/ 0 h 102311"/>
                <a:gd name="connsiteX2" fmla="*/ 292843 w 710548"/>
                <a:gd name="connsiteY2" fmla="*/ 12807 h 102311"/>
                <a:gd name="connsiteX3" fmla="*/ 330912 w 710548"/>
                <a:gd name="connsiteY3" fmla="*/ 28576 h 102311"/>
                <a:gd name="connsiteX4" fmla="*/ 379637 w 710548"/>
                <a:gd name="connsiteY4" fmla="*/ 28576 h 102311"/>
                <a:gd name="connsiteX5" fmla="*/ 417706 w 710548"/>
                <a:gd name="connsiteY5" fmla="*/ 12807 h 102311"/>
                <a:gd name="connsiteX6" fmla="*/ 426341 w 710548"/>
                <a:gd name="connsiteY6" fmla="*/ 0 h 102311"/>
                <a:gd name="connsiteX7" fmla="*/ 710548 w 710548"/>
                <a:gd name="connsiteY7" fmla="*/ 0 h 102311"/>
                <a:gd name="connsiteX8" fmla="*/ 710548 w 710548"/>
                <a:gd name="connsiteY8" fmla="*/ 21983 h 102311"/>
                <a:gd name="connsiteX9" fmla="*/ 630220 w 710548"/>
                <a:gd name="connsiteY9" fmla="*/ 102311 h 102311"/>
                <a:gd name="connsiteX10" fmla="*/ 80328 w 710548"/>
                <a:gd name="connsiteY10" fmla="*/ 102311 h 102311"/>
                <a:gd name="connsiteX11" fmla="*/ 0 w 710548"/>
                <a:gd name="connsiteY11" fmla="*/ 21983 h 102311"/>
                <a:gd name="connsiteX12" fmla="*/ 0 w 710548"/>
                <a:gd name="connsiteY12" fmla="*/ 0 h 10231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710548" h="102311">
                  <a:moveTo>
                    <a:pt x="0" y="0"/>
                  </a:moveTo>
                  <a:lnTo>
                    <a:pt x="284208" y="0"/>
                  </a:lnTo>
                  <a:lnTo>
                    <a:pt x="292843" y="12807"/>
                  </a:lnTo>
                  <a:cubicBezTo>
                    <a:pt x="302586" y="22550"/>
                    <a:pt x="316045" y="28576"/>
                    <a:pt x="330912" y="28576"/>
                  </a:cubicBezTo>
                  <a:lnTo>
                    <a:pt x="379637" y="28576"/>
                  </a:lnTo>
                  <a:cubicBezTo>
                    <a:pt x="394504" y="28576"/>
                    <a:pt x="407964" y="22550"/>
                    <a:pt x="417706" y="12807"/>
                  </a:cubicBezTo>
                  <a:lnTo>
                    <a:pt x="426341" y="0"/>
                  </a:lnTo>
                  <a:lnTo>
                    <a:pt x="710548" y="0"/>
                  </a:lnTo>
                  <a:lnTo>
                    <a:pt x="710548" y="21983"/>
                  </a:lnTo>
                  <a:cubicBezTo>
                    <a:pt x="710548" y="66347"/>
                    <a:pt x="674584" y="102311"/>
                    <a:pt x="630220" y="102311"/>
                  </a:cubicBezTo>
                  <a:lnTo>
                    <a:pt x="80328" y="102311"/>
                  </a:lnTo>
                  <a:cubicBezTo>
                    <a:pt x="35964" y="102311"/>
                    <a:pt x="0" y="66347"/>
                    <a:pt x="0" y="21983"/>
                  </a:cubicBezTo>
                  <a:lnTo>
                    <a:pt x="0"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0" name="Freeform: Shape 56">
              <a:extLst>
                <a:ext uri="{FF2B5EF4-FFF2-40B4-BE49-F238E27FC236}">
                  <a16:creationId xmlns:a16="http://schemas.microsoft.com/office/drawing/2014/main" id="{00000000-0008-0000-0300-000032000000}"/>
                </a:ext>
              </a:extLst>
            </xdr:cNvPr>
            <xdr:cNvSpPr/>
          </xdr:nvSpPr>
          <xdr:spPr>
            <a:xfrm>
              <a:off x="2716066" y="2113561"/>
              <a:ext cx="284208" cy="148588"/>
            </a:xfrm>
            <a:custGeom>
              <a:avLst/>
              <a:gdLst>
                <a:gd name="connsiteX0" fmla="*/ 0 w 284208"/>
                <a:gd name="connsiteY0" fmla="*/ 0 h 148588"/>
                <a:gd name="connsiteX1" fmla="*/ 284208 w 284208"/>
                <a:gd name="connsiteY1" fmla="*/ 0 h 148588"/>
                <a:gd name="connsiteX2" fmla="*/ 281305 w 284208"/>
                <a:gd name="connsiteY2" fmla="*/ 4306 h 148588"/>
                <a:gd name="connsiteX3" fmla="*/ 277074 w 284208"/>
                <a:gd name="connsiteY3" fmla="*/ 25262 h 148588"/>
                <a:gd name="connsiteX4" fmla="*/ 277074 w 284208"/>
                <a:gd name="connsiteY4" fmla="*/ 148588 h 148588"/>
                <a:gd name="connsiteX5" fmla="*/ 0 w 284208"/>
                <a:gd name="connsiteY5" fmla="*/ 148588 h 148588"/>
                <a:gd name="connsiteX6" fmla="*/ 0 w 284208"/>
                <a:gd name="connsiteY6" fmla="*/ 0 h 1485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8" h="148588">
                  <a:moveTo>
                    <a:pt x="0" y="0"/>
                  </a:moveTo>
                  <a:lnTo>
                    <a:pt x="284208" y="0"/>
                  </a:lnTo>
                  <a:lnTo>
                    <a:pt x="281305" y="4306"/>
                  </a:lnTo>
                  <a:cubicBezTo>
                    <a:pt x="278581" y="10747"/>
                    <a:pt x="277074" y="17829"/>
                    <a:pt x="277074" y="25262"/>
                  </a:cubicBezTo>
                  <a:lnTo>
                    <a:pt x="277074" y="148588"/>
                  </a:lnTo>
                  <a:lnTo>
                    <a:pt x="0" y="148588"/>
                  </a:lnTo>
                  <a:lnTo>
                    <a:pt x="0"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1" name="Freeform: Shape 57">
              <a:extLst>
                <a:ext uri="{FF2B5EF4-FFF2-40B4-BE49-F238E27FC236}">
                  <a16:creationId xmlns:a16="http://schemas.microsoft.com/office/drawing/2014/main" id="{00000000-0008-0000-0300-000033000000}"/>
                </a:ext>
              </a:extLst>
            </xdr:cNvPr>
            <xdr:cNvSpPr/>
          </xdr:nvSpPr>
          <xdr:spPr>
            <a:xfrm>
              <a:off x="3142409" y="2113561"/>
              <a:ext cx="284207" cy="148588"/>
            </a:xfrm>
            <a:custGeom>
              <a:avLst/>
              <a:gdLst>
                <a:gd name="connsiteX0" fmla="*/ 0 w 284207"/>
                <a:gd name="connsiteY0" fmla="*/ 0 h 148588"/>
                <a:gd name="connsiteX1" fmla="*/ 284207 w 284207"/>
                <a:gd name="connsiteY1" fmla="*/ 0 h 148588"/>
                <a:gd name="connsiteX2" fmla="*/ 284207 w 284207"/>
                <a:gd name="connsiteY2" fmla="*/ 148588 h 148588"/>
                <a:gd name="connsiteX3" fmla="*/ 7134 w 284207"/>
                <a:gd name="connsiteY3" fmla="*/ 148588 h 148588"/>
                <a:gd name="connsiteX4" fmla="*/ 7134 w 284207"/>
                <a:gd name="connsiteY4" fmla="*/ 25262 h 148588"/>
                <a:gd name="connsiteX5" fmla="*/ 2903 w 284207"/>
                <a:gd name="connsiteY5" fmla="*/ 4306 h 148588"/>
                <a:gd name="connsiteX6" fmla="*/ 0 w 284207"/>
                <a:gd name="connsiteY6" fmla="*/ 0 h 1485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7" h="148588">
                  <a:moveTo>
                    <a:pt x="0" y="0"/>
                  </a:moveTo>
                  <a:lnTo>
                    <a:pt x="284207" y="0"/>
                  </a:lnTo>
                  <a:lnTo>
                    <a:pt x="284207" y="148588"/>
                  </a:lnTo>
                  <a:lnTo>
                    <a:pt x="7134" y="148588"/>
                  </a:lnTo>
                  <a:lnTo>
                    <a:pt x="7134" y="25262"/>
                  </a:lnTo>
                  <a:cubicBezTo>
                    <a:pt x="7134" y="17829"/>
                    <a:pt x="5628" y="10747"/>
                    <a:pt x="2903" y="4306"/>
                  </a:cubicBezTo>
                  <a:lnTo>
                    <a:pt x="0"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2" name="Freeform: Shape 58">
              <a:extLst>
                <a:ext uri="{FF2B5EF4-FFF2-40B4-BE49-F238E27FC236}">
                  <a16:creationId xmlns:a16="http://schemas.microsoft.com/office/drawing/2014/main" id="{00000000-0008-0000-0300-000034000000}"/>
                </a:ext>
              </a:extLst>
            </xdr:cNvPr>
            <xdr:cNvSpPr/>
          </xdr:nvSpPr>
          <xdr:spPr>
            <a:xfrm>
              <a:off x="2716066" y="2262150"/>
              <a:ext cx="284208" cy="148589"/>
            </a:xfrm>
            <a:custGeom>
              <a:avLst/>
              <a:gdLst>
                <a:gd name="connsiteX0" fmla="*/ 0 w 284208"/>
                <a:gd name="connsiteY0" fmla="*/ 0 h 148589"/>
                <a:gd name="connsiteX1" fmla="*/ 277074 w 284208"/>
                <a:gd name="connsiteY1" fmla="*/ 0 h 148589"/>
                <a:gd name="connsiteX2" fmla="*/ 277074 w 284208"/>
                <a:gd name="connsiteY2" fmla="*/ 123327 h 148589"/>
                <a:gd name="connsiteX3" fmla="*/ 281305 w 284208"/>
                <a:gd name="connsiteY3" fmla="*/ 144283 h 148589"/>
                <a:gd name="connsiteX4" fmla="*/ 284208 w 284208"/>
                <a:gd name="connsiteY4" fmla="*/ 148589 h 148589"/>
                <a:gd name="connsiteX5" fmla="*/ 0 w 284208"/>
                <a:gd name="connsiteY5" fmla="*/ 148589 h 148589"/>
                <a:gd name="connsiteX6" fmla="*/ 0 w 284208"/>
                <a:gd name="connsiteY6" fmla="*/ 0 h 1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8" h="148589">
                  <a:moveTo>
                    <a:pt x="0" y="0"/>
                  </a:moveTo>
                  <a:lnTo>
                    <a:pt x="277074" y="0"/>
                  </a:lnTo>
                  <a:lnTo>
                    <a:pt x="277074" y="123327"/>
                  </a:lnTo>
                  <a:cubicBezTo>
                    <a:pt x="277074" y="130761"/>
                    <a:pt x="278581" y="137842"/>
                    <a:pt x="281305" y="144283"/>
                  </a:cubicBezTo>
                  <a:lnTo>
                    <a:pt x="284208" y="148589"/>
                  </a:lnTo>
                  <a:lnTo>
                    <a:pt x="0" y="148589"/>
                  </a:lnTo>
                  <a:lnTo>
                    <a:pt x="0" y="0"/>
                  </a:lnTo>
                  <a:close/>
                </a:path>
              </a:pathLst>
            </a:custGeom>
            <a:grpFill/>
            <a:ln w="6350" cap="flat" cmpd="sng" algn="ctr">
              <a:solidFill>
                <a:srgbClr val="4472C4">
                  <a:shade val="15000"/>
                </a:srgbClr>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3" name="Freeform: Shape 59">
              <a:extLst>
                <a:ext uri="{FF2B5EF4-FFF2-40B4-BE49-F238E27FC236}">
                  <a16:creationId xmlns:a16="http://schemas.microsoft.com/office/drawing/2014/main" id="{00000000-0008-0000-0300-000035000000}"/>
                </a:ext>
              </a:extLst>
            </xdr:cNvPr>
            <xdr:cNvSpPr/>
          </xdr:nvSpPr>
          <xdr:spPr>
            <a:xfrm>
              <a:off x="3142409" y="2262150"/>
              <a:ext cx="284207" cy="148589"/>
            </a:xfrm>
            <a:custGeom>
              <a:avLst/>
              <a:gdLst>
                <a:gd name="connsiteX0" fmla="*/ 7134 w 284207"/>
                <a:gd name="connsiteY0" fmla="*/ 0 h 148589"/>
                <a:gd name="connsiteX1" fmla="*/ 284207 w 284207"/>
                <a:gd name="connsiteY1" fmla="*/ 0 h 148589"/>
                <a:gd name="connsiteX2" fmla="*/ 284207 w 284207"/>
                <a:gd name="connsiteY2" fmla="*/ 148589 h 148589"/>
                <a:gd name="connsiteX3" fmla="*/ 0 w 284207"/>
                <a:gd name="connsiteY3" fmla="*/ 148589 h 148589"/>
                <a:gd name="connsiteX4" fmla="*/ 2903 w 284207"/>
                <a:gd name="connsiteY4" fmla="*/ 144283 h 148589"/>
                <a:gd name="connsiteX5" fmla="*/ 7134 w 284207"/>
                <a:gd name="connsiteY5" fmla="*/ 123327 h 148589"/>
                <a:gd name="connsiteX6" fmla="*/ 7134 w 284207"/>
                <a:gd name="connsiteY6" fmla="*/ 0 h 1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7" h="148589">
                  <a:moveTo>
                    <a:pt x="7134" y="0"/>
                  </a:moveTo>
                  <a:lnTo>
                    <a:pt x="284207" y="0"/>
                  </a:lnTo>
                  <a:lnTo>
                    <a:pt x="284207" y="148589"/>
                  </a:lnTo>
                  <a:lnTo>
                    <a:pt x="0" y="148589"/>
                  </a:lnTo>
                  <a:lnTo>
                    <a:pt x="2903" y="144283"/>
                  </a:lnTo>
                  <a:cubicBezTo>
                    <a:pt x="5628" y="137842"/>
                    <a:pt x="7134" y="130761"/>
                    <a:pt x="7134" y="123327"/>
                  </a:cubicBezTo>
                  <a:lnTo>
                    <a:pt x="7134"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4" name="Rectangle: Rounded Corners 60">
              <a:extLst>
                <a:ext uri="{FF2B5EF4-FFF2-40B4-BE49-F238E27FC236}">
                  <a16:creationId xmlns:a16="http://schemas.microsoft.com/office/drawing/2014/main" id="{00000000-0008-0000-0300-000036000000}"/>
                </a:ext>
              </a:extLst>
            </xdr:cNvPr>
            <xdr:cNvSpPr/>
          </xdr:nvSpPr>
          <xdr:spPr>
            <a:xfrm>
              <a:off x="2993139" y="2084984"/>
              <a:ext cx="156401" cy="354330"/>
            </a:xfrm>
            <a:prstGeom prst="roundRect">
              <a:avLst>
                <a:gd name="adj" fmla="val 34423"/>
              </a:avLst>
            </a:prstGeom>
            <a:grpFill/>
            <a:ln w="6350" cap="flat" cmpd="sng" algn="ctr">
              <a:solidFill>
                <a:sysClr val="windowText" lastClr="000000"/>
              </a:solid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sp macro="" textlink="">
        <xdr:nvSpPr>
          <xdr:cNvPr id="45" name="Oval 44">
            <a:extLst>
              <a:ext uri="{FF2B5EF4-FFF2-40B4-BE49-F238E27FC236}">
                <a16:creationId xmlns:a16="http://schemas.microsoft.com/office/drawing/2014/main" id="{00000000-0008-0000-0300-00002D000000}"/>
              </a:ext>
            </a:extLst>
          </xdr:cNvPr>
          <xdr:cNvSpPr/>
        </xdr:nvSpPr>
        <xdr:spPr>
          <a:xfrm>
            <a:off x="10163787" y="1535610"/>
            <a:ext cx="504000" cy="504000"/>
          </a:xfrm>
          <a:prstGeom prst="ellipse">
            <a:avLst/>
          </a:prstGeom>
          <a:solidFill>
            <a:srgbClr val="FF0000"/>
          </a:solidFill>
          <a:ln w="12700" cap="flat" cmpd="sng" algn="ctr">
            <a:no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46" name="Oval 45">
            <a:extLst>
              <a:ext uri="{FF2B5EF4-FFF2-40B4-BE49-F238E27FC236}">
                <a16:creationId xmlns:a16="http://schemas.microsoft.com/office/drawing/2014/main" id="{00000000-0008-0000-0300-00002E000000}"/>
              </a:ext>
            </a:extLst>
          </xdr:cNvPr>
          <xdr:cNvSpPr/>
        </xdr:nvSpPr>
        <xdr:spPr>
          <a:xfrm>
            <a:off x="10414983" y="1535610"/>
            <a:ext cx="505609" cy="504000"/>
          </a:xfrm>
          <a:prstGeom prst="ellipse">
            <a:avLst/>
          </a:prstGeom>
          <a:solidFill>
            <a:srgbClr val="FFC000"/>
          </a:solidFill>
          <a:ln w="12700" cap="flat" cmpd="sng" algn="ctr">
            <a:no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47" name="TextBox 55">
            <a:extLst>
              <a:ext uri="{FF2B5EF4-FFF2-40B4-BE49-F238E27FC236}">
                <a16:creationId xmlns:a16="http://schemas.microsoft.com/office/drawing/2014/main" id="{00000000-0008-0000-0300-00002F000000}"/>
              </a:ext>
            </a:extLst>
          </xdr:cNvPr>
          <xdr:cNvSpPr txBox="1"/>
        </xdr:nvSpPr>
        <xdr:spPr>
          <a:xfrm>
            <a:off x="7227366" y="3183940"/>
            <a:ext cx="3547978" cy="708003"/>
          </a:xfrm>
          <a:prstGeom prst="rect">
            <a:avLst/>
          </a:prstGeom>
          <a:noFill/>
        </xdr:spPr>
        <xdr:txBody>
          <a:bodyPr wrap="square" rtlCol="0">
            <a:sp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ysClr val="window" lastClr="FFFFFF"/>
                </a:solidFill>
                <a:effectLst/>
                <a:uLnTx/>
                <a:uFillTx/>
                <a:latin typeface="Calibri" panose="020F0502020204030204"/>
                <a:ea typeface="+mn-ea"/>
                <a:cs typeface="+mn-cs"/>
              </a:rPr>
              <a:t>1234 …. …. 5678</a:t>
            </a: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19</xdr:col>
      <xdr:colOff>361656</xdr:colOff>
      <xdr:row>22</xdr:row>
      <xdr:rowOff>897</xdr:rowOff>
    </xdr:from>
    <xdr:to>
      <xdr:col>21</xdr:col>
      <xdr:colOff>460346</xdr:colOff>
      <xdr:row>25</xdr:row>
      <xdr:rowOff>34963</xdr:rowOff>
    </xdr:to>
    <xdr:sp macro="" textlink="Processing!M1">
      <xdr:nvSpPr>
        <xdr:cNvPr id="55" name="TextBox 54">
          <a:extLst>
            <a:ext uri="{FF2B5EF4-FFF2-40B4-BE49-F238E27FC236}">
              <a16:creationId xmlns:a16="http://schemas.microsoft.com/office/drawing/2014/main" id="{00000000-0008-0000-0300-000037000000}"/>
            </a:ext>
          </a:extLst>
        </xdr:cNvPr>
        <xdr:cNvSpPr txBox="1"/>
      </xdr:nvSpPr>
      <xdr:spPr>
        <a:xfrm>
          <a:off x="16046156" y="4471297"/>
          <a:ext cx="1749690" cy="643666"/>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B12FCFCA-9BDC-C64E-A0F1-6B3BE3916116}" type="TxLink">
            <a:rPr kumimoji="0" lang="en-US" sz="1800" b="0" i="0" u="none" strike="noStrike" kern="0" cap="none" spc="0" normalizeH="0" baseline="0" noProof="0">
              <a:ln>
                <a:noFill/>
              </a:ln>
              <a:solidFill>
                <a:srgbClr val="BFCDE4"/>
              </a:soli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Sum of Balance</a:t>
          </a:fld>
          <a:endParaRPr kumimoji="0" lang="ru-RU" sz="1800" b="0" i="0" u="none" strike="noStrike" kern="0" cap="none" spc="0" normalizeH="0" baseline="0" noProof="0">
            <a:ln>
              <a:noFill/>
            </a:ln>
            <a:solidFill>
              <a:srgbClr val="BFCDE4"/>
            </a:solidFill>
            <a:effectLst/>
            <a:uLnTx/>
            <a:uFillTx/>
            <a:latin typeface="Calibri"/>
            <a:ea typeface="+mn-ea"/>
            <a:cs typeface="Calibri"/>
          </a:endParaRPr>
        </a:p>
      </xdr:txBody>
    </xdr:sp>
    <xdr:clientData/>
  </xdr:twoCellAnchor>
  <xdr:twoCellAnchor>
    <xdr:from>
      <xdr:col>18</xdr:col>
      <xdr:colOff>157257</xdr:colOff>
      <xdr:row>22</xdr:row>
      <xdr:rowOff>897</xdr:rowOff>
    </xdr:from>
    <xdr:to>
      <xdr:col>20</xdr:col>
      <xdr:colOff>193195</xdr:colOff>
      <xdr:row>25</xdr:row>
      <xdr:rowOff>34963</xdr:rowOff>
    </xdr:to>
    <xdr:sp macro="" textlink="Processing!L1">
      <xdr:nvSpPr>
        <xdr:cNvPr id="56" name="TextBox 55">
          <a:extLst>
            <a:ext uri="{FF2B5EF4-FFF2-40B4-BE49-F238E27FC236}">
              <a16:creationId xmlns:a16="http://schemas.microsoft.com/office/drawing/2014/main" id="{00000000-0008-0000-0300-000038000000}"/>
            </a:ext>
          </a:extLst>
        </xdr:cNvPr>
        <xdr:cNvSpPr txBox="1"/>
      </xdr:nvSpPr>
      <xdr:spPr>
        <a:xfrm>
          <a:off x="15016257" y="4471297"/>
          <a:ext cx="1686938"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6682CC59-0BB1-8F4D-9A2A-460087FDEEA5}" type="TxLink">
            <a:rPr kumimoji="0" lang="en-US" sz="1800" b="0" i="0" u="none" strike="noStrike" kern="0" cap="none" spc="0" normalizeH="0" baseline="0" noProof="0">
              <a:ln>
                <a:noFill/>
              </a:ln>
              <a:solidFill>
                <a:srgbClr val="BFCDE4"/>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Balance:</a:t>
          </a:fld>
          <a:endParaRPr kumimoji="0" lang="ru-RU" sz="1800" b="0" i="0" u="none" strike="noStrike" kern="0" cap="none" spc="0" normalizeH="0" baseline="0" noProof="0">
            <a:ln>
              <a:noFill/>
            </a:ln>
            <a:solidFill>
              <a:srgbClr val="BFCDE4"/>
            </a:solidFill>
            <a:effectLst/>
            <a:uLnTx/>
            <a:uFillTx/>
            <a:latin typeface="Calibri"/>
            <a:ea typeface="+mn-ea"/>
            <a:cs typeface="Calibri"/>
          </a:endParaRPr>
        </a:p>
      </xdr:txBody>
    </xdr:sp>
    <xdr:clientData/>
  </xdr:twoCellAnchor>
  <xdr:twoCellAnchor>
    <xdr:from>
      <xdr:col>17</xdr:col>
      <xdr:colOff>648963</xdr:colOff>
      <xdr:row>27</xdr:row>
      <xdr:rowOff>159270</xdr:rowOff>
    </xdr:from>
    <xdr:to>
      <xdr:col>19</xdr:col>
      <xdr:colOff>747654</xdr:colOff>
      <xdr:row>30</xdr:row>
      <xdr:rowOff>193336</xdr:rowOff>
    </xdr:to>
    <xdr:sp macro="" textlink="Processing!G1">
      <xdr:nvSpPr>
        <xdr:cNvPr id="57" name="TextBox 56">
          <a:extLst>
            <a:ext uri="{FF2B5EF4-FFF2-40B4-BE49-F238E27FC236}">
              <a16:creationId xmlns:a16="http://schemas.microsoft.com/office/drawing/2014/main" id="{00000000-0008-0000-0300-000039000000}"/>
            </a:ext>
          </a:extLst>
        </xdr:cNvPr>
        <xdr:cNvSpPr txBox="1"/>
      </xdr:nvSpPr>
      <xdr:spPr>
        <a:xfrm>
          <a:off x="14682463" y="5645670"/>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70F2E913-E325-5748-85AB-E0B0F38A9FE5}"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Calendar</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18</xdr:col>
      <xdr:colOff>40344</xdr:colOff>
      <xdr:row>30</xdr:row>
      <xdr:rowOff>158378</xdr:rowOff>
    </xdr:from>
    <xdr:to>
      <xdr:col>21</xdr:col>
      <xdr:colOff>586858</xdr:colOff>
      <xdr:row>32</xdr:row>
      <xdr:rowOff>14568</xdr:rowOff>
    </xdr:to>
    <xdr:sp macro="" textlink="">
      <xdr:nvSpPr>
        <xdr:cNvPr id="59" name="TextBox 58">
          <a:extLst>
            <a:ext uri="{FF2B5EF4-FFF2-40B4-BE49-F238E27FC236}">
              <a16:creationId xmlns:a16="http://schemas.microsoft.com/office/drawing/2014/main" id="{00000000-0008-0000-0300-00003B000000}"/>
            </a:ext>
          </a:extLst>
        </xdr:cNvPr>
        <xdr:cNvSpPr txBox="1"/>
      </xdr:nvSpPr>
      <xdr:spPr>
        <a:xfrm>
          <a:off x="14899344" y="6254378"/>
          <a:ext cx="3023014" cy="262590"/>
        </a:xfrm>
        <a:prstGeom prst="rect">
          <a:avLst/>
        </a:prstGeom>
        <a:noFill/>
        <a:ln w="9525" cmpd="sng">
          <a:no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rgbClr val="FF00FF"/>
              </a:solidFill>
              <a:effectLst/>
              <a:uLnTx/>
              <a:uFillTx/>
              <a:latin typeface="Calibri Light" panose="020F0302020204030204"/>
              <a:ea typeface="+mn-ea"/>
              <a:cs typeface="Calibri"/>
            </a:rPr>
            <a:t>SU </a:t>
          </a:r>
          <a:r>
            <a:rPr kumimoji="0" lang="en-US" sz="1200" b="0" i="0" u="none" strike="noStrike" kern="0" cap="none" spc="0" normalizeH="0" baseline="0" noProof="0">
              <a:ln>
                <a:noFill/>
              </a:ln>
              <a:solidFill>
                <a:sysClr val="windowText" lastClr="000000"/>
              </a:solidFill>
              <a:effectLst/>
              <a:uLnTx/>
              <a:uFillTx/>
              <a:latin typeface="Calibri Light" panose="020F0302020204030204"/>
              <a:ea typeface="+mn-ea"/>
              <a:cs typeface="+mn-cs"/>
            </a:rPr>
            <a:t> </a:t>
          </a:r>
          <a:r>
            <a:rPr kumimoji="0" lang="en-US" sz="1200" b="0" i="0" u="none" strike="noStrike" kern="0" cap="none" spc="0" normalizeH="0" baseline="0" noProof="0">
              <a:ln>
                <a:noFill/>
              </a:ln>
              <a:solidFill>
                <a:srgbClr val="00FAE3"/>
              </a:solidFill>
              <a:effectLst/>
              <a:uLnTx/>
              <a:uFillTx/>
              <a:latin typeface="Calibri Light" panose="020F0302020204030204"/>
              <a:ea typeface="+mn-ea"/>
              <a:cs typeface="+mn-cs"/>
            </a:rPr>
            <a:t>   </a:t>
          </a:r>
          <a:r>
            <a:rPr kumimoji="0" lang="en-US" sz="1200" b="0" i="0" u="none" strike="noStrike" kern="0" cap="none" spc="0" normalizeH="0" baseline="0" noProof="0">
              <a:ln>
                <a:noFill/>
              </a:ln>
              <a:solidFill>
                <a:sysClr val="window" lastClr="FFFFFF">
                  <a:lumMod val="95000"/>
                </a:sysClr>
              </a:solidFill>
              <a:effectLst/>
              <a:uLnTx/>
              <a:uFillTx/>
              <a:latin typeface="Calibri Light" panose="020F0302020204030204"/>
              <a:ea typeface="+mn-ea"/>
              <a:cs typeface="Calibri"/>
            </a:rPr>
            <a:t>MO      TU      WE      TH      FR </a:t>
          </a:r>
          <a:r>
            <a:rPr kumimoji="0" lang="en-US" sz="1200" b="0" i="0" u="none" strike="noStrike" kern="0" cap="none" spc="0" normalizeH="0" baseline="0" noProof="0">
              <a:ln>
                <a:noFill/>
              </a:ln>
              <a:solidFill>
                <a:sysClr val="window" lastClr="FFFFFF">
                  <a:lumMod val="95000"/>
                </a:sysClr>
              </a:solidFill>
              <a:effectLst/>
              <a:uLnTx/>
              <a:uFillTx/>
              <a:latin typeface="Calibri Light" panose="020F0302020204030204"/>
              <a:ea typeface="+mn-ea"/>
              <a:cs typeface="+mn-cs"/>
            </a:rPr>
            <a:t>    </a:t>
          </a:r>
          <a:r>
            <a:rPr kumimoji="0" lang="en-US" sz="1200" b="1" i="0" u="none" strike="noStrike" kern="0" cap="none" spc="0" normalizeH="0" baseline="0" noProof="0">
              <a:ln>
                <a:noFill/>
              </a:ln>
              <a:solidFill>
                <a:srgbClr val="FF00FF"/>
              </a:solidFill>
              <a:effectLst/>
              <a:uLnTx/>
              <a:uFillTx/>
              <a:latin typeface="Calibri Light" panose="020F0302020204030204"/>
              <a:ea typeface="+mn-ea"/>
              <a:cs typeface="+mn-cs"/>
            </a:rPr>
            <a:t>SA</a:t>
          </a:r>
          <a:endParaRPr kumimoji="0" lang="en-US" sz="1200" b="1" i="0" u="none" strike="noStrike" kern="0" cap="none" spc="0" normalizeH="0" baseline="0" noProof="0">
            <a:ln>
              <a:noFill/>
            </a:ln>
            <a:solidFill>
              <a:srgbClr val="FF00FF"/>
            </a:solidFill>
            <a:effectLst/>
            <a:uLnTx/>
            <a:uFillTx/>
            <a:latin typeface="Calibri Light" panose="020F0302020204030204"/>
            <a:ea typeface="+mn-ea"/>
            <a:cs typeface="Calibri"/>
          </a:endParaRPr>
        </a:p>
      </xdr:txBody>
    </xdr:sp>
    <xdr:clientData/>
  </xdr:twoCellAnchor>
  <xdr:twoCellAnchor>
    <xdr:from>
      <xdr:col>18</xdr:col>
      <xdr:colOff>708382</xdr:colOff>
      <xdr:row>27</xdr:row>
      <xdr:rowOff>159270</xdr:rowOff>
    </xdr:from>
    <xdr:to>
      <xdr:col>20</xdr:col>
      <xdr:colOff>744320</xdr:colOff>
      <xdr:row>30</xdr:row>
      <xdr:rowOff>193336</xdr:rowOff>
    </xdr:to>
    <xdr:sp macro="" textlink="Processing!F3">
      <xdr:nvSpPr>
        <xdr:cNvPr id="60" name="TextBox 59">
          <a:extLst>
            <a:ext uri="{FF2B5EF4-FFF2-40B4-BE49-F238E27FC236}">
              <a16:creationId xmlns:a16="http://schemas.microsoft.com/office/drawing/2014/main" id="{00000000-0008-0000-0300-00003C000000}"/>
            </a:ext>
          </a:extLst>
        </xdr:cNvPr>
        <xdr:cNvSpPr txBox="1"/>
      </xdr:nvSpPr>
      <xdr:spPr>
        <a:xfrm>
          <a:off x="15567382" y="5645670"/>
          <a:ext cx="1686938" cy="643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70477952-12A0-974D-ACA0-E50B97A959D3}" type="TxLink">
            <a:rPr lang="en-US" sz="1400" b="0"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Maggio</a:t>
          </a:fld>
          <a:endParaRPr lang="ru-RU" sz="1400" b="0" i="0" u="none" strike="noStrike" noProof="0">
            <a:solidFill>
              <a:schemeClr val="bg1"/>
            </a:solidFill>
            <a:latin typeface="Calibri"/>
            <a:ea typeface="+mn-ea"/>
            <a:cs typeface="Calibri"/>
          </a:endParaRPr>
        </a:p>
      </xdr:txBody>
    </xdr:sp>
    <xdr:clientData/>
  </xdr:twoCellAnchor>
  <xdr:twoCellAnchor>
    <xdr:from>
      <xdr:col>20</xdr:col>
      <xdr:colOff>558800</xdr:colOff>
      <xdr:row>27</xdr:row>
      <xdr:rowOff>159270</xdr:rowOff>
    </xdr:from>
    <xdr:to>
      <xdr:col>21</xdr:col>
      <xdr:colOff>698748</xdr:colOff>
      <xdr:row>30</xdr:row>
      <xdr:rowOff>193336</xdr:rowOff>
    </xdr:to>
    <xdr:sp macro="" textlink="Processing!D1">
      <xdr:nvSpPr>
        <xdr:cNvPr id="61" name="TextBox 60">
          <a:extLst>
            <a:ext uri="{FF2B5EF4-FFF2-40B4-BE49-F238E27FC236}">
              <a16:creationId xmlns:a16="http://schemas.microsoft.com/office/drawing/2014/main" id="{00000000-0008-0000-0300-00003D000000}"/>
            </a:ext>
          </a:extLst>
        </xdr:cNvPr>
        <xdr:cNvSpPr txBox="1"/>
      </xdr:nvSpPr>
      <xdr:spPr>
        <a:xfrm>
          <a:off x="17068800" y="5645670"/>
          <a:ext cx="965448" cy="643666"/>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AF301532-FD9C-454E-BCFF-9011073A0A18}"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2025</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313763</xdr:colOff>
      <xdr:row>1</xdr:row>
      <xdr:rowOff>54468</xdr:rowOff>
    </xdr:from>
    <xdr:to>
      <xdr:col>2</xdr:col>
      <xdr:colOff>412454</xdr:colOff>
      <xdr:row>4</xdr:row>
      <xdr:rowOff>61000</xdr:rowOff>
    </xdr:to>
    <xdr:sp macro="" textlink="Processing!G3">
      <xdr:nvSpPr>
        <xdr:cNvPr id="64" name="TextBox 63">
          <a:extLst>
            <a:ext uri="{FF2B5EF4-FFF2-40B4-BE49-F238E27FC236}">
              <a16:creationId xmlns:a16="http://schemas.microsoft.com/office/drawing/2014/main" id="{00000000-0008-0000-0300-000040000000}"/>
            </a:ext>
          </a:extLst>
        </xdr:cNvPr>
        <xdr:cNvSpPr txBox="1"/>
      </xdr:nvSpPr>
      <xdr:spPr>
        <a:xfrm>
          <a:off x="313763" y="257668"/>
          <a:ext cx="1749691" cy="616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118AADDF-2B13-964A-9C60-16C033F36AE9}" type="TxLink">
            <a:rPr lang="en-US" sz="1200" b="0"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Personal Finance</a:t>
          </a:fld>
          <a:endParaRPr lang="ru-RU" sz="1200" b="0" i="0" u="none" strike="noStrike" noProof="0">
            <a:solidFill>
              <a:schemeClr val="bg1"/>
            </a:solidFill>
            <a:latin typeface="Calibri"/>
            <a:ea typeface="+mn-ea"/>
            <a:cs typeface="Calibri"/>
          </a:endParaRPr>
        </a:p>
      </xdr:txBody>
    </xdr:sp>
    <xdr:clientData/>
  </xdr:twoCellAnchor>
  <xdr:twoCellAnchor>
    <xdr:from>
      <xdr:col>9</xdr:col>
      <xdr:colOff>136011</xdr:colOff>
      <xdr:row>60</xdr:row>
      <xdr:rowOff>108439</xdr:rowOff>
    </xdr:from>
    <xdr:to>
      <xdr:col>17</xdr:col>
      <xdr:colOff>188411</xdr:colOff>
      <xdr:row>83</xdr:row>
      <xdr:rowOff>63500</xdr:rowOff>
    </xdr:to>
    <xdr:grpSp>
      <xdr:nvGrpSpPr>
        <xdr:cNvPr id="102" name="Group 101">
          <a:extLst>
            <a:ext uri="{FF2B5EF4-FFF2-40B4-BE49-F238E27FC236}">
              <a16:creationId xmlns:a16="http://schemas.microsoft.com/office/drawing/2014/main" id="{00000000-0008-0000-0300-000066000000}"/>
            </a:ext>
          </a:extLst>
        </xdr:cNvPr>
        <xdr:cNvGrpSpPr/>
      </xdr:nvGrpSpPr>
      <xdr:grpSpPr>
        <a:xfrm>
          <a:off x="7565511" y="11919439"/>
          <a:ext cx="6656400" cy="4482611"/>
          <a:chOff x="7547346" y="9481039"/>
          <a:chExt cx="6656400" cy="1800000"/>
        </a:xfrm>
      </xdr:grpSpPr>
      <xdr:sp macro="" textlink="">
        <xdr:nvSpPr>
          <xdr:cNvPr id="6" name="Rectangle: Rounded Corners 5">
            <a:extLst>
              <a:ext uri="{FF2B5EF4-FFF2-40B4-BE49-F238E27FC236}">
                <a16:creationId xmlns:a16="http://schemas.microsoft.com/office/drawing/2014/main" id="{00000000-0008-0000-0300-000006000000}"/>
              </a:ext>
            </a:extLst>
          </xdr:cNvPr>
          <xdr:cNvSpPr/>
        </xdr:nvSpPr>
        <xdr:spPr>
          <a:xfrm>
            <a:off x="7553629" y="9481039"/>
            <a:ext cx="6643834" cy="1800000"/>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grpSp>
        <xdr:nvGrpSpPr>
          <xdr:cNvPr id="15" name="Group 14">
            <a:extLst>
              <a:ext uri="{FF2B5EF4-FFF2-40B4-BE49-F238E27FC236}">
                <a16:creationId xmlns:a16="http://schemas.microsoft.com/office/drawing/2014/main" id="{00000000-0008-0000-0300-00000F000000}"/>
              </a:ext>
            </a:extLst>
          </xdr:cNvPr>
          <xdr:cNvGrpSpPr/>
        </xdr:nvGrpSpPr>
        <xdr:grpSpPr>
          <a:xfrm>
            <a:off x="7547346" y="9548548"/>
            <a:ext cx="6656400" cy="1673177"/>
            <a:chOff x="7646891" y="7831394"/>
            <a:chExt cx="6651913" cy="1673177"/>
          </a:xfrm>
        </xdr:grpSpPr>
        <xdr:sp macro="" textlink="Processing!R8">
          <xdr:nvSpPr>
            <xdr:cNvPr id="62" name="TextBox 61">
              <a:extLst>
                <a:ext uri="{FF2B5EF4-FFF2-40B4-BE49-F238E27FC236}">
                  <a16:creationId xmlns:a16="http://schemas.microsoft.com/office/drawing/2014/main" id="{00000000-0008-0000-0300-00003E000000}"/>
                </a:ext>
              </a:extLst>
            </xdr:cNvPr>
            <xdr:cNvSpPr txBox="1"/>
          </xdr:nvSpPr>
          <xdr:spPr>
            <a:xfrm>
              <a:off x="7771953" y="7831394"/>
              <a:ext cx="1749691" cy="439150"/>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0C0C1F19-EBA4-9C42-8D0D-7526A29B060E}" type="TxLink">
                <a:rPr kumimoji="0" lang="en-US" sz="1400" b="1"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Used Budget</a:t>
              </a:fld>
              <a:endParaRPr kumimoji="0" lang="ru-RU" sz="1400" b="1" i="0" u="none" strike="noStrike" kern="0" cap="none" spc="0" normalizeH="0" baseline="0" noProof="0">
                <a:ln>
                  <a:noFill/>
                </a:ln>
                <a:solidFill>
                  <a:sysClr val="window" lastClr="FFFFFF"/>
                </a:solidFill>
                <a:effectLst/>
                <a:uLnTx/>
                <a:uFillTx/>
                <a:latin typeface="Calibri"/>
                <a:ea typeface="+mn-ea"/>
                <a:cs typeface="Calibri"/>
              </a:endParaRPr>
            </a:p>
          </xdr:txBody>
        </xdr:sp>
        <xdr:graphicFrame macro="">
          <xdr:nvGraphicFramePr>
            <xdr:cNvPr id="63" name="Chart 62">
              <a:extLst>
                <a:ext uri="{FF2B5EF4-FFF2-40B4-BE49-F238E27FC236}">
                  <a16:creationId xmlns:a16="http://schemas.microsoft.com/office/drawing/2014/main" id="{00000000-0008-0000-0300-00003F000000}"/>
                </a:ext>
              </a:extLst>
            </xdr:cNvPr>
            <xdr:cNvGraphicFramePr>
              <a:graphicFrameLocks/>
            </xdr:cNvGraphicFramePr>
          </xdr:nvGraphicFramePr>
          <xdr:xfrm>
            <a:off x="7646891" y="8161022"/>
            <a:ext cx="6605503" cy="1343549"/>
          </xdr:xfrm>
          <a:graphic>
            <a:graphicData uri="http://schemas.openxmlformats.org/drawingml/2006/chart">
              <c:chart xmlns:c="http://schemas.openxmlformats.org/drawingml/2006/chart" xmlns:r="http://schemas.openxmlformats.org/officeDocument/2006/relationships" r:id="rId7"/>
            </a:graphicData>
          </a:graphic>
        </xdr:graphicFrame>
        <xdr:grpSp>
          <xdr:nvGrpSpPr>
            <xdr:cNvPr id="67" name="Group 66">
              <a:extLst>
                <a:ext uri="{FF2B5EF4-FFF2-40B4-BE49-F238E27FC236}">
                  <a16:creationId xmlns:a16="http://schemas.microsoft.com/office/drawing/2014/main" id="{00000000-0008-0000-0300-000043000000}"/>
                </a:ext>
              </a:extLst>
            </xdr:cNvPr>
            <xdr:cNvGrpSpPr/>
          </xdr:nvGrpSpPr>
          <xdr:grpSpPr>
            <a:xfrm>
              <a:off x="9251568" y="7832371"/>
              <a:ext cx="2577601" cy="437196"/>
              <a:chOff x="8489574" y="6487739"/>
              <a:chExt cx="2315175" cy="598844"/>
            </a:xfrm>
          </xdr:grpSpPr>
          <xdr:sp macro="" textlink="Processing!A104">
            <xdr:nvSpPr>
              <xdr:cNvPr id="68" name="TextBox 67">
                <a:extLst>
                  <a:ext uri="{FF2B5EF4-FFF2-40B4-BE49-F238E27FC236}">
                    <a16:creationId xmlns:a16="http://schemas.microsoft.com/office/drawing/2014/main" id="{00000000-0008-0000-0300-000044000000}"/>
                  </a:ext>
                </a:extLst>
              </xdr:cNvPr>
              <xdr:cNvSpPr txBox="1"/>
            </xdr:nvSpPr>
            <xdr:spPr>
              <a:xfrm>
                <a:off x="8606696" y="6487739"/>
                <a:ext cx="1290440" cy="598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9889E0E6-F932-E34A-8995-A1DCAD78FB7D}" type="TxLink">
                  <a:rPr lang="en-US" sz="1400" b="1" i="0" u="none" strike="noStrike" noProof="0">
                    <a:gradFill>
                      <a:gsLst>
                        <a:gs pos="13000">
                          <a:srgbClr val="B871FF"/>
                        </a:gs>
                        <a:gs pos="76000">
                          <a:srgbClr val="C7D5ED"/>
                        </a:gs>
                      </a:gsLst>
                      <a:lin ang="2700000" scaled="1"/>
                    </a:gra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Uscite Fisse</a:t>
                </a:fld>
                <a:endParaRPr lang="ru-RU" sz="1400" b="1" i="0" u="none" strike="noStrike" noProof="0">
                  <a:gradFill>
                    <a:gsLst>
                      <a:gs pos="13000">
                        <a:srgbClr val="B871FF"/>
                      </a:gs>
                      <a:gs pos="76000">
                        <a:srgbClr val="C7D5ED"/>
                      </a:gs>
                    </a:gsLst>
                    <a:lin ang="2700000" scaled="1"/>
                  </a:gradFill>
                  <a:latin typeface="Calibri"/>
                  <a:ea typeface="+mn-ea"/>
                  <a:cs typeface="Calibri"/>
                </a:endParaRPr>
              </a:p>
            </xdr:txBody>
          </xdr:sp>
          <xdr:sp macro="" textlink="">
            <xdr:nvSpPr>
              <xdr:cNvPr id="69" name="Oval 68">
                <a:extLst>
                  <a:ext uri="{FF2B5EF4-FFF2-40B4-BE49-F238E27FC236}">
                    <a16:creationId xmlns:a16="http://schemas.microsoft.com/office/drawing/2014/main" id="{00000000-0008-0000-0300-000045000000}"/>
                  </a:ext>
                </a:extLst>
              </xdr:cNvPr>
              <xdr:cNvSpPr/>
            </xdr:nvSpPr>
            <xdr:spPr>
              <a:xfrm>
                <a:off x="8489574" y="6739222"/>
                <a:ext cx="161565" cy="95880"/>
              </a:xfrm>
              <a:prstGeom prst="ellipse">
                <a:avLst/>
              </a:prstGeom>
              <a:gradFill>
                <a:gsLst>
                  <a:gs pos="13000">
                    <a:srgbClr val="B871FF"/>
                  </a:gs>
                  <a:gs pos="76000">
                    <a:srgbClr val="C7D5ED"/>
                  </a:gs>
                </a:gsLst>
                <a:lin ang="2700000" scaled="1"/>
              </a:gra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Processing!B147">
            <xdr:nvSpPr>
              <xdr:cNvPr id="70" name="TextBox 69">
                <a:extLst>
                  <a:ext uri="{FF2B5EF4-FFF2-40B4-BE49-F238E27FC236}">
                    <a16:creationId xmlns:a16="http://schemas.microsoft.com/office/drawing/2014/main" id="{00000000-0008-0000-0300-000046000000}"/>
                  </a:ext>
                </a:extLst>
              </xdr:cNvPr>
              <xdr:cNvSpPr txBox="1"/>
            </xdr:nvSpPr>
            <xdr:spPr>
              <a:xfrm>
                <a:off x="9514309" y="6487741"/>
                <a:ext cx="1290440" cy="598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311E77BB-1FA4-0B42-A2F1-251085476946}" type="TxLink">
                  <a:rPr lang="en-US" sz="1800" b="0" i="0" u="none" strike="noStrike" noProof="0">
                    <a:gradFill>
                      <a:gsLst>
                        <a:gs pos="13000">
                          <a:srgbClr val="B871FF"/>
                        </a:gs>
                        <a:gs pos="76000">
                          <a:srgbClr val="C7D5ED"/>
                        </a:gs>
                      </a:gsLst>
                      <a:lin ang="2700000" scaled="1"/>
                    </a:gra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 € 217 </a:t>
                </a:fld>
                <a:endParaRPr lang="ru-RU" sz="1800" b="0" i="0" u="none" strike="noStrike" noProof="0">
                  <a:gradFill>
                    <a:gsLst>
                      <a:gs pos="13000">
                        <a:srgbClr val="B871FF"/>
                      </a:gs>
                      <a:gs pos="76000">
                        <a:srgbClr val="C7D5ED"/>
                      </a:gs>
                    </a:gsLst>
                    <a:lin ang="2700000" scaled="1"/>
                  </a:gradFill>
                  <a:latin typeface="Calibri"/>
                  <a:ea typeface="+mn-ea"/>
                  <a:cs typeface="Calibri"/>
                </a:endParaRPr>
              </a:p>
            </xdr:txBody>
          </xdr:sp>
        </xdr:grpSp>
        <xdr:grpSp>
          <xdr:nvGrpSpPr>
            <xdr:cNvPr id="9" name="Group 8">
              <a:extLst>
                <a:ext uri="{FF2B5EF4-FFF2-40B4-BE49-F238E27FC236}">
                  <a16:creationId xmlns:a16="http://schemas.microsoft.com/office/drawing/2014/main" id="{00000000-0008-0000-0300-000009000000}"/>
                </a:ext>
              </a:extLst>
            </xdr:cNvPr>
            <xdr:cNvGrpSpPr/>
          </xdr:nvGrpSpPr>
          <xdr:grpSpPr>
            <a:xfrm>
              <a:off x="11627221" y="7831396"/>
              <a:ext cx="2671583" cy="439155"/>
              <a:chOff x="11627221" y="6981462"/>
              <a:chExt cx="2671583" cy="643671"/>
            </a:xfrm>
          </xdr:grpSpPr>
          <xdr:sp macro="" textlink="Processing!A64">
            <xdr:nvSpPr>
              <xdr:cNvPr id="65" name="TextBox 64">
                <a:extLst>
                  <a:ext uri="{FF2B5EF4-FFF2-40B4-BE49-F238E27FC236}">
                    <a16:creationId xmlns:a16="http://schemas.microsoft.com/office/drawing/2014/main" id="{00000000-0008-0000-0300-000041000000}"/>
                  </a:ext>
                </a:extLst>
              </xdr:cNvPr>
              <xdr:cNvSpPr txBox="1"/>
            </xdr:nvSpPr>
            <xdr:spPr>
              <a:xfrm>
                <a:off x="11744343" y="6981468"/>
                <a:ext cx="1415946" cy="643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7EF58891-B5B2-CA44-A16C-E6FD6C02E320}" type="TxLink">
                  <a:rPr lang="en-US" sz="1400" b="1" i="0" u="none" strike="noStrike" noProof="0">
                    <a:gradFill>
                      <a:gsLst>
                        <a:gs pos="0">
                          <a:srgbClr val="55E7F9"/>
                        </a:gs>
                        <a:gs pos="100000">
                          <a:srgbClr val="0C68BE"/>
                        </a:gs>
                      </a:gsLst>
                      <a:lin ang="5400000" scaled="1"/>
                    </a:gra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Uscite Varie</a:t>
                </a:fld>
                <a:endParaRPr lang="ru-RU" sz="1400" b="1" i="0" u="none" strike="noStrike" noProof="0">
                  <a:gradFill>
                    <a:gsLst>
                      <a:gs pos="0">
                        <a:srgbClr val="55E7F9"/>
                      </a:gs>
                      <a:gs pos="100000">
                        <a:srgbClr val="0C68BE"/>
                      </a:gs>
                    </a:gsLst>
                    <a:lin ang="5400000" scaled="1"/>
                  </a:gradFill>
                  <a:latin typeface="Calibri"/>
                  <a:ea typeface="+mn-ea"/>
                  <a:cs typeface="Calibri"/>
                </a:endParaRPr>
              </a:p>
            </xdr:txBody>
          </xdr:sp>
          <xdr:sp macro="" textlink="">
            <xdr:nvSpPr>
              <xdr:cNvPr id="66" name="Oval 65">
                <a:extLst>
                  <a:ext uri="{FF2B5EF4-FFF2-40B4-BE49-F238E27FC236}">
                    <a16:creationId xmlns:a16="http://schemas.microsoft.com/office/drawing/2014/main" id="{00000000-0008-0000-0300-000042000000}"/>
                  </a:ext>
                </a:extLst>
              </xdr:cNvPr>
              <xdr:cNvSpPr/>
            </xdr:nvSpPr>
            <xdr:spPr>
              <a:xfrm>
                <a:off x="11627221" y="7252003"/>
                <a:ext cx="179879" cy="102597"/>
              </a:xfrm>
              <a:prstGeom prst="ellipse">
                <a:avLst/>
              </a:prstGeom>
              <a:gradFill>
                <a:gsLst>
                  <a:gs pos="0">
                    <a:srgbClr val="55E7F9"/>
                  </a:gs>
                  <a:gs pos="100000">
                    <a:srgbClr val="0C68BE"/>
                  </a:gs>
                </a:gsLst>
                <a:lin ang="5400000" scaled="1"/>
              </a:gra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Processing!C147">
            <xdr:nvSpPr>
              <xdr:cNvPr id="71" name="TextBox 70">
                <a:extLst>
                  <a:ext uri="{FF2B5EF4-FFF2-40B4-BE49-F238E27FC236}">
                    <a16:creationId xmlns:a16="http://schemas.microsoft.com/office/drawing/2014/main" id="{00000000-0008-0000-0300-000047000000}"/>
                  </a:ext>
                </a:extLst>
              </xdr:cNvPr>
              <xdr:cNvSpPr txBox="1"/>
            </xdr:nvSpPr>
            <xdr:spPr>
              <a:xfrm>
                <a:off x="12882858" y="6981462"/>
                <a:ext cx="1415946" cy="643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0454BDAE-A516-2B48-A374-6F038C6D4137}" type="TxLink">
                  <a:rPr lang="en-US" sz="1800" b="0" i="0" u="none" strike="noStrike" noProof="0">
                    <a:gradFill>
                      <a:gsLst>
                        <a:gs pos="0">
                          <a:srgbClr val="55E7F9"/>
                        </a:gs>
                        <a:gs pos="100000">
                          <a:srgbClr val="0C68BE"/>
                        </a:gs>
                      </a:gsLst>
                      <a:lin ang="5400000" scaled="1"/>
                    </a:gra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 € 141 </a:t>
                </a:fld>
                <a:endParaRPr lang="ru-RU" sz="1800" b="0" i="0" u="none" strike="noStrike" noProof="0">
                  <a:gradFill>
                    <a:gsLst>
                      <a:gs pos="0">
                        <a:srgbClr val="55E7F9"/>
                      </a:gs>
                      <a:gs pos="100000">
                        <a:srgbClr val="0C68BE"/>
                      </a:gs>
                    </a:gsLst>
                    <a:lin ang="5400000" scaled="1"/>
                  </a:gradFill>
                  <a:latin typeface="Calibri"/>
                  <a:ea typeface="+mn-ea"/>
                  <a:cs typeface="Calibri"/>
                </a:endParaRPr>
              </a:p>
            </xdr:txBody>
          </xdr:sp>
        </xdr:grpSp>
      </xdr:grpSp>
    </xdr:grpSp>
    <xdr:clientData/>
  </xdr:twoCellAnchor>
  <xdr:twoCellAnchor>
    <xdr:from>
      <xdr:col>9</xdr:col>
      <xdr:colOff>148711</xdr:colOff>
      <xdr:row>10</xdr:row>
      <xdr:rowOff>21370</xdr:rowOff>
    </xdr:from>
    <xdr:to>
      <xdr:col>17</xdr:col>
      <xdr:colOff>201111</xdr:colOff>
      <xdr:row>53</xdr:row>
      <xdr:rowOff>25400</xdr:rowOff>
    </xdr:to>
    <xdr:sp macro="" textlink="">
      <xdr:nvSpPr>
        <xdr:cNvPr id="72" name="Rectangle: Rounded Corners 104">
          <a:extLst>
            <a:ext uri="{FF2B5EF4-FFF2-40B4-BE49-F238E27FC236}">
              <a16:creationId xmlns:a16="http://schemas.microsoft.com/office/drawing/2014/main" id="{00000000-0008-0000-0300-000048000000}"/>
            </a:ext>
          </a:extLst>
        </xdr:cNvPr>
        <xdr:cNvSpPr/>
      </xdr:nvSpPr>
      <xdr:spPr>
        <a:xfrm>
          <a:off x="7578211" y="2053370"/>
          <a:ext cx="6656400" cy="8741630"/>
        </a:xfrm>
        <a:prstGeom prst="roundRect">
          <a:avLst>
            <a:gd name="adj" fmla="val 281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2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437029</xdr:colOff>
      <xdr:row>11</xdr:row>
      <xdr:rowOff>127000</xdr:rowOff>
    </xdr:from>
    <xdr:to>
      <xdr:col>8</xdr:col>
      <xdr:colOff>522940</xdr:colOff>
      <xdr:row>82</xdr:row>
      <xdr:rowOff>190500</xdr:rowOff>
    </xdr:to>
    <xdr:graphicFrame macro="">
      <xdr:nvGraphicFramePr>
        <xdr:cNvPr id="73" name="Chart 72">
          <a:extLst>
            <a:ext uri="{FF2B5EF4-FFF2-40B4-BE49-F238E27FC236}">
              <a16:creationId xmlns:a16="http://schemas.microsoft.com/office/drawing/2014/main" id="{00000000-0008-0000-0300-00004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215899</xdr:colOff>
      <xdr:row>10</xdr:row>
      <xdr:rowOff>127993</xdr:rowOff>
    </xdr:from>
    <xdr:to>
      <xdr:col>13</xdr:col>
      <xdr:colOff>81899</xdr:colOff>
      <xdr:row>53</xdr:row>
      <xdr:rowOff>25400</xdr:rowOff>
    </xdr:to>
    <xdr:grpSp>
      <xdr:nvGrpSpPr>
        <xdr:cNvPr id="14" name="Group 13">
          <a:extLst>
            <a:ext uri="{FF2B5EF4-FFF2-40B4-BE49-F238E27FC236}">
              <a16:creationId xmlns:a16="http://schemas.microsoft.com/office/drawing/2014/main" id="{00000000-0008-0000-0300-00000E000000}"/>
            </a:ext>
          </a:extLst>
        </xdr:cNvPr>
        <xdr:cNvGrpSpPr/>
      </xdr:nvGrpSpPr>
      <xdr:grpSpPr>
        <a:xfrm>
          <a:off x="7645399" y="2096493"/>
          <a:ext cx="3168000" cy="8361957"/>
          <a:chOff x="7645399" y="2159993"/>
          <a:chExt cx="3168000" cy="5358257"/>
        </a:xfrm>
      </xdr:grpSpPr>
      <xdr:sp macro="" textlink="Processing!A104">
        <xdr:nvSpPr>
          <xdr:cNvPr id="74" name="TextBox 73">
            <a:extLst>
              <a:ext uri="{FF2B5EF4-FFF2-40B4-BE49-F238E27FC236}">
                <a16:creationId xmlns:a16="http://schemas.microsoft.com/office/drawing/2014/main" id="{00000000-0008-0000-0300-00004A000000}"/>
              </a:ext>
            </a:extLst>
          </xdr:cNvPr>
          <xdr:cNvSpPr txBox="1"/>
        </xdr:nvSpPr>
        <xdr:spPr>
          <a:xfrm>
            <a:off x="8635399" y="2159993"/>
            <a:ext cx="1188000" cy="183600"/>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14EBBA12-C013-CE49-AF87-C2A42B25AAFE}" type="TxLink">
              <a:rPr kumimoji="0" lang="en-US" sz="1600" b="1"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Uscite Fisse</a:t>
            </a:fld>
            <a:endParaRPr kumimoji="0" lang="ru-RU" sz="1600" b="1" i="0" u="none" strike="noStrike" kern="0" cap="none" spc="0" normalizeH="0" baseline="0" noProof="0">
              <a:ln>
                <a:noFill/>
              </a:ln>
              <a:solidFill>
                <a:sysClr val="window" lastClr="FFFFFF"/>
              </a:solidFill>
              <a:effectLst/>
              <a:uLnTx/>
              <a:uFillTx/>
              <a:latin typeface="Calibri"/>
              <a:ea typeface="+mn-ea"/>
              <a:cs typeface="Calibri"/>
            </a:endParaRPr>
          </a:p>
        </xdr:txBody>
      </xdr:sp>
      <xdr:graphicFrame macro="">
        <xdr:nvGraphicFramePr>
          <xdr:cNvPr id="75" name="Chart 74">
            <a:extLst>
              <a:ext uri="{FF2B5EF4-FFF2-40B4-BE49-F238E27FC236}">
                <a16:creationId xmlns:a16="http://schemas.microsoft.com/office/drawing/2014/main" id="{00000000-0008-0000-0300-00004B000000}"/>
              </a:ext>
            </a:extLst>
          </xdr:cNvPr>
          <xdr:cNvGraphicFramePr>
            <a:graphicFrameLocks/>
          </xdr:cNvGraphicFramePr>
        </xdr:nvGraphicFramePr>
        <xdr:xfrm>
          <a:off x="7645399" y="2222650"/>
          <a:ext cx="3168000" cy="5295600"/>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13</xdr:col>
      <xdr:colOff>245388</xdr:colOff>
      <xdr:row>10</xdr:row>
      <xdr:rowOff>127993</xdr:rowOff>
    </xdr:from>
    <xdr:to>
      <xdr:col>17</xdr:col>
      <xdr:colOff>111388</xdr:colOff>
      <xdr:row>53</xdr:row>
      <xdr:rowOff>25400</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10976888" y="2096493"/>
          <a:ext cx="3168000" cy="8361957"/>
          <a:chOff x="10976888" y="2159993"/>
          <a:chExt cx="3168000" cy="5358407"/>
        </a:xfrm>
      </xdr:grpSpPr>
      <xdr:sp macro="" textlink="Processing!A64">
        <xdr:nvSpPr>
          <xdr:cNvPr id="76" name="TextBox 75">
            <a:extLst>
              <a:ext uri="{FF2B5EF4-FFF2-40B4-BE49-F238E27FC236}">
                <a16:creationId xmlns:a16="http://schemas.microsoft.com/office/drawing/2014/main" id="{00000000-0008-0000-0300-00004C000000}"/>
              </a:ext>
            </a:extLst>
          </xdr:cNvPr>
          <xdr:cNvSpPr txBox="1"/>
        </xdr:nvSpPr>
        <xdr:spPr>
          <a:xfrm>
            <a:off x="11948888" y="2159993"/>
            <a:ext cx="1224000" cy="183600"/>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58E9D4A0-6B1B-F641-B4A6-48206808D828}" type="TxLink">
              <a:rPr kumimoji="0" lang="en-US" sz="1600" b="1"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Uscite Varie</a:t>
            </a:fld>
            <a:endParaRPr kumimoji="0" lang="ru-RU" sz="1600" b="1" i="0" u="none" strike="noStrike" kern="0" cap="none" spc="0" normalizeH="0" baseline="0" noProof="0">
              <a:ln>
                <a:noFill/>
              </a:ln>
              <a:solidFill>
                <a:sysClr val="window" lastClr="FFFFFF"/>
              </a:solidFill>
              <a:effectLst/>
              <a:uLnTx/>
              <a:uFillTx/>
              <a:latin typeface="Calibri"/>
              <a:ea typeface="+mn-ea"/>
              <a:cs typeface="Calibri"/>
            </a:endParaRPr>
          </a:p>
        </xdr:txBody>
      </xdr:sp>
      <xdr:graphicFrame macro="">
        <xdr:nvGraphicFramePr>
          <xdr:cNvPr id="77" name="Chart 76">
            <a:extLst>
              <a:ext uri="{FF2B5EF4-FFF2-40B4-BE49-F238E27FC236}">
                <a16:creationId xmlns:a16="http://schemas.microsoft.com/office/drawing/2014/main" id="{00000000-0008-0000-0300-00004D000000}"/>
              </a:ext>
            </a:extLst>
          </xdr:cNvPr>
          <xdr:cNvGraphicFramePr>
            <a:graphicFrameLocks/>
          </xdr:cNvGraphicFramePr>
        </xdr:nvGraphicFramePr>
        <xdr:xfrm>
          <a:off x="10976888" y="2222500"/>
          <a:ext cx="3168000" cy="5295900"/>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editAs="oneCell">
    <xdr:from>
      <xdr:col>18</xdr:col>
      <xdr:colOff>55023</xdr:colOff>
      <xdr:row>32</xdr:row>
      <xdr:rowOff>122086</xdr:rowOff>
    </xdr:from>
    <xdr:to>
      <xdr:col>21</xdr:col>
      <xdr:colOff>606123</xdr:colOff>
      <xdr:row>46</xdr:row>
      <xdr:rowOff>168086</xdr:rowOff>
    </xdr:to>
    <mc:AlternateContent xmlns:mc="http://schemas.openxmlformats.org/markup-compatibility/2006" xmlns:a14="http://schemas.microsoft.com/office/drawing/2010/main">
      <mc:Choice Requires="a14">
        <xdr:graphicFrame macro="">
          <xdr:nvGraphicFramePr>
            <xdr:cNvPr id="83" name="Giorno 3">
              <a:extLst>
                <a:ext uri="{FF2B5EF4-FFF2-40B4-BE49-F238E27FC236}">
                  <a16:creationId xmlns:a16="http://schemas.microsoft.com/office/drawing/2014/main" id="{00000000-0008-0000-0300-000053000000}"/>
                </a:ext>
              </a:extLst>
            </xdr:cNvPr>
            <xdr:cNvGraphicFramePr/>
          </xdr:nvGraphicFramePr>
          <xdr:xfrm>
            <a:off x="0" y="0"/>
            <a:ext cx="0" cy="0"/>
          </xdr:xfrm>
          <a:graphic>
            <a:graphicData uri="http://schemas.microsoft.com/office/drawing/2010/slicer">
              <sle:slicer xmlns:sle="http://schemas.microsoft.com/office/drawing/2010/slicer" name="Giorno 3"/>
            </a:graphicData>
          </a:graphic>
        </xdr:graphicFrame>
      </mc:Choice>
      <mc:Fallback xmlns="">
        <xdr:sp macro="" textlink="">
          <xdr:nvSpPr>
            <xdr:cNvPr id="0" name=""/>
            <xdr:cNvSpPr>
              <a:spLocks noTextEdit="1"/>
            </xdr:cNvSpPr>
          </xdr:nvSpPr>
          <xdr:spPr>
            <a:xfrm>
              <a:off x="14914023" y="6624486"/>
              <a:ext cx="3027600" cy="2890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177800</xdr:colOff>
      <xdr:row>29</xdr:row>
      <xdr:rowOff>114300</xdr:rowOff>
    </xdr:from>
    <xdr:to>
      <xdr:col>2</xdr:col>
      <xdr:colOff>691484</xdr:colOff>
      <xdr:row>32</xdr:row>
      <xdr:rowOff>137159</xdr:rowOff>
    </xdr:to>
    <xdr:grpSp>
      <xdr:nvGrpSpPr>
        <xdr:cNvPr id="81" name="Group 80">
          <a:extLst>
            <a:ext uri="{FF2B5EF4-FFF2-40B4-BE49-F238E27FC236}">
              <a16:creationId xmlns:a16="http://schemas.microsoft.com/office/drawing/2014/main" id="{00000000-0008-0000-0300-000051000000}"/>
            </a:ext>
          </a:extLst>
        </xdr:cNvPr>
        <xdr:cNvGrpSpPr/>
      </xdr:nvGrpSpPr>
      <xdr:grpSpPr>
        <a:xfrm>
          <a:off x="177800" y="5822950"/>
          <a:ext cx="2164684" cy="613409"/>
          <a:chOff x="190500" y="5943600"/>
          <a:chExt cx="2164684" cy="632459"/>
        </a:xfrm>
      </xdr:grpSpPr>
      <xdr:sp macro="" textlink="Processing!R13">
        <xdr:nvSpPr>
          <xdr:cNvPr id="84" name="TextBox 83">
            <a:hlinkClick xmlns:r="http://schemas.openxmlformats.org/officeDocument/2006/relationships" r:id="rId11"/>
            <a:extLst>
              <a:ext uri="{FF2B5EF4-FFF2-40B4-BE49-F238E27FC236}">
                <a16:creationId xmlns:a16="http://schemas.microsoft.com/office/drawing/2014/main" id="{00000000-0008-0000-0300-000054000000}"/>
              </a:ext>
            </a:extLst>
          </xdr:cNvPr>
          <xdr:cNvSpPr txBox="1"/>
        </xdr:nvSpPr>
        <xdr:spPr>
          <a:xfrm>
            <a:off x="603252" y="5943600"/>
            <a:ext cx="1751932" cy="632459"/>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it-IT" sz="1400" b="0" i="0" u="none" strike="noStrike" kern="0" cap="none" spc="0" normalizeH="0" baseline="0" noProof="0">
                <a:ln>
                  <a:noFill/>
                </a:ln>
                <a:solidFill>
                  <a:sysClr val="window" lastClr="FFFFFF"/>
                </a:solidFill>
                <a:effectLst/>
                <a:uLnTx/>
                <a:uFillTx/>
                <a:latin typeface="Calibri"/>
                <a:ea typeface="+mn-ea"/>
                <a:cs typeface="Calibri"/>
              </a:rPr>
              <a:t>Insert Data</a:t>
            </a:r>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sp macro="" textlink="">
        <xdr:nvSpPr>
          <xdr:cNvPr id="85" name="TextBox 84">
            <a:extLst>
              <a:ext uri="{FF2B5EF4-FFF2-40B4-BE49-F238E27FC236}">
                <a16:creationId xmlns:a16="http://schemas.microsoft.com/office/drawing/2014/main" id="{00000000-0008-0000-0300-000055000000}"/>
              </a:ext>
            </a:extLst>
          </xdr:cNvPr>
          <xdr:cNvSpPr txBox="1"/>
        </xdr:nvSpPr>
        <xdr:spPr>
          <a:xfrm>
            <a:off x="190500" y="6025829"/>
            <a:ext cx="432000" cy="468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a:t>
            </a:r>
          </a:p>
        </xdr:txBody>
      </xdr:sp>
    </xdr:grpSp>
    <xdr:clientData/>
  </xdr:twoCellAnchor>
  <xdr:twoCellAnchor>
    <xdr:from>
      <xdr:col>3</xdr:col>
      <xdr:colOff>330200</xdr:colOff>
      <xdr:row>5</xdr:row>
      <xdr:rowOff>97117</xdr:rowOff>
    </xdr:from>
    <xdr:to>
      <xdr:col>22</xdr:col>
      <xdr:colOff>270436</xdr:colOff>
      <xdr:row>8</xdr:row>
      <xdr:rowOff>130735</xdr:rowOff>
    </xdr:to>
    <xdr:sp macro="" textlink="">
      <xdr:nvSpPr>
        <xdr:cNvPr id="86" name="Rectangle: Rounded Corners 15">
          <a:extLst>
            <a:ext uri="{FF2B5EF4-FFF2-40B4-BE49-F238E27FC236}">
              <a16:creationId xmlns:a16="http://schemas.microsoft.com/office/drawing/2014/main" id="{00000000-0008-0000-0300-000056000000}"/>
            </a:ext>
          </a:extLst>
        </xdr:cNvPr>
        <xdr:cNvSpPr/>
      </xdr:nvSpPr>
      <xdr:spPr>
        <a:xfrm>
          <a:off x="2806700" y="1113117"/>
          <a:ext cx="15624736" cy="643218"/>
        </a:xfrm>
        <a:prstGeom prst="roundRect">
          <a:avLst>
            <a:gd name="adj" fmla="val 15178"/>
          </a:avLst>
        </a:prstGeom>
        <a:solidFill>
          <a:srgbClr val="242732"/>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ru-RU" sz="24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330200</xdr:colOff>
      <xdr:row>1</xdr:row>
      <xdr:rowOff>0</xdr:rowOff>
    </xdr:from>
    <xdr:to>
      <xdr:col>22</xdr:col>
      <xdr:colOff>272200</xdr:colOff>
      <xdr:row>4</xdr:row>
      <xdr:rowOff>1</xdr:rowOff>
    </xdr:to>
    <xdr:sp macro="" textlink="">
      <xdr:nvSpPr>
        <xdr:cNvPr id="87" name="Rectangle: Rounded Corners 16">
          <a:extLst>
            <a:ext uri="{FF2B5EF4-FFF2-40B4-BE49-F238E27FC236}">
              <a16:creationId xmlns:a16="http://schemas.microsoft.com/office/drawing/2014/main" id="{00000000-0008-0000-0300-000057000000}"/>
            </a:ext>
          </a:extLst>
        </xdr:cNvPr>
        <xdr:cNvSpPr/>
      </xdr:nvSpPr>
      <xdr:spPr>
        <a:xfrm>
          <a:off x="2806700" y="203200"/>
          <a:ext cx="15626500" cy="609601"/>
        </a:xfrm>
        <a:prstGeom prst="roundRect">
          <a:avLst>
            <a:gd name="adj" fmla="val 15178"/>
          </a:avLst>
        </a:prstGeom>
        <a:solidFill>
          <a:srgbClr val="242732"/>
        </a:solidFill>
        <a:ln w="12700" cap="flat" cmpd="sng" algn="ctr">
          <a:noFill/>
          <a:prstDash val="solid"/>
          <a:miter lim="800000"/>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ru-RU" sz="2400" b="1" i="0" u="none" strike="noStrike" kern="0" cap="none" spc="0" normalizeH="0" baseline="0" noProof="0">
              <a:ln>
                <a:noFill/>
              </a:ln>
              <a:solidFill>
                <a:sysClr val="window" lastClr="FFFFFF"/>
              </a:solidFill>
              <a:effectLst/>
              <a:uLnTx/>
              <a:uFillTx/>
              <a:latin typeface="Calibri" panose="020F0502020204030204"/>
              <a:ea typeface="+mn-ea"/>
              <a:cs typeface="+mn-cs"/>
            </a:rPr>
            <a:t>				</a:t>
          </a: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Personal Finance Dashboard</a:t>
          </a:r>
          <a:endParaRPr kumimoji="0" lang="ru-RU" sz="24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17</xdr:col>
      <xdr:colOff>56820</xdr:colOff>
      <xdr:row>1</xdr:row>
      <xdr:rowOff>198121</xdr:rowOff>
    </xdr:from>
    <xdr:to>
      <xdr:col>17</xdr:col>
      <xdr:colOff>277919</xdr:colOff>
      <xdr:row>3</xdr:row>
      <xdr:rowOff>5080</xdr:rowOff>
    </xdr:to>
    <xdr:grpSp>
      <xdr:nvGrpSpPr>
        <xdr:cNvPr id="88" name="Group 87">
          <a:extLst>
            <a:ext uri="{FF2B5EF4-FFF2-40B4-BE49-F238E27FC236}">
              <a16:creationId xmlns:a16="http://schemas.microsoft.com/office/drawing/2014/main" id="{00000000-0008-0000-0300-000058000000}"/>
            </a:ext>
          </a:extLst>
        </xdr:cNvPr>
        <xdr:cNvGrpSpPr/>
      </xdr:nvGrpSpPr>
      <xdr:grpSpPr>
        <a:xfrm>
          <a:off x="14090320" y="394971"/>
          <a:ext cx="221099" cy="200659"/>
          <a:chOff x="6535559" y="690283"/>
          <a:chExt cx="274908" cy="248639"/>
        </a:xfrm>
      </xdr:grpSpPr>
      <xdr:sp macro="" textlink="">
        <xdr:nvSpPr>
          <xdr:cNvPr id="89" name="Moon">
            <a:extLst>
              <a:ext uri="{FF2B5EF4-FFF2-40B4-BE49-F238E27FC236}">
                <a16:creationId xmlns:a16="http://schemas.microsoft.com/office/drawing/2014/main" id="{00000000-0008-0000-0300-000059000000}"/>
              </a:ext>
            </a:extLst>
          </xdr:cNvPr>
          <xdr:cNvSpPr/>
        </xdr:nvSpPr>
        <xdr:spPr>
          <a:xfrm>
            <a:off x="6535559" y="690283"/>
            <a:ext cx="140283" cy="245398"/>
          </a:xfrm>
          <a:prstGeom prst="moon">
            <a:avLst/>
          </a:prstGeom>
          <a:gradFill>
            <a:gsLst>
              <a:gs pos="0">
                <a:srgbClr val="FB6F32"/>
              </a:gs>
              <a:gs pos="72000">
                <a:srgbClr val="ED3229"/>
              </a:gs>
            </a:gsLst>
            <a:lin ang="8100000" scaled="1"/>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90" name="Big Star">
            <a:extLst>
              <a:ext uri="{FF2B5EF4-FFF2-40B4-BE49-F238E27FC236}">
                <a16:creationId xmlns:a16="http://schemas.microsoft.com/office/drawing/2014/main" id="{00000000-0008-0000-0300-00005A000000}"/>
              </a:ext>
            </a:extLst>
          </xdr:cNvPr>
          <xdr:cNvSpPr/>
        </xdr:nvSpPr>
        <xdr:spPr>
          <a:xfrm>
            <a:off x="6675270" y="773921"/>
            <a:ext cx="108000" cy="107972"/>
          </a:xfrm>
          <a:prstGeom prst="star4">
            <a:avLst/>
          </a:prstGeom>
          <a:gradFill>
            <a:gsLst>
              <a:gs pos="0">
                <a:srgbClr val="FB6F32"/>
              </a:gs>
              <a:gs pos="72000">
                <a:srgbClr val="ED3229"/>
              </a:gs>
            </a:gsLst>
            <a:lin ang="8100000" scaled="1"/>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91" name="Star">
            <a:extLst>
              <a:ext uri="{FF2B5EF4-FFF2-40B4-BE49-F238E27FC236}">
                <a16:creationId xmlns:a16="http://schemas.microsoft.com/office/drawing/2014/main" id="{00000000-0008-0000-0300-00005B000000}"/>
              </a:ext>
            </a:extLst>
          </xdr:cNvPr>
          <xdr:cNvSpPr/>
        </xdr:nvSpPr>
        <xdr:spPr>
          <a:xfrm>
            <a:off x="6756467" y="881723"/>
            <a:ext cx="54000" cy="57199"/>
          </a:xfrm>
          <a:prstGeom prst="star4">
            <a:avLst/>
          </a:prstGeom>
          <a:gradFill>
            <a:gsLst>
              <a:gs pos="0">
                <a:srgbClr val="FB6F32"/>
              </a:gs>
              <a:gs pos="72000">
                <a:srgbClr val="ED3229"/>
              </a:gs>
            </a:gsLst>
            <a:lin ang="8100000" scaled="1"/>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15</xdr:col>
      <xdr:colOff>755265</xdr:colOff>
      <xdr:row>1</xdr:row>
      <xdr:rowOff>198121</xdr:rowOff>
    </xdr:from>
    <xdr:to>
      <xdr:col>16</xdr:col>
      <xdr:colOff>138230</xdr:colOff>
      <xdr:row>3</xdr:row>
      <xdr:rowOff>5080</xdr:rowOff>
    </xdr:to>
    <xdr:grpSp>
      <xdr:nvGrpSpPr>
        <xdr:cNvPr id="92" name="Группа 7203">
          <a:extLst>
            <a:ext uri="{FF2B5EF4-FFF2-40B4-BE49-F238E27FC236}">
              <a16:creationId xmlns:a16="http://schemas.microsoft.com/office/drawing/2014/main" id="{00000000-0008-0000-0300-00005C000000}"/>
            </a:ext>
          </a:extLst>
        </xdr:cNvPr>
        <xdr:cNvGrpSpPr/>
      </xdr:nvGrpSpPr>
      <xdr:grpSpPr>
        <a:xfrm>
          <a:off x="13137765" y="394971"/>
          <a:ext cx="208465" cy="200659"/>
          <a:chOff x="14630400" y="0"/>
          <a:chExt cx="1320905" cy="1291901"/>
        </a:xfrm>
        <a:effectLst/>
      </xdr:grpSpPr>
      <xdr:sp macro="" textlink="">
        <xdr:nvSpPr>
          <xdr:cNvPr id="93" name="Lights">
            <a:extLst>
              <a:ext uri="{FF2B5EF4-FFF2-40B4-BE49-F238E27FC236}">
                <a16:creationId xmlns:a16="http://schemas.microsoft.com/office/drawing/2014/main" id="{00000000-0008-0000-0300-00005D000000}"/>
              </a:ext>
            </a:extLst>
          </xdr:cNvPr>
          <xdr:cNvSpPr/>
        </xdr:nvSpPr>
        <xdr:spPr>
          <a:xfrm rot="19122911">
            <a:off x="14630400" y="0"/>
            <a:ext cx="1320905" cy="1291901"/>
          </a:xfrm>
          <a:custGeom>
            <a:avLst/>
            <a:gdLst>
              <a:gd name="connsiteX0" fmla="*/ 721625 w 2541582"/>
              <a:gd name="connsiteY0" fmla="*/ 1903961 h 2517378"/>
              <a:gd name="connsiteX1" fmla="*/ 721626 w 2541582"/>
              <a:gd name="connsiteY1" fmla="*/ 2056116 h 2517378"/>
              <a:gd name="connsiteX2" fmla="*/ 721626 w 2541582"/>
              <a:gd name="connsiteY2" fmla="*/ 2056119 h 2517378"/>
              <a:gd name="connsiteX3" fmla="*/ 573702 w 2541582"/>
              <a:gd name="connsiteY3" fmla="*/ 2208278 h 2517378"/>
              <a:gd name="connsiteX4" fmla="*/ 573701 w 2541582"/>
              <a:gd name="connsiteY4" fmla="*/ 2208277 h 2517378"/>
              <a:gd name="connsiteX5" fmla="*/ 425777 w 2541582"/>
              <a:gd name="connsiteY5" fmla="*/ 2208278 h 2517378"/>
              <a:gd name="connsiteX6" fmla="*/ 425777 w 2541582"/>
              <a:gd name="connsiteY6" fmla="*/ 2056123 h 2517378"/>
              <a:gd name="connsiteX7" fmla="*/ 425777 w 2541582"/>
              <a:gd name="connsiteY7" fmla="*/ 2056120 h 2517378"/>
              <a:gd name="connsiteX8" fmla="*/ 573701 w 2541582"/>
              <a:gd name="connsiteY8" fmla="*/ 1903962 h 2517378"/>
              <a:gd name="connsiteX9" fmla="*/ 573702 w 2541582"/>
              <a:gd name="connsiteY9" fmla="*/ 1903962 h 2517378"/>
              <a:gd name="connsiteX10" fmla="*/ 519727 w 2541582"/>
              <a:gd name="connsiteY10" fmla="*/ 1624038 h 2517378"/>
              <a:gd name="connsiteX11" fmla="*/ 458680 w 2541582"/>
              <a:gd name="connsiteY11" fmla="*/ 1763409 h 2517378"/>
              <a:gd name="connsiteX12" fmla="*/ 458678 w 2541582"/>
              <a:gd name="connsiteY12" fmla="*/ 1763413 h 2517378"/>
              <a:gd name="connsiteX13" fmla="*/ 262134 w 2541582"/>
              <a:gd name="connsiteY13" fmla="*/ 1843437 h 2517378"/>
              <a:gd name="connsiteX14" fmla="*/ 262133 w 2541582"/>
              <a:gd name="connsiteY14" fmla="*/ 1843437 h 2517378"/>
              <a:gd name="connsiteX15" fmla="*/ 126637 w 2541582"/>
              <a:gd name="connsiteY15" fmla="*/ 1784087 h 2517378"/>
              <a:gd name="connsiteX16" fmla="*/ 187684 w 2541582"/>
              <a:gd name="connsiteY16" fmla="*/ 1644716 h 2517378"/>
              <a:gd name="connsiteX17" fmla="*/ 187686 w 2541582"/>
              <a:gd name="connsiteY17" fmla="*/ 1644713 h 2517378"/>
              <a:gd name="connsiteX18" fmla="*/ 384230 w 2541582"/>
              <a:gd name="connsiteY18" fmla="*/ 1564688 h 2517378"/>
              <a:gd name="connsiteX19" fmla="*/ 384231 w 2541582"/>
              <a:gd name="connsiteY19" fmla="*/ 1564689 h 2517378"/>
              <a:gd name="connsiteX20" fmla="*/ 1009078 w 2541582"/>
              <a:gd name="connsiteY20" fmla="*/ 2051827 h 2517378"/>
              <a:gd name="connsiteX21" fmla="*/ 1066442 w 2541582"/>
              <a:gd name="connsiteY21" fmla="*/ 2192754 h 2517378"/>
              <a:gd name="connsiteX22" fmla="*/ 1066444 w 2541582"/>
              <a:gd name="connsiteY22" fmla="*/ 2192757 h 2517378"/>
              <a:gd name="connsiteX23" fmla="*/ 986801 w 2541582"/>
              <a:gd name="connsiteY23" fmla="*/ 2389456 h 2517378"/>
              <a:gd name="connsiteX24" fmla="*/ 986801 w 2541582"/>
              <a:gd name="connsiteY24" fmla="*/ 2389457 h 2517378"/>
              <a:gd name="connsiteX25" fmla="*/ 849793 w 2541582"/>
              <a:gd name="connsiteY25" fmla="*/ 2445226 h 2517378"/>
              <a:gd name="connsiteX26" fmla="*/ 792428 w 2541582"/>
              <a:gd name="connsiteY26" fmla="*/ 2304299 h 2517378"/>
              <a:gd name="connsiteX27" fmla="*/ 792426 w 2541582"/>
              <a:gd name="connsiteY27" fmla="*/ 2304296 h 2517378"/>
              <a:gd name="connsiteX28" fmla="*/ 872069 w 2541582"/>
              <a:gd name="connsiteY28" fmla="*/ 2107597 h 2517378"/>
              <a:gd name="connsiteX29" fmla="*/ 872070 w 2541582"/>
              <a:gd name="connsiteY29" fmla="*/ 2107597 h 2517378"/>
              <a:gd name="connsiteX30" fmla="*/ 1307640 w 2541582"/>
              <a:gd name="connsiteY30" fmla="*/ 2093057 h 2517378"/>
              <a:gd name="connsiteX31" fmla="*/ 1411294 w 2541582"/>
              <a:gd name="connsiteY31" fmla="*/ 2204442 h 2517378"/>
              <a:gd name="connsiteX32" fmla="*/ 1411296 w 2541582"/>
              <a:gd name="connsiteY32" fmla="*/ 2204445 h 2517378"/>
              <a:gd name="connsiteX33" fmla="*/ 1406663 w 2541582"/>
              <a:gd name="connsiteY33" fmla="*/ 2416606 h 2517378"/>
              <a:gd name="connsiteX34" fmla="*/ 1406663 w 2541582"/>
              <a:gd name="connsiteY34" fmla="*/ 2416606 h 2517378"/>
              <a:gd name="connsiteX35" fmla="*/ 1298374 w 2541582"/>
              <a:gd name="connsiteY35" fmla="*/ 2517378 h 2517378"/>
              <a:gd name="connsiteX36" fmla="*/ 1194720 w 2541582"/>
              <a:gd name="connsiteY36" fmla="*/ 2405992 h 2517378"/>
              <a:gd name="connsiteX37" fmla="*/ 1194718 w 2541582"/>
              <a:gd name="connsiteY37" fmla="*/ 2405989 h 2517378"/>
              <a:gd name="connsiteX38" fmla="*/ 1199351 w 2541582"/>
              <a:gd name="connsiteY38" fmla="*/ 2193829 h 2517378"/>
              <a:gd name="connsiteX39" fmla="*/ 1199351 w 2541582"/>
              <a:gd name="connsiteY39" fmla="*/ 2193828 h 2517378"/>
              <a:gd name="connsiteX40" fmla="*/ 323549 w 2541582"/>
              <a:gd name="connsiteY40" fmla="*/ 1188033 h 2517378"/>
              <a:gd name="connsiteX41" fmla="*/ 323549 w 2541582"/>
              <a:gd name="connsiteY41" fmla="*/ 1188033 h 2517378"/>
              <a:gd name="connsiteX42" fmla="*/ 424321 w 2541582"/>
              <a:gd name="connsiteY42" fmla="*/ 1296322 h 2517378"/>
              <a:gd name="connsiteX43" fmla="*/ 312935 w 2541582"/>
              <a:gd name="connsiteY43" fmla="*/ 1399976 h 2517378"/>
              <a:gd name="connsiteX44" fmla="*/ 312933 w 2541582"/>
              <a:gd name="connsiteY44" fmla="*/ 1399979 h 2517378"/>
              <a:gd name="connsiteX45" fmla="*/ 100772 w 2541582"/>
              <a:gd name="connsiteY45" fmla="*/ 1395346 h 2517378"/>
              <a:gd name="connsiteX46" fmla="*/ 100771 w 2541582"/>
              <a:gd name="connsiteY46" fmla="*/ 1395345 h 2517378"/>
              <a:gd name="connsiteX47" fmla="*/ 0 w 2541582"/>
              <a:gd name="connsiteY47" fmla="*/ 1287056 h 2517378"/>
              <a:gd name="connsiteX48" fmla="*/ 111385 w 2541582"/>
              <a:gd name="connsiteY48" fmla="*/ 1183403 h 2517378"/>
              <a:gd name="connsiteX49" fmla="*/ 111388 w 2541582"/>
              <a:gd name="connsiteY49" fmla="*/ 1183400 h 2517378"/>
              <a:gd name="connsiteX50" fmla="*/ 323549 w 2541582"/>
              <a:gd name="connsiteY50" fmla="*/ 1188033 h 2517378"/>
              <a:gd name="connsiteX51" fmla="*/ 1826146 w 2541582"/>
              <a:gd name="connsiteY51" fmla="*/ 2118023 h 2517378"/>
              <a:gd name="connsiteX52" fmla="*/ 1856583 w 2541582"/>
              <a:gd name="connsiteY52" fmla="*/ 2280157 h 2517378"/>
              <a:gd name="connsiteX53" fmla="*/ 1856583 w 2541582"/>
              <a:gd name="connsiteY53" fmla="*/ 2280157 h 2517378"/>
              <a:gd name="connsiteX54" fmla="*/ 1797234 w 2541582"/>
              <a:gd name="connsiteY54" fmla="*/ 2415653 h 2517378"/>
              <a:gd name="connsiteX55" fmla="*/ 1657863 w 2541582"/>
              <a:gd name="connsiteY55" fmla="*/ 2354606 h 2517378"/>
              <a:gd name="connsiteX56" fmla="*/ 1657859 w 2541582"/>
              <a:gd name="connsiteY56" fmla="*/ 2354605 h 2517378"/>
              <a:gd name="connsiteX57" fmla="*/ 1577835 w 2541582"/>
              <a:gd name="connsiteY57" fmla="*/ 2158060 h 2517378"/>
              <a:gd name="connsiteX58" fmla="*/ 1577835 w 2541582"/>
              <a:gd name="connsiteY58" fmla="*/ 2158060 h 2517378"/>
              <a:gd name="connsiteX59" fmla="*/ 1637185 w 2541582"/>
              <a:gd name="connsiteY59" fmla="*/ 2022564 h 2517378"/>
              <a:gd name="connsiteX60" fmla="*/ 1776555 w 2541582"/>
              <a:gd name="connsiteY60" fmla="*/ 2083611 h 2517378"/>
              <a:gd name="connsiteX61" fmla="*/ 1776559 w 2541582"/>
              <a:gd name="connsiteY61" fmla="*/ 2083612 h 2517378"/>
              <a:gd name="connsiteX62" fmla="*/ 1826146 w 2541582"/>
              <a:gd name="connsiteY62" fmla="*/ 2118023 h 2517378"/>
              <a:gd name="connsiteX63" fmla="*/ 377553 w 2541582"/>
              <a:gd name="connsiteY63" fmla="*/ 807593 h 2517378"/>
              <a:gd name="connsiteX64" fmla="*/ 410335 w 2541582"/>
              <a:gd name="connsiteY64" fmla="*/ 856415 h 2517378"/>
              <a:gd name="connsiteX65" fmla="*/ 410336 w 2541582"/>
              <a:gd name="connsiteY65" fmla="*/ 856415 h 2517378"/>
              <a:gd name="connsiteX66" fmla="*/ 466105 w 2541582"/>
              <a:gd name="connsiteY66" fmla="*/ 993423 h 2517378"/>
              <a:gd name="connsiteX67" fmla="*/ 325178 w 2541582"/>
              <a:gd name="connsiteY67" fmla="*/ 1050787 h 2517378"/>
              <a:gd name="connsiteX68" fmla="*/ 325175 w 2541582"/>
              <a:gd name="connsiteY68" fmla="*/ 1050789 h 2517378"/>
              <a:gd name="connsiteX69" fmla="*/ 128476 w 2541582"/>
              <a:gd name="connsiteY69" fmla="*/ 971146 h 2517378"/>
              <a:gd name="connsiteX70" fmla="*/ 128476 w 2541582"/>
              <a:gd name="connsiteY70" fmla="*/ 971146 h 2517378"/>
              <a:gd name="connsiteX71" fmla="*/ 72706 w 2541582"/>
              <a:gd name="connsiteY71" fmla="*/ 834138 h 2517378"/>
              <a:gd name="connsiteX72" fmla="*/ 213633 w 2541582"/>
              <a:gd name="connsiteY72" fmla="*/ 776773 h 2517378"/>
              <a:gd name="connsiteX73" fmla="*/ 213636 w 2541582"/>
              <a:gd name="connsiteY73" fmla="*/ 776772 h 2517378"/>
              <a:gd name="connsiteX74" fmla="*/ 377553 w 2541582"/>
              <a:gd name="connsiteY74" fmla="*/ 807593 h 2517378"/>
              <a:gd name="connsiteX75" fmla="*/ 2166386 w 2541582"/>
              <a:gd name="connsiteY75" fmla="*/ 1843414 h 2517378"/>
              <a:gd name="connsiteX76" fmla="*/ 2210952 w 2541582"/>
              <a:gd name="connsiteY76" fmla="*/ 1948012 h 2517378"/>
              <a:gd name="connsiteX77" fmla="*/ 2210952 w 2541582"/>
              <a:gd name="connsiteY77" fmla="*/ 1948012 h 2517378"/>
              <a:gd name="connsiteX78" fmla="*/ 2210952 w 2541582"/>
              <a:gd name="connsiteY78" fmla="*/ 2095936 h 2517378"/>
              <a:gd name="connsiteX79" fmla="*/ 2058798 w 2541582"/>
              <a:gd name="connsiteY79" fmla="*/ 2095936 h 2517378"/>
              <a:gd name="connsiteX80" fmla="*/ 2058794 w 2541582"/>
              <a:gd name="connsiteY80" fmla="*/ 2095937 h 2517378"/>
              <a:gd name="connsiteX81" fmla="*/ 1906636 w 2541582"/>
              <a:gd name="connsiteY81" fmla="*/ 1948012 h 2517378"/>
              <a:gd name="connsiteX82" fmla="*/ 1906636 w 2541582"/>
              <a:gd name="connsiteY82" fmla="*/ 1948012 h 2517378"/>
              <a:gd name="connsiteX83" fmla="*/ 1906636 w 2541582"/>
              <a:gd name="connsiteY83" fmla="*/ 1800088 h 2517378"/>
              <a:gd name="connsiteX84" fmla="*/ 2058790 w 2541582"/>
              <a:gd name="connsiteY84" fmla="*/ 1800088 h 2517378"/>
              <a:gd name="connsiteX85" fmla="*/ 2058794 w 2541582"/>
              <a:gd name="connsiteY85" fmla="*/ 1800088 h 2517378"/>
              <a:gd name="connsiteX86" fmla="*/ 2166386 w 2541582"/>
              <a:gd name="connsiteY86" fmla="*/ 1843414 h 2517378"/>
              <a:gd name="connsiteX87" fmla="*/ 592924 w 2541582"/>
              <a:gd name="connsiteY87" fmla="*/ 461833 h 2517378"/>
              <a:gd name="connsiteX88" fmla="*/ 637491 w 2541582"/>
              <a:gd name="connsiteY88" fmla="*/ 566431 h 2517378"/>
              <a:gd name="connsiteX89" fmla="*/ 637490 w 2541582"/>
              <a:gd name="connsiteY89" fmla="*/ 566431 h 2517378"/>
              <a:gd name="connsiteX90" fmla="*/ 637490 w 2541582"/>
              <a:gd name="connsiteY90" fmla="*/ 714355 h 2517378"/>
              <a:gd name="connsiteX91" fmla="*/ 485336 w 2541582"/>
              <a:gd name="connsiteY91" fmla="*/ 714355 h 2517378"/>
              <a:gd name="connsiteX92" fmla="*/ 485333 w 2541582"/>
              <a:gd name="connsiteY92" fmla="*/ 714356 h 2517378"/>
              <a:gd name="connsiteX93" fmla="*/ 333174 w 2541582"/>
              <a:gd name="connsiteY93" fmla="*/ 566431 h 2517378"/>
              <a:gd name="connsiteX94" fmla="*/ 333175 w 2541582"/>
              <a:gd name="connsiteY94" fmla="*/ 566431 h 2517378"/>
              <a:gd name="connsiteX95" fmla="*/ 333175 w 2541582"/>
              <a:gd name="connsiteY95" fmla="*/ 418507 h 2517378"/>
              <a:gd name="connsiteX96" fmla="*/ 485329 w 2541582"/>
              <a:gd name="connsiteY96" fmla="*/ 418507 h 2517378"/>
              <a:gd name="connsiteX97" fmla="*/ 485333 w 2541582"/>
              <a:gd name="connsiteY97" fmla="*/ 418507 h 2517378"/>
              <a:gd name="connsiteX98" fmla="*/ 592924 w 2541582"/>
              <a:gd name="connsiteY98" fmla="*/ 461833 h 2517378"/>
              <a:gd name="connsiteX99" fmla="*/ 2378656 w 2541582"/>
              <a:gd name="connsiteY99" fmla="*/ 1501946 h 2517378"/>
              <a:gd name="connsiteX100" fmla="*/ 2411439 w 2541582"/>
              <a:gd name="connsiteY100" fmla="*/ 1550768 h 2517378"/>
              <a:gd name="connsiteX101" fmla="*/ 2411439 w 2541582"/>
              <a:gd name="connsiteY101" fmla="*/ 1550768 h 2517378"/>
              <a:gd name="connsiteX102" fmla="*/ 2467208 w 2541582"/>
              <a:gd name="connsiteY102" fmla="*/ 1687776 h 2517378"/>
              <a:gd name="connsiteX103" fmla="*/ 2326282 w 2541582"/>
              <a:gd name="connsiteY103" fmla="*/ 1745141 h 2517378"/>
              <a:gd name="connsiteX104" fmla="*/ 2326278 w 2541582"/>
              <a:gd name="connsiteY104" fmla="*/ 1745142 h 2517378"/>
              <a:gd name="connsiteX105" fmla="*/ 2129579 w 2541582"/>
              <a:gd name="connsiteY105" fmla="*/ 1665499 h 2517378"/>
              <a:gd name="connsiteX106" fmla="*/ 2129579 w 2541582"/>
              <a:gd name="connsiteY106" fmla="*/ 1665499 h 2517378"/>
              <a:gd name="connsiteX107" fmla="*/ 2073809 w 2541582"/>
              <a:gd name="connsiteY107" fmla="*/ 1528491 h 2517378"/>
              <a:gd name="connsiteX108" fmla="*/ 2214736 w 2541582"/>
              <a:gd name="connsiteY108" fmla="*/ 1471127 h 2517378"/>
              <a:gd name="connsiteX109" fmla="*/ 2214739 w 2541582"/>
              <a:gd name="connsiteY109" fmla="*/ 1471125 h 2517378"/>
              <a:gd name="connsiteX110" fmla="*/ 2378656 w 2541582"/>
              <a:gd name="connsiteY110" fmla="*/ 1501946 h 2517378"/>
              <a:gd name="connsiteX111" fmla="*/ 928939 w 2541582"/>
              <a:gd name="connsiteY111" fmla="*/ 199283 h 2517378"/>
              <a:gd name="connsiteX112" fmla="*/ 959377 w 2541582"/>
              <a:gd name="connsiteY112" fmla="*/ 361416 h 2517378"/>
              <a:gd name="connsiteX113" fmla="*/ 959376 w 2541582"/>
              <a:gd name="connsiteY113" fmla="*/ 361417 h 2517378"/>
              <a:gd name="connsiteX114" fmla="*/ 900027 w 2541582"/>
              <a:gd name="connsiteY114" fmla="*/ 496913 h 2517378"/>
              <a:gd name="connsiteX115" fmla="*/ 760656 w 2541582"/>
              <a:gd name="connsiteY115" fmla="*/ 435866 h 2517378"/>
              <a:gd name="connsiteX116" fmla="*/ 760652 w 2541582"/>
              <a:gd name="connsiteY116" fmla="*/ 435865 h 2517378"/>
              <a:gd name="connsiteX117" fmla="*/ 680628 w 2541582"/>
              <a:gd name="connsiteY117" fmla="*/ 239320 h 2517378"/>
              <a:gd name="connsiteX118" fmla="*/ 680628 w 2541582"/>
              <a:gd name="connsiteY118" fmla="*/ 239320 h 2517378"/>
              <a:gd name="connsiteX119" fmla="*/ 739978 w 2541582"/>
              <a:gd name="connsiteY119" fmla="*/ 103824 h 2517378"/>
              <a:gd name="connsiteX120" fmla="*/ 879349 w 2541582"/>
              <a:gd name="connsiteY120" fmla="*/ 164871 h 2517378"/>
              <a:gd name="connsiteX121" fmla="*/ 879352 w 2541582"/>
              <a:gd name="connsiteY121" fmla="*/ 164872 h 2517378"/>
              <a:gd name="connsiteX122" fmla="*/ 928939 w 2541582"/>
              <a:gd name="connsiteY122" fmla="*/ 199283 h 2517378"/>
              <a:gd name="connsiteX123" fmla="*/ 2440810 w 2541582"/>
              <a:gd name="connsiteY123" fmla="*/ 1126826 h 2517378"/>
              <a:gd name="connsiteX124" fmla="*/ 2440811 w 2541582"/>
              <a:gd name="connsiteY124" fmla="*/ 1126826 h 2517378"/>
              <a:gd name="connsiteX125" fmla="*/ 2541582 w 2541582"/>
              <a:gd name="connsiteY125" fmla="*/ 1235115 h 2517378"/>
              <a:gd name="connsiteX126" fmla="*/ 2430197 w 2541582"/>
              <a:gd name="connsiteY126" fmla="*/ 1338769 h 2517378"/>
              <a:gd name="connsiteX127" fmla="*/ 2430194 w 2541582"/>
              <a:gd name="connsiteY127" fmla="*/ 1338772 h 2517378"/>
              <a:gd name="connsiteX128" fmla="*/ 2218033 w 2541582"/>
              <a:gd name="connsiteY128" fmla="*/ 1334138 h 2517378"/>
              <a:gd name="connsiteX129" fmla="*/ 2218033 w 2541582"/>
              <a:gd name="connsiteY129" fmla="*/ 1334138 h 2517378"/>
              <a:gd name="connsiteX130" fmla="*/ 2117261 w 2541582"/>
              <a:gd name="connsiteY130" fmla="*/ 1225849 h 2517378"/>
              <a:gd name="connsiteX131" fmla="*/ 2228647 w 2541582"/>
              <a:gd name="connsiteY131" fmla="*/ 1122195 h 2517378"/>
              <a:gd name="connsiteX132" fmla="*/ 2228649 w 2541582"/>
              <a:gd name="connsiteY132" fmla="*/ 1122192 h 2517378"/>
              <a:gd name="connsiteX133" fmla="*/ 2440810 w 2541582"/>
              <a:gd name="connsiteY133" fmla="*/ 1126826 h 2517378"/>
              <a:gd name="connsiteX134" fmla="*/ 1247133 w 2541582"/>
              <a:gd name="connsiteY134" fmla="*/ 0 h 2517378"/>
              <a:gd name="connsiteX135" fmla="*/ 1350787 w 2541582"/>
              <a:gd name="connsiteY135" fmla="*/ 111386 h 2517378"/>
              <a:gd name="connsiteX136" fmla="*/ 1350790 w 2541582"/>
              <a:gd name="connsiteY136" fmla="*/ 111388 h 2517378"/>
              <a:gd name="connsiteX137" fmla="*/ 1346157 w 2541582"/>
              <a:gd name="connsiteY137" fmla="*/ 323549 h 2517378"/>
              <a:gd name="connsiteX138" fmla="*/ 1346157 w 2541582"/>
              <a:gd name="connsiteY138" fmla="*/ 323550 h 2517378"/>
              <a:gd name="connsiteX139" fmla="*/ 1237868 w 2541582"/>
              <a:gd name="connsiteY139" fmla="*/ 424321 h 2517378"/>
              <a:gd name="connsiteX140" fmla="*/ 1134214 w 2541582"/>
              <a:gd name="connsiteY140" fmla="*/ 312935 h 2517378"/>
              <a:gd name="connsiteX141" fmla="*/ 1134211 w 2541582"/>
              <a:gd name="connsiteY141" fmla="*/ 312933 h 2517378"/>
              <a:gd name="connsiteX142" fmla="*/ 1138844 w 2541582"/>
              <a:gd name="connsiteY142" fmla="*/ 100772 h 2517378"/>
              <a:gd name="connsiteX143" fmla="*/ 1138844 w 2541582"/>
              <a:gd name="connsiteY143" fmla="*/ 100772 h 2517378"/>
              <a:gd name="connsiteX144" fmla="*/ 2416531 w 2541582"/>
              <a:gd name="connsiteY144" fmla="*/ 737089 h 2517378"/>
              <a:gd name="connsiteX145" fmla="*/ 2355484 w 2541582"/>
              <a:gd name="connsiteY145" fmla="*/ 876459 h 2517378"/>
              <a:gd name="connsiteX146" fmla="*/ 2355483 w 2541582"/>
              <a:gd name="connsiteY146" fmla="*/ 876463 h 2517378"/>
              <a:gd name="connsiteX147" fmla="*/ 2158938 w 2541582"/>
              <a:gd name="connsiteY147" fmla="*/ 956487 h 2517378"/>
              <a:gd name="connsiteX148" fmla="*/ 2158938 w 2541582"/>
              <a:gd name="connsiteY148" fmla="*/ 956487 h 2517378"/>
              <a:gd name="connsiteX149" fmla="*/ 2023442 w 2541582"/>
              <a:gd name="connsiteY149" fmla="*/ 897137 h 2517378"/>
              <a:gd name="connsiteX150" fmla="*/ 2084489 w 2541582"/>
              <a:gd name="connsiteY150" fmla="*/ 757767 h 2517378"/>
              <a:gd name="connsiteX151" fmla="*/ 2084490 w 2541582"/>
              <a:gd name="connsiteY151" fmla="*/ 757763 h 2517378"/>
              <a:gd name="connsiteX152" fmla="*/ 2281035 w 2541582"/>
              <a:gd name="connsiteY152" fmla="*/ 677739 h 2517378"/>
              <a:gd name="connsiteX153" fmla="*/ 2281035 w 2541582"/>
              <a:gd name="connsiteY153" fmla="*/ 677739 h 2517378"/>
              <a:gd name="connsiteX154" fmla="*/ 1695493 w 2541582"/>
              <a:gd name="connsiteY154" fmla="*/ 73601 h 2517378"/>
              <a:gd name="connsiteX155" fmla="*/ 1752857 w 2541582"/>
              <a:gd name="connsiteY155" fmla="*/ 214527 h 2517378"/>
              <a:gd name="connsiteX156" fmla="*/ 1752859 w 2541582"/>
              <a:gd name="connsiteY156" fmla="*/ 214531 h 2517378"/>
              <a:gd name="connsiteX157" fmla="*/ 1673216 w 2541582"/>
              <a:gd name="connsiteY157" fmla="*/ 411230 h 2517378"/>
              <a:gd name="connsiteX158" fmla="*/ 1673216 w 2541582"/>
              <a:gd name="connsiteY158" fmla="*/ 411230 h 2517378"/>
              <a:gd name="connsiteX159" fmla="*/ 1536207 w 2541582"/>
              <a:gd name="connsiteY159" fmla="*/ 466999 h 2517378"/>
              <a:gd name="connsiteX160" fmla="*/ 1478843 w 2541582"/>
              <a:gd name="connsiteY160" fmla="*/ 326073 h 2517378"/>
              <a:gd name="connsiteX161" fmla="*/ 1478841 w 2541582"/>
              <a:gd name="connsiteY161" fmla="*/ 326069 h 2517378"/>
              <a:gd name="connsiteX162" fmla="*/ 1558484 w 2541582"/>
              <a:gd name="connsiteY162" fmla="*/ 129370 h 2517378"/>
              <a:gd name="connsiteX163" fmla="*/ 1558485 w 2541582"/>
              <a:gd name="connsiteY163" fmla="*/ 129370 h 2517378"/>
              <a:gd name="connsiteX164" fmla="*/ 2119183 w 2541582"/>
              <a:gd name="connsiteY164" fmla="*/ 312304 h 2517378"/>
              <a:gd name="connsiteX165" fmla="*/ 2119184 w 2541582"/>
              <a:gd name="connsiteY165" fmla="*/ 464458 h 2517378"/>
              <a:gd name="connsiteX166" fmla="*/ 2119184 w 2541582"/>
              <a:gd name="connsiteY166" fmla="*/ 464462 h 2517378"/>
              <a:gd name="connsiteX167" fmla="*/ 1971260 w 2541582"/>
              <a:gd name="connsiteY167" fmla="*/ 616620 h 2517378"/>
              <a:gd name="connsiteX168" fmla="*/ 1971259 w 2541582"/>
              <a:gd name="connsiteY168" fmla="*/ 616620 h 2517378"/>
              <a:gd name="connsiteX169" fmla="*/ 1823335 w 2541582"/>
              <a:gd name="connsiteY169" fmla="*/ 616620 h 2517378"/>
              <a:gd name="connsiteX170" fmla="*/ 1823335 w 2541582"/>
              <a:gd name="connsiteY170" fmla="*/ 464466 h 2517378"/>
              <a:gd name="connsiteX171" fmla="*/ 1823335 w 2541582"/>
              <a:gd name="connsiteY171" fmla="*/ 464462 h 2517378"/>
              <a:gd name="connsiteX172" fmla="*/ 1971259 w 2541582"/>
              <a:gd name="connsiteY172" fmla="*/ 312304 h 2517378"/>
              <a:gd name="connsiteX173" fmla="*/ 1971260 w 2541582"/>
              <a:gd name="connsiteY173" fmla="*/ 312304 h 25173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Lst>
            <a:rect l="l" t="t" r="r" b="b"/>
            <a:pathLst>
              <a:path w="2541582" h="2517378">
                <a:moveTo>
                  <a:pt x="721625" y="1903961"/>
                </a:moveTo>
                <a:lnTo>
                  <a:pt x="721626" y="2056116"/>
                </a:lnTo>
                <a:lnTo>
                  <a:pt x="721626" y="2056119"/>
                </a:lnTo>
                <a:cubicBezTo>
                  <a:pt x="721626" y="2140154"/>
                  <a:pt x="655398" y="2208277"/>
                  <a:pt x="573702" y="2208278"/>
                </a:cubicBezTo>
                <a:lnTo>
                  <a:pt x="573701" y="2208277"/>
                </a:lnTo>
                <a:lnTo>
                  <a:pt x="425777" y="2208278"/>
                </a:lnTo>
                <a:lnTo>
                  <a:pt x="425777" y="2056123"/>
                </a:lnTo>
                <a:lnTo>
                  <a:pt x="425777" y="2056120"/>
                </a:lnTo>
                <a:cubicBezTo>
                  <a:pt x="425777" y="1972085"/>
                  <a:pt x="492005" y="1903962"/>
                  <a:pt x="573701" y="1903962"/>
                </a:cubicBezTo>
                <a:lnTo>
                  <a:pt x="573702" y="1903962"/>
                </a:lnTo>
                <a:close/>
                <a:moveTo>
                  <a:pt x="519727" y="1624038"/>
                </a:moveTo>
                <a:lnTo>
                  <a:pt x="458680" y="1763409"/>
                </a:lnTo>
                <a:lnTo>
                  <a:pt x="458678" y="1763413"/>
                </a:lnTo>
                <a:cubicBezTo>
                  <a:pt x="424962" y="1840387"/>
                  <a:pt x="336966" y="1876215"/>
                  <a:pt x="262134" y="1843437"/>
                </a:cubicBezTo>
                <a:lnTo>
                  <a:pt x="262133" y="1843437"/>
                </a:lnTo>
                <a:lnTo>
                  <a:pt x="126637" y="1784087"/>
                </a:lnTo>
                <a:lnTo>
                  <a:pt x="187684" y="1644716"/>
                </a:lnTo>
                <a:lnTo>
                  <a:pt x="187686" y="1644713"/>
                </a:lnTo>
                <a:cubicBezTo>
                  <a:pt x="221402" y="1567739"/>
                  <a:pt x="309398" y="1531910"/>
                  <a:pt x="384230" y="1564688"/>
                </a:cubicBezTo>
                <a:lnTo>
                  <a:pt x="384231" y="1564689"/>
                </a:lnTo>
                <a:close/>
                <a:moveTo>
                  <a:pt x="1009078" y="2051827"/>
                </a:moveTo>
                <a:lnTo>
                  <a:pt x="1066442" y="2192754"/>
                </a:lnTo>
                <a:lnTo>
                  <a:pt x="1066444" y="2192757"/>
                </a:lnTo>
                <a:cubicBezTo>
                  <a:pt x="1098126" y="2270591"/>
                  <a:pt x="1062469" y="2358656"/>
                  <a:pt x="986801" y="2389456"/>
                </a:cubicBezTo>
                <a:lnTo>
                  <a:pt x="986801" y="2389457"/>
                </a:lnTo>
                <a:lnTo>
                  <a:pt x="849793" y="2445226"/>
                </a:lnTo>
                <a:lnTo>
                  <a:pt x="792428" y="2304299"/>
                </a:lnTo>
                <a:lnTo>
                  <a:pt x="792426" y="2304296"/>
                </a:lnTo>
                <a:cubicBezTo>
                  <a:pt x="760744" y="2226462"/>
                  <a:pt x="796402" y="2138397"/>
                  <a:pt x="872069" y="2107597"/>
                </a:cubicBezTo>
                <a:lnTo>
                  <a:pt x="872070" y="2107597"/>
                </a:lnTo>
                <a:close/>
                <a:moveTo>
                  <a:pt x="1307640" y="2093057"/>
                </a:moveTo>
                <a:lnTo>
                  <a:pt x="1411294" y="2204442"/>
                </a:lnTo>
                <a:lnTo>
                  <a:pt x="1411296" y="2204445"/>
                </a:lnTo>
                <a:cubicBezTo>
                  <a:pt x="1468544" y="2265963"/>
                  <a:pt x="1466470" y="2360951"/>
                  <a:pt x="1406663" y="2416606"/>
                </a:cubicBezTo>
                <a:lnTo>
                  <a:pt x="1406663" y="2416606"/>
                </a:lnTo>
                <a:lnTo>
                  <a:pt x="1298374" y="2517378"/>
                </a:lnTo>
                <a:lnTo>
                  <a:pt x="1194720" y="2405992"/>
                </a:lnTo>
                <a:lnTo>
                  <a:pt x="1194718" y="2405989"/>
                </a:lnTo>
                <a:cubicBezTo>
                  <a:pt x="1137470" y="2344471"/>
                  <a:pt x="1139544" y="2249484"/>
                  <a:pt x="1199351" y="2193829"/>
                </a:cubicBezTo>
                <a:lnTo>
                  <a:pt x="1199351" y="2193828"/>
                </a:lnTo>
                <a:close/>
                <a:moveTo>
                  <a:pt x="323549" y="1188033"/>
                </a:moveTo>
                <a:lnTo>
                  <a:pt x="323549" y="1188033"/>
                </a:lnTo>
                <a:lnTo>
                  <a:pt x="424321" y="1296322"/>
                </a:lnTo>
                <a:lnTo>
                  <a:pt x="312935" y="1399976"/>
                </a:lnTo>
                <a:lnTo>
                  <a:pt x="312933" y="1399979"/>
                </a:lnTo>
                <a:cubicBezTo>
                  <a:pt x="251414" y="1457227"/>
                  <a:pt x="156427" y="1455152"/>
                  <a:pt x="100772" y="1395346"/>
                </a:cubicBezTo>
                <a:lnTo>
                  <a:pt x="100771" y="1395345"/>
                </a:lnTo>
                <a:lnTo>
                  <a:pt x="0" y="1287056"/>
                </a:lnTo>
                <a:lnTo>
                  <a:pt x="111385" y="1183403"/>
                </a:lnTo>
                <a:lnTo>
                  <a:pt x="111388" y="1183400"/>
                </a:lnTo>
                <a:cubicBezTo>
                  <a:pt x="172906" y="1126152"/>
                  <a:pt x="267894" y="1128226"/>
                  <a:pt x="323549" y="1188033"/>
                </a:cubicBezTo>
                <a:close/>
                <a:moveTo>
                  <a:pt x="1826146" y="2118023"/>
                </a:moveTo>
                <a:cubicBezTo>
                  <a:pt x="1867160" y="2160504"/>
                  <a:pt x="1881167" y="2224032"/>
                  <a:pt x="1856583" y="2280157"/>
                </a:cubicBezTo>
                <a:lnTo>
                  <a:pt x="1856583" y="2280157"/>
                </a:lnTo>
                <a:lnTo>
                  <a:pt x="1797234" y="2415653"/>
                </a:lnTo>
                <a:lnTo>
                  <a:pt x="1657863" y="2354606"/>
                </a:lnTo>
                <a:lnTo>
                  <a:pt x="1657859" y="2354605"/>
                </a:lnTo>
                <a:cubicBezTo>
                  <a:pt x="1580885" y="2320889"/>
                  <a:pt x="1545057" y="2232893"/>
                  <a:pt x="1577835" y="2158060"/>
                </a:cubicBezTo>
                <a:lnTo>
                  <a:pt x="1577835" y="2158060"/>
                </a:lnTo>
                <a:lnTo>
                  <a:pt x="1637185" y="2022564"/>
                </a:lnTo>
                <a:lnTo>
                  <a:pt x="1776555" y="2083611"/>
                </a:lnTo>
                <a:lnTo>
                  <a:pt x="1776559" y="2083612"/>
                </a:lnTo>
                <a:cubicBezTo>
                  <a:pt x="1795803" y="2092041"/>
                  <a:pt x="1812474" y="2103863"/>
                  <a:pt x="1826146" y="2118023"/>
                </a:cubicBezTo>
                <a:close/>
                <a:moveTo>
                  <a:pt x="377553" y="807593"/>
                </a:moveTo>
                <a:cubicBezTo>
                  <a:pt x="391356" y="821081"/>
                  <a:pt x="402635" y="837498"/>
                  <a:pt x="410335" y="856415"/>
                </a:cubicBezTo>
                <a:lnTo>
                  <a:pt x="410336" y="856415"/>
                </a:lnTo>
                <a:lnTo>
                  <a:pt x="466105" y="993423"/>
                </a:lnTo>
                <a:lnTo>
                  <a:pt x="325178" y="1050787"/>
                </a:lnTo>
                <a:lnTo>
                  <a:pt x="325175" y="1050789"/>
                </a:lnTo>
                <a:cubicBezTo>
                  <a:pt x="247342" y="1082471"/>
                  <a:pt x="159276" y="1046814"/>
                  <a:pt x="128476" y="971146"/>
                </a:cubicBezTo>
                <a:lnTo>
                  <a:pt x="128476" y="971146"/>
                </a:lnTo>
                <a:lnTo>
                  <a:pt x="72706" y="834138"/>
                </a:lnTo>
                <a:lnTo>
                  <a:pt x="213633" y="776773"/>
                </a:lnTo>
                <a:lnTo>
                  <a:pt x="213636" y="776772"/>
                </a:lnTo>
                <a:cubicBezTo>
                  <a:pt x="272011" y="753010"/>
                  <a:pt x="336142" y="767127"/>
                  <a:pt x="377553" y="807593"/>
                </a:cubicBezTo>
                <a:close/>
                <a:moveTo>
                  <a:pt x="2166386" y="1843414"/>
                </a:moveTo>
                <a:cubicBezTo>
                  <a:pt x="2193921" y="1870183"/>
                  <a:pt x="2210952" y="1907164"/>
                  <a:pt x="2210952" y="1948012"/>
                </a:cubicBezTo>
                <a:lnTo>
                  <a:pt x="2210952" y="1948012"/>
                </a:lnTo>
                <a:lnTo>
                  <a:pt x="2210952" y="2095936"/>
                </a:lnTo>
                <a:lnTo>
                  <a:pt x="2058798" y="2095936"/>
                </a:lnTo>
                <a:lnTo>
                  <a:pt x="2058794" y="2095937"/>
                </a:lnTo>
                <a:cubicBezTo>
                  <a:pt x="1974759" y="2095937"/>
                  <a:pt x="1906636" y="2029709"/>
                  <a:pt x="1906636" y="1948012"/>
                </a:cubicBezTo>
                <a:lnTo>
                  <a:pt x="1906636" y="1948012"/>
                </a:lnTo>
                <a:lnTo>
                  <a:pt x="1906636" y="1800088"/>
                </a:lnTo>
                <a:lnTo>
                  <a:pt x="2058790" y="1800088"/>
                </a:lnTo>
                <a:lnTo>
                  <a:pt x="2058794" y="1800088"/>
                </a:lnTo>
                <a:cubicBezTo>
                  <a:pt x="2100811" y="1800088"/>
                  <a:pt x="2138851" y="1816645"/>
                  <a:pt x="2166386" y="1843414"/>
                </a:cubicBezTo>
                <a:close/>
                <a:moveTo>
                  <a:pt x="592924" y="461833"/>
                </a:moveTo>
                <a:cubicBezTo>
                  <a:pt x="620460" y="488602"/>
                  <a:pt x="637491" y="525583"/>
                  <a:pt x="637491" y="566431"/>
                </a:cubicBezTo>
                <a:lnTo>
                  <a:pt x="637490" y="566431"/>
                </a:lnTo>
                <a:lnTo>
                  <a:pt x="637490" y="714355"/>
                </a:lnTo>
                <a:lnTo>
                  <a:pt x="485336" y="714355"/>
                </a:lnTo>
                <a:lnTo>
                  <a:pt x="485333" y="714356"/>
                </a:lnTo>
                <a:cubicBezTo>
                  <a:pt x="401298" y="714356"/>
                  <a:pt x="333174" y="648128"/>
                  <a:pt x="333174" y="566431"/>
                </a:cubicBezTo>
                <a:lnTo>
                  <a:pt x="333175" y="566431"/>
                </a:lnTo>
                <a:lnTo>
                  <a:pt x="333175" y="418507"/>
                </a:lnTo>
                <a:lnTo>
                  <a:pt x="485329" y="418507"/>
                </a:lnTo>
                <a:lnTo>
                  <a:pt x="485333" y="418507"/>
                </a:lnTo>
                <a:cubicBezTo>
                  <a:pt x="527350" y="418507"/>
                  <a:pt x="565389" y="435064"/>
                  <a:pt x="592924" y="461833"/>
                </a:cubicBezTo>
                <a:close/>
                <a:moveTo>
                  <a:pt x="2378656" y="1501946"/>
                </a:moveTo>
                <a:cubicBezTo>
                  <a:pt x="2392459" y="1515435"/>
                  <a:pt x="2403738" y="1531851"/>
                  <a:pt x="2411439" y="1550768"/>
                </a:cubicBezTo>
                <a:lnTo>
                  <a:pt x="2411439" y="1550768"/>
                </a:lnTo>
                <a:lnTo>
                  <a:pt x="2467208" y="1687776"/>
                </a:lnTo>
                <a:lnTo>
                  <a:pt x="2326282" y="1745141"/>
                </a:lnTo>
                <a:lnTo>
                  <a:pt x="2326278" y="1745142"/>
                </a:lnTo>
                <a:cubicBezTo>
                  <a:pt x="2248445" y="1776824"/>
                  <a:pt x="2160379" y="1741167"/>
                  <a:pt x="2129579" y="1665499"/>
                </a:cubicBezTo>
                <a:lnTo>
                  <a:pt x="2129579" y="1665499"/>
                </a:lnTo>
                <a:lnTo>
                  <a:pt x="2073809" y="1528491"/>
                </a:lnTo>
                <a:lnTo>
                  <a:pt x="2214736" y="1471127"/>
                </a:lnTo>
                <a:lnTo>
                  <a:pt x="2214739" y="1471125"/>
                </a:lnTo>
                <a:cubicBezTo>
                  <a:pt x="2273114" y="1447363"/>
                  <a:pt x="2337245" y="1461480"/>
                  <a:pt x="2378656" y="1501946"/>
                </a:cubicBezTo>
                <a:close/>
                <a:moveTo>
                  <a:pt x="928939" y="199283"/>
                </a:moveTo>
                <a:cubicBezTo>
                  <a:pt x="969953" y="241764"/>
                  <a:pt x="983960" y="305292"/>
                  <a:pt x="959377" y="361416"/>
                </a:cubicBezTo>
                <a:lnTo>
                  <a:pt x="959376" y="361417"/>
                </a:lnTo>
                <a:lnTo>
                  <a:pt x="900027" y="496913"/>
                </a:lnTo>
                <a:lnTo>
                  <a:pt x="760656" y="435866"/>
                </a:lnTo>
                <a:lnTo>
                  <a:pt x="760652" y="435865"/>
                </a:lnTo>
                <a:cubicBezTo>
                  <a:pt x="683678" y="402148"/>
                  <a:pt x="647850" y="314153"/>
                  <a:pt x="680628" y="239320"/>
                </a:cubicBezTo>
                <a:lnTo>
                  <a:pt x="680628" y="239320"/>
                </a:lnTo>
                <a:lnTo>
                  <a:pt x="739978" y="103824"/>
                </a:lnTo>
                <a:lnTo>
                  <a:pt x="879349" y="164871"/>
                </a:lnTo>
                <a:lnTo>
                  <a:pt x="879352" y="164872"/>
                </a:lnTo>
                <a:cubicBezTo>
                  <a:pt x="898596" y="173301"/>
                  <a:pt x="915268" y="185122"/>
                  <a:pt x="928939" y="199283"/>
                </a:cubicBezTo>
                <a:close/>
                <a:moveTo>
                  <a:pt x="2440810" y="1126826"/>
                </a:moveTo>
                <a:lnTo>
                  <a:pt x="2440811" y="1126826"/>
                </a:lnTo>
                <a:lnTo>
                  <a:pt x="2541582" y="1235115"/>
                </a:lnTo>
                <a:lnTo>
                  <a:pt x="2430197" y="1338769"/>
                </a:lnTo>
                <a:lnTo>
                  <a:pt x="2430194" y="1338772"/>
                </a:lnTo>
                <a:cubicBezTo>
                  <a:pt x="2368676" y="1396019"/>
                  <a:pt x="2273688" y="1393945"/>
                  <a:pt x="2218033" y="1334138"/>
                </a:cubicBezTo>
                <a:lnTo>
                  <a:pt x="2218033" y="1334138"/>
                </a:lnTo>
                <a:lnTo>
                  <a:pt x="2117261" y="1225849"/>
                </a:lnTo>
                <a:lnTo>
                  <a:pt x="2228647" y="1122195"/>
                </a:lnTo>
                <a:lnTo>
                  <a:pt x="2228649" y="1122192"/>
                </a:lnTo>
                <a:cubicBezTo>
                  <a:pt x="2290168" y="1064945"/>
                  <a:pt x="2385155" y="1067019"/>
                  <a:pt x="2440810" y="1126826"/>
                </a:cubicBezTo>
                <a:close/>
                <a:moveTo>
                  <a:pt x="1247133" y="0"/>
                </a:moveTo>
                <a:lnTo>
                  <a:pt x="1350787" y="111386"/>
                </a:lnTo>
                <a:lnTo>
                  <a:pt x="1350790" y="111388"/>
                </a:lnTo>
                <a:cubicBezTo>
                  <a:pt x="1408038" y="172907"/>
                  <a:pt x="1405963" y="267894"/>
                  <a:pt x="1346157" y="323549"/>
                </a:cubicBezTo>
                <a:lnTo>
                  <a:pt x="1346157" y="323550"/>
                </a:lnTo>
                <a:lnTo>
                  <a:pt x="1237868" y="424321"/>
                </a:lnTo>
                <a:lnTo>
                  <a:pt x="1134214" y="312935"/>
                </a:lnTo>
                <a:lnTo>
                  <a:pt x="1134211" y="312933"/>
                </a:lnTo>
                <a:cubicBezTo>
                  <a:pt x="1076963" y="251415"/>
                  <a:pt x="1079038" y="156427"/>
                  <a:pt x="1138844" y="100772"/>
                </a:cubicBezTo>
                <a:lnTo>
                  <a:pt x="1138844" y="100772"/>
                </a:lnTo>
                <a:close/>
                <a:moveTo>
                  <a:pt x="2416531" y="737089"/>
                </a:moveTo>
                <a:lnTo>
                  <a:pt x="2355484" y="876459"/>
                </a:lnTo>
                <a:lnTo>
                  <a:pt x="2355483" y="876463"/>
                </a:lnTo>
                <a:cubicBezTo>
                  <a:pt x="2321766" y="953437"/>
                  <a:pt x="2233771" y="989265"/>
                  <a:pt x="2158938" y="956487"/>
                </a:cubicBezTo>
                <a:lnTo>
                  <a:pt x="2158938" y="956487"/>
                </a:lnTo>
                <a:lnTo>
                  <a:pt x="2023442" y="897137"/>
                </a:lnTo>
                <a:lnTo>
                  <a:pt x="2084489" y="757767"/>
                </a:lnTo>
                <a:lnTo>
                  <a:pt x="2084490" y="757763"/>
                </a:lnTo>
                <a:cubicBezTo>
                  <a:pt x="2118206" y="680789"/>
                  <a:pt x="2206202" y="644961"/>
                  <a:pt x="2281035" y="677739"/>
                </a:cubicBezTo>
                <a:lnTo>
                  <a:pt x="2281035" y="677739"/>
                </a:lnTo>
                <a:close/>
                <a:moveTo>
                  <a:pt x="1695493" y="73601"/>
                </a:moveTo>
                <a:lnTo>
                  <a:pt x="1752857" y="214527"/>
                </a:lnTo>
                <a:lnTo>
                  <a:pt x="1752859" y="214531"/>
                </a:lnTo>
                <a:cubicBezTo>
                  <a:pt x="1784541" y="292364"/>
                  <a:pt x="1748884" y="380429"/>
                  <a:pt x="1673216" y="411230"/>
                </a:cubicBezTo>
                <a:lnTo>
                  <a:pt x="1673216" y="411230"/>
                </a:lnTo>
                <a:lnTo>
                  <a:pt x="1536207" y="466999"/>
                </a:lnTo>
                <a:lnTo>
                  <a:pt x="1478843" y="326073"/>
                </a:lnTo>
                <a:lnTo>
                  <a:pt x="1478841" y="326069"/>
                </a:lnTo>
                <a:cubicBezTo>
                  <a:pt x="1447159" y="248236"/>
                  <a:pt x="1482817" y="160171"/>
                  <a:pt x="1558484" y="129370"/>
                </a:cubicBezTo>
                <a:lnTo>
                  <a:pt x="1558485" y="129370"/>
                </a:lnTo>
                <a:close/>
                <a:moveTo>
                  <a:pt x="2119183" y="312304"/>
                </a:moveTo>
                <a:lnTo>
                  <a:pt x="2119184" y="464458"/>
                </a:lnTo>
                <a:lnTo>
                  <a:pt x="2119184" y="464462"/>
                </a:lnTo>
                <a:cubicBezTo>
                  <a:pt x="2119184" y="548497"/>
                  <a:pt x="2052956" y="616620"/>
                  <a:pt x="1971260" y="616620"/>
                </a:cubicBezTo>
                <a:lnTo>
                  <a:pt x="1971259" y="616620"/>
                </a:lnTo>
                <a:lnTo>
                  <a:pt x="1823335" y="616620"/>
                </a:lnTo>
                <a:lnTo>
                  <a:pt x="1823335" y="464466"/>
                </a:lnTo>
                <a:lnTo>
                  <a:pt x="1823335" y="464462"/>
                </a:lnTo>
                <a:cubicBezTo>
                  <a:pt x="1823335" y="380427"/>
                  <a:pt x="1889563" y="312304"/>
                  <a:pt x="1971259" y="312304"/>
                </a:cubicBezTo>
                <a:lnTo>
                  <a:pt x="1971260" y="312304"/>
                </a:lnTo>
                <a:close/>
              </a:path>
            </a:pathLst>
          </a:custGeom>
          <a:gradFill>
            <a:gsLst>
              <a:gs pos="0">
                <a:sysClr val="window" lastClr="FFFFFF">
                  <a:lumMod val="85000"/>
                </a:sysClr>
              </a:gs>
              <a:gs pos="100000">
                <a:sysClr val="window" lastClr="FFFFFF">
                  <a:lumMod val="50000"/>
                </a:sysClr>
              </a:gs>
            </a:gsLst>
            <a:lin ang="5400000" scaled="1"/>
          </a:gra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94" name="Sun">
            <a:extLst>
              <a:ext uri="{FF2B5EF4-FFF2-40B4-BE49-F238E27FC236}">
                <a16:creationId xmlns:a16="http://schemas.microsoft.com/office/drawing/2014/main" id="{00000000-0008-0000-0300-00005E000000}"/>
              </a:ext>
            </a:extLst>
          </xdr:cNvPr>
          <xdr:cNvSpPr/>
        </xdr:nvSpPr>
        <xdr:spPr>
          <a:xfrm rot="18324177">
            <a:off x="14829219" y="190232"/>
            <a:ext cx="942318" cy="930488"/>
          </a:xfrm>
          <a:prstGeom prst="ellipse">
            <a:avLst/>
          </a:prstGeom>
          <a:gradFill>
            <a:gsLst>
              <a:gs pos="0">
                <a:sysClr val="window" lastClr="FFFFFF">
                  <a:lumMod val="85000"/>
                </a:sysClr>
              </a:gs>
              <a:gs pos="100000">
                <a:sysClr val="window" lastClr="FFFFFF">
                  <a:lumMod val="50000"/>
                </a:sysClr>
              </a:gs>
            </a:gsLst>
            <a:lin ang="5400000" scaled="1"/>
          </a:gradFill>
          <a:ln w="12700" cap="flat" cmpd="sng" algn="ctr">
            <a:no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18</xdr:col>
      <xdr:colOff>691331</xdr:colOff>
      <xdr:row>1</xdr:row>
      <xdr:rowOff>20103</xdr:rowOff>
    </xdr:from>
    <xdr:to>
      <xdr:col>20</xdr:col>
      <xdr:colOff>728763</xdr:colOff>
      <xdr:row>4</xdr:row>
      <xdr:rowOff>26635</xdr:rowOff>
    </xdr:to>
    <xdr:sp macro="" textlink="Processing!I1">
      <xdr:nvSpPr>
        <xdr:cNvPr id="95" name="TextBox 94">
          <a:extLst>
            <a:ext uri="{FF2B5EF4-FFF2-40B4-BE49-F238E27FC236}">
              <a16:creationId xmlns:a16="http://schemas.microsoft.com/office/drawing/2014/main" id="{00000000-0008-0000-0300-00005F000000}"/>
            </a:ext>
          </a:extLst>
        </xdr:cNvPr>
        <xdr:cNvSpPr txBox="1"/>
      </xdr:nvSpPr>
      <xdr:spPr>
        <a:xfrm>
          <a:off x="15550331" y="223303"/>
          <a:ext cx="1688432" cy="616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616529F7-6C3A-9D4C-98BF-28707077E6C5}" type="TxLink">
            <a:rPr lang="en-US" sz="1200" b="0" i="0" u="none" strike="noStrike" noProof="0">
              <a:solidFill>
                <a:srgbClr val="BFCDE4"/>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Today: 1 Settembre 2025</a:t>
          </a:fld>
          <a:endParaRPr lang="ru-RU" sz="1200" b="0" i="0" u="none" strike="noStrike" noProof="0">
            <a:solidFill>
              <a:srgbClr val="BFCDE4"/>
            </a:solidFill>
            <a:latin typeface="Calibri"/>
            <a:ea typeface="+mn-ea"/>
            <a:cs typeface="Calibri"/>
          </a:endParaRPr>
        </a:p>
      </xdr:txBody>
    </xdr:sp>
    <xdr:clientData/>
  </xdr:twoCellAnchor>
  <xdr:twoCellAnchor editAs="oneCell">
    <xdr:from>
      <xdr:col>3</xdr:col>
      <xdr:colOff>451224</xdr:colOff>
      <xdr:row>6</xdr:row>
      <xdr:rowOff>4490</xdr:rowOff>
    </xdr:from>
    <xdr:to>
      <xdr:col>17</xdr:col>
      <xdr:colOff>297202</xdr:colOff>
      <xdr:row>8</xdr:row>
      <xdr:rowOff>20162</xdr:rowOff>
    </xdr:to>
    <mc:AlternateContent xmlns:mc="http://schemas.openxmlformats.org/markup-compatibility/2006" xmlns:a14="http://schemas.microsoft.com/office/drawing/2010/main">
      <mc:Choice Requires="a14">
        <xdr:graphicFrame macro="">
          <xdr:nvGraphicFramePr>
            <xdr:cNvPr id="96" name="Mese 12">
              <a:extLst>
                <a:ext uri="{FF2B5EF4-FFF2-40B4-BE49-F238E27FC236}">
                  <a16:creationId xmlns:a16="http://schemas.microsoft.com/office/drawing/2014/main" id="{00000000-0008-0000-0300-000060000000}"/>
                </a:ext>
              </a:extLst>
            </xdr:cNvPr>
            <xdr:cNvGraphicFramePr/>
          </xdr:nvGraphicFramePr>
          <xdr:xfrm>
            <a:off x="0" y="0"/>
            <a:ext cx="0" cy="0"/>
          </xdr:xfrm>
          <a:graphic>
            <a:graphicData uri="http://schemas.microsoft.com/office/drawing/2010/slicer">
              <sle:slicer xmlns:sle="http://schemas.microsoft.com/office/drawing/2010/slicer" name="Mese 12"/>
            </a:graphicData>
          </a:graphic>
        </xdr:graphicFrame>
      </mc:Choice>
      <mc:Fallback xmlns="">
        <xdr:sp macro="" textlink="">
          <xdr:nvSpPr>
            <xdr:cNvPr id="0" name=""/>
            <xdr:cNvSpPr>
              <a:spLocks noTextEdit="1"/>
            </xdr:cNvSpPr>
          </xdr:nvSpPr>
          <xdr:spPr>
            <a:xfrm>
              <a:off x="2927724" y="1223690"/>
              <a:ext cx="11402978" cy="4220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459686</xdr:colOff>
      <xdr:row>6</xdr:row>
      <xdr:rowOff>4926</xdr:rowOff>
    </xdr:from>
    <xdr:to>
      <xdr:col>22</xdr:col>
      <xdr:colOff>143436</xdr:colOff>
      <xdr:row>8</xdr:row>
      <xdr:rowOff>19726</xdr:rowOff>
    </xdr:to>
    <mc:AlternateContent xmlns:mc="http://schemas.openxmlformats.org/markup-compatibility/2006" xmlns:a14="http://schemas.microsoft.com/office/drawing/2010/main">
      <mc:Choice Requires="a14">
        <xdr:graphicFrame macro="">
          <xdr:nvGraphicFramePr>
            <xdr:cNvPr id="97" name="Anno 4">
              <a:extLst>
                <a:ext uri="{FF2B5EF4-FFF2-40B4-BE49-F238E27FC236}">
                  <a16:creationId xmlns:a16="http://schemas.microsoft.com/office/drawing/2014/main" id="{00000000-0008-0000-0300-000061000000}"/>
                </a:ext>
              </a:extLst>
            </xdr:cNvPr>
            <xdr:cNvGraphicFramePr/>
          </xdr:nvGraphicFramePr>
          <xdr:xfrm>
            <a:off x="0" y="0"/>
            <a:ext cx="0" cy="0"/>
          </xdr:xfrm>
          <a:graphic>
            <a:graphicData uri="http://schemas.microsoft.com/office/drawing/2010/slicer">
              <sle:slicer xmlns:sle="http://schemas.microsoft.com/office/drawing/2010/slicer" name="Anno 4"/>
            </a:graphicData>
          </a:graphic>
        </xdr:graphicFrame>
      </mc:Choice>
      <mc:Fallback xmlns="">
        <xdr:sp macro="" textlink="">
          <xdr:nvSpPr>
            <xdr:cNvPr id="0" name=""/>
            <xdr:cNvSpPr>
              <a:spLocks noTextEdit="1"/>
            </xdr:cNvSpPr>
          </xdr:nvSpPr>
          <xdr:spPr>
            <a:xfrm>
              <a:off x="15318686" y="1224126"/>
              <a:ext cx="2985750" cy="421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398556</xdr:colOff>
      <xdr:row>48</xdr:row>
      <xdr:rowOff>101600</xdr:rowOff>
    </xdr:from>
    <xdr:to>
      <xdr:col>22</xdr:col>
      <xdr:colOff>278279</xdr:colOff>
      <xdr:row>83</xdr:row>
      <xdr:rowOff>76200</xdr:rowOff>
    </xdr:to>
    <xdr:sp macro="" textlink="">
      <xdr:nvSpPr>
        <xdr:cNvPr id="104" name="Rectangle: Rounded Corners 4">
          <a:extLst>
            <a:ext uri="{FF2B5EF4-FFF2-40B4-BE49-F238E27FC236}">
              <a16:creationId xmlns:a16="http://schemas.microsoft.com/office/drawing/2014/main" id="{00000000-0008-0000-0300-000068000000}"/>
            </a:ext>
          </a:extLst>
        </xdr:cNvPr>
        <xdr:cNvSpPr/>
      </xdr:nvSpPr>
      <xdr:spPr>
        <a:xfrm>
          <a:off x="14432056" y="9855200"/>
          <a:ext cx="4007223" cy="7086600"/>
        </a:xfrm>
        <a:prstGeom prst="roundRect">
          <a:avLst>
            <a:gd name="adj" fmla="val 4473"/>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174111</xdr:colOff>
      <xdr:row>54</xdr:row>
      <xdr:rowOff>89247</xdr:rowOff>
    </xdr:from>
    <xdr:to>
      <xdr:col>17</xdr:col>
      <xdr:colOff>226511</xdr:colOff>
      <xdr:row>59</xdr:row>
      <xdr:rowOff>137057</xdr:rowOff>
    </xdr:to>
    <xdr:grpSp>
      <xdr:nvGrpSpPr>
        <xdr:cNvPr id="114" name="Group 113">
          <a:extLst>
            <a:ext uri="{FF2B5EF4-FFF2-40B4-BE49-F238E27FC236}">
              <a16:creationId xmlns:a16="http://schemas.microsoft.com/office/drawing/2014/main" id="{00000000-0008-0000-0300-000072000000}"/>
            </a:ext>
          </a:extLst>
        </xdr:cNvPr>
        <xdr:cNvGrpSpPr/>
      </xdr:nvGrpSpPr>
      <xdr:grpSpPr>
        <a:xfrm>
          <a:off x="7603611" y="10719147"/>
          <a:ext cx="6656400" cy="1032060"/>
          <a:chOff x="7578211" y="7645747"/>
          <a:chExt cx="6656400" cy="1063810"/>
        </a:xfrm>
      </xdr:grpSpPr>
      <xdr:sp macro="" textlink="">
        <xdr:nvSpPr>
          <xdr:cNvPr id="100" name="Rectangle: Rounded Corners 5">
            <a:extLst>
              <a:ext uri="{FF2B5EF4-FFF2-40B4-BE49-F238E27FC236}">
                <a16:creationId xmlns:a16="http://schemas.microsoft.com/office/drawing/2014/main" id="{00000000-0008-0000-0300-000064000000}"/>
              </a:ext>
            </a:extLst>
          </xdr:cNvPr>
          <xdr:cNvSpPr/>
        </xdr:nvSpPr>
        <xdr:spPr>
          <a:xfrm>
            <a:off x="7578211" y="7673652"/>
            <a:ext cx="6656400" cy="1008000"/>
          </a:xfrm>
          <a:prstGeom prst="roundRect">
            <a:avLst>
              <a:gd name="adj" fmla="val 15210"/>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grpSp>
        <xdr:nvGrpSpPr>
          <xdr:cNvPr id="7" name="Group 6">
            <a:extLst>
              <a:ext uri="{FF2B5EF4-FFF2-40B4-BE49-F238E27FC236}">
                <a16:creationId xmlns:a16="http://schemas.microsoft.com/office/drawing/2014/main" id="{00000000-0008-0000-0300-000007000000}"/>
              </a:ext>
            </a:extLst>
          </xdr:cNvPr>
          <xdr:cNvGrpSpPr/>
        </xdr:nvGrpSpPr>
        <xdr:grpSpPr>
          <a:xfrm>
            <a:off x="8597081" y="7887552"/>
            <a:ext cx="1368000" cy="580200"/>
            <a:chOff x="10988487" y="5185571"/>
            <a:chExt cx="1608433" cy="1281925"/>
          </a:xfrm>
        </xdr:grpSpPr>
        <xdr:sp macro="" textlink="Processing!AP58">
          <xdr:nvSpPr>
            <xdr:cNvPr id="98" name="TextBox 97">
              <a:extLst>
                <a:ext uri="{FF2B5EF4-FFF2-40B4-BE49-F238E27FC236}">
                  <a16:creationId xmlns:a16="http://schemas.microsoft.com/office/drawing/2014/main" id="{00000000-0008-0000-0300-000062000000}"/>
                </a:ext>
              </a:extLst>
            </xdr:cNvPr>
            <xdr:cNvSpPr txBox="1"/>
          </xdr:nvSpPr>
          <xdr:spPr>
            <a:xfrm>
              <a:off x="10988487" y="5185571"/>
              <a:ext cx="1608433" cy="643665"/>
            </a:xfrm>
            <a:prstGeom prst="rect">
              <a:avLst/>
            </a:prstGeom>
            <a:noFill/>
            <a:ln w="9525" cmpd="sng">
              <a:noFill/>
            </a:ln>
            <a:effectLst/>
          </xdr:spPr>
          <xdr:txBody>
            <a:bodyPr vertOverflow="overflow" horzOverflow="overflow"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077E6A63-24C6-D84F-8D49-241C83CDCAC7}" type="TxLink">
                <a:rPr kumimoji="0" lang="en-US" sz="1800" b="0" i="0" u="none" strike="noStrike" kern="0" cap="none" spc="0" normalizeH="0" baseline="0" noProof="0">
                  <a:ln>
                    <a:noFill/>
                  </a:ln>
                  <a:solidFill>
                    <a:schemeClr val="bg1"/>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Uscite Totali</a:t>
              </a:fld>
              <a:endParaRPr kumimoji="0" lang="ru-RU" sz="1800" b="0" i="0" u="none" strike="noStrike" kern="0" cap="none" spc="0" normalizeH="0" baseline="0" noProof="0">
                <a:ln>
                  <a:noFill/>
                </a:ln>
                <a:solidFill>
                  <a:schemeClr val="bg1"/>
                </a:solidFill>
                <a:effectLst/>
                <a:uLnTx/>
                <a:uFillTx/>
                <a:latin typeface="Calibri"/>
                <a:ea typeface="+mn-ea"/>
                <a:cs typeface="Calibri"/>
              </a:endParaRPr>
            </a:p>
          </xdr:txBody>
        </xdr:sp>
        <xdr:sp macro="" textlink="Processing!AQ58">
          <xdr:nvSpPr>
            <xdr:cNvPr id="99" name="TextBox 98">
              <a:extLst>
                <a:ext uri="{FF2B5EF4-FFF2-40B4-BE49-F238E27FC236}">
                  <a16:creationId xmlns:a16="http://schemas.microsoft.com/office/drawing/2014/main" id="{00000000-0008-0000-0300-000063000000}"/>
                </a:ext>
              </a:extLst>
            </xdr:cNvPr>
            <xdr:cNvSpPr txBox="1"/>
          </xdr:nvSpPr>
          <xdr:spPr>
            <a:xfrm>
              <a:off x="11073141" y="5823831"/>
              <a:ext cx="1439125" cy="643665"/>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DA7B0402-EA9E-6E49-9A46-C99EFBC8B363}" type="TxLink">
                <a:rPr kumimoji="0" lang="en-US" sz="1800" b="0" i="0" u="none" strike="noStrike" kern="0" cap="none" spc="0" normalizeH="0" baseline="0" noProof="0">
                  <a:ln>
                    <a:noFill/>
                  </a:ln>
                  <a:solidFill>
                    <a:schemeClr val="bg1"/>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 € 359 </a:t>
              </a:fld>
              <a:endParaRPr kumimoji="0" lang="ru-RU" sz="1800" b="0" i="0" u="none" strike="noStrike" kern="0" cap="none" spc="0" normalizeH="0" baseline="0" noProof="0">
                <a:ln>
                  <a:noFill/>
                </a:ln>
                <a:solidFill>
                  <a:schemeClr val="bg1"/>
                </a:solidFill>
                <a:effectLst/>
                <a:uLnTx/>
                <a:uFillTx/>
                <a:latin typeface="Calibri"/>
                <a:ea typeface="+mn-ea"/>
                <a:cs typeface="Calibri"/>
              </a:endParaRPr>
            </a:p>
          </xdr:txBody>
        </xdr:sp>
      </xdr:grpSp>
      <xdr:grpSp>
        <xdr:nvGrpSpPr>
          <xdr:cNvPr id="113" name="Group 112">
            <a:extLst>
              <a:ext uri="{FF2B5EF4-FFF2-40B4-BE49-F238E27FC236}">
                <a16:creationId xmlns:a16="http://schemas.microsoft.com/office/drawing/2014/main" id="{00000000-0008-0000-0300-000071000000}"/>
              </a:ext>
            </a:extLst>
          </xdr:cNvPr>
          <xdr:cNvGrpSpPr/>
        </xdr:nvGrpSpPr>
        <xdr:grpSpPr>
          <a:xfrm>
            <a:off x="10887308" y="7645747"/>
            <a:ext cx="2620303" cy="1063810"/>
            <a:chOff x="11154008" y="7645747"/>
            <a:chExt cx="2620303" cy="1063810"/>
          </a:xfrm>
        </xdr:grpSpPr>
        <xdr:grpSp>
          <xdr:nvGrpSpPr>
            <xdr:cNvPr id="16" name="Group 15">
              <a:extLst>
                <a:ext uri="{FF2B5EF4-FFF2-40B4-BE49-F238E27FC236}">
                  <a16:creationId xmlns:a16="http://schemas.microsoft.com/office/drawing/2014/main" id="{00000000-0008-0000-0300-000010000000}"/>
                </a:ext>
              </a:extLst>
            </xdr:cNvPr>
            <xdr:cNvGrpSpPr/>
          </xdr:nvGrpSpPr>
          <xdr:grpSpPr>
            <a:xfrm>
              <a:off x="11154008" y="7645747"/>
              <a:ext cx="1727200" cy="1063810"/>
              <a:chOff x="13246100" y="10490200"/>
              <a:chExt cx="1727200" cy="1063810"/>
            </a:xfrm>
          </xdr:grpSpPr>
          <xdr:graphicFrame macro="">
            <xdr:nvGraphicFramePr>
              <xdr:cNvPr id="78" name="Chart 77">
                <a:extLst>
                  <a:ext uri="{FF2B5EF4-FFF2-40B4-BE49-F238E27FC236}">
                    <a16:creationId xmlns:a16="http://schemas.microsoft.com/office/drawing/2014/main" id="{00000000-0008-0000-0300-00004E000000}"/>
                  </a:ext>
                </a:extLst>
              </xdr:cNvPr>
              <xdr:cNvGraphicFramePr>
                <a:graphicFrameLocks/>
              </xdr:cNvGraphicFramePr>
            </xdr:nvGraphicFramePr>
            <xdr:xfrm>
              <a:off x="13246100" y="10490200"/>
              <a:ext cx="1727200" cy="1063810"/>
            </xdr:xfrm>
            <a:graphic>
              <a:graphicData uri="http://schemas.openxmlformats.org/drawingml/2006/chart">
                <c:chart xmlns:c="http://schemas.openxmlformats.org/drawingml/2006/chart" xmlns:r="http://schemas.openxmlformats.org/officeDocument/2006/relationships" r:id="rId12"/>
              </a:graphicData>
            </a:graphic>
          </xdr:graphicFrame>
          <xdr:sp macro="" textlink="Processing!B148">
            <xdr:nvSpPr>
              <xdr:cNvPr id="79" name="TextBox 78">
                <a:extLst>
                  <a:ext uri="{FF2B5EF4-FFF2-40B4-BE49-F238E27FC236}">
                    <a16:creationId xmlns:a16="http://schemas.microsoft.com/office/drawing/2014/main" id="{00000000-0008-0000-0300-00004F000000}"/>
                  </a:ext>
                </a:extLst>
              </xdr:cNvPr>
              <xdr:cNvSpPr txBox="1"/>
            </xdr:nvSpPr>
            <xdr:spPr>
              <a:xfrm>
                <a:off x="13791743" y="10700272"/>
                <a:ext cx="635915" cy="643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8476E7C4-E183-AE4D-BC60-8614E479D52D}" type="TxLink">
                  <a:rPr lang="en-US" sz="1300" b="0"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61%</a:t>
                </a:fld>
                <a:endParaRPr lang="ru-RU" sz="1300" b="0" i="0" u="none" strike="noStrike" noProof="0">
                  <a:solidFill>
                    <a:schemeClr val="bg1"/>
                  </a:solidFill>
                  <a:latin typeface="Calibri"/>
                  <a:ea typeface="+mn-ea"/>
                  <a:cs typeface="Calibri"/>
                </a:endParaRPr>
              </a:p>
            </xdr:txBody>
          </xdr:sp>
        </xdr:grpSp>
        <xdr:grpSp>
          <xdr:nvGrpSpPr>
            <xdr:cNvPr id="112" name="Group 111">
              <a:extLst>
                <a:ext uri="{FF2B5EF4-FFF2-40B4-BE49-F238E27FC236}">
                  <a16:creationId xmlns:a16="http://schemas.microsoft.com/office/drawing/2014/main" id="{00000000-0008-0000-0300-000070000000}"/>
                </a:ext>
              </a:extLst>
            </xdr:cNvPr>
            <xdr:cNvGrpSpPr/>
          </xdr:nvGrpSpPr>
          <xdr:grpSpPr>
            <a:xfrm>
              <a:off x="12442311" y="7800802"/>
              <a:ext cx="1332000" cy="753700"/>
              <a:chOff x="12734411" y="7766539"/>
              <a:chExt cx="1332000" cy="753700"/>
            </a:xfrm>
          </xdr:grpSpPr>
          <xdr:sp macro="" textlink="Processing!A64">
            <xdr:nvSpPr>
              <xdr:cNvPr id="105" name="TextBox 104">
                <a:extLst>
                  <a:ext uri="{FF2B5EF4-FFF2-40B4-BE49-F238E27FC236}">
                    <a16:creationId xmlns:a16="http://schemas.microsoft.com/office/drawing/2014/main" id="{00000000-0008-0000-0300-000069000000}"/>
                  </a:ext>
                </a:extLst>
              </xdr:cNvPr>
              <xdr:cNvSpPr txBox="1"/>
            </xdr:nvSpPr>
            <xdr:spPr>
              <a:xfrm>
                <a:off x="12928243" y="8160239"/>
                <a:ext cx="1138168"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7EF58891-B5B2-CA44-A16C-E6FD6C02E320}" type="TxLink">
                  <a:rPr lang="en-US" sz="1400" b="1" i="0" u="none" strike="noStrike" noProof="0">
                    <a:gradFill>
                      <a:gsLst>
                        <a:gs pos="0">
                          <a:srgbClr val="55E7F9"/>
                        </a:gs>
                        <a:gs pos="100000">
                          <a:srgbClr val="0C68BE"/>
                        </a:gs>
                      </a:gsLst>
                      <a:lin ang="5400000" scaled="1"/>
                    </a:gra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Uscite Varie</a:t>
                </a:fld>
                <a:endParaRPr lang="ru-RU" sz="1400" b="1" i="0" u="none" strike="noStrike" noProof="0">
                  <a:gradFill>
                    <a:gsLst>
                      <a:gs pos="0">
                        <a:srgbClr val="55E7F9"/>
                      </a:gs>
                      <a:gs pos="100000">
                        <a:srgbClr val="0C68BE"/>
                      </a:gs>
                    </a:gsLst>
                    <a:lin ang="5400000" scaled="1"/>
                  </a:gradFill>
                  <a:latin typeface="Calibri"/>
                  <a:ea typeface="+mn-ea"/>
                  <a:cs typeface="Calibri"/>
                </a:endParaRPr>
              </a:p>
            </xdr:txBody>
          </xdr:sp>
          <xdr:sp macro="" textlink="">
            <xdr:nvSpPr>
              <xdr:cNvPr id="106" name="Oval 105">
                <a:extLst>
                  <a:ext uri="{FF2B5EF4-FFF2-40B4-BE49-F238E27FC236}">
                    <a16:creationId xmlns:a16="http://schemas.microsoft.com/office/drawing/2014/main" id="{00000000-0008-0000-0300-00006A000000}"/>
                  </a:ext>
                </a:extLst>
              </xdr:cNvPr>
              <xdr:cNvSpPr/>
            </xdr:nvSpPr>
            <xdr:spPr>
              <a:xfrm>
                <a:off x="12734411" y="8297148"/>
                <a:ext cx="128871" cy="86182"/>
              </a:xfrm>
              <a:prstGeom prst="ellipse">
                <a:avLst/>
              </a:prstGeom>
              <a:solidFill>
                <a:srgbClr val="38C0E7"/>
              </a:soli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Processing!A104">
            <xdr:nvSpPr>
              <xdr:cNvPr id="109" name="TextBox 108">
                <a:extLst>
                  <a:ext uri="{FF2B5EF4-FFF2-40B4-BE49-F238E27FC236}">
                    <a16:creationId xmlns:a16="http://schemas.microsoft.com/office/drawing/2014/main" id="{00000000-0008-0000-0300-00006D000000}"/>
                  </a:ext>
                </a:extLst>
              </xdr:cNvPr>
              <xdr:cNvSpPr txBox="1"/>
            </xdr:nvSpPr>
            <xdr:spPr>
              <a:xfrm>
                <a:off x="12928243" y="7766539"/>
                <a:ext cx="1138168"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BF4266E7-D5FC-634A-A050-8A0CDD55BEA5}" type="TxLink">
                  <a:rPr lang="en-US" sz="1400" b="1" i="0" u="none" strike="noStrike" noProof="0">
                    <a:gradFill>
                      <a:gsLst>
                        <a:gs pos="13000">
                          <a:srgbClr val="B871FF"/>
                        </a:gs>
                        <a:gs pos="76000">
                          <a:srgbClr val="C7D5ED"/>
                        </a:gs>
                      </a:gsLst>
                      <a:lin ang="2700000" scaled="1"/>
                    </a:gra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Uscite Fisse</a:t>
                </a:fld>
                <a:endParaRPr lang="ru-RU" sz="1400" b="1" i="0" u="none" strike="noStrike" noProof="0">
                  <a:gradFill>
                    <a:gsLst>
                      <a:gs pos="13000">
                        <a:srgbClr val="B871FF"/>
                      </a:gs>
                      <a:gs pos="76000">
                        <a:srgbClr val="C7D5ED"/>
                      </a:gs>
                    </a:gsLst>
                    <a:lin ang="2700000" scaled="1"/>
                  </a:gradFill>
                  <a:latin typeface="Calibri"/>
                  <a:ea typeface="+mn-ea"/>
                  <a:cs typeface="Calibri"/>
                </a:endParaRPr>
              </a:p>
            </xdr:txBody>
          </xdr:sp>
          <xdr:sp macro="" textlink="">
            <xdr:nvSpPr>
              <xdr:cNvPr id="110" name="Oval 109">
                <a:extLst>
                  <a:ext uri="{FF2B5EF4-FFF2-40B4-BE49-F238E27FC236}">
                    <a16:creationId xmlns:a16="http://schemas.microsoft.com/office/drawing/2014/main" id="{00000000-0008-0000-0300-00006E000000}"/>
                  </a:ext>
                </a:extLst>
              </xdr:cNvPr>
              <xdr:cNvSpPr/>
            </xdr:nvSpPr>
            <xdr:spPr>
              <a:xfrm>
                <a:off x="12734411" y="7903448"/>
                <a:ext cx="128871" cy="86182"/>
              </a:xfrm>
              <a:prstGeom prst="ellipse">
                <a:avLst/>
              </a:prstGeom>
              <a:gradFill>
                <a:gsLst>
                  <a:gs pos="13000">
                    <a:srgbClr val="B871FF"/>
                  </a:gs>
                  <a:gs pos="76000">
                    <a:srgbClr val="C7D5ED"/>
                  </a:gs>
                </a:gsLst>
                <a:lin ang="2700000" scaled="1"/>
              </a:gra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grpSp>
      </xdr:grp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6723</xdr:colOff>
      <xdr:row>115</xdr:row>
      <xdr:rowOff>80682</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0" y="0"/>
          <a:ext cx="2483223" cy="23448682"/>
        </a:xfrm>
        <a:prstGeom prst="rect">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17</xdr:col>
      <xdr:colOff>390712</xdr:colOff>
      <xdr:row>10</xdr:row>
      <xdr:rowOff>11952</xdr:rowOff>
    </xdr:from>
    <xdr:to>
      <xdr:col>22</xdr:col>
      <xdr:colOff>270435</xdr:colOff>
      <xdr:row>26</xdr:row>
      <xdr:rowOff>74752</xdr:rowOff>
    </xdr:to>
    <xdr:sp macro="" textlink="">
      <xdr:nvSpPr>
        <xdr:cNvPr id="3" name="Rectangle: Rounded Corners 2">
          <a:extLst>
            <a:ext uri="{FF2B5EF4-FFF2-40B4-BE49-F238E27FC236}">
              <a16:creationId xmlns:a16="http://schemas.microsoft.com/office/drawing/2014/main" id="{00000000-0008-0000-0400-000003000000}"/>
            </a:ext>
          </a:extLst>
        </xdr:cNvPr>
        <xdr:cNvSpPr/>
      </xdr:nvSpPr>
      <xdr:spPr>
        <a:xfrm>
          <a:off x="14424212" y="2043952"/>
          <a:ext cx="4007223" cy="3314000"/>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320488</xdr:colOff>
      <xdr:row>10</xdr:row>
      <xdr:rowOff>11952</xdr:rowOff>
    </xdr:from>
    <xdr:to>
      <xdr:col>17</xdr:col>
      <xdr:colOff>139700</xdr:colOff>
      <xdr:row>32</xdr:row>
      <xdr:rowOff>184140</xdr:rowOff>
    </xdr:to>
    <xdr:sp macro="" textlink="">
      <xdr:nvSpPr>
        <xdr:cNvPr id="4" name="Rectangle: Rounded Corners 3">
          <a:extLst>
            <a:ext uri="{FF2B5EF4-FFF2-40B4-BE49-F238E27FC236}">
              <a16:creationId xmlns:a16="http://schemas.microsoft.com/office/drawing/2014/main" id="{00000000-0008-0000-0400-000004000000}"/>
            </a:ext>
          </a:extLst>
        </xdr:cNvPr>
        <xdr:cNvSpPr/>
      </xdr:nvSpPr>
      <xdr:spPr>
        <a:xfrm>
          <a:off x="2796988" y="2043952"/>
          <a:ext cx="11376212" cy="4642588"/>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17</xdr:col>
      <xdr:colOff>390712</xdr:colOff>
      <xdr:row>27</xdr:row>
      <xdr:rowOff>158378</xdr:rowOff>
    </xdr:from>
    <xdr:to>
      <xdr:col>22</xdr:col>
      <xdr:colOff>270435</xdr:colOff>
      <xdr:row>47</xdr:row>
      <xdr:rowOff>155386</xdr:rowOff>
    </xdr:to>
    <xdr:sp macro="" textlink="">
      <xdr:nvSpPr>
        <xdr:cNvPr id="5" name="Rectangle: Rounded Corners 4">
          <a:extLst>
            <a:ext uri="{FF2B5EF4-FFF2-40B4-BE49-F238E27FC236}">
              <a16:creationId xmlns:a16="http://schemas.microsoft.com/office/drawing/2014/main" id="{00000000-0008-0000-0400-000005000000}"/>
            </a:ext>
          </a:extLst>
        </xdr:cNvPr>
        <xdr:cNvSpPr/>
      </xdr:nvSpPr>
      <xdr:spPr>
        <a:xfrm>
          <a:off x="14424212" y="5644778"/>
          <a:ext cx="4007223" cy="4061008"/>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320488</xdr:colOff>
      <xdr:row>34</xdr:row>
      <xdr:rowOff>67810</xdr:rowOff>
    </xdr:from>
    <xdr:to>
      <xdr:col>17</xdr:col>
      <xdr:colOff>140688</xdr:colOff>
      <xdr:row>47</xdr:row>
      <xdr:rowOff>155386</xdr:rowOff>
    </xdr:to>
    <xdr:sp macro="" textlink="">
      <xdr:nvSpPr>
        <xdr:cNvPr id="6" name="Rectangle: Rounded Corners 5">
          <a:extLst>
            <a:ext uri="{FF2B5EF4-FFF2-40B4-BE49-F238E27FC236}">
              <a16:creationId xmlns:a16="http://schemas.microsoft.com/office/drawing/2014/main" id="{00000000-0008-0000-0400-000006000000}"/>
            </a:ext>
          </a:extLst>
        </xdr:cNvPr>
        <xdr:cNvSpPr/>
      </xdr:nvSpPr>
      <xdr:spPr>
        <a:xfrm>
          <a:off x="2796988" y="6976610"/>
          <a:ext cx="11377200" cy="2729176"/>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502016</xdr:colOff>
      <xdr:row>11</xdr:row>
      <xdr:rowOff>110567</xdr:rowOff>
    </xdr:from>
    <xdr:to>
      <xdr:col>12</xdr:col>
      <xdr:colOff>630508</xdr:colOff>
      <xdr:row>40</xdr:row>
      <xdr:rowOff>136861</xdr:rowOff>
    </xdr:to>
    <xdr:grpSp>
      <xdr:nvGrpSpPr>
        <xdr:cNvPr id="16" name="Group 15">
          <a:extLst>
            <a:ext uri="{FF2B5EF4-FFF2-40B4-BE49-F238E27FC236}">
              <a16:creationId xmlns:a16="http://schemas.microsoft.com/office/drawing/2014/main" id="{00000000-0008-0000-0400-000010000000}"/>
            </a:ext>
          </a:extLst>
        </xdr:cNvPr>
        <xdr:cNvGrpSpPr/>
      </xdr:nvGrpSpPr>
      <xdr:grpSpPr>
        <a:xfrm>
          <a:off x="502016" y="2275917"/>
          <a:ext cx="10034492" cy="5734944"/>
          <a:chOff x="331686" y="2115672"/>
          <a:chExt cx="9093198" cy="5455918"/>
        </a:xfrm>
      </xdr:grpSpPr>
      <xdr:sp macro="" textlink="">
        <xdr:nvSpPr>
          <xdr:cNvPr id="17" name="Oval 16">
            <a:extLst>
              <a:ext uri="{FF2B5EF4-FFF2-40B4-BE49-F238E27FC236}">
                <a16:creationId xmlns:a16="http://schemas.microsoft.com/office/drawing/2014/main" id="{00000000-0008-0000-0400-000011000000}"/>
              </a:ext>
            </a:extLst>
          </xdr:cNvPr>
          <xdr:cNvSpPr/>
        </xdr:nvSpPr>
        <xdr:spPr>
          <a:xfrm>
            <a:off x="4553869" y="4772946"/>
            <a:ext cx="927094" cy="917702"/>
          </a:xfrm>
          <a:prstGeom prst="ellipse">
            <a:avLst/>
          </a:prstGeom>
          <a:solidFill>
            <a:srgbClr val="DABEF7">
              <a:alpha val="20000"/>
            </a:srgbClr>
          </a:solidFill>
          <a:ln w="12700" cap="flat" cmpd="sng" algn="ctr">
            <a:solidFill>
              <a:sysClr val="window" lastClr="FFFFFF"/>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18" name="Rectangle 17">
            <a:extLst>
              <a:ext uri="{FF2B5EF4-FFF2-40B4-BE49-F238E27FC236}">
                <a16:creationId xmlns:a16="http://schemas.microsoft.com/office/drawing/2014/main" id="{00000000-0008-0000-0400-000012000000}"/>
              </a:ext>
            </a:extLst>
          </xdr:cNvPr>
          <xdr:cNvSpPr/>
        </xdr:nvSpPr>
        <xdr:spPr>
          <a:xfrm>
            <a:off x="3801033" y="5244354"/>
            <a:ext cx="2419700" cy="753927"/>
          </a:xfrm>
          <a:prstGeom prst="rect">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graphicFrame macro="">
        <xdr:nvGraphicFramePr>
          <xdr:cNvPr id="19" name="Chart 18">
            <a:extLst>
              <a:ext uri="{FF2B5EF4-FFF2-40B4-BE49-F238E27FC236}">
                <a16:creationId xmlns:a16="http://schemas.microsoft.com/office/drawing/2014/main" id="{00000000-0008-0000-0400-000013000000}"/>
              </a:ext>
            </a:extLst>
          </xdr:cNvPr>
          <xdr:cNvGraphicFramePr>
            <a:graphicFrameLocks/>
          </xdr:cNvGraphicFramePr>
        </xdr:nvGraphicFramePr>
        <xdr:xfrm>
          <a:off x="331686" y="2115672"/>
          <a:ext cx="9093198" cy="5455918"/>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3</xdr:col>
      <xdr:colOff>597948</xdr:colOff>
      <xdr:row>10</xdr:row>
      <xdr:rowOff>72612</xdr:rowOff>
    </xdr:from>
    <xdr:to>
      <xdr:col>6</xdr:col>
      <xdr:colOff>73707</xdr:colOff>
      <xdr:row>13</xdr:row>
      <xdr:rowOff>106676</xdr:rowOff>
    </xdr:to>
    <xdr:sp macro="" textlink="Processing!B150">
      <xdr:nvSpPr>
        <xdr:cNvPr id="21" name="TextBox 20">
          <a:extLst>
            <a:ext uri="{FF2B5EF4-FFF2-40B4-BE49-F238E27FC236}">
              <a16:creationId xmlns:a16="http://schemas.microsoft.com/office/drawing/2014/main" id="{00000000-0008-0000-0400-000015000000}"/>
            </a:ext>
          </a:extLst>
        </xdr:cNvPr>
        <xdr:cNvSpPr txBox="1"/>
      </xdr:nvSpPr>
      <xdr:spPr>
        <a:xfrm>
          <a:off x="3074448" y="2104612"/>
          <a:ext cx="1952259" cy="643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DED2995F-143D-C643-9BD2-9547782F19A2}" type="TxLink">
            <a:rPr lang="en-US" sz="1400" b="1" i="0" u="none" strike="noStrike" noProof="0">
              <a:solidFill>
                <a:schemeClr val="bg1"/>
              </a:soli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Mese</a:t>
          </a:fld>
          <a:endParaRPr lang="ru-RU" sz="1400" b="1" i="0" u="none" strike="noStrike" noProof="0">
            <a:solidFill>
              <a:schemeClr val="bg1"/>
            </a:solidFill>
            <a:latin typeface="Calibri"/>
            <a:ea typeface="+mn-ea"/>
            <a:cs typeface="Calibri"/>
          </a:endParaRPr>
        </a:p>
      </xdr:txBody>
    </xdr:sp>
    <xdr:clientData/>
  </xdr:twoCellAnchor>
  <xdr:twoCellAnchor>
    <xdr:from>
      <xdr:col>0</xdr:col>
      <xdr:colOff>8966</xdr:colOff>
      <xdr:row>22</xdr:row>
      <xdr:rowOff>43792</xdr:rowOff>
    </xdr:from>
    <xdr:to>
      <xdr:col>3</xdr:col>
      <xdr:colOff>58719</xdr:colOff>
      <xdr:row>24</xdr:row>
      <xdr:rowOff>139698</xdr:rowOff>
    </xdr:to>
    <xdr:sp macro="" textlink="">
      <xdr:nvSpPr>
        <xdr:cNvPr id="22" name="Freeform: Shape 24">
          <a:extLst>
            <a:ext uri="{FF2B5EF4-FFF2-40B4-BE49-F238E27FC236}">
              <a16:creationId xmlns:a16="http://schemas.microsoft.com/office/drawing/2014/main" id="{00000000-0008-0000-0400-000016000000}"/>
            </a:ext>
          </a:extLst>
        </xdr:cNvPr>
        <xdr:cNvSpPr/>
      </xdr:nvSpPr>
      <xdr:spPr>
        <a:xfrm>
          <a:off x="8966" y="4514192"/>
          <a:ext cx="2526253" cy="502306"/>
        </a:xfrm>
        <a:custGeom>
          <a:avLst/>
          <a:gdLst>
            <a:gd name="connsiteX0" fmla="*/ 0 w 2264319"/>
            <a:gd name="connsiteY0" fmla="*/ 0 h 555812"/>
            <a:gd name="connsiteX1" fmla="*/ 2189612 w 2264319"/>
            <a:gd name="connsiteY1" fmla="*/ 0 h 555812"/>
            <a:gd name="connsiteX2" fmla="*/ 2264319 w 2264319"/>
            <a:gd name="connsiteY2" fmla="*/ 74707 h 555812"/>
            <a:gd name="connsiteX3" fmla="*/ 2264319 w 2264319"/>
            <a:gd name="connsiteY3" fmla="*/ 481105 h 555812"/>
            <a:gd name="connsiteX4" fmla="*/ 2189612 w 2264319"/>
            <a:gd name="connsiteY4" fmla="*/ 555812 h 555812"/>
            <a:gd name="connsiteX5" fmla="*/ 0 w 2264319"/>
            <a:gd name="connsiteY5" fmla="*/ 555812 h 555812"/>
            <a:gd name="connsiteX6" fmla="*/ 0 w 2264319"/>
            <a:gd name="connsiteY6" fmla="*/ 0 h 555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264319" h="555812">
              <a:moveTo>
                <a:pt x="0" y="0"/>
              </a:moveTo>
              <a:lnTo>
                <a:pt x="2189612" y="0"/>
              </a:lnTo>
              <a:cubicBezTo>
                <a:pt x="2230872" y="0"/>
                <a:pt x="2264319" y="33447"/>
                <a:pt x="2264319" y="74707"/>
              </a:cubicBezTo>
              <a:lnTo>
                <a:pt x="2264319" y="481105"/>
              </a:lnTo>
              <a:cubicBezTo>
                <a:pt x="2264319" y="522365"/>
                <a:pt x="2230872" y="555812"/>
                <a:pt x="2189612" y="555812"/>
              </a:cubicBezTo>
              <a:lnTo>
                <a:pt x="0" y="555812"/>
              </a:lnTo>
              <a:lnTo>
                <a:pt x="0" y="0"/>
              </a:lnTo>
              <a:close/>
            </a:path>
          </a:pathLst>
        </a:custGeom>
        <a:gradFill flip="none" rotWithShape="1">
          <a:gsLst>
            <a:gs pos="1000">
              <a:srgbClr val="F28F33"/>
            </a:gs>
            <a:gs pos="76000">
              <a:srgbClr val="FE2827"/>
            </a:gs>
          </a:gsLst>
          <a:lin ang="0" scaled="0"/>
          <a:tileRect/>
        </a:gra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600192</xdr:colOff>
      <xdr:row>11</xdr:row>
      <xdr:rowOff>126400</xdr:rowOff>
    </xdr:from>
    <xdr:to>
      <xdr:col>2</xdr:col>
      <xdr:colOff>698883</xdr:colOff>
      <xdr:row>14</xdr:row>
      <xdr:rowOff>160466</xdr:rowOff>
    </xdr:to>
    <xdr:sp macro="" textlink="Processing!B1">
      <xdr:nvSpPr>
        <xdr:cNvPr id="23" name="TextBox 22">
          <a:hlinkClick xmlns:r="http://schemas.openxmlformats.org/officeDocument/2006/relationships" r:id="rId2"/>
          <a:extLst>
            <a:ext uri="{FF2B5EF4-FFF2-40B4-BE49-F238E27FC236}">
              <a16:creationId xmlns:a16="http://schemas.microsoft.com/office/drawing/2014/main" id="{00000000-0008-0000-0400-000017000000}"/>
            </a:ext>
          </a:extLst>
        </xdr:cNvPr>
        <xdr:cNvSpPr txBox="1"/>
      </xdr:nvSpPr>
      <xdr:spPr>
        <a:xfrm>
          <a:off x="600192" y="2361600"/>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97139409-57CD-2842-AAE9-C9E392D335EC}"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Dashboard</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14</xdr:row>
      <xdr:rowOff>41236</xdr:rowOff>
    </xdr:from>
    <xdr:to>
      <xdr:col>2</xdr:col>
      <xdr:colOff>698883</xdr:colOff>
      <xdr:row>17</xdr:row>
      <xdr:rowOff>75302</xdr:rowOff>
    </xdr:to>
    <xdr:sp macro="" textlink="Processing!T2">
      <xdr:nvSpPr>
        <xdr:cNvPr id="24" name="TextBox 23">
          <a:hlinkClick xmlns:r="http://schemas.openxmlformats.org/officeDocument/2006/relationships" r:id="rId3"/>
          <a:extLst>
            <a:ext uri="{FF2B5EF4-FFF2-40B4-BE49-F238E27FC236}">
              <a16:creationId xmlns:a16="http://schemas.microsoft.com/office/drawing/2014/main" id="{00000000-0008-0000-0400-000018000000}"/>
            </a:ext>
          </a:extLst>
        </xdr:cNvPr>
        <xdr:cNvSpPr txBox="1"/>
      </xdr:nvSpPr>
      <xdr:spPr>
        <a:xfrm>
          <a:off x="600192" y="2886036"/>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04F8A9CC-440F-C74F-8C59-F863C219B9EB}"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Entrate Fisse</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16</xdr:row>
      <xdr:rowOff>144330</xdr:rowOff>
    </xdr:from>
    <xdr:to>
      <xdr:col>2</xdr:col>
      <xdr:colOff>698883</xdr:colOff>
      <xdr:row>19</xdr:row>
      <xdr:rowOff>193336</xdr:rowOff>
    </xdr:to>
    <xdr:sp macro="" textlink="Processing!B39">
      <xdr:nvSpPr>
        <xdr:cNvPr id="25" name="TextBox 24">
          <a:hlinkClick xmlns:r="http://schemas.openxmlformats.org/officeDocument/2006/relationships" r:id="rId4"/>
          <a:extLst>
            <a:ext uri="{FF2B5EF4-FFF2-40B4-BE49-F238E27FC236}">
              <a16:creationId xmlns:a16="http://schemas.microsoft.com/office/drawing/2014/main" id="{00000000-0008-0000-0400-000019000000}"/>
            </a:ext>
          </a:extLst>
        </xdr:cNvPr>
        <xdr:cNvSpPr txBox="1"/>
      </xdr:nvSpPr>
      <xdr:spPr>
        <a:xfrm>
          <a:off x="600192" y="3395530"/>
          <a:ext cx="1749691" cy="65860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AE6D09FF-A38A-6E49-AAB4-92C1CFFB883F}"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Income</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19</xdr:row>
      <xdr:rowOff>59166</xdr:rowOff>
    </xdr:from>
    <xdr:to>
      <xdr:col>2</xdr:col>
      <xdr:colOff>698883</xdr:colOff>
      <xdr:row>22</xdr:row>
      <xdr:rowOff>93231</xdr:rowOff>
    </xdr:to>
    <xdr:sp macro="" textlink="Processing!B63">
      <xdr:nvSpPr>
        <xdr:cNvPr id="26" name="TextBox 25">
          <a:hlinkClick xmlns:r="http://schemas.openxmlformats.org/officeDocument/2006/relationships" r:id="rId5"/>
          <a:extLst>
            <a:ext uri="{FF2B5EF4-FFF2-40B4-BE49-F238E27FC236}">
              <a16:creationId xmlns:a16="http://schemas.microsoft.com/office/drawing/2014/main" id="{00000000-0008-0000-0400-00001A000000}"/>
            </a:ext>
          </a:extLst>
        </xdr:cNvPr>
        <xdr:cNvSpPr txBox="1"/>
      </xdr:nvSpPr>
      <xdr:spPr>
        <a:xfrm>
          <a:off x="600192" y="3919966"/>
          <a:ext cx="1749691" cy="643665"/>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B6C8D42D-44CF-FF4D-9DC6-BBCDCF2565CD}"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Expenses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21</xdr:row>
      <xdr:rowOff>177201</xdr:rowOff>
    </xdr:from>
    <xdr:to>
      <xdr:col>2</xdr:col>
      <xdr:colOff>698883</xdr:colOff>
      <xdr:row>25</xdr:row>
      <xdr:rowOff>8067</xdr:rowOff>
    </xdr:to>
    <xdr:sp macro="" textlink="Processing!I17">
      <xdr:nvSpPr>
        <xdr:cNvPr id="27" name="TextBox 26">
          <a:extLst>
            <a:ext uri="{FF2B5EF4-FFF2-40B4-BE49-F238E27FC236}">
              <a16:creationId xmlns:a16="http://schemas.microsoft.com/office/drawing/2014/main" id="{00000000-0008-0000-0400-00001B000000}"/>
            </a:ext>
          </a:extLst>
        </xdr:cNvPr>
        <xdr:cNvSpPr txBox="1"/>
      </xdr:nvSpPr>
      <xdr:spPr>
        <a:xfrm>
          <a:off x="600192" y="4444401"/>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A3B31164-0FD6-7E48-98B8-861F9338CD49}"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Investments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24</xdr:row>
      <xdr:rowOff>77096</xdr:rowOff>
    </xdr:from>
    <xdr:to>
      <xdr:col>2</xdr:col>
      <xdr:colOff>698883</xdr:colOff>
      <xdr:row>27</xdr:row>
      <xdr:rowOff>126102</xdr:rowOff>
    </xdr:to>
    <xdr:sp macro="" textlink="Processing!B18">
      <xdr:nvSpPr>
        <xdr:cNvPr id="28" name="TextBox 27">
          <a:hlinkClick xmlns:r="http://schemas.openxmlformats.org/officeDocument/2006/relationships" r:id="rId6"/>
          <a:extLst>
            <a:ext uri="{FF2B5EF4-FFF2-40B4-BE49-F238E27FC236}">
              <a16:creationId xmlns:a16="http://schemas.microsoft.com/office/drawing/2014/main" id="{00000000-0008-0000-0400-00001C000000}"/>
            </a:ext>
          </a:extLst>
        </xdr:cNvPr>
        <xdr:cNvSpPr txBox="1"/>
      </xdr:nvSpPr>
      <xdr:spPr>
        <a:xfrm>
          <a:off x="600192" y="4953896"/>
          <a:ext cx="1749691" cy="65860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88FAC7EB-FF77-E640-B69F-88F846FDE8F1}"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Debts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26</xdr:row>
      <xdr:rowOff>195133</xdr:rowOff>
    </xdr:from>
    <xdr:to>
      <xdr:col>2</xdr:col>
      <xdr:colOff>698883</xdr:colOff>
      <xdr:row>30</xdr:row>
      <xdr:rowOff>25997</xdr:rowOff>
    </xdr:to>
    <xdr:sp macro="" textlink="Processing!R13">
      <xdr:nvSpPr>
        <xdr:cNvPr id="29" name="TextBox 28">
          <a:hlinkClick xmlns:r="http://schemas.openxmlformats.org/officeDocument/2006/relationships" r:id="rId7"/>
          <a:extLst>
            <a:ext uri="{FF2B5EF4-FFF2-40B4-BE49-F238E27FC236}">
              <a16:creationId xmlns:a16="http://schemas.microsoft.com/office/drawing/2014/main" id="{00000000-0008-0000-0400-00001D000000}"/>
            </a:ext>
          </a:extLst>
        </xdr:cNvPr>
        <xdr:cNvSpPr txBox="1"/>
      </xdr:nvSpPr>
      <xdr:spPr>
        <a:xfrm>
          <a:off x="600192" y="5478333"/>
          <a:ext cx="1749691" cy="643664"/>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4AF9A292-E591-D94A-A59D-27F512BB7C05}"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Financial Goals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276340</xdr:colOff>
      <xdr:row>12</xdr:row>
      <xdr:rowOff>116933</xdr:rowOff>
    </xdr:from>
    <xdr:to>
      <xdr:col>0</xdr:col>
      <xdr:colOff>528340</xdr:colOff>
      <xdr:row>13</xdr:row>
      <xdr:rowOff>177088</xdr:rowOff>
    </xdr:to>
    <xdr:sp macro="" textlink="">
      <xdr:nvSpPr>
        <xdr:cNvPr id="30" name="Freeform: Shape 32">
          <a:extLst>
            <a:ext uri="{FF2B5EF4-FFF2-40B4-BE49-F238E27FC236}">
              <a16:creationId xmlns:a16="http://schemas.microsoft.com/office/drawing/2014/main" id="{00000000-0008-0000-0400-00001E000000}"/>
            </a:ext>
          </a:extLst>
        </xdr:cNvPr>
        <xdr:cNvSpPr/>
      </xdr:nvSpPr>
      <xdr:spPr>
        <a:xfrm>
          <a:off x="276340" y="2555333"/>
          <a:ext cx="252000" cy="263355"/>
        </a:xfrm>
        <a:custGeom>
          <a:avLst/>
          <a:gdLst>
            <a:gd name="connsiteX0" fmla="*/ 0 w 2612439"/>
            <a:gd name="connsiteY0" fmla="*/ 1633347 h 2629917"/>
            <a:gd name="connsiteX1" fmla="*/ 914400 w 2612439"/>
            <a:gd name="connsiteY1" fmla="*/ 1633347 h 2629917"/>
            <a:gd name="connsiteX2" fmla="*/ 914400 w 2612439"/>
            <a:gd name="connsiteY2" fmla="*/ 2629917 h 2629917"/>
            <a:gd name="connsiteX3" fmla="*/ 0 w 2612439"/>
            <a:gd name="connsiteY3" fmla="*/ 2629917 h 2629917"/>
            <a:gd name="connsiteX4" fmla="*/ 1165379 w 2612439"/>
            <a:gd name="connsiteY4" fmla="*/ 1076325 h 2629917"/>
            <a:gd name="connsiteX5" fmla="*/ 2612439 w 2612439"/>
            <a:gd name="connsiteY5" fmla="*/ 1076325 h 2629917"/>
            <a:gd name="connsiteX6" fmla="*/ 2612439 w 2612439"/>
            <a:gd name="connsiteY6" fmla="*/ 2629917 h 2629917"/>
            <a:gd name="connsiteX7" fmla="*/ 1165379 w 2612439"/>
            <a:gd name="connsiteY7" fmla="*/ 2629917 h 2629917"/>
            <a:gd name="connsiteX8" fmla="*/ 1165379 w 2612439"/>
            <a:gd name="connsiteY8" fmla="*/ 0 h 2629917"/>
            <a:gd name="connsiteX9" fmla="*/ 2612439 w 2612439"/>
            <a:gd name="connsiteY9" fmla="*/ 0 h 2629917"/>
            <a:gd name="connsiteX10" fmla="*/ 2612439 w 2612439"/>
            <a:gd name="connsiteY10" fmla="*/ 847725 h 2629917"/>
            <a:gd name="connsiteX11" fmla="*/ 1165379 w 2612439"/>
            <a:gd name="connsiteY11" fmla="*/ 847725 h 2629917"/>
            <a:gd name="connsiteX12" fmla="*/ 0 w 2612439"/>
            <a:gd name="connsiteY12" fmla="*/ 0 h 2629917"/>
            <a:gd name="connsiteX13" fmla="*/ 914400 w 2612439"/>
            <a:gd name="connsiteY13" fmla="*/ 0 h 2629917"/>
            <a:gd name="connsiteX14" fmla="*/ 914400 w 2612439"/>
            <a:gd name="connsiteY14" fmla="*/ 1428750 h 2629917"/>
            <a:gd name="connsiteX15" fmla="*/ 0 w 2612439"/>
            <a:gd name="connsiteY15" fmla="*/ 1428750 h 2629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612439" h="2629917">
              <a:moveTo>
                <a:pt x="0" y="1633347"/>
              </a:moveTo>
              <a:lnTo>
                <a:pt x="914400" y="1633347"/>
              </a:lnTo>
              <a:lnTo>
                <a:pt x="914400" y="2629917"/>
              </a:lnTo>
              <a:lnTo>
                <a:pt x="0" y="2629917"/>
              </a:lnTo>
              <a:close/>
              <a:moveTo>
                <a:pt x="1165379" y="1076325"/>
              </a:moveTo>
              <a:lnTo>
                <a:pt x="2612439" y="1076325"/>
              </a:lnTo>
              <a:lnTo>
                <a:pt x="2612439" y="2629917"/>
              </a:lnTo>
              <a:lnTo>
                <a:pt x="1165379" y="2629917"/>
              </a:lnTo>
              <a:close/>
              <a:moveTo>
                <a:pt x="1165379" y="0"/>
              </a:moveTo>
              <a:lnTo>
                <a:pt x="2612439" y="0"/>
              </a:lnTo>
              <a:lnTo>
                <a:pt x="2612439" y="847725"/>
              </a:lnTo>
              <a:lnTo>
                <a:pt x="1165379" y="847725"/>
              </a:lnTo>
              <a:close/>
              <a:moveTo>
                <a:pt x="0" y="0"/>
              </a:moveTo>
              <a:lnTo>
                <a:pt x="914400" y="0"/>
              </a:lnTo>
              <a:lnTo>
                <a:pt x="914400" y="1428750"/>
              </a:lnTo>
              <a:lnTo>
                <a:pt x="0" y="1428750"/>
              </a:lnTo>
              <a:close/>
            </a:path>
          </a:pathLst>
        </a:custGeom>
        <a:solidFill>
          <a:sysClr val="window" lastClr="FFFFFF"/>
        </a:soli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276340</xdr:colOff>
      <xdr:row>17</xdr:row>
      <xdr:rowOff>133538</xdr:rowOff>
    </xdr:from>
    <xdr:to>
      <xdr:col>0</xdr:col>
      <xdr:colOff>528340</xdr:colOff>
      <xdr:row>19</xdr:row>
      <xdr:rowOff>1848</xdr:rowOff>
    </xdr:to>
    <xdr:sp macro="" textlink="">
      <xdr:nvSpPr>
        <xdr:cNvPr id="31" name="Freeform: Shape 33">
          <a:extLst>
            <a:ext uri="{FF2B5EF4-FFF2-40B4-BE49-F238E27FC236}">
              <a16:creationId xmlns:a16="http://schemas.microsoft.com/office/drawing/2014/main" id="{00000000-0008-0000-0400-00001F000000}"/>
            </a:ext>
          </a:extLst>
        </xdr:cNvPr>
        <xdr:cNvSpPr/>
      </xdr:nvSpPr>
      <xdr:spPr>
        <a:xfrm>
          <a:off x="276340" y="3587938"/>
          <a:ext cx="252000" cy="274710"/>
        </a:xfrm>
        <a:custGeom>
          <a:avLst/>
          <a:gdLst>
            <a:gd name="connsiteX0" fmla="*/ 478368 w 2434877"/>
            <a:gd name="connsiteY0" fmla="*/ 1660447 h 2669419"/>
            <a:gd name="connsiteX1" fmla="*/ 478368 w 2434877"/>
            <a:gd name="connsiteY1" fmla="*/ 2669419 h 2669419"/>
            <a:gd name="connsiteX2" fmla="*/ 4662 w 2434877"/>
            <a:gd name="connsiteY2" fmla="*/ 2669419 h 2669419"/>
            <a:gd name="connsiteX3" fmla="*/ 14134 w 2434877"/>
            <a:gd name="connsiteY3" fmla="*/ 2124668 h 2669419"/>
            <a:gd name="connsiteX4" fmla="*/ 805273 w 2434877"/>
            <a:gd name="connsiteY4" fmla="*/ 1333554 h 2669419"/>
            <a:gd name="connsiteX5" fmla="*/ 1072919 w 2434877"/>
            <a:gd name="connsiteY5" fmla="*/ 1601215 h 2669419"/>
            <a:gd name="connsiteX6" fmla="*/ 1072919 w 2434877"/>
            <a:gd name="connsiteY6" fmla="*/ 2664691 h 2669419"/>
            <a:gd name="connsiteX7" fmla="*/ 606315 w 2434877"/>
            <a:gd name="connsiteY7" fmla="*/ 2669407 h 2669419"/>
            <a:gd name="connsiteX8" fmla="*/ 606315 w 2434877"/>
            <a:gd name="connsiteY8" fmla="*/ 1532527 h 2669419"/>
            <a:gd name="connsiteX9" fmla="*/ 1681683 w 2434877"/>
            <a:gd name="connsiteY9" fmla="*/ 1139327 h 2669419"/>
            <a:gd name="connsiteX10" fmla="*/ 1681683 w 2434877"/>
            <a:gd name="connsiteY10" fmla="*/ 2669400 h 2669419"/>
            <a:gd name="connsiteX11" fmla="*/ 1217448 w 2434877"/>
            <a:gd name="connsiteY11" fmla="*/ 2659932 h 2669419"/>
            <a:gd name="connsiteX12" fmla="*/ 1217448 w 2434877"/>
            <a:gd name="connsiteY12" fmla="*/ 1603584 h 2669419"/>
            <a:gd name="connsiteX13" fmla="*/ 2288060 w 2434877"/>
            <a:gd name="connsiteY13" fmla="*/ 528130 h 2669419"/>
            <a:gd name="connsiteX14" fmla="*/ 2288060 w 2434877"/>
            <a:gd name="connsiteY14" fmla="*/ 2659908 h 2669419"/>
            <a:gd name="connsiteX15" fmla="*/ 1814372 w 2434877"/>
            <a:gd name="connsiteY15" fmla="*/ 2664660 h 2669419"/>
            <a:gd name="connsiteX16" fmla="*/ 1814372 w 2434877"/>
            <a:gd name="connsiteY16" fmla="*/ 1001818 h 2669419"/>
            <a:gd name="connsiteX17" fmla="*/ 1987216 w 2434877"/>
            <a:gd name="connsiteY17" fmla="*/ 0 h 2669419"/>
            <a:gd name="connsiteX18" fmla="*/ 2434877 w 2434877"/>
            <a:gd name="connsiteY18" fmla="*/ 0 h 2669419"/>
            <a:gd name="connsiteX19" fmla="*/ 2434877 w 2434877"/>
            <a:gd name="connsiteY19" fmla="*/ 461881 h 2669419"/>
            <a:gd name="connsiteX20" fmla="*/ 2323528 w 2434877"/>
            <a:gd name="connsiteY20" fmla="*/ 350532 h 2669419"/>
            <a:gd name="connsiteX21" fmla="*/ 1141637 w 2434877"/>
            <a:gd name="connsiteY21" fmla="*/ 1532450 h 2669419"/>
            <a:gd name="connsiteX22" fmla="*/ 817147 w 2434877"/>
            <a:gd name="connsiteY22" fmla="*/ 1207945 h 2669419"/>
            <a:gd name="connsiteX23" fmla="*/ 0 w 2434877"/>
            <a:gd name="connsiteY23" fmla="*/ 2001422 h 2669419"/>
            <a:gd name="connsiteX24" fmla="*/ 0 w 2434877"/>
            <a:gd name="connsiteY24" fmla="*/ 1532450 h 2669419"/>
            <a:gd name="connsiteX25" fmla="*/ 805303 w 2434877"/>
            <a:gd name="connsiteY25" fmla="*/ 727129 h 2669419"/>
            <a:gd name="connsiteX26" fmla="*/ 1146374 w 2434877"/>
            <a:gd name="connsiteY26" fmla="*/ 1068193 h 2669419"/>
            <a:gd name="connsiteX27" fmla="*/ 2100904 w 2434877"/>
            <a:gd name="connsiteY27" fmla="*/ 113688 h 26694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2434877" h="2669419">
              <a:moveTo>
                <a:pt x="478368" y="1660447"/>
              </a:moveTo>
              <a:lnTo>
                <a:pt x="478368" y="2669419"/>
              </a:lnTo>
              <a:lnTo>
                <a:pt x="4662" y="2669419"/>
              </a:lnTo>
              <a:lnTo>
                <a:pt x="14134" y="2124668"/>
              </a:lnTo>
              <a:close/>
              <a:moveTo>
                <a:pt x="805273" y="1333554"/>
              </a:moveTo>
              <a:lnTo>
                <a:pt x="1072919" y="1601215"/>
              </a:lnTo>
              <a:lnTo>
                <a:pt x="1072919" y="2664691"/>
              </a:lnTo>
              <a:lnTo>
                <a:pt x="606315" y="2669407"/>
              </a:lnTo>
              <a:lnTo>
                <a:pt x="606315" y="1532527"/>
              </a:lnTo>
              <a:close/>
              <a:moveTo>
                <a:pt x="1681683" y="1139327"/>
              </a:moveTo>
              <a:lnTo>
                <a:pt x="1681683" y="2669400"/>
              </a:lnTo>
              <a:lnTo>
                <a:pt x="1217448" y="2659932"/>
              </a:lnTo>
              <a:lnTo>
                <a:pt x="1217448" y="1603584"/>
              </a:lnTo>
              <a:close/>
              <a:moveTo>
                <a:pt x="2288060" y="528130"/>
              </a:moveTo>
              <a:lnTo>
                <a:pt x="2288060" y="2659908"/>
              </a:lnTo>
              <a:lnTo>
                <a:pt x="1814372" y="2664660"/>
              </a:lnTo>
              <a:lnTo>
                <a:pt x="1814372" y="1001818"/>
              </a:lnTo>
              <a:close/>
              <a:moveTo>
                <a:pt x="1987216" y="0"/>
              </a:moveTo>
              <a:lnTo>
                <a:pt x="2434877" y="0"/>
              </a:lnTo>
              <a:lnTo>
                <a:pt x="2434877" y="461881"/>
              </a:lnTo>
              <a:lnTo>
                <a:pt x="2323528" y="350532"/>
              </a:lnTo>
              <a:lnTo>
                <a:pt x="1141637" y="1532450"/>
              </a:lnTo>
              <a:lnTo>
                <a:pt x="817147" y="1207945"/>
              </a:lnTo>
              <a:lnTo>
                <a:pt x="0" y="2001422"/>
              </a:lnTo>
              <a:lnTo>
                <a:pt x="0" y="1532450"/>
              </a:lnTo>
              <a:lnTo>
                <a:pt x="805303" y="727129"/>
              </a:lnTo>
              <a:lnTo>
                <a:pt x="1146374" y="1068193"/>
              </a:lnTo>
              <a:lnTo>
                <a:pt x="2100904" y="113688"/>
              </a:lnTo>
              <a:close/>
            </a:path>
          </a:pathLst>
        </a:custGeom>
        <a:solidFill>
          <a:sysClr val="window" lastClr="FFFFFF"/>
        </a:solidFill>
        <a:ln w="6350" cap="flat">
          <a:solidFill>
            <a:sysClr val="windowText" lastClr="000000"/>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294340</xdr:colOff>
      <xdr:row>15</xdr:row>
      <xdr:rowOff>29313</xdr:rowOff>
    </xdr:from>
    <xdr:to>
      <xdr:col>0</xdr:col>
      <xdr:colOff>510340</xdr:colOff>
      <xdr:row>16</xdr:row>
      <xdr:rowOff>89468</xdr:rowOff>
    </xdr:to>
    <xdr:sp macro="" textlink="">
      <xdr:nvSpPr>
        <xdr:cNvPr id="32" name="Freeform: Shape 34">
          <a:extLst>
            <a:ext uri="{FF2B5EF4-FFF2-40B4-BE49-F238E27FC236}">
              <a16:creationId xmlns:a16="http://schemas.microsoft.com/office/drawing/2014/main" id="{00000000-0008-0000-0400-000020000000}"/>
            </a:ext>
          </a:extLst>
        </xdr:cNvPr>
        <xdr:cNvSpPr/>
      </xdr:nvSpPr>
      <xdr:spPr>
        <a:xfrm>
          <a:off x="294340" y="3077313"/>
          <a:ext cx="216000" cy="263355"/>
        </a:xfrm>
        <a:custGeom>
          <a:avLst/>
          <a:gdLst>
            <a:gd name="connsiteX0" fmla="*/ 1038471 w 1997598"/>
            <a:gd name="connsiteY0" fmla="*/ 1798798 h 2622542"/>
            <a:gd name="connsiteX1" fmla="*/ 1083642 w 1997598"/>
            <a:gd name="connsiteY1" fmla="*/ 1825060 h 2622542"/>
            <a:gd name="connsiteX2" fmla="*/ 1097649 w 1997598"/>
            <a:gd name="connsiteY2" fmla="*/ 1865328 h 2622542"/>
            <a:gd name="connsiteX3" fmla="*/ 1081191 w 1997598"/>
            <a:gd name="connsiteY3" fmla="*/ 1911202 h 2622542"/>
            <a:gd name="connsiteX4" fmla="*/ 1038471 w 1997598"/>
            <a:gd name="connsiteY4" fmla="*/ 1935364 h 2622542"/>
            <a:gd name="connsiteX5" fmla="*/ 987696 w 1997598"/>
            <a:gd name="connsiteY5" fmla="*/ 1562783 h 2622542"/>
            <a:gd name="connsiteX6" fmla="*/ 987696 w 1997598"/>
            <a:gd name="connsiteY6" fmla="*/ 1683942 h 2622542"/>
            <a:gd name="connsiteX7" fmla="*/ 953730 w 1997598"/>
            <a:gd name="connsiteY7" fmla="*/ 1658378 h 2622542"/>
            <a:gd name="connsiteX8" fmla="*/ 942524 w 1997598"/>
            <a:gd name="connsiteY8" fmla="*/ 1623713 h 2622542"/>
            <a:gd name="connsiteX9" fmla="*/ 954780 w 1997598"/>
            <a:gd name="connsiteY9" fmla="*/ 1586593 h 2622542"/>
            <a:gd name="connsiteX10" fmla="*/ 987696 w 1997598"/>
            <a:gd name="connsiteY10" fmla="*/ 1562783 h 2622542"/>
            <a:gd name="connsiteX11" fmla="*/ 987696 w 1997598"/>
            <a:gd name="connsiteY11" fmla="*/ 1451780 h 2622542"/>
            <a:gd name="connsiteX12" fmla="*/ 987696 w 1997598"/>
            <a:gd name="connsiteY12" fmla="*/ 1486445 h 2622542"/>
            <a:gd name="connsiteX13" fmla="*/ 891050 w 1997598"/>
            <a:gd name="connsiteY13" fmla="*/ 1531616 h 2622542"/>
            <a:gd name="connsiteX14" fmla="*/ 854984 w 1997598"/>
            <a:gd name="connsiteY14" fmla="*/ 1627914 h 2622542"/>
            <a:gd name="connsiteX15" fmla="*/ 886849 w 1997598"/>
            <a:gd name="connsiteY15" fmla="*/ 1724560 h 2622542"/>
            <a:gd name="connsiteX16" fmla="*/ 987696 w 1997598"/>
            <a:gd name="connsiteY16" fmla="*/ 1783738 h 2622542"/>
            <a:gd name="connsiteX17" fmla="*/ 987696 w 1997598"/>
            <a:gd name="connsiteY17" fmla="*/ 1930460 h 2622542"/>
            <a:gd name="connsiteX18" fmla="*/ 953379 w 1997598"/>
            <a:gd name="connsiteY18" fmla="*/ 1901047 h 2622542"/>
            <a:gd name="connsiteX19" fmla="*/ 932368 w 1997598"/>
            <a:gd name="connsiteY19" fmla="*/ 1852725 h 2622542"/>
            <a:gd name="connsiteX20" fmla="*/ 840974 w 1997598"/>
            <a:gd name="connsiteY20" fmla="*/ 1862529 h 2622542"/>
            <a:gd name="connsiteX21" fmla="*/ 889297 w 1997598"/>
            <a:gd name="connsiteY21" fmla="*/ 1969329 h 2622542"/>
            <a:gd name="connsiteX22" fmla="*/ 987696 w 1997598"/>
            <a:gd name="connsiteY22" fmla="*/ 2014502 h 2622542"/>
            <a:gd name="connsiteX23" fmla="*/ 987696 w 1997598"/>
            <a:gd name="connsiteY23" fmla="*/ 2078232 h 2622542"/>
            <a:gd name="connsiteX24" fmla="*/ 1038471 w 1997598"/>
            <a:gd name="connsiteY24" fmla="*/ 2078232 h 2622542"/>
            <a:gd name="connsiteX25" fmla="*/ 1038471 w 1997598"/>
            <a:gd name="connsiteY25" fmla="*/ 2012749 h 2622542"/>
            <a:gd name="connsiteX26" fmla="*/ 1144921 w 1997598"/>
            <a:gd name="connsiteY26" fmla="*/ 1959525 h 2622542"/>
            <a:gd name="connsiteX27" fmla="*/ 1183440 w 1997598"/>
            <a:gd name="connsiteY27" fmla="*/ 1852725 h 2622542"/>
            <a:gd name="connsiteX28" fmla="*/ 1152976 w 1997598"/>
            <a:gd name="connsiteY28" fmla="*/ 1759928 h 2622542"/>
            <a:gd name="connsiteX29" fmla="*/ 1038471 w 1997598"/>
            <a:gd name="connsiteY29" fmla="*/ 1700750 h 2622542"/>
            <a:gd name="connsiteX30" fmla="*/ 1038471 w 1997598"/>
            <a:gd name="connsiteY30" fmla="*/ 1563833 h 2622542"/>
            <a:gd name="connsiteX31" fmla="*/ 1080492 w 1997598"/>
            <a:gd name="connsiteY31" fmla="*/ 1619859 h 2622542"/>
            <a:gd name="connsiteX32" fmla="*/ 1169083 w 1997598"/>
            <a:gd name="connsiteY32" fmla="*/ 1608306 h 2622542"/>
            <a:gd name="connsiteX33" fmla="*/ 1127065 w 1997598"/>
            <a:gd name="connsiteY33" fmla="*/ 1524616 h 2622542"/>
            <a:gd name="connsiteX34" fmla="*/ 1038471 w 1997598"/>
            <a:gd name="connsiteY34" fmla="*/ 1486445 h 2622542"/>
            <a:gd name="connsiteX35" fmla="*/ 1038471 w 1997598"/>
            <a:gd name="connsiteY35" fmla="*/ 1451780 h 2622542"/>
            <a:gd name="connsiteX36" fmla="*/ 1018529 w 1997598"/>
            <a:gd name="connsiteY36" fmla="*/ 1275937 h 2622542"/>
            <a:gd name="connsiteX37" fmla="*/ 1488375 w 1997598"/>
            <a:gd name="connsiteY37" fmla="*/ 1745783 h 2622542"/>
            <a:gd name="connsiteX38" fmla="*/ 1018529 w 1997598"/>
            <a:gd name="connsiteY38" fmla="*/ 2215629 h 2622542"/>
            <a:gd name="connsiteX39" fmla="*/ 548683 w 1997598"/>
            <a:gd name="connsiteY39" fmla="*/ 1745783 h 2622542"/>
            <a:gd name="connsiteX40" fmla="*/ 1018529 w 1997598"/>
            <a:gd name="connsiteY40" fmla="*/ 1275937 h 2622542"/>
            <a:gd name="connsiteX41" fmla="*/ 1018529 w 1997598"/>
            <a:gd name="connsiteY41" fmla="*/ 1183712 h 2622542"/>
            <a:gd name="connsiteX42" fmla="*/ 456458 w 1997598"/>
            <a:gd name="connsiteY42" fmla="*/ 1745783 h 2622542"/>
            <a:gd name="connsiteX43" fmla="*/ 1018529 w 1997598"/>
            <a:gd name="connsiteY43" fmla="*/ 2307854 h 2622542"/>
            <a:gd name="connsiteX44" fmla="*/ 1580600 w 1997598"/>
            <a:gd name="connsiteY44" fmla="*/ 1745783 h 2622542"/>
            <a:gd name="connsiteX45" fmla="*/ 1018529 w 1997598"/>
            <a:gd name="connsiteY45" fmla="*/ 1183712 h 2622542"/>
            <a:gd name="connsiteX46" fmla="*/ 664325 w 1997598"/>
            <a:gd name="connsiteY46" fmla="*/ 707629 h 2622542"/>
            <a:gd name="connsiteX47" fmla="*/ 1314151 w 1997598"/>
            <a:gd name="connsiteY47" fmla="*/ 707629 h 2622542"/>
            <a:gd name="connsiteX48" fmla="*/ 1997478 w 1997598"/>
            <a:gd name="connsiteY48" fmla="*/ 1799581 h 2622542"/>
            <a:gd name="connsiteX49" fmla="*/ 1568718 w 1997598"/>
            <a:gd name="connsiteY49" fmla="*/ 2622542 h 2622542"/>
            <a:gd name="connsiteX50" fmla="*/ 429850 w 1997598"/>
            <a:gd name="connsiteY50" fmla="*/ 2615846 h 2622542"/>
            <a:gd name="connsiteX51" fmla="*/ 1100 w 1997598"/>
            <a:gd name="connsiteY51" fmla="*/ 1792886 h 2622542"/>
            <a:gd name="connsiteX52" fmla="*/ 664325 w 1997598"/>
            <a:gd name="connsiteY52" fmla="*/ 707629 h 2622542"/>
            <a:gd name="connsiteX53" fmla="*/ 986902 w 1997598"/>
            <a:gd name="connsiteY53" fmla="*/ 180 h 2622542"/>
            <a:gd name="connsiteX54" fmla="*/ 1253856 w 1997598"/>
            <a:gd name="connsiteY54" fmla="*/ 231858 h 2622542"/>
            <a:gd name="connsiteX55" fmla="*/ 1602233 w 1997598"/>
            <a:gd name="connsiteY55" fmla="*/ 211770 h 2622542"/>
            <a:gd name="connsiteX56" fmla="*/ 1307453 w 1997598"/>
            <a:gd name="connsiteY56" fmla="*/ 647228 h 2622542"/>
            <a:gd name="connsiteX57" fmla="*/ 1253841 w 1997598"/>
            <a:gd name="connsiteY57" fmla="*/ 646050 h 2622542"/>
            <a:gd name="connsiteX58" fmla="*/ 1307042 w 1997598"/>
            <a:gd name="connsiteY58" fmla="*/ 424909 h 2622542"/>
            <a:gd name="connsiteX59" fmla="*/ 1275900 w 1997598"/>
            <a:gd name="connsiteY59" fmla="*/ 369830 h 2622542"/>
            <a:gd name="connsiteX60" fmla="*/ 1275900 w 1997598"/>
            <a:gd name="connsiteY60" fmla="*/ 369830 h 2622542"/>
            <a:gd name="connsiteX61" fmla="*/ 1224136 w 1997598"/>
            <a:gd name="connsiteY61" fmla="*/ 400473 h 2622542"/>
            <a:gd name="connsiteX62" fmla="*/ 1165526 w 1997598"/>
            <a:gd name="connsiteY62" fmla="*/ 644109 h 2622542"/>
            <a:gd name="connsiteX63" fmla="*/ 1041982 w 1997598"/>
            <a:gd name="connsiteY63" fmla="*/ 641396 h 2622542"/>
            <a:gd name="connsiteX64" fmla="*/ 1041017 w 1997598"/>
            <a:gd name="connsiteY64" fmla="*/ 583209 h 2622542"/>
            <a:gd name="connsiteX65" fmla="*/ 997569 w 1997598"/>
            <a:gd name="connsiteY65" fmla="*/ 537907 h 2622542"/>
            <a:gd name="connsiteX66" fmla="*/ 997570 w 1997598"/>
            <a:gd name="connsiteY66" fmla="*/ 537908 h 2622542"/>
            <a:gd name="connsiteX67" fmla="*/ 955600 w 1997598"/>
            <a:gd name="connsiteY67" fmla="*/ 581732 h 2622542"/>
            <a:gd name="connsiteX68" fmla="*/ 956559 w 1997598"/>
            <a:gd name="connsiteY68" fmla="*/ 639518 h 2622542"/>
            <a:gd name="connsiteX69" fmla="*/ 845567 w 1997598"/>
            <a:gd name="connsiteY69" fmla="*/ 637080 h 2622542"/>
            <a:gd name="connsiteX70" fmla="*/ 799761 w 1997598"/>
            <a:gd name="connsiteY70" fmla="*/ 506078 h 2622542"/>
            <a:gd name="connsiteX71" fmla="*/ 744896 w 1997598"/>
            <a:gd name="connsiteY71" fmla="*/ 477778 h 2622542"/>
            <a:gd name="connsiteX72" fmla="*/ 744897 w 1997598"/>
            <a:gd name="connsiteY72" fmla="*/ 477779 h 2622542"/>
            <a:gd name="connsiteX73" fmla="*/ 719619 w 1997598"/>
            <a:gd name="connsiteY73" fmla="*/ 534100 h 2622542"/>
            <a:gd name="connsiteX74" fmla="*/ 754930 w 1997598"/>
            <a:gd name="connsiteY74" fmla="*/ 635089 h 2622542"/>
            <a:gd name="connsiteX75" fmla="*/ 697819 w 1997598"/>
            <a:gd name="connsiteY75" fmla="*/ 633834 h 2622542"/>
            <a:gd name="connsiteX76" fmla="*/ 382954 w 1997598"/>
            <a:gd name="connsiteY76" fmla="*/ 198378 h 2622542"/>
            <a:gd name="connsiteX77" fmla="*/ 764810 w 1997598"/>
            <a:gd name="connsiteY77" fmla="*/ 218466 h 2622542"/>
            <a:gd name="connsiteX78" fmla="*/ 986902 w 1997598"/>
            <a:gd name="connsiteY78" fmla="*/ 180 h 26225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Lst>
          <a:rect l="l" t="t" r="r" b="b"/>
          <a:pathLst>
            <a:path w="1997598" h="2622542">
              <a:moveTo>
                <a:pt x="1038471" y="1798798"/>
              </a:moveTo>
              <a:cubicBezTo>
                <a:pt x="1059481" y="1804868"/>
                <a:pt x="1074537" y="1813621"/>
                <a:pt x="1083642" y="1825060"/>
              </a:cubicBezTo>
              <a:cubicBezTo>
                <a:pt x="1092981" y="1836266"/>
                <a:pt x="1097649" y="1849687"/>
                <a:pt x="1097649" y="1865328"/>
              </a:cubicBezTo>
              <a:cubicBezTo>
                <a:pt x="1097649" y="1882836"/>
                <a:pt x="1092164" y="1898129"/>
                <a:pt x="1081191" y="1911202"/>
              </a:cubicBezTo>
              <a:cubicBezTo>
                <a:pt x="1070218" y="1924039"/>
                <a:pt x="1055979" y="1932094"/>
                <a:pt x="1038471" y="1935364"/>
              </a:cubicBezTo>
              <a:close/>
              <a:moveTo>
                <a:pt x="987696" y="1562783"/>
              </a:moveTo>
              <a:lnTo>
                <a:pt x="987696" y="1683942"/>
              </a:lnTo>
              <a:cubicBezTo>
                <a:pt x="972522" y="1677407"/>
                <a:pt x="961201" y="1668886"/>
                <a:pt x="953730" y="1658378"/>
              </a:cubicBezTo>
              <a:cubicBezTo>
                <a:pt x="946260" y="1647642"/>
                <a:pt x="942524" y="1636085"/>
                <a:pt x="942524" y="1623713"/>
              </a:cubicBezTo>
              <a:cubicBezTo>
                <a:pt x="942524" y="1610174"/>
                <a:pt x="946611" y="1597799"/>
                <a:pt x="954780" y="1586593"/>
              </a:cubicBezTo>
              <a:cubicBezTo>
                <a:pt x="962951" y="1575386"/>
                <a:pt x="973923" y="1567450"/>
                <a:pt x="987696" y="1562783"/>
              </a:cubicBezTo>
              <a:close/>
              <a:moveTo>
                <a:pt x="987696" y="1451780"/>
              </a:moveTo>
              <a:lnTo>
                <a:pt x="987696" y="1486445"/>
              </a:lnTo>
              <a:cubicBezTo>
                <a:pt x="947543" y="1490413"/>
                <a:pt x="915327" y="1505473"/>
                <a:pt x="891050" y="1531616"/>
              </a:cubicBezTo>
              <a:cubicBezTo>
                <a:pt x="867004" y="1557531"/>
                <a:pt x="854984" y="1589629"/>
                <a:pt x="854984" y="1627914"/>
              </a:cubicBezTo>
              <a:cubicBezTo>
                <a:pt x="854984" y="1665731"/>
                <a:pt x="865606" y="1697947"/>
                <a:pt x="886849" y="1724560"/>
              </a:cubicBezTo>
              <a:cubicBezTo>
                <a:pt x="908326" y="1750941"/>
                <a:pt x="941940" y="1770669"/>
                <a:pt x="987696" y="1783738"/>
              </a:cubicBezTo>
              <a:lnTo>
                <a:pt x="987696" y="1930460"/>
              </a:lnTo>
              <a:cubicBezTo>
                <a:pt x="975088" y="1924391"/>
                <a:pt x="963653" y="1914587"/>
                <a:pt x="953379" y="1901047"/>
              </a:cubicBezTo>
              <a:cubicBezTo>
                <a:pt x="943109" y="1887507"/>
                <a:pt x="936104" y="1871397"/>
                <a:pt x="932368" y="1852725"/>
              </a:cubicBezTo>
              <a:lnTo>
                <a:pt x="840974" y="1862529"/>
              </a:lnTo>
              <a:cubicBezTo>
                <a:pt x="847979" y="1908518"/>
                <a:pt x="864085" y="1944119"/>
                <a:pt x="889297" y="1969329"/>
              </a:cubicBezTo>
              <a:cubicBezTo>
                <a:pt x="914509" y="1994541"/>
                <a:pt x="947310" y="2009597"/>
                <a:pt x="987696" y="2014502"/>
              </a:cubicBezTo>
              <a:lnTo>
                <a:pt x="987696" y="2078232"/>
              </a:lnTo>
              <a:lnTo>
                <a:pt x="1038471" y="2078232"/>
              </a:lnTo>
              <a:lnTo>
                <a:pt x="1038471" y="2012749"/>
              </a:lnTo>
              <a:cubicBezTo>
                <a:pt x="1083994" y="2006214"/>
                <a:pt x="1119476" y="1988473"/>
                <a:pt x="1144921" y="1959525"/>
              </a:cubicBezTo>
              <a:cubicBezTo>
                <a:pt x="1170602" y="1930578"/>
                <a:pt x="1183440" y="1894978"/>
                <a:pt x="1183440" y="1852725"/>
              </a:cubicBezTo>
              <a:cubicBezTo>
                <a:pt x="1183440" y="1814904"/>
                <a:pt x="1173288" y="1783971"/>
                <a:pt x="1152976" y="1759928"/>
              </a:cubicBezTo>
              <a:cubicBezTo>
                <a:pt x="1132665" y="1735648"/>
                <a:pt x="1094497" y="1715925"/>
                <a:pt x="1038471" y="1700750"/>
              </a:cubicBezTo>
              <a:lnTo>
                <a:pt x="1038471" y="1563833"/>
              </a:lnTo>
              <a:cubicBezTo>
                <a:pt x="1061116" y="1573638"/>
                <a:pt x="1075122" y="1592315"/>
                <a:pt x="1080492" y="1619859"/>
              </a:cubicBezTo>
              <a:lnTo>
                <a:pt x="1169083" y="1608306"/>
              </a:lnTo>
              <a:cubicBezTo>
                <a:pt x="1163013" y="1573286"/>
                <a:pt x="1149008" y="1545389"/>
                <a:pt x="1127065" y="1524616"/>
              </a:cubicBezTo>
              <a:cubicBezTo>
                <a:pt x="1105119" y="1503605"/>
                <a:pt x="1075587" y="1490883"/>
                <a:pt x="1038471" y="1486445"/>
              </a:cubicBezTo>
              <a:lnTo>
                <a:pt x="1038471" y="1451780"/>
              </a:lnTo>
              <a:close/>
              <a:moveTo>
                <a:pt x="1018529" y="1275937"/>
              </a:moveTo>
              <a:cubicBezTo>
                <a:pt x="1278018" y="1275937"/>
                <a:pt x="1488375" y="1486294"/>
                <a:pt x="1488375" y="1745783"/>
              </a:cubicBezTo>
              <a:cubicBezTo>
                <a:pt x="1488375" y="2005272"/>
                <a:pt x="1278018" y="2215629"/>
                <a:pt x="1018529" y="2215629"/>
              </a:cubicBezTo>
              <a:cubicBezTo>
                <a:pt x="759040" y="2215629"/>
                <a:pt x="548683" y="2005272"/>
                <a:pt x="548683" y="1745783"/>
              </a:cubicBezTo>
              <a:cubicBezTo>
                <a:pt x="548683" y="1486294"/>
                <a:pt x="759040" y="1275937"/>
                <a:pt x="1018529" y="1275937"/>
              </a:cubicBezTo>
              <a:close/>
              <a:moveTo>
                <a:pt x="1018529" y="1183712"/>
              </a:moveTo>
              <a:cubicBezTo>
                <a:pt x="708106" y="1183712"/>
                <a:pt x="456458" y="1435360"/>
                <a:pt x="456458" y="1745783"/>
              </a:cubicBezTo>
              <a:cubicBezTo>
                <a:pt x="456458" y="2056206"/>
                <a:pt x="708106" y="2307854"/>
                <a:pt x="1018529" y="2307854"/>
              </a:cubicBezTo>
              <a:cubicBezTo>
                <a:pt x="1328952" y="2307854"/>
                <a:pt x="1580600" y="2056206"/>
                <a:pt x="1580600" y="1745783"/>
              </a:cubicBezTo>
              <a:cubicBezTo>
                <a:pt x="1580600" y="1435360"/>
                <a:pt x="1328952" y="1183712"/>
                <a:pt x="1018529" y="1183712"/>
              </a:cubicBezTo>
              <a:close/>
              <a:moveTo>
                <a:pt x="664325" y="707629"/>
              </a:moveTo>
              <a:lnTo>
                <a:pt x="1314151" y="707629"/>
              </a:lnTo>
              <a:cubicBezTo>
                <a:pt x="1314151" y="707629"/>
                <a:pt x="2008098" y="1167205"/>
                <a:pt x="1997478" y="1799581"/>
              </a:cubicBezTo>
              <a:cubicBezTo>
                <a:pt x="1985742" y="2498450"/>
                <a:pt x="1568718" y="2622542"/>
                <a:pt x="1568718" y="2622542"/>
              </a:cubicBezTo>
              <a:lnTo>
                <a:pt x="429850" y="2615846"/>
              </a:lnTo>
              <a:cubicBezTo>
                <a:pt x="429850" y="2615846"/>
                <a:pt x="-25234" y="2404706"/>
                <a:pt x="1100" y="1792886"/>
              </a:cubicBezTo>
              <a:cubicBezTo>
                <a:pt x="27107" y="1188661"/>
                <a:pt x="664325" y="707629"/>
                <a:pt x="664325" y="707629"/>
              </a:cubicBezTo>
              <a:close/>
              <a:moveTo>
                <a:pt x="986902" y="180"/>
              </a:moveTo>
              <a:cubicBezTo>
                <a:pt x="1109577" y="-4712"/>
                <a:pt x="1237396" y="90440"/>
                <a:pt x="1253856" y="231858"/>
              </a:cubicBezTo>
              <a:cubicBezTo>
                <a:pt x="1388526" y="103410"/>
                <a:pt x="1501498" y="170515"/>
                <a:pt x="1602233" y="211770"/>
              </a:cubicBezTo>
              <a:lnTo>
                <a:pt x="1307453" y="647228"/>
              </a:lnTo>
              <a:lnTo>
                <a:pt x="1253841" y="646050"/>
              </a:lnTo>
              <a:lnTo>
                <a:pt x="1307042" y="424909"/>
              </a:lnTo>
              <a:cubicBezTo>
                <a:pt x="1312735" y="401236"/>
                <a:pt x="1298793" y="376577"/>
                <a:pt x="1275900" y="369830"/>
              </a:cubicBezTo>
              <a:lnTo>
                <a:pt x="1275900" y="369830"/>
              </a:lnTo>
              <a:cubicBezTo>
                <a:pt x="1253009" y="363080"/>
                <a:pt x="1229832" y="376802"/>
                <a:pt x="1224136" y="400473"/>
              </a:cubicBezTo>
              <a:lnTo>
                <a:pt x="1165526" y="644109"/>
              </a:lnTo>
              <a:lnTo>
                <a:pt x="1041982" y="641396"/>
              </a:lnTo>
              <a:lnTo>
                <a:pt x="1041017" y="583209"/>
              </a:lnTo>
              <a:cubicBezTo>
                <a:pt x="1040609" y="558598"/>
                <a:pt x="1021158" y="538315"/>
                <a:pt x="997569" y="537907"/>
              </a:cubicBezTo>
              <a:lnTo>
                <a:pt x="997570" y="537908"/>
              </a:lnTo>
              <a:cubicBezTo>
                <a:pt x="973984" y="537499"/>
                <a:pt x="955192" y="557122"/>
                <a:pt x="955600" y="581732"/>
              </a:cubicBezTo>
              <a:lnTo>
                <a:pt x="956559" y="639518"/>
              </a:lnTo>
              <a:lnTo>
                <a:pt x="845567" y="637080"/>
              </a:lnTo>
              <a:lnTo>
                <a:pt x="799761" y="506078"/>
              </a:lnTo>
              <a:cubicBezTo>
                <a:pt x="791590" y="482710"/>
                <a:pt x="767027" y="470040"/>
                <a:pt x="744896" y="477778"/>
              </a:cubicBezTo>
              <a:lnTo>
                <a:pt x="744897" y="477779"/>
              </a:lnTo>
              <a:cubicBezTo>
                <a:pt x="722766" y="485517"/>
                <a:pt x="711450" y="510735"/>
                <a:pt x="719619" y="534100"/>
              </a:cubicBezTo>
              <a:lnTo>
                <a:pt x="754930" y="635089"/>
              </a:lnTo>
              <a:lnTo>
                <a:pt x="697819" y="633834"/>
              </a:lnTo>
              <a:lnTo>
                <a:pt x="382954" y="198378"/>
              </a:lnTo>
              <a:cubicBezTo>
                <a:pt x="500883" y="146647"/>
                <a:pt x="611231" y="145422"/>
                <a:pt x="764810" y="218466"/>
              </a:cubicBezTo>
              <a:cubicBezTo>
                <a:pt x="799186" y="68313"/>
                <a:pt x="891489" y="3986"/>
                <a:pt x="986902" y="180"/>
              </a:cubicBezTo>
              <a:close/>
            </a:path>
          </a:pathLst>
        </a:custGeom>
        <a:solidFill>
          <a:sysClr val="window" lastClr="FFFFFF"/>
        </a:solidFill>
        <a:ln w="18002"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276340</xdr:colOff>
      <xdr:row>20</xdr:row>
      <xdr:rowOff>45917</xdr:rowOff>
    </xdr:from>
    <xdr:to>
      <xdr:col>0</xdr:col>
      <xdr:colOff>528340</xdr:colOff>
      <xdr:row>21</xdr:row>
      <xdr:rowOff>106073</xdr:rowOff>
    </xdr:to>
    <xdr:sp macro="" textlink="">
      <xdr:nvSpPr>
        <xdr:cNvPr id="33" name="Freeform: Shape 35">
          <a:extLst>
            <a:ext uri="{FF2B5EF4-FFF2-40B4-BE49-F238E27FC236}">
              <a16:creationId xmlns:a16="http://schemas.microsoft.com/office/drawing/2014/main" id="{00000000-0008-0000-0400-000021000000}"/>
            </a:ext>
          </a:extLst>
        </xdr:cNvPr>
        <xdr:cNvSpPr/>
      </xdr:nvSpPr>
      <xdr:spPr>
        <a:xfrm>
          <a:off x="276340" y="4109917"/>
          <a:ext cx="252000" cy="263356"/>
        </a:xfrm>
        <a:custGeom>
          <a:avLst/>
          <a:gdLst>
            <a:gd name="connsiteX0" fmla="*/ 1845168 w 2847163"/>
            <a:gd name="connsiteY0" fmla="*/ 1750443 h 2759416"/>
            <a:gd name="connsiteX1" fmla="*/ 2309388 w 2847163"/>
            <a:gd name="connsiteY1" fmla="*/ 2214663 h 2759416"/>
            <a:gd name="connsiteX2" fmla="*/ 2318856 w 2847163"/>
            <a:gd name="connsiteY2" fmla="*/ 2759416 h 2759416"/>
            <a:gd name="connsiteX3" fmla="*/ 1845168 w 2847163"/>
            <a:gd name="connsiteY3" fmla="*/ 2759416 h 2759416"/>
            <a:gd name="connsiteX4" fmla="*/ 1518242 w 2847163"/>
            <a:gd name="connsiteY4" fmla="*/ 1423550 h 2759416"/>
            <a:gd name="connsiteX5" fmla="*/ 1717214 w 2847163"/>
            <a:gd name="connsiteY5" fmla="*/ 1622523 h 2759416"/>
            <a:gd name="connsiteX6" fmla="*/ 1717214 w 2847163"/>
            <a:gd name="connsiteY6" fmla="*/ 2759403 h 2759416"/>
            <a:gd name="connsiteX7" fmla="*/ 1250617 w 2847163"/>
            <a:gd name="connsiteY7" fmla="*/ 2754687 h 2759416"/>
            <a:gd name="connsiteX8" fmla="*/ 1250617 w 2847163"/>
            <a:gd name="connsiteY8" fmla="*/ 1691210 h 2759416"/>
            <a:gd name="connsiteX9" fmla="*/ 641835 w 2847163"/>
            <a:gd name="connsiteY9" fmla="*/ 1229322 h 2759416"/>
            <a:gd name="connsiteX10" fmla="*/ 1106070 w 2847163"/>
            <a:gd name="connsiteY10" fmla="*/ 1693578 h 2759416"/>
            <a:gd name="connsiteX11" fmla="*/ 1106070 w 2847163"/>
            <a:gd name="connsiteY11" fmla="*/ 2749927 h 2759416"/>
            <a:gd name="connsiteX12" fmla="*/ 641835 w 2847163"/>
            <a:gd name="connsiteY12" fmla="*/ 2759395 h 2759416"/>
            <a:gd name="connsiteX13" fmla="*/ 35444 w 2847163"/>
            <a:gd name="connsiteY13" fmla="*/ 618126 h 2759416"/>
            <a:gd name="connsiteX14" fmla="*/ 509154 w 2847163"/>
            <a:gd name="connsiteY14" fmla="*/ 1091814 h 2759416"/>
            <a:gd name="connsiteX15" fmla="*/ 509154 w 2847163"/>
            <a:gd name="connsiteY15" fmla="*/ 2754655 h 2759416"/>
            <a:gd name="connsiteX16" fmla="*/ 35444 w 2847163"/>
            <a:gd name="connsiteY16" fmla="*/ 2749904 h 2759416"/>
            <a:gd name="connsiteX17" fmla="*/ 0 w 2847163"/>
            <a:gd name="connsiteY17" fmla="*/ 0 h 2759416"/>
            <a:gd name="connsiteX18" fmla="*/ 1177165 w 2847163"/>
            <a:gd name="connsiteY18" fmla="*/ 1158192 h 2759416"/>
            <a:gd name="connsiteX19" fmla="*/ 1518233 w 2847163"/>
            <a:gd name="connsiteY19" fmla="*/ 817128 h 2759416"/>
            <a:gd name="connsiteX20" fmla="*/ 2746509 w 2847163"/>
            <a:gd name="connsiteY20" fmla="*/ 2007744 h 2759416"/>
            <a:gd name="connsiteX21" fmla="*/ 2847163 w 2847163"/>
            <a:gd name="connsiteY21" fmla="*/ 1910921 h 2759416"/>
            <a:gd name="connsiteX22" fmla="*/ 2847163 w 2847163"/>
            <a:gd name="connsiteY22" fmla="*/ 2340365 h 2759416"/>
            <a:gd name="connsiteX23" fmla="*/ 2400726 w 2847163"/>
            <a:gd name="connsiteY23" fmla="*/ 2340365 h 2759416"/>
            <a:gd name="connsiteX24" fmla="*/ 2494986 w 2847163"/>
            <a:gd name="connsiteY24" fmla="*/ 2249694 h 2759416"/>
            <a:gd name="connsiteX25" fmla="*/ 1506389 w 2847163"/>
            <a:gd name="connsiteY25" fmla="*/ 1297944 h 2759416"/>
            <a:gd name="connsiteX26" fmla="*/ 1181903 w 2847163"/>
            <a:gd name="connsiteY26" fmla="*/ 1622449 h 2759416"/>
            <a:gd name="connsiteX27" fmla="*/ 0 w 2847163"/>
            <a:gd name="connsiteY27" fmla="*/ 440532 h 275941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2847163" h="2759416">
              <a:moveTo>
                <a:pt x="1845168" y="1750443"/>
              </a:moveTo>
              <a:lnTo>
                <a:pt x="2309388" y="2214663"/>
              </a:lnTo>
              <a:lnTo>
                <a:pt x="2318856" y="2759416"/>
              </a:lnTo>
              <a:lnTo>
                <a:pt x="1845168" y="2759416"/>
              </a:lnTo>
              <a:close/>
              <a:moveTo>
                <a:pt x="1518242" y="1423550"/>
              </a:moveTo>
              <a:lnTo>
                <a:pt x="1717214" y="1622523"/>
              </a:lnTo>
              <a:lnTo>
                <a:pt x="1717214" y="2759403"/>
              </a:lnTo>
              <a:lnTo>
                <a:pt x="1250617" y="2754687"/>
              </a:lnTo>
              <a:lnTo>
                <a:pt x="1250617" y="1691210"/>
              </a:lnTo>
              <a:close/>
              <a:moveTo>
                <a:pt x="641835" y="1229322"/>
              </a:moveTo>
              <a:lnTo>
                <a:pt x="1106070" y="1693578"/>
              </a:lnTo>
              <a:lnTo>
                <a:pt x="1106070" y="2749927"/>
              </a:lnTo>
              <a:lnTo>
                <a:pt x="641835" y="2759395"/>
              </a:lnTo>
              <a:close/>
              <a:moveTo>
                <a:pt x="35444" y="618126"/>
              </a:moveTo>
              <a:lnTo>
                <a:pt x="509154" y="1091814"/>
              </a:lnTo>
              <a:lnTo>
                <a:pt x="509154" y="2754655"/>
              </a:lnTo>
              <a:lnTo>
                <a:pt x="35444" y="2749904"/>
              </a:lnTo>
              <a:close/>
              <a:moveTo>
                <a:pt x="0" y="0"/>
              </a:moveTo>
              <a:lnTo>
                <a:pt x="1177165" y="1158192"/>
              </a:lnTo>
              <a:lnTo>
                <a:pt x="1518233" y="817128"/>
              </a:lnTo>
              <a:lnTo>
                <a:pt x="2746509" y="2007744"/>
              </a:lnTo>
              <a:lnTo>
                <a:pt x="2847163" y="1910921"/>
              </a:lnTo>
              <a:lnTo>
                <a:pt x="2847163" y="2340365"/>
              </a:lnTo>
              <a:lnTo>
                <a:pt x="2400726" y="2340365"/>
              </a:lnTo>
              <a:lnTo>
                <a:pt x="2494986" y="2249694"/>
              </a:lnTo>
              <a:lnTo>
                <a:pt x="1506389" y="1297944"/>
              </a:lnTo>
              <a:lnTo>
                <a:pt x="1181903" y="1622449"/>
              </a:lnTo>
              <a:lnTo>
                <a:pt x="0" y="440532"/>
              </a:lnTo>
              <a:close/>
            </a:path>
          </a:pathLst>
        </a:custGeom>
        <a:solidFill>
          <a:sysClr val="window" lastClr="FFFFFF"/>
        </a:solidFill>
        <a:ln w="6350" cap="flat">
          <a:solidFill>
            <a:sysClr val="windowText" lastClr="000000"/>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276340</xdr:colOff>
      <xdr:row>22</xdr:row>
      <xdr:rowOff>161497</xdr:rowOff>
    </xdr:from>
    <xdr:to>
      <xdr:col>0</xdr:col>
      <xdr:colOff>528340</xdr:colOff>
      <xdr:row>24</xdr:row>
      <xdr:rowOff>18453</xdr:rowOff>
    </xdr:to>
    <xdr:sp macro="" textlink="">
      <xdr:nvSpPr>
        <xdr:cNvPr id="34" name="Freeform: Shape 36">
          <a:extLst>
            <a:ext uri="{FF2B5EF4-FFF2-40B4-BE49-F238E27FC236}">
              <a16:creationId xmlns:a16="http://schemas.microsoft.com/office/drawing/2014/main" id="{00000000-0008-0000-0400-000022000000}"/>
            </a:ext>
          </a:extLst>
        </xdr:cNvPr>
        <xdr:cNvSpPr/>
      </xdr:nvSpPr>
      <xdr:spPr>
        <a:xfrm>
          <a:off x="276340" y="4631897"/>
          <a:ext cx="252000" cy="263356"/>
        </a:xfrm>
        <a:custGeom>
          <a:avLst/>
          <a:gdLst>
            <a:gd name="connsiteX0" fmla="*/ 639778 w 4884414"/>
            <a:gd name="connsiteY0" fmla="*/ 2912647 h 4858772"/>
            <a:gd name="connsiteX1" fmla="*/ 1031685 w 4884414"/>
            <a:gd name="connsiteY1" fmla="*/ 4714736 h 4858772"/>
            <a:gd name="connsiteX2" fmla="*/ 385208 w 4884414"/>
            <a:gd name="connsiteY2" fmla="*/ 4858772 h 4858772"/>
            <a:gd name="connsiteX3" fmla="*/ 0 w 4884414"/>
            <a:gd name="connsiteY3" fmla="*/ 3053299 h 4858772"/>
            <a:gd name="connsiteX4" fmla="*/ 4607863 w 4884414"/>
            <a:gd name="connsiteY4" fmla="*/ 2902441 h 4858772"/>
            <a:gd name="connsiteX5" fmla="*/ 4789111 w 4884414"/>
            <a:gd name="connsiteY5" fmla="*/ 2958353 h 4858772"/>
            <a:gd name="connsiteX6" fmla="*/ 4811396 w 4884414"/>
            <a:gd name="connsiteY6" fmla="*/ 3250422 h 4858772"/>
            <a:gd name="connsiteX7" fmla="*/ 2814330 w 4884414"/>
            <a:gd name="connsiteY7" fmla="*/ 4524139 h 4858772"/>
            <a:gd name="connsiteX8" fmla="*/ 1445303 w 4884414"/>
            <a:gd name="connsiteY8" fmla="*/ 4391479 h 4858772"/>
            <a:gd name="connsiteX9" fmla="*/ 1161080 w 4884414"/>
            <a:gd name="connsiteY9" fmla="*/ 4453075 h 4858772"/>
            <a:gd name="connsiteX10" fmla="*/ 895802 w 4884414"/>
            <a:gd name="connsiteY10" fmla="*/ 3202470 h 4858772"/>
            <a:gd name="connsiteX11" fmla="*/ 1492676 w 4884414"/>
            <a:gd name="connsiteY11" fmla="*/ 3046158 h 4858772"/>
            <a:gd name="connsiteX12" fmla="*/ 2495226 w 4884414"/>
            <a:gd name="connsiteY12" fmla="*/ 3450762 h 4858772"/>
            <a:gd name="connsiteX13" fmla="*/ 3321174 w 4884414"/>
            <a:gd name="connsiteY13" fmla="*/ 3055626 h 4858772"/>
            <a:gd name="connsiteX14" fmla="*/ 3742807 w 4884414"/>
            <a:gd name="connsiteY14" fmla="*/ 3103002 h 4858772"/>
            <a:gd name="connsiteX15" fmla="*/ 3723259 w 4884414"/>
            <a:gd name="connsiteY15" fmla="*/ 3443274 h 4858772"/>
            <a:gd name="connsiteX16" fmla="*/ 2513442 w 4884414"/>
            <a:gd name="connsiteY16" fmla="*/ 4087494 h 4858772"/>
            <a:gd name="connsiteX17" fmla="*/ 1386497 w 4884414"/>
            <a:gd name="connsiteY17" fmla="*/ 3877686 h 4858772"/>
            <a:gd name="connsiteX18" fmla="*/ 1345824 w 4884414"/>
            <a:gd name="connsiteY18" fmla="*/ 4040946 h 4858772"/>
            <a:gd name="connsiteX19" fmla="*/ 2583822 w 4884414"/>
            <a:gd name="connsiteY19" fmla="*/ 4264146 h 4858772"/>
            <a:gd name="connsiteX20" fmla="*/ 3918055 w 4884414"/>
            <a:gd name="connsiteY20" fmla="*/ 3524598 h 4858772"/>
            <a:gd name="connsiteX21" fmla="*/ 4020079 w 4884414"/>
            <a:gd name="connsiteY21" fmla="*/ 3359394 h 4858772"/>
            <a:gd name="connsiteX22" fmla="*/ 3984367 w 4884414"/>
            <a:gd name="connsiteY22" fmla="*/ 3155094 h 4858772"/>
            <a:gd name="connsiteX23" fmla="*/ 4420327 w 4884414"/>
            <a:gd name="connsiteY23" fmla="*/ 2932794 h 4858772"/>
            <a:gd name="connsiteX24" fmla="*/ 4607863 w 4884414"/>
            <a:gd name="connsiteY24" fmla="*/ 2902441 h 4858772"/>
            <a:gd name="connsiteX25" fmla="*/ 1433727 w 4884414"/>
            <a:gd name="connsiteY25" fmla="*/ 2168924 h 4858772"/>
            <a:gd name="connsiteX26" fmla="*/ 1849081 w 4884414"/>
            <a:gd name="connsiteY26" fmla="*/ 2168924 h 4858772"/>
            <a:gd name="connsiteX27" fmla="*/ 1849081 w 4884414"/>
            <a:gd name="connsiteY27" fmla="*/ 2845548 h 4858772"/>
            <a:gd name="connsiteX28" fmla="*/ 1433727 w 4884414"/>
            <a:gd name="connsiteY28" fmla="*/ 2845548 h 4858772"/>
            <a:gd name="connsiteX29" fmla="*/ 2941179 w 4884414"/>
            <a:gd name="connsiteY29" fmla="*/ 2004757 h 4858772"/>
            <a:gd name="connsiteX30" fmla="*/ 3359881 w 4884414"/>
            <a:gd name="connsiteY30" fmla="*/ 2004757 h 4858772"/>
            <a:gd name="connsiteX31" fmla="*/ 3359881 w 4884414"/>
            <a:gd name="connsiteY31" fmla="*/ 2842165 h 4858772"/>
            <a:gd name="connsiteX32" fmla="*/ 2941179 w 4884414"/>
            <a:gd name="connsiteY32" fmla="*/ 2842165 h 4858772"/>
            <a:gd name="connsiteX33" fmla="*/ 2187461 w 4884414"/>
            <a:gd name="connsiteY33" fmla="*/ 1666453 h 4858772"/>
            <a:gd name="connsiteX34" fmla="*/ 2609514 w 4884414"/>
            <a:gd name="connsiteY34" fmla="*/ 1666453 h 4858772"/>
            <a:gd name="connsiteX35" fmla="*/ 2609514 w 4884414"/>
            <a:gd name="connsiteY35" fmla="*/ 2858921 h 4858772"/>
            <a:gd name="connsiteX36" fmla="*/ 2187461 w 4884414"/>
            <a:gd name="connsiteY36" fmla="*/ 2858921 h 4858772"/>
            <a:gd name="connsiteX37" fmla="*/ 3691550 w 4884414"/>
            <a:gd name="connsiteY37" fmla="*/ 1488894 h 4858772"/>
            <a:gd name="connsiteX38" fmla="*/ 4110252 w 4884414"/>
            <a:gd name="connsiteY38" fmla="*/ 1488894 h 4858772"/>
            <a:gd name="connsiteX39" fmla="*/ 4110252 w 4884414"/>
            <a:gd name="connsiteY39" fmla="*/ 2852193 h 4858772"/>
            <a:gd name="connsiteX40" fmla="*/ 3691550 w 4884414"/>
            <a:gd name="connsiteY40" fmla="*/ 2852193 h 4858772"/>
            <a:gd name="connsiteX41" fmla="*/ 4884414 w 4884414"/>
            <a:gd name="connsiteY41" fmla="*/ 0 h 4858772"/>
            <a:gd name="connsiteX42" fmla="*/ 4879661 w 4884414"/>
            <a:gd name="connsiteY42" fmla="*/ 497394 h 4858772"/>
            <a:gd name="connsiteX43" fmla="*/ 4718597 w 4884414"/>
            <a:gd name="connsiteY43" fmla="*/ 497394 h 4858772"/>
            <a:gd name="connsiteX44" fmla="*/ 4713882 w 4884414"/>
            <a:gd name="connsiteY44" fmla="*/ 274752 h 4858772"/>
            <a:gd name="connsiteX45" fmla="*/ 3775937 w 4884414"/>
            <a:gd name="connsiteY45" fmla="*/ 1198498 h 4858772"/>
            <a:gd name="connsiteX46" fmla="*/ 3041680 w 4884414"/>
            <a:gd name="connsiteY46" fmla="*/ 454759 h 4858772"/>
            <a:gd name="connsiteX47" fmla="*/ 2027937 w 4884414"/>
            <a:gd name="connsiteY47" fmla="*/ 1430590 h 4858772"/>
            <a:gd name="connsiteX48" fmla="*/ 1426330 w 4884414"/>
            <a:gd name="connsiteY48" fmla="*/ 876370 h 4858772"/>
            <a:gd name="connsiteX49" fmla="*/ 327325 w 4884414"/>
            <a:gd name="connsiteY49" fmla="*/ 1984846 h 4858772"/>
            <a:gd name="connsiteX50" fmla="*/ 194686 w 4884414"/>
            <a:gd name="connsiteY50" fmla="*/ 1871158 h 4858772"/>
            <a:gd name="connsiteX51" fmla="*/ 1416855 w 4884414"/>
            <a:gd name="connsiteY51" fmla="*/ 644242 h 4858772"/>
            <a:gd name="connsiteX52" fmla="*/ 2027937 w 4884414"/>
            <a:gd name="connsiteY52" fmla="*/ 1203214 h 4858772"/>
            <a:gd name="connsiteX53" fmla="*/ 3022744 w 4884414"/>
            <a:gd name="connsiteY53" fmla="*/ 222642 h 4858772"/>
            <a:gd name="connsiteX54" fmla="*/ 3799624 w 4884414"/>
            <a:gd name="connsiteY54" fmla="*/ 961618 h 4858772"/>
            <a:gd name="connsiteX55" fmla="*/ 4604909 w 4884414"/>
            <a:gd name="connsiteY55" fmla="*/ 161060 h 4858772"/>
            <a:gd name="connsiteX56" fmla="*/ 4377533 w 4884414"/>
            <a:gd name="connsiteY56" fmla="*/ 151585 h 4858772"/>
            <a:gd name="connsiteX57" fmla="*/ 4372781 w 4884414"/>
            <a:gd name="connsiteY57" fmla="*/ 4737 h 4858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4884414" h="4858772">
              <a:moveTo>
                <a:pt x="639778" y="2912647"/>
              </a:moveTo>
              <a:lnTo>
                <a:pt x="1031685" y="4714736"/>
              </a:lnTo>
              <a:lnTo>
                <a:pt x="385208" y="4858772"/>
              </a:lnTo>
              <a:lnTo>
                <a:pt x="0" y="3053299"/>
              </a:lnTo>
              <a:close/>
              <a:moveTo>
                <a:pt x="4607863" y="2902441"/>
              </a:moveTo>
              <a:cubicBezTo>
                <a:pt x="4668385" y="2903746"/>
                <a:pt x="4734018" y="2917543"/>
                <a:pt x="4789111" y="2958353"/>
              </a:cubicBezTo>
              <a:cubicBezTo>
                <a:pt x="4984268" y="3102893"/>
                <a:pt x="4811396" y="3250422"/>
                <a:pt x="4811396" y="3250422"/>
              </a:cubicBezTo>
              <a:cubicBezTo>
                <a:pt x="4811396" y="3250422"/>
                <a:pt x="3126199" y="4484683"/>
                <a:pt x="2814330" y="4524139"/>
              </a:cubicBezTo>
              <a:cubicBezTo>
                <a:pt x="2436006" y="4571983"/>
                <a:pt x="1681870" y="4399758"/>
                <a:pt x="1445303" y="4391479"/>
              </a:cubicBezTo>
              <a:cubicBezTo>
                <a:pt x="1331655" y="4387519"/>
                <a:pt x="1161080" y="4453075"/>
                <a:pt x="1161080" y="4453075"/>
              </a:cubicBezTo>
              <a:lnTo>
                <a:pt x="895802" y="3202470"/>
              </a:lnTo>
              <a:cubicBezTo>
                <a:pt x="895802" y="3202470"/>
                <a:pt x="1206936" y="3031326"/>
                <a:pt x="1492676" y="3046158"/>
              </a:cubicBezTo>
              <a:cubicBezTo>
                <a:pt x="1861078" y="3065273"/>
                <a:pt x="2261046" y="3451698"/>
                <a:pt x="2495226" y="3450762"/>
              </a:cubicBezTo>
              <a:cubicBezTo>
                <a:pt x="2653086" y="3450150"/>
                <a:pt x="3321174" y="3055626"/>
                <a:pt x="3321174" y="3055626"/>
              </a:cubicBezTo>
              <a:cubicBezTo>
                <a:pt x="3321174" y="3055626"/>
                <a:pt x="3595819" y="2954430"/>
                <a:pt x="3742807" y="3103002"/>
              </a:cubicBezTo>
              <a:cubicBezTo>
                <a:pt x="3947863" y="3310290"/>
                <a:pt x="3723259" y="3443274"/>
                <a:pt x="3723259" y="3443274"/>
              </a:cubicBezTo>
              <a:cubicBezTo>
                <a:pt x="3723259" y="3443274"/>
                <a:pt x="2958654" y="3989718"/>
                <a:pt x="2513442" y="4087494"/>
              </a:cubicBezTo>
              <a:cubicBezTo>
                <a:pt x="2233902" y="4148910"/>
                <a:pt x="1386497" y="3877686"/>
                <a:pt x="1386497" y="3877686"/>
              </a:cubicBezTo>
              <a:lnTo>
                <a:pt x="1345824" y="4040946"/>
              </a:lnTo>
              <a:cubicBezTo>
                <a:pt x="1345824" y="4040946"/>
                <a:pt x="2201574" y="4299750"/>
                <a:pt x="2583822" y="4264146"/>
              </a:cubicBezTo>
              <a:cubicBezTo>
                <a:pt x="2873478" y="4237218"/>
                <a:pt x="3918055" y="3524598"/>
                <a:pt x="3918055" y="3524598"/>
              </a:cubicBezTo>
              <a:cubicBezTo>
                <a:pt x="3918055" y="3524598"/>
                <a:pt x="3992143" y="3470274"/>
                <a:pt x="4020079" y="3359394"/>
              </a:cubicBezTo>
              <a:cubicBezTo>
                <a:pt x="4045927" y="3256794"/>
                <a:pt x="3984367" y="3155094"/>
                <a:pt x="3984367" y="3155094"/>
              </a:cubicBezTo>
              <a:lnTo>
                <a:pt x="4420327" y="2932794"/>
              </a:lnTo>
              <a:cubicBezTo>
                <a:pt x="4420327" y="2932794"/>
                <a:pt x="4506995" y="2900267"/>
                <a:pt x="4607863" y="2902441"/>
              </a:cubicBezTo>
              <a:close/>
              <a:moveTo>
                <a:pt x="1433727" y="2168924"/>
              </a:moveTo>
              <a:lnTo>
                <a:pt x="1849081" y="2168924"/>
              </a:lnTo>
              <a:lnTo>
                <a:pt x="1849081" y="2845548"/>
              </a:lnTo>
              <a:lnTo>
                <a:pt x="1433727" y="2845548"/>
              </a:lnTo>
              <a:close/>
              <a:moveTo>
                <a:pt x="2941179" y="2004757"/>
              </a:moveTo>
              <a:lnTo>
                <a:pt x="3359881" y="2004757"/>
              </a:lnTo>
              <a:lnTo>
                <a:pt x="3359881" y="2842165"/>
              </a:lnTo>
              <a:lnTo>
                <a:pt x="2941179" y="2842165"/>
              </a:lnTo>
              <a:close/>
              <a:moveTo>
                <a:pt x="2187461" y="1666453"/>
              </a:moveTo>
              <a:lnTo>
                <a:pt x="2609514" y="1666453"/>
              </a:lnTo>
              <a:lnTo>
                <a:pt x="2609514" y="2858921"/>
              </a:lnTo>
              <a:lnTo>
                <a:pt x="2187461" y="2858921"/>
              </a:lnTo>
              <a:close/>
              <a:moveTo>
                <a:pt x="3691550" y="1488894"/>
              </a:moveTo>
              <a:lnTo>
                <a:pt x="4110252" y="1488894"/>
              </a:lnTo>
              <a:lnTo>
                <a:pt x="4110252" y="2852193"/>
              </a:lnTo>
              <a:lnTo>
                <a:pt x="3691550" y="2852193"/>
              </a:lnTo>
              <a:close/>
              <a:moveTo>
                <a:pt x="4884414" y="0"/>
              </a:moveTo>
              <a:lnTo>
                <a:pt x="4879661" y="497394"/>
              </a:lnTo>
              <a:lnTo>
                <a:pt x="4718597" y="497394"/>
              </a:lnTo>
              <a:lnTo>
                <a:pt x="4713882" y="274752"/>
              </a:lnTo>
              <a:lnTo>
                <a:pt x="3775937" y="1198498"/>
              </a:lnTo>
              <a:lnTo>
                <a:pt x="3041680" y="454759"/>
              </a:lnTo>
              <a:lnTo>
                <a:pt x="2027937" y="1430590"/>
              </a:lnTo>
              <a:lnTo>
                <a:pt x="1426330" y="876370"/>
              </a:lnTo>
              <a:lnTo>
                <a:pt x="327325" y="1984846"/>
              </a:lnTo>
              <a:lnTo>
                <a:pt x="194686" y="1871158"/>
              </a:lnTo>
              <a:lnTo>
                <a:pt x="1416855" y="644242"/>
              </a:lnTo>
              <a:lnTo>
                <a:pt x="2027937" y="1203214"/>
              </a:lnTo>
              <a:lnTo>
                <a:pt x="3022744" y="222642"/>
              </a:lnTo>
              <a:lnTo>
                <a:pt x="3799624" y="961618"/>
              </a:lnTo>
              <a:lnTo>
                <a:pt x="4604909" y="161060"/>
              </a:lnTo>
              <a:lnTo>
                <a:pt x="4377533" y="151585"/>
              </a:lnTo>
              <a:lnTo>
                <a:pt x="4372781" y="4737"/>
              </a:lnTo>
              <a:close/>
            </a:path>
          </a:pathLst>
        </a:custGeom>
        <a:solidFill>
          <a:sysClr val="window" lastClr="FFFFFF"/>
        </a:solidFill>
        <a:ln w="17998" cap="flat">
          <a:noFill/>
          <a:prstDash val="solid"/>
          <a:miter/>
        </a:ln>
        <a:effectLst>
          <a:outerShdw blurRad="50800" dist="38100" dir="2700000" algn="tl" rotWithShape="0">
            <a:prstClr val="black">
              <a:alpha val="40000"/>
            </a:prstClr>
          </a:outerShdw>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299103</xdr:colOff>
      <xdr:row>25</xdr:row>
      <xdr:rowOff>62522</xdr:rowOff>
    </xdr:from>
    <xdr:to>
      <xdr:col>0</xdr:col>
      <xdr:colOff>497103</xdr:colOff>
      <xdr:row>26</xdr:row>
      <xdr:rowOff>134033</xdr:rowOff>
    </xdr:to>
    <xdr:sp macro="" textlink="">
      <xdr:nvSpPr>
        <xdr:cNvPr id="35" name="Freeform: Shape 37">
          <a:extLst>
            <a:ext uri="{FF2B5EF4-FFF2-40B4-BE49-F238E27FC236}">
              <a16:creationId xmlns:a16="http://schemas.microsoft.com/office/drawing/2014/main" id="{00000000-0008-0000-0400-000023000000}"/>
            </a:ext>
          </a:extLst>
        </xdr:cNvPr>
        <xdr:cNvSpPr/>
      </xdr:nvSpPr>
      <xdr:spPr>
        <a:xfrm>
          <a:off x="299103" y="5142522"/>
          <a:ext cx="198000" cy="274711"/>
        </a:xfrm>
        <a:custGeom>
          <a:avLst/>
          <a:gdLst>
            <a:gd name="connsiteX0" fmla="*/ 1055978 w 2078051"/>
            <a:gd name="connsiteY0" fmla="*/ 1929003 h 2870971"/>
            <a:gd name="connsiteX1" fmla="*/ 1107799 w 2078051"/>
            <a:gd name="connsiteY1" fmla="*/ 1959131 h 2870971"/>
            <a:gd name="connsiteX2" fmla="*/ 1123868 w 2078051"/>
            <a:gd name="connsiteY2" fmla="*/ 2005327 h 2870971"/>
            <a:gd name="connsiteX3" fmla="*/ 1104987 w 2078051"/>
            <a:gd name="connsiteY3" fmla="*/ 2057955 h 2870971"/>
            <a:gd name="connsiteX4" fmla="*/ 1055978 w 2078051"/>
            <a:gd name="connsiteY4" fmla="*/ 2085674 h 2870971"/>
            <a:gd name="connsiteX5" fmla="*/ 997728 w 2078051"/>
            <a:gd name="connsiteY5" fmla="*/ 1658243 h 2870971"/>
            <a:gd name="connsiteX6" fmla="*/ 997728 w 2078051"/>
            <a:gd name="connsiteY6" fmla="*/ 1797238 h 2870971"/>
            <a:gd name="connsiteX7" fmla="*/ 958762 w 2078051"/>
            <a:gd name="connsiteY7" fmla="*/ 1767911 h 2870971"/>
            <a:gd name="connsiteX8" fmla="*/ 945906 w 2078051"/>
            <a:gd name="connsiteY8" fmla="*/ 1728143 h 2870971"/>
            <a:gd name="connsiteX9" fmla="*/ 959966 w 2078051"/>
            <a:gd name="connsiteY9" fmla="*/ 1685558 h 2870971"/>
            <a:gd name="connsiteX10" fmla="*/ 997728 w 2078051"/>
            <a:gd name="connsiteY10" fmla="*/ 1658243 h 2870971"/>
            <a:gd name="connsiteX11" fmla="*/ 997728 w 2078051"/>
            <a:gd name="connsiteY11" fmla="*/ 1530898 h 2870971"/>
            <a:gd name="connsiteX12" fmla="*/ 997728 w 2078051"/>
            <a:gd name="connsiteY12" fmla="*/ 1570667 h 2870971"/>
            <a:gd name="connsiteX13" fmla="*/ 886854 w 2078051"/>
            <a:gd name="connsiteY13" fmla="*/ 1622487 h 2870971"/>
            <a:gd name="connsiteX14" fmla="*/ 845479 w 2078051"/>
            <a:gd name="connsiteY14" fmla="*/ 1732962 h 2870971"/>
            <a:gd name="connsiteX15" fmla="*/ 882035 w 2078051"/>
            <a:gd name="connsiteY15" fmla="*/ 1843836 h 2870971"/>
            <a:gd name="connsiteX16" fmla="*/ 997728 w 2078051"/>
            <a:gd name="connsiteY16" fmla="*/ 1911726 h 2870971"/>
            <a:gd name="connsiteX17" fmla="*/ 997728 w 2078051"/>
            <a:gd name="connsiteY17" fmla="*/ 2080048 h 2870971"/>
            <a:gd name="connsiteX18" fmla="*/ 958359 w 2078051"/>
            <a:gd name="connsiteY18" fmla="*/ 2046305 h 2870971"/>
            <a:gd name="connsiteX19" fmla="*/ 934255 w 2078051"/>
            <a:gd name="connsiteY19" fmla="*/ 1990869 h 2870971"/>
            <a:gd name="connsiteX20" fmla="*/ 829406 w 2078051"/>
            <a:gd name="connsiteY20" fmla="*/ 2002116 h 2870971"/>
            <a:gd name="connsiteX21" fmla="*/ 884843 w 2078051"/>
            <a:gd name="connsiteY21" fmla="*/ 2124639 h 2870971"/>
            <a:gd name="connsiteX22" fmla="*/ 997728 w 2078051"/>
            <a:gd name="connsiteY22" fmla="*/ 2176462 h 2870971"/>
            <a:gd name="connsiteX23" fmla="*/ 997728 w 2078051"/>
            <a:gd name="connsiteY23" fmla="*/ 2249574 h 2870971"/>
            <a:gd name="connsiteX24" fmla="*/ 1055978 w 2078051"/>
            <a:gd name="connsiteY24" fmla="*/ 2249574 h 2870971"/>
            <a:gd name="connsiteX25" fmla="*/ 1055978 w 2078051"/>
            <a:gd name="connsiteY25" fmla="*/ 2174451 h 2870971"/>
            <a:gd name="connsiteX26" fmla="*/ 1178099 w 2078051"/>
            <a:gd name="connsiteY26" fmla="*/ 2113392 h 2870971"/>
            <a:gd name="connsiteX27" fmla="*/ 1222289 w 2078051"/>
            <a:gd name="connsiteY27" fmla="*/ 1990869 h 2870971"/>
            <a:gd name="connsiteX28" fmla="*/ 1187340 w 2078051"/>
            <a:gd name="connsiteY28" fmla="*/ 1884411 h 2870971"/>
            <a:gd name="connsiteX29" fmla="*/ 1055978 w 2078051"/>
            <a:gd name="connsiteY29" fmla="*/ 1816521 h 2870971"/>
            <a:gd name="connsiteX30" fmla="*/ 1055978 w 2078051"/>
            <a:gd name="connsiteY30" fmla="*/ 1659447 h 2870971"/>
            <a:gd name="connsiteX31" fmla="*/ 1104185 w 2078051"/>
            <a:gd name="connsiteY31" fmla="*/ 1723721 h 2870971"/>
            <a:gd name="connsiteX32" fmla="*/ 1205818 w 2078051"/>
            <a:gd name="connsiteY32" fmla="*/ 1710467 h 2870971"/>
            <a:gd name="connsiteX33" fmla="*/ 1157614 w 2078051"/>
            <a:gd name="connsiteY33" fmla="*/ 1614457 h 2870971"/>
            <a:gd name="connsiteX34" fmla="*/ 1055978 w 2078051"/>
            <a:gd name="connsiteY34" fmla="*/ 1570667 h 2870971"/>
            <a:gd name="connsiteX35" fmla="*/ 1055978 w 2078051"/>
            <a:gd name="connsiteY35" fmla="*/ 1530898 h 2870971"/>
            <a:gd name="connsiteX36" fmla="*/ 1033100 w 2078051"/>
            <a:gd name="connsiteY36" fmla="*/ 1329168 h 2870971"/>
            <a:gd name="connsiteX37" fmla="*/ 1572115 w 2078051"/>
            <a:gd name="connsiteY37" fmla="*/ 1868183 h 2870971"/>
            <a:gd name="connsiteX38" fmla="*/ 1033100 w 2078051"/>
            <a:gd name="connsiteY38" fmla="*/ 2407198 h 2870971"/>
            <a:gd name="connsiteX39" fmla="*/ 494085 w 2078051"/>
            <a:gd name="connsiteY39" fmla="*/ 1868183 h 2870971"/>
            <a:gd name="connsiteX40" fmla="*/ 1033100 w 2078051"/>
            <a:gd name="connsiteY40" fmla="*/ 1329168 h 2870971"/>
            <a:gd name="connsiteX41" fmla="*/ 1033100 w 2078051"/>
            <a:gd name="connsiteY41" fmla="*/ 1223366 h 2870971"/>
            <a:gd name="connsiteX42" fmla="*/ 388283 w 2078051"/>
            <a:gd name="connsiteY42" fmla="*/ 1868183 h 2870971"/>
            <a:gd name="connsiteX43" fmla="*/ 1033100 w 2078051"/>
            <a:gd name="connsiteY43" fmla="*/ 2513000 h 2870971"/>
            <a:gd name="connsiteX44" fmla="*/ 1677917 w 2078051"/>
            <a:gd name="connsiteY44" fmla="*/ 1868183 h 2870971"/>
            <a:gd name="connsiteX45" fmla="*/ 1033100 w 2078051"/>
            <a:gd name="connsiteY45" fmla="*/ 1223366 h 2870971"/>
            <a:gd name="connsiteX46" fmla="*/ 983183 w 2078051"/>
            <a:gd name="connsiteY46" fmla="*/ 335217 h 2870971"/>
            <a:gd name="connsiteX47" fmla="*/ 758164 w 2078051"/>
            <a:gd name="connsiteY47" fmla="*/ 343982 h 2870971"/>
            <a:gd name="connsiteX48" fmla="*/ 488284 w 2078051"/>
            <a:gd name="connsiteY48" fmla="*/ 983732 h 2870971"/>
            <a:gd name="connsiteX49" fmla="*/ 488749 w 2078051"/>
            <a:gd name="connsiteY49" fmla="*/ 985270 h 2870971"/>
            <a:gd name="connsiteX50" fmla="*/ 642599 w 2078051"/>
            <a:gd name="connsiteY50" fmla="*/ 899738 h 2870971"/>
            <a:gd name="connsiteX51" fmla="*/ 1558297 w 2078051"/>
            <a:gd name="connsiteY51" fmla="*/ 983595 h 2870971"/>
            <a:gd name="connsiteX52" fmla="*/ 1599794 w 2078051"/>
            <a:gd name="connsiteY52" fmla="*/ 1014524 h 2870971"/>
            <a:gd name="connsiteX53" fmla="*/ 1602875 w 2078051"/>
            <a:gd name="connsiteY53" fmla="*/ 999811 h 2870971"/>
            <a:gd name="connsiteX54" fmla="*/ 1383012 w 2078051"/>
            <a:gd name="connsiteY54" fmla="*/ 357449 h 2870971"/>
            <a:gd name="connsiteX55" fmla="*/ 983183 w 2078051"/>
            <a:gd name="connsiteY55" fmla="*/ 335217 h 2870971"/>
            <a:gd name="connsiteX56" fmla="*/ 1024198 w 2078051"/>
            <a:gd name="connsiteY56" fmla="*/ 0 h 2870971"/>
            <a:gd name="connsiteX57" fmla="*/ 1463633 w 2078051"/>
            <a:gd name="connsiteY57" fmla="*/ 41646 h 2870971"/>
            <a:gd name="connsiteX58" fmla="*/ 1850752 w 2078051"/>
            <a:gd name="connsiteY58" fmla="*/ 1233583 h 2870971"/>
            <a:gd name="connsiteX59" fmla="*/ 1848614 w 2078051"/>
            <a:gd name="connsiteY59" fmla="*/ 1239078 h 2870971"/>
            <a:gd name="connsiteX60" fmla="*/ 1936700 w 2078051"/>
            <a:gd name="connsiteY60" fmla="*/ 1360517 h 2870971"/>
            <a:gd name="connsiteX61" fmla="*/ 1430019 w 2078051"/>
            <a:gd name="connsiteY61" fmla="*/ 2823279 h 2870971"/>
            <a:gd name="connsiteX62" fmla="*/ 583477 w 2078051"/>
            <a:gd name="connsiteY62" fmla="*/ 2796381 h 2870971"/>
            <a:gd name="connsiteX63" fmla="*/ 131162 w 2078051"/>
            <a:gd name="connsiteY63" fmla="*/ 1394268 h 2870971"/>
            <a:gd name="connsiteX64" fmla="*/ 216742 w 2078051"/>
            <a:gd name="connsiteY64" fmla="*/ 1260356 h 2870971"/>
            <a:gd name="connsiteX65" fmla="*/ 216557 w 2078051"/>
            <a:gd name="connsiteY65" fmla="*/ 1259844 h 2870971"/>
            <a:gd name="connsiteX66" fmla="*/ 637229 w 2078051"/>
            <a:gd name="connsiteY66" fmla="*/ 28215 h 2870971"/>
            <a:gd name="connsiteX67" fmla="*/ 1024198 w 2078051"/>
            <a:gd name="connsiteY67" fmla="*/ 0 h 287097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Lst>
          <a:rect l="l" t="t" r="r" b="b"/>
          <a:pathLst>
            <a:path w="2078051" h="2870971">
              <a:moveTo>
                <a:pt x="1055978" y="1929003"/>
              </a:moveTo>
              <a:cubicBezTo>
                <a:pt x="1080081" y="1935967"/>
                <a:pt x="1097353" y="1946008"/>
                <a:pt x="1107799" y="1959131"/>
              </a:cubicBezTo>
              <a:cubicBezTo>
                <a:pt x="1118513" y="1971987"/>
                <a:pt x="1123868" y="1987384"/>
                <a:pt x="1123868" y="2005327"/>
              </a:cubicBezTo>
              <a:cubicBezTo>
                <a:pt x="1123868" y="2025413"/>
                <a:pt x="1117575" y="2042957"/>
                <a:pt x="1104987" y="2057955"/>
              </a:cubicBezTo>
              <a:cubicBezTo>
                <a:pt x="1092399" y="2072682"/>
                <a:pt x="1076063" y="2081922"/>
                <a:pt x="1055978" y="2085674"/>
              </a:cubicBezTo>
              <a:close/>
              <a:moveTo>
                <a:pt x="997728" y="1658243"/>
              </a:moveTo>
              <a:lnTo>
                <a:pt x="997728" y="1797238"/>
              </a:lnTo>
              <a:cubicBezTo>
                <a:pt x="980320" y="1789741"/>
                <a:pt x="967333" y="1779966"/>
                <a:pt x="958762" y="1767911"/>
              </a:cubicBezTo>
              <a:cubicBezTo>
                <a:pt x="950192" y="1755594"/>
                <a:pt x="945906" y="1742336"/>
                <a:pt x="945906" y="1728143"/>
              </a:cubicBezTo>
              <a:cubicBezTo>
                <a:pt x="945906" y="1712610"/>
                <a:pt x="950595" y="1698414"/>
                <a:pt x="959966" y="1685558"/>
              </a:cubicBezTo>
              <a:cubicBezTo>
                <a:pt x="969340" y="1672701"/>
                <a:pt x="981927" y="1663597"/>
                <a:pt x="997728" y="1658243"/>
              </a:cubicBezTo>
              <a:close/>
              <a:moveTo>
                <a:pt x="997728" y="1530898"/>
              </a:moveTo>
              <a:lnTo>
                <a:pt x="997728" y="1570667"/>
              </a:lnTo>
              <a:cubicBezTo>
                <a:pt x="951664" y="1575219"/>
                <a:pt x="914705" y="1592496"/>
                <a:pt x="886854" y="1622487"/>
              </a:cubicBezTo>
              <a:cubicBezTo>
                <a:pt x="859268" y="1652218"/>
                <a:pt x="845479" y="1689041"/>
                <a:pt x="845479" y="1732962"/>
              </a:cubicBezTo>
              <a:cubicBezTo>
                <a:pt x="845479" y="1776346"/>
                <a:pt x="857664" y="1813305"/>
                <a:pt x="882035" y="1843836"/>
              </a:cubicBezTo>
              <a:cubicBezTo>
                <a:pt x="906673" y="1874101"/>
                <a:pt x="945236" y="1896733"/>
                <a:pt x="997728" y="1911726"/>
              </a:cubicBezTo>
              <a:lnTo>
                <a:pt x="997728" y="2080048"/>
              </a:lnTo>
              <a:cubicBezTo>
                <a:pt x="983264" y="2073085"/>
                <a:pt x="970145" y="2061838"/>
                <a:pt x="958359" y="2046305"/>
              </a:cubicBezTo>
              <a:cubicBezTo>
                <a:pt x="946577" y="2030771"/>
                <a:pt x="938541" y="2012290"/>
                <a:pt x="934255" y="1990869"/>
              </a:cubicBezTo>
              <a:lnTo>
                <a:pt x="829406" y="2002116"/>
              </a:lnTo>
              <a:cubicBezTo>
                <a:pt x="837442" y="2054876"/>
                <a:pt x="855919" y="2095718"/>
                <a:pt x="884843" y="2124639"/>
              </a:cubicBezTo>
              <a:cubicBezTo>
                <a:pt x="913767" y="2153563"/>
                <a:pt x="951397" y="2170835"/>
                <a:pt x="997728" y="2176462"/>
              </a:cubicBezTo>
              <a:lnTo>
                <a:pt x="997728" y="2249574"/>
              </a:lnTo>
              <a:lnTo>
                <a:pt x="1055978" y="2249574"/>
              </a:lnTo>
              <a:lnTo>
                <a:pt x="1055978" y="2174451"/>
              </a:lnTo>
              <a:cubicBezTo>
                <a:pt x="1108203" y="2166954"/>
                <a:pt x="1148908" y="2146601"/>
                <a:pt x="1178099" y="2113392"/>
              </a:cubicBezTo>
              <a:cubicBezTo>
                <a:pt x="1207561" y="2080183"/>
                <a:pt x="1222289" y="2039342"/>
                <a:pt x="1222289" y="1990869"/>
              </a:cubicBezTo>
              <a:cubicBezTo>
                <a:pt x="1222289" y="1947480"/>
                <a:pt x="1210642" y="1911993"/>
                <a:pt x="1187340" y="1884411"/>
              </a:cubicBezTo>
              <a:cubicBezTo>
                <a:pt x="1164039" y="1856556"/>
                <a:pt x="1120252" y="1833930"/>
                <a:pt x="1055978" y="1816521"/>
              </a:cubicBezTo>
              <a:lnTo>
                <a:pt x="1055978" y="1659447"/>
              </a:lnTo>
              <a:cubicBezTo>
                <a:pt x="1081957" y="1670696"/>
                <a:pt x="1098025" y="1692122"/>
                <a:pt x="1104185" y="1723721"/>
              </a:cubicBezTo>
              <a:lnTo>
                <a:pt x="1205818" y="1710467"/>
              </a:lnTo>
              <a:cubicBezTo>
                <a:pt x="1198855" y="1670292"/>
                <a:pt x="1182788" y="1638288"/>
                <a:pt x="1157614" y="1614457"/>
              </a:cubicBezTo>
              <a:cubicBezTo>
                <a:pt x="1132438" y="1590353"/>
                <a:pt x="1098558" y="1575758"/>
                <a:pt x="1055978" y="1570667"/>
              </a:cubicBezTo>
              <a:lnTo>
                <a:pt x="1055978" y="1530898"/>
              </a:lnTo>
              <a:close/>
              <a:moveTo>
                <a:pt x="1033100" y="1329168"/>
              </a:moveTo>
              <a:cubicBezTo>
                <a:pt x="1330790" y="1329168"/>
                <a:pt x="1572115" y="1570493"/>
                <a:pt x="1572115" y="1868183"/>
              </a:cubicBezTo>
              <a:cubicBezTo>
                <a:pt x="1572115" y="2165873"/>
                <a:pt x="1330790" y="2407198"/>
                <a:pt x="1033100" y="2407198"/>
              </a:cubicBezTo>
              <a:cubicBezTo>
                <a:pt x="735410" y="2407198"/>
                <a:pt x="494085" y="2165873"/>
                <a:pt x="494085" y="1868183"/>
              </a:cubicBezTo>
              <a:cubicBezTo>
                <a:pt x="494085" y="1570493"/>
                <a:pt x="735410" y="1329168"/>
                <a:pt x="1033100" y="1329168"/>
              </a:cubicBezTo>
              <a:close/>
              <a:moveTo>
                <a:pt x="1033100" y="1223366"/>
              </a:moveTo>
              <a:cubicBezTo>
                <a:pt x="676978" y="1223366"/>
                <a:pt x="388283" y="1512061"/>
                <a:pt x="388283" y="1868183"/>
              </a:cubicBezTo>
              <a:cubicBezTo>
                <a:pt x="388283" y="2224306"/>
                <a:pt x="676978" y="2513000"/>
                <a:pt x="1033100" y="2513000"/>
              </a:cubicBezTo>
              <a:cubicBezTo>
                <a:pt x="1389223" y="2513000"/>
                <a:pt x="1677917" y="2224306"/>
                <a:pt x="1677917" y="1868183"/>
              </a:cubicBezTo>
              <a:cubicBezTo>
                <a:pt x="1677917" y="1512061"/>
                <a:pt x="1389223" y="1223366"/>
                <a:pt x="1033100" y="1223366"/>
              </a:cubicBezTo>
              <a:close/>
              <a:moveTo>
                <a:pt x="983183" y="335217"/>
              </a:moveTo>
              <a:cubicBezTo>
                <a:pt x="882977" y="335206"/>
                <a:pt x="793965" y="338025"/>
                <a:pt x="758164" y="343982"/>
              </a:cubicBezTo>
              <a:cubicBezTo>
                <a:pt x="350402" y="411872"/>
                <a:pt x="455610" y="870209"/>
                <a:pt x="488284" y="983732"/>
              </a:cubicBezTo>
              <a:lnTo>
                <a:pt x="488749" y="985270"/>
              </a:lnTo>
              <a:lnTo>
                <a:pt x="642599" y="899738"/>
              </a:lnTo>
              <a:cubicBezTo>
                <a:pt x="932499" y="777096"/>
                <a:pt x="1276563" y="811395"/>
                <a:pt x="1558297" y="983595"/>
              </a:cubicBezTo>
              <a:lnTo>
                <a:pt x="1599794" y="1014524"/>
              </a:lnTo>
              <a:lnTo>
                <a:pt x="1602875" y="999811"/>
              </a:lnTo>
              <a:cubicBezTo>
                <a:pt x="1622986" y="897761"/>
                <a:pt x="1684582" y="481792"/>
                <a:pt x="1383012" y="357449"/>
              </a:cubicBezTo>
              <a:cubicBezTo>
                <a:pt x="1348307" y="343121"/>
                <a:pt x="1150195" y="335237"/>
                <a:pt x="983183" y="335217"/>
              </a:cubicBezTo>
              <a:close/>
              <a:moveTo>
                <a:pt x="1024198" y="0"/>
              </a:moveTo>
              <a:cubicBezTo>
                <a:pt x="1194350" y="-9"/>
                <a:pt x="1373246" y="11626"/>
                <a:pt x="1463633" y="41646"/>
              </a:cubicBezTo>
              <a:cubicBezTo>
                <a:pt x="2185740" y="281592"/>
                <a:pt x="1890480" y="1128639"/>
                <a:pt x="1850752" y="1233583"/>
              </a:cubicBezTo>
              <a:lnTo>
                <a:pt x="1848614" y="1239078"/>
              </a:lnTo>
              <a:lnTo>
                <a:pt x="1936700" y="1360517"/>
              </a:lnTo>
              <a:cubicBezTo>
                <a:pt x="2317913" y="1979920"/>
                <a:pt x="1852931" y="2700800"/>
                <a:pt x="1430019" y="2823279"/>
              </a:cubicBezTo>
              <a:cubicBezTo>
                <a:pt x="1158841" y="2901805"/>
                <a:pt x="730150" y="2876713"/>
                <a:pt x="583477" y="2796381"/>
              </a:cubicBezTo>
              <a:cubicBezTo>
                <a:pt x="191527" y="2581783"/>
                <a:pt x="-215596" y="2019195"/>
                <a:pt x="131162" y="1394268"/>
              </a:cubicBezTo>
              <a:lnTo>
                <a:pt x="216742" y="1260356"/>
              </a:lnTo>
              <a:lnTo>
                <a:pt x="216557" y="1259844"/>
              </a:lnTo>
              <a:cubicBezTo>
                <a:pt x="177285" y="1148690"/>
                <a:pt x="-113420" y="252456"/>
                <a:pt x="637229" y="28215"/>
              </a:cubicBezTo>
              <a:cubicBezTo>
                <a:pt x="692639" y="11662"/>
                <a:pt x="854047" y="9"/>
                <a:pt x="1024198" y="0"/>
              </a:cubicBezTo>
              <a:close/>
            </a:path>
          </a:pathLst>
        </a:custGeom>
        <a:solidFill>
          <a:sysClr val="window" lastClr="FFFFFF"/>
        </a:soli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276340</xdr:colOff>
      <xdr:row>27</xdr:row>
      <xdr:rowOff>178099</xdr:rowOff>
    </xdr:from>
    <xdr:to>
      <xdr:col>0</xdr:col>
      <xdr:colOff>528340</xdr:colOff>
      <xdr:row>29</xdr:row>
      <xdr:rowOff>35054</xdr:rowOff>
    </xdr:to>
    <xdr:sp macro="" textlink="">
      <xdr:nvSpPr>
        <xdr:cNvPr id="36" name="Freeform: Shape 38">
          <a:extLst>
            <a:ext uri="{FF2B5EF4-FFF2-40B4-BE49-F238E27FC236}">
              <a16:creationId xmlns:a16="http://schemas.microsoft.com/office/drawing/2014/main" id="{00000000-0008-0000-0400-000024000000}"/>
            </a:ext>
          </a:extLst>
        </xdr:cNvPr>
        <xdr:cNvSpPr/>
      </xdr:nvSpPr>
      <xdr:spPr>
        <a:xfrm>
          <a:off x="276340" y="5664499"/>
          <a:ext cx="252000" cy="263355"/>
        </a:xfrm>
        <a:custGeom>
          <a:avLst/>
          <a:gdLst>
            <a:gd name="connsiteX0" fmla="*/ 669226 w 3163078"/>
            <a:gd name="connsiteY0" fmla="*/ 1658213 h 3163078"/>
            <a:gd name="connsiteX1" fmla="*/ 244013 w 3163078"/>
            <a:gd name="connsiteY1" fmla="*/ 1658214 h 3163078"/>
            <a:gd name="connsiteX2" fmla="*/ 247066 w 3163078"/>
            <a:gd name="connsiteY2" fmla="*/ 1718689 h 3163078"/>
            <a:gd name="connsiteX3" fmla="*/ 1444389 w 3163078"/>
            <a:gd name="connsiteY3" fmla="*/ 2916012 h 3163078"/>
            <a:gd name="connsiteX4" fmla="*/ 1499820 w 3163078"/>
            <a:gd name="connsiteY4" fmla="*/ 2918811 h 3163078"/>
            <a:gd name="connsiteX5" fmla="*/ 1495533 w 3163078"/>
            <a:gd name="connsiteY5" fmla="*/ 2890456 h 3163078"/>
            <a:gd name="connsiteX6" fmla="*/ 1495533 w 3163078"/>
            <a:gd name="connsiteY6" fmla="*/ 2467055 h 3163078"/>
            <a:gd name="connsiteX7" fmla="*/ 1479365 w 3163078"/>
            <a:gd name="connsiteY7" fmla="*/ 2466239 h 3163078"/>
            <a:gd name="connsiteX8" fmla="*/ 682606 w 3163078"/>
            <a:gd name="connsiteY8" fmla="*/ 1745881 h 3163078"/>
            <a:gd name="connsiteX9" fmla="*/ 2919066 w 3163078"/>
            <a:gd name="connsiteY9" fmla="*/ 1658213 h 3163078"/>
            <a:gd name="connsiteX10" fmla="*/ 2475189 w 3163078"/>
            <a:gd name="connsiteY10" fmla="*/ 1658214 h 3163078"/>
            <a:gd name="connsiteX11" fmla="*/ 2461810 w 3163078"/>
            <a:gd name="connsiteY11" fmla="*/ 1745881 h 3163078"/>
            <a:gd name="connsiteX12" fmla="*/ 1755212 w 3163078"/>
            <a:gd name="connsiteY12" fmla="*/ 2452479 h 3163078"/>
            <a:gd name="connsiteX13" fmla="*/ 1704868 w 3163078"/>
            <a:gd name="connsiteY13" fmla="*/ 2460162 h 3163078"/>
            <a:gd name="connsiteX14" fmla="*/ 1704868 w 3163078"/>
            <a:gd name="connsiteY14" fmla="*/ 2890456 h 3163078"/>
            <a:gd name="connsiteX15" fmla="*/ 1700869 w 3163078"/>
            <a:gd name="connsiteY15" fmla="*/ 2916912 h 3163078"/>
            <a:gd name="connsiteX16" fmla="*/ 1718689 w 3163078"/>
            <a:gd name="connsiteY16" fmla="*/ 2916012 h 3163078"/>
            <a:gd name="connsiteX17" fmla="*/ 2916012 w 3163078"/>
            <a:gd name="connsiteY17" fmla="*/ 1718689 h 3163078"/>
            <a:gd name="connsiteX18" fmla="*/ 1665289 w 3163078"/>
            <a:gd name="connsiteY18" fmla="*/ 1628851 h 3163078"/>
            <a:gd name="connsiteX19" fmla="*/ 1665289 w 3163078"/>
            <a:gd name="connsiteY19" fmla="*/ 1751958 h 3163078"/>
            <a:gd name="connsiteX20" fmla="*/ 1741278 w 3163078"/>
            <a:gd name="connsiteY20" fmla="*/ 1733090 h 3163078"/>
            <a:gd name="connsiteX21" fmla="*/ 1772883 w 3163078"/>
            <a:gd name="connsiteY21" fmla="*/ 1689910 h 3163078"/>
            <a:gd name="connsiteX22" fmla="*/ 1736568 w 3163078"/>
            <a:gd name="connsiteY22" fmla="*/ 1647194 h 3163078"/>
            <a:gd name="connsiteX23" fmla="*/ 1665289 w 3163078"/>
            <a:gd name="connsiteY23" fmla="*/ 1628851 h 3163078"/>
            <a:gd name="connsiteX24" fmla="*/ 1561731 w 3163078"/>
            <a:gd name="connsiteY24" fmla="*/ 1346387 h 3163078"/>
            <a:gd name="connsiteX25" fmla="*/ 1481712 w 3163078"/>
            <a:gd name="connsiteY25" fmla="*/ 1363245 h 3163078"/>
            <a:gd name="connsiteX26" fmla="*/ 1446742 w 3163078"/>
            <a:gd name="connsiteY26" fmla="*/ 1402960 h 3163078"/>
            <a:gd name="connsiteX27" fmla="*/ 1469607 w 3163078"/>
            <a:gd name="connsiteY27" fmla="*/ 1439212 h 3163078"/>
            <a:gd name="connsiteX28" fmla="*/ 1561731 w 3163078"/>
            <a:gd name="connsiteY28" fmla="*/ 1461544 h 3163078"/>
            <a:gd name="connsiteX29" fmla="*/ 1550971 w 3163078"/>
            <a:gd name="connsiteY29" fmla="*/ 1101133 h 3163078"/>
            <a:gd name="connsiteX30" fmla="*/ 1667979 w 3163078"/>
            <a:gd name="connsiteY30" fmla="*/ 1101133 h 3163078"/>
            <a:gd name="connsiteX31" fmla="*/ 1667979 w 3163078"/>
            <a:gd name="connsiteY31" fmla="*/ 1215826 h 3163078"/>
            <a:gd name="connsiteX32" fmla="*/ 1812557 w 3163078"/>
            <a:gd name="connsiteY32" fmla="*/ 1228724 h 3163078"/>
            <a:gd name="connsiteX33" fmla="*/ 1943685 w 3163078"/>
            <a:gd name="connsiteY33" fmla="*/ 1254026 h 3163078"/>
            <a:gd name="connsiteX34" fmla="*/ 1943685 w 3163078"/>
            <a:gd name="connsiteY34" fmla="*/ 1397021 h 3163078"/>
            <a:gd name="connsiteX35" fmla="*/ 1914100 w 3163078"/>
            <a:gd name="connsiteY35" fmla="*/ 1397021 h 3163078"/>
            <a:gd name="connsiteX36" fmla="*/ 1803142 w 3163078"/>
            <a:gd name="connsiteY36" fmla="*/ 1363245 h 3163078"/>
            <a:gd name="connsiteX37" fmla="*/ 1667979 w 3163078"/>
            <a:gd name="connsiteY37" fmla="*/ 1346387 h 3163078"/>
            <a:gd name="connsiteX38" fmla="*/ 1667979 w 3163078"/>
            <a:gd name="connsiteY38" fmla="*/ 1472463 h 3163078"/>
            <a:gd name="connsiteX39" fmla="*/ 1721778 w 3163078"/>
            <a:gd name="connsiteY39" fmla="*/ 1480412 h 3163078"/>
            <a:gd name="connsiteX40" fmla="*/ 1945030 w 3163078"/>
            <a:gd name="connsiteY40" fmla="*/ 1546914 h 3163078"/>
            <a:gd name="connsiteX41" fmla="*/ 2016984 w 3163078"/>
            <a:gd name="connsiteY41" fmla="*/ 1670547 h 3163078"/>
            <a:gd name="connsiteX42" fmla="*/ 1921495 w 3163078"/>
            <a:gd name="connsiteY42" fmla="*/ 1814501 h 3163078"/>
            <a:gd name="connsiteX43" fmla="*/ 1667979 w 3163078"/>
            <a:gd name="connsiteY43" fmla="*/ 1882519 h 3163078"/>
            <a:gd name="connsiteX44" fmla="*/ 1667979 w 3163078"/>
            <a:gd name="connsiteY44" fmla="*/ 2062725 h 3163078"/>
            <a:gd name="connsiteX45" fmla="*/ 1550971 w 3163078"/>
            <a:gd name="connsiteY45" fmla="*/ 2062725 h 3163078"/>
            <a:gd name="connsiteX46" fmla="*/ 1550971 w 3163078"/>
            <a:gd name="connsiteY46" fmla="*/ 1885489 h 3163078"/>
            <a:gd name="connsiteX47" fmla="*/ 1376808 w 3163078"/>
            <a:gd name="connsiteY47" fmla="*/ 1872095 h 3163078"/>
            <a:gd name="connsiteX48" fmla="*/ 1222145 w 3163078"/>
            <a:gd name="connsiteY48" fmla="*/ 1839803 h 3163078"/>
            <a:gd name="connsiteX49" fmla="*/ 1222145 w 3163078"/>
            <a:gd name="connsiteY49" fmla="*/ 1694859 h 3163078"/>
            <a:gd name="connsiteX50" fmla="*/ 1252405 w 3163078"/>
            <a:gd name="connsiteY50" fmla="*/ 1694859 h 3163078"/>
            <a:gd name="connsiteX51" fmla="*/ 1394293 w 3163078"/>
            <a:gd name="connsiteY51" fmla="*/ 1734575 h 3163078"/>
            <a:gd name="connsiteX52" fmla="*/ 1554336 w 3163078"/>
            <a:gd name="connsiteY52" fmla="*/ 1753938 h 3163078"/>
            <a:gd name="connsiteX53" fmla="*/ 1554336 w 3163078"/>
            <a:gd name="connsiteY53" fmla="*/ 1617902 h 3163078"/>
            <a:gd name="connsiteX54" fmla="*/ 1489107 w 3163078"/>
            <a:gd name="connsiteY54" fmla="*/ 1606983 h 3163078"/>
            <a:gd name="connsiteX55" fmla="*/ 1374789 w 3163078"/>
            <a:gd name="connsiteY55" fmla="*/ 1582671 h 3163078"/>
            <a:gd name="connsiteX56" fmla="*/ 1285355 w 3163078"/>
            <a:gd name="connsiteY56" fmla="*/ 1545925 h 3163078"/>
            <a:gd name="connsiteX57" fmla="*/ 1226851 w 3163078"/>
            <a:gd name="connsiteY57" fmla="*/ 1489847 h 3163078"/>
            <a:gd name="connsiteX58" fmla="*/ 1206006 w 3163078"/>
            <a:gd name="connsiteY58" fmla="*/ 1406950 h 3163078"/>
            <a:gd name="connsiteX59" fmla="*/ 1297459 w 3163078"/>
            <a:gd name="connsiteY59" fmla="*/ 1280349 h 3163078"/>
            <a:gd name="connsiteX60" fmla="*/ 1550971 w 3163078"/>
            <a:gd name="connsiteY60" fmla="*/ 1216816 h 3163078"/>
            <a:gd name="connsiteX61" fmla="*/ 1495533 w 3163078"/>
            <a:gd name="connsiteY61" fmla="*/ 796577 h 3163078"/>
            <a:gd name="connsiteX62" fmla="*/ 1493463 w 3163078"/>
            <a:gd name="connsiteY62" fmla="*/ 796681 h 3163078"/>
            <a:gd name="connsiteX63" fmla="*/ 817683 w 3163078"/>
            <a:gd name="connsiteY63" fmla="*/ 1407661 h 3163078"/>
            <a:gd name="connsiteX64" fmla="*/ 811308 w 3163078"/>
            <a:gd name="connsiteY64" fmla="*/ 1449430 h 3163078"/>
            <a:gd name="connsiteX65" fmla="*/ 838783 w 3163078"/>
            <a:gd name="connsiteY65" fmla="*/ 1453584 h 3163078"/>
            <a:gd name="connsiteX66" fmla="*/ 904101 w 3163078"/>
            <a:gd name="connsiteY66" fmla="*/ 1512804 h 3163078"/>
            <a:gd name="connsiteX67" fmla="*/ 912326 w 3163078"/>
            <a:gd name="connsiteY67" fmla="*/ 1553546 h 3163078"/>
            <a:gd name="connsiteX68" fmla="*/ 904101 w 3163078"/>
            <a:gd name="connsiteY68" fmla="*/ 1594287 h 3163078"/>
            <a:gd name="connsiteX69" fmla="*/ 838783 w 3163078"/>
            <a:gd name="connsiteY69" fmla="*/ 1653508 h 3163078"/>
            <a:gd name="connsiteX70" fmla="*/ 808524 w 3163078"/>
            <a:gd name="connsiteY70" fmla="*/ 1658082 h 3163078"/>
            <a:gd name="connsiteX71" fmla="*/ 817683 w 3163078"/>
            <a:gd name="connsiteY71" fmla="*/ 1718094 h 3163078"/>
            <a:gd name="connsiteX72" fmla="*/ 1493463 w 3163078"/>
            <a:gd name="connsiteY72" fmla="*/ 2329073 h 3163078"/>
            <a:gd name="connsiteX73" fmla="*/ 1495532 w 3163078"/>
            <a:gd name="connsiteY73" fmla="*/ 2329177 h 3163078"/>
            <a:gd name="connsiteX74" fmla="*/ 1495532 w 3163078"/>
            <a:gd name="connsiteY74" fmla="*/ 2306691 h 3163078"/>
            <a:gd name="connsiteX75" fmla="*/ 1600200 w 3163078"/>
            <a:gd name="connsiteY75" fmla="*/ 2202023 h 3163078"/>
            <a:gd name="connsiteX76" fmla="*/ 1600200 w 3163078"/>
            <a:gd name="connsiteY76" fmla="*/ 2202022 h 3163078"/>
            <a:gd name="connsiteX77" fmla="*/ 1704868 w 3163078"/>
            <a:gd name="connsiteY77" fmla="*/ 2306690 h 3163078"/>
            <a:gd name="connsiteX78" fmla="*/ 1704868 w 3163078"/>
            <a:gd name="connsiteY78" fmla="*/ 2320844 h 3163078"/>
            <a:gd name="connsiteX79" fmla="*/ 1727425 w 3163078"/>
            <a:gd name="connsiteY79" fmla="*/ 2317402 h 3163078"/>
            <a:gd name="connsiteX80" fmla="*/ 2326733 w 3163078"/>
            <a:gd name="connsiteY80" fmla="*/ 1718094 h 3163078"/>
            <a:gd name="connsiteX81" fmla="*/ 2335902 w 3163078"/>
            <a:gd name="connsiteY81" fmla="*/ 1658015 h 3163078"/>
            <a:gd name="connsiteX82" fmla="*/ 2296149 w 3163078"/>
            <a:gd name="connsiteY82" fmla="*/ 1649989 h 3163078"/>
            <a:gd name="connsiteX83" fmla="*/ 2232222 w 3163078"/>
            <a:gd name="connsiteY83" fmla="*/ 1553546 h 3163078"/>
            <a:gd name="connsiteX84" fmla="*/ 2232221 w 3163078"/>
            <a:gd name="connsiteY84" fmla="*/ 1553546 h 3163078"/>
            <a:gd name="connsiteX85" fmla="*/ 2296148 w 3163078"/>
            <a:gd name="connsiteY85" fmla="*/ 1457103 h 3163078"/>
            <a:gd name="connsiteX86" fmla="*/ 2333139 w 3163078"/>
            <a:gd name="connsiteY86" fmla="*/ 1449635 h 3163078"/>
            <a:gd name="connsiteX87" fmla="*/ 2326733 w 3163078"/>
            <a:gd name="connsiteY87" fmla="*/ 1407661 h 3163078"/>
            <a:gd name="connsiteX88" fmla="*/ 1727425 w 3163078"/>
            <a:gd name="connsiteY88" fmla="*/ 808352 h 3163078"/>
            <a:gd name="connsiteX89" fmla="*/ 1704868 w 3163078"/>
            <a:gd name="connsiteY89" fmla="*/ 804910 h 3163078"/>
            <a:gd name="connsiteX90" fmla="*/ 1704868 w 3163078"/>
            <a:gd name="connsiteY90" fmla="*/ 809732 h 3163078"/>
            <a:gd name="connsiteX91" fmla="*/ 1640942 w 3163078"/>
            <a:gd name="connsiteY91" fmla="*/ 906175 h 3163078"/>
            <a:gd name="connsiteX92" fmla="*/ 1600201 w 3163078"/>
            <a:gd name="connsiteY92" fmla="*/ 914400 h 3163078"/>
            <a:gd name="connsiteX93" fmla="*/ 1559460 w 3163078"/>
            <a:gd name="connsiteY93" fmla="*/ 906175 h 3163078"/>
            <a:gd name="connsiteX94" fmla="*/ 1495533 w 3163078"/>
            <a:gd name="connsiteY94" fmla="*/ 809732 h 3163078"/>
            <a:gd name="connsiteX95" fmla="*/ 1704868 w 3163078"/>
            <a:gd name="connsiteY95" fmla="*/ 246369 h 3163078"/>
            <a:gd name="connsiteX96" fmla="*/ 1704868 w 3163078"/>
            <a:gd name="connsiteY96" fmla="*/ 665592 h 3163078"/>
            <a:gd name="connsiteX97" fmla="*/ 1755212 w 3163078"/>
            <a:gd name="connsiteY97" fmla="*/ 673275 h 3163078"/>
            <a:gd name="connsiteX98" fmla="*/ 2461810 w 3163078"/>
            <a:gd name="connsiteY98" fmla="*/ 1379873 h 3163078"/>
            <a:gd name="connsiteX99" fmla="*/ 2472341 w 3163078"/>
            <a:gd name="connsiteY99" fmla="*/ 1448878 h 3163078"/>
            <a:gd name="connsiteX100" fmla="*/ 2916238 w 3163078"/>
            <a:gd name="connsiteY100" fmla="*/ 1448878 h 3163078"/>
            <a:gd name="connsiteX101" fmla="*/ 2916012 w 3163078"/>
            <a:gd name="connsiteY101" fmla="*/ 1444389 h 3163078"/>
            <a:gd name="connsiteX102" fmla="*/ 1718689 w 3163078"/>
            <a:gd name="connsiteY102" fmla="*/ 247066 h 3163078"/>
            <a:gd name="connsiteX103" fmla="*/ 1495532 w 3163078"/>
            <a:gd name="connsiteY103" fmla="*/ 244484 h 3163078"/>
            <a:gd name="connsiteX104" fmla="*/ 1444389 w 3163078"/>
            <a:gd name="connsiteY104" fmla="*/ 247066 h 3163078"/>
            <a:gd name="connsiteX105" fmla="*/ 247066 w 3163078"/>
            <a:gd name="connsiteY105" fmla="*/ 1444389 h 3163078"/>
            <a:gd name="connsiteX106" fmla="*/ 246840 w 3163078"/>
            <a:gd name="connsiteY106" fmla="*/ 1448878 h 3163078"/>
            <a:gd name="connsiteX107" fmla="*/ 672075 w 3163078"/>
            <a:gd name="connsiteY107" fmla="*/ 1448878 h 3163078"/>
            <a:gd name="connsiteX108" fmla="*/ 682606 w 3163078"/>
            <a:gd name="connsiteY108" fmla="*/ 1379873 h 3163078"/>
            <a:gd name="connsiteX109" fmla="*/ 1479365 w 3163078"/>
            <a:gd name="connsiteY109" fmla="*/ 659515 h 3163078"/>
            <a:gd name="connsiteX110" fmla="*/ 1495533 w 3163078"/>
            <a:gd name="connsiteY110" fmla="*/ 658699 h 3163078"/>
            <a:gd name="connsiteX111" fmla="*/ 1581539 w 3163078"/>
            <a:gd name="connsiteY111" fmla="*/ 0 h 3163078"/>
            <a:gd name="connsiteX112" fmla="*/ 3163078 w 3163078"/>
            <a:gd name="connsiteY112" fmla="*/ 1581539 h 3163078"/>
            <a:gd name="connsiteX113" fmla="*/ 1581539 w 3163078"/>
            <a:gd name="connsiteY113" fmla="*/ 3163078 h 3163078"/>
            <a:gd name="connsiteX114" fmla="*/ 0 w 3163078"/>
            <a:gd name="connsiteY114" fmla="*/ 1581539 h 3163078"/>
            <a:gd name="connsiteX115" fmla="*/ 1581539 w 3163078"/>
            <a:gd name="connsiteY115" fmla="*/ 0 h 31630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Lst>
          <a:rect l="l" t="t" r="r" b="b"/>
          <a:pathLst>
            <a:path w="3163078" h="3163078">
              <a:moveTo>
                <a:pt x="669226" y="1658213"/>
              </a:moveTo>
              <a:lnTo>
                <a:pt x="244013" y="1658214"/>
              </a:lnTo>
              <a:lnTo>
                <a:pt x="247066" y="1718689"/>
              </a:lnTo>
              <a:cubicBezTo>
                <a:pt x="311180" y="2350004"/>
                <a:pt x="813074" y="2851898"/>
                <a:pt x="1444389" y="2916012"/>
              </a:cubicBezTo>
              <a:lnTo>
                <a:pt x="1499820" y="2918811"/>
              </a:lnTo>
              <a:lnTo>
                <a:pt x="1495533" y="2890456"/>
              </a:lnTo>
              <a:lnTo>
                <a:pt x="1495533" y="2467055"/>
              </a:lnTo>
              <a:lnTo>
                <a:pt x="1479365" y="2466239"/>
              </a:lnTo>
              <a:cubicBezTo>
                <a:pt x="1082527" y="2425938"/>
                <a:pt x="761230" y="2130108"/>
                <a:pt x="682606" y="1745881"/>
              </a:cubicBezTo>
              <a:close/>
              <a:moveTo>
                <a:pt x="2919066" y="1658213"/>
              </a:moveTo>
              <a:lnTo>
                <a:pt x="2475189" y="1658214"/>
              </a:lnTo>
              <a:lnTo>
                <a:pt x="2461810" y="1745881"/>
              </a:lnTo>
              <a:cubicBezTo>
                <a:pt x="2389234" y="2100552"/>
                <a:pt x="2109883" y="2379903"/>
                <a:pt x="1755212" y="2452479"/>
              </a:cubicBezTo>
              <a:lnTo>
                <a:pt x="1704868" y="2460162"/>
              </a:lnTo>
              <a:lnTo>
                <a:pt x="1704868" y="2890456"/>
              </a:lnTo>
              <a:lnTo>
                <a:pt x="1700869" y="2916912"/>
              </a:lnTo>
              <a:lnTo>
                <a:pt x="1718689" y="2916012"/>
              </a:lnTo>
              <a:cubicBezTo>
                <a:pt x="2350004" y="2851898"/>
                <a:pt x="2851898" y="2350004"/>
                <a:pt x="2916012" y="1718689"/>
              </a:cubicBezTo>
              <a:close/>
              <a:moveTo>
                <a:pt x="1665289" y="1628851"/>
              </a:moveTo>
              <a:lnTo>
                <a:pt x="1665289" y="1751958"/>
              </a:lnTo>
              <a:cubicBezTo>
                <a:pt x="1694879" y="1748958"/>
                <a:pt x="1720207" y="1742679"/>
                <a:pt x="1741278" y="1733090"/>
              </a:cubicBezTo>
              <a:cubicBezTo>
                <a:pt x="1762349" y="1723161"/>
                <a:pt x="1772883" y="1708747"/>
                <a:pt x="1772883" y="1689910"/>
              </a:cubicBezTo>
              <a:cubicBezTo>
                <a:pt x="1772883" y="1670702"/>
                <a:pt x="1760778" y="1656473"/>
                <a:pt x="1736568" y="1647194"/>
              </a:cubicBezTo>
              <a:cubicBezTo>
                <a:pt x="1712812" y="1637605"/>
                <a:pt x="1689050" y="1631481"/>
                <a:pt x="1665289" y="1628851"/>
              </a:cubicBezTo>
              <a:close/>
              <a:moveTo>
                <a:pt x="1561731" y="1346387"/>
              </a:moveTo>
              <a:cubicBezTo>
                <a:pt x="1532146" y="1348026"/>
                <a:pt x="1505469" y="1353656"/>
                <a:pt x="1481712" y="1363245"/>
              </a:cubicBezTo>
              <a:cubicBezTo>
                <a:pt x="1458399" y="1372524"/>
                <a:pt x="1446742" y="1385763"/>
                <a:pt x="1446742" y="1402960"/>
              </a:cubicBezTo>
              <a:cubicBezTo>
                <a:pt x="1446742" y="1418519"/>
                <a:pt x="1454364" y="1430613"/>
                <a:pt x="1469607" y="1439212"/>
              </a:cubicBezTo>
              <a:cubicBezTo>
                <a:pt x="1484850" y="1447811"/>
                <a:pt x="1515558" y="1455265"/>
                <a:pt x="1561731" y="1461544"/>
              </a:cubicBezTo>
              <a:close/>
              <a:moveTo>
                <a:pt x="1550971" y="1101133"/>
              </a:moveTo>
              <a:lnTo>
                <a:pt x="1667979" y="1101133"/>
              </a:lnTo>
              <a:lnTo>
                <a:pt x="1667979" y="1215826"/>
              </a:lnTo>
              <a:cubicBezTo>
                <a:pt x="1709225" y="1217125"/>
                <a:pt x="1757418" y="1221424"/>
                <a:pt x="1812557" y="1228724"/>
              </a:cubicBezTo>
              <a:cubicBezTo>
                <a:pt x="1868149" y="1235993"/>
                <a:pt x="1911859" y="1244437"/>
                <a:pt x="1943685" y="1254026"/>
              </a:cubicBezTo>
              <a:lnTo>
                <a:pt x="1943685" y="1397021"/>
              </a:lnTo>
              <a:lnTo>
                <a:pt x="1914100" y="1397021"/>
              </a:lnTo>
              <a:cubicBezTo>
                <a:pt x="1882269" y="1383443"/>
                <a:pt x="1845285" y="1372184"/>
                <a:pt x="1803142" y="1363245"/>
              </a:cubicBezTo>
              <a:cubicBezTo>
                <a:pt x="1761004" y="1354305"/>
                <a:pt x="1715950" y="1348676"/>
                <a:pt x="1667979" y="1346387"/>
              </a:cubicBezTo>
              <a:lnTo>
                <a:pt x="1667979" y="1472463"/>
              </a:lnTo>
              <a:lnTo>
                <a:pt x="1721778" y="1480412"/>
              </a:lnTo>
              <a:cubicBezTo>
                <a:pt x="1823095" y="1494981"/>
                <a:pt x="1897512" y="1517128"/>
                <a:pt x="1945030" y="1546914"/>
              </a:cubicBezTo>
              <a:cubicBezTo>
                <a:pt x="1993001" y="1576392"/>
                <a:pt x="2016984" y="1617592"/>
                <a:pt x="2016984" y="1670547"/>
              </a:cubicBezTo>
              <a:cubicBezTo>
                <a:pt x="2016984" y="1726471"/>
                <a:pt x="1985153" y="1774445"/>
                <a:pt x="1921495" y="1814501"/>
              </a:cubicBezTo>
              <a:cubicBezTo>
                <a:pt x="1857838" y="1854557"/>
                <a:pt x="1773331" y="1877230"/>
                <a:pt x="1667979" y="1882519"/>
              </a:cubicBezTo>
              <a:lnTo>
                <a:pt x="1667979" y="2062725"/>
              </a:lnTo>
              <a:lnTo>
                <a:pt x="1550971" y="2062725"/>
              </a:lnTo>
              <a:lnTo>
                <a:pt x="1550971" y="1885489"/>
              </a:lnTo>
              <a:cubicBezTo>
                <a:pt x="1500763" y="1885148"/>
                <a:pt x="1442708" y="1880694"/>
                <a:pt x="1376808" y="1872095"/>
              </a:cubicBezTo>
              <a:cubicBezTo>
                <a:pt x="1310909" y="1863496"/>
                <a:pt x="1259352" y="1852732"/>
                <a:pt x="1222145" y="1839803"/>
              </a:cubicBezTo>
              <a:lnTo>
                <a:pt x="1222145" y="1694859"/>
              </a:lnTo>
              <a:lnTo>
                <a:pt x="1252405" y="1694859"/>
              </a:lnTo>
              <a:cubicBezTo>
                <a:pt x="1293646" y="1711407"/>
                <a:pt x="1340942" y="1724646"/>
                <a:pt x="1394293" y="1734575"/>
              </a:cubicBezTo>
              <a:cubicBezTo>
                <a:pt x="1448087" y="1744503"/>
                <a:pt x="1501438" y="1750968"/>
                <a:pt x="1554336" y="1753938"/>
              </a:cubicBezTo>
              <a:lnTo>
                <a:pt x="1554336" y="1617902"/>
              </a:lnTo>
              <a:lnTo>
                <a:pt x="1489107" y="1606983"/>
              </a:lnTo>
              <a:cubicBezTo>
                <a:pt x="1447865" y="1600054"/>
                <a:pt x="1409758" y="1591951"/>
                <a:pt x="1374789" y="1582671"/>
              </a:cubicBezTo>
              <a:cubicBezTo>
                <a:pt x="1340272" y="1573392"/>
                <a:pt x="1310461" y="1561174"/>
                <a:pt x="1285355" y="1545925"/>
              </a:cubicBezTo>
              <a:cubicBezTo>
                <a:pt x="1260249" y="1530707"/>
                <a:pt x="1240749" y="1512024"/>
                <a:pt x="1226851" y="1489847"/>
              </a:cubicBezTo>
              <a:cubicBezTo>
                <a:pt x="1212953" y="1467328"/>
                <a:pt x="1206006" y="1439707"/>
                <a:pt x="1206006" y="1406950"/>
              </a:cubicBezTo>
              <a:cubicBezTo>
                <a:pt x="1206006" y="1357615"/>
                <a:pt x="1236487" y="1315425"/>
                <a:pt x="1297459" y="1280349"/>
              </a:cubicBezTo>
              <a:cubicBezTo>
                <a:pt x="1358427" y="1245272"/>
                <a:pt x="1442934" y="1224084"/>
                <a:pt x="1550971" y="1216816"/>
              </a:cubicBezTo>
              <a:close/>
              <a:moveTo>
                <a:pt x="1495533" y="796577"/>
              </a:moveTo>
              <a:lnTo>
                <a:pt x="1493463" y="796681"/>
              </a:lnTo>
              <a:cubicBezTo>
                <a:pt x="1156880" y="830863"/>
                <a:pt x="884369" y="1081774"/>
                <a:pt x="817683" y="1407661"/>
              </a:cubicBezTo>
              <a:lnTo>
                <a:pt x="811308" y="1449430"/>
              </a:lnTo>
              <a:lnTo>
                <a:pt x="838783" y="1453584"/>
              </a:lnTo>
              <a:cubicBezTo>
                <a:pt x="868280" y="1462758"/>
                <a:pt x="892184" y="1484629"/>
                <a:pt x="904101" y="1512804"/>
              </a:cubicBezTo>
              <a:lnTo>
                <a:pt x="912326" y="1553546"/>
              </a:lnTo>
              <a:lnTo>
                <a:pt x="904101" y="1594287"/>
              </a:lnTo>
              <a:cubicBezTo>
                <a:pt x="892184" y="1622462"/>
                <a:pt x="868280" y="1644333"/>
                <a:pt x="838783" y="1653508"/>
              </a:cubicBezTo>
              <a:lnTo>
                <a:pt x="808524" y="1658082"/>
              </a:lnTo>
              <a:lnTo>
                <a:pt x="817683" y="1718094"/>
              </a:lnTo>
              <a:cubicBezTo>
                <a:pt x="884369" y="2043980"/>
                <a:pt x="1156880" y="2294891"/>
                <a:pt x="1493463" y="2329073"/>
              </a:cubicBezTo>
              <a:lnTo>
                <a:pt x="1495532" y="2329177"/>
              </a:lnTo>
              <a:lnTo>
                <a:pt x="1495532" y="2306691"/>
              </a:lnTo>
              <a:cubicBezTo>
                <a:pt x="1495532" y="2248884"/>
                <a:pt x="1542393" y="2202023"/>
                <a:pt x="1600200" y="2202023"/>
              </a:cubicBezTo>
              <a:lnTo>
                <a:pt x="1600200" y="2202022"/>
              </a:lnTo>
              <a:cubicBezTo>
                <a:pt x="1658007" y="2202022"/>
                <a:pt x="1704868" y="2248883"/>
                <a:pt x="1704868" y="2306690"/>
              </a:cubicBezTo>
              <a:lnTo>
                <a:pt x="1704868" y="2320844"/>
              </a:lnTo>
              <a:lnTo>
                <a:pt x="1727425" y="2317402"/>
              </a:lnTo>
              <a:cubicBezTo>
                <a:pt x="2028243" y="2255846"/>
                <a:pt x="2265177" y="2018912"/>
                <a:pt x="2326733" y="1718094"/>
              </a:cubicBezTo>
              <a:lnTo>
                <a:pt x="2335902" y="1658015"/>
              </a:lnTo>
              <a:lnTo>
                <a:pt x="2296149" y="1649989"/>
              </a:lnTo>
              <a:cubicBezTo>
                <a:pt x="2258582" y="1634099"/>
                <a:pt x="2232222" y="1596901"/>
                <a:pt x="2232222" y="1553546"/>
              </a:cubicBezTo>
              <a:lnTo>
                <a:pt x="2232221" y="1553546"/>
              </a:lnTo>
              <a:cubicBezTo>
                <a:pt x="2232221" y="1510191"/>
                <a:pt x="2258581" y="1472993"/>
                <a:pt x="2296148" y="1457103"/>
              </a:cubicBezTo>
              <a:lnTo>
                <a:pt x="2333139" y="1449635"/>
              </a:lnTo>
              <a:lnTo>
                <a:pt x="2326733" y="1407661"/>
              </a:lnTo>
              <a:cubicBezTo>
                <a:pt x="2265177" y="1106843"/>
                <a:pt x="2028243" y="869908"/>
                <a:pt x="1727425" y="808352"/>
              </a:cubicBezTo>
              <a:lnTo>
                <a:pt x="1704868" y="804910"/>
              </a:lnTo>
              <a:lnTo>
                <a:pt x="1704868" y="809732"/>
              </a:lnTo>
              <a:cubicBezTo>
                <a:pt x="1704868" y="853087"/>
                <a:pt x="1678509" y="890285"/>
                <a:pt x="1640942" y="906175"/>
              </a:cubicBezTo>
              <a:lnTo>
                <a:pt x="1600201" y="914400"/>
              </a:lnTo>
              <a:lnTo>
                <a:pt x="1559460" y="906175"/>
              </a:lnTo>
              <a:cubicBezTo>
                <a:pt x="1521893" y="890285"/>
                <a:pt x="1495533" y="853087"/>
                <a:pt x="1495533" y="809732"/>
              </a:cubicBezTo>
              <a:close/>
              <a:moveTo>
                <a:pt x="1704868" y="246369"/>
              </a:moveTo>
              <a:lnTo>
                <a:pt x="1704868" y="665592"/>
              </a:lnTo>
              <a:lnTo>
                <a:pt x="1755212" y="673275"/>
              </a:lnTo>
              <a:cubicBezTo>
                <a:pt x="2109883" y="745852"/>
                <a:pt x="2389234" y="1025202"/>
                <a:pt x="2461810" y="1379873"/>
              </a:cubicBezTo>
              <a:lnTo>
                <a:pt x="2472341" y="1448878"/>
              </a:lnTo>
              <a:lnTo>
                <a:pt x="2916238" y="1448878"/>
              </a:lnTo>
              <a:lnTo>
                <a:pt x="2916012" y="1444389"/>
              </a:lnTo>
              <a:cubicBezTo>
                <a:pt x="2851898" y="813074"/>
                <a:pt x="2350004" y="311180"/>
                <a:pt x="1718689" y="247066"/>
              </a:cubicBezTo>
              <a:close/>
              <a:moveTo>
                <a:pt x="1495532" y="244484"/>
              </a:moveTo>
              <a:lnTo>
                <a:pt x="1444389" y="247066"/>
              </a:lnTo>
              <a:cubicBezTo>
                <a:pt x="813074" y="311180"/>
                <a:pt x="311180" y="813074"/>
                <a:pt x="247066" y="1444389"/>
              </a:cubicBezTo>
              <a:lnTo>
                <a:pt x="246840" y="1448878"/>
              </a:lnTo>
              <a:lnTo>
                <a:pt x="672075" y="1448878"/>
              </a:lnTo>
              <a:lnTo>
                <a:pt x="682606" y="1379873"/>
              </a:lnTo>
              <a:cubicBezTo>
                <a:pt x="761230" y="995646"/>
                <a:pt x="1082527" y="699816"/>
                <a:pt x="1479365" y="659515"/>
              </a:cubicBezTo>
              <a:lnTo>
                <a:pt x="1495533" y="658699"/>
              </a:lnTo>
              <a:close/>
              <a:moveTo>
                <a:pt x="1581539" y="0"/>
              </a:moveTo>
              <a:cubicBezTo>
                <a:pt x="2454999" y="0"/>
                <a:pt x="3163078" y="708079"/>
                <a:pt x="3163078" y="1581539"/>
              </a:cubicBezTo>
              <a:cubicBezTo>
                <a:pt x="3163078" y="2454999"/>
                <a:pt x="2454999" y="3163078"/>
                <a:pt x="1581539" y="3163078"/>
              </a:cubicBezTo>
              <a:cubicBezTo>
                <a:pt x="708079" y="3163078"/>
                <a:pt x="0" y="2454999"/>
                <a:pt x="0" y="1581539"/>
              </a:cubicBezTo>
              <a:cubicBezTo>
                <a:pt x="0" y="708079"/>
                <a:pt x="708079" y="0"/>
                <a:pt x="1581539" y="0"/>
              </a:cubicBezTo>
              <a:close/>
            </a:path>
          </a:pathLst>
        </a:custGeom>
        <a:solidFill>
          <a:sysClr val="window" lastClr="FFFFFF"/>
        </a:solidFill>
        <a:ln w="35341"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519952</xdr:colOff>
      <xdr:row>3</xdr:row>
      <xdr:rowOff>170327</xdr:rowOff>
    </xdr:from>
    <xdr:to>
      <xdr:col>2</xdr:col>
      <xdr:colOff>94491</xdr:colOff>
      <xdr:row>9</xdr:row>
      <xdr:rowOff>98611</xdr:rowOff>
    </xdr:to>
    <xdr:grpSp>
      <xdr:nvGrpSpPr>
        <xdr:cNvPr id="37" name="Group 36">
          <a:extLst>
            <a:ext uri="{FF2B5EF4-FFF2-40B4-BE49-F238E27FC236}">
              <a16:creationId xmlns:a16="http://schemas.microsoft.com/office/drawing/2014/main" id="{00000000-0008-0000-0400-000025000000}"/>
            </a:ext>
          </a:extLst>
        </xdr:cNvPr>
        <xdr:cNvGrpSpPr/>
      </xdr:nvGrpSpPr>
      <xdr:grpSpPr>
        <a:xfrm>
          <a:off x="519952" y="760877"/>
          <a:ext cx="1225539" cy="1109384"/>
          <a:chOff x="0" y="0"/>
          <a:chExt cx="3878604" cy="3794658"/>
        </a:xfrm>
        <a:solidFill>
          <a:sysClr val="window" lastClr="FFFFFF"/>
        </a:solidFill>
      </xdr:grpSpPr>
      <xdr:sp macro="" textlink="">
        <xdr:nvSpPr>
          <xdr:cNvPr id="38" name="Freeform: Shape 40">
            <a:extLst>
              <a:ext uri="{FF2B5EF4-FFF2-40B4-BE49-F238E27FC236}">
                <a16:creationId xmlns:a16="http://schemas.microsoft.com/office/drawing/2014/main" id="{00000000-0008-0000-0400-000026000000}"/>
              </a:ext>
            </a:extLst>
          </xdr:cNvPr>
          <xdr:cNvSpPr/>
        </xdr:nvSpPr>
        <xdr:spPr>
          <a:xfrm>
            <a:off x="1567237" y="24810"/>
            <a:ext cx="2311367" cy="2470875"/>
          </a:xfrm>
          <a:custGeom>
            <a:avLst/>
            <a:gdLst>
              <a:gd name="connsiteX0" fmla="*/ 216 w 2257633"/>
              <a:gd name="connsiteY0" fmla="*/ 1936113 h 2405021"/>
              <a:gd name="connsiteX1" fmla="*/ 361980 w 2257633"/>
              <a:gd name="connsiteY1" fmla="*/ 2405050 h 2405021"/>
              <a:gd name="connsiteX2" fmla="*/ 1159200 w 2257633"/>
              <a:gd name="connsiteY2" fmla="*/ 1694949 h 2405021"/>
              <a:gd name="connsiteX3" fmla="*/ 998424 w 2257633"/>
              <a:gd name="connsiteY3" fmla="*/ 1406877 h 2405021"/>
              <a:gd name="connsiteX4" fmla="*/ 2164069 w 2257633"/>
              <a:gd name="connsiteY4" fmla="*/ 944626 h 2405021"/>
              <a:gd name="connsiteX5" fmla="*/ 2157373 w 2257633"/>
              <a:gd name="connsiteY5" fmla="*/ 221105 h 2405021"/>
              <a:gd name="connsiteX6" fmla="*/ 2257849 w 2257633"/>
              <a:gd name="connsiteY6" fmla="*/ 221105 h 2405021"/>
              <a:gd name="connsiteX7" fmla="*/ 2110501 w 2257633"/>
              <a:gd name="connsiteY7" fmla="*/ 29 h 2405021"/>
              <a:gd name="connsiteX8" fmla="*/ 1963117 w 2257633"/>
              <a:gd name="connsiteY8" fmla="*/ 214405 h 2405021"/>
              <a:gd name="connsiteX9" fmla="*/ 2066401 w 2257633"/>
              <a:gd name="connsiteY9" fmla="*/ 217958 h 2405021"/>
              <a:gd name="connsiteX10" fmla="*/ 2050201 w 2257633"/>
              <a:gd name="connsiteY10" fmla="*/ 703451 h 2405021"/>
              <a:gd name="connsiteX11" fmla="*/ 375372 w 2257633"/>
              <a:gd name="connsiteY11" fmla="*/ 1205896 h 2405021"/>
              <a:gd name="connsiteX12" fmla="*/ 596448 w 2257633"/>
              <a:gd name="connsiteY12" fmla="*/ 160786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63854 w 2311368"/>
              <a:gd name="connsiteY4" fmla="*/ 944598 h 2405021"/>
              <a:gd name="connsiteX5" fmla="*/ 2157158 w 2311368"/>
              <a:gd name="connsiteY5" fmla="*/ 221077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63854 w 2311368"/>
              <a:gd name="connsiteY4" fmla="*/ 944598 h 2405021"/>
              <a:gd name="connsiteX5" fmla="*/ 2157158 w 2311368"/>
              <a:gd name="connsiteY5" fmla="*/ 221077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157158 w 2311368"/>
              <a:gd name="connsiteY5" fmla="*/ 221077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210894 w 2311368"/>
              <a:gd name="connsiteY5" fmla="*/ 221078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210894 w 2311368"/>
              <a:gd name="connsiteY5" fmla="*/ 221078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210894 w 2311368"/>
              <a:gd name="connsiteY5" fmla="*/ 221078 h 2405021"/>
              <a:gd name="connsiteX6" fmla="*/ 2311368 w 2311368"/>
              <a:gd name="connsiteY6" fmla="*/ 221077 h 2405021"/>
              <a:gd name="connsiteX7" fmla="*/ 2157304 w 2311368"/>
              <a:gd name="connsiteY7" fmla="*/ 0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2001937 h 2470873"/>
              <a:gd name="connsiteX1" fmla="*/ 361765 w 2311368"/>
              <a:gd name="connsiteY1" fmla="*/ 2470874 h 2470873"/>
              <a:gd name="connsiteX2" fmla="*/ 1158985 w 2311368"/>
              <a:gd name="connsiteY2" fmla="*/ 1760773 h 2470873"/>
              <a:gd name="connsiteX3" fmla="*/ 998209 w 2311368"/>
              <a:gd name="connsiteY3" fmla="*/ 1472701 h 2470873"/>
              <a:gd name="connsiteX4" fmla="*/ 2197439 w 2311368"/>
              <a:gd name="connsiteY4" fmla="*/ 1010449 h 2470873"/>
              <a:gd name="connsiteX5" fmla="*/ 2210894 w 2311368"/>
              <a:gd name="connsiteY5" fmla="*/ 286930 h 2470873"/>
              <a:gd name="connsiteX6" fmla="*/ 2311368 w 2311368"/>
              <a:gd name="connsiteY6" fmla="*/ 286929 h 2470873"/>
              <a:gd name="connsiteX7" fmla="*/ 2164021 w 2311368"/>
              <a:gd name="connsiteY7" fmla="*/ 0 h 2470873"/>
              <a:gd name="connsiteX8" fmla="*/ 1962902 w 2311368"/>
              <a:gd name="connsiteY8" fmla="*/ 280229 h 2470873"/>
              <a:gd name="connsiteX9" fmla="*/ 2066186 w 2311368"/>
              <a:gd name="connsiteY9" fmla="*/ 283782 h 2470873"/>
              <a:gd name="connsiteX10" fmla="*/ 2049986 w 2311368"/>
              <a:gd name="connsiteY10" fmla="*/ 769275 h 2470873"/>
              <a:gd name="connsiteX11" fmla="*/ 375157 w 2311368"/>
              <a:gd name="connsiteY11" fmla="*/ 1271720 h 2470873"/>
              <a:gd name="connsiteX12" fmla="*/ 596233 w 2311368"/>
              <a:gd name="connsiteY12" fmla="*/ 1673689 h 2470873"/>
              <a:gd name="connsiteX13" fmla="*/ 1 w 2311368"/>
              <a:gd name="connsiteY13" fmla="*/ 2001937 h 2470873"/>
              <a:gd name="connsiteX0" fmla="*/ 1 w 2311368"/>
              <a:gd name="connsiteY0" fmla="*/ 2001937 h 2470873"/>
              <a:gd name="connsiteX1" fmla="*/ 361765 w 2311368"/>
              <a:gd name="connsiteY1" fmla="*/ 2470874 h 2470873"/>
              <a:gd name="connsiteX2" fmla="*/ 1158985 w 2311368"/>
              <a:gd name="connsiteY2" fmla="*/ 1760773 h 2470873"/>
              <a:gd name="connsiteX3" fmla="*/ 998209 w 2311368"/>
              <a:gd name="connsiteY3" fmla="*/ 1472701 h 2470873"/>
              <a:gd name="connsiteX4" fmla="*/ 2217590 w 2311368"/>
              <a:gd name="connsiteY4" fmla="*/ 1010449 h 2470873"/>
              <a:gd name="connsiteX5" fmla="*/ 2210894 w 2311368"/>
              <a:gd name="connsiteY5" fmla="*/ 286930 h 2470873"/>
              <a:gd name="connsiteX6" fmla="*/ 2311368 w 2311368"/>
              <a:gd name="connsiteY6" fmla="*/ 286929 h 2470873"/>
              <a:gd name="connsiteX7" fmla="*/ 2164021 w 2311368"/>
              <a:gd name="connsiteY7" fmla="*/ 0 h 2470873"/>
              <a:gd name="connsiteX8" fmla="*/ 1962902 w 2311368"/>
              <a:gd name="connsiteY8" fmla="*/ 280229 h 2470873"/>
              <a:gd name="connsiteX9" fmla="*/ 2066186 w 2311368"/>
              <a:gd name="connsiteY9" fmla="*/ 283782 h 2470873"/>
              <a:gd name="connsiteX10" fmla="*/ 2049986 w 2311368"/>
              <a:gd name="connsiteY10" fmla="*/ 769275 h 2470873"/>
              <a:gd name="connsiteX11" fmla="*/ 375157 w 2311368"/>
              <a:gd name="connsiteY11" fmla="*/ 1271720 h 2470873"/>
              <a:gd name="connsiteX12" fmla="*/ 596233 w 2311368"/>
              <a:gd name="connsiteY12" fmla="*/ 1673689 h 2470873"/>
              <a:gd name="connsiteX13" fmla="*/ 1 w 2311368"/>
              <a:gd name="connsiteY13" fmla="*/ 2001937 h 2470873"/>
              <a:gd name="connsiteX0" fmla="*/ 1 w 2311368"/>
              <a:gd name="connsiteY0" fmla="*/ 2001937 h 2470873"/>
              <a:gd name="connsiteX1" fmla="*/ 361765 w 2311368"/>
              <a:gd name="connsiteY1" fmla="*/ 2470874 h 2470873"/>
              <a:gd name="connsiteX2" fmla="*/ 1158985 w 2311368"/>
              <a:gd name="connsiteY2" fmla="*/ 1760773 h 2470873"/>
              <a:gd name="connsiteX3" fmla="*/ 998209 w 2311368"/>
              <a:gd name="connsiteY3" fmla="*/ 1472701 h 2470873"/>
              <a:gd name="connsiteX4" fmla="*/ 2217590 w 2311368"/>
              <a:gd name="connsiteY4" fmla="*/ 1010449 h 2470873"/>
              <a:gd name="connsiteX5" fmla="*/ 2210894 w 2311368"/>
              <a:gd name="connsiteY5" fmla="*/ 286930 h 2470873"/>
              <a:gd name="connsiteX6" fmla="*/ 2311368 w 2311368"/>
              <a:gd name="connsiteY6" fmla="*/ 286929 h 2470873"/>
              <a:gd name="connsiteX7" fmla="*/ 2164021 w 2311368"/>
              <a:gd name="connsiteY7" fmla="*/ 0 h 2470873"/>
              <a:gd name="connsiteX8" fmla="*/ 1962902 w 2311368"/>
              <a:gd name="connsiteY8" fmla="*/ 280229 h 2470873"/>
              <a:gd name="connsiteX9" fmla="*/ 2066186 w 2311368"/>
              <a:gd name="connsiteY9" fmla="*/ 283782 h 2470873"/>
              <a:gd name="connsiteX10" fmla="*/ 2049986 w 2311368"/>
              <a:gd name="connsiteY10" fmla="*/ 769275 h 2470873"/>
              <a:gd name="connsiteX11" fmla="*/ 375157 w 2311368"/>
              <a:gd name="connsiteY11" fmla="*/ 1271720 h 2470873"/>
              <a:gd name="connsiteX12" fmla="*/ 596233 w 2311368"/>
              <a:gd name="connsiteY12" fmla="*/ 1673689 h 2470873"/>
              <a:gd name="connsiteX13" fmla="*/ 1 w 2311368"/>
              <a:gd name="connsiteY13" fmla="*/ 2001937 h 247087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2311368" h="2470873">
                <a:moveTo>
                  <a:pt x="1" y="2001937"/>
                </a:moveTo>
                <a:cubicBezTo>
                  <a:pt x="230617" y="2202278"/>
                  <a:pt x="307405" y="2341058"/>
                  <a:pt x="361765" y="2470874"/>
                </a:cubicBezTo>
                <a:lnTo>
                  <a:pt x="1158985" y="1760773"/>
                </a:lnTo>
                <a:lnTo>
                  <a:pt x="998209" y="1472701"/>
                </a:lnTo>
                <a:cubicBezTo>
                  <a:pt x="998209" y="1472701"/>
                  <a:pt x="1952386" y="1136105"/>
                  <a:pt x="2217590" y="1010449"/>
                </a:cubicBezTo>
                <a:cubicBezTo>
                  <a:pt x="2239842" y="999906"/>
                  <a:pt x="2210894" y="286930"/>
                  <a:pt x="2210894" y="286930"/>
                </a:cubicBezTo>
                <a:lnTo>
                  <a:pt x="2311368" y="286929"/>
                </a:lnTo>
                <a:lnTo>
                  <a:pt x="2164021" y="0"/>
                </a:lnTo>
                <a:lnTo>
                  <a:pt x="1962902" y="280229"/>
                </a:lnTo>
                <a:lnTo>
                  <a:pt x="2066186" y="283782"/>
                </a:lnTo>
                <a:lnTo>
                  <a:pt x="2049986" y="769275"/>
                </a:lnTo>
                <a:lnTo>
                  <a:pt x="375157" y="1271720"/>
                </a:lnTo>
                <a:lnTo>
                  <a:pt x="596233" y="1673689"/>
                </a:lnTo>
                <a:lnTo>
                  <a:pt x="1" y="2001937"/>
                </a:lnTo>
                <a:close/>
              </a:path>
            </a:pathLst>
          </a:custGeom>
          <a:grpFill/>
          <a:ln w="17998" cap="flat">
            <a:solidFill>
              <a:sysClr val="windowText" lastClr="000000"/>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9" name="Freeform: Shape 41">
            <a:extLst>
              <a:ext uri="{FF2B5EF4-FFF2-40B4-BE49-F238E27FC236}">
                <a16:creationId xmlns:a16="http://schemas.microsoft.com/office/drawing/2014/main" id="{00000000-0008-0000-0400-000027000000}"/>
              </a:ext>
            </a:extLst>
          </xdr:cNvPr>
          <xdr:cNvSpPr/>
        </xdr:nvSpPr>
        <xdr:spPr>
          <a:xfrm>
            <a:off x="0" y="1872131"/>
            <a:ext cx="1997598" cy="1914913"/>
          </a:xfrm>
          <a:custGeom>
            <a:avLst/>
            <a:gdLst>
              <a:gd name="connsiteX0" fmla="*/ 1038471 w 1997598"/>
              <a:gd name="connsiteY0" fmla="*/ 1091169 h 1914913"/>
              <a:gd name="connsiteX1" fmla="*/ 1083642 w 1997598"/>
              <a:gd name="connsiteY1" fmla="*/ 1117431 h 1914913"/>
              <a:gd name="connsiteX2" fmla="*/ 1097649 w 1997598"/>
              <a:gd name="connsiteY2" fmla="*/ 1157699 h 1914913"/>
              <a:gd name="connsiteX3" fmla="*/ 1081191 w 1997598"/>
              <a:gd name="connsiteY3" fmla="*/ 1203573 h 1914913"/>
              <a:gd name="connsiteX4" fmla="*/ 1038471 w 1997598"/>
              <a:gd name="connsiteY4" fmla="*/ 1227735 h 1914913"/>
              <a:gd name="connsiteX5" fmla="*/ 987696 w 1997598"/>
              <a:gd name="connsiteY5" fmla="*/ 855154 h 1914913"/>
              <a:gd name="connsiteX6" fmla="*/ 987696 w 1997598"/>
              <a:gd name="connsiteY6" fmla="*/ 976313 h 1914913"/>
              <a:gd name="connsiteX7" fmla="*/ 953730 w 1997598"/>
              <a:gd name="connsiteY7" fmla="*/ 950749 h 1914913"/>
              <a:gd name="connsiteX8" fmla="*/ 942524 w 1997598"/>
              <a:gd name="connsiteY8" fmla="*/ 916084 h 1914913"/>
              <a:gd name="connsiteX9" fmla="*/ 954780 w 1997598"/>
              <a:gd name="connsiteY9" fmla="*/ 878964 h 1914913"/>
              <a:gd name="connsiteX10" fmla="*/ 987696 w 1997598"/>
              <a:gd name="connsiteY10" fmla="*/ 855154 h 1914913"/>
              <a:gd name="connsiteX11" fmla="*/ 987696 w 1997598"/>
              <a:gd name="connsiteY11" fmla="*/ 744151 h 1914913"/>
              <a:gd name="connsiteX12" fmla="*/ 987696 w 1997598"/>
              <a:gd name="connsiteY12" fmla="*/ 778816 h 1914913"/>
              <a:gd name="connsiteX13" fmla="*/ 891050 w 1997598"/>
              <a:gd name="connsiteY13" fmla="*/ 823987 h 1914913"/>
              <a:gd name="connsiteX14" fmla="*/ 854984 w 1997598"/>
              <a:gd name="connsiteY14" fmla="*/ 920285 h 1914913"/>
              <a:gd name="connsiteX15" fmla="*/ 886849 w 1997598"/>
              <a:gd name="connsiteY15" fmla="*/ 1016931 h 1914913"/>
              <a:gd name="connsiteX16" fmla="*/ 987696 w 1997598"/>
              <a:gd name="connsiteY16" fmla="*/ 1076109 h 1914913"/>
              <a:gd name="connsiteX17" fmla="*/ 987696 w 1997598"/>
              <a:gd name="connsiteY17" fmla="*/ 1222831 h 1914913"/>
              <a:gd name="connsiteX18" fmla="*/ 953379 w 1997598"/>
              <a:gd name="connsiteY18" fmla="*/ 1193418 h 1914913"/>
              <a:gd name="connsiteX19" fmla="*/ 932368 w 1997598"/>
              <a:gd name="connsiteY19" fmla="*/ 1145096 h 1914913"/>
              <a:gd name="connsiteX20" fmla="*/ 840974 w 1997598"/>
              <a:gd name="connsiteY20" fmla="*/ 1154900 h 1914913"/>
              <a:gd name="connsiteX21" fmla="*/ 889297 w 1997598"/>
              <a:gd name="connsiteY21" fmla="*/ 1261700 h 1914913"/>
              <a:gd name="connsiteX22" fmla="*/ 987696 w 1997598"/>
              <a:gd name="connsiteY22" fmla="*/ 1306873 h 1914913"/>
              <a:gd name="connsiteX23" fmla="*/ 987696 w 1997598"/>
              <a:gd name="connsiteY23" fmla="*/ 1370603 h 1914913"/>
              <a:gd name="connsiteX24" fmla="*/ 1038471 w 1997598"/>
              <a:gd name="connsiteY24" fmla="*/ 1370603 h 1914913"/>
              <a:gd name="connsiteX25" fmla="*/ 1038471 w 1997598"/>
              <a:gd name="connsiteY25" fmla="*/ 1305120 h 1914913"/>
              <a:gd name="connsiteX26" fmla="*/ 1144921 w 1997598"/>
              <a:gd name="connsiteY26" fmla="*/ 1251896 h 1914913"/>
              <a:gd name="connsiteX27" fmla="*/ 1183440 w 1997598"/>
              <a:gd name="connsiteY27" fmla="*/ 1145096 h 1914913"/>
              <a:gd name="connsiteX28" fmla="*/ 1152976 w 1997598"/>
              <a:gd name="connsiteY28" fmla="*/ 1052299 h 1914913"/>
              <a:gd name="connsiteX29" fmla="*/ 1038471 w 1997598"/>
              <a:gd name="connsiteY29" fmla="*/ 993121 h 1914913"/>
              <a:gd name="connsiteX30" fmla="*/ 1038471 w 1997598"/>
              <a:gd name="connsiteY30" fmla="*/ 856204 h 1914913"/>
              <a:gd name="connsiteX31" fmla="*/ 1080492 w 1997598"/>
              <a:gd name="connsiteY31" fmla="*/ 912230 h 1914913"/>
              <a:gd name="connsiteX32" fmla="*/ 1169083 w 1997598"/>
              <a:gd name="connsiteY32" fmla="*/ 900677 h 1914913"/>
              <a:gd name="connsiteX33" fmla="*/ 1127065 w 1997598"/>
              <a:gd name="connsiteY33" fmla="*/ 816987 h 1914913"/>
              <a:gd name="connsiteX34" fmla="*/ 1038471 w 1997598"/>
              <a:gd name="connsiteY34" fmla="*/ 778816 h 1914913"/>
              <a:gd name="connsiteX35" fmla="*/ 1038471 w 1997598"/>
              <a:gd name="connsiteY35" fmla="*/ 744151 h 1914913"/>
              <a:gd name="connsiteX36" fmla="*/ 1018529 w 1997598"/>
              <a:gd name="connsiteY36" fmla="*/ 568308 h 1914913"/>
              <a:gd name="connsiteX37" fmla="*/ 1488375 w 1997598"/>
              <a:gd name="connsiteY37" fmla="*/ 1038154 h 1914913"/>
              <a:gd name="connsiteX38" fmla="*/ 1018529 w 1997598"/>
              <a:gd name="connsiteY38" fmla="*/ 1508000 h 1914913"/>
              <a:gd name="connsiteX39" fmla="*/ 548683 w 1997598"/>
              <a:gd name="connsiteY39" fmla="*/ 1038154 h 1914913"/>
              <a:gd name="connsiteX40" fmla="*/ 1018529 w 1997598"/>
              <a:gd name="connsiteY40" fmla="*/ 568308 h 1914913"/>
              <a:gd name="connsiteX41" fmla="*/ 1018529 w 1997598"/>
              <a:gd name="connsiteY41" fmla="*/ 476083 h 1914913"/>
              <a:gd name="connsiteX42" fmla="*/ 456458 w 1997598"/>
              <a:gd name="connsiteY42" fmla="*/ 1038154 h 1914913"/>
              <a:gd name="connsiteX43" fmla="*/ 1018529 w 1997598"/>
              <a:gd name="connsiteY43" fmla="*/ 1600225 h 1914913"/>
              <a:gd name="connsiteX44" fmla="*/ 1580600 w 1997598"/>
              <a:gd name="connsiteY44" fmla="*/ 1038154 h 1914913"/>
              <a:gd name="connsiteX45" fmla="*/ 1018529 w 1997598"/>
              <a:gd name="connsiteY45" fmla="*/ 476083 h 1914913"/>
              <a:gd name="connsiteX46" fmla="*/ 664325 w 1997598"/>
              <a:gd name="connsiteY46" fmla="*/ 0 h 1914913"/>
              <a:gd name="connsiteX47" fmla="*/ 1314151 w 1997598"/>
              <a:gd name="connsiteY47" fmla="*/ 0 h 1914913"/>
              <a:gd name="connsiteX48" fmla="*/ 1997478 w 1997598"/>
              <a:gd name="connsiteY48" fmla="*/ 1091952 h 1914913"/>
              <a:gd name="connsiteX49" fmla="*/ 1568718 w 1997598"/>
              <a:gd name="connsiteY49" fmla="*/ 1914913 h 1914913"/>
              <a:gd name="connsiteX50" fmla="*/ 429850 w 1997598"/>
              <a:gd name="connsiteY50" fmla="*/ 1908217 h 1914913"/>
              <a:gd name="connsiteX51" fmla="*/ 1100 w 1997598"/>
              <a:gd name="connsiteY51" fmla="*/ 1085257 h 1914913"/>
              <a:gd name="connsiteX52" fmla="*/ 664325 w 1997598"/>
              <a:gd name="connsiteY52" fmla="*/ 0 h 19149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Lst>
            <a:rect l="l" t="t" r="r" b="b"/>
            <a:pathLst>
              <a:path w="1997598" h="1914913">
                <a:moveTo>
                  <a:pt x="1038471" y="1091169"/>
                </a:moveTo>
                <a:cubicBezTo>
                  <a:pt x="1059481" y="1097239"/>
                  <a:pt x="1074537" y="1105992"/>
                  <a:pt x="1083642" y="1117431"/>
                </a:cubicBezTo>
                <a:cubicBezTo>
                  <a:pt x="1092981" y="1128637"/>
                  <a:pt x="1097649" y="1142058"/>
                  <a:pt x="1097649" y="1157699"/>
                </a:cubicBezTo>
                <a:cubicBezTo>
                  <a:pt x="1097649" y="1175207"/>
                  <a:pt x="1092164" y="1190500"/>
                  <a:pt x="1081191" y="1203573"/>
                </a:cubicBezTo>
                <a:cubicBezTo>
                  <a:pt x="1070218" y="1216410"/>
                  <a:pt x="1055979" y="1224465"/>
                  <a:pt x="1038471" y="1227735"/>
                </a:cubicBezTo>
                <a:close/>
                <a:moveTo>
                  <a:pt x="987696" y="855154"/>
                </a:moveTo>
                <a:lnTo>
                  <a:pt x="987696" y="976313"/>
                </a:lnTo>
                <a:cubicBezTo>
                  <a:pt x="972522" y="969778"/>
                  <a:pt x="961201" y="961257"/>
                  <a:pt x="953730" y="950749"/>
                </a:cubicBezTo>
                <a:cubicBezTo>
                  <a:pt x="946260" y="940013"/>
                  <a:pt x="942524" y="928456"/>
                  <a:pt x="942524" y="916084"/>
                </a:cubicBezTo>
                <a:cubicBezTo>
                  <a:pt x="942524" y="902545"/>
                  <a:pt x="946611" y="890170"/>
                  <a:pt x="954780" y="878964"/>
                </a:cubicBezTo>
                <a:cubicBezTo>
                  <a:pt x="962951" y="867757"/>
                  <a:pt x="973923" y="859821"/>
                  <a:pt x="987696" y="855154"/>
                </a:cubicBezTo>
                <a:close/>
                <a:moveTo>
                  <a:pt x="987696" y="744151"/>
                </a:moveTo>
                <a:lnTo>
                  <a:pt x="987696" y="778816"/>
                </a:lnTo>
                <a:cubicBezTo>
                  <a:pt x="947543" y="782784"/>
                  <a:pt x="915327" y="797844"/>
                  <a:pt x="891050" y="823987"/>
                </a:cubicBezTo>
                <a:cubicBezTo>
                  <a:pt x="867004" y="849902"/>
                  <a:pt x="854984" y="882000"/>
                  <a:pt x="854984" y="920285"/>
                </a:cubicBezTo>
                <a:cubicBezTo>
                  <a:pt x="854984" y="958102"/>
                  <a:pt x="865606" y="990318"/>
                  <a:pt x="886849" y="1016931"/>
                </a:cubicBezTo>
                <a:cubicBezTo>
                  <a:pt x="908326" y="1043312"/>
                  <a:pt x="941940" y="1063040"/>
                  <a:pt x="987696" y="1076109"/>
                </a:cubicBezTo>
                <a:lnTo>
                  <a:pt x="987696" y="1222831"/>
                </a:lnTo>
                <a:cubicBezTo>
                  <a:pt x="975088" y="1216762"/>
                  <a:pt x="963653" y="1206958"/>
                  <a:pt x="953379" y="1193418"/>
                </a:cubicBezTo>
                <a:cubicBezTo>
                  <a:pt x="943109" y="1179878"/>
                  <a:pt x="936104" y="1163768"/>
                  <a:pt x="932368" y="1145096"/>
                </a:cubicBezTo>
                <a:lnTo>
                  <a:pt x="840974" y="1154900"/>
                </a:lnTo>
                <a:cubicBezTo>
                  <a:pt x="847979" y="1200889"/>
                  <a:pt x="864085" y="1236490"/>
                  <a:pt x="889297" y="1261700"/>
                </a:cubicBezTo>
                <a:cubicBezTo>
                  <a:pt x="914509" y="1286912"/>
                  <a:pt x="947310" y="1301968"/>
                  <a:pt x="987696" y="1306873"/>
                </a:cubicBezTo>
                <a:lnTo>
                  <a:pt x="987696" y="1370603"/>
                </a:lnTo>
                <a:lnTo>
                  <a:pt x="1038471" y="1370603"/>
                </a:lnTo>
                <a:lnTo>
                  <a:pt x="1038471" y="1305120"/>
                </a:lnTo>
                <a:cubicBezTo>
                  <a:pt x="1083994" y="1298585"/>
                  <a:pt x="1119476" y="1280844"/>
                  <a:pt x="1144921" y="1251896"/>
                </a:cubicBezTo>
                <a:cubicBezTo>
                  <a:pt x="1170602" y="1222949"/>
                  <a:pt x="1183440" y="1187349"/>
                  <a:pt x="1183440" y="1145096"/>
                </a:cubicBezTo>
                <a:cubicBezTo>
                  <a:pt x="1183440" y="1107275"/>
                  <a:pt x="1173288" y="1076342"/>
                  <a:pt x="1152976" y="1052299"/>
                </a:cubicBezTo>
                <a:cubicBezTo>
                  <a:pt x="1132665" y="1028019"/>
                  <a:pt x="1094497" y="1008296"/>
                  <a:pt x="1038471" y="993121"/>
                </a:cubicBezTo>
                <a:lnTo>
                  <a:pt x="1038471" y="856204"/>
                </a:lnTo>
                <a:cubicBezTo>
                  <a:pt x="1061116" y="866009"/>
                  <a:pt x="1075122" y="884686"/>
                  <a:pt x="1080492" y="912230"/>
                </a:cubicBezTo>
                <a:lnTo>
                  <a:pt x="1169083" y="900677"/>
                </a:lnTo>
                <a:cubicBezTo>
                  <a:pt x="1163013" y="865657"/>
                  <a:pt x="1149008" y="837760"/>
                  <a:pt x="1127065" y="816987"/>
                </a:cubicBezTo>
                <a:cubicBezTo>
                  <a:pt x="1105119" y="795976"/>
                  <a:pt x="1075587" y="783254"/>
                  <a:pt x="1038471" y="778816"/>
                </a:cubicBezTo>
                <a:lnTo>
                  <a:pt x="1038471" y="744151"/>
                </a:lnTo>
                <a:close/>
                <a:moveTo>
                  <a:pt x="1018529" y="568308"/>
                </a:moveTo>
                <a:cubicBezTo>
                  <a:pt x="1278018" y="568308"/>
                  <a:pt x="1488375" y="778665"/>
                  <a:pt x="1488375" y="1038154"/>
                </a:cubicBezTo>
                <a:cubicBezTo>
                  <a:pt x="1488375" y="1297643"/>
                  <a:pt x="1278018" y="1508000"/>
                  <a:pt x="1018529" y="1508000"/>
                </a:cubicBezTo>
                <a:cubicBezTo>
                  <a:pt x="759040" y="1508000"/>
                  <a:pt x="548683" y="1297643"/>
                  <a:pt x="548683" y="1038154"/>
                </a:cubicBezTo>
                <a:cubicBezTo>
                  <a:pt x="548683" y="778665"/>
                  <a:pt x="759040" y="568308"/>
                  <a:pt x="1018529" y="568308"/>
                </a:cubicBezTo>
                <a:close/>
                <a:moveTo>
                  <a:pt x="1018529" y="476083"/>
                </a:moveTo>
                <a:cubicBezTo>
                  <a:pt x="708106" y="476083"/>
                  <a:pt x="456458" y="727731"/>
                  <a:pt x="456458" y="1038154"/>
                </a:cubicBezTo>
                <a:cubicBezTo>
                  <a:pt x="456458" y="1348577"/>
                  <a:pt x="708106" y="1600225"/>
                  <a:pt x="1018529" y="1600225"/>
                </a:cubicBezTo>
                <a:cubicBezTo>
                  <a:pt x="1328952" y="1600225"/>
                  <a:pt x="1580600" y="1348577"/>
                  <a:pt x="1580600" y="1038154"/>
                </a:cubicBezTo>
                <a:cubicBezTo>
                  <a:pt x="1580600" y="727731"/>
                  <a:pt x="1328952" y="476083"/>
                  <a:pt x="1018529" y="476083"/>
                </a:cubicBezTo>
                <a:close/>
                <a:moveTo>
                  <a:pt x="664325" y="0"/>
                </a:moveTo>
                <a:lnTo>
                  <a:pt x="1314151" y="0"/>
                </a:lnTo>
                <a:cubicBezTo>
                  <a:pt x="1314151" y="0"/>
                  <a:pt x="2008098" y="459576"/>
                  <a:pt x="1997478" y="1091952"/>
                </a:cubicBezTo>
                <a:cubicBezTo>
                  <a:pt x="1985742" y="1790821"/>
                  <a:pt x="1568718" y="1914913"/>
                  <a:pt x="1568718" y="1914913"/>
                </a:cubicBezTo>
                <a:lnTo>
                  <a:pt x="429850" y="1908217"/>
                </a:lnTo>
                <a:cubicBezTo>
                  <a:pt x="429850" y="1908217"/>
                  <a:pt x="-25234" y="1697077"/>
                  <a:pt x="1100" y="1085257"/>
                </a:cubicBezTo>
                <a:cubicBezTo>
                  <a:pt x="27107" y="481032"/>
                  <a:pt x="664325" y="0"/>
                  <a:pt x="664325" y="0"/>
                </a:cubicBezTo>
                <a:close/>
              </a:path>
            </a:pathLst>
          </a:custGeom>
          <a:grpFill/>
          <a:ln w="18002"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0" name="Freeform: Shape 42">
            <a:extLst>
              <a:ext uri="{FF2B5EF4-FFF2-40B4-BE49-F238E27FC236}">
                <a16:creationId xmlns:a16="http://schemas.microsoft.com/office/drawing/2014/main" id="{00000000-0008-0000-0400-000028000000}"/>
              </a:ext>
            </a:extLst>
          </xdr:cNvPr>
          <xdr:cNvSpPr/>
        </xdr:nvSpPr>
        <xdr:spPr>
          <a:xfrm rot="15043660" flipV="1">
            <a:off x="678904" y="943653"/>
            <a:ext cx="730416" cy="1146531"/>
          </a:xfrm>
          <a:custGeom>
            <a:avLst/>
            <a:gdLst>
              <a:gd name="connsiteX0" fmla="*/ 716588 w 730416"/>
              <a:gd name="connsiteY0" fmla="*/ 511011 h 1146531"/>
              <a:gd name="connsiteX1" fmla="*/ 409782 w 730416"/>
              <a:gd name="connsiteY1" fmla="*/ 335484 h 1146531"/>
              <a:gd name="connsiteX2" fmla="*/ 313760 w 730416"/>
              <a:gd name="connsiteY2" fmla="*/ 0 h 1146531"/>
              <a:gd name="connsiteX3" fmla="*/ 0 w 730416"/>
              <a:gd name="connsiteY3" fmla="*/ 421987 h 1146531"/>
              <a:gd name="connsiteX4" fmla="*/ 18807 w 730416"/>
              <a:gd name="connsiteY4" fmla="*/ 472206 h 1146531"/>
              <a:gd name="connsiteX5" fmla="*/ 209996 w 730416"/>
              <a:gd name="connsiteY5" fmla="*/ 348997 h 1146531"/>
              <a:gd name="connsiteX6" fmla="*/ 272267 w 730416"/>
              <a:gd name="connsiteY6" fmla="*/ 360214 h 1146531"/>
              <a:gd name="connsiteX7" fmla="*/ 272266 w 730416"/>
              <a:gd name="connsiteY7" fmla="*/ 360214 h 1146531"/>
              <a:gd name="connsiteX8" fmla="*/ 260426 w 730416"/>
              <a:gd name="connsiteY8" fmla="*/ 419191 h 1146531"/>
              <a:gd name="connsiteX9" fmla="*/ 49788 w 730416"/>
              <a:gd name="connsiteY9" fmla="*/ 554931 h 1146531"/>
              <a:gd name="connsiteX10" fmla="*/ 93126 w 730416"/>
              <a:gd name="connsiteY10" fmla="*/ 670656 h 1146531"/>
              <a:gd name="connsiteX11" fmla="*/ 148370 w 730416"/>
              <a:gd name="connsiteY11" fmla="*/ 652362 h 1146531"/>
              <a:gd name="connsiteX12" fmla="*/ 205474 w 730416"/>
              <a:gd name="connsiteY12" fmla="*/ 678423 h 1146531"/>
              <a:gd name="connsiteX13" fmla="*/ 205473 w 730416"/>
              <a:gd name="connsiteY13" fmla="*/ 678422 h 1146531"/>
              <a:gd name="connsiteX14" fmla="*/ 177957 w 730416"/>
              <a:gd name="connsiteY14" fmla="*/ 732505 h 1146531"/>
              <a:gd name="connsiteX15" fmla="*/ 123093 w 730416"/>
              <a:gd name="connsiteY15" fmla="*/ 750672 h 1146531"/>
              <a:gd name="connsiteX16" fmla="*/ 162028 w 730416"/>
              <a:gd name="connsiteY16" fmla="*/ 854640 h 1146531"/>
              <a:gd name="connsiteX17" fmla="*/ 300808 w 730416"/>
              <a:gd name="connsiteY17" fmla="*/ 854640 h 1146531"/>
              <a:gd name="connsiteX18" fmla="*/ 345630 w 730416"/>
              <a:gd name="connsiteY18" fmla="*/ 897090 h 1146531"/>
              <a:gd name="connsiteX19" fmla="*/ 345629 w 730416"/>
              <a:gd name="connsiteY19" fmla="*/ 897090 h 1146531"/>
              <a:gd name="connsiteX20" fmla="*/ 300807 w 730416"/>
              <a:gd name="connsiteY20" fmla="*/ 939540 h 1146531"/>
              <a:gd name="connsiteX21" fmla="*/ 193823 w 730416"/>
              <a:gd name="connsiteY21" fmla="*/ 939540 h 1146531"/>
              <a:gd name="connsiteX22" fmla="*/ 213858 w 730416"/>
              <a:gd name="connsiteY22" fmla="*/ 993037 h 1146531"/>
              <a:gd name="connsiteX23" fmla="*/ 728835 w 730416"/>
              <a:gd name="connsiteY23" fmla="*/ 1146531 h 1146531"/>
              <a:gd name="connsiteX24" fmla="*/ 583838 w 730416"/>
              <a:gd name="connsiteY24" fmla="*/ 792704 h 1146531"/>
              <a:gd name="connsiteX25" fmla="*/ 716588 w 730416"/>
              <a:gd name="connsiteY25" fmla="*/ 511011 h 114653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30416" h="1146531">
                <a:moveTo>
                  <a:pt x="716588" y="511011"/>
                </a:moveTo>
                <a:cubicBezTo>
                  <a:pt x="680716" y="393596"/>
                  <a:pt x="548708" y="304346"/>
                  <a:pt x="409782" y="335484"/>
                </a:cubicBezTo>
                <a:cubicBezTo>
                  <a:pt x="486583" y="165966"/>
                  <a:pt x="385952" y="81473"/>
                  <a:pt x="313760" y="0"/>
                </a:cubicBezTo>
                <a:lnTo>
                  <a:pt x="0" y="421987"/>
                </a:lnTo>
                <a:lnTo>
                  <a:pt x="18807" y="472206"/>
                </a:lnTo>
                <a:lnTo>
                  <a:pt x="209996" y="348997"/>
                </a:lnTo>
                <a:cubicBezTo>
                  <a:pt x="230463" y="335809"/>
                  <a:pt x="258342" y="340831"/>
                  <a:pt x="272267" y="360214"/>
                </a:cubicBezTo>
                <a:lnTo>
                  <a:pt x="272266" y="360214"/>
                </a:lnTo>
                <a:cubicBezTo>
                  <a:pt x="286194" y="379595"/>
                  <a:pt x="280891" y="406002"/>
                  <a:pt x="260426" y="419191"/>
                </a:cubicBezTo>
                <a:lnTo>
                  <a:pt x="49788" y="554931"/>
                </a:lnTo>
                <a:lnTo>
                  <a:pt x="93126" y="670656"/>
                </a:lnTo>
                <a:lnTo>
                  <a:pt x="148370" y="652362"/>
                </a:lnTo>
                <a:cubicBezTo>
                  <a:pt x="171737" y="644624"/>
                  <a:pt x="197303" y="656291"/>
                  <a:pt x="205474" y="678423"/>
                </a:cubicBezTo>
                <a:lnTo>
                  <a:pt x="205473" y="678422"/>
                </a:lnTo>
                <a:cubicBezTo>
                  <a:pt x="213644" y="700552"/>
                  <a:pt x="201323" y="724767"/>
                  <a:pt x="177957" y="732505"/>
                </a:cubicBezTo>
                <a:lnTo>
                  <a:pt x="123093" y="750672"/>
                </a:lnTo>
                <a:lnTo>
                  <a:pt x="162028" y="854640"/>
                </a:lnTo>
                <a:lnTo>
                  <a:pt x="300808" y="854640"/>
                </a:lnTo>
                <a:cubicBezTo>
                  <a:pt x="325563" y="854641"/>
                  <a:pt x="345630" y="873646"/>
                  <a:pt x="345630" y="897090"/>
                </a:cubicBezTo>
                <a:lnTo>
                  <a:pt x="345629" y="897090"/>
                </a:lnTo>
                <a:cubicBezTo>
                  <a:pt x="345629" y="920534"/>
                  <a:pt x="325560" y="939540"/>
                  <a:pt x="300807" y="939540"/>
                </a:cubicBezTo>
                <a:lnTo>
                  <a:pt x="193823" y="939540"/>
                </a:lnTo>
                <a:lnTo>
                  <a:pt x="213858" y="993037"/>
                </a:lnTo>
                <a:lnTo>
                  <a:pt x="728835" y="1146531"/>
                </a:lnTo>
                <a:cubicBezTo>
                  <a:pt x="738744" y="1018136"/>
                  <a:pt x="703479" y="913568"/>
                  <a:pt x="583838" y="792704"/>
                </a:cubicBezTo>
                <a:cubicBezTo>
                  <a:pt x="714230" y="710695"/>
                  <a:pt x="744487" y="602333"/>
                  <a:pt x="716588" y="511011"/>
                </a:cubicBezTo>
                <a:close/>
              </a:path>
            </a:pathLst>
          </a:custGeom>
          <a:grp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41" name="Freeform: Shape 43">
            <a:extLst>
              <a:ext uri="{FF2B5EF4-FFF2-40B4-BE49-F238E27FC236}">
                <a16:creationId xmlns:a16="http://schemas.microsoft.com/office/drawing/2014/main" id="{00000000-0008-0000-0400-000029000000}"/>
              </a:ext>
            </a:extLst>
          </xdr:cNvPr>
          <xdr:cNvSpPr/>
        </xdr:nvSpPr>
        <xdr:spPr>
          <a:xfrm>
            <a:off x="1066684" y="0"/>
            <a:ext cx="1014942" cy="1014942"/>
          </a:xfrm>
          <a:custGeom>
            <a:avLst/>
            <a:gdLst>
              <a:gd name="connsiteX0" fmla="*/ 529764 w 1014942"/>
              <a:gd name="connsiteY0" fmla="*/ 520172 h 1014942"/>
              <a:gd name="connsiteX1" fmla="*/ 568161 w 1014942"/>
              <a:gd name="connsiteY1" fmla="*/ 542495 h 1014942"/>
              <a:gd name="connsiteX2" fmla="*/ 580067 w 1014942"/>
              <a:gd name="connsiteY2" fmla="*/ 576724 h 1014942"/>
              <a:gd name="connsiteX3" fmla="*/ 566077 w 1014942"/>
              <a:gd name="connsiteY3" fmla="*/ 615719 h 1014942"/>
              <a:gd name="connsiteX4" fmla="*/ 529764 w 1014942"/>
              <a:gd name="connsiteY4" fmla="*/ 636257 h 1014942"/>
              <a:gd name="connsiteX5" fmla="*/ 486603 w 1014942"/>
              <a:gd name="connsiteY5" fmla="*/ 319551 h 1014942"/>
              <a:gd name="connsiteX6" fmla="*/ 486603 w 1014942"/>
              <a:gd name="connsiteY6" fmla="*/ 422540 h 1014942"/>
              <a:gd name="connsiteX7" fmla="*/ 457731 w 1014942"/>
              <a:gd name="connsiteY7" fmla="*/ 400810 h 1014942"/>
              <a:gd name="connsiteX8" fmla="*/ 448206 w 1014942"/>
              <a:gd name="connsiteY8" fmla="*/ 371344 h 1014942"/>
              <a:gd name="connsiteX9" fmla="*/ 458624 w 1014942"/>
              <a:gd name="connsiteY9" fmla="*/ 339790 h 1014942"/>
              <a:gd name="connsiteX10" fmla="*/ 486603 w 1014942"/>
              <a:gd name="connsiteY10" fmla="*/ 319551 h 1014942"/>
              <a:gd name="connsiteX11" fmla="*/ 486603 w 1014942"/>
              <a:gd name="connsiteY11" fmla="*/ 225195 h 1014942"/>
              <a:gd name="connsiteX12" fmla="*/ 486603 w 1014942"/>
              <a:gd name="connsiteY12" fmla="*/ 254661 h 1014942"/>
              <a:gd name="connsiteX13" fmla="*/ 404451 w 1014942"/>
              <a:gd name="connsiteY13" fmla="*/ 293058 h 1014942"/>
              <a:gd name="connsiteX14" fmla="*/ 373794 w 1014942"/>
              <a:gd name="connsiteY14" fmla="*/ 374915 h 1014942"/>
              <a:gd name="connsiteX15" fmla="*/ 400880 w 1014942"/>
              <a:gd name="connsiteY15" fmla="*/ 457067 h 1014942"/>
              <a:gd name="connsiteX16" fmla="*/ 486603 w 1014942"/>
              <a:gd name="connsiteY16" fmla="*/ 507370 h 1014942"/>
              <a:gd name="connsiteX17" fmla="*/ 486603 w 1014942"/>
              <a:gd name="connsiteY17" fmla="*/ 632088 h 1014942"/>
              <a:gd name="connsiteX18" fmla="*/ 457433 w 1014942"/>
              <a:gd name="connsiteY18" fmla="*/ 607087 h 1014942"/>
              <a:gd name="connsiteX19" fmla="*/ 439573 w 1014942"/>
              <a:gd name="connsiteY19" fmla="*/ 566011 h 1014942"/>
              <a:gd name="connsiteX20" fmla="*/ 361885 w 1014942"/>
              <a:gd name="connsiteY20" fmla="*/ 574344 h 1014942"/>
              <a:gd name="connsiteX21" fmla="*/ 402961 w 1014942"/>
              <a:gd name="connsiteY21" fmla="*/ 665129 h 1014942"/>
              <a:gd name="connsiteX22" fmla="*/ 486603 w 1014942"/>
              <a:gd name="connsiteY22" fmla="*/ 703527 h 1014942"/>
              <a:gd name="connsiteX23" fmla="*/ 486603 w 1014942"/>
              <a:gd name="connsiteY23" fmla="*/ 757700 h 1014942"/>
              <a:gd name="connsiteX24" fmla="*/ 529764 w 1014942"/>
              <a:gd name="connsiteY24" fmla="*/ 757700 h 1014942"/>
              <a:gd name="connsiteX25" fmla="*/ 529764 w 1014942"/>
              <a:gd name="connsiteY25" fmla="*/ 702036 h 1014942"/>
              <a:gd name="connsiteX26" fmla="*/ 620250 w 1014942"/>
              <a:gd name="connsiteY26" fmla="*/ 656795 h 1014942"/>
              <a:gd name="connsiteX27" fmla="*/ 652992 w 1014942"/>
              <a:gd name="connsiteY27" fmla="*/ 566011 h 1014942"/>
              <a:gd name="connsiteX28" fmla="*/ 627097 w 1014942"/>
              <a:gd name="connsiteY28" fmla="*/ 487131 h 1014942"/>
              <a:gd name="connsiteX29" fmla="*/ 529764 w 1014942"/>
              <a:gd name="connsiteY29" fmla="*/ 436828 h 1014942"/>
              <a:gd name="connsiteX30" fmla="*/ 529764 w 1014942"/>
              <a:gd name="connsiteY30" fmla="*/ 320444 h 1014942"/>
              <a:gd name="connsiteX31" fmla="*/ 565483 w 1014942"/>
              <a:gd name="connsiteY31" fmla="*/ 368068 h 1014942"/>
              <a:gd name="connsiteX32" fmla="*/ 640788 w 1014942"/>
              <a:gd name="connsiteY32" fmla="*/ 358247 h 1014942"/>
              <a:gd name="connsiteX33" fmla="*/ 605072 w 1014942"/>
              <a:gd name="connsiteY33" fmla="*/ 287107 h 1014942"/>
              <a:gd name="connsiteX34" fmla="*/ 529764 w 1014942"/>
              <a:gd name="connsiteY34" fmla="*/ 254661 h 1014942"/>
              <a:gd name="connsiteX35" fmla="*/ 529764 w 1014942"/>
              <a:gd name="connsiteY35" fmla="*/ 225195 h 1014942"/>
              <a:gd name="connsiteX36" fmla="*/ 507471 w 1014942"/>
              <a:gd name="connsiteY36" fmla="*/ 0 h 1014942"/>
              <a:gd name="connsiteX37" fmla="*/ 1014942 w 1014942"/>
              <a:gd name="connsiteY37" fmla="*/ 507471 h 1014942"/>
              <a:gd name="connsiteX38" fmla="*/ 507471 w 1014942"/>
              <a:gd name="connsiteY38" fmla="*/ 1014942 h 1014942"/>
              <a:gd name="connsiteX39" fmla="*/ 0 w 1014942"/>
              <a:gd name="connsiteY39" fmla="*/ 507471 h 1014942"/>
              <a:gd name="connsiteX40" fmla="*/ 507471 w 1014942"/>
              <a:gd name="connsiteY40" fmla="*/ 0 h 1014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1014942" h="1014942">
                <a:moveTo>
                  <a:pt x="529764" y="520172"/>
                </a:moveTo>
                <a:cubicBezTo>
                  <a:pt x="547623" y="525330"/>
                  <a:pt x="560421" y="532772"/>
                  <a:pt x="568161" y="542495"/>
                </a:cubicBezTo>
                <a:cubicBezTo>
                  <a:pt x="576099" y="552021"/>
                  <a:pt x="580067" y="563429"/>
                  <a:pt x="580067" y="576724"/>
                </a:cubicBezTo>
                <a:cubicBezTo>
                  <a:pt x="580067" y="591607"/>
                  <a:pt x="575405" y="604606"/>
                  <a:pt x="566077" y="615719"/>
                </a:cubicBezTo>
                <a:cubicBezTo>
                  <a:pt x="556750" y="626631"/>
                  <a:pt x="544646" y="633478"/>
                  <a:pt x="529764" y="636257"/>
                </a:cubicBezTo>
                <a:close/>
                <a:moveTo>
                  <a:pt x="486603" y="319551"/>
                </a:moveTo>
                <a:lnTo>
                  <a:pt x="486603" y="422540"/>
                </a:lnTo>
                <a:cubicBezTo>
                  <a:pt x="473705" y="416985"/>
                  <a:pt x="464082" y="409742"/>
                  <a:pt x="457731" y="400810"/>
                </a:cubicBezTo>
                <a:cubicBezTo>
                  <a:pt x="451381" y="391684"/>
                  <a:pt x="448206" y="381860"/>
                  <a:pt x="448206" y="371344"/>
                </a:cubicBezTo>
                <a:cubicBezTo>
                  <a:pt x="448206" y="359835"/>
                  <a:pt x="451680" y="349316"/>
                  <a:pt x="458624" y="339790"/>
                </a:cubicBezTo>
                <a:cubicBezTo>
                  <a:pt x="465569" y="330264"/>
                  <a:pt x="474896" y="323518"/>
                  <a:pt x="486603" y="319551"/>
                </a:cubicBezTo>
                <a:close/>
                <a:moveTo>
                  <a:pt x="486603" y="225195"/>
                </a:moveTo>
                <a:lnTo>
                  <a:pt x="486603" y="254661"/>
                </a:lnTo>
                <a:cubicBezTo>
                  <a:pt x="452472" y="258034"/>
                  <a:pt x="425087" y="270835"/>
                  <a:pt x="404451" y="293058"/>
                </a:cubicBezTo>
                <a:cubicBezTo>
                  <a:pt x="384011" y="315087"/>
                  <a:pt x="373794" y="342371"/>
                  <a:pt x="373794" y="374915"/>
                </a:cubicBezTo>
                <a:cubicBezTo>
                  <a:pt x="373794" y="407060"/>
                  <a:pt x="382823" y="434445"/>
                  <a:pt x="400880" y="457067"/>
                </a:cubicBezTo>
                <a:cubicBezTo>
                  <a:pt x="419136" y="479492"/>
                  <a:pt x="447709" y="496260"/>
                  <a:pt x="486603" y="507370"/>
                </a:cubicBezTo>
                <a:lnTo>
                  <a:pt x="486603" y="632088"/>
                </a:lnTo>
                <a:cubicBezTo>
                  <a:pt x="475886" y="626930"/>
                  <a:pt x="466166" y="618596"/>
                  <a:pt x="457433" y="607087"/>
                </a:cubicBezTo>
                <a:cubicBezTo>
                  <a:pt x="448703" y="595577"/>
                  <a:pt x="442748" y="581883"/>
                  <a:pt x="439573" y="566011"/>
                </a:cubicBezTo>
                <a:lnTo>
                  <a:pt x="361885" y="574344"/>
                </a:lnTo>
                <a:cubicBezTo>
                  <a:pt x="367839" y="613437"/>
                  <a:pt x="381530" y="643698"/>
                  <a:pt x="402961" y="665129"/>
                </a:cubicBezTo>
                <a:cubicBezTo>
                  <a:pt x="424392" y="686560"/>
                  <a:pt x="452274" y="699358"/>
                  <a:pt x="486603" y="703527"/>
                </a:cubicBezTo>
                <a:lnTo>
                  <a:pt x="486603" y="757700"/>
                </a:lnTo>
                <a:lnTo>
                  <a:pt x="529764" y="757700"/>
                </a:lnTo>
                <a:lnTo>
                  <a:pt x="529764" y="702036"/>
                </a:lnTo>
                <a:cubicBezTo>
                  <a:pt x="568460" y="696482"/>
                  <a:pt x="598621" y="681401"/>
                  <a:pt x="620250" y="656795"/>
                </a:cubicBezTo>
                <a:cubicBezTo>
                  <a:pt x="642080" y="632189"/>
                  <a:pt x="652992" y="601928"/>
                  <a:pt x="652992" y="566011"/>
                </a:cubicBezTo>
                <a:cubicBezTo>
                  <a:pt x="652992" y="533862"/>
                  <a:pt x="644363" y="507568"/>
                  <a:pt x="627097" y="487131"/>
                </a:cubicBezTo>
                <a:cubicBezTo>
                  <a:pt x="609832" y="466492"/>
                  <a:pt x="577388" y="449727"/>
                  <a:pt x="529764" y="436828"/>
                </a:cubicBezTo>
                <a:lnTo>
                  <a:pt x="529764" y="320444"/>
                </a:lnTo>
                <a:cubicBezTo>
                  <a:pt x="549013" y="328778"/>
                  <a:pt x="560918" y="344653"/>
                  <a:pt x="565483" y="368068"/>
                </a:cubicBezTo>
                <a:lnTo>
                  <a:pt x="640788" y="358247"/>
                </a:lnTo>
                <a:cubicBezTo>
                  <a:pt x="635629" y="328479"/>
                  <a:pt x="623724" y="304766"/>
                  <a:pt x="605072" y="287107"/>
                </a:cubicBezTo>
                <a:cubicBezTo>
                  <a:pt x="586417" y="269248"/>
                  <a:pt x="561314" y="258433"/>
                  <a:pt x="529764" y="254661"/>
                </a:cubicBezTo>
                <a:lnTo>
                  <a:pt x="529764" y="225195"/>
                </a:lnTo>
                <a:close/>
                <a:moveTo>
                  <a:pt x="507471" y="0"/>
                </a:moveTo>
                <a:cubicBezTo>
                  <a:pt x="787739" y="0"/>
                  <a:pt x="1014942" y="227203"/>
                  <a:pt x="1014942" y="507471"/>
                </a:cubicBezTo>
                <a:cubicBezTo>
                  <a:pt x="1014942" y="787739"/>
                  <a:pt x="787739" y="1014942"/>
                  <a:pt x="507471" y="1014942"/>
                </a:cubicBezTo>
                <a:cubicBezTo>
                  <a:pt x="227203" y="1014942"/>
                  <a:pt x="0" y="787739"/>
                  <a:pt x="0" y="507471"/>
                </a:cubicBezTo>
                <a:cubicBezTo>
                  <a:pt x="0" y="227203"/>
                  <a:pt x="227203" y="0"/>
                  <a:pt x="507471" y="0"/>
                </a:cubicBezTo>
                <a:close/>
              </a:path>
            </a:pathLst>
          </a:custGeom>
          <a:grpFill/>
          <a:ln w="17998"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2" name="Freeform: Shape 44">
            <a:extLst>
              <a:ext uri="{FF2B5EF4-FFF2-40B4-BE49-F238E27FC236}">
                <a16:creationId xmlns:a16="http://schemas.microsoft.com/office/drawing/2014/main" id="{00000000-0008-0000-0400-00002A000000}"/>
              </a:ext>
            </a:extLst>
          </xdr:cNvPr>
          <xdr:cNvSpPr/>
        </xdr:nvSpPr>
        <xdr:spPr>
          <a:xfrm>
            <a:off x="3439631" y="1737986"/>
            <a:ext cx="305142" cy="2056672"/>
          </a:xfrm>
          <a:custGeom>
            <a:avLst/>
            <a:gdLst>
              <a:gd name="connsiteX0" fmla="*/ 294 w 274669"/>
              <a:gd name="connsiteY0" fmla="*/ 147 h 2056670"/>
              <a:gd name="connsiteX1" fmla="*/ 274963 w 274669"/>
              <a:gd name="connsiteY1" fmla="*/ 147 h 2056670"/>
              <a:gd name="connsiteX2" fmla="*/ 274963 w 274669"/>
              <a:gd name="connsiteY2" fmla="*/ 2056818 h 2056670"/>
              <a:gd name="connsiteX3" fmla="*/ 294 w 274669"/>
              <a:gd name="connsiteY3" fmla="*/ 2056818 h 2056670"/>
            </a:gdLst>
            <a:ahLst/>
            <a:cxnLst>
              <a:cxn ang="0">
                <a:pos x="connsiteX0" y="connsiteY0"/>
              </a:cxn>
              <a:cxn ang="0">
                <a:pos x="connsiteX1" y="connsiteY1"/>
              </a:cxn>
              <a:cxn ang="0">
                <a:pos x="connsiteX2" y="connsiteY2"/>
              </a:cxn>
              <a:cxn ang="0">
                <a:pos x="connsiteX3" y="connsiteY3"/>
              </a:cxn>
            </a:cxnLst>
            <a:rect l="l" t="t" r="r" b="b"/>
            <a:pathLst>
              <a:path w="274669" h="2056670">
                <a:moveTo>
                  <a:pt x="294" y="147"/>
                </a:moveTo>
                <a:lnTo>
                  <a:pt x="274963" y="147"/>
                </a:lnTo>
                <a:lnTo>
                  <a:pt x="274963" y="2056818"/>
                </a:lnTo>
                <a:lnTo>
                  <a:pt x="294" y="2056818"/>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3" name="Freeform: Shape 45">
            <a:extLst>
              <a:ext uri="{FF2B5EF4-FFF2-40B4-BE49-F238E27FC236}">
                <a16:creationId xmlns:a16="http://schemas.microsoft.com/office/drawing/2014/main" id="{00000000-0008-0000-0400-00002B000000}"/>
              </a:ext>
            </a:extLst>
          </xdr:cNvPr>
          <xdr:cNvSpPr/>
        </xdr:nvSpPr>
        <xdr:spPr>
          <a:xfrm>
            <a:off x="2890307" y="2173441"/>
            <a:ext cx="305142" cy="1621217"/>
          </a:xfrm>
          <a:custGeom>
            <a:avLst/>
            <a:gdLst>
              <a:gd name="connsiteX0" fmla="*/ 252 w 281368"/>
              <a:gd name="connsiteY0" fmla="*/ 163 h 1621217"/>
              <a:gd name="connsiteX1" fmla="*/ 281621 w 281368"/>
              <a:gd name="connsiteY1" fmla="*/ 163 h 1621217"/>
              <a:gd name="connsiteX2" fmla="*/ 281621 w 281368"/>
              <a:gd name="connsiteY2" fmla="*/ 1621381 h 1621217"/>
              <a:gd name="connsiteX3" fmla="*/ 252 w 281368"/>
              <a:gd name="connsiteY3" fmla="*/ 1621381 h 1621217"/>
            </a:gdLst>
            <a:ahLst/>
            <a:cxnLst>
              <a:cxn ang="0">
                <a:pos x="connsiteX0" y="connsiteY0"/>
              </a:cxn>
              <a:cxn ang="0">
                <a:pos x="connsiteX1" y="connsiteY1"/>
              </a:cxn>
              <a:cxn ang="0">
                <a:pos x="connsiteX2" y="connsiteY2"/>
              </a:cxn>
              <a:cxn ang="0">
                <a:pos x="connsiteX3" y="connsiteY3"/>
              </a:cxn>
            </a:cxnLst>
            <a:rect l="l" t="t" r="r" b="b"/>
            <a:pathLst>
              <a:path w="281368" h="1621217">
                <a:moveTo>
                  <a:pt x="252" y="163"/>
                </a:moveTo>
                <a:lnTo>
                  <a:pt x="281621" y="163"/>
                </a:lnTo>
                <a:lnTo>
                  <a:pt x="281621" y="1621381"/>
                </a:lnTo>
                <a:lnTo>
                  <a:pt x="252" y="1621381"/>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4" name="Freeform: Shape 46">
            <a:extLst>
              <a:ext uri="{FF2B5EF4-FFF2-40B4-BE49-F238E27FC236}">
                <a16:creationId xmlns:a16="http://schemas.microsoft.com/office/drawing/2014/main" id="{00000000-0008-0000-0400-00002C000000}"/>
              </a:ext>
            </a:extLst>
          </xdr:cNvPr>
          <xdr:cNvSpPr/>
        </xdr:nvSpPr>
        <xdr:spPr>
          <a:xfrm>
            <a:off x="2354373" y="2736176"/>
            <a:ext cx="305142" cy="1058482"/>
          </a:xfrm>
          <a:custGeom>
            <a:avLst/>
            <a:gdLst>
              <a:gd name="connsiteX0" fmla="*/ 211 w 281368"/>
              <a:gd name="connsiteY0" fmla="*/ 184 h 1058483"/>
              <a:gd name="connsiteX1" fmla="*/ 281580 w 281368"/>
              <a:gd name="connsiteY1" fmla="*/ 184 h 1058483"/>
              <a:gd name="connsiteX2" fmla="*/ 281580 w 281368"/>
              <a:gd name="connsiteY2" fmla="*/ 1058668 h 1058483"/>
              <a:gd name="connsiteX3" fmla="*/ 211 w 281368"/>
              <a:gd name="connsiteY3" fmla="*/ 1058668 h 1058483"/>
            </a:gdLst>
            <a:ahLst/>
            <a:cxnLst>
              <a:cxn ang="0">
                <a:pos x="connsiteX0" y="connsiteY0"/>
              </a:cxn>
              <a:cxn ang="0">
                <a:pos x="connsiteX1" y="connsiteY1"/>
              </a:cxn>
              <a:cxn ang="0">
                <a:pos x="connsiteX2" y="connsiteY2"/>
              </a:cxn>
              <a:cxn ang="0">
                <a:pos x="connsiteX3" y="connsiteY3"/>
              </a:cxn>
            </a:cxnLst>
            <a:rect l="l" t="t" r="r" b="b"/>
            <a:pathLst>
              <a:path w="281368" h="1058483">
                <a:moveTo>
                  <a:pt x="211" y="184"/>
                </a:moveTo>
                <a:lnTo>
                  <a:pt x="281580" y="184"/>
                </a:lnTo>
                <a:lnTo>
                  <a:pt x="281580" y="1058668"/>
                </a:lnTo>
                <a:lnTo>
                  <a:pt x="211" y="1058668"/>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5" name="Freeform: Shape 47">
            <a:extLst>
              <a:ext uri="{FF2B5EF4-FFF2-40B4-BE49-F238E27FC236}">
                <a16:creationId xmlns:a16="http://schemas.microsoft.com/office/drawing/2014/main" id="{00000000-0008-0000-0400-00002D000000}"/>
              </a:ext>
            </a:extLst>
          </xdr:cNvPr>
          <xdr:cNvSpPr/>
        </xdr:nvSpPr>
        <xdr:spPr>
          <a:xfrm>
            <a:off x="1844938" y="3097384"/>
            <a:ext cx="305142" cy="697274"/>
          </a:xfrm>
          <a:custGeom>
            <a:avLst/>
            <a:gdLst>
              <a:gd name="connsiteX0" fmla="*/ 171 w 275221"/>
              <a:gd name="connsiteY0" fmla="*/ 197 h 697273"/>
              <a:gd name="connsiteX1" fmla="*/ 275393 w 275221"/>
              <a:gd name="connsiteY1" fmla="*/ 197 h 697273"/>
              <a:gd name="connsiteX2" fmla="*/ 275393 w 275221"/>
              <a:gd name="connsiteY2" fmla="*/ 697471 h 697273"/>
              <a:gd name="connsiteX3" fmla="*/ 171 w 275221"/>
              <a:gd name="connsiteY3" fmla="*/ 697471 h 697273"/>
            </a:gdLst>
            <a:ahLst/>
            <a:cxnLst>
              <a:cxn ang="0">
                <a:pos x="connsiteX0" y="connsiteY0"/>
              </a:cxn>
              <a:cxn ang="0">
                <a:pos x="connsiteX1" y="connsiteY1"/>
              </a:cxn>
              <a:cxn ang="0">
                <a:pos x="connsiteX2" y="connsiteY2"/>
              </a:cxn>
              <a:cxn ang="0">
                <a:pos x="connsiteX3" y="connsiteY3"/>
              </a:cxn>
            </a:cxnLst>
            <a:rect l="l" t="t" r="r" b="b"/>
            <a:pathLst>
              <a:path w="275221" h="697273">
                <a:moveTo>
                  <a:pt x="171" y="197"/>
                </a:moveTo>
                <a:lnTo>
                  <a:pt x="275393" y="197"/>
                </a:lnTo>
                <a:lnTo>
                  <a:pt x="275393" y="697471"/>
                </a:lnTo>
                <a:lnTo>
                  <a:pt x="171" y="697471"/>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grpSp>
    <xdr:clientData/>
  </xdr:twoCellAnchor>
  <xdr:twoCellAnchor>
    <xdr:from>
      <xdr:col>18</xdr:col>
      <xdr:colOff>309657</xdr:colOff>
      <xdr:row>13</xdr:row>
      <xdr:rowOff>74061</xdr:rowOff>
    </xdr:from>
    <xdr:to>
      <xdr:col>21</xdr:col>
      <xdr:colOff>612746</xdr:colOff>
      <xdr:row>21</xdr:row>
      <xdr:rowOff>163922</xdr:rowOff>
    </xdr:to>
    <xdr:grpSp>
      <xdr:nvGrpSpPr>
        <xdr:cNvPr id="46" name="Group 45">
          <a:extLst>
            <a:ext uri="{FF2B5EF4-FFF2-40B4-BE49-F238E27FC236}">
              <a16:creationId xmlns:a16="http://schemas.microsoft.com/office/drawing/2014/main" id="{00000000-0008-0000-0400-00002E000000}"/>
            </a:ext>
          </a:extLst>
        </xdr:cNvPr>
        <xdr:cNvGrpSpPr/>
      </xdr:nvGrpSpPr>
      <xdr:grpSpPr>
        <a:xfrm>
          <a:off x="15168657" y="2633111"/>
          <a:ext cx="2779589" cy="1664661"/>
          <a:chOff x="6684884" y="1133961"/>
          <a:chExt cx="4632942" cy="2991773"/>
        </a:xfrm>
        <a:effectLst>
          <a:outerShdw blurRad="50800" dist="38100" dir="2700000" algn="tl" rotWithShape="0">
            <a:prstClr val="black">
              <a:alpha val="40000"/>
            </a:prstClr>
          </a:outerShdw>
        </a:effectLst>
      </xdr:grpSpPr>
      <xdr:sp macro="" textlink="">
        <xdr:nvSpPr>
          <xdr:cNvPr id="47" name="Rectangle: Rounded Corners 49">
            <a:extLst>
              <a:ext uri="{FF2B5EF4-FFF2-40B4-BE49-F238E27FC236}">
                <a16:creationId xmlns:a16="http://schemas.microsoft.com/office/drawing/2014/main" id="{00000000-0008-0000-0400-00002F000000}"/>
              </a:ext>
            </a:extLst>
          </xdr:cNvPr>
          <xdr:cNvSpPr/>
        </xdr:nvSpPr>
        <xdr:spPr>
          <a:xfrm>
            <a:off x="6684884" y="1133961"/>
            <a:ext cx="4632942" cy="2991773"/>
          </a:xfrm>
          <a:prstGeom prst="roundRect">
            <a:avLst>
              <a:gd name="adj" fmla="val 6897"/>
            </a:avLst>
          </a:prstGeom>
          <a:gradFill flip="none" rotWithShape="1">
            <a:gsLst>
              <a:gs pos="77000">
                <a:srgbClr val="2D3540"/>
              </a:gs>
              <a:gs pos="0">
                <a:srgbClr val="4472C4">
                  <a:lumMod val="30000"/>
                  <a:lumOff val="70000"/>
                </a:srgbClr>
              </a:gs>
            </a:gsLst>
            <a:path path="circle">
              <a:fillToRect l="100000" b="100000"/>
            </a:path>
            <a:tileRect t="-100000" r="-100000"/>
          </a:gradFill>
          <a:ln w="12700" cap="flat" cmpd="sng" algn="ctr">
            <a:solidFill>
              <a:srgbClr val="4472C4">
                <a:shade val="15000"/>
              </a:srgbClr>
            </a:solid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nvGrpSpPr>
          <xdr:cNvPr id="48" name="Group 47">
            <a:extLst>
              <a:ext uri="{FF2B5EF4-FFF2-40B4-BE49-F238E27FC236}">
                <a16:creationId xmlns:a16="http://schemas.microsoft.com/office/drawing/2014/main" id="{00000000-0008-0000-0400-000030000000}"/>
              </a:ext>
            </a:extLst>
          </xdr:cNvPr>
          <xdr:cNvGrpSpPr/>
        </xdr:nvGrpSpPr>
        <xdr:grpSpPr>
          <a:xfrm>
            <a:off x="7138979" y="2378947"/>
            <a:ext cx="710550" cy="501799"/>
            <a:chOff x="2716066" y="2011251"/>
            <a:chExt cx="710550" cy="501799"/>
          </a:xfrm>
          <a:solidFill>
            <a:srgbClr val="FBF1BD"/>
          </a:solidFill>
        </xdr:grpSpPr>
        <xdr:sp macro="" textlink="">
          <xdr:nvSpPr>
            <xdr:cNvPr id="52" name="Freeform: Shape 54">
              <a:extLst>
                <a:ext uri="{FF2B5EF4-FFF2-40B4-BE49-F238E27FC236}">
                  <a16:creationId xmlns:a16="http://schemas.microsoft.com/office/drawing/2014/main" id="{00000000-0008-0000-0400-000034000000}"/>
                </a:ext>
              </a:extLst>
            </xdr:cNvPr>
            <xdr:cNvSpPr/>
          </xdr:nvSpPr>
          <xdr:spPr>
            <a:xfrm>
              <a:off x="2716066" y="2011251"/>
              <a:ext cx="710548" cy="102310"/>
            </a:xfrm>
            <a:custGeom>
              <a:avLst/>
              <a:gdLst>
                <a:gd name="connsiteX0" fmla="*/ 80328 w 710548"/>
                <a:gd name="connsiteY0" fmla="*/ 0 h 102310"/>
                <a:gd name="connsiteX1" fmla="*/ 630220 w 710548"/>
                <a:gd name="connsiteY1" fmla="*/ 0 h 102310"/>
                <a:gd name="connsiteX2" fmla="*/ 710548 w 710548"/>
                <a:gd name="connsiteY2" fmla="*/ 80328 h 102310"/>
                <a:gd name="connsiteX3" fmla="*/ 710548 w 710548"/>
                <a:gd name="connsiteY3" fmla="*/ 102310 h 102310"/>
                <a:gd name="connsiteX4" fmla="*/ 426341 w 710548"/>
                <a:gd name="connsiteY4" fmla="*/ 102310 h 102310"/>
                <a:gd name="connsiteX5" fmla="*/ 417706 w 710548"/>
                <a:gd name="connsiteY5" fmla="*/ 89503 h 102310"/>
                <a:gd name="connsiteX6" fmla="*/ 379637 w 710548"/>
                <a:gd name="connsiteY6" fmla="*/ 73734 h 102310"/>
                <a:gd name="connsiteX7" fmla="*/ 330912 w 710548"/>
                <a:gd name="connsiteY7" fmla="*/ 73734 h 102310"/>
                <a:gd name="connsiteX8" fmla="*/ 292843 w 710548"/>
                <a:gd name="connsiteY8" fmla="*/ 89503 h 102310"/>
                <a:gd name="connsiteX9" fmla="*/ 284208 w 710548"/>
                <a:gd name="connsiteY9" fmla="*/ 102310 h 102310"/>
                <a:gd name="connsiteX10" fmla="*/ 0 w 710548"/>
                <a:gd name="connsiteY10" fmla="*/ 102310 h 102310"/>
                <a:gd name="connsiteX11" fmla="*/ 0 w 710548"/>
                <a:gd name="connsiteY11" fmla="*/ 80328 h 102310"/>
                <a:gd name="connsiteX12" fmla="*/ 80328 w 710548"/>
                <a:gd name="connsiteY12" fmla="*/ 0 h 10231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710548" h="102310">
                  <a:moveTo>
                    <a:pt x="80328" y="0"/>
                  </a:moveTo>
                  <a:lnTo>
                    <a:pt x="630220" y="0"/>
                  </a:lnTo>
                  <a:cubicBezTo>
                    <a:pt x="674584" y="0"/>
                    <a:pt x="710548" y="35964"/>
                    <a:pt x="710548" y="80328"/>
                  </a:cubicBezTo>
                  <a:lnTo>
                    <a:pt x="710548" y="102310"/>
                  </a:lnTo>
                  <a:lnTo>
                    <a:pt x="426341" y="102310"/>
                  </a:lnTo>
                  <a:lnTo>
                    <a:pt x="417706" y="89503"/>
                  </a:lnTo>
                  <a:cubicBezTo>
                    <a:pt x="407964" y="79760"/>
                    <a:pt x="394504" y="73734"/>
                    <a:pt x="379637" y="73734"/>
                  </a:cubicBezTo>
                  <a:lnTo>
                    <a:pt x="330912" y="73734"/>
                  </a:lnTo>
                  <a:cubicBezTo>
                    <a:pt x="316045" y="73734"/>
                    <a:pt x="302586" y="79760"/>
                    <a:pt x="292843" y="89503"/>
                  </a:cubicBezTo>
                  <a:lnTo>
                    <a:pt x="284208" y="102310"/>
                  </a:lnTo>
                  <a:lnTo>
                    <a:pt x="0" y="102310"/>
                  </a:lnTo>
                  <a:lnTo>
                    <a:pt x="0" y="80328"/>
                  </a:lnTo>
                  <a:cubicBezTo>
                    <a:pt x="0" y="35964"/>
                    <a:pt x="35964" y="0"/>
                    <a:pt x="80328" y="0"/>
                  </a:cubicBez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3" name="Freeform: Shape 55">
              <a:extLst>
                <a:ext uri="{FF2B5EF4-FFF2-40B4-BE49-F238E27FC236}">
                  <a16:creationId xmlns:a16="http://schemas.microsoft.com/office/drawing/2014/main" id="{00000000-0008-0000-0400-000035000000}"/>
                </a:ext>
              </a:extLst>
            </xdr:cNvPr>
            <xdr:cNvSpPr/>
          </xdr:nvSpPr>
          <xdr:spPr>
            <a:xfrm>
              <a:off x="2716066" y="2410739"/>
              <a:ext cx="710548" cy="102311"/>
            </a:xfrm>
            <a:custGeom>
              <a:avLst/>
              <a:gdLst>
                <a:gd name="connsiteX0" fmla="*/ 0 w 710548"/>
                <a:gd name="connsiteY0" fmla="*/ 0 h 102311"/>
                <a:gd name="connsiteX1" fmla="*/ 284208 w 710548"/>
                <a:gd name="connsiteY1" fmla="*/ 0 h 102311"/>
                <a:gd name="connsiteX2" fmla="*/ 292843 w 710548"/>
                <a:gd name="connsiteY2" fmla="*/ 12807 h 102311"/>
                <a:gd name="connsiteX3" fmla="*/ 330912 w 710548"/>
                <a:gd name="connsiteY3" fmla="*/ 28576 h 102311"/>
                <a:gd name="connsiteX4" fmla="*/ 379637 w 710548"/>
                <a:gd name="connsiteY4" fmla="*/ 28576 h 102311"/>
                <a:gd name="connsiteX5" fmla="*/ 417706 w 710548"/>
                <a:gd name="connsiteY5" fmla="*/ 12807 h 102311"/>
                <a:gd name="connsiteX6" fmla="*/ 426341 w 710548"/>
                <a:gd name="connsiteY6" fmla="*/ 0 h 102311"/>
                <a:gd name="connsiteX7" fmla="*/ 710548 w 710548"/>
                <a:gd name="connsiteY7" fmla="*/ 0 h 102311"/>
                <a:gd name="connsiteX8" fmla="*/ 710548 w 710548"/>
                <a:gd name="connsiteY8" fmla="*/ 21983 h 102311"/>
                <a:gd name="connsiteX9" fmla="*/ 630220 w 710548"/>
                <a:gd name="connsiteY9" fmla="*/ 102311 h 102311"/>
                <a:gd name="connsiteX10" fmla="*/ 80328 w 710548"/>
                <a:gd name="connsiteY10" fmla="*/ 102311 h 102311"/>
                <a:gd name="connsiteX11" fmla="*/ 0 w 710548"/>
                <a:gd name="connsiteY11" fmla="*/ 21983 h 102311"/>
                <a:gd name="connsiteX12" fmla="*/ 0 w 710548"/>
                <a:gd name="connsiteY12" fmla="*/ 0 h 10231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710548" h="102311">
                  <a:moveTo>
                    <a:pt x="0" y="0"/>
                  </a:moveTo>
                  <a:lnTo>
                    <a:pt x="284208" y="0"/>
                  </a:lnTo>
                  <a:lnTo>
                    <a:pt x="292843" y="12807"/>
                  </a:lnTo>
                  <a:cubicBezTo>
                    <a:pt x="302586" y="22550"/>
                    <a:pt x="316045" y="28576"/>
                    <a:pt x="330912" y="28576"/>
                  </a:cubicBezTo>
                  <a:lnTo>
                    <a:pt x="379637" y="28576"/>
                  </a:lnTo>
                  <a:cubicBezTo>
                    <a:pt x="394504" y="28576"/>
                    <a:pt x="407964" y="22550"/>
                    <a:pt x="417706" y="12807"/>
                  </a:cubicBezTo>
                  <a:lnTo>
                    <a:pt x="426341" y="0"/>
                  </a:lnTo>
                  <a:lnTo>
                    <a:pt x="710548" y="0"/>
                  </a:lnTo>
                  <a:lnTo>
                    <a:pt x="710548" y="21983"/>
                  </a:lnTo>
                  <a:cubicBezTo>
                    <a:pt x="710548" y="66347"/>
                    <a:pt x="674584" y="102311"/>
                    <a:pt x="630220" y="102311"/>
                  </a:cubicBezTo>
                  <a:lnTo>
                    <a:pt x="80328" y="102311"/>
                  </a:lnTo>
                  <a:cubicBezTo>
                    <a:pt x="35964" y="102311"/>
                    <a:pt x="0" y="66347"/>
                    <a:pt x="0" y="21983"/>
                  </a:cubicBezTo>
                  <a:lnTo>
                    <a:pt x="0"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4" name="Freeform: Shape 56">
              <a:extLst>
                <a:ext uri="{FF2B5EF4-FFF2-40B4-BE49-F238E27FC236}">
                  <a16:creationId xmlns:a16="http://schemas.microsoft.com/office/drawing/2014/main" id="{00000000-0008-0000-0400-000036000000}"/>
                </a:ext>
              </a:extLst>
            </xdr:cNvPr>
            <xdr:cNvSpPr/>
          </xdr:nvSpPr>
          <xdr:spPr>
            <a:xfrm>
              <a:off x="2716066" y="2113561"/>
              <a:ext cx="284208" cy="148588"/>
            </a:xfrm>
            <a:custGeom>
              <a:avLst/>
              <a:gdLst>
                <a:gd name="connsiteX0" fmla="*/ 0 w 284208"/>
                <a:gd name="connsiteY0" fmla="*/ 0 h 148588"/>
                <a:gd name="connsiteX1" fmla="*/ 284208 w 284208"/>
                <a:gd name="connsiteY1" fmla="*/ 0 h 148588"/>
                <a:gd name="connsiteX2" fmla="*/ 281305 w 284208"/>
                <a:gd name="connsiteY2" fmla="*/ 4306 h 148588"/>
                <a:gd name="connsiteX3" fmla="*/ 277074 w 284208"/>
                <a:gd name="connsiteY3" fmla="*/ 25262 h 148588"/>
                <a:gd name="connsiteX4" fmla="*/ 277074 w 284208"/>
                <a:gd name="connsiteY4" fmla="*/ 148588 h 148588"/>
                <a:gd name="connsiteX5" fmla="*/ 0 w 284208"/>
                <a:gd name="connsiteY5" fmla="*/ 148588 h 148588"/>
                <a:gd name="connsiteX6" fmla="*/ 0 w 284208"/>
                <a:gd name="connsiteY6" fmla="*/ 0 h 1485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8" h="148588">
                  <a:moveTo>
                    <a:pt x="0" y="0"/>
                  </a:moveTo>
                  <a:lnTo>
                    <a:pt x="284208" y="0"/>
                  </a:lnTo>
                  <a:lnTo>
                    <a:pt x="281305" y="4306"/>
                  </a:lnTo>
                  <a:cubicBezTo>
                    <a:pt x="278581" y="10747"/>
                    <a:pt x="277074" y="17829"/>
                    <a:pt x="277074" y="25262"/>
                  </a:cubicBezTo>
                  <a:lnTo>
                    <a:pt x="277074" y="148588"/>
                  </a:lnTo>
                  <a:lnTo>
                    <a:pt x="0" y="148588"/>
                  </a:lnTo>
                  <a:lnTo>
                    <a:pt x="0"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5" name="Freeform: Shape 57">
              <a:extLst>
                <a:ext uri="{FF2B5EF4-FFF2-40B4-BE49-F238E27FC236}">
                  <a16:creationId xmlns:a16="http://schemas.microsoft.com/office/drawing/2014/main" id="{00000000-0008-0000-0400-000037000000}"/>
                </a:ext>
              </a:extLst>
            </xdr:cNvPr>
            <xdr:cNvSpPr/>
          </xdr:nvSpPr>
          <xdr:spPr>
            <a:xfrm>
              <a:off x="3142409" y="2113561"/>
              <a:ext cx="284207" cy="148588"/>
            </a:xfrm>
            <a:custGeom>
              <a:avLst/>
              <a:gdLst>
                <a:gd name="connsiteX0" fmla="*/ 0 w 284207"/>
                <a:gd name="connsiteY0" fmla="*/ 0 h 148588"/>
                <a:gd name="connsiteX1" fmla="*/ 284207 w 284207"/>
                <a:gd name="connsiteY1" fmla="*/ 0 h 148588"/>
                <a:gd name="connsiteX2" fmla="*/ 284207 w 284207"/>
                <a:gd name="connsiteY2" fmla="*/ 148588 h 148588"/>
                <a:gd name="connsiteX3" fmla="*/ 7134 w 284207"/>
                <a:gd name="connsiteY3" fmla="*/ 148588 h 148588"/>
                <a:gd name="connsiteX4" fmla="*/ 7134 w 284207"/>
                <a:gd name="connsiteY4" fmla="*/ 25262 h 148588"/>
                <a:gd name="connsiteX5" fmla="*/ 2903 w 284207"/>
                <a:gd name="connsiteY5" fmla="*/ 4306 h 148588"/>
                <a:gd name="connsiteX6" fmla="*/ 0 w 284207"/>
                <a:gd name="connsiteY6" fmla="*/ 0 h 1485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7" h="148588">
                  <a:moveTo>
                    <a:pt x="0" y="0"/>
                  </a:moveTo>
                  <a:lnTo>
                    <a:pt x="284207" y="0"/>
                  </a:lnTo>
                  <a:lnTo>
                    <a:pt x="284207" y="148588"/>
                  </a:lnTo>
                  <a:lnTo>
                    <a:pt x="7134" y="148588"/>
                  </a:lnTo>
                  <a:lnTo>
                    <a:pt x="7134" y="25262"/>
                  </a:lnTo>
                  <a:cubicBezTo>
                    <a:pt x="7134" y="17829"/>
                    <a:pt x="5628" y="10747"/>
                    <a:pt x="2903" y="4306"/>
                  </a:cubicBezTo>
                  <a:lnTo>
                    <a:pt x="0"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6" name="Freeform: Shape 58">
              <a:extLst>
                <a:ext uri="{FF2B5EF4-FFF2-40B4-BE49-F238E27FC236}">
                  <a16:creationId xmlns:a16="http://schemas.microsoft.com/office/drawing/2014/main" id="{00000000-0008-0000-0400-000038000000}"/>
                </a:ext>
              </a:extLst>
            </xdr:cNvPr>
            <xdr:cNvSpPr/>
          </xdr:nvSpPr>
          <xdr:spPr>
            <a:xfrm>
              <a:off x="2716066" y="2262150"/>
              <a:ext cx="284208" cy="148589"/>
            </a:xfrm>
            <a:custGeom>
              <a:avLst/>
              <a:gdLst>
                <a:gd name="connsiteX0" fmla="*/ 0 w 284208"/>
                <a:gd name="connsiteY0" fmla="*/ 0 h 148589"/>
                <a:gd name="connsiteX1" fmla="*/ 277074 w 284208"/>
                <a:gd name="connsiteY1" fmla="*/ 0 h 148589"/>
                <a:gd name="connsiteX2" fmla="*/ 277074 w 284208"/>
                <a:gd name="connsiteY2" fmla="*/ 123327 h 148589"/>
                <a:gd name="connsiteX3" fmla="*/ 281305 w 284208"/>
                <a:gd name="connsiteY3" fmla="*/ 144283 h 148589"/>
                <a:gd name="connsiteX4" fmla="*/ 284208 w 284208"/>
                <a:gd name="connsiteY4" fmla="*/ 148589 h 148589"/>
                <a:gd name="connsiteX5" fmla="*/ 0 w 284208"/>
                <a:gd name="connsiteY5" fmla="*/ 148589 h 148589"/>
                <a:gd name="connsiteX6" fmla="*/ 0 w 284208"/>
                <a:gd name="connsiteY6" fmla="*/ 0 h 1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8" h="148589">
                  <a:moveTo>
                    <a:pt x="0" y="0"/>
                  </a:moveTo>
                  <a:lnTo>
                    <a:pt x="277074" y="0"/>
                  </a:lnTo>
                  <a:lnTo>
                    <a:pt x="277074" y="123327"/>
                  </a:lnTo>
                  <a:cubicBezTo>
                    <a:pt x="277074" y="130761"/>
                    <a:pt x="278581" y="137842"/>
                    <a:pt x="281305" y="144283"/>
                  </a:cubicBezTo>
                  <a:lnTo>
                    <a:pt x="284208" y="148589"/>
                  </a:lnTo>
                  <a:lnTo>
                    <a:pt x="0" y="148589"/>
                  </a:lnTo>
                  <a:lnTo>
                    <a:pt x="0" y="0"/>
                  </a:lnTo>
                  <a:close/>
                </a:path>
              </a:pathLst>
            </a:custGeom>
            <a:grpFill/>
            <a:ln w="6350" cap="flat" cmpd="sng" algn="ctr">
              <a:solidFill>
                <a:srgbClr val="4472C4">
                  <a:shade val="15000"/>
                </a:srgbClr>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7" name="Freeform: Shape 59">
              <a:extLst>
                <a:ext uri="{FF2B5EF4-FFF2-40B4-BE49-F238E27FC236}">
                  <a16:creationId xmlns:a16="http://schemas.microsoft.com/office/drawing/2014/main" id="{00000000-0008-0000-0400-000039000000}"/>
                </a:ext>
              </a:extLst>
            </xdr:cNvPr>
            <xdr:cNvSpPr/>
          </xdr:nvSpPr>
          <xdr:spPr>
            <a:xfrm>
              <a:off x="3142409" y="2262150"/>
              <a:ext cx="284207" cy="148589"/>
            </a:xfrm>
            <a:custGeom>
              <a:avLst/>
              <a:gdLst>
                <a:gd name="connsiteX0" fmla="*/ 7134 w 284207"/>
                <a:gd name="connsiteY0" fmla="*/ 0 h 148589"/>
                <a:gd name="connsiteX1" fmla="*/ 284207 w 284207"/>
                <a:gd name="connsiteY1" fmla="*/ 0 h 148589"/>
                <a:gd name="connsiteX2" fmla="*/ 284207 w 284207"/>
                <a:gd name="connsiteY2" fmla="*/ 148589 h 148589"/>
                <a:gd name="connsiteX3" fmla="*/ 0 w 284207"/>
                <a:gd name="connsiteY3" fmla="*/ 148589 h 148589"/>
                <a:gd name="connsiteX4" fmla="*/ 2903 w 284207"/>
                <a:gd name="connsiteY4" fmla="*/ 144283 h 148589"/>
                <a:gd name="connsiteX5" fmla="*/ 7134 w 284207"/>
                <a:gd name="connsiteY5" fmla="*/ 123327 h 148589"/>
                <a:gd name="connsiteX6" fmla="*/ 7134 w 284207"/>
                <a:gd name="connsiteY6" fmla="*/ 0 h 1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7" h="148589">
                  <a:moveTo>
                    <a:pt x="7134" y="0"/>
                  </a:moveTo>
                  <a:lnTo>
                    <a:pt x="284207" y="0"/>
                  </a:lnTo>
                  <a:lnTo>
                    <a:pt x="284207" y="148589"/>
                  </a:lnTo>
                  <a:lnTo>
                    <a:pt x="0" y="148589"/>
                  </a:lnTo>
                  <a:lnTo>
                    <a:pt x="2903" y="144283"/>
                  </a:lnTo>
                  <a:cubicBezTo>
                    <a:pt x="5628" y="137842"/>
                    <a:pt x="7134" y="130761"/>
                    <a:pt x="7134" y="123327"/>
                  </a:cubicBezTo>
                  <a:lnTo>
                    <a:pt x="7134"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8" name="Rectangle: Rounded Corners 60">
              <a:extLst>
                <a:ext uri="{FF2B5EF4-FFF2-40B4-BE49-F238E27FC236}">
                  <a16:creationId xmlns:a16="http://schemas.microsoft.com/office/drawing/2014/main" id="{00000000-0008-0000-0400-00003A000000}"/>
                </a:ext>
              </a:extLst>
            </xdr:cNvPr>
            <xdr:cNvSpPr/>
          </xdr:nvSpPr>
          <xdr:spPr>
            <a:xfrm>
              <a:off x="2993139" y="2084984"/>
              <a:ext cx="156401" cy="354330"/>
            </a:xfrm>
            <a:prstGeom prst="roundRect">
              <a:avLst>
                <a:gd name="adj" fmla="val 34423"/>
              </a:avLst>
            </a:prstGeom>
            <a:grpFill/>
            <a:ln w="6350" cap="flat" cmpd="sng" algn="ctr">
              <a:solidFill>
                <a:sysClr val="windowText" lastClr="000000"/>
              </a:solid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sp macro="" textlink="">
        <xdr:nvSpPr>
          <xdr:cNvPr id="49" name="Oval 48">
            <a:extLst>
              <a:ext uri="{FF2B5EF4-FFF2-40B4-BE49-F238E27FC236}">
                <a16:creationId xmlns:a16="http://schemas.microsoft.com/office/drawing/2014/main" id="{00000000-0008-0000-0400-000031000000}"/>
              </a:ext>
            </a:extLst>
          </xdr:cNvPr>
          <xdr:cNvSpPr/>
        </xdr:nvSpPr>
        <xdr:spPr>
          <a:xfrm>
            <a:off x="10163787" y="1535610"/>
            <a:ext cx="504000" cy="504000"/>
          </a:xfrm>
          <a:prstGeom prst="ellipse">
            <a:avLst/>
          </a:prstGeom>
          <a:solidFill>
            <a:srgbClr val="FF0000"/>
          </a:solidFill>
          <a:ln w="12700" cap="flat" cmpd="sng" algn="ctr">
            <a:no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0" name="Oval 49">
            <a:extLst>
              <a:ext uri="{FF2B5EF4-FFF2-40B4-BE49-F238E27FC236}">
                <a16:creationId xmlns:a16="http://schemas.microsoft.com/office/drawing/2014/main" id="{00000000-0008-0000-0400-000032000000}"/>
              </a:ext>
            </a:extLst>
          </xdr:cNvPr>
          <xdr:cNvSpPr/>
        </xdr:nvSpPr>
        <xdr:spPr>
          <a:xfrm>
            <a:off x="10414983" y="1535610"/>
            <a:ext cx="505609" cy="504000"/>
          </a:xfrm>
          <a:prstGeom prst="ellipse">
            <a:avLst/>
          </a:prstGeom>
          <a:solidFill>
            <a:srgbClr val="FFC000"/>
          </a:solidFill>
          <a:ln w="12700" cap="flat" cmpd="sng" algn="ctr">
            <a:no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1" name="TextBox 55">
            <a:extLst>
              <a:ext uri="{FF2B5EF4-FFF2-40B4-BE49-F238E27FC236}">
                <a16:creationId xmlns:a16="http://schemas.microsoft.com/office/drawing/2014/main" id="{00000000-0008-0000-0400-000033000000}"/>
              </a:ext>
            </a:extLst>
          </xdr:cNvPr>
          <xdr:cNvSpPr txBox="1"/>
        </xdr:nvSpPr>
        <xdr:spPr>
          <a:xfrm>
            <a:off x="7227366" y="3183940"/>
            <a:ext cx="3547978" cy="708003"/>
          </a:xfrm>
          <a:prstGeom prst="rect">
            <a:avLst/>
          </a:prstGeom>
          <a:noFill/>
        </xdr:spPr>
        <xdr:txBody>
          <a:bodyPr wrap="square" rtlCol="0">
            <a:sp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ysClr val="window" lastClr="FFFFFF"/>
                </a:solidFill>
                <a:effectLst/>
                <a:uLnTx/>
                <a:uFillTx/>
                <a:latin typeface="Calibri" panose="020F0502020204030204"/>
                <a:ea typeface="+mn-ea"/>
                <a:cs typeface="+mn-cs"/>
              </a:rPr>
              <a:t>1234 …. …. 5678</a:t>
            </a: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19</xdr:col>
      <xdr:colOff>361656</xdr:colOff>
      <xdr:row>22</xdr:row>
      <xdr:rowOff>897</xdr:rowOff>
    </xdr:from>
    <xdr:to>
      <xdr:col>21</xdr:col>
      <xdr:colOff>460346</xdr:colOff>
      <xdr:row>25</xdr:row>
      <xdr:rowOff>34963</xdr:rowOff>
    </xdr:to>
    <xdr:sp macro="" textlink="Processing!M1">
      <xdr:nvSpPr>
        <xdr:cNvPr id="59" name="TextBox 58">
          <a:extLst>
            <a:ext uri="{FF2B5EF4-FFF2-40B4-BE49-F238E27FC236}">
              <a16:creationId xmlns:a16="http://schemas.microsoft.com/office/drawing/2014/main" id="{00000000-0008-0000-0400-00003B000000}"/>
            </a:ext>
          </a:extLst>
        </xdr:cNvPr>
        <xdr:cNvSpPr txBox="1"/>
      </xdr:nvSpPr>
      <xdr:spPr>
        <a:xfrm>
          <a:off x="16046156" y="4471297"/>
          <a:ext cx="1749690" cy="643666"/>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CE5DF316-47DF-444C-92AF-F15EAF3EED62}" type="TxLink">
            <a:rPr kumimoji="0" lang="en-US" sz="1800" b="0" i="0" u="none" strike="noStrike" kern="0" cap="none" spc="0" normalizeH="0" baseline="0" noProof="0">
              <a:ln>
                <a:noFill/>
              </a:ln>
              <a:solidFill>
                <a:srgbClr val="BFCDE4"/>
              </a:soli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Sum of Balance</a:t>
          </a:fld>
          <a:endParaRPr kumimoji="0" lang="ru-RU" sz="1800" b="0" i="0" u="none" strike="noStrike" kern="0" cap="none" spc="0" normalizeH="0" baseline="0" noProof="0">
            <a:ln>
              <a:noFill/>
            </a:ln>
            <a:solidFill>
              <a:srgbClr val="BFCDE4"/>
            </a:solidFill>
            <a:effectLst/>
            <a:uLnTx/>
            <a:uFillTx/>
            <a:latin typeface="Calibri"/>
            <a:ea typeface="+mn-ea"/>
            <a:cs typeface="Calibri"/>
          </a:endParaRPr>
        </a:p>
      </xdr:txBody>
    </xdr:sp>
    <xdr:clientData/>
  </xdr:twoCellAnchor>
  <xdr:twoCellAnchor>
    <xdr:from>
      <xdr:col>18</xdr:col>
      <xdr:colOff>157257</xdr:colOff>
      <xdr:row>22</xdr:row>
      <xdr:rowOff>897</xdr:rowOff>
    </xdr:from>
    <xdr:to>
      <xdr:col>20</xdr:col>
      <xdr:colOff>193195</xdr:colOff>
      <xdr:row>25</xdr:row>
      <xdr:rowOff>34963</xdr:rowOff>
    </xdr:to>
    <xdr:sp macro="" textlink="Processing!L1">
      <xdr:nvSpPr>
        <xdr:cNvPr id="60" name="TextBox 59">
          <a:extLst>
            <a:ext uri="{FF2B5EF4-FFF2-40B4-BE49-F238E27FC236}">
              <a16:creationId xmlns:a16="http://schemas.microsoft.com/office/drawing/2014/main" id="{00000000-0008-0000-0400-00003C000000}"/>
            </a:ext>
          </a:extLst>
        </xdr:cNvPr>
        <xdr:cNvSpPr txBox="1"/>
      </xdr:nvSpPr>
      <xdr:spPr>
        <a:xfrm>
          <a:off x="15016257" y="4471297"/>
          <a:ext cx="1686938"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BC927F91-9CAD-8A4A-A29F-3E30DC6E8ABF}" type="TxLink">
            <a:rPr kumimoji="0" lang="en-US" sz="1800" b="0" i="0" u="none" strike="noStrike" kern="0" cap="none" spc="0" normalizeH="0" baseline="0" noProof="0">
              <a:ln>
                <a:noFill/>
              </a:ln>
              <a:solidFill>
                <a:srgbClr val="BFCDE4"/>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Balance:</a:t>
          </a:fld>
          <a:endParaRPr kumimoji="0" lang="ru-RU" sz="1800" b="0" i="0" u="none" strike="noStrike" kern="0" cap="none" spc="0" normalizeH="0" baseline="0" noProof="0">
            <a:ln>
              <a:noFill/>
            </a:ln>
            <a:solidFill>
              <a:srgbClr val="BFCDE4"/>
            </a:solidFill>
            <a:effectLst/>
            <a:uLnTx/>
            <a:uFillTx/>
            <a:latin typeface="Calibri"/>
            <a:ea typeface="+mn-ea"/>
            <a:cs typeface="Calibri"/>
          </a:endParaRPr>
        </a:p>
      </xdr:txBody>
    </xdr:sp>
    <xdr:clientData/>
  </xdr:twoCellAnchor>
  <xdr:twoCellAnchor>
    <xdr:from>
      <xdr:col>17</xdr:col>
      <xdr:colOff>648963</xdr:colOff>
      <xdr:row>27</xdr:row>
      <xdr:rowOff>159270</xdr:rowOff>
    </xdr:from>
    <xdr:to>
      <xdr:col>19</xdr:col>
      <xdr:colOff>747654</xdr:colOff>
      <xdr:row>30</xdr:row>
      <xdr:rowOff>193336</xdr:rowOff>
    </xdr:to>
    <xdr:sp macro="" textlink="Processing!G1">
      <xdr:nvSpPr>
        <xdr:cNvPr id="61" name="TextBox 60">
          <a:extLst>
            <a:ext uri="{FF2B5EF4-FFF2-40B4-BE49-F238E27FC236}">
              <a16:creationId xmlns:a16="http://schemas.microsoft.com/office/drawing/2014/main" id="{00000000-0008-0000-0400-00003D000000}"/>
            </a:ext>
          </a:extLst>
        </xdr:cNvPr>
        <xdr:cNvSpPr txBox="1"/>
      </xdr:nvSpPr>
      <xdr:spPr>
        <a:xfrm>
          <a:off x="14682463" y="5645670"/>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4B686B8D-FE8E-3741-B3A8-4814C88F311B}"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Calendar</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18</xdr:col>
      <xdr:colOff>40344</xdr:colOff>
      <xdr:row>30</xdr:row>
      <xdr:rowOff>158378</xdr:rowOff>
    </xdr:from>
    <xdr:to>
      <xdr:col>21</xdr:col>
      <xdr:colOff>586858</xdr:colOff>
      <xdr:row>32</xdr:row>
      <xdr:rowOff>14568</xdr:rowOff>
    </xdr:to>
    <xdr:sp macro="" textlink="">
      <xdr:nvSpPr>
        <xdr:cNvPr id="63" name="TextBox 62">
          <a:extLst>
            <a:ext uri="{FF2B5EF4-FFF2-40B4-BE49-F238E27FC236}">
              <a16:creationId xmlns:a16="http://schemas.microsoft.com/office/drawing/2014/main" id="{00000000-0008-0000-0400-00003F000000}"/>
            </a:ext>
          </a:extLst>
        </xdr:cNvPr>
        <xdr:cNvSpPr txBox="1"/>
      </xdr:nvSpPr>
      <xdr:spPr>
        <a:xfrm>
          <a:off x="14899344" y="6254378"/>
          <a:ext cx="3023014" cy="262590"/>
        </a:xfrm>
        <a:prstGeom prst="rect">
          <a:avLst/>
        </a:prstGeom>
        <a:noFill/>
        <a:ln w="9525" cmpd="sng">
          <a:no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rgbClr val="FF00FF"/>
              </a:solidFill>
              <a:effectLst/>
              <a:uLnTx/>
              <a:uFillTx/>
              <a:latin typeface="Calibri Light" panose="020F0302020204030204"/>
              <a:ea typeface="+mn-ea"/>
              <a:cs typeface="Calibri"/>
            </a:rPr>
            <a:t>SU </a:t>
          </a:r>
          <a:r>
            <a:rPr kumimoji="0" lang="en-US" sz="1200" b="0" i="0" u="none" strike="noStrike" kern="0" cap="none" spc="0" normalizeH="0" baseline="0" noProof="0">
              <a:ln>
                <a:noFill/>
              </a:ln>
              <a:solidFill>
                <a:sysClr val="windowText" lastClr="000000"/>
              </a:solidFill>
              <a:effectLst/>
              <a:uLnTx/>
              <a:uFillTx/>
              <a:latin typeface="Calibri Light" panose="020F0302020204030204"/>
              <a:ea typeface="+mn-ea"/>
              <a:cs typeface="+mn-cs"/>
            </a:rPr>
            <a:t> </a:t>
          </a:r>
          <a:r>
            <a:rPr kumimoji="0" lang="en-US" sz="1200" b="0" i="0" u="none" strike="noStrike" kern="0" cap="none" spc="0" normalizeH="0" baseline="0" noProof="0">
              <a:ln>
                <a:noFill/>
              </a:ln>
              <a:solidFill>
                <a:srgbClr val="00FAE3"/>
              </a:solidFill>
              <a:effectLst/>
              <a:uLnTx/>
              <a:uFillTx/>
              <a:latin typeface="Calibri Light" panose="020F0302020204030204"/>
              <a:ea typeface="+mn-ea"/>
              <a:cs typeface="+mn-cs"/>
            </a:rPr>
            <a:t>   </a:t>
          </a:r>
          <a:r>
            <a:rPr kumimoji="0" lang="en-US" sz="1200" b="0" i="0" u="none" strike="noStrike" kern="0" cap="none" spc="0" normalizeH="0" baseline="0" noProof="0">
              <a:ln>
                <a:noFill/>
              </a:ln>
              <a:solidFill>
                <a:sysClr val="window" lastClr="FFFFFF">
                  <a:lumMod val="95000"/>
                </a:sysClr>
              </a:solidFill>
              <a:effectLst/>
              <a:uLnTx/>
              <a:uFillTx/>
              <a:latin typeface="Calibri Light" panose="020F0302020204030204"/>
              <a:ea typeface="+mn-ea"/>
              <a:cs typeface="Calibri"/>
            </a:rPr>
            <a:t>MO      TU      WE      TH      FR </a:t>
          </a:r>
          <a:r>
            <a:rPr kumimoji="0" lang="en-US" sz="1200" b="0" i="0" u="none" strike="noStrike" kern="0" cap="none" spc="0" normalizeH="0" baseline="0" noProof="0">
              <a:ln>
                <a:noFill/>
              </a:ln>
              <a:solidFill>
                <a:sysClr val="window" lastClr="FFFFFF">
                  <a:lumMod val="95000"/>
                </a:sysClr>
              </a:solidFill>
              <a:effectLst/>
              <a:uLnTx/>
              <a:uFillTx/>
              <a:latin typeface="Calibri Light" panose="020F0302020204030204"/>
              <a:ea typeface="+mn-ea"/>
              <a:cs typeface="+mn-cs"/>
            </a:rPr>
            <a:t>    </a:t>
          </a:r>
          <a:r>
            <a:rPr kumimoji="0" lang="en-US" sz="1200" b="1" i="0" u="none" strike="noStrike" kern="0" cap="none" spc="0" normalizeH="0" baseline="0" noProof="0">
              <a:ln>
                <a:noFill/>
              </a:ln>
              <a:solidFill>
                <a:srgbClr val="FF00FF"/>
              </a:solidFill>
              <a:effectLst/>
              <a:uLnTx/>
              <a:uFillTx/>
              <a:latin typeface="Calibri Light" panose="020F0302020204030204"/>
              <a:ea typeface="+mn-ea"/>
              <a:cs typeface="+mn-cs"/>
            </a:rPr>
            <a:t>SA</a:t>
          </a:r>
          <a:endParaRPr kumimoji="0" lang="en-US" sz="1200" b="1" i="0" u="none" strike="noStrike" kern="0" cap="none" spc="0" normalizeH="0" baseline="0" noProof="0">
            <a:ln>
              <a:noFill/>
            </a:ln>
            <a:solidFill>
              <a:srgbClr val="FF00FF"/>
            </a:solidFill>
            <a:effectLst/>
            <a:uLnTx/>
            <a:uFillTx/>
            <a:latin typeface="Calibri Light" panose="020F0302020204030204"/>
            <a:ea typeface="+mn-ea"/>
            <a:cs typeface="Calibri"/>
          </a:endParaRPr>
        </a:p>
      </xdr:txBody>
    </xdr:sp>
    <xdr:clientData/>
  </xdr:twoCellAnchor>
  <xdr:twoCellAnchor>
    <xdr:from>
      <xdr:col>18</xdr:col>
      <xdr:colOff>708382</xdr:colOff>
      <xdr:row>27</xdr:row>
      <xdr:rowOff>159270</xdr:rowOff>
    </xdr:from>
    <xdr:to>
      <xdr:col>20</xdr:col>
      <xdr:colOff>744320</xdr:colOff>
      <xdr:row>30</xdr:row>
      <xdr:rowOff>193336</xdr:rowOff>
    </xdr:to>
    <xdr:sp macro="" textlink="Processing!F3">
      <xdr:nvSpPr>
        <xdr:cNvPr id="64" name="TextBox 63">
          <a:extLst>
            <a:ext uri="{FF2B5EF4-FFF2-40B4-BE49-F238E27FC236}">
              <a16:creationId xmlns:a16="http://schemas.microsoft.com/office/drawing/2014/main" id="{00000000-0008-0000-0400-000040000000}"/>
            </a:ext>
          </a:extLst>
        </xdr:cNvPr>
        <xdr:cNvSpPr txBox="1"/>
      </xdr:nvSpPr>
      <xdr:spPr>
        <a:xfrm>
          <a:off x="15567382" y="5645670"/>
          <a:ext cx="1686938" cy="643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A3C03147-0589-BC4D-8777-FF32D2E5B7F7}" type="TxLink">
            <a:rPr lang="en-US" sz="1400" b="0"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Maggio</a:t>
          </a:fld>
          <a:endParaRPr lang="ru-RU" sz="1400" b="0" i="0" u="none" strike="noStrike" noProof="0">
            <a:solidFill>
              <a:schemeClr val="bg1"/>
            </a:solidFill>
            <a:latin typeface="Calibri"/>
            <a:ea typeface="+mn-ea"/>
            <a:cs typeface="Calibri"/>
          </a:endParaRPr>
        </a:p>
      </xdr:txBody>
    </xdr:sp>
    <xdr:clientData/>
  </xdr:twoCellAnchor>
  <xdr:twoCellAnchor>
    <xdr:from>
      <xdr:col>20</xdr:col>
      <xdr:colOff>558800</xdr:colOff>
      <xdr:row>27</xdr:row>
      <xdr:rowOff>159270</xdr:rowOff>
    </xdr:from>
    <xdr:to>
      <xdr:col>21</xdr:col>
      <xdr:colOff>698748</xdr:colOff>
      <xdr:row>30</xdr:row>
      <xdr:rowOff>193336</xdr:rowOff>
    </xdr:to>
    <xdr:sp macro="" textlink="Processing!D1">
      <xdr:nvSpPr>
        <xdr:cNvPr id="65" name="TextBox 64">
          <a:extLst>
            <a:ext uri="{FF2B5EF4-FFF2-40B4-BE49-F238E27FC236}">
              <a16:creationId xmlns:a16="http://schemas.microsoft.com/office/drawing/2014/main" id="{00000000-0008-0000-0400-000041000000}"/>
            </a:ext>
          </a:extLst>
        </xdr:cNvPr>
        <xdr:cNvSpPr txBox="1"/>
      </xdr:nvSpPr>
      <xdr:spPr>
        <a:xfrm>
          <a:off x="17068800" y="5645670"/>
          <a:ext cx="965448" cy="643666"/>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68260C92-F11F-0346-8A55-7D6D2831592E}"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2025</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3</xdr:col>
      <xdr:colOff>597948</xdr:colOff>
      <xdr:row>34</xdr:row>
      <xdr:rowOff>60660</xdr:rowOff>
    </xdr:from>
    <xdr:to>
      <xdr:col>6</xdr:col>
      <xdr:colOff>253707</xdr:colOff>
      <xdr:row>37</xdr:row>
      <xdr:rowOff>94725</xdr:rowOff>
    </xdr:to>
    <xdr:sp macro="" textlink="Processing!M25">
      <xdr:nvSpPr>
        <xdr:cNvPr id="66" name="TextBox 65">
          <a:extLst>
            <a:ext uri="{FF2B5EF4-FFF2-40B4-BE49-F238E27FC236}">
              <a16:creationId xmlns:a16="http://schemas.microsoft.com/office/drawing/2014/main" id="{00000000-0008-0000-0400-000042000000}"/>
            </a:ext>
          </a:extLst>
        </xdr:cNvPr>
        <xdr:cNvSpPr txBox="1"/>
      </xdr:nvSpPr>
      <xdr:spPr>
        <a:xfrm>
          <a:off x="3074448" y="6969460"/>
          <a:ext cx="2132259" cy="643665"/>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707BDDC3-A8DA-4A4A-94A9-5F37CBAEA6B0}" type="TxLink">
            <a:rPr kumimoji="0" lang="en-US" sz="1400" b="1"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Portfolio Capitalization</a:t>
          </a:fld>
          <a:endParaRPr kumimoji="0" lang="ru-RU" sz="1400" b="1"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3</xdr:col>
      <xdr:colOff>643216</xdr:colOff>
      <xdr:row>37</xdr:row>
      <xdr:rowOff>5976</xdr:rowOff>
    </xdr:from>
    <xdr:to>
      <xdr:col>12</xdr:col>
      <xdr:colOff>383998</xdr:colOff>
      <xdr:row>46</xdr:row>
      <xdr:rowOff>146424</xdr:rowOff>
    </xdr:to>
    <xdr:graphicFrame macro="">
      <xdr:nvGraphicFramePr>
        <xdr:cNvPr id="67" name="Chart 66">
          <a:extLst>
            <a:ext uri="{FF2B5EF4-FFF2-40B4-BE49-F238E27FC236}">
              <a16:creationId xmlns:a16="http://schemas.microsoft.com/office/drawing/2014/main" id="{00000000-0008-0000-0400-00004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70221</xdr:colOff>
      <xdr:row>36</xdr:row>
      <xdr:rowOff>158376</xdr:rowOff>
    </xdr:from>
    <xdr:to>
      <xdr:col>16</xdr:col>
      <xdr:colOff>373529</xdr:colOff>
      <xdr:row>46</xdr:row>
      <xdr:rowOff>34912</xdr:rowOff>
    </xdr:to>
    <xdr:graphicFrame macro="">
      <xdr:nvGraphicFramePr>
        <xdr:cNvPr id="68" name="Chart 67">
          <a:extLst>
            <a:ext uri="{FF2B5EF4-FFF2-40B4-BE49-F238E27FC236}">
              <a16:creationId xmlns:a16="http://schemas.microsoft.com/office/drawing/2014/main" id="{00000000-0008-0000-04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204247</xdr:colOff>
      <xdr:row>34</xdr:row>
      <xdr:rowOff>60660</xdr:rowOff>
    </xdr:from>
    <xdr:to>
      <xdr:col>16</xdr:col>
      <xdr:colOff>302938</xdr:colOff>
      <xdr:row>37</xdr:row>
      <xdr:rowOff>94725</xdr:rowOff>
    </xdr:to>
    <xdr:sp macro="" textlink="Processing!I153">
      <xdr:nvSpPr>
        <xdr:cNvPr id="69" name="TextBox 68">
          <a:extLst>
            <a:ext uri="{FF2B5EF4-FFF2-40B4-BE49-F238E27FC236}">
              <a16:creationId xmlns:a16="http://schemas.microsoft.com/office/drawing/2014/main" id="{00000000-0008-0000-0400-000045000000}"/>
            </a:ext>
          </a:extLst>
        </xdr:cNvPr>
        <xdr:cNvSpPr txBox="1"/>
      </xdr:nvSpPr>
      <xdr:spPr>
        <a:xfrm>
          <a:off x="11761247" y="6969460"/>
          <a:ext cx="1749691" cy="643665"/>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B4918B4C-6F96-A34A-B6E5-E9820F1349F1}" type="TxLink">
            <a:rPr kumimoji="0" lang="en-US" sz="1400" b="1" i="0" u="none" strike="noStrike" kern="0" cap="none" spc="0" normalizeH="0" baseline="0" noProof="0">
              <a:ln>
                <a:noFill/>
              </a:ln>
              <a:solidFill>
                <a:sysClr val="window" lastClr="FFFFFF"/>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Profit Portfolio</a:t>
          </a:fld>
          <a:endParaRPr kumimoji="0" lang="ru-RU" sz="1400" b="1"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313763</xdr:colOff>
      <xdr:row>1</xdr:row>
      <xdr:rowOff>54468</xdr:rowOff>
    </xdr:from>
    <xdr:to>
      <xdr:col>2</xdr:col>
      <xdr:colOff>412454</xdr:colOff>
      <xdr:row>4</xdr:row>
      <xdr:rowOff>61000</xdr:rowOff>
    </xdr:to>
    <xdr:sp macro="" textlink="Processing!G3">
      <xdr:nvSpPr>
        <xdr:cNvPr id="70" name="TextBox 69">
          <a:extLst>
            <a:ext uri="{FF2B5EF4-FFF2-40B4-BE49-F238E27FC236}">
              <a16:creationId xmlns:a16="http://schemas.microsoft.com/office/drawing/2014/main" id="{00000000-0008-0000-0400-000046000000}"/>
            </a:ext>
          </a:extLst>
        </xdr:cNvPr>
        <xdr:cNvSpPr txBox="1"/>
      </xdr:nvSpPr>
      <xdr:spPr>
        <a:xfrm>
          <a:off x="313763" y="257668"/>
          <a:ext cx="1749691" cy="616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7CAD2616-8948-1C4C-9E4E-7BA5BF67FA50}" type="TxLink">
            <a:rPr lang="en-US" sz="1200" b="0"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Personal Finance</a:t>
          </a:fld>
          <a:endParaRPr lang="ru-RU" sz="1200" b="0" i="0" u="none" strike="noStrike" noProof="0">
            <a:solidFill>
              <a:schemeClr val="bg1"/>
            </a:solidFill>
            <a:latin typeface="Calibri"/>
            <a:ea typeface="+mn-ea"/>
            <a:cs typeface="Calibri"/>
          </a:endParaRPr>
        </a:p>
      </xdr:txBody>
    </xdr:sp>
    <xdr:clientData/>
  </xdr:twoCellAnchor>
  <xdr:twoCellAnchor>
    <xdr:from>
      <xdr:col>14</xdr:col>
      <xdr:colOff>330779</xdr:colOff>
      <xdr:row>39</xdr:row>
      <xdr:rowOff>201108</xdr:rowOff>
    </xdr:from>
    <xdr:to>
      <xdr:col>16</xdr:col>
      <xdr:colOff>95725</xdr:colOff>
      <xdr:row>43</xdr:row>
      <xdr:rowOff>31974</xdr:rowOff>
    </xdr:to>
    <xdr:sp macro="" textlink="Processing!L155">
      <xdr:nvSpPr>
        <xdr:cNvPr id="71" name="TextBox 70">
          <a:extLst>
            <a:ext uri="{FF2B5EF4-FFF2-40B4-BE49-F238E27FC236}">
              <a16:creationId xmlns:a16="http://schemas.microsoft.com/office/drawing/2014/main" id="{00000000-0008-0000-0400-000047000000}"/>
            </a:ext>
          </a:extLst>
        </xdr:cNvPr>
        <xdr:cNvSpPr txBox="1"/>
      </xdr:nvSpPr>
      <xdr:spPr>
        <a:xfrm>
          <a:off x="11887779" y="8125908"/>
          <a:ext cx="1415946" cy="643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8CB7DFD5-5F36-BF43-B079-1D277CDB4DF1}" type="TxLink">
            <a:rPr lang="en-US" sz="2000" b="0"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-100%</a:t>
          </a:fld>
          <a:endParaRPr lang="ru-RU" sz="2000" b="0" i="0" u="none" strike="noStrike" noProof="0">
            <a:solidFill>
              <a:schemeClr val="bg1"/>
            </a:solidFill>
            <a:latin typeface="Calibri"/>
            <a:ea typeface="+mn-ea"/>
            <a:cs typeface="Calibri"/>
          </a:endParaRPr>
        </a:p>
      </xdr:txBody>
    </xdr:sp>
    <xdr:clientData/>
  </xdr:twoCellAnchor>
  <xdr:twoCellAnchor>
    <xdr:from>
      <xdr:col>12</xdr:col>
      <xdr:colOff>430303</xdr:colOff>
      <xdr:row>39</xdr:row>
      <xdr:rowOff>42728</xdr:rowOff>
    </xdr:from>
    <xdr:to>
      <xdr:col>14</xdr:col>
      <xdr:colOff>384090</xdr:colOff>
      <xdr:row>44</xdr:row>
      <xdr:rowOff>163455</xdr:rowOff>
    </xdr:to>
    <xdr:grpSp>
      <xdr:nvGrpSpPr>
        <xdr:cNvPr id="72" name="Group 71">
          <a:extLst>
            <a:ext uri="{FF2B5EF4-FFF2-40B4-BE49-F238E27FC236}">
              <a16:creationId xmlns:a16="http://schemas.microsoft.com/office/drawing/2014/main" id="{00000000-0008-0000-0400-000048000000}"/>
            </a:ext>
          </a:extLst>
        </xdr:cNvPr>
        <xdr:cNvGrpSpPr/>
      </xdr:nvGrpSpPr>
      <xdr:grpSpPr>
        <a:xfrm>
          <a:off x="10336303" y="7719878"/>
          <a:ext cx="1604787" cy="1104977"/>
          <a:chOff x="9108140" y="7325061"/>
          <a:chExt cx="1479281" cy="1047080"/>
        </a:xfrm>
      </xdr:grpSpPr>
      <xdr:sp macro="" textlink="Processing!I151">
        <xdr:nvSpPr>
          <xdr:cNvPr id="73" name="TextBox 72">
            <a:extLst>
              <a:ext uri="{FF2B5EF4-FFF2-40B4-BE49-F238E27FC236}">
                <a16:creationId xmlns:a16="http://schemas.microsoft.com/office/drawing/2014/main" id="{00000000-0008-0000-0400-000049000000}"/>
              </a:ext>
            </a:extLst>
          </xdr:cNvPr>
          <xdr:cNvSpPr txBox="1"/>
        </xdr:nvSpPr>
        <xdr:spPr>
          <a:xfrm>
            <a:off x="9296981" y="7325061"/>
            <a:ext cx="1290440" cy="598842"/>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BED4352B-25B0-054E-B06A-DEE732AC9C35}" type="TxLink">
              <a:rPr kumimoji="0" lang="en-US" sz="1100" b="0" i="0" u="none" strike="noStrike" kern="0" cap="none" spc="0" normalizeH="0" baseline="0" noProof="0">
                <a:ln>
                  <a:noFill/>
                </a:ln>
                <a:solidFill>
                  <a:srgbClr val="BFCDE4"/>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Price</a:t>
            </a:fld>
            <a:endParaRPr kumimoji="0" lang="ru-RU" sz="1100" b="0" i="0" u="none" strike="noStrike" kern="0" cap="none" spc="0" normalizeH="0" baseline="0" noProof="0">
              <a:ln>
                <a:noFill/>
              </a:ln>
              <a:solidFill>
                <a:srgbClr val="BFCDE4"/>
              </a:solidFill>
              <a:effectLst/>
              <a:uLnTx/>
              <a:uFillTx/>
              <a:latin typeface="Calibri"/>
              <a:ea typeface="+mn-ea"/>
              <a:cs typeface="Calibri"/>
            </a:endParaRPr>
          </a:p>
        </xdr:txBody>
      </xdr:sp>
      <xdr:sp macro="" textlink="Processing!I152">
        <xdr:nvSpPr>
          <xdr:cNvPr id="74" name="TextBox 73">
            <a:extLst>
              <a:ext uri="{FF2B5EF4-FFF2-40B4-BE49-F238E27FC236}">
                <a16:creationId xmlns:a16="http://schemas.microsoft.com/office/drawing/2014/main" id="{00000000-0008-0000-0400-00004A000000}"/>
              </a:ext>
            </a:extLst>
          </xdr:cNvPr>
          <xdr:cNvSpPr txBox="1"/>
        </xdr:nvSpPr>
        <xdr:spPr>
          <a:xfrm>
            <a:off x="9296981" y="7773299"/>
            <a:ext cx="1290440" cy="598842"/>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60551CCF-4E28-704E-9D3E-A5587712481E}" type="TxLink">
              <a:rPr kumimoji="0" lang="en-US" sz="1100" b="0" i="0" u="none" strike="noStrike" kern="0" cap="none" spc="0" normalizeH="0" baseline="0" noProof="0">
                <a:ln>
                  <a:noFill/>
                </a:ln>
                <a:solidFill>
                  <a:srgbClr val="BFCDE4"/>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Drawdown</a:t>
            </a:fld>
            <a:endParaRPr kumimoji="0" lang="ru-RU" sz="1100" b="0" i="0" u="none" strike="noStrike" kern="0" cap="none" spc="0" normalizeH="0" baseline="0" noProof="0">
              <a:ln>
                <a:noFill/>
              </a:ln>
              <a:solidFill>
                <a:srgbClr val="BFCDE4"/>
              </a:solidFill>
              <a:effectLst/>
              <a:uLnTx/>
              <a:uFillTx/>
              <a:latin typeface="Calibri"/>
              <a:ea typeface="+mn-ea"/>
              <a:cs typeface="Calibri"/>
            </a:endParaRPr>
          </a:p>
        </xdr:txBody>
      </xdr:sp>
      <xdr:sp macro="" textlink="">
        <xdr:nvSpPr>
          <xdr:cNvPr id="75" name="Oval 74">
            <a:extLst>
              <a:ext uri="{FF2B5EF4-FFF2-40B4-BE49-F238E27FC236}">
                <a16:creationId xmlns:a16="http://schemas.microsoft.com/office/drawing/2014/main" id="{00000000-0008-0000-0400-00004B000000}"/>
              </a:ext>
            </a:extLst>
          </xdr:cNvPr>
          <xdr:cNvSpPr/>
        </xdr:nvSpPr>
        <xdr:spPr>
          <a:xfrm>
            <a:off x="9126070" y="7548282"/>
            <a:ext cx="144000" cy="144000"/>
          </a:xfrm>
          <a:prstGeom prst="ellipse">
            <a:avLst/>
          </a:prstGeom>
          <a:gradFill>
            <a:gsLst>
              <a:gs pos="0">
                <a:srgbClr val="7CF89B"/>
              </a:gs>
              <a:gs pos="100000">
                <a:srgbClr val="20D323"/>
              </a:gs>
            </a:gsLst>
            <a:lin ang="5400000" scaled="1"/>
          </a:gra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76" name="Oval 75">
            <a:extLst>
              <a:ext uri="{FF2B5EF4-FFF2-40B4-BE49-F238E27FC236}">
                <a16:creationId xmlns:a16="http://schemas.microsoft.com/office/drawing/2014/main" id="{00000000-0008-0000-0400-00004C000000}"/>
              </a:ext>
            </a:extLst>
          </xdr:cNvPr>
          <xdr:cNvSpPr/>
        </xdr:nvSpPr>
        <xdr:spPr>
          <a:xfrm>
            <a:off x="9108140" y="8005482"/>
            <a:ext cx="144000" cy="144000"/>
          </a:xfrm>
          <a:prstGeom prst="ellipse">
            <a:avLst/>
          </a:prstGeom>
          <a:solidFill>
            <a:srgbClr val="FE2827"/>
          </a:soli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9</xdr:col>
      <xdr:colOff>91883</xdr:colOff>
      <xdr:row>13</xdr:row>
      <xdr:rowOff>62752</xdr:rowOff>
    </xdr:from>
    <xdr:to>
      <xdr:col>16</xdr:col>
      <xdr:colOff>710160</xdr:colOff>
      <xdr:row>30</xdr:row>
      <xdr:rowOff>131484</xdr:rowOff>
    </xdr:to>
    <xdr:grpSp>
      <xdr:nvGrpSpPr>
        <xdr:cNvPr id="77" name="Group 76">
          <a:extLst>
            <a:ext uri="{FF2B5EF4-FFF2-40B4-BE49-F238E27FC236}">
              <a16:creationId xmlns:a16="http://schemas.microsoft.com/office/drawing/2014/main" id="{00000000-0008-0000-0400-00004D000000}"/>
            </a:ext>
          </a:extLst>
        </xdr:cNvPr>
        <xdr:cNvGrpSpPr/>
      </xdr:nvGrpSpPr>
      <xdr:grpSpPr>
        <a:xfrm>
          <a:off x="7521383" y="2621802"/>
          <a:ext cx="6396777" cy="3415182"/>
          <a:chOff x="6831101" y="2581835"/>
          <a:chExt cx="5832000" cy="3254190"/>
        </a:xfrm>
      </xdr:grpSpPr>
      <xdr:graphicFrame macro="">
        <xdr:nvGraphicFramePr>
          <xdr:cNvPr id="78" name="Chart 77">
            <a:extLst>
              <a:ext uri="{FF2B5EF4-FFF2-40B4-BE49-F238E27FC236}">
                <a16:creationId xmlns:a16="http://schemas.microsoft.com/office/drawing/2014/main" id="{00000000-0008-0000-0400-00004E000000}"/>
              </a:ext>
            </a:extLst>
          </xdr:cNvPr>
          <xdr:cNvGraphicFramePr>
            <a:graphicFrameLocks/>
          </xdr:cNvGraphicFramePr>
        </xdr:nvGraphicFramePr>
        <xdr:xfrm>
          <a:off x="6831101" y="2581835"/>
          <a:ext cx="5832000" cy="3168000"/>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79" name="Rectangle 78">
            <a:extLst>
              <a:ext uri="{FF2B5EF4-FFF2-40B4-BE49-F238E27FC236}">
                <a16:creationId xmlns:a16="http://schemas.microsoft.com/office/drawing/2014/main" id="{00000000-0008-0000-0400-00004F000000}"/>
              </a:ext>
            </a:extLst>
          </xdr:cNvPr>
          <xdr:cNvSpPr>
            <a:spLocks noTextEdit="1"/>
          </xdr:cNvSpPr>
        </xdr:nvSpPr>
        <xdr:spPr>
          <a:xfrm>
            <a:off x="6875929" y="2653555"/>
            <a:ext cx="5746377" cy="3182470"/>
          </a:xfrm>
          <a:prstGeom prst="rect">
            <a:avLst/>
          </a:prstGeom>
          <a:solidFill>
            <a:prstClr val="white"/>
          </a:solidFill>
          <a:ln w="1">
            <a:solidFill>
              <a:prstClr val="green"/>
            </a:solidFill>
          </a:ln>
        </xdr:spPr>
        <xdr:txBody>
          <a:bodyPr vertOverflow="clip" horzOverflow="clip"/>
          <a:lstStyle/>
          <a:p>
            <a:pPr marL="0" marR="0" lvl="0" indent="0" defTabSz="914400" eaLnBrk="1" fontAlgn="auto" latinLnBrk="0" hangingPunct="1">
              <a:lnSpc>
                <a:spcPct val="100000"/>
              </a:lnSpc>
              <a:spcBef>
                <a:spcPts val="0"/>
              </a:spcBef>
              <a:spcAft>
                <a:spcPts val="0"/>
              </a:spcAft>
              <a:buClrTx/>
              <a:buSzTx/>
              <a:buFontTx/>
              <a:buNone/>
              <a:tabLst/>
              <a:defRPr/>
            </a:pPr>
            <a:r>
              <a:rPr kumimoji="0" lang="ru-RU" sz="1100" b="0" i="0" u="none" strike="noStrike" kern="0" cap="none" spc="0" normalizeH="0" baseline="0" noProof="0">
                <a:ln>
                  <a:noFill/>
                </a:ln>
                <a:solidFill>
                  <a:sysClr val="windowText" lastClr="000000"/>
                </a:solidFill>
                <a:effectLst/>
                <a:uLnTx/>
                <a:uFillTx/>
              </a:rPr>
              <a:t>This chart isn't available in your version of Excel.
Editing this shape or saving this workbook into a different file format will permanently break the chart.</a:t>
            </a:r>
          </a:p>
        </xdr:txBody>
      </xdr:sp>
    </xdr:grpSp>
    <xdr:clientData/>
  </xdr:twoCellAnchor>
  <xdr:twoCellAnchor>
    <xdr:from>
      <xdr:col>14</xdr:col>
      <xdr:colOff>88155</xdr:colOff>
      <xdr:row>10</xdr:row>
      <xdr:rowOff>90542</xdr:rowOff>
    </xdr:from>
    <xdr:to>
      <xdr:col>15</xdr:col>
      <xdr:colOff>742952</xdr:colOff>
      <xdr:row>13</xdr:row>
      <xdr:rowOff>124606</xdr:rowOff>
    </xdr:to>
    <xdr:sp macro="" textlink="Processing!F150">
      <xdr:nvSpPr>
        <xdr:cNvPr id="80" name="TextBox 79">
          <a:extLst>
            <a:ext uri="{FF2B5EF4-FFF2-40B4-BE49-F238E27FC236}">
              <a16:creationId xmlns:a16="http://schemas.microsoft.com/office/drawing/2014/main" id="{00000000-0008-0000-0400-000050000000}"/>
            </a:ext>
          </a:extLst>
        </xdr:cNvPr>
        <xdr:cNvSpPr txBox="1"/>
      </xdr:nvSpPr>
      <xdr:spPr>
        <a:xfrm>
          <a:off x="11645155" y="2122542"/>
          <a:ext cx="1480297" cy="643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C15C75A3-BC2C-A74E-9251-6E6534E43ED6}" type="TxLink">
            <a:rPr lang="en-US" sz="1400" b="1" i="0" u="none" strike="noStrike" noProof="0">
              <a:solidFill>
                <a:srgbClr val="C4FEF9"/>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 € - </a:t>
          </a:fld>
          <a:endParaRPr lang="ru-RU" sz="1400" b="1" i="0" u="none" strike="noStrike" noProof="0">
            <a:solidFill>
              <a:srgbClr val="C4FEF9"/>
            </a:solidFill>
            <a:latin typeface="Calibri"/>
            <a:ea typeface="+mn-ea"/>
            <a:cs typeface="Calibri"/>
          </a:endParaRPr>
        </a:p>
      </xdr:txBody>
    </xdr:sp>
    <xdr:clientData/>
  </xdr:twoCellAnchor>
  <xdr:twoCellAnchor>
    <xdr:from>
      <xdr:col>15</xdr:col>
      <xdr:colOff>607359</xdr:colOff>
      <xdr:row>10</xdr:row>
      <xdr:rowOff>90542</xdr:rowOff>
    </xdr:from>
    <xdr:to>
      <xdr:col>16</xdr:col>
      <xdr:colOff>634627</xdr:colOff>
      <xdr:row>13</xdr:row>
      <xdr:rowOff>124606</xdr:rowOff>
    </xdr:to>
    <xdr:sp macro="" textlink="Processing!E150">
      <xdr:nvSpPr>
        <xdr:cNvPr id="81" name="TextBox 80">
          <a:extLst>
            <a:ext uri="{FF2B5EF4-FFF2-40B4-BE49-F238E27FC236}">
              <a16:creationId xmlns:a16="http://schemas.microsoft.com/office/drawing/2014/main" id="{00000000-0008-0000-0400-000051000000}"/>
            </a:ext>
          </a:extLst>
        </xdr:cNvPr>
        <xdr:cNvSpPr txBox="1"/>
      </xdr:nvSpPr>
      <xdr:spPr>
        <a:xfrm>
          <a:off x="12989859" y="2122542"/>
          <a:ext cx="852768" cy="643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F6E9E778-9C9A-AB43-B199-C6709103BB15}" type="TxLink">
            <a:rPr lang="en-US" sz="1400" b="1" i="0" u="none" strike="noStrike" noProof="0">
              <a:solidFill>
                <a:srgbClr val="C4FEF9"/>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0%</a:t>
          </a:fld>
          <a:endParaRPr lang="ru-RU" sz="1400" b="1" i="0" u="none" strike="noStrike" noProof="0">
            <a:solidFill>
              <a:srgbClr val="C4FEF9"/>
            </a:solidFill>
            <a:latin typeface="Calibri"/>
            <a:ea typeface="+mn-ea"/>
            <a:cs typeface="Calibri"/>
          </a:endParaRPr>
        </a:p>
      </xdr:txBody>
    </xdr:sp>
    <xdr:clientData/>
  </xdr:twoCellAnchor>
  <xdr:twoCellAnchor>
    <xdr:from>
      <xdr:col>5</xdr:col>
      <xdr:colOff>764990</xdr:colOff>
      <xdr:row>25</xdr:row>
      <xdr:rowOff>151054</xdr:rowOff>
    </xdr:from>
    <xdr:to>
      <xdr:col>7</xdr:col>
      <xdr:colOff>594286</xdr:colOff>
      <xdr:row>28</xdr:row>
      <xdr:rowOff>200060</xdr:rowOff>
    </xdr:to>
    <xdr:sp macro="" textlink="Processing!J17">
      <xdr:nvSpPr>
        <xdr:cNvPr id="82" name="TextBox 81">
          <a:extLst>
            <a:ext uri="{FF2B5EF4-FFF2-40B4-BE49-F238E27FC236}">
              <a16:creationId xmlns:a16="http://schemas.microsoft.com/office/drawing/2014/main" id="{00000000-0008-0000-0400-000052000000}"/>
            </a:ext>
          </a:extLst>
        </xdr:cNvPr>
        <xdr:cNvSpPr txBox="1"/>
      </xdr:nvSpPr>
      <xdr:spPr>
        <a:xfrm>
          <a:off x="4892490" y="5231054"/>
          <a:ext cx="1480296" cy="658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B4BE8F30-886E-D940-B6B4-A99BD9667793}" type="TxLink">
            <a:rPr lang="en-US" sz="1200" b="0"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 € - </a:t>
          </a:fld>
          <a:endParaRPr lang="ru-RU" sz="1200" b="0" i="0" u="none" strike="noStrike" noProof="0">
            <a:solidFill>
              <a:schemeClr val="bg1"/>
            </a:solidFill>
            <a:latin typeface="Calibri"/>
            <a:ea typeface="+mn-ea"/>
            <a:cs typeface="Calibri"/>
          </a:endParaRPr>
        </a:p>
      </xdr:txBody>
    </xdr:sp>
    <xdr:clientData/>
  </xdr:twoCellAnchor>
  <xdr:twoCellAnchor>
    <xdr:from>
      <xdr:col>13</xdr:col>
      <xdr:colOff>743324</xdr:colOff>
      <xdr:row>10</xdr:row>
      <xdr:rowOff>90542</xdr:rowOff>
    </xdr:from>
    <xdr:to>
      <xdr:col>14</xdr:col>
      <xdr:colOff>627157</xdr:colOff>
      <xdr:row>13</xdr:row>
      <xdr:rowOff>124606</xdr:rowOff>
    </xdr:to>
    <xdr:sp macro="" textlink="Processing!E151">
      <xdr:nvSpPr>
        <xdr:cNvPr id="83" name="TextBox 82">
          <a:extLst>
            <a:ext uri="{FF2B5EF4-FFF2-40B4-BE49-F238E27FC236}">
              <a16:creationId xmlns:a16="http://schemas.microsoft.com/office/drawing/2014/main" id="{00000000-0008-0000-0400-000053000000}"/>
            </a:ext>
          </a:extLst>
        </xdr:cNvPr>
        <xdr:cNvSpPr txBox="1"/>
      </xdr:nvSpPr>
      <xdr:spPr>
        <a:xfrm>
          <a:off x="11474824" y="2122542"/>
          <a:ext cx="709333" cy="643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A614DB7F-F1B0-B847-BA66-4979F1348731}" type="TxLink">
            <a:rPr lang="en-US" sz="1400" b="1" i="0" u="none" strike="noStrike" noProof="0">
              <a:solidFill>
                <a:schemeClr val="bg1"/>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TVL</a:t>
          </a:fld>
          <a:endParaRPr lang="ru-RU" sz="1400" b="1" i="0" u="none" strike="noStrike" noProof="0">
            <a:solidFill>
              <a:schemeClr val="bg1"/>
            </a:solidFill>
            <a:latin typeface="Calibri"/>
            <a:ea typeface="+mn-ea"/>
            <a:cs typeface="Calibri"/>
          </a:endParaRPr>
        </a:p>
      </xdr:txBody>
    </xdr:sp>
    <xdr:clientData/>
  </xdr:twoCellAnchor>
  <xdr:twoCellAnchor>
    <xdr:from>
      <xdr:col>12</xdr:col>
      <xdr:colOff>98611</xdr:colOff>
      <xdr:row>10</xdr:row>
      <xdr:rowOff>90542</xdr:rowOff>
    </xdr:from>
    <xdr:to>
      <xdr:col>13</xdr:col>
      <xdr:colOff>45197</xdr:colOff>
      <xdr:row>13</xdr:row>
      <xdr:rowOff>124606</xdr:rowOff>
    </xdr:to>
    <xdr:sp macro="" textlink="Processing!D149">
      <xdr:nvSpPr>
        <xdr:cNvPr id="84" name="TextBox 83">
          <a:extLst>
            <a:ext uri="{FF2B5EF4-FFF2-40B4-BE49-F238E27FC236}">
              <a16:creationId xmlns:a16="http://schemas.microsoft.com/office/drawing/2014/main" id="{00000000-0008-0000-0400-000054000000}"/>
            </a:ext>
          </a:extLst>
        </xdr:cNvPr>
        <xdr:cNvSpPr txBox="1"/>
      </xdr:nvSpPr>
      <xdr:spPr>
        <a:xfrm>
          <a:off x="10004611" y="2122542"/>
          <a:ext cx="772086" cy="643664"/>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AE66E7E9-A6B4-4D7A-8ECE-750805D0647F}" type="TxLink">
            <a:rPr kumimoji="0" lang="en-US" sz="1400" b="1" i="0" u="none" strike="noStrike" kern="0" cap="none" spc="0" normalizeH="0" baseline="0" noProof="0">
              <a:ln>
                <a:noFill/>
              </a:ln>
              <a:solidFill>
                <a:srgbClr val="FF8A80"/>
              </a:soli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 </a:t>
          </a:fld>
          <a:endParaRPr kumimoji="0" lang="ru-RU" sz="1400" b="1" i="0" u="none" strike="noStrike" kern="0" cap="none" spc="0" normalizeH="0" baseline="0" noProof="0">
            <a:ln>
              <a:noFill/>
            </a:ln>
            <a:solidFill>
              <a:srgbClr val="FF8A80"/>
            </a:solidFill>
            <a:effectLst/>
            <a:uLnTx/>
            <a:uFillTx/>
            <a:latin typeface="Calibri"/>
            <a:ea typeface="+mn-ea"/>
            <a:cs typeface="Calibri"/>
          </a:endParaRPr>
        </a:p>
      </xdr:txBody>
    </xdr:sp>
    <xdr:clientData/>
  </xdr:twoCellAnchor>
  <xdr:twoCellAnchor>
    <xdr:from>
      <xdr:col>12</xdr:col>
      <xdr:colOff>720911</xdr:colOff>
      <xdr:row>10</xdr:row>
      <xdr:rowOff>90542</xdr:rowOff>
    </xdr:from>
    <xdr:to>
      <xdr:col>13</xdr:col>
      <xdr:colOff>667497</xdr:colOff>
      <xdr:row>13</xdr:row>
      <xdr:rowOff>124606</xdr:rowOff>
    </xdr:to>
    <xdr:sp macro="" textlink="Processing!D150">
      <xdr:nvSpPr>
        <xdr:cNvPr id="85" name="TextBox 84">
          <a:extLst>
            <a:ext uri="{FF2B5EF4-FFF2-40B4-BE49-F238E27FC236}">
              <a16:creationId xmlns:a16="http://schemas.microsoft.com/office/drawing/2014/main" id="{00000000-0008-0000-0400-000055000000}"/>
            </a:ext>
          </a:extLst>
        </xdr:cNvPr>
        <xdr:cNvSpPr txBox="1"/>
      </xdr:nvSpPr>
      <xdr:spPr>
        <a:xfrm>
          <a:off x="10626911" y="2122542"/>
          <a:ext cx="772086" cy="643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70B67407-D1C2-1240-9B97-71B0EBB1CFEE}" type="TxLink">
            <a:rPr lang="en-US" sz="1400" b="1" i="0" u="none" strike="noStrike" noProof="0">
              <a:solidFill>
                <a:srgbClr val="7CF89B"/>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0%</a:t>
          </a:fld>
          <a:endParaRPr lang="ru-RU" sz="1400" b="1" i="0" u="none" strike="noStrike" noProof="0">
            <a:solidFill>
              <a:srgbClr val="7CF89B"/>
            </a:solidFill>
            <a:latin typeface="Calibri"/>
            <a:ea typeface="+mn-ea"/>
            <a:cs typeface="Calibri"/>
          </a:endParaRPr>
        </a:p>
      </xdr:txBody>
    </xdr:sp>
    <xdr:clientData/>
  </xdr:twoCellAnchor>
  <xdr:twoCellAnchor>
    <xdr:from>
      <xdr:col>8</xdr:col>
      <xdr:colOff>666633</xdr:colOff>
      <xdr:row>10</xdr:row>
      <xdr:rowOff>90542</xdr:rowOff>
    </xdr:from>
    <xdr:to>
      <xdr:col>10</xdr:col>
      <xdr:colOff>728494</xdr:colOff>
      <xdr:row>13</xdr:row>
      <xdr:rowOff>124606</xdr:rowOff>
    </xdr:to>
    <xdr:sp macro="" textlink="Processing!C151">
      <xdr:nvSpPr>
        <xdr:cNvPr id="86" name="TextBox 85">
          <a:extLst>
            <a:ext uri="{FF2B5EF4-FFF2-40B4-BE49-F238E27FC236}">
              <a16:creationId xmlns:a16="http://schemas.microsoft.com/office/drawing/2014/main" id="{00000000-0008-0000-0400-000056000000}"/>
            </a:ext>
          </a:extLst>
        </xdr:cNvPr>
        <xdr:cNvSpPr txBox="1"/>
      </xdr:nvSpPr>
      <xdr:spPr>
        <a:xfrm>
          <a:off x="7270633" y="2122542"/>
          <a:ext cx="1712861" cy="643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55989B20-E79A-1545-95BA-8B76A73291EF}" type="TxLink">
            <a:rPr lang="en-US" sz="1400" b="1" i="0" u="none" strike="noStrike" noProof="0">
              <a:solidFill>
                <a:schemeClr val="bg1"/>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Price Change</a:t>
          </a:fld>
          <a:endParaRPr lang="ru-RU" sz="1400" b="1" i="0" u="none" strike="noStrike" noProof="0">
            <a:solidFill>
              <a:schemeClr val="bg1"/>
            </a:solidFill>
            <a:latin typeface="Calibri"/>
            <a:ea typeface="+mn-ea"/>
            <a:cs typeface="Calibri"/>
          </a:endParaRPr>
        </a:p>
      </xdr:txBody>
    </xdr:sp>
    <xdr:clientData/>
  </xdr:twoCellAnchor>
  <xdr:twoCellAnchor>
    <xdr:from>
      <xdr:col>10</xdr:col>
      <xdr:colOff>91396</xdr:colOff>
      <xdr:row>10</xdr:row>
      <xdr:rowOff>90542</xdr:rowOff>
    </xdr:from>
    <xdr:to>
      <xdr:col>12</xdr:col>
      <xdr:colOff>90504</xdr:colOff>
      <xdr:row>13</xdr:row>
      <xdr:rowOff>124606</xdr:rowOff>
    </xdr:to>
    <xdr:sp macro="" textlink="Processing!C149">
      <xdr:nvSpPr>
        <xdr:cNvPr id="87" name="TextBox 86">
          <a:extLst>
            <a:ext uri="{FF2B5EF4-FFF2-40B4-BE49-F238E27FC236}">
              <a16:creationId xmlns:a16="http://schemas.microsoft.com/office/drawing/2014/main" id="{00000000-0008-0000-0400-000057000000}"/>
            </a:ext>
          </a:extLst>
        </xdr:cNvPr>
        <xdr:cNvSpPr txBox="1"/>
      </xdr:nvSpPr>
      <xdr:spPr>
        <a:xfrm>
          <a:off x="8346396" y="2122542"/>
          <a:ext cx="1650108" cy="643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7A8F38BD-754F-E149-A26A-A90F4C90F85D}" type="TxLink">
            <a:rPr lang="en-US" sz="1400" b="1" i="0" u="none" strike="noStrike" noProof="0">
              <a:solidFill>
                <a:srgbClr val="BFCDE4"/>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 €-   </a:t>
          </a:fld>
          <a:endParaRPr lang="ru-RU" sz="1400" b="1" i="0" u="none" strike="noStrike" noProof="0">
            <a:solidFill>
              <a:srgbClr val="BFCDE4"/>
            </a:solidFill>
            <a:latin typeface="Calibri"/>
            <a:ea typeface="+mn-ea"/>
            <a:cs typeface="Calibri"/>
          </a:endParaRPr>
        </a:p>
      </xdr:txBody>
    </xdr:sp>
    <xdr:clientData/>
  </xdr:twoCellAnchor>
  <xdr:twoCellAnchor>
    <xdr:from>
      <xdr:col>5</xdr:col>
      <xdr:colOff>426822</xdr:colOff>
      <xdr:row>10</xdr:row>
      <xdr:rowOff>90542</xdr:rowOff>
    </xdr:from>
    <xdr:to>
      <xdr:col>7</xdr:col>
      <xdr:colOff>488682</xdr:colOff>
      <xdr:row>13</xdr:row>
      <xdr:rowOff>124606</xdr:rowOff>
    </xdr:to>
    <xdr:sp macro="" textlink="Processing!P26">
      <xdr:nvSpPr>
        <xdr:cNvPr id="89" name="TextBox 88">
          <a:extLst>
            <a:ext uri="{FF2B5EF4-FFF2-40B4-BE49-F238E27FC236}">
              <a16:creationId xmlns:a16="http://schemas.microsoft.com/office/drawing/2014/main" id="{00000000-0008-0000-0400-000059000000}"/>
            </a:ext>
          </a:extLst>
        </xdr:cNvPr>
        <xdr:cNvSpPr txBox="1"/>
      </xdr:nvSpPr>
      <xdr:spPr>
        <a:xfrm>
          <a:off x="4554322" y="2122542"/>
          <a:ext cx="1712860" cy="643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0BA75785-9DFE-EA46-9A02-253E1751FE71}" type="TxLink">
            <a:rPr lang="en-US" sz="1400" b="1" i="0" u="none" strike="noStrike" noProof="0">
              <a:solidFill>
                <a:schemeClr val="bg1"/>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Start Price</a:t>
          </a:fld>
          <a:endParaRPr lang="ru-RU" sz="1400" b="1" i="0" u="none" strike="noStrike" noProof="0">
            <a:solidFill>
              <a:schemeClr val="bg1"/>
            </a:solidFill>
            <a:latin typeface="Calibri"/>
            <a:ea typeface="+mn-ea"/>
            <a:cs typeface="Calibri"/>
          </a:endParaRPr>
        </a:p>
      </xdr:txBody>
    </xdr:sp>
    <xdr:clientData/>
  </xdr:twoCellAnchor>
  <xdr:twoCellAnchor>
    <xdr:from>
      <xdr:col>6</xdr:col>
      <xdr:colOff>587445</xdr:colOff>
      <xdr:row>10</xdr:row>
      <xdr:rowOff>90542</xdr:rowOff>
    </xdr:from>
    <xdr:to>
      <xdr:col>8</xdr:col>
      <xdr:colOff>586552</xdr:colOff>
      <xdr:row>13</xdr:row>
      <xdr:rowOff>124606</xdr:rowOff>
    </xdr:to>
    <xdr:sp macro="" textlink="Processing!P57">
      <xdr:nvSpPr>
        <xdr:cNvPr id="90" name="TextBox 89">
          <a:extLst>
            <a:ext uri="{FF2B5EF4-FFF2-40B4-BE49-F238E27FC236}">
              <a16:creationId xmlns:a16="http://schemas.microsoft.com/office/drawing/2014/main" id="{00000000-0008-0000-0400-00005A000000}"/>
            </a:ext>
          </a:extLst>
        </xdr:cNvPr>
        <xdr:cNvSpPr txBox="1"/>
      </xdr:nvSpPr>
      <xdr:spPr>
        <a:xfrm>
          <a:off x="5540445" y="2122542"/>
          <a:ext cx="1650107" cy="643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7DC8BEAB-FD41-7648-80AB-FD95E2C6C4F3}" type="TxLink">
            <a:rPr lang="en-US" sz="1400" b="1" i="0" u="none" strike="noStrike" noProof="0">
              <a:solidFill>
                <a:srgbClr val="7CF89B"/>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 € - </a:t>
          </a:fld>
          <a:endParaRPr lang="ru-RU" sz="1400" b="1" i="0" u="none" strike="noStrike" noProof="0">
            <a:solidFill>
              <a:srgbClr val="7CF89B"/>
            </a:solidFill>
            <a:latin typeface="Calibri"/>
            <a:ea typeface="+mn-ea"/>
            <a:cs typeface="Calibri"/>
          </a:endParaRPr>
        </a:p>
      </xdr:txBody>
    </xdr:sp>
    <xdr:clientData/>
  </xdr:twoCellAnchor>
  <xdr:twoCellAnchor editAs="oneCell">
    <xdr:from>
      <xdr:col>18</xdr:col>
      <xdr:colOff>55023</xdr:colOff>
      <xdr:row>32</xdr:row>
      <xdr:rowOff>122086</xdr:rowOff>
    </xdr:from>
    <xdr:to>
      <xdr:col>21</xdr:col>
      <xdr:colOff>606123</xdr:colOff>
      <xdr:row>46</xdr:row>
      <xdr:rowOff>168086</xdr:rowOff>
    </xdr:to>
    <mc:AlternateContent xmlns:mc="http://schemas.openxmlformats.org/markup-compatibility/2006" xmlns:a14="http://schemas.microsoft.com/office/drawing/2010/main">
      <mc:Choice Requires="a14">
        <xdr:graphicFrame macro="">
          <xdr:nvGraphicFramePr>
            <xdr:cNvPr id="93" name="Giorno 4">
              <a:extLst>
                <a:ext uri="{FF2B5EF4-FFF2-40B4-BE49-F238E27FC236}">
                  <a16:creationId xmlns:a16="http://schemas.microsoft.com/office/drawing/2014/main" id="{00000000-0008-0000-0400-00005D000000}"/>
                </a:ext>
              </a:extLst>
            </xdr:cNvPr>
            <xdr:cNvGraphicFramePr/>
          </xdr:nvGraphicFramePr>
          <xdr:xfrm>
            <a:off x="0" y="0"/>
            <a:ext cx="0" cy="0"/>
          </xdr:xfrm>
          <a:graphic>
            <a:graphicData uri="http://schemas.microsoft.com/office/drawing/2010/slicer">
              <sle:slicer xmlns:sle="http://schemas.microsoft.com/office/drawing/2010/slicer" name="Giorno 4"/>
            </a:graphicData>
          </a:graphic>
        </xdr:graphicFrame>
      </mc:Choice>
      <mc:Fallback xmlns="">
        <xdr:sp macro="" textlink="">
          <xdr:nvSpPr>
            <xdr:cNvPr id="0" name=""/>
            <xdr:cNvSpPr>
              <a:spLocks noTextEdit="1"/>
            </xdr:cNvSpPr>
          </xdr:nvSpPr>
          <xdr:spPr>
            <a:xfrm>
              <a:off x="14914023" y="6624486"/>
              <a:ext cx="3027600" cy="2890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177800</xdr:colOff>
      <xdr:row>29</xdr:row>
      <xdr:rowOff>114300</xdr:rowOff>
    </xdr:from>
    <xdr:to>
      <xdr:col>2</xdr:col>
      <xdr:colOff>691484</xdr:colOff>
      <xdr:row>32</xdr:row>
      <xdr:rowOff>137159</xdr:rowOff>
    </xdr:to>
    <xdr:grpSp>
      <xdr:nvGrpSpPr>
        <xdr:cNvPr id="91" name="Group 90">
          <a:extLst>
            <a:ext uri="{FF2B5EF4-FFF2-40B4-BE49-F238E27FC236}">
              <a16:creationId xmlns:a16="http://schemas.microsoft.com/office/drawing/2014/main" id="{00000000-0008-0000-0400-00005B000000}"/>
            </a:ext>
          </a:extLst>
        </xdr:cNvPr>
        <xdr:cNvGrpSpPr/>
      </xdr:nvGrpSpPr>
      <xdr:grpSpPr>
        <a:xfrm>
          <a:off x="177800" y="5822950"/>
          <a:ext cx="2164684" cy="613409"/>
          <a:chOff x="190500" y="5943600"/>
          <a:chExt cx="2164684" cy="632459"/>
        </a:xfrm>
      </xdr:grpSpPr>
      <xdr:sp macro="" textlink="Processing!R13">
        <xdr:nvSpPr>
          <xdr:cNvPr id="94" name="TextBox 93">
            <a:hlinkClick xmlns:r="http://schemas.openxmlformats.org/officeDocument/2006/relationships" r:id="rId11"/>
            <a:extLst>
              <a:ext uri="{FF2B5EF4-FFF2-40B4-BE49-F238E27FC236}">
                <a16:creationId xmlns:a16="http://schemas.microsoft.com/office/drawing/2014/main" id="{00000000-0008-0000-0400-00005E000000}"/>
              </a:ext>
            </a:extLst>
          </xdr:cNvPr>
          <xdr:cNvSpPr txBox="1"/>
        </xdr:nvSpPr>
        <xdr:spPr>
          <a:xfrm>
            <a:off x="603252" y="5943600"/>
            <a:ext cx="1751932" cy="632459"/>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it-IT" sz="1400" b="0" i="0" u="none" strike="noStrike" kern="0" cap="none" spc="0" normalizeH="0" baseline="0" noProof="0">
                <a:ln>
                  <a:noFill/>
                </a:ln>
                <a:solidFill>
                  <a:sysClr val="window" lastClr="FFFFFF"/>
                </a:solidFill>
                <a:effectLst/>
                <a:uLnTx/>
                <a:uFillTx/>
                <a:latin typeface="Calibri"/>
                <a:ea typeface="+mn-ea"/>
                <a:cs typeface="Calibri"/>
              </a:rPr>
              <a:t>Insert Data</a:t>
            </a:r>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sp macro="" textlink="">
        <xdr:nvSpPr>
          <xdr:cNvPr id="95" name="TextBox 94">
            <a:extLst>
              <a:ext uri="{FF2B5EF4-FFF2-40B4-BE49-F238E27FC236}">
                <a16:creationId xmlns:a16="http://schemas.microsoft.com/office/drawing/2014/main" id="{00000000-0008-0000-0400-00005F000000}"/>
              </a:ext>
            </a:extLst>
          </xdr:cNvPr>
          <xdr:cNvSpPr txBox="1"/>
        </xdr:nvSpPr>
        <xdr:spPr>
          <a:xfrm>
            <a:off x="190500" y="6025829"/>
            <a:ext cx="432000" cy="468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a:t>
            </a:r>
          </a:p>
        </xdr:txBody>
      </xdr:sp>
    </xdr:grpSp>
    <xdr:clientData/>
  </xdr:twoCellAnchor>
  <xdr:twoCellAnchor>
    <xdr:from>
      <xdr:col>3</xdr:col>
      <xdr:colOff>342900</xdr:colOff>
      <xdr:row>5</xdr:row>
      <xdr:rowOff>97117</xdr:rowOff>
    </xdr:from>
    <xdr:to>
      <xdr:col>22</xdr:col>
      <xdr:colOff>283136</xdr:colOff>
      <xdr:row>8</xdr:row>
      <xdr:rowOff>130735</xdr:rowOff>
    </xdr:to>
    <xdr:sp macro="" textlink="">
      <xdr:nvSpPr>
        <xdr:cNvPr id="96" name="Rectangle: Rounded Corners 15">
          <a:extLst>
            <a:ext uri="{FF2B5EF4-FFF2-40B4-BE49-F238E27FC236}">
              <a16:creationId xmlns:a16="http://schemas.microsoft.com/office/drawing/2014/main" id="{00000000-0008-0000-0400-000060000000}"/>
            </a:ext>
          </a:extLst>
        </xdr:cNvPr>
        <xdr:cNvSpPr/>
      </xdr:nvSpPr>
      <xdr:spPr>
        <a:xfrm>
          <a:off x="2819400" y="1113117"/>
          <a:ext cx="15624736" cy="643218"/>
        </a:xfrm>
        <a:prstGeom prst="roundRect">
          <a:avLst>
            <a:gd name="adj" fmla="val 15178"/>
          </a:avLst>
        </a:prstGeom>
        <a:solidFill>
          <a:srgbClr val="242732"/>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ru-RU" sz="24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342900</xdr:colOff>
      <xdr:row>1</xdr:row>
      <xdr:rowOff>0</xdr:rowOff>
    </xdr:from>
    <xdr:to>
      <xdr:col>22</xdr:col>
      <xdr:colOff>284900</xdr:colOff>
      <xdr:row>4</xdr:row>
      <xdr:rowOff>1</xdr:rowOff>
    </xdr:to>
    <xdr:sp macro="" textlink="">
      <xdr:nvSpPr>
        <xdr:cNvPr id="97" name="Rectangle: Rounded Corners 16">
          <a:extLst>
            <a:ext uri="{FF2B5EF4-FFF2-40B4-BE49-F238E27FC236}">
              <a16:creationId xmlns:a16="http://schemas.microsoft.com/office/drawing/2014/main" id="{00000000-0008-0000-0400-000061000000}"/>
            </a:ext>
          </a:extLst>
        </xdr:cNvPr>
        <xdr:cNvSpPr/>
      </xdr:nvSpPr>
      <xdr:spPr>
        <a:xfrm>
          <a:off x="2819400" y="203200"/>
          <a:ext cx="15626500" cy="609601"/>
        </a:xfrm>
        <a:prstGeom prst="roundRect">
          <a:avLst>
            <a:gd name="adj" fmla="val 15178"/>
          </a:avLst>
        </a:prstGeom>
        <a:solidFill>
          <a:srgbClr val="242732"/>
        </a:solidFill>
        <a:ln w="12700" cap="flat" cmpd="sng" algn="ctr">
          <a:noFill/>
          <a:prstDash val="solid"/>
          <a:miter lim="800000"/>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ru-RU" sz="2400" b="1" i="0" u="none" strike="noStrike" kern="0" cap="none" spc="0" normalizeH="0" baseline="0" noProof="0">
              <a:ln>
                <a:noFill/>
              </a:ln>
              <a:solidFill>
                <a:sysClr val="window" lastClr="FFFFFF"/>
              </a:solidFill>
              <a:effectLst/>
              <a:uLnTx/>
              <a:uFillTx/>
              <a:latin typeface="Calibri" panose="020F0502020204030204"/>
              <a:ea typeface="+mn-ea"/>
              <a:cs typeface="+mn-cs"/>
            </a:rPr>
            <a:t>				</a:t>
          </a: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Personal Finance Dashboard</a:t>
          </a:r>
          <a:endParaRPr kumimoji="0" lang="ru-RU" sz="24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17</xdr:col>
      <xdr:colOff>69520</xdr:colOff>
      <xdr:row>1</xdr:row>
      <xdr:rowOff>198121</xdr:rowOff>
    </xdr:from>
    <xdr:to>
      <xdr:col>17</xdr:col>
      <xdr:colOff>290619</xdr:colOff>
      <xdr:row>3</xdr:row>
      <xdr:rowOff>5080</xdr:rowOff>
    </xdr:to>
    <xdr:grpSp>
      <xdr:nvGrpSpPr>
        <xdr:cNvPr id="98" name="Group 97">
          <a:extLst>
            <a:ext uri="{FF2B5EF4-FFF2-40B4-BE49-F238E27FC236}">
              <a16:creationId xmlns:a16="http://schemas.microsoft.com/office/drawing/2014/main" id="{00000000-0008-0000-0400-000062000000}"/>
            </a:ext>
          </a:extLst>
        </xdr:cNvPr>
        <xdr:cNvGrpSpPr/>
      </xdr:nvGrpSpPr>
      <xdr:grpSpPr>
        <a:xfrm>
          <a:off x="14103020" y="394971"/>
          <a:ext cx="221099" cy="200659"/>
          <a:chOff x="6535559" y="690283"/>
          <a:chExt cx="274908" cy="248639"/>
        </a:xfrm>
      </xdr:grpSpPr>
      <xdr:sp macro="" textlink="">
        <xdr:nvSpPr>
          <xdr:cNvPr id="99" name="Moon">
            <a:extLst>
              <a:ext uri="{FF2B5EF4-FFF2-40B4-BE49-F238E27FC236}">
                <a16:creationId xmlns:a16="http://schemas.microsoft.com/office/drawing/2014/main" id="{00000000-0008-0000-0400-000063000000}"/>
              </a:ext>
            </a:extLst>
          </xdr:cNvPr>
          <xdr:cNvSpPr/>
        </xdr:nvSpPr>
        <xdr:spPr>
          <a:xfrm>
            <a:off x="6535559" y="690283"/>
            <a:ext cx="140283" cy="245398"/>
          </a:xfrm>
          <a:prstGeom prst="moon">
            <a:avLst/>
          </a:prstGeom>
          <a:gradFill>
            <a:gsLst>
              <a:gs pos="0">
                <a:srgbClr val="FB6F32"/>
              </a:gs>
              <a:gs pos="72000">
                <a:srgbClr val="ED3229"/>
              </a:gs>
            </a:gsLst>
            <a:lin ang="8100000" scaled="1"/>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100" name="Big Star">
            <a:extLst>
              <a:ext uri="{FF2B5EF4-FFF2-40B4-BE49-F238E27FC236}">
                <a16:creationId xmlns:a16="http://schemas.microsoft.com/office/drawing/2014/main" id="{00000000-0008-0000-0400-000064000000}"/>
              </a:ext>
            </a:extLst>
          </xdr:cNvPr>
          <xdr:cNvSpPr/>
        </xdr:nvSpPr>
        <xdr:spPr>
          <a:xfrm>
            <a:off x="6675270" y="773921"/>
            <a:ext cx="108000" cy="107972"/>
          </a:xfrm>
          <a:prstGeom prst="star4">
            <a:avLst/>
          </a:prstGeom>
          <a:gradFill>
            <a:gsLst>
              <a:gs pos="0">
                <a:srgbClr val="FB6F32"/>
              </a:gs>
              <a:gs pos="72000">
                <a:srgbClr val="ED3229"/>
              </a:gs>
            </a:gsLst>
            <a:lin ang="8100000" scaled="1"/>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101" name="Star">
            <a:extLst>
              <a:ext uri="{FF2B5EF4-FFF2-40B4-BE49-F238E27FC236}">
                <a16:creationId xmlns:a16="http://schemas.microsoft.com/office/drawing/2014/main" id="{00000000-0008-0000-0400-000065000000}"/>
              </a:ext>
            </a:extLst>
          </xdr:cNvPr>
          <xdr:cNvSpPr/>
        </xdr:nvSpPr>
        <xdr:spPr>
          <a:xfrm>
            <a:off x="6756467" y="881723"/>
            <a:ext cx="54000" cy="57199"/>
          </a:xfrm>
          <a:prstGeom prst="star4">
            <a:avLst/>
          </a:prstGeom>
          <a:gradFill>
            <a:gsLst>
              <a:gs pos="0">
                <a:srgbClr val="FB6F32"/>
              </a:gs>
              <a:gs pos="72000">
                <a:srgbClr val="ED3229"/>
              </a:gs>
            </a:gsLst>
            <a:lin ang="8100000" scaled="1"/>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15</xdr:col>
      <xdr:colOff>767965</xdr:colOff>
      <xdr:row>1</xdr:row>
      <xdr:rowOff>198121</xdr:rowOff>
    </xdr:from>
    <xdr:to>
      <xdr:col>16</xdr:col>
      <xdr:colOff>150930</xdr:colOff>
      <xdr:row>3</xdr:row>
      <xdr:rowOff>5080</xdr:rowOff>
    </xdr:to>
    <xdr:grpSp>
      <xdr:nvGrpSpPr>
        <xdr:cNvPr id="102" name="Группа 7203">
          <a:extLst>
            <a:ext uri="{FF2B5EF4-FFF2-40B4-BE49-F238E27FC236}">
              <a16:creationId xmlns:a16="http://schemas.microsoft.com/office/drawing/2014/main" id="{00000000-0008-0000-0400-000066000000}"/>
            </a:ext>
          </a:extLst>
        </xdr:cNvPr>
        <xdr:cNvGrpSpPr/>
      </xdr:nvGrpSpPr>
      <xdr:grpSpPr>
        <a:xfrm>
          <a:off x="13150465" y="394971"/>
          <a:ext cx="208465" cy="200659"/>
          <a:chOff x="14630400" y="0"/>
          <a:chExt cx="1320905" cy="1291901"/>
        </a:xfrm>
        <a:effectLst/>
      </xdr:grpSpPr>
      <xdr:sp macro="" textlink="">
        <xdr:nvSpPr>
          <xdr:cNvPr id="103" name="Lights">
            <a:extLst>
              <a:ext uri="{FF2B5EF4-FFF2-40B4-BE49-F238E27FC236}">
                <a16:creationId xmlns:a16="http://schemas.microsoft.com/office/drawing/2014/main" id="{00000000-0008-0000-0400-000067000000}"/>
              </a:ext>
            </a:extLst>
          </xdr:cNvPr>
          <xdr:cNvSpPr/>
        </xdr:nvSpPr>
        <xdr:spPr>
          <a:xfrm rot="19122911">
            <a:off x="14630400" y="0"/>
            <a:ext cx="1320905" cy="1291901"/>
          </a:xfrm>
          <a:custGeom>
            <a:avLst/>
            <a:gdLst>
              <a:gd name="connsiteX0" fmla="*/ 721625 w 2541582"/>
              <a:gd name="connsiteY0" fmla="*/ 1903961 h 2517378"/>
              <a:gd name="connsiteX1" fmla="*/ 721626 w 2541582"/>
              <a:gd name="connsiteY1" fmla="*/ 2056116 h 2517378"/>
              <a:gd name="connsiteX2" fmla="*/ 721626 w 2541582"/>
              <a:gd name="connsiteY2" fmla="*/ 2056119 h 2517378"/>
              <a:gd name="connsiteX3" fmla="*/ 573702 w 2541582"/>
              <a:gd name="connsiteY3" fmla="*/ 2208278 h 2517378"/>
              <a:gd name="connsiteX4" fmla="*/ 573701 w 2541582"/>
              <a:gd name="connsiteY4" fmla="*/ 2208277 h 2517378"/>
              <a:gd name="connsiteX5" fmla="*/ 425777 w 2541582"/>
              <a:gd name="connsiteY5" fmla="*/ 2208278 h 2517378"/>
              <a:gd name="connsiteX6" fmla="*/ 425777 w 2541582"/>
              <a:gd name="connsiteY6" fmla="*/ 2056123 h 2517378"/>
              <a:gd name="connsiteX7" fmla="*/ 425777 w 2541582"/>
              <a:gd name="connsiteY7" fmla="*/ 2056120 h 2517378"/>
              <a:gd name="connsiteX8" fmla="*/ 573701 w 2541582"/>
              <a:gd name="connsiteY8" fmla="*/ 1903962 h 2517378"/>
              <a:gd name="connsiteX9" fmla="*/ 573702 w 2541582"/>
              <a:gd name="connsiteY9" fmla="*/ 1903962 h 2517378"/>
              <a:gd name="connsiteX10" fmla="*/ 519727 w 2541582"/>
              <a:gd name="connsiteY10" fmla="*/ 1624038 h 2517378"/>
              <a:gd name="connsiteX11" fmla="*/ 458680 w 2541582"/>
              <a:gd name="connsiteY11" fmla="*/ 1763409 h 2517378"/>
              <a:gd name="connsiteX12" fmla="*/ 458678 w 2541582"/>
              <a:gd name="connsiteY12" fmla="*/ 1763413 h 2517378"/>
              <a:gd name="connsiteX13" fmla="*/ 262134 w 2541582"/>
              <a:gd name="connsiteY13" fmla="*/ 1843437 h 2517378"/>
              <a:gd name="connsiteX14" fmla="*/ 262133 w 2541582"/>
              <a:gd name="connsiteY14" fmla="*/ 1843437 h 2517378"/>
              <a:gd name="connsiteX15" fmla="*/ 126637 w 2541582"/>
              <a:gd name="connsiteY15" fmla="*/ 1784087 h 2517378"/>
              <a:gd name="connsiteX16" fmla="*/ 187684 w 2541582"/>
              <a:gd name="connsiteY16" fmla="*/ 1644716 h 2517378"/>
              <a:gd name="connsiteX17" fmla="*/ 187686 w 2541582"/>
              <a:gd name="connsiteY17" fmla="*/ 1644713 h 2517378"/>
              <a:gd name="connsiteX18" fmla="*/ 384230 w 2541582"/>
              <a:gd name="connsiteY18" fmla="*/ 1564688 h 2517378"/>
              <a:gd name="connsiteX19" fmla="*/ 384231 w 2541582"/>
              <a:gd name="connsiteY19" fmla="*/ 1564689 h 2517378"/>
              <a:gd name="connsiteX20" fmla="*/ 1009078 w 2541582"/>
              <a:gd name="connsiteY20" fmla="*/ 2051827 h 2517378"/>
              <a:gd name="connsiteX21" fmla="*/ 1066442 w 2541582"/>
              <a:gd name="connsiteY21" fmla="*/ 2192754 h 2517378"/>
              <a:gd name="connsiteX22" fmla="*/ 1066444 w 2541582"/>
              <a:gd name="connsiteY22" fmla="*/ 2192757 h 2517378"/>
              <a:gd name="connsiteX23" fmla="*/ 986801 w 2541582"/>
              <a:gd name="connsiteY23" fmla="*/ 2389456 h 2517378"/>
              <a:gd name="connsiteX24" fmla="*/ 986801 w 2541582"/>
              <a:gd name="connsiteY24" fmla="*/ 2389457 h 2517378"/>
              <a:gd name="connsiteX25" fmla="*/ 849793 w 2541582"/>
              <a:gd name="connsiteY25" fmla="*/ 2445226 h 2517378"/>
              <a:gd name="connsiteX26" fmla="*/ 792428 w 2541582"/>
              <a:gd name="connsiteY26" fmla="*/ 2304299 h 2517378"/>
              <a:gd name="connsiteX27" fmla="*/ 792426 w 2541582"/>
              <a:gd name="connsiteY27" fmla="*/ 2304296 h 2517378"/>
              <a:gd name="connsiteX28" fmla="*/ 872069 w 2541582"/>
              <a:gd name="connsiteY28" fmla="*/ 2107597 h 2517378"/>
              <a:gd name="connsiteX29" fmla="*/ 872070 w 2541582"/>
              <a:gd name="connsiteY29" fmla="*/ 2107597 h 2517378"/>
              <a:gd name="connsiteX30" fmla="*/ 1307640 w 2541582"/>
              <a:gd name="connsiteY30" fmla="*/ 2093057 h 2517378"/>
              <a:gd name="connsiteX31" fmla="*/ 1411294 w 2541582"/>
              <a:gd name="connsiteY31" fmla="*/ 2204442 h 2517378"/>
              <a:gd name="connsiteX32" fmla="*/ 1411296 w 2541582"/>
              <a:gd name="connsiteY32" fmla="*/ 2204445 h 2517378"/>
              <a:gd name="connsiteX33" fmla="*/ 1406663 w 2541582"/>
              <a:gd name="connsiteY33" fmla="*/ 2416606 h 2517378"/>
              <a:gd name="connsiteX34" fmla="*/ 1406663 w 2541582"/>
              <a:gd name="connsiteY34" fmla="*/ 2416606 h 2517378"/>
              <a:gd name="connsiteX35" fmla="*/ 1298374 w 2541582"/>
              <a:gd name="connsiteY35" fmla="*/ 2517378 h 2517378"/>
              <a:gd name="connsiteX36" fmla="*/ 1194720 w 2541582"/>
              <a:gd name="connsiteY36" fmla="*/ 2405992 h 2517378"/>
              <a:gd name="connsiteX37" fmla="*/ 1194718 w 2541582"/>
              <a:gd name="connsiteY37" fmla="*/ 2405989 h 2517378"/>
              <a:gd name="connsiteX38" fmla="*/ 1199351 w 2541582"/>
              <a:gd name="connsiteY38" fmla="*/ 2193829 h 2517378"/>
              <a:gd name="connsiteX39" fmla="*/ 1199351 w 2541582"/>
              <a:gd name="connsiteY39" fmla="*/ 2193828 h 2517378"/>
              <a:gd name="connsiteX40" fmla="*/ 323549 w 2541582"/>
              <a:gd name="connsiteY40" fmla="*/ 1188033 h 2517378"/>
              <a:gd name="connsiteX41" fmla="*/ 323549 w 2541582"/>
              <a:gd name="connsiteY41" fmla="*/ 1188033 h 2517378"/>
              <a:gd name="connsiteX42" fmla="*/ 424321 w 2541582"/>
              <a:gd name="connsiteY42" fmla="*/ 1296322 h 2517378"/>
              <a:gd name="connsiteX43" fmla="*/ 312935 w 2541582"/>
              <a:gd name="connsiteY43" fmla="*/ 1399976 h 2517378"/>
              <a:gd name="connsiteX44" fmla="*/ 312933 w 2541582"/>
              <a:gd name="connsiteY44" fmla="*/ 1399979 h 2517378"/>
              <a:gd name="connsiteX45" fmla="*/ 100772 w 2541582"/>
              <a:gd name="connsiteY45" fmla="*/ 1395346 h 2517378"/>
              <a:gd name="connsiteX46" fmla="*/ 100771 w 2541582"/>
              <a:gd name="connsiteY46" fmla="*/ 1395345 h 2517378"/>
              <a:gd name="connsiteX47" fmla="*/ 0 w 2541582"/>
              <a:gd name="connsiteY47" fmla="*/ 1287056 h 2517378"/>
              <a:gd name="connsiteX48" fmla="*/ 111385 w 2541582"/>
              <a:gd name="connsiteY48" fmla="*/ 1183403 h 2517378"/>
              <a:gd name="connsiteX49" fmla="*/ 111388 w 2541582"/>
              <a:gd name="connsiteY49" fmla="*/ 1183400 h 2517378"/>
              <a:gd name="connsiteX50" fmla="*/ 323549 w 2541582"/>
              <a:gd name="connsiteY50" fmla="*/ 1188033 h 2517378"/>
              <a:gd name="connsiteX51" fmla="*/ 1826146 w 2541582"/>
              <a:gd name="connsiteY51" fmla="*/ 2118023 h 2517378"/>
              <a:gd name="connsiteX52" fmla="*/ 1856583 w 2541582"/>
              <a:gd name="connsiteY52" fmla="*/ 2280157 h 2517378"/>
              <a:gd name="connsiteX53" fmla="*/ 1856583 w 2541582"/>
              <a:gd name="connsiteY53" fmla="*/ 2280157 h 2517378"/>
              <a:gd name="connsiteX54" fmla="*/ 1797234 w 2541582"/>
              <a:gd name="connsiteY54" fmla="*/ 2415653 h 2517378"/>
              <a:gd name="connsiteX55" fmla="*/ 1657863 w 2541582"/>
              <a:gd name="connsiteY55" fmla="*/ 2354606 h 2517378"/>
              <a:gd name="connsiteX56" fmla="*/ 1657859 w 2541582"/>
              <a:gd name="connsiteY56" fmla="*/ 2354605 h 2517378"/>
              <a:gd name="connsiteX57" fmla="*/ 1577835 w 2541582"/>
              <a:gd name="connsiteY57" fmla="*/ 2158060 h 2517378"/>
              <a:gd name="connsiteX58" fmla="*/ 1577835 w 2541582"/>
              <a:gd name="connsiteY58" fmla="*/ 2158060 h 2517378"/>
              <a:gd name="connsiteX59" fmla="*/ 1637185 w 2541582"/>
              <a:gd name="connsiteY59" fmla="*/ 2022564 h 2517378"/>
              <a:gd name="connsiteX60" fmla="*/ 1776555 w 2541582"/>
              <a:gd name="connsiteY60" fmla="*/ 2083611 h 2517378"/>
              <a:gd name="connsiteX61" fmla="*/ 1776559 w 2541582"/>
              <a:gd name="connsiteY61" fmla="*/ 2083612 h 2517378"/>
              <a:gd name="connsiteX62" fmla="*/ 1826146 w 2541582"/>
              <a:gd name="connsiteY62" fmla="*/ 2118023 h 2517378"/>
              <a:gd name="connsiteX63" fmla="*/ 377553 w 2541582"/>
              <a:gd name="connsiteY63" fmla="*/ 807593 h 2517378"/>
              <a:gd name="connsiteX64" fmla="*/ 410335 w 2541582"/>
              <a:gd name="connsiteY64" fmla="*/ 856415 h 2517378"/>
              <a:gd name="connsiteX65" fmla="*/ 410336 w 2541582"/>
              <a:gd name="connsiteY65" fmla="*/ 856415 h 2517378"/>
              <a:gd name="connsiteX66" fmla="*/ 466105 w 2541582"/>
              <a:gd name="connsiteY66" fmla="*/ 993423 h 2517378"/>
              <a:gd name="connsiteX67" fmla="*/ 325178 w 2541582"/>
              <a:gd name="connsiteY67" fmla="*/ 1050787 h 2517378"/>
              <a:gd name="connsiteX68" fmla="*/ 325175 w 2541582"/>
              <a:gd name="connsiteY68" fmla="*/ 1050789 h 2517378"/>
              <a:gd name="connsiteX69" fmla="*/ 128476 w 2541582"/>
              <a:gd name="connsiteY69" fmla="*/ 971146 h 2517378"/>
              <a:gd name="connsiteX70" fmla="*/ 128476 w 2541582"/>
              <a:gd name="connsiteY70" fmla="*/ 971146 h 2517378"/>
              <a:gd name="connsiteX71" fmla="*/ 72706 w 2541582"/>
              <a:gd name="connsiteY71" fmla="*/ 834138 h 2517378"/>
              <a:gd name="connsiteX72" fmla="*/ 213633 w 2541582"/>
              <a:gd name="connsiteY72" fmla="*/ 776773 h 2517378"/>
              <a:gd name="connsiteX73" fmla="*/ 213636 w 2541582"/>
              <a:gd name="connsiteY73" fmla="*/ 776772 h 2517378"/>
              <a:gd name="connsiteX74" fmla="*/ 377553 w 2541582"/>
              <a:gd name="connsiteY74" fmla="*/ 807593 h 2517378"/>
              <a:gd name="connsiteX75" fmla="*/ 2166386 w 2541582"/>
              <a:gd name="connsiteY75" fmla="*/ 1843414 h 2517378"/>
              <a:gd name="connsiteX76" fmla="*/ 2210952 w 2541582"/>
              <a:gd name="connsiteY76" fmla="*/ 1948012 h 2517378"/>
              <a:gd name="connsiteX77" fmla="*/ 2210952 w 2541582"/>
              <a:gd name="connsiteY77" fmla="*/ 1948012 h 2517378"/>
              <a:gd name="connsiteX78" fmla="*/ 2210952 w 2541582"/>
              <a:gd name="connsiteY78" fmla="*/ 2095936 h 2517378"/>
              <a:gd name="connsiteX79" fmla="*/ 2058798 w 2541582"/>
              <a:gd name="connsiteY79" fmla="*/ 2095936 h 2517378"/>
              <a:gd name="connsiteX80" fmla="*/ 2058794 w 2541582"/>
              <a:gd name="connsiteY80" fmla="*/ 2095937 h 2517378"/>
              <a:gd name="connsiteX81" fmla="*/ 1906636 w 2541582"/>
              <a:gd name="connsiteY81" fmla="*/ 1948012 h 2517378"/>
              <a:gd name="connsiteX82" fmla="*/ 1906636 w 2541582"/>
              <a:gd name="connsiteY82" fmla="*/ 1948012 h 2517378"/>
              <a:gd name="connsiteX83" fmla="*/ 1906636 w 2541582"/>
              <a:gd name="connsiteY83" fmla="*/ 1800088 h 2517378"/>
              <a:gd name="connsiteX84" fmla="*/ 2058790 w 2541582"/>
              <a:gd name="connsiteY84" fmla="*/ 1800088 h 2517378"/>
              <a:gd name="connsiteX85" fmla="*/ 2058794 w 2541582"/>
              <a:gd name="connsiteY85" fmla="*/ 1800088 h 2517378"/>
              <a:gd name="connsiteX86" fmla="*/ 2166386 w 2541582"/>
              <a:gd name="connsiteY86" fmla="*/ 1843414 h 2517378"/>
              <a:gd name="connsiteX87" fmla="*/ 592924 w 2541582"/>
              <a:gd name="connsiteY87" fmla="*/ 461833 h 2517378"/>
              <a:gd name="connsiteX88" fmla="*/ 637491 w 2541582"/>
              <a:gd name="connsiteY88" fmla="*/ 566431 h 2517378"/>
              <a:gd name="connsiteX89" fmla="*/ 637490 w 2541582"/>
              <a:gd name="connsiteY89" fmla="*/ 566431 h 2517378"/>
              <a:gd name="connsiteX90" fmla="*/ 637490 w 2541582"/>
              <a:gd name="connsiteY90" fmla="*/ 714355 h 2517378"/>
              <a:gd name="connsiteX91" fmla="*/ 485336 w 2541582"/>
              <a:gd name="connsiteY91" fmla="*/ 714355 h 2517378"/>
              <a:gd name="connsiteX92" fmla="*/ 485333 w 2541582"/>
              <a:gd name="connsiteY92" fmla="*/ 714356 h 2517378"/>
              <a:gd name="connsiteX93" fmla="*/ 333174 w 2541582"/>
              <a:gd name="connsiteY93" fmla="*/ 566431 h 2517378"/>
              <a:gd name="connsiteX94" fmla="*/ 333175 w 2541582"/>
              <a:gd name="connsiteY94" fmla="*/ 566431 h 2517378"/>
              <a:gd name="connsiteX95" fmla="*/ 333175 w 2541582"/>
              <a:gd name="connsiteY95" fmla="*/ 418507 h 2517378"/>
              <a:gd name="connsiteX96" fmla="*/ 485329 w 2541582"/>
              <a:gd name="connsiteY96" fmla="*/ 418507 h 2517378"/>
              <a:gd name="connsiteX97" fmla="*/ 485333 w 2541582"/>
              <a:gd name="connsiteY97" fmla="*/ 418507 h 2517378"/>
              <a:gd name="connsiteX98" fmla="*/ 592924 w 2541582"/>
              <a:gd name="connsiteY98" fmla="*/ 461833 h 2517378"/>
              <a:gd name="connsiteX99" fmla="*/ 2378656 w 2541582"/>
              <a:gd name="connsiteY99" fmla="*/ 1501946 h 2517378"/>
              <a:gd name="connsiteX100" fmla="*/ 2411439 w 2541582"/>
              <a:gd name="connsiteY100" fmla="*/ 1550768 h 2517378"/>
              <a:gd name="connsiteX101" fmla="*/ 2411439 w 2541582"/>
              <a:gd name="connsiteY101" fmla="*/ 1550768 h 2517378"/>
              <a:gd name="connsiteX102" fmla="*/ 2467208 w 2541582"/>
              <a:gd name="connsiteY102" fmla="*/ 1687776 h 2517378"/>
              <a:gd name="connsiteX103" fmla="*/ 2326282 w 2541582"/>
              <a:gd name="connsiteY103" fmla="*/ 1745141 h 2517378"/>
              <a:gd name="connsiteX104" fmla="*/ 2326278 w 2541582"/>
              <a:gd name="connsiteY104" fmla="*/ 1745142 h 2517378"/>
              <a:gd name="connsiteX105" fmla="*/ 2129579 w 2541582"/>
              <a:gd name="connsiteY105" fmla="*/ 1665499 h 2517378"/>
              <a:gd name="connsiteX106" fmla="*/ 2129579 w 2541582"/>
              <a:gd name="connsiteY106" fmla="*/ 1665499 h 2517378"/>
              <a:gd name="connsiteX107" fmla="*/ 2073809 w 2541582"/>
              <a:gd name="connsiteY107" fmla="*/ 1528491 h 2517378"/>
              <a:gd name="connsiteX108" fmla="*/ 2214736 w 2541582"/>
              <a:gd name="connsiteY108" fmla="*/ 1471127 h 2517378"/>
              <a:gd name="connsiteX109" fmla="*/ 2214739 w 2541582"/>
              <a:gd name="connsiteY109" fmla="*/ 1471125 h 2517378"/>
              <a:gd name="connsiteX110" fmla="*/ 2378656 w 2541582"/>
              <a:gd name="connsiteY110" fmla="*/ 1501946 h 2517378"/>
              <a:gd name="connsiteX111" fmla="*/ 928939 w 2541582"/>
              <a:gd name="connsiteY111" fmla="*/ 199283 h 2517378"/>
              <a:gd name="connsiteX112" fmla="*/ 959377 w 2541582"/>
              <a:gd name="connsiteY112" fmla="*/ 361416 h 2517378"/>
              <a:gd name="connsiteX113" fmla="*/ 959376 w 2541582"/>
              <a:gd name="connsiteY113" fmla="*/ 361417 h 2517378"/>
              <a:gd name="connsiteX114" fmla="*/ 900027 w 2541582"/>
              <a:gd name="connsiteY114" fmla="*/ 496913 h 2517378"/>
              <a:gd name="connsiteX115" fmla="*/ 760656 w 2541582"/>
              <a:gd name="connsiteY115" fmla="*/ 435866 h 2517378"/>
              <a:gd name="connsiteX116" fmla="*/ 760652 w 2541582"/>
              <a:gd name="connsiteY116" fmla="*/ 435865 h 2517378"/>
              <a:gd name="connsiteX117" fmla="*/ 680628 w 2541582"/>
              <a:gd name="connsiteY117" fmla="*/ 239320 h 2517378"/>
              <a:gd name="connsiteX118" fmla="*/ 680628 w 2541582"/>
              <a:gd name="connsiteY118" fmla="*/ 239320 h 2517378"/>
              <a:gd name="connsiteX119" fmla="*/ 739978 w 2541582"/>
              <a:gd name="connsiteY119" fmla="*/ 103824 h 2517378"/>
              <a:gd name="connsiteX120" fmla="*/ 879349 w 2541582"/>
              <a:gd name="connsiteY120" fmla="*/ 164871 h 2517378"/>
              <a:gd name="connsiteX121" fmla="*/ 879352 w 2541582"/>
              <a:gd name="connsiteY121" fmla="*/ 164872 h 2517378"/>
              <a:gd name="connsiteX122" fmla="*/ 928939 w 2541582"/>
              <a:gd name="connsiteY122" fmla="*/ 199283 h 2517378"/>
              <a:gd name="connsiteX123" fmla="*/ 2440810 w 2541582"/>
              <a:gd name="connsiteY123" fmla="*/ 1126826 h 2517378"/>
              <a:gd name="connsiteX124" fmla="*/ 2440811 w 2541582"/>
              <a:gd name="connsiteY124" fmla="*/ 1126826 h 2517378"/>
              <a:gd name="connsiteX125" fmla="*/ 2541582 w 2541582"/>
              <a:gd name="connsiteY125" fmla="*/ 1235115 h 2517378"/>
              <a:gd name="connsiteX126" fmla="*/ 2430197 w 2541582"/>
              <a:gd name="connsiteY126" fmla="*/ 1338769 h 2517378"/>
              <a:gd name="connsiteX127" fmla="*/ 2430194 w 2541582"/>
              <a:gd name="connsiteY127" fmla="*/ 1338772 h 2517378"/>
              <a:gd name="connsiteX128" fmla="*/ 2218033 w 2541582"/>
              <a:gd name="connsiteY128" fmla="*/ 1334138 h 2517378"/>
              <a:gd name="connsiteX129" fmla="*/ 2218033 w 2541582"/>
              <a:gd name="connsiteY129" fmla="*/ 1334138 h 2517378"/>
              <a:gd name="connsiteX130" fmla="*/ 2117261 w 2541582"/>
              <a:gd name="connsiteY130" fmla="*/ 1225849 h 2517378"/>
              <a:gd name="connsiteX131" fmla="*/ 2228647 w 2541582"/>
              <a:gd name="connsiteY131" fmla="*/ 1122195 h 2517378"/>
              <a:gd name="connsiteX132" fmla="*/ 2228649 w 2541582"/>
              <a:gd name="connsiteY132" fmla="*/ 1122192 h 2517378"/>
              <a:gd name="connsiteX133" fmla="*/ 2440810 w 2541582"/>
              <a:gd name="connsiteY133" fmla="*/ 1126826 h 2517378"/>
              <a:gd name="connsiteX134" fmla="*/ 1247133 w 2541582"/>
              <a:gd name="connsiteY134" fmla="*/ 0 h 2517378"/>
              <a:gd name="connsiteX135" fmla="*/ 1350787 w 2541582"/>
              <a:gd name="connsiteY135" fmla="*/ 111386 h 2517378"/>
              <a:gd name="connsiteX136" fmla="*/ 1350790 w 2541582"/>
              <a:gd name="connsiteY136" fmla="*/ 111388 h 2517378"/>
              <a:gd name="connsiteX137" fmla="*/ 1346157 w 2541582"/>
              <a:gd name="connsiteY137" fmla="*/ 323549 h 2517378"/>
              <a:gd name="connsiteX138" fmla="*/ 1346157 w 2541582"/>
              <a:gd name="connsiteY138" fmla="*/ 323550 h 2517378"/>
              <a:gd name="connsiteX139" fmla="*/ 1237868 w 2541582"/>
              <a:gd name="connsiteY139" fmla="*/ 424321 h 2517378"/>
              <a:gd name="connsiteX140" fmla="*/ 1134214 w 2541582"/>
              <a:gd name="connsiteY140" fmla="*/ 312935 h 2517378"/>
              <a:gd name="connsiteX141" fmla="*/ 1134211 w 2541582"/>
              <a:gd name="connsiteY141" fmla="*/ 312933 h 2517378"/>
              <a:gd name="connsiteX142" fmla="*/ 1138844 w 2541582"/>
              <a:gd name="connsiteY142" fmla="*/ 100772 h 2517378"/>
              <a:gd name="connsiteX143" fmla="*/ 1138844 w 2541582"/>
              <a:gd name="connsiteY143" fmla="*/ 100772 h 2517378"/>
              <a:gd name="connsiteX144" fmla="*/ 2416531 w 2541582"/>
              <a:gd name="connsiteY144" fmla="*/ 737089 h 2517378"/>
              <a:gd name="connsiteX145" fmla="*/ 2355484 w 2541582"/>
              <a:gd name="connsiteY145" fmla="*/ 876459 h 2517378"/>
              <a:gd name="connsiteX146" fmla="*/ 2355483 w 2541582"/>
              <a:gd name="connsiteY146" fmla="*/ 876463 h 2517378"/>
              <a:gd name="connsiteX147" fmla="*/ 2158938 w 2541582"/>
              <a:gd name="connsiteY147" fmla="*/ 956487 h 2517378"/>
              <a:gd name="connsiteX148" fmla="*/ 2158938 w 2541582"/>
              <a:gd name="connsiteY148" fmla="*/ 956487 h 2517378"/>
              <a:gd name="connsiteX149" fmla="*/ 2023442 w 2541582"/>
              <a:gd name="connsiteY149" fmla="*/ 897137 h 2517378"/>
              <a:gd name="connsiteX150" fmla="*/ 2084489 w 2541582"/>
              <a:gd name="connsiteY150" fmla="*/ 757767 h 2517378"/>
              <a:gd name="connsiteX151" fmla="*/ 2084490 w 2541582"/>
              <a:gd name="connsiteY151" fmla="*/ 757763 h 2517378"/>
              <a:gd name="connsiteX152" fmla="*/ 2281035 w 2541582"/>
              <a:gd name="connsiteY152" fmla="*/ 677739 h 2517378"/>
              <a:gd name="connsiteX153" fmla="*/ 2281035 w 2541582"/>
              <a:gd name="connsiteY153" fmla="*/ 677739 h 2517378"/>
              <a:gd name="connsiteX154" fmla="*/ 1695493 w 2541582"/>
              <a:gd name="connsiteY154" fmla="*/ 73601 h 2517378"/>
              <a:gd name="connsiteX155" fmla="*/ 1752857 w 2541582"/>
              <a:gd name="connsiteY155" fmla="*/ 214527 h 2517378"/>
              <a:gd name="connsiteX156" fmla="*/ 1752859 w 2541582"/>
              <a:gd name="connsiteY156" fmla="*/ 214531 h 2517378"/>
              <a:gd name="connsiteX157" fmla="*/ 1673216 w 2541582"/>
              <a:gd name="connsiteY157" fmla="*/ 411230 h 2517378"/>
              <a:gd name="connsiteX158" fmla="*/ 1673216 w 2541582"/>
              <a:gd name="connsiteY158" fmla="*/ 411230 h 2517378"/>
              <a:gd name="connsiteX159" fmla="*/ 1536207 w 2541582"/>
              <a:gd name="connsiteY159" fmla="*/ 466999 h 2517378"/>
              <a:gd name="connsiteX160" fmla="*/ 1478843 w 2541582"/>
              <a:gd name="connsiteY160" fmla="*/ 326073 h 2517378"/>
              <a:gd name="connsiteX161" fmla="*/ 1478841 w 2541582"/>
              <a:gd name="connsiteY161" fmla="*/ 326069 h 2517378"/>
              <a:gd name="connsiteX162" fmla="*/ 1558484 w 2541582"/>
              <a:gd name="connsiteY162" fmla="*/ 129370 h 2517378"/>
              <a:gd name="connsiteX163" fmla="*/ 1558485 w 2541582"/>
              <a:gd name="connsiteY163" fmla="*/ 129370 h 2517378"/>
              <a:gd name="connsiteX164" fmla="*/ 2119183 w 2541582"/>
              <a:gd name="connsiteY164" fmla="*/ 312304 h 2517378"/>
              <a:gd name="connsiteX165" fmla="*/ 2119184 w 2541582"/>
              <a:gd name="connsiteY165" fmla="*/ 464458 h 2517378"/>
              <a:gd name="connsiteX166" fmla="*/ 2119184 w 2541582"/>
              <a:gd name="connsiteY166" fmla="*/ 464462 h 2517378"/>
              <a:gd name="connsiteX167" fmla="*/ 1971260 w 2541582"/>
              <a:gd name="connsiteY167" fmla="*/ 616620 h 2517378"/>
              <a:gd name="connsiteX168" fmla="*/ 1971259 w 2541582"/>
              <a:gd name="connsiteY168" fmla="*/ 616620 h 2517378"/>
              <a:gd name="connsiteX169" fmla="*/ 1823335 w 2541582"/>
              <a:gd name="connsiteY169" fmla="*/ 616620 h 2517378"/>
              <a:gd name="connsiteX170" fmla="*/ 1823335 w 2541582"/>
              <a:gd name="connsiteY170" fmla="*/ 464466 h 2517378"/>
              <a:gd name="connsiteX171" fmla="*/ 1823335 w 2541582"/>
              <a:gd name="connsiteY171" fmla="*/ 464462 h 2517378"/>
              <a:gd name="connsiteX172" fmla="*/ 1971259 w 2541582"/>
              <a:gd name="connsiteY172" fmla="*/ 312304 h 2517378"/>
              <a:gd name="connsiteX173" fmla="*/ 1971260 w 2541582"/>
              <a:gd name="connsiteY173" fmla="*/ 312304 h 25173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Lst>
            <a:rect l="l" t="t" r="r" b="b"/>
            <a:pathLst>
              <a:path w="2541582" h="2517378">
                <a:moveTo>
                  <a:pt x="721625" y="1903961"/>
                </a:moveTo>
                <a:lnTo>
                  <a:pt x="721626" y="2056116"/>
                </a:lnTo>
                <a:lnTo>
                  <a:pt x="721626" y="2056119"/>
                </a:lnTo>
                <a:cubicBezTo>
                  <a:pt x="721626" y="2140154"/>
                  <a:pt x="655398" y="2208277"/>
                  <a:pt x="573702" y="2208278"/>
                </a:cubicBezTo>
                <a:lnTo>
                  <a:pt x="573701" y="2208277"/>
                </a:lnTo>
                <a:lnTo>
                  <a:pt x="425777" y="2208278"/>
                </a:lnTo>
                <a:lnTo>
                  <a:pt x="425777" y="2056123"/>
                </a:lnTo>
                <a:lnTo>
                  <a:pt x="425777" y="2056120"/>
                </a:lnTo>
                <a:cubicBezTo>
                  <a:pt x="425777" y="1972085"/>
                  <a:pt x="492005" y="1903962"/>
                  <a:pt x="573701" y="1903962"/>
                </a:cubicBezTo>
                <a:lnTo>
                  <a:pt x="573702" y="1903962"/>
                </a:lnTo>
                <a:close/>
                <a:moveTo>
                  <a:pt x="519727" y="1624038"/>
                </a:moveTo>
                <a:lnTo>
                  <a:pt x="458680" y="1763409"/>
                </a:lnTo>
                <a:lnTo>
                  <a:pt x="458678" y="1763413"/>
                </a:lnTo>
                <a:cubicBezTo>
                  <a:pt x="424962" y="1840387"/>
                  <a:pt x="336966" y="1876215"/>
                  <a:pt x="262134" y="1843437"/>
                </a:cubicBezTo>
                <a:lnTo>
                  <a:pt x="262133" y="1843437"/>
                </a:lnTo>
                <a:lnTo>
                  <a:pt x="126637" y="1784087"/>
                </a:lnTo>
                <a:lnTo>
                  <a:pt x="187684" y="1644716"/>
                </a:lnTo>
                <a:lnTo>
                  <a:pt x="187686" y="1644713"/>
                </a:lnTo>
                <a:cubicBezTo>
                  <a:pt x="221402" y="1567739"/>
                  <a:pt x="309398" y="1531910"/>
                  <a:pt x="384230" y="1564688"/>
                </a:cubicBezTo>
                <a:lnTo>
                  <a:pt x="384231" y="1564689"/>
                </a:lnTo>
                <a:close/>
                <a:moveTo>
                  <a:pt x="1009078" y="2051827"/>
                </a:moveTo>
                <a:lnTo>
                  <a:pt x="1066442" y="2192754"/>
                </a:lnTo>
                <a:lnTo>
                  <a:pt x="1066444" y="2192757"/>
                </a:lnTo>
                <a:cubicBezTo>
                  <a:pt x="1098126" y="2270591"/>
                  <a:pt x="1062469" y="2358656"/>
                  <a:pt x="986801" y="2389456"/>
                </a:cubicBezTo>
                <a:lnTo>
                  <a:pt x="986801" y="2389457"/>
                </a:lnTo>
                <a:lnTo>
                  <a:pt x="849793" y="2445226"/>
                </a:lnTo>
                <a:lnTo>
                  <a:pt x="792428" y="2304299"/>
                </a:lnTo>
                <a:lnTo>
                  <a:pt x="792426" y="2304296"/>
                </a:lnTo>
                <a:cubicBezTo>
                  <a:pt x="760744" y="2226462"/>
                  <a:pt x="796402" y="2138397"/>
                  <a:pt x="872069" y="2107597"/>
                </a:cubicBezTo>
                <a:lnTo>
                  <a:pt x="872070" y="2107597"/>
                </a:lnTo>
                <a:close/>
                <a:moveTo>
                  <a:pt x="1307640" y="2093057"/>
                </a:moveTo>
                <a:lnTo>
                  <a:pt x="1411294" y="2204442"/>
                </a:lnTo>
                <a:lnTo>
                  <a:pt x="1411296" y="2204445"/>
                </a:lnTo>
                <a:cubicBezTo>
                  <a:pt x="1468544" y="2265963"/>
                  <a:pt x="1466470" y="2360951"/>
                  <a:pt x="1406663" y="2416606"/>
                </a:cubicBezTo>
                <a:lnTo>
                  <a:pt x="1406663" y="2416606"/>
                </a:lnTo>
                <a:lnTo>
                  <a:pt x="1298374" y="2517378"/>
                </a:lnTo>
                <a:lnTo>
                  <a:pt x="1194720" y="2405992"/>
                </a:lnTo>
                <a:lnTo>
                  <a:pt x="1194718" y="2405989"/>
                </a:lnTo>
                <a:cubicBezTo>
                  <a:pt x="1137470" y="2344471"/>
                  <a:pt x="1139544" y="2249484"/>
                  <a:pt x="1199351" y="2193829"/>
                </a:cubicBezTo>
                <a:lnTo>
                  <a:pt x="1199351" y="2193828"/>
                </a:lnTo>
                <a:close/>
                <a:moveTo>
                  <a:pt x="323549" y="1188033"/>
                </a:moveTo>
                <a:lnTo>
                  <a:pt x="323549" y="1188033"/>
                </a:lnTo>
                <a:lnTo>
                  <a:pt x="424321" y="1296322"/>
                </a:lnTo>
                <a:lnTo>
                  <a:pt x="312935" y="1399976"/>
                </a:lnTo>
                <a:lnTo>
                  <a:pt x="312933" y="1399979"/>
                </a:lnTo>
                <a:cubicBezTo>
                  <a:pt x="251414" y="1457227"/>
                  <a:pt x="156427" y="1455152"/>
                  <a:pt x="100772" y="1395346"/>
                </a:cubicBezTo>
                <a:lnTo>
                  <a:pt x="100771" y="1395345"/>
                </a:lnTo>
                <a:lnTo>
                  <a:pt x="0" y="1287056"/>
                </a:lnTo>
                <a:lnTo>
                  <a:pt x="111385" y="1183403"/>
                </a:lnTo>
                <a:lnTo>
                  <a:pt x="111388" y="1183400"/>
                </a:lnTo>
                <a:cubicBezTo>
                  <a:pt x="172906" y="1126152"/>
                  <a:pt x="267894" y="1128226"/>
                  <a:pt x="323549" y="1188033"/>
                </a:cubicBezTo>
                <a:close/>
                <a:moveTo>
                  <a:pt x="1826146" y="2118023"/>
                </a:moveTo>
                <a:cubicBezTo>
                  <a:pt x="1867160" y="2160504"/>
                  <a:pt x="1881167" y="2224032"/>
                  <a:pt x="1856583" y="2280157"/>
                </a:cubicBezTo>
                <a:lnTo>
                  <a:pt x="1856583" y="2280157"/>
                </a:lnTo>
                <a:lnTo>
                  <a:pt x="1797234" y="2415653"/>
                </a:lnTo>
                <a:lnTo>
                  <a:pt x="1657863" y="2354606"/>
                </a:lnTo>
                <a:lnTo>
                  <a:pt x="1657859" y="2354605"/>
                </a:lnTo>
                <a:cubicBezTo>
                  <a:pt x="1580885" y="2320889"/>
                  <a:pt x="1545057" y="2232893"/>
                  <a:pt x="1577835" y="2158060"/>
                </a:cubicBezTo>
                <a:lnTo>
                  <a:pt x="1577835" y="2158060"/>
                </a:lnTo>
                <a:lnTo>
                  <a:pt x="1637185" y="2022564"/>
                </a:lnTo>
                <a:lnTo>
                  <a:pt x="1776555" y="2083611"/>
                </a:lnTo>
                <a:lnTo>
                  <a:pt x="1776559" y="2083612"/>
                </a:lnTo>
                <a:cubicBezTo>
                  <a:pt x="1795803" y="2092041"/>
                  <a:pt x="1812474" y="2103863"/>
                  <a:pt x="1826146" y="2118023"/>
                </a:cubicBezTo>
                <a:close/>
                <a:moveTo>
                  <a:pt x="377553" y="807593"/>
                </a:moveTo>
                <a:cubicBezTo>
                  <a:pt x="391356" y="821081"/>
                  <a:pt x="402635" y="837498"/>
                  <a:pt x="410335" y="856415"/>
                </a:cubicBezTo>
                <a:lnTo>
                  <a:pt x="410336" y="856415"/>
                </a:lnTo>
                <a:lnTo>
                  <a:pt x="466105" y="993423"/>
                </a:lnTo>
                <a:lnTo>
                  <a:pt x="325178" y="1050787"/>
                </a:lnTo>
                <a:lnTo>
                  <a:pt x="325175" y="1050789"/>
                </a:lnTo>
                <a:cubicBezTo>
                  <a:pt x="247342" y="1082471"/>
                  <a:pt x="159276" y="1046814"/>
                  <a:pt x="128476" y="971146"/>
                </a:cubicBezTo>
                <a:lnTo>
                  <a:pt x="128476" y="971146"/>
                </a:lnTo>
                <a:lnTo>
                  <a:pt x="72706" y="834138"/>
                </a:lnTo>
                <a:lnTo>
                  <a:pt x="213633" y="776773"/>
                </a:lnTo>
                <a:lnTo>
                  <a:pt x="213636" y="776772"/>
                </a:lnTo>
                <a:cubicBezTo>
                  <a:pt x="272011" y="753010"/>
                  <a:pt x="336142" y="767127"/>
                  <a:pt x="377553" y="807593"/>
                </a:cubicBezTo>
                <a:close/>
                <a:moveTo>
                  <a:pt x="2166386" y="1843414"/>
                </a:moveTo>
                <a:cubicBezTo>
                  <a:pt x="2193921" y="1870183"/>
                  <a:pt x="2210952" y="1907164"/>
                  <a:pt x="2210952" y="1948012"/>
                </a:cubicBezTo>
                <a:lnTo>
                  <a:pt x="2210952" y="1948012"/>
                </a:lnTo>
                <a:lnTo>
                  <a:pt x="2210952" y="2095936"/>
                </a:lnTo>
                <a:lnTo>
                  <a:pt x="2058798" y="2095936"/>
                </a:lnTo>
                <a:lnTo>
                  <a:pt x="2058794" y="2095937"/>
                </a:lnTo>
                <a:cubicBezTo>
                  <a:pt x="1974759" y="2095937"/>
                  <a:pt x="1906636" y="2029709"/>
                  <a:pt x="1906636" y="1948012"/>
                </a:cubicBezTo>
                <a:lnTo>
                  <a:pt x="1906636" y="1948012"/>
                </a:lnTo>
                <a:lnTo>
                  <a:pt x="1906636" y="1800088"/>
                </a:lnTo>
                <a:lnTo>
                  <a:pt x="2058790" y="1800088"/>
                </a:lnTo>
                <a:lnTo>
                  <a:pt x="2058794" y="1800088"/>
                </a:lnTo>
                <a:cubicBezTo>
                  <a:pt x="2100811" y="1800088"/>
                  <a:pt x="2138851" y="1816645"/>
                  <a:pt x="2166386" y="1843414"/>
                </a:cubicBezTo>
                <a:close/>
                <a:moveTo>
                  <a:pt x="592924" y="461833"/>
                </a:moveTo>
                <a:cubicBezTo>
                  <a:pt x="620460" y="488602"/>
                  <a:pt x="637491" y="525583"/>
                  <a:pt x="637491" y="566431"/>
                </a:cubicBezTo>
                <a:lnTo>
                  <a:pt x="637490" y="566431"/>
                </a:lnTo>
                <a:lnTo>
                  <a:pt x="637490" y="714355"/>
                </a:lnTo>
                <a:lnTo>
                  <a:pt x="485336" y="714355"/>
                </a:lnTo>
                <a:lnTo>
                  <a:pt x="485333" y="714356"/>
                </a:lnTo>
                <a:cubicBezTo>
                  <a:pt x="401298" y="714356"/>
                  <a:pt x="333174" y="648128"/>
                  <a:pt x="333174" y="566431"/>
                </a:cubicBezTo>
                <a:lnTo>
                  <a:pt x="333175" y="566431"/>
                </a:lnTo>
                <a:lnTo>
                  <a:pt x="333175" y="418507"/>
                </a:lnTo>
                <a:lnTo>
                  <a:pt x="485329" y="418507"/>
                </a:lnTo>
                <a:lnTo>
                  <a:pt x="485333" y="418507"/>
                </a:lnTo>
                <a:cubicBezTo>
                  <a:pt x="527350" y="418507"/>
                  <a:pt x="565389" y="435064"/>
                  <a:pt x="592924" y="461833"/>
                </a:cubicBezTo>
                <a:close/>
                <a:moveTo>
                  <a:pt x="2378656" y="1501946"/>
                </a:moveTo>
                <a:cubicBezTo>
                  <a:pt x="2392459" y="1515435"/>
                  <a:pt x="2403738" y="1531851"/>
                  <a:pt x="2411439" y="1550768"/>
                </a:cubicBezTo>
                <a:lnTo>
                  <a:pt x="2411439" y="1550768"/>
                </a:lnTo>
                <a:lnTo>
                  <a:pt x="2467208" y="1687776"/>
                </a:lnTo>
                <a:lnTo>
                  <a:pt x="2326282" y="1745141"/>
                </a:lnTo>
                <a:lnTo>
                  <a:pt x="2326278" y="1745142"/>
                </a:lnTo>
                <a:cubicBezTo>
                  <a:pt x="2248445" y="1776824"/>
                  <a:pt x="2160379" y="1741167"/>
                  <a:pt x="2129579" y="1665499"/>
                </a:cubicBezTo>
                <a:lnTo>
                  <a:pt x="2129579" y="1665499"/>
                </a:lnTo>
                <a:lnTo>
                  <a:pt x="2073809" y="1528491"/>
                </a:lnTo>
                <a:lnTo>
                  <a:pt x="2214736" y="1471127"/>
                </a:lnTo>
                <a:lnTo>
                  <a:pt x="2214739" y="1471125"/>
                </a:lnTo>
                <a:cubicBezTo>
                  <a:pt x="2273114" y="1447363"/>
                  <a:pt x="2337245" y="1461480"/>
                  <a:pt x="2378656" y="1501946"/>
                </a:cubicBezTo>
                <a:close/>
                <a:moveTo>
                  <a:pt x="928939" y="199283"/>
                </a:moveTo>
                <a:cubicBezTo>
                  <a:pt x="969953" y="241764"/>
                  <a:pt x="983960" y="305292"/>
                  <a:pt x="959377" y="361416"/>
                </a:cubicBezTo>
                <a:lnTo>
                  <a:pt x="959376" y="361417"/>
                </a:lnTo>
                <a:lnTo>
                  <a:pt x="900027" y="496913"/>
                </a:lnTo>
                <a:lnTo>
                  <a:pt x="760656" y="435866"/>
                </a:lnTo>
                <a:lnTo>
                  <a:pt x="760652" y="435865"/>
                </a:lnTo>
                <a:cubicBezTo>
                  <a:pt x="683678" y="402148"/>
                  <a:pt x="647850" y="314153"/>
                  <a:pt x="680628" y="239320"/>
                </a:cubicBezTo>
                <a:lnTo>
                  <a:pt x="680628" y="239320"/>
                </a:lnTo>
                <a:lnTo>
                  <a:pt x="739978" y="103824"/>
                </a:lnTo>
                <a:lnTo>
                  <a:pt x="879349" y="164871"/>
                </a:lnTo>
                <a:lnTo>
                  <a:pt x="879352" y="164872"/>
                </a:lnTo>
                <a:cubicBezTo>
                  <a:pt x="898596" y="173301"/>
                  <a:pt x="915268" y="185122"/>
                  <a:pt x="928939" y="199283"/>
                </a:cubicBezTo>
                <a:close/>
                <a:moveTo>
                  <a:pt x="2440810" y="1126826"/>
                </a:moveTo>
                <a:lnTo>
                  <a:pt x="2440811" y="1126826"/>
                </a:lnTo>
                <a:lnTo>
                  <a:pt x="2541582" y="1235115"/>
                </a:lnTo>
                <a:lnTo>
                  <a:pt x="2430197" y="1338769"/>
                </a:lnTo>
                <a:lnTo>
                  <a:pt x="2430194" y="1338772"/>
                </a:lnTo>
                <a:cubicBezTo>
                  <a:pt x="2368676" y="1396019"/>
                  <a:pt x="2273688" y="1393945"/>
                  <a:pt x="2218033" y="1334138"/>
                </a:cubicBezTo>
                <a:lnTo>
                  <a:pt x="2218033" y="1334138"/>
                </a:lnTo>
                <a:lnTo>
                  <a:pt x="2117261" y="1225849"/>
                </a:lnTo>
                <a:lnTo>
                  <a:pt x="2228647" y="1122195"/>
                </a:lnTo>
                <a:lnTo>
                  <a:pt x="2228649" y="1122192"/>
                </a:lnTo>
                <a:cubicBezTo>
                  <a:pt x="2290168" y="1064945"/>
                  <a:pt x="2385155" y="1067019"/>
                  <a:pt x="2440810" y="1126826"/>
                </a:cubicBezTo>
                <a:close/>
                <a:moveTo>
                  <a:pt x="1247133" y="0"/>
                </a:moveTo>
                <a:lnTo>
                  <a:pt x="1350787" y="111386"/>
                </a:lnTo>
                <a:lnTo>
                  <a:pt x="1350790" y="111388"/>
                </a:lnTo>
                <a:cubicBezTo>
                  <a:pt x="1408038" y="172907"/>
                  <a:pt x="1405963" y="267894"/>
                  <a:pt x="1346157" y="323549"/>
                </a:cubicBezTo>
                <a:lnTo>
                  <a:pt x="1346157" y="323550"/>
                </a:lnTo>
                <a:lnTo>
                  <a:pt x="1237868" y="424321"/>
                </a:lnTo>
                <a:lnTo>
                  <a:pt x="1134214" y="312935"/>
                </a:lnTo>
                <a:lnTo>
                  <a:pt x="1134211" y="312933"/>
                </a:lnTo>
                <a:cubicBezTo>
                  <a:pt x="1076963" y="251415"/>
                  <a:pt x="1079038" y="156427"/>
                  <a:pt x="1138844" y="100772"/>
                </a:cubicBezTo>
                <a:lnTo>
                  <a:pt x="1138844" y="100772"/>
                </a:lnTo>
                <a:close/>
                <a:moveTo>
                  <a:pt x="2416531" y="737089"/>
                </a:moveTo>
                <a:lnTo>
                  <a:pt x="2355484" y="876459"/>
                </a:lnTo>
                <a:lnTo>
                  <a:pt x="2355483" y="876463"/>
                </a:lnTo>
                <a:cubicBezTo>
                  <a:pt x="2321766" y="953437"/>
                  <a:pt x="2233771" y="989265"/>
                  <a:pt x="2158938" y="956487"/>
                </a:cubicBezTo>
                <a:lnTo>
                  <a:pt x="2158938" y="956487"/>
                </a:lnTo>
                <a:lnTo>
                  <a:pt x="2023442" y="897137"/>
                </a:lnTo>
                <a:lnTo>
                  <a:pt x="2084489" y="757767"/>
                </a:lnTo>
                <a:lnTo>
                  <a:pt x="2084490" y="757763"/>
                </a:lnTo>
                <a:cubicBezTo>
                  <a:pt x="2118206" y="680789"/>
                  <a:pt x="2206202" y="644961"/>
                  <a:pt x="2281035" y="677739"/>
                </a:cubicBezTo>
                <a:lnTo>
                  <a:pt x="2281035" y="677739"/>
                </a:lnTo>
                <a:close/>
                <a:moveTo>
                  <a:pt x="1695493" y="73601"/>
                </a:moveTo>
                <a:lnTo>
                  <a:pt x="1752857" y="214527"/>
                </a:lnTo>
                <a:lnTo>
                  <a:pt x="1752859" y="214531"/>
                </a:lnTo>
                <a:cubicBezTo>
                  <a:pt x="1784541" y="292364"/>
                  <a:pt x="1748884" y="380429"/>
                  <a:pt x="1673216" y="411230"/>
                </a:cubicBezTo>
                <a:lnTo>
                  <a:pt x="1673216" y="411230"/>
                </a:lnTo>
                <a:lnTo>
                  <a:pt x="1536207" y="466999"/>
                </a:lnTo>
                <a:lnTo>
                  <a:pt x="1478843" y="326073"/>
                </a:lnTo>
                <a:lnTo>
                  <a:pt x="1478841" y="326069"/>
                </a:lnTo>
                <a:cubicBezTo>
                  <a:pt x="1447159" y="248236"/>
                  <a:pt x="1482817" y="160171"/>
                  <a:pt x="1558484" y="129370"/>
                </a:cubicBezTo>
                <a:lnTo>
                  <a:pt x="1558485" y="129370"/>
                </a:lnTo>
                <a:close/>
                <a:moveTo>
                  <a:pt x="2119183" y="312304"/>
                </a:moveTo>
                <a:lnTo>
                  <a:pt x="2119184" y="464458"/>
                </a:lnTo>
                <a:lnTo>
                  <a:pt x="2119184" y="464462"/>
                </a:lnTo>
                <a:cubicBezTo>
                  <a:pt x="2119184" y="548497"/>
                  <a:pt x="2052956" y="616620"/>
                  <a:pt x="1971260" y="616620"/>
                </a:cubicBezTo>
                <a:lnTo>
                  <a:pt x="1971259" y="616620"/>
                </a:lnTo>
                <a:lnTo>
                  <a:pt x="1823335" y="616620"/>
                </a:lnTo>
                <a:lnTo>
                  <a:pt x="1823335" y="464466"/>
                </a:lnTo>
                <a:lnTo>
                  <a:pt x="1823335" y="464462"/>
                </a:lnTo>
                <a:cubicBezTo>
                  <a:pt x="1823335" y="380427"/>
                  <a:pt x="1889563" y="312304"/>
                  <a:pt x="1971259" y="312304"/>
                </a:cubicBezTo>
                <a:lnTo>
                  <a:pt x="1971260" y="312304"/>
                </a:lnTo>
                <a:close/>
              </a:path>
            </a:pathLst>
          </a:custGeom>
          <a:gradFill>
            <a:gsLst>
              <a:gs pos="0">
                <a:sysClr val="window" lastClr="FFFFFF">
                  <a:lumMod val="85000"/>
                </a:sysClr>
              </a:gs>
              <a:gs pos="100000">
                <a:sysClr val="window" lastClr="FFFFFF">
                  <a:lumMod val="50000"/>
                </a:sysClr>
              </a:gs>
            </a:gsLst>
            <a:lin ang="5400000" scaled="1"/>
          </a:gra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104" name="Sun">
            <a:extLst>
              <a:ext uri="{FF2B5EF4-FFF2-40B4-BE49-F238E27FC236}">
                <a16:creationId xmlns:a16="http://schemas.microsoft.com/office/drawing/2014/main" id="{00000000-0008-0000-0400-000068000000}"/>
              </a:ext>
            </a:extLst>
          </xdr:cNvPr>
          <xdr:cNvSpPr/>
        </xdr:nvSpPr>
        <xdr:spPr>
          <a:xfrm rot="18324177">
            <a:off x="14829219" y="190232"/>
            <a:ext cx="942318" cy="930488"/>
          </a:xfrm>
          <a:prstGeom prst="ellipse">
            <a:avLst/>
          </a:prstGeom>
          <a:gradFill>
            <a:gsLst>
              <a:gs pos="0">
                <a:sysClr val="window" lastClr="FFFFFF">
                  <a:lumMod val="85000"/>
                </a:sysClr>
              </a:gs>
              <a:gs pos="100000">
                <a:sysClr val="window" lastClr="FFFFFF">
                  <a:lumMod val="50000"/>
                </a:sysClr>
              </a:gs>
            </a:gsLst>
            <a:lin ang="5400000" scaled="1"/>
          </a:gradFill>
          <a:ln w="12700" cap="flat" cmpd="sng" algn="ctr">
            <a:no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18</xdr:col>
      <xdr:colOff>704031</xdr:colOff>
      <xdr:row>1</xdr:row>
      <xdr:rowOff>20103</xdr:rowOff>
    </xdr:from>
    <xdr:to>
      <xdr:col>20</xdr:col>
      <xdr:colOff>741463</xdr:colOff>
      <xdr:row>4</xdr:row>
      <xdr:rowOff>26635</xdr:rowOff>
    </xdr:to>
    <xdr:sp macro="" textlink="Processing!I1">
      <xdr:nvSpPr>
        <xdr:cNvPr id="105" name="TextBox 104">
          <a:extLst>
            <a:ext uri="{FF2B5EF4-FFF2-40B4-BE49-F238E27FC236}">
              <a16:creationId xmlns:a16="http://schemas.microsoft.com/office/drawing/2014/main" id="{00000000-0008-0000-0400-000069000000}"/>
            </a:ext>
          </a:extLst>
        </xdr:cNvPr>
        <xdr:cNvSpPr txBox="1"/>
      </xdr:nvSpPr>
      <xdr:spPr>
        <a:xfrm>
          <a:off x="15563031" y="223303"/>
          <a:ext cx="1688432" cy="616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616529F7-6C3A-9D4C-98BF-28707077E6C5}" type="TxLink">
            <a:rPr lang="en-US" sz="1200" b="0" i="0" u="none" strike="noStrike" noProof="0">
              <a:solidFill>
                <a:srgbClr val="BFCDE4"/>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Today: 1 Settembre 2025</a:t>
          </a:fld>
          <a:endParaRPr lang="ru-RU" sz="1200" b="0" i="0" u="none" strike="noStrike" noProof="0">
            <a:solidFill>
              <a:srgbClr val="BFCDE4"/>
            </a:solidFill>
            <a:latin typeface="Calibri"/>
            <a:ea typeface="+mn-ea"/>
            <a:cs typeface="Calibri"/>
          </a:endParaRPr>
        </a:p>
      </xdr:txBody>
    </xdr:sp>
    <xdr:clientData/>
  </xdr:twoCellAnchor>
  <xdr:twoCellAnchor editAs="oneCell">
    <xdr:from>
      <xdr:col>3</xdr:col>
      <xdr:colOff>463924</xdr:colOff>
      <xdr:row>6</xdr:row>
      <xdr:rowOff>4490</xdr:rowOff>
    </xdr:from>
    <xdr:to>
      <xdr:col>17</xdr:col>
      <xdr:colOff>309902</xdr:colOff>
      <xdr:row>8</xdr:row>
      <xdr:rowOff>20162</xdr:rowOff>
    </xdr:to>
    <mc:AlternateContent xmlns:mc="http://schemas.openxmlformats.org/markup-compatibility/2006" xmlns:a14="http://schemas.microsoft.com/office/drawing/2010/main">
      <mc:Choice Requires="a14">
        <xdr:graphicFrame macro="">
          <xdr:nvGraphicFramePr>
            <xdr:cNvPr id="106" name="Mese 13">
              <a:extLst>
                <a:ext uri="{FF2B5EF4-FFF2-40B4-BE49-F238E27FC236}">
                  <a16:creationId xmlns:a16="http://schemas.microsoft.com/office/drawing/2014/main" id="{00000000-0008-0000-0400-00006A000000}"/>
                </a:ext>
              </a:extLst>
            </xdr:cNvPr>
            <xdr:cNvGraphicFramePr/>
          </xdr:nvGraphicFramePr>
          <xdr:xfrm>
            <a:off x="0" y="0"/>
            <a:ext cx="0" cy="0"/>
          </xdr:xfrm>
          <a:graphic>
            <a:graphicData uri="http://schemas.microsoft.com/office/drawing/2010/slicer">
              <sle:slicer xmlns:sle="http://schemas.microsoft.com/office/drawing/2010/slicer" name="Mese 13"/>
            </a:graphicData>
          </a:graphic>
        </xdr:graphicFrame>
      </mc:Choice>
      <mc:Fallback xmlns="">
        <xdr:sp macro="" textlink="">
          <xdr:nvSpPr>
            <xdr:cNvPr id="0" name=""/>
            <xdr:cNvSpPr>
              <a:spLocks noTextEdit="1"/>
            </xdr:cNvSpPr>
          </xdr:nvSpPr>
          <xdr:spPr>
            <a:xfrm>
              <a:off x="2940424" y="1223690"/>
              <a:ext cx="11402978" cy="4220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472386</xdr:colOff>
      <xdr:row>6</xdr:row>
      <xdr:rowOff>4926</xdr:rowOff>
    </xdr:from>
    <xdr:to>
      <xdr:col>22</xdr:col>
      <xdr:colOff>156136</xdr:colOff>
      <xdr:row>8</xdr:row>
      <xdr:rowOff>19726</xdr:rowOff>
    </xdr:to>
    <mc:AlternateContent xmlns:mc="http://schemas.openxmlformats.org/markup-compatibility/2006" xmlns:a14="http://schemas.microsoft.com/office/drawing/2010/main">
      <mc:Choice Requires="a14">
        <xdr:graphicFrame macro="">
          <xdr:nvGraphicFramePr>
            <xdr:cNvPr id="107" name="Anno 5">
              <a:extLst>
                <a:ext uri="{FF2B5EF4-FFF2-40B4-BE49-F238E27FC236}">
                  <a16:creationId xmlns:a16="http://schemas.microsoft.com/office/drawing/2014/main" id="{00000000-0008-0000-0400-00006B000000}"/>
                </a:ext>
              </a:extLst>
            </xdr:cNvPr>
            <xdr:cNvGraphicFramePr/>
          </xdr:nvGraphicFramePr>
          <xdr:xfrm>
            <a:off x="0" y="0"/>
            <a:ext cx="0" cy="0"/>
          </xdr:xfrm>
          <a:graphic>
            <a:graphicData uri="http://schemas.microsoft.com/office/drawing/2010/slicer">
              <sle:slicer xmlns:sle="http://schemas.microsoft.com/office/drawing/2010/slicer" name="Anno 5"/>
            </a:graphicData>
          </a:graphic>
        </xdr:graphicFrame>
      </mc:Choice>
      <mc:Fallback xmlns="">
        <xdr:sp macro="" textlink="">
          <xdr:nvSpPr>
            <xdr:cNvPr id="0" name=""/>
            <xdr:cNvSpPr>
              <a:spLocks noTextEdit="1"/>
            </xdr:cNvSpPr>
          </xdr:nvSpPr>
          <xdr:spPr>
            <a:xfrm>
              <a:off x="15331386" y="1224126"/>
              <a:ext cx="2985750" cy="421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6723</xdr:colOff>
      <xdr:row>115</xdr:row>
      <xdr:rowOff>80682</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0" y="0"/>
          <a:ext cx="2483223" cy="23448682"/>
        </a:xfrm>
        <a:prstGeom prst="rect">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17</xdr:col>
      <xdr:colOff>390712</xdr:colOff>
      <xdr:row>10</xdr:row>
      <xdr:rowOff>11952</xdr:rowOff>
    </xdr:from>
    <xdr:to>
      <xdr:col>22</xdr:col>
      <xdr:colOff>270435</xdr:colOff>
      <xdr:row>26</xdr:row>
      <xdr:rowOff>74752</xdr:rowOff>
    </xdr:to>
    <xdr:sp macro="" textlink="">
      <xdr:nvSpPr>
        <xdr:cNvPr id="3" name="Rectangle: Rounded Corners 2">
          <a:extLst>
            <a:ext uri="{FF2B5EF4-FFF2-40B4-BE49-F238E27FC236}">
              <a16:creationId xmlns:a16="http://schemas.microsoft.com/office/drawing/2014/main" id="{00000000-0008-0000-0500-000003000000}"/>
            </a:ext>
          </a:extLst>
        </xdr:cNvPr>
        <xdr:cNvSpPr/>
      </xdr:nvSpPr>
      <xdr:spPr>
        <a:xfrm>
          <a:off x="14424212" y="2043952"/>
          <a:ext cx="4007223" cy="3314000"/>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320488</xdr:colOff>
      <xdr:row>10</xdr:row>
      <xdr:rowOff>11952</xdr:rowOff>
    </xdr:from>
    <xdr:to>
      <xdr:col>17</xdr:col>
      <xdr:colOff>139700</xdr:colOff>
      <xdr:row>32</xdr:row>
      <xdr:rowOff>184140</xdr:rowOff>
    </xdr:to>
    <xdr:sp macro="" textlink="">
      <xdr:nvSpPr>
        <xdr:cNvPr id="4" name="Rectangle: Rounded Corners 3">
          <a:extLst>
            <a:ext uri="{FF2B5EF4-FFF2-40B4-BE49-F238E27FC236}">
              <a16:creationId xmlns:a16="http://schemas.microsoft.com/office/drawing/2014/main" id="{00000000-0008-0000-0500-000004000000}"/>
            </a:ext>
          </a:extLst>
        </xdr:cNvPr>
        <xdr:cNvSpPr/>
      </xdr:nvSpPr>
      <xdr:spPr>
        <a:xfrm>
          <a:off x="2796988" y="2043952"/>
          <a:ext cx="11376212" cy="4642588"/>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17</xdr:col>
      <xdr:colOff>390712</xdr:colOff>
      <xdr:row>27</xdr:row>
      <xdr:rowOff>120278</xdr:rowOff>
    </xdr:from>
    <xdr:to>
      <xdr:col>22</xdr:col>
      <xdr:colOff>270435</xdr:colOff>
      <xdr:row>47</xdr:row>
      <xdr:rowOff>117286</xdr:rowOff>
    </xdr:to>
    <xdr:sp macro="" textlink="">
      <xdr:nvSpPr>
        <xdr:cNvPr id="5" name="Rectangle: Rounded Corners 4">
          <a:extLst>
            <a:ext uri="{FF2B5EF4-FFF2-40B4-BE49-F238E27FC236}">
              <a16:creationId xmlns:a16="http://schemas.microsoft.com/office/drawing/2014/main" id="{00000000-0008-0000-0500-000005000000}"/>
            </a:ext>
          </a:extLst>
        </xdr:cNvPr>
        <xdr:cNvSpPr/>
      </xdr:nvSpPr>
      <xdr:spPr>
        <a:xfrm>
          <a:off x="14424212" y="5606678"/>
          <a:ext cx="4007223" cy="4061008"/>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320488</xdr:colOff>
      <xdr:row>34</xdr:row>
      <xdr:rowOff>67810</xdr:rowOff>
    </xdr:from>
    <xdr:to>
      <xdr:col>17</xdr:col>
      <xdr:colOff>140688</xdr:colOff>
      <xdr:row>47</xdr:row>
      <xdr:rowOff>155386</xdr:rowOff>
    </xdr:to>
    <xdr:sp macro="" textlink="">
      <xdr:nvSpPr>
        <xdr:cNvPr id="6" name="Rectangle: Rounded Corners 5">
          <a:extLst>
            <a:ext uri="{FF2B5EF4-FFF2-40B4-BE49-F238E27FC236}">
              <a16:creationId xmlns:a16="http://schemas.microsoft.com/office/drawing/2014/main" id="{00000000-0008-0000-0500-000006000000}"/>
            </a:ext>
          </a:extLst>
        </xdr:cNvPr>
        <xdr:cNvSpPr/>
      </xdr:nvSpPr>
      <xdr:spPr>
        <a:xfrm>
          <a:off x="2796988" y="6976610"/>
          <a:ext cx="11377200" cy="2729176"/>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597948</xdr:colOff>
      <xdr:row>10</xdr:row>
      <xdr:rowOff>72612</xdr:rowOff>
    </xdr:from>
    <xdr:to>
      <xdr:col>6</xdr:col>
      <xdr:colOff>145707</xdr:colOff>
      <xdr:row>13</xdr:row>
      <xdr:rowOff>106676</xdr:rowOff>
    </xdr:to>
    <xdr:sp macro="" textlink="Processing!B23">
      <xdr:nvSpPr>
        <xdr:cNvPr id="17" name="TextBox 16">
          <a:extLst>
            <a:ext uri="{FF2B5EF4-FFF2-40B4-BE49-F238E27FC236}">
              <a16:creationId xmlns:a16="http://schemas.microsoft.com/office/drawing/2014/main" id="{00000000-0008-0000-0500-000011000000}"/>
            </a:ext>
          </a:extLst>
        </xdr:cNvPr>
        <xdr:cNvSpPr txBox="1"/>
      </xdr:nvSpPr>
      <xdr:spPr>
        <a:xfrm>
          <a:off x="3074448" y="2104612"/>
          <a:ext cx="2024259" cy="643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F0081548-DB59-214A-9A27-F4F54C7B25FB}" type="TxLink">
            <a:rPr lang="en-US" sz="1400" b="1" i="0" u="none" strike="noStrike" noProof="0">
              <a:solidFill>
                <a:schemeClr val="bg1"/>
              </a:soli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Total Debt Amount</a:t>
          </a:fld>
          <a:endParaRPr lang="ru-RU" sz="1400" b="1" i="0" u="none" strike="noStrike" noProof="0">
            <a:solidFill>
              <a:schemeClr val="bg1"/>
            </a:solidFill>
            <a:latin typeface="Calibri"/>
            <a:ea typeface="+mn-ea"/>
            <a:cs typeface="Calibri"/>
          </a:endParaRPr>
        </a:p>
      </xdr:txBody>
    </xdr:sp>
    <xdr:clientData/>
  </xdr:twoCellAnchor>
  <xdr:twoCellAnchor>
    <xdr:from>
      <xdr:col>0</xdr:col>
      <xdr:colOff>8966</xdr:colOff>
      <xdr:row>24</xdr:row>
      <xdr:rowOff>166302</xdr:rowOff>
    </xdr:from>
    <xdr:to>
      <xdr:col>3</xdr:col>
      <xdr:colOff>58719</xdr:colOff>
      <xdr:row>27</xdr:row>
      <xdr:rowOff>44067</xdr:rowOff>
    </xdr:to>
    <xdr:sp macro="" textlink="">
      <xdr:nvSpPr>
        <xdr:cNvPr id="18" name="Freeform: Shape 24">
          <a:extLst>
            <a:ext uri="{FF2B5EF4-FFF2-40B4-BE49-F238E27FC236}">
              <a16:creationId xmlns:a16="http://schemas.microsoft.com/office/drawing/2014/main" id="{00000000-0008-0000-0500-000012000000}"/>
            </a:ext>
          </a:extLst>
        </xdr:cNvPr>
        <xdr:cNvSpPr/>
      </xdr:nvSpPr>
      <xdr:spPr>
        <a:xfrm>
          <a:off x="8966" y="5043102"/>
          <a:ext cx="2526253" cy="487365"/>
        </a:xfrm>
        <a:custGeom>
          <a:avLst/>
          <a:gdLst>
            <a:gd name="connsiteX0" fmla="*/ 0 w 2264319"/>
            <a:gd name="connsiteY0" fmla="*/ 0 h 555812"/>
            <a:gd name="connsiteX1" fmla="*/ 2189612 w 2264319"/>
            <a:gd name="connsiteY1" fmla="*/ 0 h 555812"/>
            <a:gd name="connsiteX2" fmla="*/ 2264319 w 2264319"/>
            <a:gd name="connsiteY2" fmla="*/ 74707 h 555812"/>
            <a:gd name="connsiteX3" fmla="*/ 2264319 w 2264319"/>
            <a:gd name="connsiteY3" fmla="*/ 481105 h 555812"/>
            <a:gd name="connsiteX4" fmla="*/ 2189612 w 2264319"/>
            <a:gd name="connsiteY4" fmla="*/ 555812 h 555812"/>
            <a:gd name="connsiteX5" fmla="*/ 0 w 2264319"/>
            <a:gd name="connsiteY5" fmla="*/ 555812 h 555812"/>
            <a:gd name="connsiteX6" fmla="*/ 0 w 2264319"/>
            <a:gd name="connsiteY6" fmla="*/ 0 h 555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264319" h="555812">
              <a:moveTo>
                <a:pt x="0" y="0"/>
              </a:moveTo>
              <a:lnTo>
                <a:pt x="2189612" y="0"/>
              </a:lnTo>
              <a:cubicBezTo>
                <a:pt x="2230872" y="0"/>
                <a:pt x="2264319" y="33447"/>
                <a:pt x="2264319" y="74707"/>
              </a:cubicBezTo>
              <a:lnTo>
                <a:pt x="2264319" y="481105"/>
              </a:lnTo>
              <a:cubicBezTo>
                <a:pt x="2264319" y="522365"/>
                <a:pt x="2230872" y="555812"/>
                <a:pt x="2189612" y="555812"/>
              </a:cubicBezTo>
              <a:lnTo>
                <a:pt x="0" y="555812"/>
              </a:lnTo>
              <a:lnTo>
                <a:pt x="0" y="0"/>
              </a:lnTo>
              <a:close/>
            </a:path>
          </a:pathLst>
        </a:custGeom>
        <a:gradFill flip="none" rotWithShape="1">
          <a:gsLst>
            <a:gs pos="1000">
              <a:srgbClr val="F28F33"/>
            </a:gs>
            <a:gs pos="76000">
              <a:srgbClr val="FE2827"/>
            </a:gs>
          </a:gsLst>
          <a:lin ang="0" scaled="0"/>
          <a:tileRect/>
        </a:gra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600192</xdr:colOff>
      <xdr:row>11</xdr:row>
      <xdr:rowOff>126400</xdr:rowOff>
    </xdr:from>
    <xdr:to>
      <xdr:col>2</xdr:col>
      <xdr:colOff>698883</xdr:colOff>
      <xdr:row>14</xdr:row>
      <xdr:rowOff>160466</xdr:rowOff>
    </xdr:to>
    <xdr:sp macro="" textlink="Processing!B1">
      <xdr:nvSpPr>
        <xdr:cNvPr id="19" name="TextBox 18">
          <a:hlinkClick xmlns:r="http://schemas.openxmlformats.org/officeDocument/2006/relationships" r:id="rId1"/>
          <a:extLst>
            <a:ext uri="{FF2B5EF4-FFF2-40B4-BE49-F238E27FC236}">
              <a16:creationId xmlns:a16="http://schemas.microsoft.com/office/drawing/2014/main" id="{00000000-0008-0000-0500-000013000000}"/>
            </a:ext>
          </a:extLst>
        </xdr:cNvPr>
        <xdr:cNvSpPr txBox="1"/>
      </xdr:nvSpPr>
      <xdr:spPr>
        <a:xfrm>
          <a:off x="600192" y="2361600"/>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5C6C41CD-92F6-FD43-A818-7B5A3A809BCC}"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Dashboard</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14</xdr:row>
      <xdr:rowOff>41236</xdr:rowOff>
    </xdr:from>
    <xdr:to>
      <xdr:col>2</xdr:col>
      <xdr:colOff>698883</xdr:colOff>
      <xdr:row>17</xdr:row>
      <xdr:rowOff>75302</xdr:rowOff>
    </xdr:to>
    <xdr:sp macro="" textlink="Processing!T1">
      <xdr:nvSpPr>
        <xdr:cNvPr id="20" name="TextBox 19">
          <a:hlinkClick xmlns:r="http://schemas.openxmlformats.org/officeDocument/2006/relationships" r:id="rId2"/>
          <a:extLst>
            <a:ext uri="{FF2B5EF4-FFF2-40B4-BE49-F238E27FC236}">
              <a16:creationId xmlns:a16="http://schemas.microsoft.com/office/drawing/2014/main" id="{00000000-0008-0000-0500-000014000000}"/>
            </a:ext>
          </a:extLst>
        </xdr:cNvPr>
        <xdr:cNvSpPr txBox="1"/>
      </xdr:nvSpPr>
      <xdr:spPr>
        <a:xfrm>
          <a:off x="600192" y="2886036"/>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E12C8317-C260-544C-80C6-1D161CBBC614}"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Daily Budgeting</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16</xdr:row>
      <xdr:rowOff>144330</xdr:rowOff>
    </xdr:from>
    <xdr:to>
      <xdr:col>2</xdr:col>
      <xdr:colOff>698883</xdr:colOff>
      <xdr:row>19</xdr:row>
      <xdr:rowOff>193336</xdr:rowOff>
    </xdr:to>
    <xdr:sp macro="" textlink="Processing!B39">
      <xdr:nvSpPr>
        <xdr:cNvPr id="21" name="TextBox 20">
          <a:hlinkClick xmlns:r="http://schemas.openxmlformats.org/officeDocument/2006/relationships" r:id="rId3"/>
          <a:extLst>
            <a:ext uri="{FF2B5EF4-FFF2-40B4-BE49-F238E27FC236}">
              <a16:creationId xmlns:a16="http://schemas.microsoft.com/office/drawing/2014/main" id="{00000000-0008-0000-0500-000015000000}"/>
            </a:ext>
          </a:extLst>
        </xdr:cNvPr>
        <xdr:cNvSpPr txBox="1"/>
      </xdr:nvSpPr>
      <xdr:spPr>
        <a:xfrm>
          <a:off x="600192" y="3395530"/>
          <a:ext cx="1749691" cy="65860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71034DA2-76CC-BF4E-ACB6-EE175E57F94D}"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Income</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19</xdr:row>
      <xdr:rowOff>59166</xdr:rowOff>
    </xdr:from>
    <xdr:to>
      <xdr:col>2</xdr:col>
      <xdr:colOff>698883</xdr:colOff>
      <xdr:row>22</xdr:row>
      <xdr:rowOff>93231</xdr:rowOff>
    </xdr:to>
    <xdr:sp macro="" textlink="Processing!B63">
      <xdr:nvSpPr>
        <xdr:cNvPr id="22" name="TextBox 21">
          <a:hlinkClick xmlns:r="http://schemas.openxmlformats.org/officeDocument/2006/relationships" r:id="rId4"/>
          <a:extLst>
            <a:ext uri="{FF2B5EF4-FFF2-40B4-BE49-F238E27FC236}">
              <a16:creationId xmlns:a16="http://schemas.microsoft.com/office/drawing/2014/main" id="{00000000-0008-0000-0500-000016000000}"/>
            </a:ext>
          </a:extLst>
        </xdr:cNvPr>
        <xdr:cNvSpPr txBox="1"/>
      </xdr:nvSpPr>
      <xdr:spPr>
        <a:xfrm>
          <a:off x="600192" y="3919966"/>
          <a:ext cx="1749691" cy="643665"/>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4F85787C-CC1E-DD44-A93C-4142B1FBF6FF}"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Expenses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21</xdr:row>
      <xdr:rowOff>177201</xdr:rowOff>
    </xdr:from>
    <xdr:to>
      <xdr:col>2</xdr:col>
      <xdr:colOff>698883</xdr:colOff>
      <xdr:row>25</xdr:row>
      <xdr:rowOff>8067</xdr:rowOff>
    </xdr:to>
    <xdr:sp macro="" textlink="Processing!I17">
      <xdr:nvSpPr>
        <xdr:cNvPr id="23" name="TextBox 22">
          <a:hlinkClick xmlns:r="http://schemas.openxmlformats.org/officeDocument/2006/relationships" r:id="rId5"/>
          <a:extLst>
            <a:ext uri="{FF2B5EF4-FFF2-40B4-BE49-F238E27FC236}">
              <a16:creationId xmlns:a16="http://schemas.microsoft.com/office/drawing/2014/main" id="{00000000-0008-0000-0500-000017000000}"/>
            </a:ext>
          </a:extLst>
        </xdr:cNvPr>
        <xdr:cNvSpPr txBox="1"/>
      </xdr:nvSpPr>
      <xdr:spPr>
        <a:xfrm>
          <a:off x="600192" y="4444401"/>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83B0DC8B-BC7A-8F40-9CC4-BAECE45E6383}"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Investments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24</xdr:row>
      <xdr:rowOff>77096</xdr:rowOff>
    </xdr:from>
    <xdr:to>
      <xdr:col>2</xdr:col>
      <xdr:colOff>698883</xdr:colOff>
      <xdr:row>27</xdr:row>
      <xdr:rowOff>126102</xdr:rowOff>
    </xdr:to>
    <xdr:sp macro="" textlink="Processing!B18">
      <xdr:nvSpPr>
        <xdr:cNvPr id="24" name="TextBox 23">
          <a:extLst>
            <a:ext uri="{FF2B5EF4-FFF2-40B4-BE49-F238E27FC236}">
              <a16:creationId xmlns:a16="http://schemas.microsoft.com/office/drawing/2014/main" id="{00000000-0008-0000-0500-000018000000}"/>
            </a:ext>
          </a:extLst>
        </xdr:cNvPr>
        <xdr:cNvSpPr txBox="1"/>
      </xdr:nvSpPr>
      <xdr:spPr>
        <a:xfrm>
          <a:off x="600192" y="4953896"/>
          <a:ext cx="1749691" cy="65860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DFD76502-1AF0-D542-90DD-8316C0125F14}"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Debts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26</xdr:row>
      <xdr:rowOff>195133</xdr:rowOff>
    </xdr:from>
    <xdr:to>
      <xdr:col>2</xdr:col>
      <xdr:colOff>698883</xdr:colOff>
      <xdr:row>30</xdr:row>
      <xdr:rowOff>25997</xdr:rowOff>
    </xdr:to>
    <xdr:sp macro="" textlink="Processing!R13">
      <xdr:nvSpPr>
        <xdr:cNvPr id="25" name="TextBox 24">
          <a:hlinkClick xmlns:r="http://schemas.openxmlformats.org/officeDocument/2006/relationships" r:id="rId6"/>
          <a:extLst>
            <a:ext uri="{FF2B5EF4-FFF2-40B4-BE49-F238E27FC236}">
              <a16:creationId xmlns:a16="http://schemas.microsoft.com/office/drawing/2014/main" id="{00000000-0008-0000-0500-000019000000}"/>
            </a:ext>
          </a:extLst>
        </xdr:cNvPr>
        <xdr:cNvSpPr txBox="1"/>
      </xdr:nvSpPr>
      <xdr:spPr>
        <a:xfrm>
          <a:off x="600192" y="5478333"/>
          <a:ext cx="1749691" cy="643664"/>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CE3158CE-30AE-2D4C-90E6-6846E7A29DA8}"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Financial Goals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276340</xdr:colOff>
      <xdr:row>12</xdr:row>
      <xdr:rowOff>116933</xdr:rowOff>
    </xdr:from>
    <xdr:to>
      <xdr:col>0</xdr:col>
      <xdr:colOff>528340</xdr:colOff>
      <xdr:row>13</xdr:row>
      <xdr:rowOff>177088</xdr:rowOff>
    </xdr:to>
    <xdr:sp macro="" textlink="">
      <xdr:nvSpPr>
        <xdr:cNvPr id="26" name="Freeform: Shape 32">
          <a:extLst>
            <a:ext uri="{FF2B5EF4-FFF2-40B4-BE49-F238E27FC236}">
              <a16:creationId xmlns:a16="http://schemas.microsoft.com/office/drawing/2014/main" id="{00000000-0008-0000-0500-00001A000000}"/>
            </a:ext>
          </a:extLst>
        </xdr:cNvPr>
        <xdr:cNvSpPr/>
      </xdr:nvSpPr>
      <xdr:spPr>
        <a:xfrm>
          <a:off x="276340" y="2555333"/>
          <a:ext cx="252000" cy="263355"/>
        </a:xfrm>
        <a:custGeom>
          <a:avLst/>
          <a:gdLst>
            <a:gd name="connsiteX0" fmla="*/ 0 w 2612439"/>
            <a:gd name="connsiteY0" fmla="*/ 1633347 h 2629917"/>
            <a:gd name="connsiteX1" fmla="*/ 914400 w 2612439"/>
            <a:gd name="connsiteY1" fmla="*/ 1633347 h 2629917"/>
            <a:gd name="connsiteX2" fmla="*/ 914400 w 2612439"/>
            <a:gd name="connsiteY2" fmla="*/ 2629917 h 2629917"/>
            <a:gd name="connsiteX3" fmla="*/ 0 w 2612439"/>
            <a:gd name="connsiteY3" fmla="*/ 2629917 h 2629917"/>
            <a:gd name="connsiteX4" fmla="*/ 1165379 w 2612439"/>
            <a:gd name="connsiteY4" fmla="*/ 1076325 h 2629917"/>
            <a:gd name="connsiteX5" fmla="*/ 2612439 w 2612439"/>
            <a:gd name="connsiteY5" fmla="*/ 1076325 h 2629917"/>
            <a:gd name="connsiteX6" fmla="*/ 2612439 w 2612439"/>
            <a:gd name="connsiteY6" fmla="*/ 2629917 h 2629917"/>
            <a:gd name="connsiteX7" fmla="*/ 1165379 w 2612439"/>
            <a:gd name="connsiteY7" fmla="*/ 2629917 h 2629917"/>
            <a:gd name="connsiteX8" fmla="*/ 1165379 w 2612439"/>
            <a:gd name="connsiteY8" fmla="*/ 0 h 2629917"/>
            <a:gd name="connsiteX9" fmla="*/ 2612439 w 2612439"/>
            <a:gd name="connsiteY9" fmla="*/ 0 h 2629917"/>
            <a:gd name="connsiteX10" fmla="*/ 2612439 w 2612439"/>
            <a:gd name="connsiteY10" fmla="*/ 847725 h 2629917"/>
            <a:gd name="connsiteX11" fmla="*/ 1165379 w 2612439"/>
            <a:gd name="connsiteY11" fmla="*/ 847725 h 2629917"/>
            <a:gd name="connsiteX12" fmla="*/ 0 w 2612439"/>
            <a:gd name="connsiteY12" fmla="*/ 0 h 2629917"/>
            <a:gd name="connsiteX13" fmla="*/ 914400 w 2612439"/>
            <a:gd name="connsiteY13" fmla="*/ 0 h 2629917"/>
            <a:gd name="connsiteX14" fmla="*/ 914400 w 2612439"/>
            <a:gd name="connsiteY14" fmla="*/ 1428750 h 2629917"/>
            <a:gd name="connsiteX15" fmla="*/ 0 w 2612439"/>
            <a:gd name="connsiteY15" fmla="*/ 1428750 h 2629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612439" h="2629917">
              <a:moveTo>
                <a:pt x="0" y="1633347"/>
              </a:moveTo>
              <a:lnTo>
                <a:pt x="914400" y="1633347"/>
              </a:lnTo>
              <a:lnTo>
                <a:pt x="914400" y="2629917"/>
              </a:lnTo>
              <a:lnTo>
                <a:pt x="0" y="2629917"/>
              </a:lnTo>
              <a:close/>
              <a:moveTo>
                <a:pt x="1165379" y="1076325"/>
              </a:moveTo>
              <a:lnTo>
                <a:pt x="2612439" y="1076325"/>
              </a:lnTo>
              <a:lnTo>
                <a:pt x="2612439" y="2629917"/>
              </a:lnTo>
              <a:lnTo>
                <a:pt x="1165379" y="2629917"/>
              </a:lnTo>
              <a:close/>
              <a:moveTo>
                <a:pt x="1165379" y="0"/>
              </a:moveTo>
              <a:lnTo>
                <a:pt x="2612439" y="0"/>
              </a:lnTo>
              <a:lnTo>
                <a:pt x="2612439" y="847725"/>
              </a:lnTo>
              <a:lnTo>
                <a:pt x="1165379" y="847725"/>
              </a:lnTo>
              <a:close/>
              <a:moveTo>
                <a:pt x="0" y="0"/>
              </a:moveTo>
              <a:lnTo>
                <a:pt x="914400" y="0"/>
              </a:lnTo>
              <a:lnTo>
                <a:pt x="914400" y="1428750"/>
              </a:lnTo>
              <a:lnTo>
                <a:pt x="0" y="1428750"/>
              </a:lnTo>
              <a:close/>
            </a:path>
          </a:pathLst>
        </a:custGeom>
        <a:solidFill>
          <a:sysClr val="window" lastClr="FFFFFF"/>
        </a:soli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276340</xdr:colOff>
      <xdr:row>17</xdr:row>
      <xdr:rowOff>133538</xdr:rowOff>
    </xdr:from>
    <xdr:to>
      <xdr:col>0</xdr:col>
      <xdr:colOff>528340</xdr:colOff>
      <xdr:row>19</xdr:row>
      <xdr:rowOff>1848</xdr:rowOff>
    </xdr:to>
    <xdr:sp macro="" textlink="">
      <xdr:nvSpPr>
        <xdr:cNvPr id="27" name="Freeform: Shape 33">
          <a:extLst>
            <a:ext uri="{FF2B5EF4-FFF2-40B4-BE49-F238E27FC236}">
              <a16:creationId xmlns:a16="http://schemas.microsoft.com/office/drawing/2014/main" id="{00000000-0008-0000-0500-00001B000000}"/>
            </a:ext>
          </a:extLst>
        </xdr:cNvPr>
        <xdr:cNvSpPr/>
      </xdr:nvSpPr>
      <xdr:spPr>
        <a:xfrm>
          <a:off x="276340" y="3587938"/>
          <a:ext cx="252000" cy="274710"/>
        </a:xfrm>
        <a:custGeom>
          <a:avLst/>
          <a:gdLst>
            <a:gd name="connsiteX0" fmla="*/ 478368 w 2434877"/>
            <a:gd name="connsiteY0" fmla="*/ 1660447 h 2669419"/>
            <a:gd name="connsiteX1" fmla="*/ 478368 w 2434877"/>
            <a:gd name="connsiteY1" fmla="*/ 2669419 h 2669419"/>
            <a:gd name="connsiteX2" fmla="*/ 4662 w 2434877"/>
            <a:gd name="connsiteY2" fmla="*/ 2669419 h 2669419"/>
            <a:gd name="connsiteX3" fmla="*/ 14134 w 2434877"/>
            <a:gd name="connsiteY3" fmla="*/ 2124668 h 2669419"/>
            <a:gd name="connsiteX4" fmla="*/ 805273 w 2434877"/>
            <a:gd name="connsiteY4" fmla="*/ 1333554 h 2669419"/>
            <a:gd name="connsiteX5" fmla="*/ 1072919 w 2434877"/>
            <a:gd name="connsiteY5" fmla="*/ 1601215 h 2669419"/>
            <a:gd name="connsiteX6" fmla="*/ 1072919 w 2434877"/>
            <a:gd name="connsiteY6" fmla="*/ 2664691 h 2669419"/>
            <a:gd name="connsiteX7" fmla="*/ 606315 w 2434877"/>
            <a:gd name="connsiteY7" fmla="*/ 2669407 h 2669419"/>
            <a:gd name="connsiteX8" fmla="*/ 606315 w 2434877"/>
            <a:gd name="connsiteY8" fmla="*/ 1532527 h 2669419"/>
            <a:gd name="connsiteX9" fmla="*/ 1681683 w 2434877"/>
            <a:gd name="connsiteY9" fmla="*/ 1139327 h 2669419"/>
            <a:gd name="connsiteX10" fmla="*/ 1681683 w 2434877"/>
            <a:gd name="connsiteY10" fmla="*/ 2669400 h 2669419"/>
            <a:gd name="connsiteX11" fmla="*/ 1217448 w 2434877"/>
            <a:gd name="connsiteY11" fmla="*/ 2659932 h 2669419"/>
            <a:gd name="connsiteX12" fmla="*/ 1217448 w 2434877"/>
            <a:gd name="connsiteY12" fmla="*/ 1603584 h 2669419"/>
            <a:gd name="connsiteX13" fmla="*/ 2288060 w 2434877"/>
            <a:gd name="connsiteY13" fmla="*/ 528130 h 2669419"/>
            <a:gd name="connsiteX14" fmla="*/ 2288060 w 2434877"/>
            <a:gd name="connsiteY14" fmla="*/ 2659908 h 2669419"/>
            <a:gd name="connsiteX15" fmla="*/ 1814372 w 2434877"/>
            <a:gd name="connsiteY15" fmla="*/ 2664660 h 2669419"/>
            <a:gd name="connsiteX16" fmla="*/ 1814372 w 2434877"/>
            <a:gd name="connsiteY16" fmla="*/ 1001818 h 2669419"/>
            <a:gd name="connsiteX17" fmla="*/ 1987216 w 2434877"/>
            <a:gd name="connsiteY17" fmla="*/ 0 h 2669419"/>
            <a:gd name="connsiteX18" fmla="*/ 2434877 w 2434877"/>
            <a:gd name="connsiteY18" fmla="*/ 0 h 2669419"/>
            <a:gd name="connsiteX19" fmla="*/ 2434877 w 2434877"/>
            <a:gd name="connsiteY19" fmla="*/ 461881 h 2669419"/>
            <a:gd name="connsiteX20" fmla="*/ 2323528 w 2434877"/>
            <a:gd name="connsiteY20" fmla="*/ 350532 h 2669419"/>
            <a:gd name="connsiteX21" fmla="*/ 1141637 w 2434877"/>
            <a:gd name="connsiteY21" fmla="*/ 1532450 h 2669419"/>
            <a:gd name="connsiteX22" fmla="*/ 817147 w 2434877"/>
            <a:gd name="connsiteY22" fmla="*/ 1207945 h 2669419"/>
            <a:gd name="connsiteX23" fmla="*/ 0 w 2434877"/>
            <a:gd name="connsiteY23" fmla="*/ 2001422 h 2669419"/>
            <a:gd name="connsiteX24" fmla="*/ 0 w 2434877"/>
            <a:gd name="connsiteY24" fmla="*/ 1532450 h 2669419"/>
            <a:gd name="connsiteX25" fmla="*/ 805303 w 2434877"/>
            <a:gd name="connsiteY25" fmla="*/ 727129 h 2669419"/>
            <a:gd name="connsiteX26" fmla="*/ 1146374 w 2434877"/>
            <a:gd name="connsiteY26" fmla="*/ 1068193 h 2669419"/>
            <a:gd name="connsiteX27" fmla="*/ 2100904 w 2434877"/>
            <a:gd name="connsiteY27" fmla="*/ 113688 h 26694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2434877" h="2669419">
              <a:moveTo>
                <a:pt x="478368" y="1660447"/>
              </a:moveTo>
              <a:lnTo>
                <a:pt x="478368" y="2669419"/>
              </a:lnTo>
              <a:lnTo>
                <a:pt x="4662" y="2669419"/>
              </a:lnTo>
              <a:lnTo>
                <a:pt x="14134" y="2124668"/>
              </a:lnTo>
              <a:close/>
              <a:moveTo>
                <a:pt x="805273" y="1333554"/>
              </a:moveTo>
              <a:lnTo>
                <a:pt x="1072919" y="1601215"/>
              </a:lnTo>
              <a:lnTo>
                <a:pt x="1072919" y="2664691"/>
              </a:lnTo>
              <a:lnTo>
                <a:pt x="606315" y="2669407"/>
              </a:lnTo>
              <a:lnTo>
                <a:pt x="606315" y="1532527"/>
              </a:lnTo>
              <a:close/>
              <a:moveTo>
                <a:pt x="1681683" y="1139327"/>
              </a:moveTo>
              <a:lnTo>
                <a:pt x="1681683" y="2669400"/>
              </a:lnTo>
              <a:lnTo>
                <a:pt x="1217448" y="2659932"/>
              </a:lnTo>
              <a:lnTo>
                <a:pt x="1217448" y="1603584"/>
              </a:lnTo>
              <a:close/>
              <a:moveTo>
                <a:pt x="2288060" y="528130"/>
              </a:moveTo>
              <a:lnTo>
                <a:pt x="2288060" y="2659908"/>
              </a:lnTo>
              <a:lnTo>
                <a:pt x="1814372" y="2664660"/>
              </a:lnTo>
              <a:lnTo>
                <a:pt x="1814372" y="1001818"/>
              </a:lnTo>
              <a:close/>
              <a:moveTo>
                <a:pt x="1987216" y="0"/>
              </a:moveTo>
              <a:lnTo>
                <a:pt x="2434877" y="0"/>
              </a:lnTo>
              <a:lnTo>
                <a:pt x="2434877" y="461881"/>
              </a:lnTo>
              <a:lnTo>
                <a:pt x="2323528" y="350532"/>
              </a:lnTo>
              <a:lnTo>
                <a:pt x="1141637" y="1532450"/>
              </a:lnTo>
              <a:lnTo>
                <a:pt x="817147" y="1207945"/>
              </a:lnTo>
              <a:lnTo>
                <a:pt x="0" y="2001422"/>
              </a:lnTo>
              <a:lnTo>
                <a:pt x="0" y="1532450"/>
              </a:lnTo>
              <a:lnTo>
                <a:pt x="805303" y="727129"/>
              </a:lnTo>
              <a:lnTo>
                <a:pt x="1146374" y="1068193"/>
              </a:lnTo>
              <a:lnTo>
                <a:pt x="2100904" y="113688"/>
              </a:lnTo>
              <a:close/>
            </a:path>
          </a:pathLst>
        </a:custGeom>
        <a:solidFill>
          <a:sysClr val="window" lastClr="FFFFFF"/>
        </a:solidFill>
        <a:ln w="6350" cap="flat">
          <a:solidFill>
            <a:sysClr val="windowText" lastClr="000000"/>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294340</xdr:colOff>
      <xdr:row>15</xdr:row>
      <xdr:rowOff>29313</xdr:rowOff>
    </xdr:from>
    <xdr:to>
      <xdr:col>0</xdr:col>
      <xdr:colOff>510340</xdr:colOff>
      <xdr:row>16</xdr:row>
      <xdr:rowOff>89468</xdr:rowOff>
    </xdr:to>
    <xdr:sp macro="" textlink="">
      <xdr:nvSpPr>
        <xdr:cNvPr id="28" name="Freeform: Shape 34">
          <a:extLst>
            <a:ext uri="{FF2B5EF4-FFF2-40B4-BE49-F238E27FC236}">
              <a16:creationId xmlns:a16="http://schemas.microsoft.com/office/drawing/2014/main" id="{00000000-0008-0000-0500-00001C000000}"/>
            </a:ext>
          </a:extLst>
        </xdr:cNvPr>
        <xdr:cNvSpPr/>
      </xdr:nvSpPr>
      <xdr:spPr>
        <a:xfrm>
          <a:off x="294340" y="3077313"/>
          <a:ext cx="216000" cy="263355"/>
        </a:xfrm>
        <a:custGeom>
          <a:avLst/>
          <a:gdLst>
            <a:gd name="connsiteX0" fmla="*/ 1038471 w 1997598"/>
            <a:gd name="connsiteY0" fmla="*/ 1798798 h 2622542"/>
            <a:gd name="connsiteX1" fmla="*/ 1083642 w 1997598"/>
            <a:gd name="connsiteY1" fmla="*/ 1825060 h 2622542"/>
            <a:gd name="connsiteX2" fmla="*/ 1097649 w 1997598"/>
            <a:gd name="connsiteY2" fmla="*/ 1865328 h 2622542"/>
            <a:gd name="connsiteX3" fmla="*/ 1081191 w 1997598"/>
            <a:gd name="connsiteY3" fmla="*/ 1911202 h 2622542"/>
            <a:gd name="connsiteX4" fmla="*/ 1038471 w 1997598"/>
            <a:gd name="connsiteY4" fmla="*/ 1935364 h 2622542"/>
            <a:gd name="connsiteX5" fmla="*/ 987696 w 1997598"/>
            <a:gd name="connsiteY5" fmla="*/ 1562783 h 2622542"/>
            <a:gd name="connsiteX6" fmla="*/ 987696 w 1997598"/>
            <a:gd name="connsiteY6" fmla="*/ 1683942 h 2622542"/>
            <a:gd name="connsiteX7" fmla="*/ 953730 w 1997598"/>
            <a:gd name="connsiteY7" fmla="*/ 1658378 h 2622542"/>
            <a:gd name="connsiteX8" fmla="*/ 942524 w 1997598"/>
            <a:gd name="connsiteY8" fmla="*/ 1623713 h 2622542"/>
            <a:gd name="connsiteX9" fmla="*/ 954780 w 1997598"/>
            <a:gd name="connsiteY9" fmla="*/ 1586593 h 2622542"/>
            <a:gd name="connsiteX10" fmla="*/ 987696 w 1997598"/>
            <a:gd name="connsiteY10" fmla="*/ 1562783 h 2622542"/>
            <a:gd name="connsiteX11" fmla="*/ 987696 w 1997598"/>
            <a:gd name="connsiteY11" fmla="*/ 1451780 h 2622542"/>
            <a:gd name="connsiteX12" fmla="*/ 987696 w 1997598"/>
            <a:gd name="connsiteY12" fmla="*/ 1486445 h 2622542"/>
            <a:gd name="connsiteX13" fmla="*/ 891050 w 1997598"/>
            <a:gd name="connsiteY13" fmla="*/ 1531616 h 2622542"/>
            <a:gd name="connsiteX14" fmla="*/ 854984 w 1997598"/>
            <a:gd name="connsiteY14" fmla="*/ 1627914 h 2622542"/>
            <a:gd name="connsiteX15" fmla="*/ 886849 w 1997598"/>
            <a:gd name="connsiteY15" fmla="*/ 1724560 h 2622542"/>
            <a:gd name="connsiteX16" fmla="*/ 987696 w 1997598"/>
            <a:gd name="connsiteY16" fmla="*/ 1783738 h 2622542"/>
            <a:gd name="connsiteX17" fmla="*/ 987696 w 1997598"/>
            <a:gd name="connsiteY17" fmla="*/ 1930460 h 2622542"/>
            <a:gd name="connsiteX18" fmla="*/ 953379 w 1997598"/>
            <a:gd name="connsiteY18" fmla="*/ 1901047 h 2622542"/>
            <a:gd name="connsiteX19" fmla="*/ 932368 w 1997598"/>
            <a:gd name="connsiteY19" fmla="*/ 1852725 h 2622542"/>
            <a:gd name="connsiteX20" fmla="*/ 840974 w 1997598"/>
            <a:gd name="connsiteY20" fmla="*/ 1862529 h 2622542"/>
            <a:gd name="connsiteX21" fmla="*/ 889297 w 1997598"/>
            <a:gd name="connsiteY21" fmla="*/ 1969329 h 2622542"/>
            <a:gd name="connsiteX22" fmla="*/ 987696 w 1997598"/>
            <a:gd name="connsiteY22" fmla="*/ 2014502 h 2622542"/>
            <a:gd name="connsiteX23" fmla="*/ 987696 w 1997598"/>
            <a:gd name="connsiteY23" fmla="*/ 2078232 h 2622542"/>
            <a:gd name="connsiteX24" fmla="*/ 1038471 w 1997598"/>
            <a:gd name="connsiteY24" fmla="*/ 2078232 h 2622542"/>
            <a:gd name="connsiteX25" fmla="*/ 1038471 w 1997598"/>
            <a:gd name="connsiteY25" fmla="*/ 2012749 h 2622542"/>
            <a:gd name="connsiteX26" fmla="*/ 1144921 w 1997598"/>
            <a:gd name="connsiteY26" fmla="*/ 1959525 h 2622542"/>
            <a:gd name="connsiteX27" fmla="*/ 1183440 w 1997598"/>
            <a:gd name="connsiteY27" fmla="*/ 1852725 h 2622542"/>
            <a:gd name="connsiteX28" fmla="*/ 1152976 w 1997598"/>
            <a:gd name="connsiteY28" fmla="*/ 1759928 h 2622542"/>
            <a:gd name="connsiteX29" fmla="*/ 1038471 w 1997598"/>
            <a:gd name="connsiteY29" fmla="*/ 1700750 h 2622542"/>
            <a:gd name="connsiteX30" fmla="*/ 1038471 w 1997598"/>
            <a:gd name="connsiteY30" fmla="*/ 1563833 h 2622542"/>
            <a:gd name="connsiteX31" fmla="*/ 1080492 w 1997598"/>
            <a:gd name="connsiteY31" fmla="*/ 1619859 h 2622542"/>
            <a:gd name="connsiteX32" fmla="*/ 1169083 w 1997598"/>
            <a:gd name="connsiteY32" fmla="*/ 1608306 h 2622542"/>
            <a:gd name="connsiteX33" fmla="*/ 1127065 w 1997598"/>
            <a:gd name="connsiteY33" fmla="*/ 1524616 h 2622542"/>
            <a:gd name="connsiteX34" fmla="*/ 1038471 w 1997598"/>
            <a:gd name="connsiteY34" fmla="*/ 1486445 h 2622542"/>
            <a:gd name="connsiteX35" fmla="*/ 1038471 w 1997598"/>
            <a:gd name="connsiteY35" fmla="*/ 1451780 h 2622542"/>
            <a:gd name="connsiteX36" fmla="*/ 1018529 w 1997598"/>
            <a:gd name="connsiteY36" fmla="*/ 1275937 h 2622542"/>
            <a:gd name="connsiteX37" fmla="*/ 1488375 w 1997598"/>
            <a:gd name="connsiteY37" fmla="*/ 1745783 h 2622542"/>
            <a:gd name="connsiteX38" fmla="*/ 1018529 w 1997598"/>
            <a:gd name="connsiteY38" fmla="*/ 2215629 h 2622542"/>
            <a:gd name="connsiteX39" fmla="*/ 548683 w 1997598"/>
            <a:gd name="connsiteY39" fmla="*/ 1745783 h 2622542"/>
            <a:gd name="connsiteX40" fmla="*/ 1018529 w 1997598"/>
            <a:gd name="connsiteY40" fmla="*/ 1275937 h 2622542"/>
            <a:gd name="connsiteX41" fmla="*/ 1018529 w 1997598"/>
            <a:gd name="connsiteY41" fmla="*/ 1183712 h 2622542"/>
            <a:gd name="connsiteX42" fmla="*/ 456458 w 1997598"/>
            <a:gd name="connsiteY42" fmla="*/ 1745783 h 2622542"/>
            <a:gd name="connsiteX43" fmla="*/ 1018529 w 1997598"/>
            <a:gd name="connsiteY43" fmla="*/ 2307854 h 2622542"/>
            <a:gd name="connsiteX44" fmla="*/ 1580600 w 1997598"/>
            <a:gd name="connsiteY44" fmla="*/ 1745783 h 2622542"/>
            <a:gd name="connsiteX45" fmla="*/ 1018529 w 1997598"/>
            <a:gd name="connsiteY45" fmla="*/ 1183712 h 2622542"/>
            <a:gd name="connsiteX46" fmla="*/ 664325 w 1997598"/>
            <a:gd name="connsiteY46" fmla="*/ 707629 h 2622542"/>
            <a:gd name="connsiteX47" fmla="*/ 1314151 w 1997598"/>
            <a:gd name="connsiteY47" fmla="*/ 707629 h 2622542"/>
            <a:gd name="connsiteX48" fmla="*/ 1997478 w 1997598"/>
            <a:gd name="connsiteY48" fmla="*/ 1799581 h 2622542"/>
            <a:gd name="connsiteX49" fmla="*/ 1568718 w 1997598"/>
            <a:gd name="connsiteY49" fmla="*/ 2622542 h 2622542"/>
            <a:gd name="connsiteX50" fmla="*/ 429850 w 1997598"/>
            <a:gd name="connsiteY50" fmla="*/ 2615846 h 2622542"/>
            <a:gd name="connsiteX51" fmla="*/ 1100 w 1997598"/>
            <a:gd name="connsiteY51" fmla="*/ 1792886 h 2622542"/>
            <a:gd name="connsiteX52" fmla="*/ 664325 w 1997598"/>
            <a:gd name="connsiteY52" fmla="*/ 707629 h 2622542"/>
            <a:gd name="connsiteX53" fmla="*/ 986902 w 1997598"/>
            <a:gd name="connsiteY53" fmla="*/ 180 h 2622542"/>
            <a:gd name="connsiteX54" fmla="*/ 1253856 w 1997598"/>
            <a:gd name="connsiteY54" fmla="*/ 231858 h 2622542"/>
            <a:gd name="connsiteX55" fmla="*/ 1602233 w 1997598"/>
            <a:gd name="connsiteY55" fmla="*/ 211770 h 2622542"/>
            <a:gd name="connsiteX56" fmla="*/ 1307453 w 1997598"/>
            <a:gd name="connsiteY56" fmla="*/ 647228 h 2622542"/>
            <a:gd name="connsiteX57" fmla="*/ 1253841 w 1997598"/>
            <a:gd name="connsiteY57" fmla="*/ 646050 h 2622542"/>
            <a:gd name="connsiteX58" fmla="*/ 1307042 w 1997598"/>
            <a:gd name="connsiteY58" fmla="*/ 424909 h 2622542"/>
            <a:gd name="connsiteX59" fmla="*/ 1275900 w 1997598"/>
            <a:gd name="connsiteY59" fmla="*/ 369830 h 2622542"/>
            <a:gd name="connsiteX60" fmla="*/ 1275900 w 1997598"/>
            <a:gd name="connsiteY60" fmla="*/ 369830 h 2622542"/>
            <a:gd name="connsiteX61" fmla="*/ 1224136 w 1997598"/>
            <a:gd name="connsiteY61" fmla="*/ 400473 h 2622542"/>
            <a:gd name="connsiteX62" fmla="*/ 1165526 w 1997598"/>
            <a:gd name="connsiteY62" fmla="*/ 644109 h 2622542"/>
            <a:gd name="connsiteX63" fmla="*/ 1041982 w 1997598"/>
            <a:gd name="connsiteY63" fmla="*/ 641396 h 2622542"/>
            <a:gd name="connsiteX64" fmla="*/ 1041017 w 1997598"/>
            <a:gd name="connsiteY64" fmla="*/ 583209 h 2622542"/>
            <a:gd name="connsiteX65" fmla="*/ 997569 w 1997598"/>
            <a:gd name="connsiteY65" fmla="*/ 537907 h 2622542"/>
            <a:gd name="connsiteX66" fmla="*/ 997570 w 1997598"/>
            <a:gd name="connsiteY66" fmla="*/ 537908 h 2622542"/>
            <a:gd name="connsiteX67" fmla="*/ 955600 w 1997598"/>
            <a:gd name="connsiteY67" fmla="*/ 581732 h 2622542"/>
            <a:gd name="connsiteX68" fmla="*/ 956559 w 1997598"/>
            <a:gd name="connsiteY68" fmla="*/ 639518 h 2622542"/>
            <a:gd name="connsiteX69" fmla="*/ 845567 w 1997598"/>
            <a:gd name="connsiteY69" fmla="*/ 637080 h 2622542"/>
            <a:gd name="connsiteX70" fmla="*/ 799761 w 1997598"/>
            <a:gd name="connsiteY70" fmla="*/ 506078 h 2622542"/>
            <a:gd name="connsiteX71" fmla="*/ 744896 w 1997598"/>
            <a:gd name="connsiteY71" fmla="*/ 477778 h 2622542"/>
            <a:gd name="connsiteX72" fmla="*/ 744897 w 1997598"/>
            <a:gd name="connsiteY72" fmla="*/ 477779 h 2622542"/>
            <a:gd name="connsiteX73" fmla="*/ 719619 w 1997598"/>
            <a:gd name="connsiteY73" fmla="*/ 534100 h 2622542"/>
            <a:gd name="connsiteX74" fmla="*/ 754930 w 1997598"/>
            <a:gd name="connsiteY74" fmla="*/ 635089 h 2622542"/>
            <a:gd name="connsiteX75" fmla="*/ 697819 w 1997598"/>
            <a:gd name="connsiteY75" fmla="*/ 633834 h 2622542"/>
            <a:gd name="connsiteX76" fmla="*/ 382954 w 1997598"/>
            <a:gd name="connsiteY76" fmla="*/ 198378 h 2622542"/>
            <a:gd name="connsiteX77" fmla="*/ 764810 w 1997598"/>
            <a:gd name="connsiteY77" fmla="*/ 218466 h 2622542"/>
            <a:gd name="connsiteX78" fmla="*/ 986902 w 1997598"/>
            <a:gd name="connsiteY78" fmla="*/ 180 h 26225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Lst>
          <a:rect l="l" t="t" r="r" b="b"/>
          <a:pathLst>
            <a:path w="1997598" h="2622542">
              <a:moveTo>
                <a:pt x="1038471" y="1798798"/>
              </a:moveTo>
              <a:cubicBezTo>
                <a:pt x="1059481" y="1804868"/>
                <a:pt x="1074537" y="1813621"/>
                <a:pt x="1083642" y="1825060"/>
              </a:cubicBezTo>
              <a:cubicBezTo>
                <a:pt x="1092981" y="1836266"/>
                <a:pt x="1097649" y="1849687"/>
                <a:pt x="1097649" y="1865328"/>
              </a:cubicBezTo>
              <a:cubicBezTo>
                <a:pt x="1097649" y="1882836"/>
                <a:pt x="1092164" y="1898129"/>
                <a:pt x="1081191" y="1911202"/>
              </a:cubicBezTo>
              <a:cubicBezTo>
                <a:pt x="1070218" y="1924039"/>
                <a:pt x="1055979" y="1932094"/>
                <a:pt x="1038471" y="1935364"/>
              </a:cubicBezTo>
              <a:close/>
              <a:moveTo>
                <a:pt x="987696" y="1562783"/>
              </a:moveTo>
              <a:lnTo>
                <a:pt x="987696" y="1683942"/>
              </a:lnTo>
              <a:cubicBezTo>
                <a:pt x="972522" y="1677407"/>
                <a:pt x="961201" y="1668886"/>
                <a:pt x="953730" y="1658378"/>
              </a:cubicBezTo>
              <a:cubicBezTo>
                <a:pt x="946260" y="1647642"/>
                <a:pt x="942524" y="1636085"/>
                <a:pt x="942524" y="1623713"/>
              </a:cubicBezTo>
              <a:cubicBezTo>
                <a:pt x="942524" y="1610174"/>
                <a:pt x="946611" y="1597799"/>
                <a:pt x="954780" y="1586593"/>
              </a:cubicBezTo>
              <a:cubicBezTo>
                <a:pt x="962951" y="1575386"/>
                <a:pt x="973923" y="1567450"/>
                <a:pt x="987696" y="1562783"/>
              </a:cubicBezTo>
              <a:close/>
              <a:moveTo>
                <a:pt x="987696" y="1451780"/>
              </a:moveTo>
              <a:lnTo>
                <a:pt x="987696" y="1486445"/>
              </a:lnTo>
              <a:cubicBezTo>
                <a:pt x="947543" y="1490413"/>
                <a:pt x="915327" y="1505473"/>
                <a:pt x="891050" y="1531616"/>
              </a:cubicBezTo>
              <a:cubicBezTo>
                <a:pt x="867004" y="1557531"/>
                <a:pt x="854984" y="1589629"/>
                <a:pt x="854984" y="1627914"/>
              </a:cubicBezTo>
              <a:cubicBezTo>
                <a:pt x="854984" y="1665731"/>
                <a:pt x="865606" y="1697947"/>
                <a:pt x="886849" y="1724560"/>
              </a:cubicBezTo>
              <a:cubicBezTo>
                <a:pt x="908326" y="1750941"/>
                <a:pt x="941940" y="1770669"/>
                <a:pt x="987696" y="1783738"/>
              </a:cubicBezTo>
              <a:lnTo>
                <a:pt x="987696" y="1930460"/>
              </a:lnTo>
              <a:cubicBezTo>
                <a:pt x="975088" y="1924391"/>
                <a:pt x="963653" y="1914587"/>
                <a:pt x="953379" y="1901047"/>
              </a:cubicBezTo>
              <a:cubicBezTo>
                <a:pt x="943109" y="1887507"/>
                <a:pt x="936104" y="1871397"/>
                <a:pt x="932368" y="1852725"/>
              </a:cubicBezTo>
              <a:lnTo>
                <a:pt x="840974" y="1862529"/>
              </a:lnTo>
              <a:cubicBezTo>
                <a:pt x="847979" y="1908518"/>
                <a:pt x="864085" y="1944119"/>
                <a:pt x="889297" y="1969329"/>
              </a:cubicBezTo>
              <a:cubicBezTo>
                <a:pt x="914509" y="1994541"/>
                <a:pt x="947310" y="2009597"/>
                <a:pt x="987696" y="2014502"/>
              </a:cubicBezTo>
              <a:lnTo>
                <a:pt x="987696" y="2078232"/>
              </a:lnTo>
              <a:lnTo>
                <a:pt x="1038471" y="2078232"/>
              </a:lnTo>
              <a:lnTo>
                <a:pt x="1038471" y="2012749"/>
              </a:lnTo>
              <a:cubicBezTo>
                <a:pt x="1083994" y="2006214"/>
                <a:pt x="1119476" y="1988473"/>
                <a:pt x="1144921" y="1959525"/>
              </a:cubicBezTo>
              <a:cubicBezTo>
                <a:pt x="1170602" y="1930578"/>
                <a:pt x="1183440" y="1894978"/>
                <a:pt x="1183440" y="1852725"/>
              </a:cubicBezTo>
              <a:cubicBezTo>
                <a:pt x="1183440" y="1814904"/>
                <a:pt x="1173288" y="1783971"/>
                <a:pt x="1152976" y="1759928"/>
              </a:cubicBezTo>
              <a:cubicBezTo>
                <a:pt x="1132665" y="1735648"/>
                <a:pt x="1094497" y="1715925"/>
                <a:pt x="1038471" y="1700750"/>
              </a:cubicBezTo>
              <a:lnTo>
                <a:pt x="1038471" y="1563833"/>
              </a:lnTo>
              <a:cubicBezTo>
                <a:pt x="1061116" y="1573638"/>
                <a:pt x="1075122" y="1592315"/>
                <a:pt x="1080492" y="1619859"/>
              </a:cubicBezTo>
              <a:lnTo>
                <a:pt x="1169083" y="1608306"/>
              </a:lnTo>
              <a:cubicBezTo>
                <a:pt x="1163013" y="1573286"/>
                <a:pt x="1149008" y="1545389"/>
                <a:pt x="1127065" y="1524616"/>
              </a:cubicBezTo>
              <a:cubicBezTo>
                <a:pt x="1105119" y="1503605"/>
                <a:pt x="1075587" y="1490883"/>
                <a:pt x="1038471" y="1486445"/>
              </a:cubicBezTo>
              <a:lnTo>
                <a:pt x="1038471" y="1451780"/>
              </a:lnTo>
              <a:close/>
              <a:moveTo>
                <a:pt x="1018529" y="1275937"/>
              </a:moveTo>
              <a:cubicBezTo>
                <a:pt x="1278018" y="1275937"/>
                <a:pt x="1488375" y="1486294"/>
                <a:pt x="1488375" y="1745783"/>
              </a:cubicBezTo>
              <a:cubicBezTo>
                <a:pt x="1488375" y="2005272"/>
                <a:pt x="1278018" y="2215629"/>
                <a:pt x="1018529" y="2215629"/>
              </a:cubicBezTo>
              <a:cubicBezTo>
                <a:pt x="759040" y="2215629"/>
                <a:pt x="548683" y="2005272"/>
                <a:pt x="548683" y="1745783"/>
              </a:cubicBezTo>
              <a:cubicBezTo>
                <a:pt x="548683" y="1486294"/>
                <a:pt x="759040" y="1275937"/>
                <a:pt x="1018529" y="1275937"/>
              </a:cubicBezTo>
              <a:close/>
              <a:moveTo>
                <a:pt x="1018529" y="1183712"/>
              </a:moveTo>
              <a:cubicBezTo>
                <a:pt x="708106" y="1183712"/>
                <a:pt x="456458" y="1435360"/>
                <a:pt x="456458" y="1745783"/>
              </a:cubicBezTo>
              <a:cubicBezTo>
                <a:pt x="456458" y="2056206"/>
                <a:pt x="708106" y="2307854"/>
                <a:pt x="1018529" y="2307854"/>
              </a:cubicBezTo>
              <a:cubicBezTo>
                <a:pt x="1328952" y="2307854"/>
                <a:pt x="1580600" y="2056206"/>
                <a:pt x="1580600" y="1745783"/>
              </a:cubicBezTo>
              <a:cubicBezTo>
                <a:pt x="1580600" y="1435360"/>
                <a:pt x="1328952" y="1183712"/>
                <a:pt x="1018529" y="1183712"/>
              </a:cubicBezTo>
              <a:close/>
              <a:moveTo>
                <a:pt x="664325" y="707629"/>
              </a:moveTo>
              <a:lnTo>
                <a:pt x="1314151" y="707629"/>
              </a:lnTo>
              <a:cubicBezTo>
                <a:pt x="1314151" y="707629"/>
                <a:pt x="2008098" y="1167205"/>
                <a:pt x="1997478" y="1799581"/>
              </a:cubicBezTo>
              <a:cubicBezTo>
                <a:pt x="1985742" y="2498450"/>
                <a:pt x="1568718" y="2622542"/>
                <a:pt x="1568718" y="2622542"/>
              </a:cubicBezTo>
              <a:lnTo>
                <a:pt x="429850" y="2615846"/>
              </a:lnTo>
              <a:cubicBezTo>
                <a:pt x="429850" y="2615846"/>
                <a:pt x="-25234" y="2404706"/>
                <a:pt x="1100" y="1792886"/>
              </a:cubicBezTo>
              <a:cubicBezTo>
                <a:pt x="27107" y="1188661"/>
                <a:pt x="664325" y="707629"/>
                <a:pt x="664325" y="707629"/>
              </a:cubicBezTo>
              <a:close/>
              <a:moveTo>
                <a:pt x="986902" y="180"/>
              </a:moveTo>
              <a:cubicBezTo>
                <a:pt x="1109577" y="-4712"/>
                <a:pt x="1237396" y="90440"/>
                <a:pt x="1253856" y="231858"/>
              </a:cubicBezTo>
              <a:cubicBezTo>
                <a:pt x="1388526" y="103410"/>
                <a:pt x="1501498" y="170515"/>
                <a:pt x="1602233" y="211770"/>
              </a:cubicBezTo>
              <a:lnTo>
                <a:pt x="1307453" y="647228"/>
              </a:lnTo>
              <a:lnTo>
                <a:pt x="1253841" y="646050"/>
              </a:lnTo>
              <a:lnTo>
                <a:pt x="1307042" y="424909"/>
              </a:lnTo>
              <a:cubicBezTo>
                <a:pt x="1312735" y="401236"/>
                <a:pt x="1298793" y="376577"/>
                <a:pt x="1275900" y="369830"/>
              </a:cubicBezTo>
              <a:lnTo>
                <a:pt x="1275900" y="369830"/>
              </a:lnTo>
              <a:cubicBezTo>
                <a:pt x="1253009" y="363080"/>
                <a:pt x="1229832" y="376802"/>
                <a:pt x="1224136" y="400473"/>
              </a:cubicBezTo>
              <a:lnTo>
                <a:pt x="1165526" y="644109"/>
              </a:lnTo>
              <a:lnTo>
                <a:pt x="1041982" y="641396"/>
              </a:lnTo>
              <a:lnTo>
                <a:pt x="1041017" y="583209"/>
              </a:lnTo>
              <a:cubicBezTo>
                <a:pt x="1040609" y="558598"/>
                <a:pt x="1021158" y="538315"/>
                <a:pt x="997569" y="537907"/>
              </a:cubicBezTo>
              <a:lnTo>
                <a:pt x="997570" y="537908"/>
              </a:lnTo>
              <a:cubicBezTo>
                <a:pt x="973984" y="537499"/>
                <a:pt x="955192" y="557122"/>
                <a:pt x="955600" y="581732"/>
              </a:cubicBezTo>
              <a:lnTo>
                <a:pt x="956559" y="639518"/>
              </a:lnTo>
              <a:lnTo>
                <a:pt x="845567" y="637080"/>
              </a:lnTo>
              <a:lnTo>
                <a:pt x="799761" y="506078"/>
              </a:lnTo>
              <a:cubicBezTo>
                <a:pt x="791590" y="482710"/>
                <a:pt x="767027" y="470040"/>
                <a:pt x="744896" y="477778"/>
              </a:cubicBezTo>
              <a:lnTo>
                <a:pt x="744897" y="477779"/>
              </a:lnTo>
              <a:cubicBezTo>
                <a:pt x="722766" y="485517"/>
                <a:pt x="711450" y="510735"/>
                <a:pt x="719619" y="534100"/>
              </a:cubicBezTo>
              <a:lnTo>
                <a:pt x="754930" y="635089"/>
              </a:lnTo>
              <a:lnTo>
                <a:pt x="697819" y="633834"/>
              </a:lnTo>
              <a:lnTo>
                <a:pt x="382954" y="198378"/>
              </a:lnTo>
              <a:cubicBezTo>
                <a:pt x="500883" y="146647"/>
                <a:pt x="611231" y="145422"/>
                <a:pt x="764810" y="218466"/>
              </a:cubicBezTo>
              <a:cubicBezTo>
                <a:pt x="799186" y="68313"/>
                <a:pt x="891489" y="3986"/>
                <a:pt x="986902" y="180"/>
              </a:cubicBezTo>
              <a:close/>
            </a:path>
          </a:pathLst>
        </a:custGeom>
        <a:solidFill>
          <a:sysClr val="window" lastClr="FFFFFF"/>
        </a:solidFill>
        <a:ln w="18002"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276340</xdr:colOff>
      <xdr:row>20</xdr:row>
      <xdr:rowOff>45917</xdr:rowOff>
    </xdr:from>
    <xdr:to>
      <xdr:col>0</xdr:col>
      <xdr:colOff>528340</xdr:colOff>
      <xdr:row>21</xdr:row>
      <xdr:rowOff>106073</xdr:rowOff>
    </xdr:to>
    <xdr:sp macro="" textlink="">
      <xdr:nvSpPr>
        <xdr:cNvPr id="29" name="Freeform: Shape 35">
          <a:extLst>
            <a:ext uri="{FF2B5EF4-FFF2-40B4-BE49-F238E27FC236}">
              <a16:creationId xmlns:a16="http://schemas.microsoft.com/office/drawing/2014/main" id="{00000000-0008-0000-0500-00001D000000}"/>
            </a:ext>
          </a:extLst>
        </xdr:cNvPr>
        <xdr:cNvSpPr/>
      </xdr:nvSpPr>
      <xdr:spPr>
        <a:xfrm>
          <a:off x="276340" y="4109917"/>
          <a:ext cx="252000" cy="263356"/>
        </a:xfrm>
        <a:custGeom>
          <a:avLst/>
          <a:gdLst>
            <a:gd name="connsiteX0" fmla="*/ 1845168 w 2847163"/>
            <a:gd name="connsiteY0" fmla="*/ 1750443 h 2759416"/>
            <a:gd name="connsiteX1" fmla="*/ 2309388 w 2847163"/>
            <a:gd name="connsiteY1" fmla="*/ 2214663 h 2759416"/>
            <a:gd name="connsiteX2" fmla="*/ 2318856 w 2847163"/>
            <a:gd name="connsiteY2" fmla="*/ 2759416 h 2759416"/>
            <a:gd name="connsiteX3" fmla="*/ 1845168 w 2847163"/>
            <a:gd name="connsiteY3" fmla="*/ 2759416 h 2759416"/>
            <a:gd name="connsiteX4" fmla="*/ 1518242 w 2847163"/>
            <a:gd name="connsiteY4" fmla="*/ 1423550 h 2759416"/>
            <a:gd name="connsiteX5" fmla="*/ 1717214 w 2847163"/>
            <a:gd name="connsiteY5" fmla="*/ 1622523 h 2759416"/>
            <a:gd name="connsiteX6" fmla="*/ 1717214 w 2847163"/>
            <a:gd name="connsiteY6" fmla="*/ 2759403 h 2759416"/>
            <a:gd name="connsiteX7" fmla="*/ 1250617 w 2847163"/>
            <a:gd name="connsiteY7" fmla="*/ 2754687 h 2759416"/>
            <a:gd name="connsiteX8" fmla="*/ 1250617 w 2847163"/>
            <a:gd name="connsiteY8" fmla="*/ 1691210 h 2759416"/>
            <a:gd name="connsiteX9" fmla="*/ 641835 w 2847163"/>
            <a:gd name="connsiteY9" fmla="*/ 1229322 h 2759416"/>
            <a:gd name="connsiteX10" fmla="*/ 1106070 w 2847163"/>
            <a:gd name="connsiteY10" fmla="*/ 1693578 h 2759416"/>
            <a:gd name="connsiteX11" fmla="*/ 1106070 w 2847163"/>
            <a:gd name="connsiteY11" fmla="*/ 2749927 h 2759416"/>
            <a:gd name="connsiteX12" fmla="*/ 641835 w 2847163"/>
            <a:gd name="connsiteY12" fmla="*/ 2759395 h 2759416"/>
            <a:gd name="connsiteX13" fmla="*/ 35444 w 2847163"/>
            <a:gd name="connsiteY13" fmla="*/ 618126 h 2759416"/>
            <a:gd name="connsiteX14" fmla="*/ 509154 w 2847163"/>
            <a:gd name="connsiteY14" fmla="*/ 1091814 h 2759416"/>
            <a:gd name="connsiteX15" fmla="*/ 509154 w 2847163"/>
            <a:gd name="connsiteY15" fmla="*/ 2754655 h 2759416"/>
            <a:gd name="connsiteX16" fmla="*/ 35444 w 2847163"/>
            <a:gd name="connsiteY16" fmla="*/ 2749904 h 2759416"/>
            <a:gd name="connsiteX17" fmla="*/ 0 w 2847163"/>
            <a:gd name="connsiteY17" fmla="*/ 0 h 2759416"/>
            <a:gd name="connsiteX18" fmla="*/ 1177165 w 2847163"/>
            <a:gd name="connsiteY18" fmla="*/ 1158192 h 2759416"/>
            <a:gd name="connsiteX19" fmla="*/ 1518233 w 2847163"/>
            <a:gd name="connsiteY19" fmla="*/ 817128 h 2759416"/>
            <a:gd name="connsiteX20" fmla="*/ 2746509 w 2847163"/>
            <a:gd name="connsiteY20" fmla="*/ 2007744 h 2759416"/>
            <a:gd name="connsiteX21" fmla="*/ 2847163 w 2847163"/>
            <a:gd name="connsiteY21" fmla="*/ 1910921 h 2759416"/>
            <a:gd name="connsiteX22" fmla="*/ 2847163 w 2847163"/>
            <a:gd name="connsiteY22" fmla="*/ 2340365 h 2759416"/>
            <a:gd name="connsiteX23" fmla="*/ 2400726 w 2847163"/>
            <a:gd name="connsiteY23" fmla="*/ 2340365 h 2759416"/>
            <a:gd name="connsiteX24" fmla="*/ 2494986 w 2847163"/>
            <a:gd name="connsiteY24" fmla="*/ 2249694 h 2759416"/>
            <a:gd name="connsiteX25" fmla="*/ 1506389 w 2847163"/>
            <a:gd name="connsiteY25" fmla="*/ 1297944 h 2759416"/>
            <a:gd name="connsiteX26" fmla="*/ 1181903 w 2847163"/>
            <a:gd name="connsiteY26" fmla="*/ 1622449 h 2759416"/>
            <a:gd name="connsiteX27" fmla="*/ 0 w 2847163"/>
            <a:gd name="connsiteY27" fmla="*/ 440532 h 275941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2847163" h="2759416">
              <a:moveTo>
                <a:pt x="1845168" y="1750443"/>
              </a:moveTo>
              <a:lnTo>
                <a:pt x="2309388" y="2214663"/>
              </a:lnTo>
              <a:lnTo>
                <a:pt x="2318856" y="2759416"/>
              </a:lnTo>
              <a:lnTo>
                <a:pt x="1845168" y="2759416"/>
              </a:lnTo>
              <a:close/>
              <a:moveTo>
                <a:pt x="1518242" y="1423550"/>
              </a:moveTo>
              <a:lnTo>
                <a:pt x="1717214" y="1622523"/>
              </a:lnTo>
              <a:lnTo>
                <a:pt x="1717214" y="2759403"/>
              </a:lnTo>
              <a:lnTo>
                <a:pt x="1250617" y="2754687"/>
              </a:lnTo>
              <a:lnTo>
                <a:pt x="1250617" y="1691210"/>
              </a:lnTo>
              <a:close/>
              <a:moveTo>
                <a:pt x="641835" y="1229322"/>
              </a:moveTo>
              <a:lnTo>
                <a:pt x="1106070" y="1693578"/>
              </a:lnTo>
              <a:lnTo>
                <a:pt x="1106070" y="2749927"/>
              </a:lnTo>
              <a:lnTo>
                <a:pt x="641835" y="2759395"/>
              </a:lnTo>
              <a:close/>
              <a:moveTo>
                <a:pt x="35444" y="618126"/>
              </a:moveTo>
              <a:lnTo>
                <a:pt x="509154" y="1091814"/>
              </a:lnTo>
              <a:lnTo>
                <a:pt x="509154" y="2754655"/>
              </a:lnTo>
              <a:lnTo>
                <a:pt x="35444" y="2749904"/>
              </a:lnTo>
              <a:close/>
              <a:moveTo>
                <a:pt x="0" y="0"/>
              </a:moveTo>
              <a:lnTo>
                <a:pt x="1177165" y="1158192"/>
              </a:lnTo>
              <a:lnTo>
                <a:pt x="1518233" y="817128"/>
              </a:lnTo>
              <a:lnTo>
                <a:pt x="2746509" y="2007744"/>
              </a:lnTo>
              <a:lnTo>
                <a:pt x="2847163" y="1910921"/>
              </a:lnTo>
              <a:lnTo>
                <a:pt x="2847163" y="2340365"/>
              </a:lnTo>
              <a:lnTo>
                <a:pt x="2400726" y="2340365"/>
              </a:lnTo>
              <a:lnTo>
                <a:pt x="2494986" y="2249694"/>
              </a:lnTo>
              <a:lnTo>
                <a:pt x="1506389" y="1297944"/>
              </a:lnTo>
              <a:lnTo>
                <a:pt x="1181903" y="1622449"/>
              </a:lnTo>
              <a:lnTo>
                <a:pt x="0" y="440532"/>
              </a:lnTo>
              <a:close/>
            </a:path>
          </a:pathLst>
        </a:custGeom>
        <a:solidFill>
          <a:sysClr val="window" lastClr="FFFFFF"/>
        </a:solidFill>
        <a:ln w="6350" cap="flat">
          <a:solidFill>
            <a:sysClr val="windowText" lastClr="000000"/>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276340</xdr:colOff>
      <xdr:row>22</xdr:row>
      <xdr:rowOff>161497</xdr:rowOff>
    </xdr:from>
    <xdr:to>
      <xdr:col>0</xdr:col>
      <xdr:colOff>528340</xdr:colOff>
      <xdr:row>24</xdr:row>
      <xdr:rowOff>18453</xdr:rowOff>
    </xdr:to>
    <xdr:sp macro="" textlink="">
      <xdr:nvSpPr>
        <xdr:cNvPr id="30" name="Freeform: Shape 36">
          <a:extLst>
            <a:ext uri="{FF2B5EF4-FFF2-40B4-BE49-F238E27FC236}">
              <a16:creationId xmlns:a16="http://schemas.microsoft.com/office/drawing/2014/main" id="{00000000-0008-0000-0500-00001E000000}"/>
            </a:ext>
          </a:extLst>
        </xdr:cNvPr>
        <xdr:cNvSpPr/>
      </xdr:nvSpPr>
      <xdr:spPr>
        <a:xfrm>
          <a:off x="276340" y="4631897"/>
          <a:ext cx="252000" cy="263356"/>
        </a:xfrm>
        <a:custGeom>
          <a:avLst/>
          <a:gdLst>
            <a:gd name="connsiteX0" fmla="*/ 639778 w 4884414"/>
            <a:gd name="connsiteY0" fmla="*/ 2912647 h 4858772"/>
            <a:gd name="connsiteX1" fmla="*/ 1031685 w 4884414"/>
            <a:gd name="connsiteY1" fmla="*/ 4714736 h 4858772"/>
            <a:gd name="connsiteX2" fmla="*/ 385208 w 4884414"/>
            <a:gd name="connsiteY2" fmla="*/ 4858772 h 4858772"/>
            <a:gd name="connsiteX3" fmla="*/ 0 w 4884414"/>
            <a:gd name="connsiteY3" fmla="*/ 3053299 h 4858772"/>
            <a:gd name="connsiteX4" fmla="*/ 4607863 w 4884414"/>
            <a:gd name="connsiteY4" fmla="*/ 2902441 h 4858772"/>
            <a:gd name="connsiteX5" fmla="*/ 4789111 w 4884414"/>
            <a:gd name="connsiteY5" fmla="*/ 2958353 h 4858772"/>
            <a:gd name="connsiteX6" fmla="*/ 4811396 w 4884414"/>
            <a:gd name="connsiteY6" fmla="*/ 3250422 h 4858772"/>
            <a:gd name="connsiteX7" fmla="*/ 2814330 w 4884414"/>
            <a:gd name="connsiteY7" fmla="*/ 4524139 h 4858772"/>
            <a:gd name="connsiteX8" fmla="*/ 1445303 w 4884414"/>
            <a:gd name="connsiteY8" fmla="*/ 4391479 h 4858772"/>
            <a:gd name="connsiteX9" fmla="*/ 1161080 w 4884414"/>
            <a:gd name="connsiteY9" fmla="*/ 4453075 h 4858772"/>
            <a:gd name="connsiteX10" fmla="*/ 895802 w 4884414"/>
            <a:gd name="connsiteY10" fmla="*/ 3202470 h 4858772"/>
            <a:gd name="connsiteX11" fmla="*/ 1492676 w 4884414"/>
            <a:gd name="connsiteY11" fmla="*/ 3046158 h 4858772"/>
            <a:gd name="connsiteX12" fmla="*/ 2495226 w 4884414"/>
            <a:gd name="connsiteY12" fmla="*/ 3450762 h 4858772"/>
            <a:gd name="connsiteX13" fmla="*/ 3321174 w 4884414"/>
            <a:gd name="connsiteY13" fmla="*/ 3055626 h 4858772"/>
            <a:gd name="connsiteX14" fmla="*/ 3742807 w 4884414"/>
            <a:gd name="connsiteY14" fmla="*/ 3103002 h 4858772"/>
            <a:gd name="connsiteX15" fmla="*/ 3723259 w 4884414"/>
            <a:gd name="connsiteY15" fmla="*/ 3443274 h 4858772"/>
            <a:gd name="connsiteX16" fmla="*/ 2513442 w 4884414"/>
            <a:gd name="connsiteY16" fmla="*/ 4087494 h 4858772"/>
            <a:gd name="connsiteX17" fmla="*/ 1386497 w 4884414"/>
            <a:gd name="connsiteY17" fmla="*/ 3877686 h 4858772"/>
            <a:gd name="connsiteX18" fmla="*/ 1345824 w 4884414"/>
            <a:gd name="connsiteY18" fmla="*/ 4040946 h 4858772"/>
            <a:gd name="connsiteX19" fmla="*/ 2583822 w 4884414"/>
            <a:gd name="connsiteY19" fmla="*/ 4264146 h 4858772"/>
            <a:gd name="connsiteX20" fmla="*/ 3918055 w 4884414"/>
            <a:gd name="connsiteY20" fmla="*/ 3524598 h 4858772"/>
            <a:gd name="connsiteX21" fmla="*/ 4020079 w 4884414"/>
            <a:gd name="connsiteY21" fmla="*/ 3359394 h 4858772"/>
            <a:gd name="connsiteX22" fmla="*/ 3984367 w 4884414"/>
            <a:gd name="connsiteY22" fmla="*/ 3155094 h 4858772"/>
            <a:gd name="connsiteX23" fmla="*/ 4420327 w 4884414"/>
            <a:gd name="connsiteY23" fmla="*/ 2932794 h 4858772"/>
            <a:gd name="connsiteX24" fmla="*/ 4607863 w 4884414"/>
            <a:gd name="connsiteY24" fmla="*/ 2902441 h 4858772"/>
            <a:gd name="connsiteX25" fmla="*/ 1433727 w 4884414"/>
            <a:gd name="connsiteY25" fmla="*/ 2168924 h 4858772"/>
            <a:gd name="connsiteX26" fmla="*/ 1849081 w 4884414"/>
            <a:gd name="connsiteY26" fmla="*/ 2168924 h 4858772"/>
            <a:gd name="connsiteX27" fmla="*/ 1849081 w 4884414"/>
            <a:gd name="connsiteY27" fmla="*/ 2845548 h 4858772"/>
            <a:gd name="connsiteX28" fmla="*/ 1433727 w 4884414"/>
            <a:gd name="connsiteY28" fmla="*/ 2845548 h 4858772"/>
            <a:gd name="connsiteX29" fmla="*/ 2941179 w 4884414"/>
            <a:gd name="connsiteY29" fmla="*/ 2004757 h 4858772"/>
            <a:gd name="connsiteX30" fmla="*/ 3359881 w 4884414"/>
            <a:gd name="connsiteY30" fmla="*/ 2004757 h 4858772"/>
            <a:gd name="connsiteX31" fmla="*/ 3359881 w 4884414"/>
            <a:gd name="connsiteY31" fmla="*/ 2842165 h 4858772"/>
            <a:gd name="connsiteX32" fmla="*/ 2941179 w 4884414"/>
            <a:gd name="connsiteY32" fmla="*/ 2842165 h 4858772"/>
            <a:gd name="connsiteX33" fmla="*/ 2187461 w 4884414"/>
            <a:gd name="connsiteY33" fmla="*/ 1666453 h 4858772"/>
            <a:gd name="connsiteX34" fmla="*/ 2609514 w 4884414"/>
            <a:gd name="connsiteY34" fmla="*/ 1666453 h 4858772"/>
            <a:gd name="connsiteX35" fmla="*/ 2609514 w 4884414"/>
            <a:gd name="connsiteY35" fmla="*/ 2858921 h 4858772"/>
            <a:gd name="connsiteX36" fmla="*/ 2187461 w 4884414"/>
            <a:gd name="connsiteY36" fmla="*/ 2858921 h 4858772"/>
            <a:gd name="connsiteX37" fmla="*/ 3691550 w 4884414"/>
            <a:gd name="connsiteY37" fmla="*/ 1488894 h 4858772"/>
            <a:gd name="connsiteX38" fmla="*/ 4110252 w 4884414"/>
            <a:gd name="connsiteY38" fmla="*/ 1488894 h 4858772"/>
            <a:gd name="connsiteX39" fmla="*/ 4110252 w 4884414"/>
            <a:gd name="connsiteY39" fmla="*/ 2852193 h 4858772"/>
            <a:gd name="connsiteX40" fmla="*/ 3691550 w 4884414"/>
            <a:gd name="connsiteY40" fmla="*/ 2852193 h 4858772"/>
            <a:gd name="connsiteX41" fmla="*/ 4884414 w 4884414"/>
            <a:gd name="connsiteY41" fmla="*/ 0 h 4858772"/>
            <a:gd name="connsiteX42" fmla="*/ 4879661 w 4884414"/>
            <a:gd name="connsiteY42" fmla="*/ 497394 h 4858772"/>
            <a:gd name="connsiteX43" fmla="*/ 4718597 w 4884414"/>
            <a:gd name="connsiteY43" fmla="*/ 497394 h 4858772"/>
            <a:gd name="connsiteX44" fmla="*/ 4713882 w 4884414"/>
            <a:gd name="connsiteY44" fmla="*/ 274752 h 4858772"/>
            <a:gd name="connsiteX45" fmla="*/ 3775937 w 4884414"/>
            <a:gd name="connsiteY45" fmla="*/ 1198498 h 4858772"/>
            <a:gd name="connsiteX46" fmla="*/ 3041680 w 4884414"/>
            <a:gd name="connsiteY46" fmla="*/ 454759 h 4858772"/>
            <a:gd name="connsiteX47" fmla="*/ 2027937 w 4884414"/>
            <a:gd name="connsiteY47" fmla="*/ 1430590 h 4858772"/>
            <a:gd name="connsiteX48" fmla="*/ 1426330 w 4884414"/>
            <a:gd name="connsiteY48" fmla="*/ 876370 h 4858772"/>
            <a:gd name="connsiteX49" fmla="*/ 327325 w 4884414"/>
            <a:gd name="connsiteY49" fmla="*/ 1984846 h 4858772"/>
            <a:gd name="connsiteX50" fmla="*/ 194686 w 4884414"/>
            <a:gd name="connsiteY50" fmla="*/ 1871158 h 4858772"/>
            <a:gd name="connsiteX51" fmla="*/ 1416855 w 4884414"/>
            <a:gd name="connsiteY51" fmla="*/ 644242 h 4858772"/>
            <a:gd name="connsiteX52" fmla="*/ 2027937 w 4884414"/>
            <a:gd name="connsiteY52" fmla="*/ 1203214 h 4858772"/>
            <a:gd name="connsiteX53" fmla="*/ 3022744 w 4884414"/>
            <a:gd name="connsiteY53" fmla="*/ 222642 h 4858772"/>
            <a:gd name="connsiteX54" fmla="*/ 3799624 w 4884414"/>
            <a:gd name="connsiteY54" fmla="*/ 961618 h 4858772"/>
            <a:gd name="connsiteX55" fmla="*/ 4604909 w 4884414"/>
            <a:gd name="connsiteY55" fmla="*/ 161060 h 4858772"/>
            <a:gd name="connsiteX56" fmla="*/ 4377533 w 4884414"/>
            <a:gd name="connsiteY56" fmla="*/ 151585 h 4858772"/>
            <a:gd name="connsiteX57" fmla="*/ 4372781 w 4884414"/>
            <a:gd name="connsiteY57" fmla="*/ 4737 h 4858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4884414" h="4858772">
              <a:moveTo>
                <a:pt x="639778" y="2912647"/>
              </a:moveTo>
              <a:lnTo>
                <a:pt x="1031685" y="4714736"/>
              </a:lnTo>
              <a:lnTo>
                <a:pt x="385208" y="4858772"/>
              </a:lnTo>
              <a:lnTo>
                <a:pt x="0" y="3053299"/>
              </a:lnTo>
              <a:close/>
              <a:moveTo>
                <a:pt x="4607863" y="2902441"/>
              </a:moveTo>
              <a:cubicBezTo>
                <a:pt x="4668385" y="2903746"/>
                <a:pt x="4734018" y="2917543"/>
                <a:pt x="4789111" y="2958353"/>
              </a:cubicBezTo>
              <a:cubicBezTo>
                <a:pt x="4984268" y="3102893"/>
                <a:pt x="4811396" y="3250422"/>
                <a:pt x="4811396" y="3250422"/>
              </a:cubicBezTo>
              <a:cubicBezTo>
                <a:pt x="4811396" y="3250422"/>
                <a:pt x="3126199" y="4484683"/>
                <a:pt x="2814330" y="4524139"/>
              </a:cubicBezTo>
              <a:cubicBezTo>
                <a:pt x="2436006" y="4571983"/>
                <a:pt x="1681870" y="4399758"/>
                <a:pt x="1445303" y="4391479"/>
              </a:cubicBezTo>
              <a:cubicBezTo>
                <a:pt x="1331655" y="4387519"/>
                <a:pt x="1161080" y="4453075"/>
                <a:pt x="1161080" y="4453075"/>
              </a:cubicBezTo>
              <a:lnTo>
                <a:pt x="895802" y="3202470"/>
              </a:lnTo>
              <a:cubicBezTo>
                <a:pt x="895802" y="3202470"/>
                <a:pt x="1206936" y="3031326"/>
                <a:pt x="1492676" y="3046158"/>
              </a:cubicBezTo>
              <a:cubicBezTo>
                <a:pt x="1861078" y="3065273"/>
                <a:pt x="2261046" y="3451698"/>
                <a:pt x="2495226" y="3450762"/>
              </a:cubicBezTo>
              <a:cubicBezTo>
                <a:pt x="2653086" y="3450150"/>
                <a:pt x="3321174" y="3055626"/>
                <a:pt x="3321174" y="3055626"/>
              </a:cubicBezTo>
              <a:cubicBezTo>
                <a:pt x="3321174" y="3055626"/>
                <a:pt x="3595819" y="2954430"/>
                <a:pt x="3742807" y="3103002"/>
              </a:cubicBezTo>
              <a:cubicBezTo>
                <a:pt x="3947863" y="3310290"/>
                <a:pt x="3723259" y="3443274"/>
                <a:pt x="3723259" y="3443274"/>
              </a:cubicBezTo>
              <a:cubicBezTo>
                <a:pt x="3723259" y="3443274"/>
                <a:pt x="2958654" y="3989718"/>
                <a:pt x="2513442" y="4087494"/>
              </a:cubicBezTo>
              <a:cubicBezTo>
                <a:pt x="2233902" y="4148910"/>
                <a:pt x="1386497" y="3877686"/>
                <a:pt x="1386497" y="3877686"/>
              </a:cubicBezTo>
              <a:lnTo>
                <a:pt x="1345824" y="4040946"/>
              </a:lnTo>
              <a:cubicBezTo>
                <a:pt x="1345824" y="4040946"/>
                <a:pt x="2201574" y="4299750"/>
                <a:pt x="2583822" y="4264146"/>
              </a:cubicBezTo>
              <a:cubicBezTo>
                <a:pt x="2873478" y="4237218"/>
                <a:pt x="3918055" y="3524598"/>
                <a:pt x="3918055" y="3524598"/>
              </a:cubicBezTo>
              <a:cubicBezTo>
                <a:pt x="3918055" y="3524598"/>
                <a:pt x="3992143" y="3470274"/>
                <a:pt x="4020079" y="3359394"/>
              </a:cubicBezTo>
              <a:cubicBezTo>
                <a:pt x="4045927" y="3256794"/>
                <a:pt x="3984367" y="3155094"/>
                <a:pt x="3984367" y="3155094"/>
              </a:cubicBezTo>
              <a:lnTo>
                <a:pt x="4420327" y="2932794"/>
              </a:lnTo>
              <a:cubicBezTo>
                <a:pt x="4420327" y="2932794"/>
                <a:pt x="4506995" y="2900267"/>
                <a:pt x="4607863" y="2902441"/>
              </a:cubicBezTo>
              <a:close/>
              <a:moveTo>
                <a:pt x="1433727" y="2168924"/>
              </a:moveTo>
              <a:lnTo>
                <a:pt x="1849081" y="2168924"/>
              </a:lnTo>
              <a:lnTo>
                <a:pt x="1849081" y="2845548"/>
              </a:lnTo>
              <a:lnTo>
                <a:pt x="1433727" y="2845548"/>
              </a:lnTo>
              <a:close/>
              <a:moveTo>
                <a:pt x="2941179" y="2004757"/>
              </a:moveTo>
              <a:lnTo>
                <a:pt x="3359881" y="2004757"/>
              </a:lnTo>
              <a:lnTo>
                <a:pt x="3359881" y="2842165"/>
              </a:lnTo>
              <a:lnTo>
                <a:pt x="2941179" y="2842165"/>
              </a:lnTo>
              <a:close/>
              <a:moveTo>
                <a:pt x="2187461" y="1666453"/>
              </a:moveTo>
              <a:lnTo>
                <a:pt x="2609514" y="1666453"/>
              </a:lnTo>
              <a:lnTo>
                <a:pt x="2609514" y="2858921"/>
              </a:lnTo>
              <a:lnTo>
                <a:pt x="2187461" y="2858921"/>
              </a:lnTo>
              <a:close/>
              <a:moveTo>
                <a:pt x="3691550" y="1488894"/>
              </a:moveTo>
              <a:lnTo>
                <a:pt x="4110252" y="1488894"/>
              </a:lnTo>
              <a:lnTo>
                <a:pt x="4110252" y="2852193"/>
              </a:lnTo>
              <a:lnTo>
                <a:pt x="3691550" y="2852193"/>
              </a:lnTo>
              <a:close/>
              <a:moveTo>
                <a:pt x="4884414" y="0"/>
              </a:moveTo>
              <a:lnTo>
                <a:pt x="4879661" y="497394"/>
              </a:lnTo>
              <a:lnTo>
                <a:pt x="4718597" y="497394"/>
              </a:lnTo>
              <a:lnTo>
                <a:pt x="4713882" y="274752"/>
              </a:lnTo>
              <a:lnTo>
                <a:pt x="3775937" y="1198498"/>
              </a:lnTo>
              <a:lnTo>
                <a:pt x="3041680" y="454759"/>
              </a:lnTo>
              <a:lnTo>
                <a:pt x="2027937" y="1430590"/>
              </a:lnTo>
              <a:lnTo>
                <a:pt x="1426330" y="876370"/>
              </a:lnTo>
              <a:lnTo>
                <a:pt x="327325" y="1984846"/>
              </a:lnTo>
              <a:lnTo>
                <a:pt x="194686" y="1871158"/>
              </a:lnTo>
              <a:lnTo>
                <a:pt x="1416855" y="644242"/>
              </a:lnTo>
              <a:lnTo>
                <a:pt x="2027937" y="1203214"/>
              </a:lnTo>
              <a:lnTo>
                <a:pt x="3022744" y="222642"/>
              </a:lnTo>
              <a:lnTo>
                <a:pt x="3799624" y="961618"/>
              </a:lnTo>
              <a:lnTo>
                <a:pt x="4604909" y="161060"/>
              </a:lnTo>
              <a:lnTo>
                <a:pt x="4377533" y="151585"/>
              </a:lnTo>
              <a:lnTo>
                <a:pt x="4372781" y="4737"/>
              </a:lnTo>
              <a:close/>
            </a:path>
          </a:pathLst>
        </a:custGeom>
        <a:solidFill>
          <a:sysClr val="window" lastClr="FFFFFF"/>
        </a:solidFill>
        <a:ln w="17998"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299103</xdr:colOff>
      <xdr:row>25</xdr:row>
      <xdr:rowOff>62522</xdr:rowOff>
    </xdr:from>
    <xdr:to>
      <xdr:col>0</xdr:col>
      <xdr:colOff>497103</xdr:colOff>
      <xdr:row>26</xdr:row>
      <xdr:rowOff>134033</xdr:rowOff>
    </xdr:to>
    <xdr:sp macro="" textlink="">
      <xdr:nvSpPr>
        <xdr:cNvPr id="31" name="Freeform: Shape 37">
          <a:extLst>
            <a:ext uri="{FF2B5EF4-FFF2-40B4-BE49-F238E27FC236}">
              <a16:creationId xmlns:a16="http://schemas.microsoft.com/office/drawing/2014/main" id="{00000000-0008-0000-0500-00001F000000}"/>
            </a:ext>
          </a:extLst>
        </xdr:cNvPr>
        <xdr:cNvSpPr/>
      </xdr:nvSpPr>
      <xdr:spPr>
        <a:xfrm>
          <a:off x="299103" y="5142522"/>
          <a:ext cx="198000" cy="274711"/>
        </a:xfrm>
        <a:custGeom>
          <a:avLst/>
          <a:gdLst>
            <a:gd name="connsiteX0" fmla="*/ 1055978 w 2078051"/>
            <a:gd name="connsiteY0" fmla="*/ 1929003 h 2870971"/>
            <a:gd name="connsiteX1" fmla="*/ 1107799 w 2078051"/>
            <a:gd name="connsiteY1" fmla="*/ 1959131 h 2870971"/>
            <a:gd name="connsiteX2" fmla="*/ 1123868 w 2078051"/>
            <a:gd name="connsiteY2" fmla="*/ 2005327 h 2870971"/>
            <a:gd name="connsiteX3" fmla="*/ 1104987 w 2078051"/>
            <a:gd name="connsiteY3" fmla="*/ 2057955 h 2870971"/>
            <a:gd name="connsiteX4" fmla="*/ 1055978 w 2078051"/>
            <a:gd name="connsiteY4" fmla="*/ 2085674 h 2870971"/>
            <a:gd name="connsiteX5" fmla="*/ 997728 w 2078051"/>
            <a:gd name="connsiteY5" fmla="*/ 1658243 h 2870971"/>
            <a:gd name="connsiteX6" fmla="*/ 997728 w 2078051"/>
            <a:gd name="connsiteY6" fmla="*/ 1797238 h 2870971"/>
            <a:gd name="connsiteX7" fmla="*/ 958762 w 2078051"/>
            <a:gd name="connsiteY7" fmla="*/ 1767911 h 2870971"/>
            <a:gd name="connsiteX8" fmla="*/ 945906 w 2078051"/>
            <a:gd name="connsiteY8" fmla="*/ 1728143 h 2870971"/>
            <a:gd name="connsiteX9" fmla="*/ 959966 w 2078051"/>
            <a:gd name="connsiteY9" fmla="*/ 1685558 h 2870971"/>
            <a:gd name="connsiteX10" fmla="*/ 997728 w 2078051"/>
            <a:gd name="connsiteY10" fmla="*/ 1658243 h 2870971"/>
            <a:gd name="connsiteX11" fmla="*/ 997728 w 2078051"/>
            <a:gd name="connsiteY11" fmla="*/ 1530898 h 2870971"/>
            <a:gd name="connsiteX12" fmla="*/ 997728 w 2078051"/>
            <a:gd name="connsiteY12" fmla="*/ 1570667 h 2870971"/>
            <a:gd name="connsiteX13" fmla="*/ 886854 w 2078051"/>
            <a:gd name="connsiteY13" fmla="*/ 1622487 h 2870971"/>
            <a:gd name="connsiteX14" fmla="*/ 845479 w 2078051"/>
            <a:gd name="connsiteY14" fmla="*/ 1732962 h 2870971"/>
            <a:gd name="connsiteX15" fmla="*/ 882035 w 2078051"/>
            <a:gd name="connsiteY15" fmla="*/ 1843836 h 2870971"/>
            <a:gd name="connsiteX16" fmla="*/ 997728 w 2078051"/>
            <a:gd name="connsiteY16" fmla="*/ 1911726 h 2870971"/>
            <a:gd name="connsiteX17" fmla="*/ 997728 w 2078051"/>
            <a:gd name="connsiteY17" fmla="*/ 2080048 h 2870971"/>
            <a:gd name="connsiteX18" fmla="*/ 958359 w 2078051"/>
            <a:gd name="connsiteY18" fmla="*/ 2046305 h 2870971"/>
            <a:gd name="connsiteX19" fmla="*/ 934255 w 2078051"/>
            <a:gd name="connsiteY19" fmla="*/ 1990869 h 2870971"/>
            <a:gd name="connsiteX20" fmla="*/ 829406 w 2078051"/>
            <a:gd name="connsiteY20" fmla="*/ 2002116 h 2870971"/>
            <a:gd name="connsiteX21" fmla="*/ 884843 w 2078051"/>
            <a:gd name="connsiteY21" fmla="*/ 2124639 h 2870971"/>
            <a:gd name="connsiteX22" fmla="*/ 997728 w 2078051"/>
            <a:gd name="connsiteY22" fmla="*/ 2176462 h 2870971"/>
            <a:gd name="connsiteX23" fmla="*/ 997728 w 2078051"/>
            <a:gd name="connsiteY23" fmla="*/ 2249574 h 2870971"/>
            <a:gd name="connsiteX24" fmla="*/ 1055978 w 2078051"/>
            <a:gd name="connsiteY24" fmla="*/ 2249574 h 2870971"/>
            <a:gd name="connsiteX25" fmla="*/ 1055978 w 2078051"/>
            <a:gd name="connsiteY25" fmla="*/ 2174451 h 2870971"/>
            <a:gd name="connsiteX26" fmla="*/ 1178099 w 2078051"/>
            <a:gd name="connsiteY26" fmla="*/ 2113392 h 2870971"/>
            <a:gd name="connsiteX27" fmla="*/ 1222289 w 2078051"/>
            <a:gd name="connsiteY27" fmla="*/ 1990869 h 2870971"/>
            <a:gd name="connsiteX28" fmla="*/ 1187340 w 2078051"/>
            <a:gd name="connsiteY28" fmla="*/ 1884411 h 2870971"/>
            <a:gd name="connsiteX29" fmla="*/ 1055978 w 2078051"/>
            <a:gd name="connsiteY29" fmla="*/ 1816521 h 2870971"/>
            <a:gd name="connsiteX30" fmla="*/ 1055978 w 2078051"/>
            <a:gd name="connsiteY30" fmla="*/ 1659447 h 2870971"/>
            <a:gd name="connsiteX31" fmla="*/ 1104185 w 2078051"/>
            <a:gd name="connsiteY31" fmla="*/ 1723721 h 2870971"/>
            <a:gd name="connsiteX32" fmla="*/ 1205818 w 2078051"/>
            <a:gd name="connsiteY32" fmla="*/ 1710467 h 2870971"/>
            <a:gd name="connsiteX33" fmla="*/ 1157614 w 2078051"/>
            <a:gd name="connsiteY33" fmla="*/ 1614457 h 2870971"/>
            <a:gd name="connsiteX34" fmla="*/ 1055978 w 2078051"/>
            <a:gd name="connsiteY34" fmla="*/ 1570667 h 2870971"/>
            <a:gd name="connsiteX35" fmla="*/ 1055978 w 2078051"/>
            <a:gd name="connsiteY35" fmla="*/ 1530898 h 2870971"/>
            <a:gd name="connsiteX36" fmla="*/ 1033100 w 2078051"/>
            <a:gd name="connsiteY36" fmla="*/ 1329168 h 2870971"/>
            <a:gd name="connsiteX37" fmla="*/ 1572115 w 2078051"/>
            <a:gd name="connsiteY37" fmla="*/ 1868183 h 2870971"/>
            <a:gd name="connsiteX38" fmla="*/ 1033100 w 2078051"/>
            <a:gd name="connsiteY38" fmla="*/ 2407198 h 2870971"/>
            <a:gd name="connsiteX39" fmla="*/ 494085 w 2078051"/>
            <a:gd name="connsiteY39" fmla="*/ 1868183 h 2870971"/>
            <a:gd name="connsiteX40" fmla="*/ 1033100 w 2078051"/>
            <a:gd name="connsiteY40" fmla="*/ 1329168 h 2870971"/>
            <a:gd name="connsiteX41" fmla="*/ 1033100 w 2078051"/>
            <a:gd name="connsiteY41" fmla="*/ 1223366 h 2870971"/>
            <a:gd name="connsiteX42" fmla="*/ 388283 w 2078051"/>
            <a:gd name="connsiteY42" fmla="*/ 1868183 h 2870971"/>
            <a:gd name="connsiteX43" fmla="*/ 1033100 w 2078051"/>
            <a:gd name="connsiteY43" fmla="*/ 2513000 h 2870971"/>
            <a:gd name="connsiteX44" fmla="*/ 1677917 w 2078051"/>
            <a:gd name="connsiteY44" fmla="*/ 1868183 h 2870971"/>
            <a:gd name="connsiteX45" fmla="*/ 1033100 w 2078051"/>
            <a:gd name="connsiteY45" fmla="*/ 1223366 h 2870971"/>
            <a:gd name="connsiteX46" fmla="*/ 983183 w 2078051"/>
            <a:gd name="connsiteY46" fmla="*/ 335217 h 2870971"/>
            <a:gd name="connsiteX47" fmla="*/ 758164 w 2078051"/>
            <a:gd name="connsiteY47" fmla="*/ 343982 h 2870971"/>
            <a:gd name="connsiteX48" fmla="*/ 488284 w 2078051"/>
            <a:gd name="connsiteY48" fmla="*/ 983732 h 2870971"/>
            <a:gd name="connsiteX49" fmla="*/ 488749 w 2078051"/>
            <a:gd name="connsiteY49" fmla="*/ 985270 h 2870971"/>
            <a:gd name="connsiteX50" fmla="*/ 642599 w 2078051"/>
            <a:gd name="connsiteY50" fmla="*/ 899738 h 2870971"/>
            <a:gd name="connsiteX51" fmla="*/ 1558297 w 2078051"/>
            <a:gd name="connsiteY51" fmla="*/ 983595 h 2870971"/>
            <a:gd name="connsiteX52" fmla="*/ 1599794 w 2078051"/>
            <a:gd name="connsiteY52" fmla="*/ 1014524 h 2870971"/>
            <a:gd name="connsiteX53" fmla="*/ 1602875 w 2078051"/>
            <a:gd name="connsiteY53" fmla="*/ 999811 h 2870971"/>
            <a:gd name="connsiteX54" fmla="*/ 1383012 w 2078051"/>
            <a:gd name="connsiteY54" fmla="*/ 357449 h 2870971"/>
            <a:gd name="connsiteX55" fmla="*/ 983183 w 2078051"/>
            <a:gd name="connsiteY55" fmla="*/ 335217 h 2870971"/>
            <a:gd name="connsiteX56" fmla="*/ 1024198 w 2078051"/>
            <a:gd name="connsiteY56" fmla="*/ 0 h 2870971"/>
            <a:gd name="connsiteX57" fmla="*/ 1463633 w 2078051"/>
            <a:gd name="connsiteY57" fmla="*/ 41646 h 2870971"/>
            <a:gd name="connsiteX58" fmla="*/ 1850752 w 2078051"/>
            <a:gd name="connsiteY58" fmla="*/ 1233583 h 2870971"/>
            <a:gd name="connsiteX59" fmla="*/ 1848614 w 2078051"/>
            <a:gd name="connsiteY59" fmla="*/ 1239078 h 2870971"/>
            <a:gd name="connsiteX60" fmla="*/ 1936700 w 2078051"/>
            <a:gd name="connsiteY60" fmla="*/ 1360517 h 2870971"/>
            <a:gd name="connsiteX61" fmla="*/ 1430019 w 2078051"/>
            <a:gd name="connsiteY61" fmla="*/ 2823279 h 2870971"/>
            <a:gd name="connsiteX62" fmla="*/ 583477 w 2078051"/>
            <a:gd name="connsiteY62" fmla="*/ 2796381 h 2870971"/>
            <a:gd name="connsiteX63" fmla="*/ 131162 w 2078051"/>
            <a:gd name="connsiteY63" fmla="*/ 1394268 h 2870971"/>
            <a:gd name="connsiteX64" fmla="*/ 216742 w 2078051"/>
            <a:gd name="connsiteY64" fmla="*/ 1260356 h 2870971"/>
            <a:gd name="connsiteX65" fmla="*/ 216557 w 2078051"/>
            <a:gd name="connsiteY65" fmla="*/ 1259844 h 2870971"/>
            <a:gd name="connsiteX66" fmla="*/ 637229 w 2078051"/>
            <a:gd name="connsiteY66" fmla="*/ 28215 h 2870971"/>
            <a:gd name="connsiteX67" fmla="*/ 1024198 w 2078051"/>
            <a:gd name="connsiteY67" fmla="*/ 0 h 287097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Lst>
          <a:rect l="l" t="t" r="r" b="b"/>
          <a:pathLst>
            <a:path w="2078051" h="2870971">
              <a:moveTo>
                <a:pt x="1055978" y="1929003"/>
              </a:moveTo>
              <a:cubicBezTo>
                <a:pt x="1080081" y="1935967"/>
                <a:pt x="1097353" y="1946008"/>
                <a:pt x="1107799" y="1959131"/>
              </a:cubicBezTo>
              <a:cubicBezTo>
                <a:pt x="1118513" y="1971987"/>
                <a:pt x="1123868" y="1987384"/>
                <a:pt x="1123868" y="2005327"/>
              </a:cubicBezTo>
              <a:cubicBezTo>
                <a:pt x="1123868" y="2025413"/>
                <a:pt x="1117575" y="2042957"/>
                <a:pt x="1104987" y="2057955"/>
              </a:cubicBezTo>
              <a:cubicBezTo>
                <a:pt x="1092399" y="2072682"/>
                <a:pt x="1076063" y="2081922"/>
                <a:pt x="1055978" y="2085674"/>
              </a:cubicBezTo>
              <a:close/>
              <a:moveTo>
                <a:pt x="997728" y="1658243"/>
              </a:moveTo>
              <a:lnTo>
                <a:pt x="997728" y="1797238"/>
              </a:lnTo>
              <a:cubicBezTo>
                <a:pt x="980320" y="1789741"/>
                <a:pt x="967333" y="1779966"/>
                <a:pt x="958762" y="1767911"/>
              </a:cubicBezTo>
              <a:cubicBezTo>
                <a:pt x="950192" y="1755594"/>
                <a:pt x="945906" y="1742336"/>
                <a:pt x="945906" y="1728143"/>
              </a:cubicBezTo>
              <a:cubicBezTo>
                <a:pt x="945906" y="1712610"/>
                <a:pt x="950595" y="1698414"/>
                <a:pt x="959966" y="1685558"/>
              </a:cubicBezTo>
              <a:cubicBezTo>
                <a:pt x="969340" y="1672701"/>
                <a:pt x="981927" y="1663597"/>
                <a:pt x="997728" y="1658243"/>
              </a:cubicBezTo>
              <a:close/>
              <a:moveTo>
                <a:pt x="997728" y="1530898"/>
              </a:moveTo>
              <a:lnTo>
                <a:pt x="997728" y="1570667"/>
              </a:lnTo>
              <a:cubicBezTo>
                <a:pt x="951664" y="1575219"/>
                <a:pt x="914705" y="1592496"/>
                <a:pt x="886854" y="1622487"/>
              </a:cubicBezTo>
              <a:cubicBezTo>
                <a:pt x="859268" y="1652218"/>
                <a:pt x="845479" y="1689041"/>
                <a:pt x="845479" y="1732962"/>
              </a:cubicBezTo>
              <a:cubicBezTo>
                <a:pt x="845479" y="1776346"/>
                <a:pt x="857664" y="1813305"/>
                <a:pt x="882035" y="1843836"/>
              </a:cubicBezTo>
              <a:cubicBezTo>
                <a:pt x="906673" y="1874101"/>
                <a:pt x="945236" y="1896733"/>
                <a:pt x="997728" y="1911726"/>
              </a:cubicBezTo>
              <a:lnTo>
                <a:pt x="997728" y="2080048"/>
              </a:lnTo>
              <a:cubicBezTo>
                <a:pt x="983264" y="2073085"/>
                <a:pt x="970145" y="2061838"/>
                <a:pt x="958359" y="2046305"/>
              </a:cubicBezTo>
              <a:cubicBezTo>
                <a:pt x="946577" y="2030771"/>
                <a:pt x="938541" y="2012290"/>
                <a:pt x="934255" y="1990869"/>
              </a:cubicBezTo>
              <a:lnTo>
                <a:pt x="829406" y="2002116"/>
              </a:lnTo>
              <a:cubicBezTo>
                <a:pt x="837442" y="2054876"/>
                <a:pt x="855919" y="2095718"/>
                <a:pt x="884843" y="2124639"/>
              </a:cubicBezTo>
              <a:cubicBezTo>
                <a:pt x="913767" y="2153563"/>
                <a:pt x="951397" y="2170835"/>
                <a:pt x="997728" y="2176462"/>
              </a:cubicBezTo>
              <a:lnTo>
                <a:pt x="997728" y="2249574"/>
              </a:lnTo>
              <a:lnTo>
                <a:pt x="1055978" y="2249574"/>
              </a:lnTo>
              <a:lnTo>
                <a:pt x="1055978" y="2174451"/>
              </a:lnTo>
              <a:cubicBezTo>
                <a:pt x="1108203" y="2166954"/>
                <a:pt x="1148908" y="2146601"/>
                <a:pt x="1178099" y="2113392"/>
              </a:cubicBezTo>
              <a:cubicBezTo>
                <a:pt x="1207561" y="2080183"/>
                <a:pt x="1222289" y="2039342"/>
                <a:pt x="1222289" y="1990869"/>
              </a:cubicBezTo>
              <a:cubicBezTo>
                <a:pt x="1222289" y="1947480"/>
                <a:pt x="1210642" y="1911993"/>
                <a:pt x="1187340" y="1884411"/>
              </a:cubicBezTo>
              <a:cubicBezTo>
                <a:pt x="1164039" y="1856556"/>
                <a:pt x="1120252" y="1833930"/>
                <a:pt x="1055978" y="1816521"/>
              </a:cubicBezTo>
              <a:lnTo>
                <a:pt x="1055978" y="1659447"/>
              </a:lnTo>
              <a:cubicBezTo>
                <a:pt x="1081957" y="1670696"/>
                <a:pt x="1098025" y="1692122"/>
                <a:pt x="1104185" y="1723721"/>
              </a:cubicBezTo>
              <a:lnTo>
                <a:pt x="1205818" y="1710467"/>
              </a:lnTo>
              <a:cubicBezTo>
                <a:pt x="1198855" y="1670292"/>
                <a:pt x="1182788" y="1638288"/>
                <a:pt x="1157614" y="1614457"/>
              </a:cubicBezTo>
              <a:cubicBezTo>
                <a:pt x="1132438" y="1590353"/>
                <a:pt x="1098558" y="1575758"/>
                <a:pt x="1055978" y="1570667"/>
              </a:cubicBezTo>
              <a:lnTo>
                <a:pt x="1055978" y="1530898"/>
              </a:lnTo>
              <a:close/>
              <a:moveTo>
                <a:pt x="1033100" y="1329168"/>
              </a:moveTo>
              <a:cubicBezTo>
                <a:pt x="1330790" y="1329168"/>
                <a:pt x="1572115" y="1570493"/>
                <a:pt x="1572115" y="1868183"/>
              </a:cubicBezTo>
              <a:cubicBezTo>
                <a:pt x="1572115" y="2165873"/>
                <a:pt x="1330790" y="2407198"/>
                <a:pt x="1033100" y="2407198"/>
              </a:cubicBezTo>
              <a:cubicBezTo>
                <a:pt x="735410" y="2407198"/>
                <a:pt x="494085" y="2165873"/>
                <a:pt x="494085" y="1868183"/>
              </a:cubicBezTo>
              <a:cubicBezTo>
                <a:pt x="494085" y="1570493"/>
                <a:pt x="735410" y="1329168"/>
                <a:pt x="1033100" y="1329168"/>
              </a:cubicBezTo>
              <a:close/>
              <a:moveTo>
                <a:pt x="1033100" y="1223366"/>
              </a:moveTo>
              <a:cubicBezTo>
                <a:pt x="676978" y="1223366"/>
                <a:pt x="388283" y="1512061"/>
                <a:pt x="388283" y="1868183"/>
              </a:cubicBezTo>
              <a:cubicBezTo>
                <a:pt x="388283" y="2224306"/>
                <a:pt x="676978" y="2513000"/>
                <a:pt x="1033100" y="2513000"/>
              </a:cubicBezTo>
              <a:cubicBezTo>
                <a:pt x="1389223" y="2513000"/>
                <a:pt x="1677917" y="2224306"/>
                <a:pt x="1677917" y="1868183"/>
              </a:cubicBezTo>
              <a:cubicBezTo>
                <a:pt x="1677917" y="1512061"/>
                <a:pt x="1389223" y="1223366"/>
                <a:pt x="1033100" y="1223366"/>
              </a:cubicBezTo>
              <a:close/>
              <a:moveTo>
                <a:pt x="983183" y="335217"/>
              </a:moveTo>
              <a:cubicBezTo>
                <a:pt x="882977" y="335206"/>
                <a:pt x="793965" y="338025"/>
                <a:pt x="758164" y="343982"/>
              </a:cubicBezTo>
              <a:cubicBezTo>
                <a:pt x="350402" y="411872"/>
                <a:pt x="455610" y="870209"/>
                <a:pt x="488284" y="983732"/>
              </a:cubicBezTo>
              <a:lnTo>
                <a:pt x="488749" y="985270"/>
              </a:lnTo>
              <a:lnTo>
                <a:pt x="642599" y="899738"/>
              </a:lnTo>
              <a:cubicBezTo>
                <a:pt x="932499" y="777096"/>
                <a:pt x="1276563" y="811395"/>
                <a:pt x="1558297" y="983595"/>
              </a:cubicBezTo>
              <a:lnTo>
                <a:pt x="1599794" y="1014524"/>
              </a:lnTo>
              <a:lnTo>
                <a:pt x="1602875" y="999811"/>
              </a:lnTo>
              <a:cubicBezTo>
                <a:pt x="1622986" y="897761"/>
                <a:pt x="1684582" y="481792"/>
                <a:pt x="1383012" y="357449"/>
              </a:cubicBezTo>
              <a:cubicBezTo>
                <a:pt x="1348307" y="343121"/>
                <a:pt x="1150195" y="335237"/>
                <a:pt x="983183" y="335217"/>
              </a:cubicBezTo>
              <a:close/>
              <a:moveTo>
                <a:pt x="1024198" y="0"/>
              </a:moveTo>
              <a:cubicBezTo>
                <a:pt x="1194350" y="-9"/>
                <a:pt x="1373246" y="11626"/>
                <a:pt x="1463633" y="41646"/>
              </a:cubicBezTo>
              <a:cubicBezTo>
                <a:pt x="2185740" y="281592"/>
                <a:pt x="1890480" y="1128639"/>
                <a:pt x="1850752" y="1233583"/>
              </a:cubicBezTo>
              <a:lnTo>
                <a:pt x="1848614" y="1239078"/>
              </a:lnTo>
              <a:lnTo>
                <a:pt x="1936700" y="1360517"/>
              </a:lnTo>
              <a:cubicBezTo>
                <a:pt x="2317913" y="1979920"/>
                <a:pt x="1852931" y="2700800"/>
                <a:pt x="1430019" y="2823279"/>
              </a:cubicBezTo>
              <a:cubicBezTo>
                <a:pt x="1158841" y="2901805"/>
                <a:pt x="730150" y="2876713"/>
                <a:pt x="583477" y="2796381"/>
              </a:cubicBezTo>
              <a:cubicBezTo>
                <a:pt x="191527" y="2581783"/>
                <a:pt x="-215596" y="2019195"/>
                <a:pt x="131162" y="1394268"/>
              </a:cubicBezTo>
              <a:lnTo>
                <a:pt x="216742" y="1260356"/>
              </a:lnTo>
              <a:lnTo>
                <a:pt x="216557" y="1259844"/>
              </a:lnTo>
              <a:cubicBezTo>
                <a:pt x="177285" y="1148690"/>
                <a:pt x="-113420" y="252456"/>
                <a:pt x="637229" y="28215"/>
              </a:cubicBezTo>
              <a:cubicBezTo>
                <a:pt x="692639" y="11662"/>
                <a:pt x="854047" y="9"/>
                <a:pt x="1024198" y="0"/>
              </a:cubicBezTo>
              <a:close/>
            </a:path>
          </a:pathLst>
        </a:custGeom>
        <a:solidFill>
          <a:sysClr val="window" lastClr="FFFFFF"/>
        </a:solidFill>
        <a:ln w="12700" cap="flat" cmpd="sng" algn="ctr">
          <a:noFill/>
          <a:prstDash val="solid"/>
          <a:miter lim="800000"/>
        </a:ln>
        <a:effectLst>
          <a:outerShdw blurRad="50800" dist="38100" dir="2700000" algn="tl" rotWithShape="0">
            <a:prstClr val="black">
              <a:alpha val="40000"/>
            </a:prstClr>
          </a:outerShdw>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276340</xdr:colOff>
      <xdr:row>27</xdr:row>
      <xdr:rowOff>178099</xdr:rowOff>
    </xdr:from>
    <xdr:to>
      <xdr:col>0</xdr:col>
      <xdr:colOff>528340</xdr:colOff>
      <xdr:row>29</xdr:row>
      <xdr:rowOff>35054</xdr:rowOff>
    </xdr:to>
    <xdr:sp macro="" textlink="">
      <xdr:nvSpPr>
        <xdr:cNvPr id="32" name="Freeform: Shape 38">
          <a:extLst>
            <a:ext uri="{FF2B5EF4-FFF2-40B4-BE49-F238E27FC236}">
              <a16:creationId xmlns:a16="http://schemas.microsoft.com/office/drawing/2014/main" id="{00000000-0008-0000-0500-000020000000}"/>
            </a:ext>
          </a:extLst>
        </xdr:cNvPr>
        <xdr:cNvSpPr/>
      </xdr:nvSpPr>
      <xdr:spPr>
        <a:xfrm>
          <a:off x="276340" y="5664499"/>
          <a:ext cx="252000" cy="263355"/>
        </a:xfrm>
        <a:custGeom>
          <a:avLst/>
          <a:gdLst>
            <a:gd name="connsiteX0" fmla="*/ 669226 w 3163078"/>
            <a:gd name="connsiteY0" fmla="*/ 1658213 h 3163078"/>
            <a:gd name="connsiteX1" fmla="*/ 244013 w 3163078"/>
            <a:gd name="connsiteY1" fmla="*/ 1658214 h 3163078"/>
            <a:gd name="connsiteX2" fmla="*/ 247066 w 3163078"/>
            <a:gd name="connsiteY2" fmla="*/ 1718689 h 3163078"/>
            <a:gd name="connsiteX3" fmla="*/ 1444389 w 3163078"/>
            <a:gd name="connsiteY3" fmla="*/ 2916012 h 3163078"/>
            <a:gd name="connsiteX4" fmla="*/ 1499820 w 3163078"/>
            <a:gd name="connsiteY4" fmla="*/ 2918811 h 3163078"/>
            <a:gd name="connsiteX5" fmla="*/ 1495533 w 3163078"/>
            <a:gd name="connsiteY5" fmla="*/ 2890456 h 3163078"/>
            <a:gd name="connsiteX6" fmla="*/ 1495533 w 3163078"/>
            <a:gd name="connsiteY6" fmla="*/ 2467055 h 3163078"/>
            <a:gd name="connsiteX7" fmla="*/ 1479365 w 3163078"/>
            <a:gd name="connsiteY7" fmla="*/ 2466239 h 3163078"/>
            <a:gd name="connsiteX8" fmla="*/ 682606 w 3163078"/>
            <a:gd name="connsiteY8" fmla="*/ 1745881 h 3163078"/>
            <a:gd name="connsiteX9" fmla="*/ 2919066 w 3163078"/>
            <a:gd name="connsiteY9" fmla="*/ 1658213 h 3163078"/>
            <a:gd name="connsiteX10" fmla="*/ 2475189 w 3163078"/>
            <a:gd name="connsiteY10" fmla="*/ 1658214 h 3163078"/>
            <a:gd name="connsiteX11" fmla="*/ 2461810 w 3163078"/>
            <a:gd name="connsiteY11" fmla="*/ 1745881 h 3163078"/>
            <a:gd name="connsiteX12" fmla="*/ 1755212 w 3163078"/>
            <a:gd name="connsiteY12" fmla="*/ 2452479 h 3163078"/>
            <a:gd name="connsiteX13" fmla="*/ 1704868 w 3163078"/>
            <a:gd name="connsiteY13" fmla="*/ 2460162 h 3163078"/>
            <a:gd name="connsiteX14" fmla="*/ 1704868 w 3163078"/>
            <a:gd name="connsiteY14" fmla="*/ 2890456 h 3163078"/>
            <a:gd name="connsiteX15" fmla="*/ 1700869 w 3163078"/>
            <a:gd name="connsiteY15" fmla="*/ 2916912 h 3163078"/>
            <a:gd name="connsiteX16" fmla="*/ 1718689 w 3163078"/>
            <a:gd name="connsiteY16" fmla="*/ 2916012 h 3163078"/>
            <a:gd name="connsiteX17" fmla="*/ 2916012 w 3163078"/>
            <a:gd name="connsiteY17" fmla="*/ 1718689 h 3163078"/>
            <a:gd name="connsiteX18" fmla="*/ 1665289 w 3163078"/>
            <a:gd name="connsiteY18" fmla="*/ 1628851 h 3163078"/>
            <a:gd name="connsiteX19" fmla="*/ 1665289 w 3163078"/>
            <a:gd name="connsiteY19" fmla="*/ 1751958 h 3163078"/>
            <a:gd name="connsiteX20" fmla="*/ 1741278 w 3163078"/>
            <a:gd name="connsiteY20" fmla="*/ 1733090 h 3163078"/>
            <a:gd name="connsiteX21" fmla="*/ 1772883 w 3163078"/>
            <a:gd name="connsiteY21" fmla="*/ 1689910 h 3163078"/>
            <a:gd name="connsiteX22" fmla="*/ 1736568 w 3163078"/>
            <a:gd name="connsiteY22" fmla="*/ 1647194 h 3163078"/>
            <a:gd name="connsiteX23" fmla="*/ 1665289 w 3163078"/>
            <a:gd name="connsiteY23" fmla="*/ 1628851 h 3163078"/>
            <a:gd name="connsiteX24" fmla="*/ 1561731 w 3163078"/>
            <a:gd name="connsiteY24" fmla="*/ 1346387 h 3163078"/>
            <a:gd name="connsiteX25" fmla="*/ 1481712 w 3163078"/>
            <a:gd name="connsiteY25" fmla="*/ 1363245 h 3163078"/>
            <a:gd name="connsiteX26" fmla="*/ 1446742 w 3163078"/>
            <a:gd name="connsiteY26" fmla="*/ 1402960 h 3163078"/>
            <a:gd name="connsiteX27" fmla="*/ 1469607 w 3163078"/>
            <a:gd name="connsiteY27" fmla="*/ 1439212 h 3163078"/>
            <a:gd name="connsiteX28" fmla="*/ 1561731 w 3163078"/>
            <a:gd name="connsiteY28" fmla="*/ 1461544 h 3163078"/>
            <a:gd name="connsiteX29" fmla="*/ 1550971 w 3163078"/>
            <a:gd name="connsiteY29" fmla="*/ 1101133 h 3163078"/>
            <a:gd name="connsiteX30" fmla="*/ 1667979 w 3163078"/>
            <a:gd name="connsiteY30" fmla="*/ 1101133 h 3163078"/>
            <a:gd name="connsiteX31" fmla="*/ 1667979 w 3163078"/>
            <a:gd name="connsiteY31" fmla="*/ 1215826 h 3163078"/>
            <a:gd name="connsiteX32" fmla="*/ 1812557 w 3163078"/>
            <a:gd name="connsiteY32" fmla="*/ 1228724 h 3163078"/>
            <a:gd name="connsiteX33" fmla="*/ 1943685 w 3163078"/>
            <a:gd name="connsiteY33" fmla="*/ 1254026 h 3163078"/>
            <a:gd name="connsiteX34" fmla="*/ 1943685 w 3163078"/>
            <a:gd name="connsiteY34" fmla="*/ 1397021 h 3163078"/>
            <a:gd name="connsiteX35" fmla="*/ 1914100 w 3163078"/>
            <a:gd name="connsiteY35" fmla="*/ 1397021 h 3163078"/>
            <a:gd name="connsiteX36" fmla="*/ 1803142 w 3163078"/>
            <a:gd name="connsiteY36" fmla="*/ 1363245 h 3163078"/>
            <a:gd name="connsiteX37" fmla="*/ 1667979 w 3163078"/>
            <a:gd name="connsiteY37" fmla="*/ 1346387 h 3163078"/>
            <a:gd name="connsiteX38" fmla="*/ 1667979 w 3163078"/>
            <a:gd name="connsiteY38" fmla="*/ 1472463 h 3163078"/>
            <a:gd name="connsiteX39" fmla="*/ 1721778 w 3163078"/>
            <a:gd name="connsiteY39" fmla="*/ 1480412 h 3163078"/>
            <a:gd name="connsiteX40" fmla="*/ 1945030 w 3163078"/>
            <a:gd name="connsiteY40" fmla="*/ 1546914 h 3163078"/>
            <a:gd name="connsiteX41" fmla="*/ 2016984 w 3163078"/>
            <a:gd name="connsiteY41" fmla="*/ 1670547 h 3163078"/>
            <a:gd name="connsiteX42" fmla="*/ 1921495 w 3163078"/>
            <a:gd name="connsiteY42" fmla="*/ 1814501 h 3163078"/>
            <a:gd name="connsiteX43" fmla="*/ 1667979 w 3163078"/>
            <a:gd name="connsiteY43" fmla="*/ 1882519 h 3163078"/>
            <a:gd name="connsiteX44" fmla="*/ 1667979 w 3163078"/>
            <a:gd name="connsiteY44" fmla="*/ 2062725 h 3163078"/>
            <a:gd name="connsiteX45" fmla="*/ 1550971 w 3163078"/>
            <a:gd name="connsiteY45" fmla="*/ 2062725 h 3163078"/>
            <a:gd name="connsiteX46" fmla="*/ 1550971 w 3163078"/>
            <a:gd name="connsiteY46" fmla="*/ 1885489 h 3163078"/>
            <a:gd name="connsiteX47" fmla="*/ 1376808 w 3163078"/>
            <a:gd name="connsiteY47" fmla="*/ 1872095 h 3163078"/>
            <a:gd name="connsiteX48" fmla="*/ 1222145 w 3163078"/>
            <a:gd name="connsiteY48" fmla="*/ 1839803 h 3163078"/>
            <a:gd name="connsiteX49" fmla="*/ 1222145 w 3163078"/>
            <a:gd name="connsiteY49" fmla="*/ 1694859 h 3163078"/>
            <a:gd name="connsiteX50" fmla="*/ 1252405 w 3163078"/>
            <a:gd name="connsiteY50" fmla="*/ 1694859 h 3163078"/>
            <a:gd name="connsiteX51" fmla="*/ 1394293 w 3163078"/>
            <a:gd name="connsiteY51" fmla="*/ 1734575 h 3163078"/>
            <a:gd name="connsiteX52" fmla="*/ 1554336 w 3163078"/>
            <a:gd name="connsiteY52" fmla="*/ 1753938 h 3163078"/>
            <a:gd name="connsiteX53" fmla="*/ 1554336 w 3163078"/>
            <a:gd name="connsiteY53" fmla="*/ 1617902 h 3163078"/>
            <a:gd name="connsiteX54" fmla="*/ 1489107 w 3163078"/>
            <a:gd name="connsiteY54" fmla="*/ 1606983 h 3163078"/>
            <a:gd name="connsiteX55" fmla="*/ 1374789 w 3163078"/>
            <a:gd name="connsiteY55" fmla="*/ 1582671 h 3163078"/>
            <a:gd name="connsiteX56" fmla="*/ 1285355 w 3163078"/>
            <a:gd name="connsiteY56" fmla="*/ 1545925 h 3163078"/>
            <a:gd name="connsiteX57" fmla="*/ 1226851 w 3163078"/>
            <a:gd name="connsiteY57" fmla="*/ 1489847 h 3163078"/>
            <a:gd name="connsiteX58" fmla="*/ 1206006 w 3163078"/>
            <a:gd name="connsiteY58" fmla="*/ 1406950 h 3163078"/>
            <a:gd name="connsiteX59" fmla="*/ 1297459 w 3163078"/>
            <a:gd name="connsiteY59" fmla="*/ 1280349 h 3163078"/>
            <a:gd name="connsiteX60" fmla="*/ 1550971 w 3163078"/>
            <a:gd name="connsiteY60" fmla="*/ 1216816 h 3163078"/>
            <a:gd name="connsiteX61" fmla="*/ 1495533 w 3163078"/>
            <a:gd name="connsiteY61" fmla="*/ 796577 h 3163078"/>
            <a:gd name="connsiteX62" fmla="*/ 1493463 w 3163078"/>
            <a:gd name="connsiteY62" fmla="*/ 796681 h 3163078"/>
            <a:gd name="connsiteX63" fmla="*/ 817683 w 3163078"/>
            <a:gd name="connsiteY63" fmla="*/ 1407661 h 3163078"/>
            <a:gd name="connsiteX64" fmla="*/ 811308 w 3163078"/>
            <a:gd name="connsiteY64" fmla="*/ 1449430 h 3163078"/>
            <a:gd name="connsiteX65" fmla="*/ 838783 w 3163078"/>
            <a:gd name="connsiteY65" fmla="*/ 1453584 h 3163078"/>
            <a:gd name="connsiteX66" fmla="*/ 904101 w 3163078"/>
            <a:gd name="connsiteY66" fmla="*/ 1512804 h 3163078"/>
            <a:gd name="connsiteX67" fmla="*/ 912326 w 3163078"/>
            <a:gd name="connsiteY67" fmla="*/ 1553546 h 3163078"/>
            <a:gd name="connsiteX68" fmla="*/ 904101 w 3163078"/>
            <a:gd name="connsiteY68" fmla="*/ 1594287 h 3163078"/>
            <a:gd name="connsiteX69" fmla="*/ 838783 w 3163078"/>
            <a:gd name="connsiteY69" fmla="*/ 1653508 h 3163078"/>
            <a:gd name="connsiteX70" fmla="*/ 808524 w 3163078"/>
            <a:gd name="connsiteY70" fmla="*/ 1658082 h 3163078"/>
            <a:gd name="connsiteX71" fmla="*/ 817683 w 3163078"/>
            <a:gd name="connsiteY71" fmla="*/ 1718094 h 3163078"/>
            <a:gd name="connsiteX72" fmla="*/ 1493463 w 3163078"/>
            <a:gd name="connsiteY72" fmla="*/ 2329073 h 3163078"/>
            <a:gd name="connsiteX73" fmla="*/ 1495532 w 3163078"/>
            <a:gd name="connsiteY73" fmla="*/ 2329177 h 3163078"/>
            <a:gd name="connsiteX74" fmla="*/ 1495532 w 3163078"/>
            <a:gd name="connsiteY74" fmla="*/ 2306691 h 3163078"/>
            <a:gd name="connsiteX75" fmla="*/ 1600200 w 3163078"/>
            <a:gd name="connsiteY75" fmla="*/ 2202023 h 3163078"/>
            <a:gd name="connsiteX76" fmla="*/ 1600200 w 3163078"/>
            <a:gd name="connsiteY76" fmla="*/ 2202022 h 3163078"/>
            <a:gd name="connsiteX77" fmla="*/ 1704868 w 3163078"/>
            <a:gd name="connsiteY77" fmla="*/ 2306690 h 3163078"/>
            <a:gd name="connsiteX78" fmla="*/ 1704868 w 3163078"/>
            <a:gd name="connsiteY78" fmla="*/ 2320844 h 3163078"/>
            <a:gd name="connsiteX79" fmla="*/ 1727425 w 3163078"/>
            <a:gd name="connsiteY79" fmla="*/ 2317402 h 3163078"/>
            <a:gd name="connsiteX80" fmla="*/ 2326733 w 3163078"/>
            <a:gd name="connsiteY80" fmla="*/ 1718094 h 3163078"/>
            <a:gd name="connsiteX81" fmla="*/ 2335902 w 3163078"/>
            <a:gd name="connsiteY81" fmla="*/ 1658015 h 3163078"/>
            <a:gd name="connsiteX82" fmla="*/ 2296149 w 3163078"/>
            <a:gd name="connsiteY82" fmla="*/ 1649989 h 3163078"/>
            <a:gd name="connsiteX83" fmla="*/ 2232222 w 3163078"/>
            <a:gd name="connsiteY83" fmla="*/ 1553546 h 3163078"/>
            <a:gd name="connsiteX84" fmla="*/ 2232221 w 3163078"/>
            <a:gd name="connsiteY84" fmla="*/ 1553546 h 3163078"/>
            <a:gd name="connsiteX85" fmla="*/ 2296148 w 3163078"/>
            <a:gd name="connsiteY85" fmla="*/ 1457103 h 3163078"/>
            <a:gd name="connsiteX86" fmla="*/ 2333139 w 3163078"/>
            <a:gd name="connsiteY86" fmla="*/ 1449635 h 3163078"/>
            <a:gd name="connsiteX87" fmla="*/ 2326733 w 3163078"/>
            <a:gd name="connsiteY87" fmla="*/ 1407661 h 3163078"/>
            <a:gd name="connsiteX88" fmla="*/ 1727425 w 3163078"/>
            <a:gd name="connsiteY88" fmla="*/ 808352 h 3163078"/>
            <a:gd name="connsiteX89" fmla="*/ 1704868 w 3163078"/>
            <a:gd name="connsiteY89" fmla="*/ 804910 h 3163078"/>
            <a:gd name="connsiteX90" fmla="*/ 1704868 w 3163078"/>
            <a:gd name="connsiteY90" fmla="*/ 809732 h 3163078"/>
            <a:gd name="connsiteX91" fmla="*/ 1640942 w 3163078"/>
            <a:gd name="connsiteY91" fmla="*/ 906175 h 3163078"/>
            <a:gd name="connsiteX92" fmla="*/ 1600201 w 3163078"/>
            <a:gd name="connsiteY92" fmla="*/ 914400 h 3163078"/>
            <a:gd name="connsiteX93" fmla="*/ 1559460 w 3163078"/>
            <a:gd name="connsiteY93" fmla="*/ 906175 h 3163078"/>
            <a:gd name="connsiteX94" fmla="*/ 1495533 w 3163078"/>
            <a:gd name="connsiteY94" fmla="*/ 809732 h 3163078"/>
            <a:gd name="connsiteX95" fmla="*/ 1704868 w 3163078"/>
            <a:gd name="connsiteY95" fmla="*/ 246369 h 3163078"/>
            <a:gd name="connsiteX96" fmla="*/ 1704868 w 3163078"/>
            <a:gd name="connsiteY96" fmla="*/ 665592 h 3163078"/>
            <a:gd name="connsiteX97" fmla="*/ 1755212 w 3163078"/>
            <a:gd name="connsiteY97" fmla="*/ 673275 h 3163078"/>
            <a:gd name="connsiteX98" fmla="*/ 2461810 w 3163078"/>
            <a:gd name="connsiteY98" fmla="*/ 1379873 h 3163078"/>
            <a:gd name="connsiteX99" fmla="*/ 2472341 w 3163078"/>
            <a:gd name="connsiteY99" fmla="*/ 1448878 h 3163078"/>
            <a:gd name="connsiteX100" fmla="*/ 2916238 w 3163078"/>
            <a:gd name="connsiteY100" fmla="*/ 1448878 h 3163078"/>
            <a:gd name="connsiteX101" fmla="*/ 2916012 w 3163078"/>
            <a:gd name="connsiteY101" fmla="*/ 1444389 h 3163078"/>
            <a:gd name="connsiteX102" fmla="*/ 1718689 w 3163078"/>
            <a:gd name="connsiteY102" fmla="*/ 247066 h 3163078"/>
            <a:gd name="connsiteX103" fmla="*/ 1495532 w 3163078"/>
            <a:gd name="connsiteY103" fmla="*/ 244484 h 3163078"/>
            <a:gd name="connsiteX104" fmla="*/ 1444389 w 3163078"/>
            <a:gd name="connsiteY104" fmla="*/ 247066 h 3163078"/>
            <a:gd name="connsiteX105" fmla="*/ 247066 w 3163078"/>
            <a:gd name="connsiteY105" fmla="*/ 1444389 h 3163078"/>
            <a:gd name="connsiteX106" fmla="*/ 246840 w 3163078"/>
            <a:gd name="connsiteY106" fmla="*/ 1448878 h 3163078"/>
            <a:gd name="connsiteX107" fmla="*/ 672075 w 3163078"/>
            <a:gd name="connsiteY107" fmla="*/ 1448878 h 3163078"/>
            <a:gd name="connsiteX108" fmla="*/ 682606 w 3163078"/>
            <a:gd name="connsiteY108" fmla="*/ 1379873 h 3163078"/>
            <a:gd name="connsiteX109" fmla="*/ 1479365 w 3163078"/>
            <a:gd name="connsiteY109" fmla="*/ 659515 h 3163078"/>
            <a:gd name="connsiteX110" fmla="*/ 1495533 w 3163078"/>
            <a:gd name="connsiteY110" fmla="*/ 658699 h 3163078"/>
            <a:gd name="connsiteX111" fmla="*/ 1581539 w 3163078"/>
            <a:gd name="connsiteY111" fmla="*/ 0 h 3163078"/>
            <a:gd name="connsiteX112" fmla="*/ 3163078 w 3163078"/>
            <a:gd name="connsiteY112" fmla="*/ 1581539 h 3163078"/>
            <a:gd name="connsiteX113" fmla="*/ 1581539 w 3163078"/>
            <a:gd name="connsiteY113" fmla="*/ 3163078 h 3163078"/>
            <a:gd name="connsiteX114" fmla="*/ 0 w 3163078"/>
            <a:gd name="connsiteY114" fmla="*/ 1581539 h 3163078"/>
            <a:gd name="connsiteX115" fmla="*/ 1581539 w 3163078"/>
            <a:gd name="connsiteY115" fmla="*/ 0 h 31630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Lst>
          <a:rect l="l" t="t" r="r" b="b"/>
          <a:pathLst>
            <a:path w="3163078" h="3163078">
              <a:moveTo>
                <a:pt x="669226" y="1658213"/>
              </a:moveTo>
              <a:lnTo>
                <a:pt x="244013" y="1658214"/>
              </a:lnTo>
              <a:lnTo>
                <a:pt x="247066" y="1718689"/>
              </a:lnTo>
              <a:cubicBezTo>
                <a:pt x="311180" y="2350004"/>
                <a:pt x="813074" y="2851898"/>
                <a:pt x="1444389" y="2916012"/>
              </a:cubicBezTo>
              <a:lnTo>
                <a:pt x="1499820" y="2918811"/>
              </a:lnTo>
              <a:lnTo>
                <a:pt x="1495533" y="2890456"/>
              </a:lnTo>
              <a:lnTo>
                <a:pt x="1495533" y="2467055"/>
              </a:lnTo>
              <a:lnTo>
                <a:pt x="1479365" y="2466239"/>
              </a:lnTo>
              <a:cubicBezTo>
                <a:pt x="1082527" y="2425938"/>
                <a:pt x="761230" y="2130108"/>
                <a:pt x="682606" y="1745881"/>
              </a:cubicBezTo>
              <a:close/>
              <a:moveTo>
                <a:pt x="2919066" y="1658213"/>
              </a:moveTo>
              <a:lnTo>
                <a:pt x="2475189" y="1658214"/>
              </a:lnTo>
              <a:lnTo>
                <a:pt x="2461810" y="1745881"/>
              </a:lnTo>
              <a:cubicBezTo>
                <a:pt x="2389234" y="2100552"/>
                <a:pt x="2109883" y="2379903"/>
                <a:pt x="1755212" y="2452479"/>
              </a:cubicBezTo>
              <a:lnTo>
                <a:pt x="1704868" y="2460162"/>
              </a:lnTo>
              <a:lnTo>
                <a:pt x="1704868" y="2890456"/>
              </a:lnTo>
              <a:lnTo>
                <a:pt x="1700869" y="2916912"/>
              </a:lnTo>
              <a:lnTo>
                <a:pt x="1718689" y="2916012"/>
              </a:lnTo>
              <a:cubicBezTo>
                <a:pt x="2350004" y="2851898"/>
                <a:pt x="2851898" y="2350004"/>
                <a:pt x="2916012" y="1718689"/>
              </a:cubicBezTo>
              <a:close/>
              <a:moveTo>
                <a:pt x="1665289" y="1628851"/>
              </a:moveTo>
              <a:lnTo>
                <a:pt x="1665289" y="1751958"/>
              </a:lnTo>
              <a:cubicBezTo>
                <a:pt x="1694879" y="1748958"/>
                <a:pt x="1720207" y="1742679"/>
                <a:pt x="1741278" y="1733090"/>
              </a:cubicBezTo>
              <a:cubicBezTo>
                <a:pt x="1762349" y="1723161"/>
                <a:pt x="1772883" y="1708747"/>
                <a:pt x="1772883" y="1689910"/>
              </a:cubicBezTo>
              <a:cubicBezTo>
                <a:pt x="1772883" y="1670702"/>
                <a:pt x="1760778" y="1656473"/>
                <a:pt x="1736568" y="1647194"/>
              </a:cubicBezTo>
              <a:cubicBezTo>
                <a:pt x="1712812" y="1637605"/>
                <a:pt x="1689050" y="1631481"/>
                <a:pt x="1665289" y="1628851"/>
              </a:cubicBezTo>
              <a:close/>
              <a:moveTo>
                <a:pt x="1561731" y="1346387"/>
              </a:moveTo>
              <a:cubicBezTo>
                <a:pt x="1532146" y="1348026"/>
                <a:pt x="1505469" y="1353656"/>
                <a:pt x="1481712" y="1363245"/>
              </a:cubicBezTo>
              <a:cubicBezTo>
                <a:pt x="1458399" y="1372524"/>
                <a:pt x="1446742" y="1385763"/>
                <a:pt x="1446742" y="1402960"/>
              </a:cubicBezTo>
              <a:cubicBezTo>
                <a:pt x="1446742" y="1418519"/>
                <a:pt x="1454364" y="1430613"/>
                <a:pt x="1469607" y="1439212"/>
              </a:cubicBezTo>
              <a:cubicBezTo>
                <a:pt x="1484850" y="1447811"/>
                <a:pt x="1515558" y="1455265"/>
                <a:pt x="1561731" y="1461544"/>
              </a:cubicBezTo>
              <a:close/>
              <a:moveTo>
                <a:pt x="1550971" y="1101133"/>
              </a:moveTo>
              <a:lnTo>
                <a:pt x="1667979" y="1101133"/>
              </a:lnTo>
              <a:lnTo>
                <a:pt x="1667979" y="1215826"/>
              </a:lnTo>
              <a:cubicBezTo>
                <a:pt x="1709225" y="1217125"/>
                <a:pt x="1757418" y="1221424"/>
                <a:pt x="1812557" y="1228724"/>
              </a:cubicBezTo>
              <a:cubicBezTo>
                <a:pt x="1868149" y="1235993"/>
                <a:pt x="1911859" y="1244437"/>
                <a:pt x="1943685" y="1254026"/>
              </a:cubicBezTo>
              <a:lnTo>
                <a:pt x="1943685" y="1397021"/>
              </a:lnTo>
              <a:lnTo>
                <a:pt x="1914100" y="1397021"/>
              </a:lnTo>
              <a:cubicBezTo>
                <a:pt x="1882269" y="1383443"/>
                <a:pt x="1845285" y="1372184"/>
                <a:pt x="1803142" y="1363245"/>
              </a:cubicBezTo>
              <a:cubicBezTo>
                <a:pt x="1761004" y="1354305"/>
                <a:pt x="1715950" y="1348676"/>
                <a:pt x="1667979" y="1346387"/>
              </a:cubicBezTo>
              <a:lnTo>
                <a:pt x="1667979" y="1472463"/>
              </a:lnTo>
              <a:lnTo>
                <a:pt x="1721778" y="1480412"/>
              </a:lnTo>
              <a:cubicBezTo>
                <a:pt x="1823095" y="1494981"/>
                <a:pt x="1897512" y="1517128"/>
                <a:pt x="1945030" y="1546914"/>
              </a:cubicBezTo>
              <a:cubicBezTo>
                <a:pt x="1993001" y="1576392"/>
                <a:pt x="2016984" y="1617592"/>
                <a:pt x="2016984" y="1670547"/>
              </a:cubicBezTo>
              <a:cubicBezTo>
                <a:pt x="2016984" y="1726471"/>
                <a:pt x="1985153" y="1774445"/>
                <a:pt x="1921495" y="1814501"/>
              </a:cubicBezTo>
              <a:cubicBezTo>
                <a:pt x="1857838" y="1854557"/>
                <a:pt x="1773331" y="1877230"/>
                <a:pt x="1667979" y="1882519"/>
              </a:cubicBezTo>
              <a:lnTo>
                <a:pt x="1667979" y="2062725"/>
              </a:lnTo>
              <a:lnTo>
                <a:pt x="1550971" y="2062725"/>
              </a:lnTo>
              <a:lnTo>
                <a:pt x="1550971" y="1885489"/>
              </a:lnTo>
              <a:cubicBezTo>
                <a:pt x="1500763" y="1885148"/>
                <a:pt x="1442708" y="1880694"/>
                <a:pt x="1376808" y="1872095"/>
              </a:cubicBezTo>
              <a:cubicBezTo>
                <a:pt x="1310909" y="1863496"/>
                <a:pt x="1259352" y="1852732"/>
                <a:pt x="1222145" y="1839803"/>
              </a:cubicBezTo>
              <a:lnTo>
                <a:pt x="1222145" y="1694859"/>
              </a:lnTo>
              <a:lnTo>
                <a:pt x="1252405" y="1694859"/>
              </a:lnTo>
              <a:cubicBezTo>
                <a:pt x="1293646" y="1711407"/>
                <a:pt x="1340942" y="1724646"/>
                <a:pt x="1394293" y="1734575"/>
              </a:cubicBezTo>
              <a:cubicBezTo>
                <a:pt x="1448087" y="1744503"/>
                <a:pt x="1501438" y="1750968"/>
                <a:pt x="1554336" y="1753938"/>
              </a:cubicBezTo>
              <a:lnTo>
                <a:pt x="1554336" y="1617902"/>
              </a:lnTo>
              <a:lnTo>
                <a:pt x="1489107" y="1606983"/>
              </a:lnTo>
              <a:cubicBezTo>
                <a:pt x="1447865" y="1600054"/>
                <a:pt x="1409758" y="1591951"/>
                <a:pt x="1374789" y="1582671"/>
              </a:cubicBezTo>
              <a:cubicBezTo>
                <a:pt x="1340272" y="1573392"/>
                <a:pt x="1310461" y="1561174"/>
                <a:pt x="1285355" y="1545925"/>
              </a:cubicBezTo>
              <a:cubicBezTo>
                <a:pt x="1260249" y="1530707"/>
                <a:pt x="1240749" y="1512024"/>
                <a:pt x="1226851" y="1489847"/>
              </a:cubicBezTo>
              <a:cubicBezTo>
                <a:pt x="1212953" y="1467328"/>
                <a:pt x="1206006" y="1439707"/>
                <a:pt x="1206006" y="1406950"/>
              </a:cubicBezTo>
              <a:cubicBezTo>
                <a:pt x="1206006" y="1357615"/>
                <a:pt x="1236487" y="1315425"/>
                <a:pt x="1297459" y="1280349"/>
              </a:cubicBezTo>
              <a:cubicBezTo>
                <a:pt x="1358427" y="1245272"/>
                <a:pt x="1442934" y="1224084"/>
                <a:pt x="1550971" y="1216816"/>
              </a:cubicBezTo>
              <a:close/>
              <a:moveTo>
                <a:pt x="1495533" y="796577"/>
              </a:moveTo>
              <a:lnTo>
                <a:pt x="1493463" y="796681"/>
              </a:lnTo>
              <a:cubicBezTo>
                <a:pt x="1156880" y="830863"/>
                <a:pt x="884369" y="1081774"/>
                <a:pt x="817683" y="1407661"/>
              </a:cubicBezTo>
              <a:lnTo>
                <a:pt x="811308" y="1449430"/>
              </a:lnTo>
              <a:lnTo>
                <a:pt x="838783" y="1453584"/>
              </a:lnTo>
              <a:cubicBezTo>
                <a:pt x="868280" y="1462758"/>
                <a:pt x="892184" y="1484629"/>
                <a:pt x="904101" y="1512804"/>
              </a:cubicBezTo>
              <a:lnTo>
                <a:pt x="912326" y="1553546"/>
              </a:lnTo>
              <a:lnTo>
                <a:pt x="904101" y="1594287"/>
              </a:lnTo>
              <a:cubicBezTo>
                <a:pt x="892184" y="1622462"/>
                <a:pt x="868280" y="1644333"/>
                <a:pt x="838783" y="1653508"/>
              </a:cubicBezTo>
              <a:lnTo>
                <a:pt x="808524" y="1658082"/>
              </a:lnTo>
              <a:lnTo>
                <a:pt x="817683" y="1718094"/>
              </a:lnTo>
              <a:cubicBezTo>
                <a:pt x="884369" y="2043980"/>
                <a:pt x="1156880" y="2294891"/>
                <a:pt x="1493463" y="2329073"/>
              </a:cubicBezTo>
              <a:lnTo>
                <a:pt x="1495532" y="2329177"/>
              </a:lnTo>
              <a:lnTo>
                <a:pt x="1495532" y="2306691"/>
              </a:lnTo>
              <a:cubicBezTo>
                <a:pt x="1495532" y="2248884"/>
                <a:pt x="1542393" y="2202023"/>
                <a:pt x="1600200" y="2202023"/>
              </a:cubicBezTo>
              <a:lnTo>
                <a:pt x="1600200" y="2202022"/>
              </a:lnTo>
              <a:cubicBezTo>
                <a:pt x="1658007" y="2202022"/>
                <a:pt x="1704868" y="2248883"/>
                <a:pt x="1704868" y="2306690"/>
              </a:cubicBezTo>
              <a:lnTo>
                <a:pt x="1704868" y="2320844"/>
              </a:lnTo>
              <a:lnTo>
                <a:pt x="1727425" y="2317402"/>
              </a:lnTo>
              <a:cubicBezTo>
                <a:pt x="2028243" y="2255846"/>
                <a:pt x="2265177" y="2018912"/>
                <a:pt x="2326733" y="1718094"/>
              </a:cubicBezTo>
              <a:lnTo>
                <a:pt x="2335902" y="1658015"/>
              </a:lnTo>
              <a:lnTo>
                <a:pt x="2296149" y="1649989"/>
              </a:lnTo>
              <a:cubicBezTo>
                <a:pt x="2258582" y="1634099"/>
                <a:pt x="2232222" y="1596901"/>
                <a:pt x="2232222" y="1553546"/>
              </a:cubicBezTo>
              <a:lnTo>
                <a:pt x="2232221" y="1553546"/>
              </a:lnTo>
              <a:cubicBezTo>
                <a:pt x="2232221" y="1510191"/>
                <a:pt x="2258581" y="1472993"/>
                <a:pt x="2296148" y="1457103"/>
              </a:cubicBezTo>
              <a:lnTo>
                <a:pt x="2333139" y="1449635"/>
              </a:lnTo>
              <a:lnTo>
                <a:pt x="2326733" y="1407661"/>
              </a:lnTo>
              <a:cubicBezTo>
                <a:pt x="2265177" y="1106843"/>
                <a:pt x="2028243" y="869908"/>
                <a:pt x="1727425" y="808352"/>
              </a:cubicBezTo>
              <a:lnTo>
                <a:pt x="1704868" y="804910"/>
              </a:lnTo>
              <a:lnTo>
                <a:pt x="1704868" y="809732"/>
              </a:lnTo>
              <a:cubicBezTo>
                <a:pt x="1704868" y="853087"/>
                <a:pt x="1678509" y="890285"/>
                <a:pt x="1640942" y="906175"/>
              </a:cubicBezTo>
              <a:lnTo>
                <a:pt x="1600201" y="914400"/>
              </a:lnTo>
              <a:lnTo>
                <a:pt x="1559460" y="906175"/>
              </a:lnTo>
              <a:cubicBezTo>
                <a:pt x="1521893" y="890285"/>
                <a:pt x="1495533" y="853087"/>
                <a:pt x="1495533" y="809732"/>
              </a:cubicBezTo>
              <a:close/>
              <a:moveTo>
                <a:pt x="1704868" y="246369"/>
              </a:moveTo>
              <a:lnTo>
                <a:pt x="1704868" y="665592"/>
              </a:lnTo>
              <a:lnTo>
                <a:pt x="1755212" y="673275"/>
              </a:lnTo>
              <a:cubicBezTo>
                <a:pt x="2109883" y="745852"/>
                <a:pt x="2389234" y="1025202"/>
                <a:pt x="2461810" y="1379873"/>
              </a:cubicBezTo>
              <a:lnTo>
                <a:pt x="2472341" y="1448878"/>
              </a:lnTo>
              <a:lnTo>
                <a:pt x="2916238" y="1448878"/>
              </a:lnTo>
              <a:lnTo>
                <a:pt x="2916012" y="1444389"/>
              </a:lnTo>
              <a:cubicBezTo>
                <a:pt x="2851898" y="813074"/>
                <a:pt x="2350004" y="311180"/>
                <a:pt x="1718689" y="247066"/>
              </a:cubicBezTo>
              <a:close/>
              <a:moveTo>
                <a:pt x="1495532" y="244484"/>
              </a:moveTo>
              <a:lnTo>
                <a:pt x="1444389" y="247066"/>
              </a:lnTo>
              <a:cubicBezTo>
                <a:pt x="813074" y="311180"/>
                <a:pt x="311180" y="813074"/>
                <a:pt x="247066" y="1444389"/>
              </a:cubicBezTo>
              <a:lnTo>
                <a:pt x="246840" y="1448878"/>
              </a:lnTo>
              <a:lnTo>
                <a:pt x="672075" y="1448878"/>
              </a:lnTo>
              <a:lnTo>
                <a:pt x="682606" y="1379873"/>
              </a:lnTo>
              <a:cubicBezTo>
                <a:pt x="761230" y="995646"/>
                <a:pt x="1082527" y="699816"/>
                <a:pt x="1479365" y="659515"/>
              </a:cubicBezTo>
              <a:lnTo>
                <a:pt x="1495533" y="658699"/>
              </a:lnTo>
              <a:close/>
              <a:moveTo>
                <a:pt x="1581539" y="0"/>
              </a:moveTo>
              <a:cubicBezTo>
                <a:pt x="2454999" y="0"/>
                <a:pt x="3163078" y="708079"/>
                <a:pt x="3163078" y="1581539"/>
              </a:cubicBezTo>
              <a:cubicBezTo>
                <a:pt x="3163078" y="2454999"/>
                <a:pt x="2454999" y="3163078"/>
                <a:pt x="1581539" y="3163078"/>
              </a:cubicBezTo>
              <a:cubicBezTo>
                <a:pt x="708079" y="3163078"/>
                <a:pt x="0" y="2454999"/>
                <a:pt x="0" y="1581539"/>
              </a:cubicBezTo>
              <a:cubicBezTo>
                <a:pt x="0" y="708079"/>
                <a:pt x="708079" y="0"/>
                <a:pt x="1581539" y="0"/>
              </a:cubicBezTo>
              <a:close/>
            </a:path>
          </a:pathLst>
        </a:custGeom>
        <a:solidFill>
          <a:sysClr val="window" lastClr="FFFFFF"/>
        </a:solidFill>
        <a:ln w="35341"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519952</xdr:colOff>
      <xdr:row>3</xdr:row>
      <xdr:rowOff>170327</xdr:rowOff>
    </xdr:from>
    <xdr:to>
      <xdr:col>2</xdr:col>
      <xdr:colOff>94491</xdr:colOff>
      <xdr:row>9</xdr:row>
      <xdr:rowOff>98611</xdr:rowOff>
    </xdr:to>
    <xdr:grpSp>
      <xdr:nvGrpSpPr>
        <xdr:cNvPr id="33" name="Group 32">
          <a:extLst>
            <a:ext uri="{FF2B5EF4-FFF2-40B4-BE49-F238E27FC236}">
              <a16:creationId xmlns:a16="http://schemas.microsoft.com/office/drawing/2014/main" id="{00000000-0008-0000-0500-000021000000}"/>
            </a:ext>
          </a:extLst>
        </xdr:cNvPr>
        <xdr:cNvGrpSpPr/>
      </xdr:nvGrpSpPr>
      <xdr:grpSpPr>
        <a:xfrm>
          <a:off x="519952" y="760877"/>
          <a:ext cx="1225539" cy="1109384"/>
          <a:chOff x="0" y="0"/>
          <a:chExt cx="3878604" cy="3794658"/>
        </a:xfrm>
        <a:solidFill>
          <a:sysClr val="window" lastClr="FFFFFF"/>
        </a:solidFill>
      </xdr:grpSpPr>
      <xdr:sp macro="" textlink="">
        <xdr:nvSpPr>
          <xdr:cNvPr id="34" name="Freeform: Shape 40">
            <a:extLst>
              <a:ext uri="{FF2B5EF4-FFF2-40B4-BE49-F238E27FC236}">
                <a16:creationId xmlns:a16="http://schemas.microsoft.com/office/drawing/2014/main" id="{00000000-0008-0000-0500-000022000000}"/>
              </a:ext>
            </a:extLst>
          </xdr:cNvPr>
          <xdr:cNvSpPr/>
        </xdr:nvSpPr>
        <xdr:spPr>
          <a:xfrm>
            <a:off x="1567237" y="24810"/>
            <a:ext cx="2311367" cy="2470875"/>
          </a:xfrm>
          <a:custGeom>
            <a:avLst/>
            <a:gdLst>
              <a:gd name="connsiteX0" fmla="*/ 216 w 2257633"/>
              <a:gd name="connsiteY0" fmla="*/ 1936113 h 2405021"/>
              <a:gd name="connsiteX1" fmla="*/ 361980 w 2257633"/>
              <a:gd name="connsiteY1" fmla="*/ 2405050 h 2405021"/>
              <a:gd name="connsiteX2" fmla="*/ 1159200 w 2257633"/>
              <a:gd name="connsiteY2" fmla="*/ 1694949 h 2405021"/>
              <a:gd name="connsiteX3" fmla="*/ 998424 w 2257633"/>
              <a:gd name="connsiteY3" fmla="*/ 1406877 h 2405021"/>
              <a:gd name="connsiteX4" fmla="*/ 2164069 w 2257633"/>
              <a:gd name="connsiteY4" fmla="*/ 944626 h 2405021"/>
              <a:gd name="connsiteX5" fmla="*/ 2157373 w 2257633"/>
              <a:gd name="connsiteY5" fmla="*/ 221105 h 2405021"/>
              <a:gd name="connsiteX6" fmla="*/ 2257849 w 2257633"/>
              <a:gd name="connsiteY6" fmla="*/ 221105 h 2405021"/>
              <a:gd name="connsiteX7" fmla="*/ 2110501 w 2257633"/>
              <a:gd name="connsiteY7" fmla="*/ 29 h 2405021"/>
              <a:gd name="connsiteX8" fmla="*/ 1963117 w 2257633"/>
              <a:gd name="connsiteY8" fmla="*/ 214405 h 2405021"/>
              <a:gd name="connsiteX9" fmla="*/ 2066401 w 2257633"/>
              <a:gd name="connsiteY9" fmla="*/ 217958 h 2405021"/>
              <a:gd name="connsiteX10" fmla="*/ 2050201 w 2257633"/>
              <a:gd name="connsiteY10" fmla="*/ 703451 h 2405021"/>
              <a:gd name="connsiteX11" fmla="*/ 375372 w 2257633"/>
              <a:gd name="connsiteY11" fmla="*/ 1205896 h 2405021"/>
              <a:gd name="connsiteX12" fmla="*/ 596448 w 2257633"/>
              <a:gd name="connsiteY12" fmla="*/ 160786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63854 w 2311368"/>
              <a:gd name="connsiteY4" fmla="*/ 944598 h 2405021"/>
              <a:gd name="connsiteX5" fmla="*/ 2157158 w 2311368"/>
              <a:gd name="connsiteY5" fmla="*/ 221077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63854 w 2311368"/>
              <a:gd name="connsiteY4" fmla="*/ 944598 h 2405021"/>
              <a:gd name="connsiteX5" fmla="*/ 2157158 w 2311368"/>
              <a:gd name="connsiteY5" fmla="*/ 221077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157158 w 2311368"/>
              <a:gd name="connsiteY5" fmla="*/ 221077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210894 w 2311368"/>
              <a:gd name="connsiteY5" fmla="*/ 221078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210894 w 2311368"/>
              <a:gd name="connsiteY5" fmla="*/ 221078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210894 w 2311368"/>
              <a:gd name="connsiteY5" fmla="*/ 221078 h 2405021"/>
              <a:gd name="connsiteX6" fmla="*/ 2311368 w 2311368"/>
              <a:gd name="connsiteY6" fmla="*/ 221077 h 2405021"/>
              <a:gd name="connsiteX7" fmla="*/ 2157304 w 2311368"/>
              <a:gd name="connsiteY7" fmla="*/ 0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2001937 h 2470873"/>
              <a:gd name="connsiteX1" fmla="*/ 361765 w 2311368"/>
              <a:gd name="connsiteY1" fmla="*/ 2470874 h 2470873"/>
              <a:gd name="connsiteX2" fmla="*/ 1158985 w 2311368"/>
              <a:gd name="connsiteY2" fmla="*/ 1760773 h 2470873"/>
              <a:gd name="connsiteX3" fmla="*/ 998209 w 2311368"/>
              <a:gd name="connsiteY3" fmla="*/ 1472701 h 2470873"/>
              <a:gd name="connsiteX4" fmla="*/ 2197439 w 2311368"/>
              <a:gd name="connsiteY4" fmla="*/ 1010449 h 2470873"/>
              <a:gd name="connsiteX5" fmla="*/ 2210894 w 2311368"/>
              <a:gd name="connsiteY5" fmla="*/ 286930 h 2470873"/>
              <a:gd name="connsiteX6" fmla="*/ 2311368 w 2311368"/>
              <a:gd name="connsiteY6" fmla="*/ 286929 h 2470873"/>
              <a:gd name="connsiteX7" fmla="*/ 2164021 w 2311368"/>
              <a:gd name="connsiteY7" fmla="*/ 0 h 2470873"/>
              <a:gd name="connsiteX8" fmla="*/ 1962902 w 2311368"/>
              <a:gd name="connsiteY8" fmla="*/ 280229 h 2470873"/>
              <a:gd name="connsiteX9" fmla="*/ 2066186 w 2311368"/>
              <a:gd name="connsiteY9" fmla="*/ 283782 h 2470873"/>
              <a:gd name="connsiteX10" fmla="*/ 2049986 w 2311368"/>
              <a:gd name="connsiteY10" fmla="*/ 769275 h 2470873"/>
              <a:gd name="connsiteX11" fmla="*/ 375157 w 2311368"/>
              <a:gd name="connsiteY11" fmla="*/ 1271720 h 2470873"/>
              <a:gd name="connsiteX12" fmla="*/ 596233 w 2311368"/>
              <a:gd name="connsiteY12" fmla="*/ 1673689 h 2470873"/>
              <a:gd name="connsiteX13" fmla="*/ 1 w 2311368"/>
              <a:gd name="connsiteY13" fmla="*/ 2001937 h 2470873"/>
              <a:gd name="connsiteX0" fmla="*/ 1 w 2311368"/>
              <a:gd name="connsiteY0" fmla="*/ 2001937 h 2470873"/>
              <a:gd name="connsiteX1" fmla="*/ 361765 w 2311368"/>
              <a:gd name="connsiteY1" fmla="*/ 2470874 h 2470873"/>
              <a:gd name="connsiteX2" fmla="*/ 1158985 w 2311368"/>
              <a:gd name="connsiteY2" fmla="*/ 1760773 h 2470873"/>
              <a:gd name="connsiteX3" fmla="*/ 998209 w 2311368"/>
              <a:gd name="connsiteY3" fmla="*/ 1472701 h 2470873"/>
              <a:gd name="connsiteX4" fmla="*/ 2217590 w 2311368"/>
              <a:gd name="connsiteY4" fmla="*/ 1010449 h 2470873"/>
              <a:gd name="connsiteX5" fmla="*/ 2210894 w 2311368"/>
              <a:gd name="connsiteY5" fmla="*/ 286930 h 2470873"/>
              <a:gd name="connsiteX6" fmla="*/ 2311368 w 2311368"/>
              <a:gd name="connsiteY6" fmla="*/ 286929 h 2470873"/>
              <a:gd name="connsiteX7" fmla="*/ 2164021 w 2311368"/>
              <a:gd name="connsiteY7" fmla="*/ 0 h 2470873"/>
              <a:gd name="connsiteX8" fmla="*/ 1962902 w 2311368"/>
              <a:gd name="connsiteY8" fmla="*/ 280229 h 2470873"/>
              <a:gd name="connsiteX9" fmla="*/ 2066186 w 2311368"/>
              <a:gd name="connsiteY9" fmla="*/ 283782 h 2470873"/>
              <a:gd name="connsiteX10" fmla="*/ 2049986 w 2311368"/>
              <a:gd name="connsiteY10" fmla="*/ 769275 h 2470873"/>
              <a:gd name="connsiteX11" fmla="*/ 375157 w 2311368"/>
              <a:gd name="connsiteY11" fmla="*/ 1271720 h 2470873"/>
              <a:gd name="connsiteX12" fmla="*/ 596233 w 2311368"/>
              <a:gd name="connsiteY12" fmla="*/ 1673689 h 2470873"/>
              <a:gd name="connsiteX13" fmla="*/ 1 w 2311368"/>
              <a:gd name="connsiteY13" fmla="*/ 2001937 h 2470873"/>
              <a:gd name="connsiteX0" fmla="*/ 1 w 2311368"/>
              <a:gd name="connsiteY0" fmla="*/ 2001937 h 2470873"/>
              <a:gd name="connsiteX1" fmla="*/ 361765 w 2311368"/>
              <a:gd name="connsiteY1" fmla="*/ 2470874 h 2470873"/>
              <a:gd name="connsiteX2" fmla="*/ 1158985 w 2311368"/>
              <a:gd name="connsiteY2" fmla="*/ 1760773 h 2470873"/>
              <a:gd name="connsiteX3" fmla="*/ 998209 w 2311368"/>
              <a:gd name="connsiteY3" fmla="*/ 1472701 h 2470873"/>
              <a:gd name="connsiteX4" fmla="*/ 2217590 w 2311368"/>
              <a:gd name="connsiteY4" fmla="*/ 1010449 h 2470873"/>
              <a:gd name="connsiteX5" fmla="*/ 2210894 w 2311368"/>
              <a:gd name="connsiteY5" fmla="*/ 286930 h 2470873"/>
              <a:gd name="connsiteX6" fmla="*/ 2311368 w 2311368"/>
              <a:gd name="connsiteY6" fmla="*/ 286929 h 2470873"/>
              <a:gd name="connsiteX7" fmla="*/ 2164021 w 2311368"/>
              <a:gd name="connsiteY7" fmla="*/ 0 h 2470873"/>
              <a:gd name="connsiteX8" fmla="*/ 1962902 w 2311368"/>
              <a:gd name="connsiteY8" fmla="*/ 280229 h 2470873"/>
              <a:gd name="connsiteX9" fmla="*/ 2066186 w 2311368"/>
              <a:gd name="connsiteY9" fmla="*/ 283782 h 2470873"/>
              <a:gd name="connsiteX10" fmla="*/ 2049986 w 2311368"/>
              <a:gd name="connsiteY10" fmla="*/ 769275 h 2470873"/>
              <a:gd name="connsiteX11" fmla="*/ 375157 w 2311368"/>
              <a:gd name="connsiteY11" fmla="*/ 1271720 h 2470873"/>
              <a:gd name="connsiteX12" fmla="*/ 596233 w 2311368"/>
              <a:gd name="connsiteY12" fmla="*/ 1673689 h 2470873"/>
              <a:gd name="connsiteX13" fmla="*/ 1 w 2311368"/>
              <a:gd name="connsiteY13" fmla="*/ 2001937 h 247087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2311368" h="2470873">
                <a:moveTo>
                  <a:pt x="1" y="2001937"/>
                </a:moveTo>
                <a:cubicBezTo>
                  <a:pt x="230617" y="2202278"/>
                  <a:pt x="307405" y="2341058"/>
                  <a:pt x="361765" y="2470874"/>
                </a:cubicBezTo>
                <a:lnTo>
                  <a:pt x="1158985" y="1760773"/>
                </a:lnTo>
                <a:lnTo>
                  <a:pt x="998209" y="1472701"/>
                </a:lnTo>
                <a:cubicBezTo>
                  <a:pt x="998209" y="1472701"/>
                  <a:pt x="1952386" y="1136105"/>
                  <a:pt x="2217590" y="1010449"/>
                </a:cubicBezTo>
                <a:cubicBezTo>
                  <a:pt x="2239842" y="999906"/>
                  <a:pt x="2210894" y="286930"/>
                  <a:pt x="2210894" y="286930"/>
                </a:cubicBezTo>
                <a:lnTo>
                  <a:pt x="2311368" y="286929"/>
                </a:lnTo>
                <a:lnTo>
                  <a:pt x="2164021" y="0"/>
                </a:lnTo>
                <a:lnTo>
                  <a:pt x="1962902" y="280229"/>
                </a:lnTo>
                <a:lnTo>
                  <a:pt x="2066186" y="283782"/>
                </a:lnTo>
                <a:lnTo>
                  <a:pt x="2049986" y="769275"/>
                </a:lnTo>
                <a:lnTo>
                  <a:pt x="375157" y="1271720"/>
                </a:lnTo>
                <a:lnTo>
                  <a:pt x="596233" y="1673689"/>
                </a:lnTo>
                <a:lnTo>
                  <a:pt x="1" y="2001937"/>
                </a:lnTo>
                <a:close/>
              </a:path>
            </a:pathLst>
          </a:custGeom>
          <a:grpFill/>
          <a:ln w="17998" cap="flat">
            <a:solidFill>
              <a:sysClr val="windowText" lastClr="000000"/>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5" name="Freeform: Shape 41">
            <a:extLst>
              <a:ext uri="{FF2B5EF4-FFF2-40B4-BE49-F238E27FC236}">
                <a16:creationId xmlns:a16="http://schemas.microsoft.com/office/drawing/2014/main" id="{00000000-0008-0000-0500-000023000000}"/>
              </a:ext>
            </a:extLst>
          </xdr:cNvPr>
          <xdr:cNvSpPr/>
        </xdr:nvSpPr>
        <xdr:spPr>
          <a:xfrm>
            <a:off x="0" y="1872131"/>
            <a:ext cx="1997598" cy="1914913"/>
          </a:xfrm>
          <a:custGeom>
            <a:avLst/>
            <a:gdLst>
              <a:gd name="connsiteX0" fmla="*/ 1038471 w 1997598"/>
              <a:gd name="connsiteY0" fmla="*/ 1091169 h 1914913"/>
              <a:gd name="connsiteX1" fmla="*/ 1083642 w 1997598"/>
              <a:gd name="connsiteY1" fmla="*/ 1117431 h 1914913"/>
              <a:gd name="connsiteX2" fmla="*/ 1097649 w 1997598"/>
              <a:gd name="connsiteY2" fmla="*/ 1157699 h 1914913"/>
              <a:gd name="connsiteX3" fmla="*/ 1081191 w 1997598"/>
              <a:gd name="connsiteY3" fmla="*/ 1203573 h 1914913"/>
              <a:gd name="connsiteX4" fmla="*/ 1038471 w 1997598"/>
              <a:gd name="connsiteY4" fmla="*/ 1227735 h 1914913"/>
              <a:gd name="connsiteX5" fmla="*/ 987696 w 1997598"/>
              <a:gd name="connsiteY5" fmla="*/ 855154 h 1914913"/>
              <a:gd name="connsiteX6" fmla="*/ 987696 w 1997598"/>
              <a:gd name="connsiteY6" fmla="*/ 976313 h 1914913"/>
              <a:gd name="connsiteX7" fmla="*/ 953730 w 1997598"/>
              <a:gd name="connsiteY7" fmla="*/ 950749 h 1914913"/>
              <a:gd name="connsiteX8" fmla="*/ 942524 w 1997598"/>
              <a:gd name="connsiteY8" fmla="*/ 916084 h 1914913"/>
              <a:gd name="connsiteX9" fmla="*/ 954780 w 1997598"/>
              <a:gd name="connsiteY9" fmla="*/ 878964 h 1914913"/>
              <a:gd name="connsiteX10" fmla="*/ 987696 w 1997598"/>
              <a:gd name="connsiteY10" fmla="*/ 855154 h 1914913"/>
              <a:gd name="connsiteX11" fmla="*/ 987696 w 1997598"/>
              <a:gd name="connsiteY11" fmla="*/ 744151 h 1914913"/>
              <a:gd name="connsiteX12" fmla="*/ 987696 w 1997598"/>
              <a:gd name="connsiteY12" fmla="*/ 778816 h 1914913"/>
              <a:gd name="connsiteX13" fmla="*/ 891050 w 1997598"/>
              <a:gd name="connsiteY13" fmla="*/ 823987 h 1914913"/>
              <a:gd name="connsiteX14" fmla="*/ 854984 w 1997598"/>
              <a:gd name="connsiteY14" fmla="*/ 920285 h 1914913"/>
              <a:gd name="connsiteX15" fmla="*/ 886849 w 1997598"/>
              <a:gd name="connsiteY15" fmla="*/ 1016931 h 1914913"/>
              <a:gd name="connsiteX16" fmla="*/ 987696 w 1997598"/>
              <a:gd name="connsiteY16" fmla="*/ 1076109 h 1914913"/>
              <a:gd name="connsiteX17" fmla="*/ 987696 w 1997598"/>
              <a:gd name="connsiteY17" fmla="*/ 1222831 h 1914913"/>
              <a:gd name="connsiteX18" fmla="*/ 953379 w 1997598"/>
              <a:gd name="connsiteY18" fmla="*/ 1193418 h 1914913"/>
              <a:gd name="connsiteX19" fmla="*/ 932368 w 1997598"/>
              <a:gd name="connsiteY19" fmla="*/ 1145096 h 1914913"/>
              <a:gd name="connsiteX20" fmla="*/ 840974 w 1997598"/>
              <a:gd name="connsiteY20" fmla="*/ 1154900 h 1914913"/>
              <a:gd name="connsiteX21" fmla="*/ 889297 w 1997598"/>
              <a:gd name="connsiteY21" fmla="*/ 1261700 h 1914913"/>
              <a:gd name="connsiteX22" fmla="*/ 987696 w 1997598"/>
              <a:gd name="connsiteY22" fmla="*/ 1306873 h 1914913"/>
              <a:gd name="connsiteX23" fmla="*/ 987696 w 1997598"/>
              <a:gd name="connsiteY23" fmla="*/ 1370603 h 1914913"/>
              <a:gd name="connsiteX24" fmla="*/ 1038471 w 1997598"/>
              <a:gd name="connsiteY24" fmla="*/ 1370603 h 1914913"/>
              <a:gd name="connsiteX25" fmla="*/ 1038471 w 1997598"/>
              <a:gd name="connsiteY25" fmla="*/ 1305120 h 1914913"/>
              <a:gd name="connsiteX26" fmla="*/ 1144921 w 1997598"/>
              <a:gd name="connsiteY26" fmla="*/ 1251896 h 1914913"/>
              <a:gd name="connsiteX27" fmla="*/ 1183440 w 1997598"/>
              <a:gd name="connsiteY27" fmla="*/ 1145096 h 1914913"/>
              <a:gd name="connsiteX28" fmla="*/ 1152976 w 1997598"/>
              <a:gd name="connsiteY28" fmla="*/ 1052299 h 1914913"/>
              <a:gd name="connsiteX29" fmla="*/ 1038471 w 1997598"/>
              <a:gd name="connsiteY29" fmla="*/ 993121 h 1914913"/>
              <a:gd name="connsiteX30" fmla="*/ 1038471 w 1997598"/>
              <a:gd name="connsiteY30" fmla="*/ 856204 h 1914913"/>
              <a:gd name="connsiteX31" fmla="*/ 1080492 w 1997598"/>
              <a:gd name="connsiteY31" fmla="*/ 912230 h 1914913"/>
              <a:gd name="connsiteX32" fmla="*/ 1169083 w 1997598"/>
              <a:gd name="connsiteY32" fmla="*/ 900677 h 1914913"/>
              <a:gd name="connsiteX33" fmla="*/ 1127065 w 1997598"/>
              <a:gd name="connsiteY33" fmla="*/ 816987 h 1914913"/>
              <a:gd name="connsiteX34" fmla="*/ 1038471 w 1997598"/>
              <a:gd name="connsiteY34" fmla="*/ 778816 h 1914913"/>
              <a:gd name="connsiteX35" fmla="*/ 1038471 w 1997598"/>
              <a:gd name="connsiteY35" fmla="*/ 744151 h 1914913"/>
              <a:gd name="connsiteX36" fmla="*/ 1018529 w 1997598"/>
              <a:gd name="connsiteY36" fmla="*/ 568308 h 1914913"/>
              <a:gd name="connsiteX37" fmla="*/ 1488375 w 1997598"/>
              <a:gd name="connsiteY37" fmla="*/ 1038154 h 1914913"/>
              <a:gd name="connsiteX38" fmla="*/ 1018529 w 1997598"/>
              <a:gd name="connsiteY38" fmla="*/ 1508000 h 1914913"/>
              <a:gd name="connsiteX39" fmla="*/ 548683 w 1997598"/>
              <a:gd name="connsiteY39" fmla="*/ 1038154 h 1914913"/>
              <a:gd name="connsiteX40" fmla="*/ 1018529 w 1997598"/>
              <a:gd name="connsiteY40" fmla="*/ 568308 h 1914913"/>
              <a:gd name="connsiteX41" fmla="*/ 1018529 w 1997598"/>
              <a:gd name="connsiteY41" fmla="*/ 476083 h 1914913"/>
              <a:gd name="connsiteX42" fmla="*/ 456458 w 1997598"/>
              <a:gd name="connsiteY42" fmla="*/ 1038154 h 1914913"/>
              <a:gd name="connsiteX43" fmla="*/ 1018529 w 1997598"/>
              <a:gd name="connsiteY43" fmla="*/ 1600225 h 1914913"/>
              <a:gd name="connsiteX44" fmla="*/ 1580600 w 1997598"/>
              <a:gd name="connsiteY44" fmla="*/ 1038154 h 1914913"/>
              <a:gd name="connsiteX45" fmla="*/ 1018529 w 1997598"/>
              <a:gd name="connsiteY45" fmla="*/ 476083 h 1914913"/>
              <a:gd name="connsiteX46" fmla="*/ 664325 w 1997598"/>
              <a:gd name="connsiteY46" fmla="*/ 0 h 1914913"/>
              <a:gd name="connsiteX47" fmla="*/ 1314151 w 1997598"/>
              <a:gd name="connsiteY47" fmla="*/ 0 h 1914913"/>
              <a:gd name="connsiteX48" fmla="*/ 1997478 w 1997598"/>
              <a:gd name="connsiteY48" fmla="*/ 1091952 h 1914913"/>
              <a:gd name="connsiteX49" fmla="*/ 1568718 w 1997598"/>
              <a:gd name="connsiteY49" fmla="*/ 1914913 h 1914913"/>
              <a:gd name="connsiteX50" fmla="*/ 429850 w 1997598"/>
              <a:gd name="connsiteY50" fmla="*/ 1908217 h 1914913"/>
              <a:gd name="connsiteX51" fmla="*/ 1100 w 1997598"/>
              <a:gd name="connsiteY51" fmla="*/ 1085257 h 1914913"/>
              <a:gd name="connsiteX52" fmla="*/ 664325 w 1997598"/>
              <a:gd name="connsiteY52" fmla="*/ 0 h 19149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Lst>
            <a:rect l="l" t="t" r="r" b="b"/>
            <a:pathLst>
              <a:path w="1997598" h="1914913">
                <a:moveTo>
                  <a:pt x="1038471" y="1091169"/>
                </a:moveTo>
                <a:cubicBezTo>
                  <a:pt x="1059481" y="1097239"/>
                  <a:pt x="1074537" y="1105992"/>
                  <a:pt x="1083642" y="1117431"/>
                </a:cubicBezTo>
                <a:cubicBezTo>
                  <a:pt x="1092981" y="1128637"/>
                  <a:pt x="1097649" y="1142058"/>
                  <a:pt x="1097649" y="1157699"/>
                </a:cubicBezTo>
                <a:cubicBezTo>
                  <a:pt x="1097649" y="1175207"/>
                  <a:pt x="1092164" y="1190500"/>
                  <a:pt x="1081191" y="1203573"/>
                </a:cubicBezTo>
                <a:cubicBezTo>
                  <a:pt x="1070218" y="1216410"/>
                  <a:pt x="1055979" y="1224465"/>
                  <a:pt x="1038471" y="1227735"/>
                </a:cubicBezTo>
                <a:close/>
                <a:moveTo>
                  <a:pt x="987696" y="855154"/>
                </a:moveTo>
                <a:lnTo>
                  <a:pt x="987696" y="976313"/>
                </a:lnTo>
                <a:cubicBezTo>
                  <a:pt x="972522" y="969778"/>
                  <a:pt x="961201" y="961257"/>
                  <a:pt x="953730" y="950749"/>
                </a:cubicBezTo>
                <a:cubicBezTo>
                  <a:pt x="946260" y="940013"/>
                  <a:pt x="942524" y="928456"/>
                  <a:pt x="942524" y="916084"/>
                </a:cubicBezTo>
                <a:cubicBezTo>
                  <a:pt x="942524" y="902545"/>
                  <a:pt x="946611" y="890170"/>
                  <a:pt x="954780" y="878964"/>
                </a:cubicBezTo>
                <a:cubicBezTo>
                  <a:pt x="962951" y="867757"/>
                  <a:pt x="973923" y="859821"/>
                  <a:pt x="987696" y="855154"/>
                </a:cubicBezTo>
                <a:close/>
                <a:moveTo>
                  <a:pt x="987696" y="744151"/>
                </a:moveTo>
                <a:lnTo>
                  <a:pt x="987696" y="778816"/>
                </a:lnTo>
                <a:cubicBezTo>
                  <a:pt x="947543" y="782784"/>
                  <a:pt x="915327" y="797844"/>
                  <a:pt x="891050" y="823987"/>
                </a:cubicBezTo>
                <a:cubicBezTo>
                  <a:pt x="867004" y="849902"/>
                  <a:pt x="854984" y="882000"/>
                  <a:pt x="854984" y="920285"/>
                </a:cubicBezTo>
                <a:cubicBezTo>
                  <a:pt x="854984" y="958102"/>
                  <a:pt x="865606" y="990318"/>
                  <a:pt x="886849" y="1016931"/>
                </a:cubicBezTo>
                <a:cubicBezTo>
                  <a:pt x="908326" y="1043312"/>
                  <a:pt x="941940" y="1063040"/>
                  <a:pt x="987696" y="1076109"/>
                </a:cubicBezTo>
                <a:lnTo>
                  <a:pt x="987696" y="1222831"/>
                </a:lnTo>
                <a:cubicBezTo>
                  <a:pt x="975088" y="1216762"/>
                  <a:pt x="963653" y="1206958"/>
                  <a:pt x="953379" y="1193418"/>
                </a:cubicBezTo>
                <a:cubicBezTo>
                  <a:pt x="943109" y="1179878"/>
                  <a:pt x="936104" y="1163768"/>
                  <a:pt x="932368" y="1145096"/>
                </a:cubicBezTo>
                <a:lnTo>
                  <a:pt x="840974" y="1154900"/>
                </a:lnTo>
                <a:cubicBezTo>
                  <a:pt x="847979" y="1200889"/>
                  <a:pt x="864085" y="1236490"/>
                  <a:pt x="889297" y="1261700"/>
                </a:cubicBezTo>
                <a:cubicBezTo>
                  <a:pt x="914509" y="1286912"/>
                  <a:pt x="947310" y="1301968"/>
                  <a:pt x="987696" y="1306873"/>
                </a:cubicBezTo>
                <a:lnTo>
                  <a:pt x="987696" y="1370603"/>
                </a:lnTo>
                <a:lnTo>
                  <a:pt x="1038471" y="1370603"/>
                </a:lnTo>
                <a:lnTo>
                  <a:pt x="1038471" y="1305120"/>
                </a:lnTo>
                <a:cubicBezTo>
                  <a:pt x="1083994" y="1298585"/>
                  <a:pt x="1119476" y="1280844"/>
                  <a:pt x="1144921" y="1251896"/>
                </a:cubicBezTo>
                <a:cubicBezTo>
                  <a:pt x="1170602" y="1222949"/>
                  <a:pt x="1183440" y="1187349"/>
                  <a:pt x="1183440" y="1145096"/>
                </a:cubicBezTo>
                <a:cubicBezTo>
                  <a:pt x="1183440" y="1107275"/>
                  <a:pt x="1173288" y="1076342"/>
                  <a:pt x="1152976" y="1052299"/>
                </a:cubicBezTo>
                <a:cubicBezTo>
                  <a:pt x="1132665" y="1028019"/>
                  <a:pt x="1094497" y="1008296"/>
                  <a:pt x="1038471" y="993121"/>
                </a:cubicBezTo>
                <a:lnTo>
                  <a:pt x="1038471" y="856204"/>
                </a:lnTo>
                <a:cubicBezTo>
                  <a:pt x="1061116" y="866009"/>
                  <a:pt x="1075122" y="884686"/>
                  <a:pt x="1080492" y="912230"/>
                </a:cubicBezTo>
                <a:lnTo>
                  <a:pt x="1169083" y="900677"/>
                </a:lnTo>
                <a:cubicBezTo>
                  <a:pt x="1163013" y="865657"/>
                  <a:pt x="1149008" y="837760"/>
                  <a:pt x="1127065" y="816987"/>
                </a:cubicBezTo>
                <a:cubicBezTo>
                  <a:pt x="1105119" y="795976"/>
                  <a:pt x="1075587" y="783254"/>
                  <a:pt x="1038471" y="778816"/>
                </a:cubicBezTo>
                <a:lnTo>
                  <a:pt x="1038471" y="744151"/>
                </a:lnTo>
                <a:close/>
                <a:moveTo>
                  <a:pt x="1018529" y="568308"/>
                </a:moveTo>
                <a:cubicBezTo>
                  <a:pt x="1278018" y="568308"/>
                  <a:pt x="1488375" y="778665"/>
                  <a:pt x="1488375" y="1038154"/>
                </a:cubicBezTo>
                <a:cubicBezTo>
                  <a:pt x="1488375" y="1297643"/>
                  <a:pt x="1278018" y="1508000"/>
                  <a:pt x="1018529" y="1508000"/>
                </a:cubicBezTo>
                <a:cubicBezTo>
                  <a:pt x="759040" y="1508000"/>
                  <a:pt x="548683" y="1297643"/>
                  <a:pt x="548683" y="1038154"/>
                </a:cubicBezTo>
                <a:cubicBezTo>
                  <a:pt x="548683" y="778665"/>
                  <a:pt x="759040" y="568308"/>
                  <a:pt x="1018529" y="568308"/>
                </a:cubicBezTo>
                <a:close/>
                <a:moveTo>
                  <a:pt x="1018529" y="476083"/>
                </a:moveTo>
                <a:cubicBezTo>
                  <a:pt x="708106" y="476083"/>
                  <a:pt x="456458" y="727731"/>
                  <a:pt x="456458" y="1038154"/>
                </a:cubicBezTo>
                <a:cubicBezTo>
                  <a:pt x="456458" y="1348577"/>
                  <a:pt x="708106" y="1600225"/>
                  <a:pt x="1018529" y="1600225"/>
                </a:cubicBezTo>
                <a:cubicBezTo>
                  <a:pt x="1328952" y="1600225"/>
                  <a:pt x="1580600" y="1348577"/>
                  <a:pt x="1580600" y="1038154"/>
                </a:cubicBezTo>
                <a:cubicBezTo>
                  <a:pt x="1580600" y="727731"/>
                  <a:pt x="1328952" y="476083"/>
                  <a:pt x="1018529" y="476083"/>
                </a:cubicBezTo>
                <a:close/>
                <a:moveTo>
                  <a:pt x="664325" y="0"/>
                </a:moveTo>
                <a:lnTo>
                  <a:pt x="1314151" y="0"/>
                </a:lnTo>
                <a:cubicBezTo>
                  <a:pt x="1314151" y="0"/>
                  <a:pt x="2008098" y="459576"/>
                  <a:pt x="1997478" y="1091952"/>
                </a:cubicBezTo>
                <a:cubicBezTo>
                  <a:pt x="1985742" y="1790821"/>
                  <a:pt x="1568718" y="1914913"/>
                  <a:pt x="1568718" y="1914913"/>
                </a:cubicBezTo>
                <a:lnTo>
                  <a:pt x="429850" y="1908217"/>
                </a:lnTo>
                <a:cubicBezTo>
                  <a:pt x="429850" y="1908217"/>
                  <a:pt x="-25234" y="1697077"/>
                  <a:pt x="1100" y="1085257"/>
                </a:cubicBezTo>
                <a:cubicBezTo>
                  <a:pt x="27107" y="481032"/>
                  <a:pt x="664325" y="0"/>
                  <a:pt x="664325" y="0"/>
                </a:cubicBezTo>
                <a:close/>
              </a:path>
            </a:pathLst>
          </a:custGeom>
          <a:grpFill/>
          <a:ln w="18002"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6" name="Freeform: Shape 42">
            <a:extLst>
              <a:ext uri="{FF2B5EF4-FFF2-40B4-BE49-F238E27FC236}">
                <a16:creationId xmlns:a16="http://schemas.microsoft.com/office/drawing/2014/main" id="{00000000-0008-0000-0500-000024000000}"/>
              </a:ext>
            </a:extLst>
          </xdr:cNvPr>
          <xdr:cNvSpPr/>
        </xdr:nvSpPr>
        <xdr:spPr>
          <a:xfrm rot="15043660" flipV="1">
            <a:off x="678904" y="943653"/>
            <a:ext cx="730416" cy="1146531"/>
          </a:xfrm>
          <a:custGeom>
            <a:avLst/>
            <a:gdLst>
              <a:gd name="connsiteX0" fmla="*/ 716588 w 730416"/>
              <a:gd name="connsiteY0" fmla="*/ 511011 h 1146531"/>
              <a:gd name="connsiteX1" fmla="*/ 409782 w 730416"/>
              <a:gd name="connsiteY1" fmla="*/ 335484 h 1146531"/>
              <a:gd name="connsiteX2" fmla="*/ 313760 w 730416"/>
              <a:gd name="connsiteY2" fmla="*/ 0 h 1146531"/>
              <a:gd name="connsiteX3" fmla="*/ 0 w 730416"/>
              <a:gd name="connsiteY3" fmla="*/ 421987 h 1146531"/>
              <a:gd name="connsiteX4" fmla="*/ 18807 w 730416"/>
              <a:gd name="connsiteY4" fmla="*/ 472206 h 1146531"/>
              <a:gd name="connsiteX5" fmla="*/ 209996 w 730416"/>
              <a:gd name="connsiteY5" fmla="*/ 348997 h 1146531"/>
              <a:gd name="connsiteX6" fmla="*/ 272267 w 730416"/>
              <a:gd name="connsiteY6" fmla="*/ 360214 h 1146531"/>
              <a:gd name="connsiteX7" fmla="*/ 272266 w 730416"/>
              <a:gd name="connsiteY7" fmla="*/ 360214 h 1146531"/>
              <a:gd name="connsiteX8" fmla="*/ 260426 w 730416"/>
              <a:gd name="connsiteY8" fmla="*/ 419191 h 1146531"/>
              <a:gd name="connsiteX9" fmla="*/ 49788 w 730416"/>
              <a:gd name="connsiteY9" fmla="*/ 554931 h 1146531"/>
              <a:gd name="connsiteX10" fmla="*/ 93126 w 730416"/>
              <a:gd name="connsiteY10" fmla="*/ 670656 h 1146531"/>
              <a:gd name="connsiteX11" fmla="*/ 148370 w 730416"/>
              <a:gd name="connsiteY11" fmla="*/ 652362 h 1146531"/>
              <a:gd name="connsiteX12" fmla="*/ 205474 w 730416"/>
              <a:gd name="connsiteY12" fmla="*/ 678423 h 1146531"/>
              <a:gd name="connsiteX13" fmla="*/ 205473 w 730416"/>
              <a:gd name="connsiteY13" fmla="*/ 678422 h 1146531"/>
              <a:gd name="connsiteX14" fmla="*/ 177957 w 730416"/>
              <a:gd name="connsiteY14" fmla="*/ 732505 h 1146531"/>
              <a:gd name="connsiteX15" fmla="*/ 123093 w 730416"/>
              <a:gd name="connsiteY15" fmla="*/ 750672 h 1146531"/>
              <a:gd name="connsiteX16" fmla="*/ 162028 w 730416"/>
              <a:gd name="connsiteY16" fmla="*/ 854640 h 1146531"/>
              <a:gd name="connsiteX17" fmla="*/ 300808 w 730416"/>
              <a:gd name="connsiteY17" fmla="*/ 854640 h 1146531"/>
              <a:gd name="connsiteX18" fmla="*/ 345630 w 730416"/>
              <a:gd name="connsiteY18" fmla="*/ 897090 h 1146531"/>
              <a:gd name="connsiteX19" fmla="*/ 345629 w 730416"/>
              <a:gd name="connsiteY19" fmla="*/ 897090 h 1146531"/>
              <a:gd name="connsiteX20" fmla="*/ 300807 w 730416"/>
              <a:gd name="connsiteY20" fmla="*/ 939540 h 1146531"/>
              <a:gd name="connsiteX21" fmla="*/ 193823 w 730416"/>
              <a:gd name="connsiteY21" fmla="*/ 939540 h 1146531"/>
              <a:gd name="connsiteX22" fmla="*/ 213858 w 730416"/>
              <a:gd name="connsiteY22" fmla="*/ 993037 h 1146531"/>
              <a:gd name="connsiteX23" fmla="*/ 728835 w 730416"/>
              <a:gd name="connsiteY23" fmla="*/ 1146531 h 1146531"/>
              <a:gd name="connsiteX24" fmla="*/ 583838 w 730416"/>
              <a:gd name="connsiteY24" fmla="*/ 792704 h 1146531"/>
              <a:gd name="connsiteX25" fmla="*/ 716588 w 730416"/>
              <a:gd name="connsiteY25" fmla="*/ 511011 h 114653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30416" h="1146531">
                <a:moveTo>
                  <a:pt x="716588" y="511011"/>
                </a:moveTo>
                <a:cubicBezTo>
                  <a:pt x="680716" y="393596"/>
                  <a:pt x="548708" y="304346"/>
                  <a:pt x="409782" y="335484"/>
                </a:cubicBezTo>
                <a:cubicBezTo>
                  <a:pt x="486583" y="165966"/>
                  <a:pt x="385952" y="81473"/>
                  <a:pt x="313760" y="0"/>
                </a:cubicBezTo>
                <a:lnTo>
                  <a:pt x="0" y="421987"/>
                </a:lnTo>
                <a:lnTo>
                  <a:pt x="18807" y="472206"/>
                </a:lnTo>
                <a:lnTo>
                  <a:pt x="209996" y="348997"/>
                </a:lnTo>
                <a:cubicBezTo>
                  <a:pt x="230463" y="335809"/>
                  <a:pt x="258342" y="340831"/>
                  <a:pt x="272267" y="360214"/>
                </a:cubicBezTo>
                <a:lnTo>
                  <a:pt x="272266" y="360214"/>
                </a:lnTo>
                <a:cubicBezTo>
                  <a:pt x="286194" y="379595"/>
                  <a:pt x="280891" y="406002"/>
                  <a:pt x="260426" y="419191"/>
                </a:cubicBezTo>
                <a:lnTo>
                  <a:pt x="49788" y="554931"/>
                </a:lnTo>
                <a:lnTo>
                  <a:pt x="93126" y="670656"/>
                </a:lnTo>
                <a:lnTo>
                  <a:pt x="148370" y="652362"/>
                </a:lnTo>
                <a:cubicBezTo>
                  <a:pt x="171737" y="644624"/>
                  <a:pt x="197303" y="656291"/>
                  <a:pt x="205474" y="678423"/>
                </a:cubicBezTo>
                <a:lnTo>
                  <a:pt x="205473" y="678422"/>
                </a:lnTo>
                <a:cubicBezTo>
                  <a:pt x="213644" y="700552"/>
                  <a:pt x="201323" y="724767"/>
                  <a:pt x="177957" y="732505"/>
                </a:cubicBezTo>
                <a:lnTo>
                  <a:pt x="123093" y="750672"/>
                </a:lnTo>
                <a:lnTo>
                  <a:pt x="162028" y="854640"/>
                </a:lnTo>
                <a:lnTo>
                  <a:pt x="300808" y="854640"/>
                </a:lnTo>
                <a:cubicBezTo>
                  <a:pt x="325563" y="854641"/>
                  <a:pt x="345630" y="873646"/>
                  <a:pt x="345630" y="897090"/>
                </a:cubicBezTo>
                <a:lnTo>
                  <a:pt x="345629" y="897090"/>
                </a:lnTo>
                <a:cubicBezTo>
                  <a:pt x="345629" y="920534"/>
                  <a:pt x="325560" y="939540"/>
                  <a:pt x="300807" y="939540"/>
                </a:cubicBezTo>
                <a:lnTo>
                  <a:pt x="193823" y="939540"/>
                </a:lnTo>
                <a:lnTo>
                  <a:pt x="213858" y="993037"/>
                </a:lnTo>
                <a:lnTo>
                  <a:pt x="728835" y="1146531"/>
                </a:lnTo>
                <a:cubicBezTo>
                  <a:pt x="738744" y="1018136"/>
                  <a:pt x="703479" y="913568"/>
                  <a:pt x="583838" y="792704"/>
                </a:cubicBezTo>
                <a:cubicBezTo>
                  <a:pt x="714230" y="710695"/>
                  <a:pt x="744487" y="602333"/>
                  <a:pt x="716588" y="511011"/>
                </a:cubicBezTo>
                <a:close/>
              </a:path>
            </a:pathLst>
          </a:custGeom>
          <a:grp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37" name="Freeform: Shape 43">
            <a:extLst>
              <a:ext uri="{FF2B5EF4-FFF2-40B4-BE49-F238E27FC236}">
                <a16:creationId xmlns:a16="http://schemas.microsoft.com/office/drawing/2014/main" id="{00000000-0008-0000-0500-000025000000}"/>
              </a:ext>
            </a:extLst>
          </xdr:cNvPr>
          <xdr:cNvSpPr/>
        </xdr:nvSpPr>
        <xdr:spPr>
          <a:xfrm>
            <a:off x="1066684" y="0"/>
            <a:ext cx="1014942" cy="1014942"/>
          </a:xfrm>
          <a:custGeom>
            <a:avLst/>
            <a:gdLst>
              <a:gd name="connsiteX0" fmla="*/ 529764 w 1014942"/>
              <a:gd name="connsiteY0" fmla="*/ 520172 h 1014942"/>
              <a:gd name="connsiteX1" fmla="*/ 568161 w 1014942"/>
              <a:gd name="connsiteY1" fmla="*/ 542495 h 1014942"/>
              <a:gd name="connsiteX2" fmla="*/ 580067 w 1014942"/>
              <a:gd name="connsiteY2" fmla="*/ 576724 h 1014942"/>
              <a:gd name="connsiteX3" fmla="*/ 566077 w 1014942"/>
              <a:gd name="connsiteY3" fmla="*/ 615719 h 1014942"/>
              <a:gd name="connsiteX4" fmla="*/ 529764 w 1014942"/>
              <a:gd name="connsiteY4" fmla="*/ 636257 h 1014942"/>
              <a:gd name="connsiteX5" fmla="*/ 486603 w 1014942"/>
              <a:gd name="connsiteY5" fmla="*/ 319551 h 1014942"/>
              <a:gd name="connsiteX6" fmla="*/ 486603 w 1014942"/>
              <a:gd name="connsiteY6" fmla="*/ 422540 h 1014942"/>
              <a:gd name="connsiteX7" fmla="*/ 457731 w 1014942"/>
              <a:gd name="connsiteY7" fmla="*/ 400810 h 1014942"/>
              <a:gd name="connsiteX8" fmla="*/ 448206 w 1014942"/>
              <a:gd name="connsiteY8" fmla="*/ 371344 h 1014942"/>
              <a:gd name="connsiteX9" fmla="*/ 458624 w 1014942"/>
              <a:gd name="connsiteY9" fmla="*/ 339790 h 1014942"/>
              <a:gd name="connsiteX10" fmla="*/ 486603 w 1014942"/>
              <a:gd name="connsiteY10" fmla="*/ 319551 h 1014942"/>
              <a:gd name="connsiteX11" fmla="*/ 486603 w 1014942"/>
              <a:gd name="connsiteY11" fmla="*/ 225195 h 1014942"/>
              <a:gd name="connsiteX12" fmla="*/ 486603 w 1014942"/>
              <a:gd name="connsiteY12" fmla="*/ 254661 h 1014942"/>
              <a:gd name="connsiteX13" fmla="*/ 404451 w 1014942"/>
              <a:gd name="connsiteY13" fmla="*/ 293058 h 1014942"/>
              <a:gd name="connsiteX14" fmla="*/ 373794 w 1014942"/>
              <a:gd name="connsiteY14" fmla="*/ 374915 h 1014942"/>
              <a:gd name="connsiteX15" fmla="*/ 400880 w 1014942"/>
              <a:gd name="connsiteY15" fmla="*/ 457067 h 1014942"/>
              <a:gd name="connsiteX16" fmla="*/ 486603 w 1014942"/>
              <a:gd name="connsiteY16" fmla="*/ 507370 h 1014942"/>
              <a:gd name="connsiteX17" fmla="*/ 486603 w 1014942"/>
              <a:gd name="connsiteY17" fmla="*/ 632088 h 1014942"/>
              <a:gd name="connsiteX18" fmla="*/ 457433 w 1014942"/>
              <a:gd name="connsiteY18" fmla="*/ 607087 h 1014942"/>
              <a:gd name="connsiteX19" fmla="*/ 439573 w 1014942"/>
              <a:gd name="connsiteY19" fmla="*/ 566011 h 1014942"/>
              <a:gd name="connsiteX20" fmla="*/ 361885 w 1014942"/>
              <a:gd name="connsiteY20" fmla="*/ 574344 h 1014942"/>
              <a:gd name="connsiteX21" fmla="*/ 402961 w 1014942"/>
              <a:gd name="connsiteY21" fmla="*/ 665129 h 1014942"/>
              <a:gd name="connsiteX22" fmla="*/ 486603 w 1014942"/>
              <a:gd name="connsiteY22" fmla="*/ 703527 h 1014942"/>
              <a:gd name="connsiteX23" fmla="*/ 486603 w 1014942"/>
              <a:gd name="connsiteY23" fmla="*/ 757700 h 1014942"/>
              <a:gd name="connsiteX24" fmla="*/ 529764 w 1014942"/>
              <a:gd name="connsiteY24" fmla="*/ 757700 h 1014942"/>
              <a:gd name="connsiteX25" fmla="*/ 529764 w 1014942"/>
              <a:gd name="connsiteY25" fmla="*/ 702036 h 1014942"/>
              <a:gd name="connsiteX26" fmla="*/ 620250 w 1014942"/>
              <a:gd name="connsiteY26" fmla="*/ 656795 h 1014942"/>
              <a:gd name="connsiteX27" fmla="*/ 652992 w 1014942"/>
              <a:gd name="connsiteY27" fmla="*/ 566011 h 1014942"/>
              <a:gd name="connsiteX28" fmla="*/ 627097 w 1014942"/>
              <a:gd name="connsiteY28" fmla="*/ 487131 h 1014942"/>
              <a:gd name="connsiteX29" fmla="*/ 529764 w 1014942"/>
              <a:gd name="connsiteY29" fmla="*/ 436828 h 1014942"/>
              <a:gd name="connsiteX30" fmla="*/ 529764 w 1014942"/>
              <a:gd name="connsiteY30" fmla="*/ 320444 h 1014942"/>
              <a:gd name="connsiteX31" fmla="*/ 565483 w 1014942"/>
              <a:gd name="connsiteY31" fmla="*/ 368068 h 1014942"/>
              <a:gd name="connsiteX32" fmla="*/ 640788 w 1014942"/>
              <a:gd name="connsiteY32" fmla="*/ 358247 h 1014942"/>
              <a:gd name="connsiteX33" fmla="*/ 605072 w 1014942"/>
              <a:gd name="connsiteY33" fmla="*/ 287107 h 1014942"/>
              <a:gd name="connsiteX34" fmla="*/ 529764 w 1014942"/>
              <a:gd name="connsiteY34" fmla="*/ 254661 h 1014942"/>
              <a:gd name="connsiteX35" fmla="*/ 529764 w 1014942"/>
              <a:gd name="connsiteY35" fmla="*/ 225195 h 1014942"/>
              <a:gd name="connsiteX36" fmla="*/ 507471 w 1014942"/>
              <a:gd name="connsiteY36" fmla="*/ 0 h 1014942"/>
              <a:gd name="connsiteX37" fmla="*/ 1014942 w 1014942"/>
              <a:gd name="connsiteY37" fmla="*/ 507471 h 1014942"/>
              <a:gd name="connsiteX38" fmla="*/ 507471 w 1014942"/>
              <a:gd name="connsiteY38" fmla="*/ 1014942 h 1014942"/>
              <a:gd name="connsiteX39" fmla="*/ 0 w 1014942"/>
              <a:gd name="connsiteY39" fmla="*/ 507471 h 1014942"/>
              <a:gd name="connsiteX40" fmla="*/ 507471 w 1014942"/>
              <a:gd name="connsiteY40" fmla="*/ 0 h 1014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1014942" h="1014942">
                <a:moveTo>
                  <a:pt x="529764" y="520172"/>
                </a:moveTo>
                <a:cubicBezTo>
                  <a:pt x="547623" y="525330"/>
                  <a:pt x="560421" y="532772"/>
                  <a:pt x="568161" y="542495"/>
                </a:cubicBezTo>
                <a:cubicBezTo>
                  <a:pt x="576099" y="552021"/>
                  <a:pt x="580067" y="563429"/>
                  <a:pt x="580067" y="576724"/>
                </a:cubicBezTo>
                <a:cubicBezTo>
                  <a:pt x="580067" y="591607"/>
                  <a:pt x="575405" y="604606"/>
                  <a:pt x="566077" y="615719"/>
                </a:cubicBezTo>
                <a:cubicBezTo>
                  <a:pt x="556750" y="626631"/>
                  <a:pt x="544646" y="633478"/>
                  <a:pt x="529764" y="636257"/>
                </a:cubicBezTo>
                <a:close/>
                <a:moveTo>
                  <a:pt x="486603" y="319551"/>
                </a:moveTo>
                <a:lnTo>
                  <a:pt x="486603" y="422540"/>
                </a:lnTo>
                <a:cubicBezTo>
                  <a:pt x="473705" y="416985"/>
                  <a:pt x="464082" y="409742"/>
                  <a:pt x="457731" y="400810"/>
                </a:cubicBezTo>
                <a:cubicBezTo>
                  <a:pt x="451381" y="391684"/>
                  <a:pt x="448206" y="381860"/>
                  <a:pt x="448206" y="371344"/>
                </a:cubicBezTo>
                <a:cubicBezTo>
                  <a:pt x="448206" y="359835"/>
                  <a:pt x="451680" y="349316"/>
                  <a:pt x="458624" y="339790"/>
                </a:cubicBezTo>
                <a:cubicBezTo>
                  <a:pt x="465569" y="330264"/>
                  <a:pt x="474896" y="323518"/>
                  <a:pt x="486603" y="319551"/>
                </a:cubicBezTo>
                <a:close/>
                <a:moveTo>
                  <a:pt x="486603" y="225195"/>
                </a:moveTo>
                <a:lnTo>
                  <a:pt x="486603" y="254661"/>
                </a:lnTo>
                <a:cubicBezTo>
                  <a:pt x="452472" y="258034"/>
                  <a:pt x="425087" y="270835"/>
                  <a:pt x="404451" y="293058"/>
                </a:cubicBezTo>
                <a:cubicBezTo>
                  <a:pt x="384011" y="315087"/>
                  <a:pt x="373794" y="342371"/>
                  <a:pt x="373794" y="374915"/>
                </a:cubicBezTo>
                <a:cubicBezTo>
                  <a:pt x="373794" y="407060"/>
                  <a:pt x="382823" y="434445"/>
                  <a:pt x="400880" y="457067"/>
                </a:cubicBezTo>
                <a:cubicBezTo>
                  <a:pt x="419136" y="479492"/>
                  <a:pt x="447709" y="496260"/>
                  <a:pt x="486603" y="507370"/>
                </a:cubicBezTo>
                <a:lnTo>
                  <a:pt x="486603" y="632088"/>
                </a:lnTo>
                <a:cubicBezTo>
                  <a:pt x="475886" y="626930"/>
                  <a:pt x="466166" y="618596"/>
                  <a:pt x="457433" y="607087"/>
                </a:cubicBezTo>
                <a:cubicBezTo>
                  <a:pt x="448703" y="595577"/>
                  <a:pt x="442748" y="581883"/>
                  <a:pt x="439573" y="566011"/>
                </a:cubicBezTo>
                <a:lnTo>
                  <a:pt x="361885" y="574344"/>
                </a:lnTo>
                <a:cubicBezTo>
                  <a:pt x="367839" y="613437"/>
                  <a:pt x="381530" y="643698"/>
                  <a:pt x="402961" y="665129"/>
                </a:cubicBezTo>
                <a:cubicBezTo>
                  <a:pt x="424392" y="686560"/>
                  <a:pt x="452274" y="699358"/>
                  <a:pt x="486603" y="703527"/>
                </a:cubicBezTo>
                <a:lnTo>
                  <a:pt x="486603" y="757700"/>
                </a:lnTo>
                <a:lnTo>
                  <a:pt x="529764" y="757700"/>
                </a:lnTo>
                <a:lnTo>
                  <a:pt x="529764" y="702036"/>
                </a:lnTo>
                <a:cubicBezTo>
                  <a:pt x="568460" y="696482"/>
                  <a:pt x="598621" y="681401"/>
                  <a:pt x="620250" y="656795"/>
                </a:cubicBezTo>
                <a:cubicBezTo>
                  <a:pt x="642080" y="632189"/>
                  <a:pt x="652992" y="601928"/>
                  <a:pt x="652992" y="566011"/>
                </a:cubicBezTo>
                <a:cubicBezTo>
                  <a:pt x="652992" y="533862"/>
                  <a:pt x="644363" y="507568"/>
                  <a:pt x="627097" y="487131"/>
                </a:cubicBezTo>
                <a:cubicBezTo>
                  <a:pt x="609832" y="466492"/>
                  <a:pt x="577388" y="449727"/>
                  <a:pt x="529764" y="436828"/>
                </a:cubicBezTo>
                <a:lnTo>
                  <a:pt x="529764" y="320444"/>
                </a:lnTo>
                <a:cubicBezTo>
                  <a:pt x="549013" y="328778"/>
                  <a:pt x="560918" y="344653"/>
                  <a:pt x="565483" y="368068"/>
                </a:cubicBezTo>
                <a:lnTo>
                  <a:pt x="640788" y="358247"/>
                </a:lnTo>
                <a:cubicBezTo>
                  <a:pt x="635629" y="328479"/>
                  <a:pt x="623724" y="304766"/>
                  <a:pt x="605072" y="287107"/>
                </a:cubicBezTo>
                <a:cubicBezTo>
                  <a:pt x="586417" y="269248"/>
                  <a:pt x="561314" y="258433"/>
                  <a:pt x="529764" y="254661"/>
                </a:cubicBezTo>
                <a:lnTo>
                  <a:pt x="529764" y="225195"/>
                </a:lnTo>
                <a:close/>
                <a:moveTo>
                  <a:pt x="507471" y="0"/>
                </a:moveTo>
                <a:cubicBezTo>
                  <a:pt x="787739" y="0"/>
                  <a:pt x="1014942" y="227203"/>
                  <a:pt x="1014942" y="507471"/>
                </a:cubicBezTo>
                <a:cubicBezTo>
                  <a:pt x="1014942" y="787739"/>
                  <a:pt x="787739" y="1014942"/>
                  <a:pt x="507471" y="1014942"/>
                </a:cubicBezTo>
                <a:cubicBezTo>
                  <a:pt x="227203" y="1014942"/>
                  <a:pt x="0" y="787739"/>
                  <a:pt x="0" y="507471"/>
                </a:cubicBezTo>
                <a:cubicBezTo>
                  <a:pt x="0" y="227203"/>
                  <a:pt x="227203" y="0"/>
                  <a:pt x="507471" y="0"/>
                </a:cubicBezTo>
                <a:close/>
              </a:path>
            </a:pathLst>
          </a:custGeom>
          <a:grpFill/>
          <a:ln w="17998"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8" name="Freeform: Shape 44">
            <a:extLst>
              <a:ext uri="{FF2B5EF4-FFF2-40B4-BE49-F238E27FC236}">
                <a16:creationId xmlns:a16="http://schemas.microsoft.com/office/drawing/2014/main" id="{00000000-0008-0000-0500-000026000000}"/>
              </a:ext>
            </a:extLst>
          </xdr:cNvPr>
          <xdr:cNvSpPr/>
        </xdr:nvSpPr>
        <xdr:spPr>
          <a:xfrm>
            <a:off x="3439631" y="1737986"/>
            <a:ext cx="305142" cy="2056672"/>
          </a:xfrm>
          <a:custGeom>
            <a:avLst/>
            <a:gdLst>
              <a:gd name="connsiteX0" fmla="*/ 294 w 274669"/>
              <a:gd name="connsiteY0" fmla="*/ 147 h 2056670"/>
              <a:gd name="connsiteX1" fmla="*/ 274963 w 274669"/>
              <a:gd name="connsiteY1" fmla="*/ 147 h 2056670"/>
              <a:gd name="connsiteX2" fmla="*/ 274963 w 274669"/>
              <a:gd name="connsiteY2" fmla="*/ 2056818 h 2056670"/>
              <a:gd name="connsiteX3" fmla="*/ 294 w 274669"/>
              <a:gd name="connsiteY3" fmla="*/ 2056818 h 2056670"/>
            </a:gdLst>
            <a:ahLst/>
            <a:cxnLst>
              <a:cxn ang="0">
                <a:pos x="connsiteX0" y="connsiteY0"/>
              </a:cxn>
              <a:cxn ang="0">
                <a:pos x="connsiteX1" y="connsiteY1"/>
              </a:cxn>
              <a:cxn ang="0">
                <a:pos x="connsiteX2" y="connsiteY2"/>
              </a:cxn>
              <a:cxn ang="0">
                <a:pos x="connsiteX3" y="connsiteY3"/>
              </a:cxn>
            </a:cxnLst>
            <a:rect l="l" t="t" r="r" b="b"/>
            <a:pathLst>
              <a:path w="274669" h="2056670">
                <a:moveTo>
                  <a:pt x="294" y="147"/>
                </a:moveTo>
                <a:lnTo>
                  <a:pt x="274963" y="147"/>
                </a:lnTo>
                <a:lnTo>
                  <a:pt x="274963" y="2056818"/>
                </a:lnTo>
                <a:lnTo>
                  <a:pt x="294" y="2056818"/>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9" name="Freeform: Shape 45">
            <a:extLst>
              <a:ext uri="{FF2B5EF4-FFF2-40B4-BE49-F238E27FC236}">
                <a16:creationId xmlns:a16="http://schemas.microsoft.com/office/drawing/2014/main" id="{00000000-0008-0000-0500-000027000000}"/>
              </a:ext>
            </a:extLst>
          </xdr:cNvPr>
          <xdr:cNvSpPr/>
        </xdr:nvSpPr>
        <xdr:spPr>
          <a:xfrm>
            <a:off x="2890307" y="2173441"/>
            <a:ext cx="305142" cy="1621217"/>
          </a:xfrm>
          <a:custGeom>
            <a:avLst/>
            <a:gdLst>
              <a:gd name="connsiteX0" fmla="*/ 252 w 281368"/>
              <a:gd name="connsiteY0" fmla="*/ 163 h 1621217"/>
              <a:gd name="connsiteX1" fmla="*/ 281621 w 281368"/>
              <a:gd name="connsiteY1" fmla="*/ 163 h 1621217"/>
              <a:gd name="connsiteX2" fmla="*/ 281621 w 281368"/>
              <a:gd name="connsiteY2" fmla="*/ 1621381 h 1621217"/>
              <a:gd name="connsiteX3" fmla="*/ 252 w 281368"/>
              <a:gd name="connsiteY3" fmla="*/ 1621381 h 1621217"/>
            </a:gdLst>
            <a:ahLst/>
            <a:cxnLst>
              <a:cxn ang="0">
                <a:pos x="connsiteX0" y="connsiteY0"/>
              </a:cxn>
              <a:cxn ang="0">
                <a:pos x="connsiteX1" y="connsiteY1"/>
              </a:cxn>
              <a:cxn ang="0">
                <a:pos x="connsiteX2" y="connsiteY2"/>
              </a:cxn>
              <a:cxn ang="0">
                <a:pos x="connsiteX3" y="connsiteY3"/>
              </a:cxn>
            </a:cxnLst>
            <a:rect l="l" t="t" r="r" b="b"/>
            <a:pathLst>
              <a:path w="281368" h="1621217">
                <a:moveTo>
                  <a:pt x="252" y="163"/>
                </a:moveTo>
                <a:lnTo>
                  <a:pt x="281621" y="163"/>
                </a:lnTo>
                <a:lnTo>
                  <a:pt x="281621" y="1621381"/>
                </a:lnTo>
                <a:lnTo>
                  <a:pt x="252" y="1621381"/>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0" name="Freeform: Shape 46">
            <a:extLst>
              <a:ext uri="{FF2B5EF4-FFF2-40B4-BE49-F238E27FC236}">
                <a16:creationId xmlns:a16="http://schemas.microsoft.com/office/drawing/2014/main" id="{00000000-0008-0000-0500-000028000000}"/>
              </a:ext>
            </a:extLst>
          </xdr:cNvPr>
          <xdr:cNvSpPr/>
        </xdr:nvSpPr>
        <xdr:spPr>
          <a:xfrm>
            <a:off x="2354373" y="2736176"/>
            <a:ext cx="305142" cy="1058482"/>
          </a:xfrm>
          <a:custGeom>
            <a:avLst/>
            <a:gdLst>
              <a:gd name="connsiteX0" fmla="*/ 211 w 281368"/>
              <a:gd name="connsiteY0" fmla="*/ 184 h 1058483"/>
              <a:gd name="connsiteX1" fmla="*/ 281580 w 281368"/>
              <a:gd name="connsiteY1" fmla="*/ 184 h 1058483"/>
              <a:gd name="connsiteX2" fmla="*/ 281580 w 281368"/>
              <a:gd name="connsiteY2" fmla="*/ 1058668 h 1058483"/>
              <a:gd name="connsiteX3" fmla="*/ 211 w 281368"/>
              <a:gd name="connsiteY3" fmla="*/ 1058668 h 1058483"/>
            </a:gdLst>
            <a:ahLst/>
            <a:cxnLst>
              <a:cxn ang="0">
                <a:pos x="connsiteX0" y="connsiteY0"/>
              </a:cxn>
              <a:cxn ang="0">
                <a:pos x="connsiteX1" y="connsiteY1"/>
              </a:cxn>
              <a:cxn ang="0">
                <a:pos x="connsiteX2" y="connsiteY2"/>
              </a:cxn>
              <a:cxn ang="0">
                <a:pos x="connsiteX3" y="connsiteY3"/>
              </a:cxn>
            </a:cxnLst>
            <a:rect l="l" t="t" r="r" b="b"/>
            <a:pathLst>
              <a:path w="281368" h="1058483">
                <a:moveTo>
                  <a:pt x="211" y="184"/>
                </a:moveTo>
                <a:lnTo>
                  <a:pt x="281580" y="184"/>
                </a:lnTo>
                <a:lnTo>
                  <a:pt x="281580" y="1058668"/>
                </a:lnTo>
                <a:lnTo>
                  <a:pt x="211" y="1058668"/>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1" name="Freeform: Shape 47">
            <a:extLst>
              <a:ext uri="{FF2B5EF4-FFF2-40B4-BE49-F238E27FC236}">
                <a16:creationId xmlns:a16="http://schemas.microsoft.com/office/drawing/2014/main" id="{00000000-0008-0000-0500-000029000000}"/>
              </a:ext>
            </a:extLst>
          </xdr:cNvPr>
          <xdr:cNvSpPr/>
        </xdr:nvSpPr>
        <xdr:spPr>
          <a:xfrm>
            <a:off x="1844938" y="3097384"/>
            <a:ext cx="305142" cy="697274"/>
          </a:xfrm>
          <a:custGeom>
            <a:avLst/>
            <a:gdLst>
              <a:gd name="connsiteX0" fmla="*/ 171 w 275221"/>
              <a:gd name="connsiteY0" fmla="*/ 197 h 697273"/>
              <a:gd name="connsiteX1" fmla="*/ 275393 w 275221"/>
              <a:gd name="connsiteY1" fmla="*/ 197 h 697273"/>
              <a:gd name="connsiteX2" fmla="*/ 275393 w 275221"/>
              <a:gd name="connsiteY2" fmla="*/ 697471 h 697273"/>
              <a:gd name="connsiteX3" fmla="*/ 171 w 275221"/>
              <a:gd name="connsiteY3" fmla="*/ 697471 h 697273"/>
            </a:gdLst>
            <a:ahLst/>
            <a:cxnLst>
              <a:cxn ang="0">
                <a:pos x="connsiteX0" y="connsiteY0"/>
              </a:cxn>
              <a:cxn ang="0">
                <a:pos x="connsiteX1" y="connsiteY1"/>
              </a:cxn>
              <a:cxn ang="0">
                <a:pos x="connsiteX2" y="connsiteY2"/>
              </a:cxn>
              <a:cxn ang="0">
                <a:pos x="connsiteX3" y="connsiteY3"/>
              </a:cxn>
            </a:cxnLst>
            <a:rect l="l" t="t" r="r" b="b"/>
            <a:pathLst>
              <a:path w="275221" h="697273">
                <a:moveTo>
                  <a:pt x="171" y="197"/>
                </a:moveTo>
                <a:lnTo>
                  <a:pt x="275393" y="197"/>
                </a:lnTo>
                <a:lnTo>
                  <a:pt x="275393" y="697471"/>
                </a:lnTo>
                <a:lnTo>
                  <a:pt x="171" y="697471"/>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grpSp>
    <xdr:clientData/>
  </xdr:twoCellAnchor>
  <xdr:twoCellAnchor>
    <xdr:from>
      <xdr:col>18</xdr:col>
      <xdr:colOff>309657</xdr:colOff>
      <xdr:row>13</xdr:row>
      <xdr:rowOff>74061</xdr:rowOff>
    </xdr:from>
    <xdr:to>
      <xdr:col>21</xdr:col>
      <xdr:colOff>612746</xdr:colOff>
      <xdr:row>21</xdr:row>
      <xdr:rowOff>163922</xdr:rowOff>
    </xdr:to>
    <xdr:grpSp>
      <xdr:nvGrpSpPr>
        <xdr:cNvPr id="42" name="Group 41">
          <a:extLst>
            <a:ext uri="{FF2B5EF4-FFF2-40B4-BE49-F238E27FC236}">
              <a16:creationId xmlns:a16="http://schemas.microsoft.com/office/drawing/2014/main" id="{00000000-0008-0000-0500-00002A000000}"/>
            </a:ext>
          </a:extLst>
        </xdr:cNvPr>
        <xdr:cNvGrpSpPr/>
      </xdr:nvGrpSpPr>
      <xdr:grpSpPr>
        <a:xfrm>
          <a:off x="15168657" y="2633111"/>
          <a:ext cx="2779589" cy="1664661"/>
          <a:chOff x="6684884" y="1133961"/>
          <a:chExt cx="4632942" cy="2991773"/>
        </a:xfrm>
        <a:effectLst>
          <a:outerShdw blurRad="50800" dist="38100" dir="2700000" algn="tl" rotWithShape="0">
            <a:prstClr val="black">
              <a:alpha val="40000"/>
            </a:prstClr>
          </a:outerShdw>
        </a:effectLst>
      </xdr:grpSpPr>
      <xdr:sp macro="" textlink="">
        <xdr:nvSpPr>
          <xdr:cNvPr id="43" name="Rectangle: Rounded Corners 49">
            <a:extLst>
              <a:ext uri="{FF2B5EF4-FFF2-40B4-BE49-F238E27FC236}">
                <a16:creationId xmlns:a16="http://schemas.microsoft.com/office/drawing/2014/main" id="{00000000-0008-0000-0500-00002B000000}"/>
              </a:ext>
            </a:extLst>
          </xdr:cNvPr>
          <xdr:cNvSpPr/>
        </xdr:nvSpPr>
        <xdr:spPr>
          <a:xfrm>
            <a:off x="6684884" y="1133961"/>
            <a:ext cx="4632942" cy="2991773"/>
          </a:xfrm>
          <a:prstGeom prst="roundRect">
            <a:avLst>
              <a:gd name="adj" fmla="val 6897"/>
            </a:avLst>
          </a:prstGeom>
          <a:gradFill flip="none" rotWithShape="1">
            <a:gsLst>
              <a:gs pos="77000">
                <a:srgbClr val="2D3540"/>
              </a:gs>
              <a:gs pos="0">
                <a:srgbClr val="4472C4">
                  <a:lumMod val="30000"/>
                  <a:lumOff val="70000"/>
                </a:srgbClr>
              </a:gs>
            </a:gsLst>
            <a:path path="circle">
              <a:fillToRect l="100000" b="100000"/>
            </a:path>
            <a:tileRect t="-100000" r="-100000"/>
          </a:gradFill>
          <a:ln w="12700" cap="flat" cmpd="sng" algn="ctr">
            <a:solidFill>
              <a:srgbClr val="4472C4">
                <a:shade val="15000"/>
              </a:srgbClr>
            </a:solid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nvGrpSpPr>
          <xdr:cNvPr id="44" name="Group 43">
            <a:extLst>
              <a:ext uri="{FF2B5EF4-FFF2-40B4-BE49-F238E27FC236}">
                <a16:creationId xmlns:a16="http://schemas.microsoft.com/office/drawing/2014/main" id="{00000000-0008-0000-0500-00002C000000}"/>
              </a:ext>
            </a:extLst>
          </xdr:cNvPr>
          <xdr:cNvGrpSpPr/>
        </xdr:nvGrpSpPr>
        <xdr:grpSpPr>
          <a:xfrm>
            <a:off x="7138979" y="2378947"/>
            <a:ext cx="710550" cy="501799"/>
            <a:chOff x="2716066" y="2011251"/>
            <a:chExt cx="710550" cy="501799"/>
          </a:xfrm>
          <a:solidFill>
            <a:srgbClr val="FBF1BD"/>
          </a:solidFill>
        </xdr:grpSpPr>
        <xdr:sp macro="" textlink="">
          <xdr:nvSpPr>
            <xdr:cNvPr id="48" name="Freeform: Shape 54">
              <a:extLst>
                <a:ext uri="{FF2B5EF4-FFF2-40B4-BE49-F238E27FC236}">
                  <a16:creationId xmlns:a16="http://schemas.microsoft.com/office/drawing/2014/main" id="{00000000-0008-0000-0500-000030000000}"/>
                </a:ext>
              </a:extLst>
            </xdr:cNvPr>
            <xdr:cNvSpPr/>
          </xdr:nvSpPr>
          <xdr:spPr>
            <a:xfrm>
              <a:off x="2716066" y="2011251"/>
              <a:ext cx="710548" cy="102310"/>
            </a:xfrm>
            <a:custGeom>
              <a:avLst/>
              <a:gdLst>
                <a:gd name="connsiteX0" fmla="*/ 80328 w 710548"/>
                <a:gd name="connsiteY0" fmla="*/ 0 h 102310"/>
                <a:gd name="connsiteX1" fmla="*/ 630220 w 710548"/>
                <a:gd name="connsiteY1" fmla="*/ 0 h 102310"/>
                <a:gd name="connsiteX2" fmla="*/ 710548 w 710548"/>
                <a:gd name="connsiteY2" fmla="*/ 80328 h 102310"/>
                <a:gd name="connsiteX3" fmla="*/ 710548 w 710548"/>
                <a:gd name="connsiteY3" fmla="*/ 102310 h 102310"/>
                <a:gd name="connsiteX4" fmla="*/ 426341 w 710548"/>
                <a:gd name="connsiteY4" fmla="*/ 102310 h 102310"/>
                <a:gd name="connsiteX5" fmla="*/ 417706 w 710548"/>
                <a:gd name="connsiteY5" fmla="*/ 89503 h 102310"/>
                <a:gd name="connsiteX6" fmla="*/ 379637 w 710548"/>
                <a:gd name="connsiteY6" fmla="*/ 73734 h 102310"/>
                <a:gd name="connsiteX7" fmla="*/ 330912 w 710548"/>
                <a:gd name="connsiteY7" fmla="*/ 73734 h 102310"/>
                <a:gd name="connsiteX8" fmla="*/ 292843 w 710548"/>
                <a:gd name="connsiteY8" fmla="*/ 89503 h 102310"/>
                <a:gd name="connsiteX9" fmla="*/ 284208 w 710548"/>
                <a:gd name="connsiteY9" fmla="*/ 102310 h 102310"/>
                <a:gd name="connsiteX10" fmla="*/ 0 w 710548"/>
                <a:gd name="connsiteY10" fmla="*/ 102310 h 102310"/>
                <a:gd name="connsiteX11" fmla="*/ 0 w 710548"/>
                <a:gd name="connsiteY11" fmla="*/ 80328 h 102310"/>
                <a:gd name="connsiteX12" fmla="*/ 80328 w 710548"/>
                <a:gd name="connsiteY12" fmla="*/ 0 h 10231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710548" h="102310">
                  <a:moveTo>
                    <a:pt x="80328" y="0"/>
                  </a:moveTo>
                  <a:lnTo>
                    <a:pt x="630220" y="0"/>
                  </a:lnTo>
                  <a:cubicBezTo>
                    <a:pt x="674584" y="0"/>
                    <a:pt x="710548" y="35964"/>
                    <a:pt x="710548" y="80328"/>
                  </a:cubicBezTo>
                  <a:lnTo>
                    <a:pt x="710548" y="102310"/>
                  </a:lnTo>
                  <a:lnTo>
                    <a:pt x="426341" y="102310"/>
                  </a:lnTo>
                  <a:lnTo>
                    <a:pt x="417706" y="89503"/>
                  </a:lnTo>
                  <a:cubicBezTo>
                    <a:pt x="407964" y="79760"/>
                    <a:pt x="394504" y="73734"/>
                    <a:pt x="379637" y="73734"/>
                  </a:cubicBezTo>
                  <a:lnTo>
                    <a:pt x="330912" y="73734"/>
                  </a:lnTo>
                  <a:cubicBezTo>
                    <a:pt x="316045" y="73734"/>
                    <a:pt x="302586" y="79760"/>
                    <a:pt x="292843" y="89503"/>
                  </a:cubicBezTo>
                  <a:lnTo>
                    <a:pt x="284208" y="102310"/>
                  </a:lnTo>
                  <a:lnTo>
                    <a:pt x="0" y="102310"/>
                  </a:lnTo>
                  <a:lnTo>
                    <a:pt x="0" y="80328"/>
                  </a:lnTo>
                  <a:cubicBezTo>
                    <a:pt x="0" y="35964"/>
                    <a:pt x="35964" y="0"/>
                    <a:pt x="80328" y="0"/>
                  </a:cubicBez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49" name="Freeform: Shape 55">
              <a:extLst>
                <a:ext uri="{FF2B5EF4-FFF2-40B4-BE49-F238E27FC236}">
                  <a16:creationId xmlns:a16="http://schemas.microsoft.com/office/drawing/2014/main" id="{00000000-0008-0000-0500-000031000000}"/>
                </a:ext>
              </a:extLst>
            </xdr:cNvPr>
            <xdr:cNvSpPr/>
          </xdr:nvSpPr>
          <xdr:spPr>
            <a:xfrm>
              <a:off x="2716066" y="2410739"/>
              <a:ext cx="710548" cy="102311"/>
            </a:xfrm>
            <a:custGeom>
              <a:avLst/>
              <a:gdLst>
                <a:gd name="connsiteX0" fmla="*/ 0 w 710548"/>
                <a:gd name="connsiteY0" fmla="*/ 0 h 102311"/>
                <a:gd name="connsiteX1" fmla="*/ 284208 w 710548"/>
                <a:gd name="connsiteY1" fmla="*/ 0 h 102311"/>
                <a:gd name="connsiteX2" fmla="*/ 292843 w 710548"/>
                <a:gd name="connsiteY2" fmla="*/ 12807 h 102311"/>
                <a:gd name="connsiteX3" fmla="*/ 330912 w 710548"/>
                <a:gd name="connsiteY3" fmla="*/ 28576 h 102311"/>
                <a:gd name="connsiteX4" fmla="*/ 379637 w 710548"/>
                <a:gd name="connsiteY4" fmla="*/ 28576 h 102311"/>
                <a:gd name="connsiteX5" fmla="*/ 417706 w 710548"/>
                <a:gd name="connsiteY5" fmla="*/ 12807 h 102311"/>
                <a:gd name="connsiteX6" fmla="*/ 426341 w 710548"/>
                <a:gd name="connsiteY6" fmla="*/ 0 h 102311"/>
                <a:gd name="connsiteX7" fmla="*/ 710548 w 710548"/>
                <a:gd name="connsiteY7" fmla="*/ 0 h 102311"/>
                <a:gd name="connsiteX8" fmla="*/ 710548 w 710548"/>
                <a:gd name="connsiteY8" fmla="*/ 21983 h 102311"/>
                <a:gd name="connsiteX9" fmla="*/ 630220 w 710548"/>
                <a:gd name="connsiteY9" fmla="*/ 102311 h 102311"/>
                <a:gd name="connsiteX10" fmla="*/ 80328 w 710548"/>
                <a:gd name="connsiteY10" fmla="*/ 102311 h 102311"/>
                <a:gd name="connsiteX11" fmla="*/ 0 w 710548"/>
                <a:gd name="connsiteY11" fmla="*/ 21983 h 102311"/>
                <a:gd name="connsiteX12" fmla="*/ 0 w 710548"/>
                <a:gd name="connsiteY12" fmla="*/ 0 h 10231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710548" h="102311">
                  <a:moveTo>
                    <a:pt x="0" y="0"/>
                  </a:moveTo>
                  <a:lnTo>
                    <a:pt x="284208" y="0"/>
                  </a:lnTo>
                  <a:lnTo>
                    <a:pt x="292843" y="12807"/>
                  </a:lnTo>
                  <a:cubicBezTo>
                    <a:pt x="302586" y="22550"/>
                    <a:pt x="316045" y="28576"/>
                    <a:pt x="330912" y="28576"/>
                  </a:cubicBezTo>
                  <a:lnTo>
                    <a:pt x="379637" y="28576"/>
                  </a:lnTo>
                  <a:cubicBezTo>
                    <a:pt x="394504" y="28576"/>
                    <a:pt x="407964" y="22550"/>
                    <a:pt x="417706" y="12807"/>
                  </a:cubicBezTo>
                  <a:lnTo>
                    <a:pt x="426341" y="0"/>
                  </a:lnTo>
                  <a:lnTo>
                    <a:pt x="710548" y="0"/>
                  </a:lnTo>
                  <a:lnTo>
                    <a:pt x="710548" y="21983"/>
                  </a:lnTo>
                  <a:cubicBezTo>
                    <a:pt x="710548" y="66347"/>
                    <a:pt x="674584" y="102311"/>
                    <a:pt x="630220" y="102311"/>
                  </a:cubicBezTo>
                  <a:lnTo>
                    <a:pt x="80328" y="102311"/>
                  </a:lnTo>
                  <a:cubicBezTo>
                    <a:pt x="35964" y="102311"/>
                    <a:pt x="0" y="66347"/>
                    <a:pt x="0" y="21983"/>
                  </a:cubicBezTo>
                  <a:lnTo>
                    <a:pt x="0"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0" name="Freeform: Shape 56">
              <a:extLst>
                <a:ext uri="{FF2B5EF4-FFF2-40B4-BE49-F238E27FC236}">
                  <a16:creationId xmlns:a16="http://schemas.microsoft.com/office/drawing/2014/main" id="{00000000-0008-0000-0500-000032000000}"/>
                </a:ext>
              </a:extLst>
            </xdr:cNvPr>
            <xdr:cNvSpPr/>
          </xdr:nvSpPr>
          <xdr:spPr>
            <a:xfrm>
              <a:off x="2716066" y="2113561"/>
              <a:ext cx="284208" cy="148588"/>
            </a:xfrm>
            <a:custGeom>
              <a:avLst/>
              <a:gdLst>
                <a:gd name="connsiteX0" fmla="*/ 0 w 284208"/>
                <a:gd name="connsiteY0" fmla="*/ 0 h 148588"/>
                <a:gd name="connsiteX1" fmla="*/ 284208 w 284208"/>
                <a:gd name="connsiteY1" fmla="*/ 0 h 148588"/>
                <a:gd name="connsiteX2" fmla="*/ 281305 w 284208"/>
                <a:gd name="connsiteY2" fmla="*/ 4306 h 148588"/>
                <a:gd name="connsiteX3" fmla="*/ 277074 w 284208"/>
                <a:gd name="connsiteY3" fmla="*/ 25262 h 148588"/>
                <a:gd name="connsiteX4" fmla="*/ 277074 w 284208"/>
                <a:gd name="connsiteY4" fmla="*/ 148588 h 148588"/>
                <a:gd name="connsiteX5" fmla="*/ 0 w 284208"/>
                <a:gd name="connsiteY5" fmla="*/ 148588 h 148588"/>
                <a:gd name="connsiteX6" fmla="*/ 0 w 284208"/>
                <a:gd name="connsiteY6" fmla="*/ 0 h 1485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8" h="148588">
                  <a:moveTo>
                    <a:pt x="0" y="0"/>
                  </a:moveTo>
                  <a:lnTo>
                    <a:pt x="284208" y="0"/>
                  </a:lnTo>
                  <a:lnTo>
                    <a:pt x="281305" y="4306"/>
                  </a:lnTo>
                  <a:cubicBezTo>
                    <a:pt x="278581" y="10747"/>
                    <a:pt x="277074" y="17829"/>
                    <a:pt x="277074" y="25262"/>
                  </a:cubicBezTo>
                  <a:lnTo>
                    <a:pt x="277074" y="148588"/>
                  </a:lnTo>
                  <a:lnTo>
                    <a:pt x="0" y="148588"/>
                  </a:lnTo>
                  <a:lnTo>
                    <a:pt x="0"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1" name="Freeform: Shape 57">
              <a:extLst>
                <a:ext uri="{FF2B5EF4-FFF2-40B4-BE49-F238E27FC236}">
                  <a16:creationId xmlns:a16="http://schemas.microsoft.com/office/drawing/2014/main" id="{00000000-0008-0000-0500-000033000000}"/>
                </a:ext>
              </a:extLst>
            </xdr:cNvPr>
            <xdr:cNvSpPr/>
          </xdr:nvSpPr>
          <xdr:spPr>
            <a:xfrm>
              <a:off x="3142409" y="2113561"/>
              <a:ext cx="284207" cy="148588"/>
            </a:xfrm>
            <a:custGeom>
              <a:avLst/>
              <a:gdLst>
                <a:gd name="connsiteX0" fmla="*/ 0 w 284207"/>
                <a:gd name="connsiteY0" fmla="*/ 0 h 148588"/>
                <a:gd name="connsiteX1" fmla="*/ 284207 w 284207"/>
                <a:gd name="connsiteY1" fmla="*/ 0 h 148588"/>
                <a:gd name="connsiteX2" fmla="*/ 284207 w 284207"/>
                <a:gd name="connsiteY2" fmla="*/ 148588 h 148588"/>
                <a:gd name="connsiteX3" fmla="*/ 7134 w 284207"/>
                <a:gd name="connsiteY3" fmla="*/ 148588 h 148588"/>
                <a:gd name="connsiteX4" fmla="*/ 7134 w 284207"/>
                <a:gd name="connsiteY4" fmla="*/ 25262 h 148588"/>
                <a:gd name="connsiteX5" fmla="*/ 2903 w 284207"/>
                <a:gd name="connsiteY5" fmla="*/ 4306 h 148588"/>
                <a:gd name="connsiteX6" fmla="*/ 0 w 284207"/>
                <a:gd name="connsiteY6" fmla="*/ 0 h 1485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7" h="148588">
                  <a:moveTo>
                    <a:pt x="0" y="0"/>
                  </a:moveTo>
                  <a:lnTo>
                    <a:pt x="284207" y="0"/>
                  </a:lnTo>
                  <a:lnTo>
                    <a:pt x="284207" y="148588"/>
                  </a:lnTo>
                  <a:lnTo>
                    <a:pt x="7134" y="148588"/>
                  </a:lnTo>
                  <a:lnTo>
                    <a:pt x="7134" y="25262"/>
                  </a:lnTo>
                  <a:cubicBezTo>
                    <a:pt x="7134" y="17829"/>
                    <a:pt x="5628" y="10747"/>
                    <a:pt x="2903" y="4306"/>
                  </a:cubicBezTo>
                  <a:lnTo>
                    <a:pt x="0"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2" name="Freeform: Shape 58">
              <a:extLst>
                <a:ext uri="{FF2B5EF4-FFF2-40B4-BE49-F238E27FC236}">
                  <a16:creationId xmlns:a16="http://schemas.microsoft.com/office/drawing/2014/main" id="{00000000-0008-0000-0500-000034000000}"/>
                </a:ext>
              </a:extLst>
            </xdr:cNvPr>
            <xdr:cNvSpPr/>
          </xdr:nvSpPr>
          <xdr:spPr>
            <a:xfrm>
              <a:off x="2716066" y="2262150"/>
              <a:ext cx="284208" cy="148589"/>
            </a:xfrm>
            <a:custGeom>
              <a:avLst/>
              <a:gdLst>
                <a:gd name="connsiteX0" fmla="*/ 0 w 284208"/>
                <a:gd name="connsiteY0" fmla="*/ 0 h 148589"/>
                <a:gd name="connsiteX1" fmla="*/ 277074 w 284208"/>
                <a:gd name="connsiteY1" fmla="*/ 0 h 148589"/>
                <a:gd name="connsiteX2" fmla="*/ 277074 w 284208"/>
                <a:gd name="connsiteY2" fmla="*/ 123327 h 148589"/>
                <a:gd name="connsiteX3" fmla="*/ 281305 w 284208"/>
                <a:gd name="connsiteY3" fmla="*/ 144283 h 148589"/>
                <a:gd name="connsiteX4" fmla="*/ 284208 w 284208"/>
                <a:gd name="connsiteY4" fmla="*/ 148589 h 148589"/>
                <a:gd name="connsiteX5" fmla="*/ 0 w 284208"/>
                <a:gd name="connsiteY5" fmla="*/ 148589 h 148589"/>
                <a:gd name="connsiteX6" fmla="*/ 0 w 284208"/>
                <a:gd name="connsiteY6" fmla="*/ 0 h 1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8" h="148589">
                  <a:moveTo>
                    <a:pt x="0" y="0"/>
                  </a:moveTo>
                  <a:lnTo>
                    <a:pt x="277074" y="0"/>
                  </a:lnTo>
                  <a:lnTo>
                    <a:pt x="277074" y="123327"/>
                  </a:lnTo>
                  <a:cubicBezTo>
                    <a:pt x="277074" y="130761"/>
                    <a:pt x="278581" y="137842"/>
                    <a:pt x="281305" y="144283"/>
                  </a:cubicBezTo>
                  <a:lnTo>
                    <a:pt x="284208" y="148589"/>
                  </a:lnTo>
                  <a:lnTo>
                    <a:pt x="0" y="148589"/>
                  </a:lnTo>
                  <a:lnTo>
                    <a:pt x="0" y="0"/>
                  </a:lnTo>
                  <a:close/>
                </a:path>
              </a:pathLst>
            </a:custGeom>
            <a:grpFill/>
            <a:ln w="6350" cap="flat" cmpd="sng" algn="ctr">
              <a:solidFill>
                <a:srgbClr val="4472C4">
                  <a:shade val="15000"/>
                </a:srgbClr>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3" name="Freeform: Shape 59">
              <a:extLst>
                <a:ext uri="{FF2B5EF4-FFF2-40B4-BE49-F238E27FC236}">
                  <a16:creationId xmlns:a16="http://schemas.microsoft.com/office/drawing/2014/main" id="{00000000-0008-0000-0500-000035000000}"/>
                </a:ext>
              </a:extLst>
            </xdr:cNvPr>
            <xdr:cNvSpPr/>
          </xdr:nvSpPr>
          <xdr:spPr>
            <a:xfrm>
              <a:off x="3142409" y="2262150"/>
              <a:ext cx="284207" cy="148589"/>
            </a:xfrm>
            <a:custGeom>
              <a:avLst/>
              <a:gdLst>
                <a:gd name="connsiteX0" fmla="*/ 7134 w 284207"/>
                <a:gd name="connsiteY0" fmla="*/ 0 h 148589"/>
                <a:gd name="connsiteX1" fmla="*/ 284207 w 284207"/>
                <a:gd name="connsiteY1" fmla="*/ 0 h 148589"/>
                <a:gd name="connsiteX2" fmla="*/ 284207 w 284207"/>
                <a:gd name="connsiteY2" fmla="*/ 148589 h 148589"/>
                <a:gd name="connsiteX3" fmla="*/ 0 w 284207"/>
                <a:gd name="connsiteY3" fmla="*/ 148589 h 148589"/>
                <a:gd name="connsiteX4" fmla="*/ 2903 w 284207"/>
                <a:gd name="connsiteY4" fmla="*/ 144283 h 148589"/>
                <a:gd name="connsiteX5" fmla="*/ 7134 w 284207"/>
                <a:gd name="connsiteY5" fmla="*/ 123327 h 148589"/>
                <a:gd name="connsiteX6" fmla="*/ 7134 w 284207"/>
                <a:gd name="connsiteY6" fmla="*/ 0 h 1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7" h="148589">
                  <a:moveTo>
                    <a:pt x="7134" y="0"/>
                  </a:moveTo>
                  <a:lnTo>
                    <a:pt x="284207" y="0"/>
                  </a:lnTo>
                  <a:lnTo>
                    <a:pt x="284207" y="148589"/>
                  </a:lnTo>
                  <a:lnTo>
                    <a:pt x="0" y="148589"/>
                  </a:lnTo>
                  <a:lnTo>
                    <a:pt x="2903" y="144283"/>
                  </a:lnTo>
                  <a:cubicBezTo>
                    <a:pt x="5628" y="137842"/>
                    <a:pt x="7134" y="130761"/>
                    <a:pt x="7134" y="123327"/>
                  </a:cubicBezTo>
                  <a:lnTo>
                    <a:pt x="7134"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4" name="Rectangle: Rounded Corners 60">
              <a:extLst>
                <a:ext uri="{FF2B5EF4-FFF2-40B4-BE49-F238E27FC236}">
                  <a16:creationId xmlns:a16="http://schemas.microsoft.com/office/drawing/2014/main" id="{00000000-0008-0000-0500-000036000000}"/>
                </a:ext>
              </a:extLst>
            </xdr:cNvPr>
            <xdr:cNvSpPr/>
          </xdr:nvSpPr>
          <xdr:spPr>
            <a:xfrm>
              <a:off x="2993139" y="2084984"/>
              <a:ext cx="156401" cy="354330"/>
            </a:xfrm>
            <a:prstGeom prst="roundRect">
              <a:avLst>
                <a:gd name="adj" fmla="val 34423"/>
              </a:avLst>
            </a:prstGeom>
            <a:grpFill/>
            <a:ln w="6350" cap="flat" cmpd="sng" algn="ctr">
              <a:solidFill>
                <a:sysClr val="windowText" lastClr="000000"/>
              </a:solid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sp macro="" textlink="">
        <xdr:nvSpPr>
          <xdr:cNvPr id="45" name="Oval 44">
            <a:extLst>
              <a:ext uri="{FF2B5EF4-FFF2-40B4-BE49-F238E27FC236}">
                <a16:creationId xmlns:a16="http://schemas.microsoft.com/office/drawing/2014/main" id="{00000000-0008-0000-0500-00002D000000}"/>
              </a:ext>
            </a:extLst>
          </xdr:cNvPr>
          <xdr:cNvSpPr/>
        </xdr:nvSpPr>
        <xdr:spPr>
          <a:xfrm>
            <a:off x="10163787" y="1535610"/>
            <a:ext cx="504000" cy="504000"/>
          </a:xfrm>
          <a:prstGeom prst="ellipse">
            <a:avLst/>
          </a:prstGeom>
          <a:solidFill>
            <a:srgbClr val="FF0000"/>
          </a:solidFill>
          <a:ln w="12700" cap="flat" cmpd="sng" algn="ctr">
            <a:no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46" name="Oval 45">
            <a:extLst>
              <a:ext uri="{FF2B5EF4-FFF2-40B4-BE49-F238E27FC236}">
                <a16:creationId xmlns:a16="http://schemas.microsoft.com/office/drawing/2014/main" id="{00000000-0008-0000-0500-00002E000000}"/>
              </a:ext>
            </a:extLst>
          </xdr:cNvPr>
          <xdr:cNvSpPr/>
        </xdr:nvSpPr>
        <xdr:spPr>
          <a:xfrm>
            <a:off x="10414983" y="1535610"/>
            <a:ext cx="505609" cy="504000"/>
          </a:xfrm>
          <a:prstGeom prst="ellipse">
            <a:avLst/>
          </a:prstGeom>
          <a:solidFill>
            <a:srgbClr val="FFC000"/>
          </a:solidFill>
          <a:ln w="12700" cap="flat" cmpd="sng" algn="ctr">
            <a:no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47" name="TextBox 55">
            <a:extLst>
              <a:ext uri="{FF2B5EF4-FFF2-40B4-BE49-F238E27FC236}">
                <a16:creationId xmlns:a16="http://schemas.microsoft.com/office/drawing/2014/main" id="{00000000-0008-0000-0500-00002F000000}"/>
              </a:ext>
            </a:extLst>
          </xdr:cNvPr>
          <xdr:cNvSpPr txBox="1"/>
        </xdr:nvSpPr>
        <xdr:spPr>
          <a:xfrm>
            <a:off x="7227366" y="3183940"/>
            <a:ext cx="3547978" cy="708003"/>
          </a:xfrm>
          <a:prstGeom prst="rect">
            <a:avLst/>
          </a:prstGeom>
          <a:noFill/>
        </xdr:spPr>
        <xdr:txBody>
          <a:bodyPr wrap="square" rtlCol="0">
            <a:sp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ysClr val="window" lastClr="FFFFFF"/>
                </a:solidFill>
                <a:effectLst/>
                <a:uLnTx/>
                <a:uFillTx/>
                <a:latin typeface="Calibri" panose="020F0502020204030204"/>
                <a:ea typeface="+mn-ea"/>
                <a:cs typeface="+mn-cs"/>
              </a:rPr>
              <a:t>1234 …. …. 5678</a:t>
            </a: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19</xdr:col>
      <xdr:colOff>361656</xdr:colOff>
      <xdr:row>22</xdr:row>
      <xdr:rowOff>897</xdr:rowOff>
    </xdr:from>
    <xdr:to>
      <xdr:col>21</xdr:col>
      <xdr:colOff>460346</xdr:colOff>
      <xdr:row>25</xdr:row>
      <xdr:rowOff>34963</xdr:rowOff>
    </xdr:to>
    <xdr:sp macro="" textlink="Processing!M1">
      <xdr:nvSpPr>
        <xdr:cNvPr id="55" name="TextBox 54">
          <a:extLst>
            <a:ext uri="{FF2B5EF4-FFF2-40B4-BE49-F238E27FC236}">
              <a16:creationId xmlns:a16="http://schemas.microsoft.com/office/drawing/2014/main" id="{00000000-0008-0000-0500-000037000000}"/>
            </a:ext>
          </a:extLst>
        </xdr:cNvPr>
        <xdr:cNvSpPr txBox="1"/>
      </xdr:nvSpPr>
      <xdr:spPr>
        <a:xfrm>
          <a:off x="16046156" y="4471297"/>
          <a:ext cx="1749690" cy="643666"/>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12E8BD24-430D-1142-A14B-FFAA18AD39FB}" type="TxLink">
            <a:rPr kumimoji="0" lang="en-US" sz="1800" b="0" i="0" u="none" strike="noStrike" kern="0" cap="none" spc="0" normalizeH="0" baseline="0" noProof="0">
              <a:ln>
                <a:noFill/>
              </a:ln>
              <a:solidFill>
                <a:srgbClr val="BFCDE4"/>
              </a:soli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Sum of Balance</a:t>
          </a:fld>
          <a:endParaRPr kumimoji="0" lang="ru-RU" sz="1800" b="0" i="0" u="none" strike="noStrike" kern="0" cap="none" spc="0" normalizeH="0" baseline="0" noProof="0">
            <a:ln>
              <a:noFill/>
            </a:ln>
            <a:solidFill>
              <a:srgbClr val="BFCDE4"/>
            </a:solidFill>
            <a:effectLst/>
            <a:uLnTx/>
            <a:uFillTx/>
            <a:latin typeface="Calibri"/>
            <a:ea typeface="+mn-ea"/>
            <a:cs typeface="Calibri"/>
          </a:endParaRPr>
        </a:p>
      </xdr:txBody>
    </xdr:sp>
    <xdr:clientData/>
  </xdr:twoCellAnchor>
  <xdr:twoCellAnchor>
    <xdr:from>
      <xdr:col>18</xdr:col>
      <xdr:colOff>157257</xdr:colOff>
      <xdr:row>22</xdr:row>
      <xdr:rowOff>897</xdr:rowOff>
    </xdr:from>
    <xdr:to>
      <xdr:col>20</xdr:col>
      <xdr:colOff>193195</xdr:colOff>
      <xdr:row>25</xdr:row>
      <xdr:rowOff>34963</xdr:rowOff>
    </xdr:to>
    <xdr:sp macro="" textlink="Processing!L1">
      <xdr:nvSpPr>
        <xdr:cNvPr id="56" name="TextBox 55">
          <a:extLst>
            <a:ext uri="{FF2B5EF4-FFF2-40B4-BE49-F238E27FC236}">
              <a16:creationId xmlns:a16="http://schemas.microsoft.com/office/drawing/2014/main" id="{00000000-0008-0000-0500-000038000000}"/>
            </a:ext>
          </a:extLst>
        </xdr:cNvPr>
        <xdr:cNvSpPr txBox="1"/>
      </xdr:nvSpPr>
      <xdr:spPr>
        <a:xfrm>
          <a:off x="15016257" y="4471297"/>
          <a:ext cx="1686938"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A6087C40-D493-614E-B5AA-6F5E94A0F155}" type="TxLink">
            <a:rPr kumimoji="0" lang="en-US" sz="1800" b="0" i="0" u="none" strike="noStrike" kern="0" cap="none" spc="0" normalizeH="0" baseline="0" noProof="0">
              <a:ln>
                <a:noFill/>
              </a:ln>
              <a:solidFill>
                <a:srgbClr val="BFCDE4"/>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Balance:</a:t>
          </a:fld>
          <a:endParaRPr kumimoji="0" lang="ru-RU" sz="1800" b="0" i="0" u="none" strike="noStrike" kern="0" cap="none" spc="0" normalizeH="0" baseline="0" noProof="0">
            <a:ln>
              <a:noFill/>
            </a:ln>
            <a:solidFill>
              <a:srgbClr val="BFCDE4"/>
            </a:solidFill>
            <a:effectLst/>
            <a:uLnTx/>
            <a:uFillTx/>
            <a:latin typeface="Calibri"/>
            <a:ea typeface="+mn-ea"/>
            <a:cs typeface="Calibri"/>
          </a:endParaRPr>
        </a:p>
      </xdr:txBody>
    </xdr:sp>
    <xdr:clientData/>
  </xdr:twoCellAnchor>
  <xdr:twoCellAnchor>
    <xdr:from>
      <xdr:col>17</xdr:col>
      <xdr:colOff>648963</xdr:colOff>
      <xdr:row>27</xdr:row>
      <xdr:rowOff>159270</xdr:rowOff>
    </xdr:from>
    <xdr:to>
      <xdr:col>19</xdr:col>
      <xdr:colOff>747654</xdr:colOff>
      <xdr:row>30</xdr:row>
      <xdr:rowOff>193336</xdr:rowOff>
    </xdr:to>
    <xdr:sp macro="" textlink="Processing!G1">
      <xdr:nvSpPr>
        <xdr:cNvPr id="57" name="TextBox 56">
          <a:extLst>
            <a:ext uri="{FF2B5EF4-FFF2-40B4-BE49-F238E27FC236}">
              <a16:creationId xmlns:a16="http://schemas.microsoft.com/office/drawing/2014/main" id="{00000000-0008-0000-0500-000039000000}"/>
            </a:ext>
          </a:extLst>
        </xdr:cNvPr>
        <xdr:cNvSpPr txBox="1"/>
      </xdr:nvSpPr>
      <xdr:spPr>
        <a:xfrm>
          <a:off x="14682463" y="5645670"/>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E290C1E9-D0AA-4C4F-A5D0-B4A8D7B47A4A}"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Calendar</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18</xdr:col>
      <xdr:colOff>40344</xdr:colOff>
      <xdr:row>30</xdr:row>
      <xdr:rowOff>158378</xdr:rowOff>
    </xdr:from>
    <xdr:to>
      <xdr:col>21</xdr:col>
      <xdr:colOff>586858</xdr:colOff>
      <xdr:row>32</xdr:row>
      <xdr:rowOff>14568</xdr:rowOff>
    </xdr:to>
    <xdr:sp macro="" textlink="">
      <xdr:nvSpPr>
        <xdr:cNvPr id="59" name="TextBox 58">
          <a:extLst>
            <a:ext uri="{FF2B5EF4-FFF2-40B4-BE49-F238E27FC236}">
              <a16:creationId xmlns:a16="http://schemas.microsoft.com/office/drawing/2014/main" id="{00000000-0008-0000-0500-00003B000000}"/>
            </a:ext>
          </a:extLst>
        </xdr:cNvPr>
        <xdr:cNvSpPr txBox="1"/>
      </xdr:nvSpPr>
      <xdr:spPr>
        <a:xfrm>
          <a:off x="14899344" y="6254378"/>
          <a:ext cx="3023014" cy="262590"/>
        </a:xfrm>
        <a:prstGeom prst="rect">
          <a:avLst/>
        </a:prstGeom>
        <a:noFill/>
        <a:ln w="9525" cmpd="sng">
          <a:no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rgbClr val="FF00FF"/>
              </a:solidFill>
              <a:effectLst/>
              <a:uLnTx/>
              <a:uFillTx/>
              <a:latin typeface="Calibri Light" panose="020F0302020204030204"/>
              <a:ea typeface="+mn-ea"/>
              <a:cs typeface="Calibri"/>
            </a:rPr>
            <a:t>SU </a:t>
          </a:r>
          <a:r>
            <a:rPr kumimoji="0" lang="en-US" sz="1200" b="0" i="0" u="none" strike="noStrike" kern="0" cap="none" spc="0" normalizeH="0" baseline="0" noProof="0">
              <a:ln>
                <a:noFill/>
              </a:ln>
              <a:solidFill>
                <a:sysClr val="windowText" lastClr="000000"/>
              </a:solidFill>
              <a:effectLst/>
              <a:uLnTx/>
              <a:uFillTx/>
              <a:latin typeface="Calibri Light" panose="020F0302020204030204"/>
              <a:ea typeface="+mn-ea"/>
              <a:cs typeface="+mn-cs"/>
            </a:rPr>
            <a:t> </a:t>
          </a:r>
          <a:r>
            <a:rPr kumimoji="0" lang="en-US" sz="1200" b="0" i="0" u="none" strike="noStrike" kern="0" cap="none" spc="0" normalizeH="0" baseline="0" noProof="0">
              <a:ln>
                <a:noFill/>
              </a:ln>
              <a:solidFill>
                <a:srgbClr val="00FAE3"/>
              </a:solidFill>
              <a:effectLst/>
              <a:uLnTx/>
              <a:uFillTx/>
              <a:latin typeface="Calibri Light" panose="020F0302020204030204"/>
              <a:ea typeface="+mn-ea"/>
              <a:cs typeface="+mn-cs"/>
            </a:rPr>
            <a:t>   </a:t>
          </a:r>
          <a:r>
            <a:rPr kumimoji="0" lang="en-US" sz="1200" b="0" i="0" u="none" strike="noStrike" kern="0" cap="none" spc="0" normalizeH="0" baseline="0" noProof="0">
              <a:ln>
                <a:noFill/>
              </a:ln>
              <a:solidFill>
                <a:sysClr val="window" lastClr="FFFFFF">
                  <a:lumMod val="95000"/>
                </a:sysClr>
              </a:solidFill>
              <a:effectLst/>
              <a:uLnTx/>
              <a:uFillTx/>
              <a:latin typeface="Calibri Light" panose="020F0302020204030204"/>
              <a:ea typeface="+mn-ea"/>
              <a:cs typeface="Calibri"/>
            </a:rPr>
            <a:t>MO      TU      WE      TH      FR </a:t>
          </a:r>
          <a:r>
            <a:rPr kumimoji="0" lang="en-US" sz="1200" b="0" i="0" u="none" strike="noStrike" kern="0" cap="none" spc="0" normalizeH="0" baseline="0" noProof="0">
              <a:ln>
                <a:noFill/>
              </a:ln>
              <a:solidFill>
                <a:sysClr val="window" lastClr="FFFFFF">
                  <a:lumMod val="95000"/>
                </a:sysClr>
              </a:solidFill>
              <a:effectLst/>
              <a:uLnTx/>
              <a:uFillTx/>
              <a:latin typeface="Calibri Light" panose="020F0302020204030204"/>
              <a:ea typeface="+mn-ea"/>
              <a:cs typeface="+mn-cs"/>
            </a:rPr>
            <a:t>    </a:t>
          </a:r>
          <a:r>
            <a:rPr kumimoji="0" lang="en-US" sz="1200" b="1" i="0" u="none" strike="noStrike" kern="0" cap="none" spc="0" normalizeH="0" baseline="0" noProof="0">
              <a:ln>
                <a:noFill/>
              </a:ln>
              <a:solidFill>
                <a:srgbClr val="FF00FF"/>
              </a:solidFill>
              <a:effectLst/>
              <a:uLnTx/>
              <a:uFillTx/>
              <a:latin typeface="Calibri Light" panose="020F0302020204030204"/>
              <a:ea typeface="+mn-ea"/>
              <a:cs typeface="+mn-cs"/>
            </a:rPr>
            <a:t>SA</a:t>
          </a:r>
          <a:endParaRPr kumimoji="0" lang="en-US" sz="1200" b="1" i="0" u="none" strike="noStrike" kern="0" cap="none" spc="0" normalizeH="0" baseline="0" noProof="0">
            <a:ln>
              <a:noFill/>
            </a:ln>
            <a:solidFill>
              <a:srgbClr val="FF00FF"/>
            </a:solidFill>
            <a:effectLst/>
            <a:uLnTx/>
            <a:uFillTx/>
            <a:latin typeface="Calibri Light" panose="020F0302020204030204"/>
            <a:ea typeface="+mn-ea"/>
            <a:cs typeface="Calibri"/>
          </a:endParaRPr>
        </a:p>
      </xdr:txBody>
    </xdr:sp>
    <xdr:clientData/>
  </xdr:twoCellAnchor>
  <xdr:twoCellAnchor>
    <xdr:from>
      <xdr:col>18</xdr:col>
      <xdr:colOff>708382</xdr:colOff>
      <xdr:row>27</xdr:row>
      <xdr:rowOff>159270</xdr:rowOff>
    </xdr:from>
    <xdr:to>
      <xdr:col>20</xdr:col>
      <xdr:colOff>744320</xdr:colOff>
      <xdr:row>30</xdr:row>
      <xdr:rowOff>193336</xdr:rowOff>
    </xdr:to>
    <xdr:sp macro="" textlink="Processing!F3">
      <xdr:nvSpPr>
        <xdr:cNvPr id="60" name="TextBox 59">
          <a:extLst>
            <a:ext uri="{FF2B5EF4-FFF2-40B4-BE49-F238E27FC236}">
              <a16:creationId xmlns:a16="http://schemas.microsoft.com/office/drawing/2014/main" id="{00000000-0008-0000-0500-00003C000000}"/>
            </a:ext>
          </a:extLst>
        </xdr:cNvPr>
        <xdr:cNvSpPr txBox="1"/>
      </xdr:nvSpPr>
      <xdr:spPr>
        <a:xfrm>
          <a:off x="15567382" y="5645670"/>
          <a:ext cx="1686938" cy="643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AB1C54FF-43BB-1B48-9678-B337AB19779D}" type="TxLink">
            <a:rPr lang="en-US" sz="1400" b="0"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Maggio</a:t>
          </a:fld>
          <a:endParaRPr lang="ru-RU" sz="1400" b="0" i="0" u="none" strike="noStrike" noProof="0">
            <a:solidFill>
              <a:schemeClr val="bg1"/>
            </a:solidFill>
            <a:latin typeface="Calibri"/>
            <a:ea typeface="+mn-ea"/>
            <a:cs typeface="Calibri"/>
          </a:endParaRPr>
        </a:p>
      </xdr:txBody>
    </xdr:sp>
    <xdr:clientData/>
  </xdr:twoCellAnchor>
  <xdr:twoCellAnchor>
    <xdr:from>
      <xdr:col>20</xdr:col>
      <xdr:colOff>558800</xdr:colOff>
      <xdr:row>27</xdr:row>
      <xdr:rowOff>159270</xdr:rowOff>
    </xdr:from>
    <xdr:to>
      <xdr:col>21</xdr:col>
      <xdr:colOff>698748</xdr:colOff>
      <xdr:row>30</xdr:row>
      <xdr:rowOff>193336</xdr:rowOff>
    </xdr:to>
    <xdr:sp macro="" textlink="Processing!D1">
      <xdr:nvSpPr>
        <xdr:cNvPr id="61" name="TextBox 60">
          <a:extLst>
            <a:ext uri="{FF2B5EF4-FFF2-40B4-BE49-F238E27FC236}">
              <a16:creationId xmlns:a16="http://schemas.microsoft.com/office/drawing/2014/main" id="{00000000-0008-0000-0500-00003D000000}"/>
            </a:ext>
          </a:extLst>
        </xdr:cNvPr>
        <xdr:cNvSpPr txBox="1"/>
      </xdr:nvSpPr>
      <xdr:spPr>
        <a:xfrm>
          <a:off x="17068800" y="5645670"/>
          <a:ext cx="965448" cy="643666"/>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A40CE4F8-7BEB-D549-9C9C-2E0698CEF686}"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2025</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3</xdr:col>
      <xdr:colOff>597948</xdr:colOff>
      <xdr:row>34</xdr:row>
      <xdr:rowOff>60660</xdr:rowOff>
    </xdr:from>
    <xdr:to>
      <xdr:col>5</xdr:col>
      <xdr:colOff>696639</xdr:colOff>
      <xdr:row>37</xdr:row>
      <xdr:rowOff>94725</xdr:rowOff>
    </xdr:to>
    <xdr:sp macro="" textlink="Processing!S26">
      <xdr:nvSpPr>
        <xdr:cNvPr id="62" name="TextBox 61">
          <a:extLst>
            <a:ext uri="{FF2B5EF4-FFF2-40B4-BE49-F238E27FC236}">
              <a16:creationId xmlns:a16="http://schemas.microsoft.com/office/drawing/2014/main" id="{00000000-0008-0000-0500-00003E000000}"/>
            </a:ext>
          </a:extLst>
        </xdr:cNvPr>
        <xdr:cNvSpPr txBox="1"/>
      </xdr:nvSpPr>
      <xdr:spPr>
        <a:xfrm>
          <a:off x="3074448" y="6969460"/>
          <a:ext cx="1749691" cy="643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BA3E6CA3-353B-6D44-B3C9-9FA5B8D46610}" type="TxLink">
            <a:rPr lang="en-US" sz="1400" b="1" i="0" u="none" strike="noStrike" noProof="0">
              <a:solidFill>
                <a:schemeClr val="bg1"/>
              </a:soli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Closing Debts</a:t>
          </a:fld>
          <a:endParaRPr lang="ru-RU" sz="1400" b="1" i="0" u="none" strike="noStrike" noProof="0">
            <a:solidFill>
              <a:schemeClr val="bg1"/>
            </a:solidFill>
            <a:latin typeface="Calibri"/>
            <a:ea typeface="+mn-ea"/>
            <a:cs typeface="Calibri"/>
          </a:endParaRPr>
        </a:p>
      </xdr:txBody>
    </xdr:sp>
    <xdr:clientData/>
  </xdr:twoCellAnchor>
  <xdr:twoCellAnchor>
    <xdr:from>
      <xdr:col>3</xdr:col>
      <xdr:colOff>648341</xdr:colOff>
      <xdr:row>36</xdr:row>
      <xdr:rowOff>176304</xdr:rowOff>
    </xdr:from>
    <xdr:to>
      <xdr:col>12</xdr:col>
      <xdr:colOff>286871</xdr:colOff>
      <xdr:row>46</xdr:row>
      <xdr:rowOff>128494</xdr:rowOff>
    </xdr:to>
    <xdr:graphicFrame macro="">
      <xdr:nvGraphicFramePr>
        <xdr:cNvPr id="63" name="Chart 62">
          <a:extLst>
            <a:ext uri="{FF2B5EF4-FFF2-40B4-BE49-F238E27FC236}">
              <a16:creationId xmlns:a16="http://schemas.microsoft.com/office/drawing/2014/main" id="{00000000-0008-0000-05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313763</xdr:colOff>
      <xdr:row>1</xdr:row>
      <xdr:rowOff>54468</xdr:rowOff>
    </xdr:from>
    <xdr:to>
      <xdr:col>2</xdr:col>
      <xdr:colOff>412454</xdr:colOff>
      <xdr:row>4</xdr:row>
      <xdr:rowOff>61000</xdr:rowOff>
    </xdr:to>
    <xdr:sp macro="" textlink="Processing!G3">
      <xdr:nvSpPr>
        <xdr:cNvPr id="64" name="TextBox 63">
          <a:extLst>
            <a:ext uri="{FF2B5EF4-FFF2-40B4-BE49-F238E27FC236}">
              <a16:creationId xmlns:a16="http://schemas.microsoft.com/office/drawing/2014/main" id="{00000000-0008-0000-0500-000040000000}"/>
            </a:ext>
          </a:extLst>
        </xdr:cNvPr>
        <xdr:cNvSpPr txBox="1"/>
      </xdr:nvSpPr>
      <xdr:spPr>
        <a:xfrm>
          <a:off x="313763" y="257668"/>
          <a:ext cx="1749691" cy="616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2ACDAAA7-33AE-0049-9FF3-73357BC2D79C}" type="TxLink">
            <a:rPr lang="en-US" sz="1200" b="0"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Personal Finance</a:t>
          </a:fld>
          <a:endParaRPr lang="ru-RU" sz="1200" b="0" i="0" u="none" strike="noStrike" noProof="0">
            <a:solidFill>
              <a:schemeClr val="bg1"/>
            </a:solidFill>
            <a:latin typeface="Calibri"/>
            <a:ea typeface="+mn-ea"/>
            <a:cs typeface="Calibri"/>
          </a:endParaRPr>
        </a:p>
      </xdr:txBody>
    </xdr:sp>
    <xdr:clientData/>
  </xdr:twoCellAnchor>
  <xdr:twoCellAnchor>
    <xdr:from>
      <xdr:col>12</xdr:col>
      <xdr:colOff>519963</xdr:colOff>
      <xdr:row>38</xdr:row>
      <xdr:rowOff>69626</xdr:rowOff>
    </xdr:from>
    <xdr:to>
      <xdr:col>14</xdr:col>
      <xdr:colOff>473750</xdr:colOff>
      <xdr:row>46</xdr:row>
      <xdr:rowOff>51102</xdr:rowOff>
    </xdr:to>
    <xdr:grpSp>
      <xdr:nvGrpSpPr>
        <xdr:cNvPr id="65" name="Group 64">
          <a:extLst>
            <a:ext uri="{FF2B5EF4-FFF2-40B4-BE49-F238E27FC236}">
              <a16:creationId xmlns:a16="http://schemas.microsoft.com/office/drawing/2014/main" id="{00000000-0008-0000-0500-000041000000}"/>
            </a:ext>
          </a:extLst>
        </xdr:cNvPr>
        <xdr:cNvGrpSpPr/>
      </xdr:nvGrpSpPr>
      <xdr:grpSpPr>
        <a:xfrm>
          <a:off x="10425963" y="7549926"/>
          <a:ext cx="1604787" cy="1556276"/>
          <a:chOff x="9108140" y="7325061"/>
          <a:chExt cx="1479281" cy="1490070"/>
        </a:xfrm>
      </xdr:grpSpPr>
      <xdr:sp macro="" textlink="Processing!C28">
        <xdr:nvSpPr>
          <xdr:cNvPr id="66" name="TextBox 65">
            <a:extLst>
              <a:ext uri="{FF2B5EF4-FFF2-40B4-BE49-F238E27FC236}">
                <a16:creationId xmlns:a16="http://schemas.microsoft.com/office/drawing/2014/main" id="{00000000-0008-0000-0500-000042000000}"/>
              </a:ext>
            </a:extLst>
          </xdr:cNvPr>
          <xdr:cNvSpPr txBox="1"/>
        </xdr:nvSpPr>
        <xdr:spPr>
          <a:xfrm>
            <a:off x="9296981" y="7325061"/>
            <a:ext cx="1290440" cy="598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87D18D16-5A79-8E41-8609-AF3CCB9725FB}" type="TxLink">
              <a:rPr lang="en-US" sz="1100" b="0" i="0" u="none" strike="noStrike" noProof="0">
                <a:solidFill>
                  <a:srgbClr val="BFCDE4"/>
                </a:soli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Credit Funds</a:t>
            </a:fld>
            <a:endParaRPr lang="ru-RU" sz="1100" b="0" i="0" u="none" strike="noStrike" noProof="0">
              <a:solidFill>
                <a:srgbClr val="BFCDE4"/>
              </a:solidFill>
              <a:latin typeface="Calibri"/>
              <a:ea typeface="+mn-ea"/>
              <a:cs typeface="Calibri"/>
            </a:endParaRPr>
          </a:p>
        </xdr:txBody>
      </xdr:sp>
      <xdr:sp macro="" textlink="Processing!C29">
        <xdr:nvSpPr>
          <xdr:cNvPr id="67" name="TextBox 66">
            <a:extLst>
              <a:ext uri="{FF2B5EF4-FFF2-40B4-BE49-F238E27FC236}">
                <a16:creationId xmlns:a16="http://schemas.microsoft.com/office/drawing/2014/main" id="{00000000-0008-0000-0500-000043000000}"/>
              </a:ext>
            </a:extLst>
          </xdr:cNvPr>
          <xdr:cNvSpPr txBox="1"/>
        </xdr:nvSpPr>
        <xdr:spPr>
          <a:xfrm>
            <a:off x="9296981" y="7997416"/>
            <a:ext cx="1290440" cy="598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565C93E0-381A-164B-83BB-4A373E272EBD}" type="TxLink">
              <a:rPr lang="en-US" sz="1100" b="0" i="0" u="none" strike="noStrike" noProof="0">
                <a:solidFill>
                  <a:srgbClr val="BFCDE4"/>
                </a:soli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Redeemed</a:t>
            </a:fld>
            <a:endParaRPr lang="ru-RU" sz="1100" b="0" i="0" u="none" strike="noStrike" noProof="0">
              <a:solidFill>
                <a:srgbClr val="BFCDE4"/>
              </a:solidFill>
              <a:latin typeface="Calibri"/>
              <a:ea typeface="+mn-ea"/>
              <a:cs typeface="Calibri"/>
            </a:endParaRPr>
          </a:p>
        </xdr:txBody>
      </xdr:sp>
      <xdr:sp macro="" textlink="">
        <xdr:nvSpPr>
          <xdr:cNvPr id="68" name="Oval 67">
            <a:extLst>
              <a:ext uri="{FF2B5EF4-FFF2-40B4-BE49-F238E27FC236}">
                <a16:creationId xmlns:a16="http://schemas.microsoft.com/office/drawing/2014/main" id="{00000000-0008-0000-0500-000044000000}"/>
              </a:ext>
            </a:extLst>
          </xdr:cNvPr>
          <xdr:cNvSpPr/>
        </xdr:nvSpPr>
        <xdr:spPr>
          <a:xfrm>
            <a:off x="9126070" y="7548282"/>
            <a:ext cx="144000" cy="144000"/>
          </a:xfrm>
          <a:prstGeom prst="ellipse">
            <a:avLst/>
          </a:prstGeom>
          <a:gradFill>
            <a:gsLst>
              <a:gs pos="0">
                <a:srgbClr val="55E7F9"/>
              </a:gs>
              <a:gs pos="100000">
                <a:srgbClr val="0C68BE"/>
              </a:gs>
            </a:gsLst>
            <a:lin ang="5400000" scaled="1"/>
          </a:gra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69" name="Oval 68">
            <a:extLst>
              <a:ext uri="{FF2B5EF4-FFF2-40B4-BE49-F238E27FC236}">
                <a16:creationId xmlns:a16="http://schemas.microsoft.com/office/drawing/2014/main" id="{00000000-0008-0000-0500-000045000000}"/>
              </a:ext>
            </a:extLst>
          </xdr:cNvPr>
          <xdr:cNvSpPr/>
        </xdr:nvSpPr>
        <xdr:spPr>
          <a:xfrm>
            <a:off x="9108140" y="8229599"/>
            <a:ext cx="144000" cy="144000"/>
          </a:xfrm>
          <a:prstGeom prst="ellipse">
            <a:avLst/>
          </a:prstGeom>
          <a:solidFill>
            <a:sysClr val="window" lastClr="FFFFFF"/>
          </a:soli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Processing!D28">
        <xdr:nvSpPr>
          <xdr:cNvPr id="70" name="TextBox 69">
            <a:extLst>
              <a:ext uri="{FF2B5EF4-FFF2-40B4-BE49-F238E27FC236}">
                <a16:creationId xmlns:a16="http://schemas.microsoft.com/office/drawing/2014/main" id="{00000000-0008-0000-0500-000046000000}"/>
              </a:ext>
            </a:extLst>
          </xdr:cNvPr>
          <xdr:cNvSpPr txBox="1"/>
        </xdr:nvSpPr>
        <xdr:spPr>
          <a:xfrm>
            <a:off x="9252157" y="7594001"/>
            <a:ext cx="1290440" cy="598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B7F9C835-B5DD-0B4C-9F13-5878C1965B22}" type="TxLink">
              <a:rPr lang="en-US" sz="1800" b="0" i="0" u="none" strike="noStrike" noProof="0">
                <a:gradFill flip="none" rotWithShape="1">
                  <a:gsLst>
                    <a:gs pos="5000">
                      <a:srgbClr val="55E7F9"/>
                    </a:gs>
                    <a:gs pos="94000">
                      <a:srgbClr val="0C68BE"/>
                    </a:gs>
                  </a:gsLst>
                  <a:lin ang="5400000" scaled="0"/>
                  <a:tileRect/>
                </a:gra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 € - </a:t>
            </a:fld>
            <a:endParaRPr lang="ru-RU" sz="1800" b="0" i="0" u="none" strike="noStrike" noProof="0">
              <a:gradFill flip="none" rotWithShape="1">
                <a:gsLst>
                  <a:gs pos="5000">
                    <a:srgbClr val="55E7F9"/>
                  </a:gs>
                  <a:gs pos="94000">
                    <a:srgbClr val="0C68BE"/>
                  </a:gs>
                </a:gsLst>
                <a:lin ang="5400000" scaled="0"/>
                <a:tileRect/>
              </a:gradFill>
              <a:latin typeface="Calibri"/>
              <a:ea typeface="+mn-ea"/>
              <a:cs typeface="Calibri"/>
            </a:endParaRPr>
          </a:p>
        </xdr:txBody>
      </xdr:sp>
      <xdr:sp macro="" textlink="Processing!D29">
        <xdr:nvSpPr>
          <xdr:cNvPr id="71" name="TextBox 70">
            <a:extLst>
              <a:ext uri="{FF2B5EF4-FFF2-40B4-BE49-F238E27FC236}">
                <a16:creationId xmlns:a16="http://schemas.microsoft.com/office/drawing/2014/main" id="{00000000-0008-0000-0500-000047000000}"/>
              </a:ext>
            </a:extLst>
          </xdr:cNvPr>
          <xdr:cNvSpPr txBox="1"/>
        </xdr:nvSpPr>
        <xdr:spPr>
          <a:xfrm>
            <a:off x="9252157" y="8214310"/>
            <a:ext cx="1290440" cy="6008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6FB2628E-05B6-2E44-8F55-3295F25A872D}" type="TxLink">
              <a:rPr lang="en-US" sz="1800" b="0" i="0" u="none" strike="noStrike" noProof="0">
                <a:solidFill>
                  <a:schemeClr val="bg1"/>
                </a:soli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 € - </a:t>
            </a:fld>
            <a:endParaRPr lang="ru-RU" sz="1800" b="0" i="0" u="none" strike="noStrike" noProof="0">
              <a:solidFill>
                <a:schemeClr val="bg1"/>
              </a:solidFill>
              <a:latin typeface="Calibri"/>
              <a:ea typeface="+mn-ea"/>
              <a:cs typeface="Calibri"/>
            </a:endParaRPr>
          </a:p>
        </xdr:txBody>
      </xdr:sp>
    </xdr:grpSp>
    <xdr:clientData/>
  </xdr:twoCellAnchor>
  <xdr:twoCellAnchor>
    <xdr:from>
      <xdr:col>12</xdr:col>
      <xdr:colOff>313326</xdr:colOff>
      <xdr:row>34</xdr:row>
      <xdr:rowOff>60660</xdr:rowOff>
    </xdr:from>
    <xdr:to>
      <xdr:col>14</xdr:col>
      <xdr:colOff>349264</xdr:colOff>
      <xdr:row>37</xdr:row>
      <xdr:rowOff>94725</xdr:rowOff>
    </xdr:to>
    <xdr:sp macro="" textlink="Processing!I58">
      <xdr:nvSpPr>
        <xdr:cNvPr id="72" name="TextBox 71">
          <a:extLst>
            <a:ext uri="{FF2B5EF4-FFF2-40B4-BE49-F238E27FC236}">
              <a16:creationId xmlns:a16="http://schemas.microsoft.com/office/drawing/2014/main" id="{00000000-0008-0000-0500-000048000000}"/>
            </a:ext>
          </a:extLst>
        </xdr:cNvPr>
        <xdr:cNvSpPr txBox="1"/>
      </xdr:nvSpPr>
      <xdr:spPr>
        <a:xfrm>
          <a:off x="10219326" y="6969460"/>
          <a:ext cx="1686938" cy="643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5A2B856D-355A-984A-BA33-FABD5DBB2204}" type="TxLink">
            <a:rPr lang="en-US" sz="1400" b="1"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Total</a:t>
          </a:fld>
          <a:endParaRPr lang="ru-RU" sz="1400" b="1" i="0" u="none" strike="noStrike" noProof="0">
            <a:solidFill>
              <a:schemeClr val="bg1"/>
            </a:solidFill>
            <a:latin typeface="Calibri"/>
            <a:ea typeface="+mn-ea"/>
            <a:cs typeface="Calibri"/>
          </a:endParaRPr>
        </a:p>
      </xdr:txBody>
    </xdr:sp>
    <xdr:clientData/>
  </xdr:twoCellAnchor>
  <xdr:twoCellAnchor>
    <xdr:from>
      <xdr:col>11</xdr:col>
      <xdr:colOff>131228</xdr:colOff>
      <xdr:row>10</xdr:row>
      <xdr:rowOff>75539</xdr:rowOff>
    </xdr:from>
    <xdr:to>
      <xdr:col>17</xdr:col>
      <xdr:colOff>5225</xdr:colOff>
      <xdr:row>30</xdr:row>
      <xdr:rowOff>195878</xdr:rowOff>
    </xdr:to>
    <xdr:grpSp>
      <xdr:nvGrpSpPr>
        <xdr:cNvPr id="73" name="Group 72">
          <a:extLst>
            <a:ext uri="{FF2B5EF4-FFF2-40B4-BE49-F238E27FC236}">
              <a16:creationId xmlns:a16="http://schemas.microsoft.com/office/drawing/2014/main" id="{00000000-0008-0000-0500-000049000000}"/>
            </a:ext>
          </a:extLst>
        </xdr:cNvPr>
        <xdr:cNvGrpSpPr/>
      </xdr:nvGrpSpPr>
      <xdr:grpSpPr>
        <a:xfrm>
          <a:off x="9211728" y="2044039"/>
          <a:ext cx="4826997" cy="4057339"/>
          <a:chOff x="8324227" y="2316715"/>
          <a:chExt cx="4064995" cy="3585882"/>
        </a:xfrm>
      </xdr:grpSpPr>
      <xdr:sp macro="" textlink="">
        <xdr:nvSpPr>
          <xdr:cNvPr id="74" name="Oval 73">
            <a:extLst>
              <a:ext uri="{FF2B5EF4-FFF2-40B4-BE49-F238E27FC236}">
                <a16:creationId xmlns:a16="http://schemas.microsoft.com/office/drawing/2014/main" id="{00000000-0008-0000-0500-00004A000000}"/>
              </a:ext>
            </a:extLst>
          </xdr:cNvPr>
          <xdr:cNvSpPr/>
        </xdr:nvSpPr>
        <xdr:spPr>
          <a:xfrm>
            <a:off x="9107470" y="2860402"/>
            <a:ext cx="2498508" cy="2498508"/>
          </a:xfrm>
          <a:prstGeom prst="ellipse">
            <a:avLst/>
          </a:prstGeom>
          <a:solidFill>
            <a:sysClr val="windowText" lastClr="000000"/>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75" name="Circle: Hollow 105">
            <a:extLst>
              <a:ext uri="{FF2B5EF4-FFF2-40B4-BE49-F238E27FC236}">
                <a16:creationId xmlns:a16="http://schemas.microsoft.com/office/drawing/2014/main" id="{00000000-0008-0000-0500-00004B000000}"/>
              </a:ext>
            </a:extLst>
          </xdr:cNvPr>
          <xdr:cNvSpPr/>
        </xdr:nvSpPr>
        <xdr:spPr>
          <a:xfrm>
            <a:off x="9496691" y="3249623"/>
            <a:ext cx="1720067" cy="1720067"/>
          </a:xfrm>
          <a:prstGeom prst="donut">
            <a:avLst>
              <a:gd name="adj" fmla="val 13649"/>
            </a:avLst>
          </a:prstGeom>
          <a:gradFill>
            <a:gsLst>
              <a:gs pos="77000">
                <a:srgbClr val="2D3540"/>
              </a:gs>
              <a:gs pos="0">
                <a:srgbClr val="4472C4">
                  <a:lumMod val="30000"/>
                  <a:lumOff val="70000"/>
                </a:srgbClr>
              </a:gs>
            </a:gsLst>
            <a:path path="circle">
              <a:fillToRect l="100000" b="100000"/>
            </a:path>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Text" lastClr="000000">
                  <a:lumMod val="65000"/>
                  <a:lumOff val="35000"/>
                </a:sysClr>
              </a:solidFill>
              <a:effectLst/>
              <a:uLnTx/>
              <a:uFillTx/>
              <a:latin typeface="Calibri" panose="020F0502020204030204"/>
              <a:ea typeface="+mn-ea"/>
              <a:cs typeface="+mn-cs"/>
            </a:endParaRPr>
          </a:p>
        </xdr:txBody>
      </xdr:sp>
      <xdr:graphicFrame macro="">
        <xdr:nvGraphicFramePr>
          <xdr:cNvPr id="76" name="Chart 75">
            <a:extLst>
              <a:ext uri="{FF2B5EF4-FFF2-40B4-BE49-F238E27FC236}">
                <a16:creationId xmlns:a16="http://schemas.microsoft.com/office/drawing/2014/main" id="{00000000-0008-0000-0500-00004C000000}"/>
              </a:ext>
            </a:extLst>
          </xdr:cNvPr>
          <xdr:cNvGraphicFramePr>
            <a:graphicFrameLocks/>
          </xdr:cNvGraphicFramePr>
        </xdr:nvGraphicFramePr>
        <xdr:xfrm>
          <a:off x="8324227" y="2383951"/>
          <a:ext cx="4064995" cy="3451411"/>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77" name="Circle: Hollow 107">
            <a:extLst>
              <a:ext uri="{FF2B5EF4-FFF2-40B4-BE49-F238E27FC236}">
                <a16:creationId xmlns:a16="http://schemas.microsoft.com/office/drawing/2014/main" id="{00000000-0008-0000-0500-00004D000000}"/>
              </a:ext>
            </a:extLst>
          </xdr:cNvPr>
          <xdr:cNvSpPr/>
        </xdr:nvSpPr>
        <xdr:spPr>
          <a:xfrm>
            <a:off x="8563783" y="2316715"/>
            <a:ext cx="3585882" cy="3585882"/>
          </a:xfrm>
          <a:prstGeom prst="donut">
            <a:avLst>
              <a:gd name="adj" fmla="val 17406"/>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Text" lastClr="000000">
                  <a:lumMod val="65000"/>
                  <a:lumOff val="35000"/>
                </a:sysClr>
              </a:solidFill>
              <a:effectLst/>
              <a:uLnTx/>
              <a:uFillTx/>
              <a:latin typeface="Calibri" panose="020F0502020204030204"/>
              <a:ea typeface="+mn-ea"/>
              <a:cs typeface="+mn-cs"/>
            </a:endParaRPr>
          </a:p>
        </xdr:txBody>
      </xdr:sp>
      <xdr:sp macro="" textlink="">
        <xdr:nvSpPr>
          <xdr:cNvPr id="78" name="Oval 77">
            <a:extLst>
              <a:ext uri="{FF2B5EF4-FFF2-40B4-BE49-F238E27FC236}">
                <a16:creationId xmlns:a16="http://schemas.microsoft.com/office/drawing/2014/main" id="{00000000-0008-0000-0500-00004E000000}"/>
              </a:ext>
            </a:extLst>
          </xdr:cNvPr>
          <xdr:cNvSpPr/>
        </xdr:nvSpPr>
        <xdr:spPr>
          <a:xfrm>
            <a:off x="9913302" y="3666234"/>
            <a:ext cx="886844" cy="886844"/>
          </a:xfrm>
          <a:prstGeom prst="ellipse">
            <a:avLst/>
          </a:prstGeom>
          <a:solidFill>
            <a:srgbClr val="242732"/>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pl-PL" sz="18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3</xdr:col>
      <xdr:colOff>383241</xdr:colOff>
      <xdr:row>12</xdr:row>
      <xdr:rowOff>188259</xdr:rowOff>
    </xdr:from>
    <xdr:to>
      <xdr:col>16</xdr:col>
      <xdr:colOff>669365</xdr:colOff>
      <xdr:row>32</xdr:row>
      <xdr:rowOff>8965</xdr:rowOff>
    </xdr:to>
    <xdr:graphicFrame macro="">
      <xdr:nvGraphicFramePr>
        <xdr:cNvPr id="79" name="Chart 78">
          <a:extLst>
            <a:ext uri="{FF2B5EF4-FFF2-40B4-BE49-F238E27FC236}">
              <a16:creationId xmlns:a16="http://schemas.microsoft.com/office/drawing/2014/main" id="{00000000-0008-0000-0500-00004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239866</xdr:colOff>
      <xdr:row>10</xdr:row>
      <xdr:rowOff>72612</xdr:rowOff>
    </xdr:from>
    <xdr:to>
      <xdr:col>15</xdr:col>
      <xdr:colOff>780550</xdr:colOff>
      <xdr:row>13</xdr:row>
      <xdr:rowOff>106676</xdr:rowOff>
    </xdr:to>
    <xdr:sp macro="" textlink="Processing!B33">
      <xdr:nvSpPr>
        <xdr:cNvPr id="80" name="TextBox 79">
          <a:extLst>
            <a:ext uri="{FF2B5EF4-FFF2-40B4-BE49-F238E27FC236}">
              <a16:creationId xmlns:a16="http://schemas.microsoft.com/office/drawing/2014/main" id="{00000000-0008-0000-0500-000050000000}"/>
            </a:ext>
          </a:extLst>
        </xdr:cNvPr>
        <xdr:cNvSpPr txBox="1"/>
      </xdr:nvSpPr>
      <xdr:spPr>
        <a:xfrm>
          <a:off x="10145866" y="2104612"/>
          <a:ext cx="3017184" cy="643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0A587644-3EDA-5544-915F-3E56ADC986FB}" type="TxLink">
            <a:rPr lang="en-US" sz="1400" b="1"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Loan Portfolio Distribution</a:t>
          </a:fld>
          <a:endParaRPr lang="ru-RU" sz="1400" b="1" i="0" u="none" strike="noStrike" noProof="0">
            <a:solidFill>
              <a:schemeClr val="bg1"/>
            </a:solidFill>
            <a:latin typeface="Calibri"/>
            <a:ea typeface="+mn-ea"/>
            <a:cs typeface="Calibri"/>
          </a:endParaRPr>
        </a:p>
      </xdr:txBody>
    </xdr:sp>
    <xdr:clientData/>
  </xdr:twoCellAnchor>
  <xdr:twoCellAnchor>
    <xdr:from>
      <xdr:col>13</xdr:col>
      <xdr:colOff>273642</xdr:colOff>
      <xdr:row>19</xdr:row>
      <xdr:rowOff>72615</xdr:rowOff>
    </xdr:from>
    <xdr:to>
      <xdr:col>14</xdr:col>
      <xdr:colOff>746775</xdr:colOff>
      <xdr:row>22</xdr:row>
      <xdr:rowOff>106680</xdr:rowOff>
    </xdr:to>
    <xdr:sp macro="" textlink="Processing!F19">
      <xdr:nvSpPr>
        <xdr:cNvPr id="81" name="TextBox 80">
          <a:extLst>
            <a:ext uri="{FF2B5EF4-FFF2-40B4-BE49-F238E27FC236}">
              <a16:creationId xmlns:a16="http://schemas.microsoft.com/office/drawing/2014/main" id="{00000000-0008-0000-0500-000051000000}"/>
            </a:ext>
          </a:extLst>
        </xdr:cNvPr>
        <xdr:cNvSpPr txBox="1"/>
      </xdr:nvSpPr>
      <xdr:spPr>
        <a:xfrm>
          <a:off x="11005142" y="3933415"/>
          <a:ext cx="1298633" cy="643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69EF8742-5346-5F4F-926C-2C5D73F644B3}" type="TxLink">
            <a:rPr lang="en-US" sz="2000" b="0"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0%</a:t>
          </a:fld>
          <a:endParaRPr lang="ru-RU" sz="2000" b="0" i="0" u="none" strike="noStrike" noProof="0">
            <a:solidFill>
              <a:schemeClr val="bg1"/>
            </a:solidFill>
            <a:latin typeface="Calibri"/>
            <a:ea typeface="+mn-ea"/>
            <a:cs typeface="Calibri"/>
          </a:endParaRPr>
        </a:p>
      </xdr:txBody>
    </xdr:sp>
    <xdr:clientData/>
  </xdr:twoCellAnchor>
  <xdr:twoCellAnchor>
    <xdr:from>
      <xdr:col>13</xdr:col>
      <xdr:colOff>273642</xdr:colOff>
      <xdr:row>17</xdr:row>
      <xdr:rowOff>186165</xdr:rowOff>
    </xdr:from>
    <xdr:to>
      <xdr:col>14</xdr:col>
      <xdr:colOff>746775</xdr:colOff>
      <xdr:row>21</xdr:row>
      <xdr:rowOff>17030</xdr:rowOff>
    </xdr:to>
    <xdr:sp macro="" textlink="Processing!B19">
      <xdr:nvSpPr>
        <xdr:cNvPr id="82" name="TextBox 81">
          <a:extLst>
            <a:ext uri="{FF2B5EF4-FFF2-40B4-BE49-F238E27FC236}">
              <a16:creationId xmlns:a16="http://schemas.microsoft.com/office/drawing/2014/main" id="{00000000-0008-0000-0500-000052000000}"/>
            </a:ext>
          </a:extLst>
        </xdr:cNvPr>
        <xdr:cNvSpPr txBox="1"/>
      </xdr:nvSpPr>
      <xdr:spPr>
        <a:xfrm>
          <a:off x="11005142" y="3640565"/>
          <a:ext cx="1298633" cy="643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6DA54ECD-65FF-794A-9E56-BA35009906B1}" type="TxLink">
            <a:rPr lang="en-US" sz="1100" b="0" i="0" u="none" strike="noStrike" noProof="0">
              <a:solidFill>
                <a:srgbClr val="BFCDE4"/>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0</a:t>
          </a:fld>
          <a:endParaRPr lang="ru-RU" sz="1100" b="0" i="0" u="none" strike="noStrike" noProof="0">
            <a:solidFill>
              <a:srgbClr val="BFCDE4"/>
            </a:solidFill>
            <a:latin typeface="Calibri"/>
            <a:ea typeface="+mn-ea"/>
            <a:cs typeface="Calibri"/>
          </a:endParaRPr>
        </a:p>
      </xdr:txBody>
    </xdr:sp>
    <xdr:clientData/>
  </xdr:twoCellAnchor>
  <xdr:twoCellAnchor>
    <xdr:from>
      <xdr:col>11</xdr:col>
      <xdr:colOff>6194</xdr:colOff>
      <xdr:row>29</xdr:row>
      <xdr:rowOff>150307</xdr:rowOff>
    </xdr:from>
    <xdr:to>
      <xdr:col>12</xdr:col>
      <xdr:colOff>479327</xdr:colOff>
      <xdr:row>32</xdr:row>
      <xdr:rowOff>184373</xdr:rowOff>
    </xdr:to>
    <xdr:sp macro="" textlink="Processing!F19">
      <xdr:nvSpPr>
        <xdr:cNvPr id="83" name="TextBox 82">
          <a:extLst>
            <a:ext uri="{FF2B5EF4-FFF2-40B4-BE49-F238E27FC236}">
              <a16:creationId xmlns:a16="http://schemas.microsoft.com/office/drawing/2014/main" id="{00000000-0008-0000-0500-000053000000}"/>
            </a:ext>
          </a:extLst>
        </xdr:cNvPr>
        <xdr:cNvSpPr txBox="1"/>
      </xdr:nvSpPr>
      <xdr:spPr>
        <a:xfrm>
          <a:off x="9086694" y="6043107"/>
          <a:ext cx="1298633" cy="643666"/>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0F231180-C0A5-3A44-9204-6283F28A2227}"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0%</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12</xdr:col>
      <xdr:colOff>247494</xdr:colOff>
      <xdr:row>29</xdr:row>
      <xdr:rowOff>150307</xdr:rowOff>
    </xdr:from>
    <xdr:to>
      <xdr:col>13</xdr:col>
      <xdr:colOff>720627</xdr:colOff>
      <xdr:row>32</xdr:row>
      <xdr:rowOff>184373</xdr:rowOff>
    </xdr:to>
    <xdr:sp macro="" textlink="Processing!E27">
      <xdr:nvSpPr>
        <xdr:cNvPr id="84" name="TextBox 83">
          <a:extLst>
            <a:ext uri="{FF2B5EF4-FFF2-40B4-BE49-F238E27FC236}">
              <a16:creationId xmlns:a16="http://schemas.microsoft.com/office/drawing/2014/main" id="{00000000-0008-0000-0500-000054000000}"/>
            </a:ext>
          </a:extLst>
        </xdr:cNvPr>
        <xdr:cNvSpPr txBox="1"/>
      </xdr:nvSpPr>
      <xdr:spPr>
        <a:xfrm>
          <a:off x="10153494" y="6043107"/>
          <a:ext cx="1298633" cy="643666"/>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D97D8002-C782-A24A-9BAF-0D11325330A0}"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0%</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13</xdr:col>
      <xdr:colOff>452935</xdr:colOff>
      <xdr:row>29</xdr:row>
      <xdr:rowOff>150307</xdr:rowOff>
    </xdr:from>
    <xdr:to>
      <xdr:col>15</xdr:col>
      <xdr:colOff>100568</xdr:colOff>
      <xdr:row>32</xdr:row>
      <xdr:rowOff>184373</xdr:rowOff>
    </xdr:to>
    <xdr:sp macro="" textlink="Processing!E25">
      <xdr:nvSpPr>
        <xdr:cNvPr id="85" name="TextBox 84">
          <a:extLst>
            <a:ext uri="{FF2B5EF4-FFF2-40B4-BE49-F238E27FC236}">
              <a16:creationId xmlns:a16="http://schemas.microsoft.com/office/drawing/2014/main" id="{00000000-0008-0000-0500-000055000000}"/>
            </a:ext>
          </a:extLst>
        </xdr:cNvPr>
        <xdr:cNvSpPr txBox="1"/>
      </xdr:nvSpPr>
      <xdr:spPr>
        <a:xfrm>
          <a:off x="11184435" y="6043107"/>
          <a:ext cx="1298633" cy="643666"/>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F21B5FDE-B2CD-5D43-9EDD-8427309B3D08}"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0%</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15</xdr:col>
      <xdr:colOff>83888</xdr:colOff>
      <xdr:row>29</xdr:row>
      <xdr:rowOff>150307</xdr:rowOff>
    </xdr:from>
    <xdr:to>
      <xdr:col>16</xdr:col>
      <xdr:colOff>557021</xdr:colOff>
      <xdr:row>32</xdr:row>
      <xdr:rowOff>184373</xdr:rowOff>
    </xdr:to>
    <xdr:sp macro="" textlink="Processing!E26">
      <xdr:nvSpPr>
        <xdr:cNvPr id="86" name="TextBox 85">
          <a:extLst>
            <a:ext uri="{FF2B5EF4-FFF2-40B4-BE49-F238E27FC236}">
              <a16:creationId xmlns:a16="http://schemas.microsoft.com/office/drawing/2014/main" id="{00000000-0008-0000-0500-000056000000}"/>
            </a:ext>
          </a:extLst>
        </xdr:cNvPr>
        <xdr:cNvSpPr txBox="1"/>
      </xdr:nvSpPr>
      <xdr:spPr>
        <a:xfrm>
          <a:off x="12466388" y="6043107"/>
          <a:ext cx="1298633" cy="643666"/>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4D032113-3F58-B340-BF91-D2549E2F6880}"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0%</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8</xdr:col>
      <xdr:colOff>626999</xdr:colOff>
      <xdr:row>26</xdr:row>
      <xdr:rowOff>186167</xdr:rowOff>
    </xdr:from>
    <xdr:to>
      <xdr:col>10</xdr:col>
      <xdr:colOff>274632</xdr:colOff>
      <xdr:row>30</xdr:row>
      <xdr:rowOff>17031</xdr:rowOff>
    </xdr:to>
    <xdr:sp macro="" textlink="Processing!C17">
      <xdr:nvSpPr>
        <xdr:cNvPr id="87" name="TextBox 86">
          <a:extLst>
            <a:ext uri="{FF2B5EF4-FFF2-40B4-BE49-F238E27FC236}">
              <a16:creationId xmlns:a16="http://schemas.microsoft.com/office/drawing/2014/main" id="{00000000-0008-0000-0500-000057000000}"/>
            </a:ext>
          </a:extLst>
        </xdr:cNvPr>
        <xdr:cNvSpPr txBox="1"/>
      </xdr:nvSpPr>
      <xdr:spPr>
        <a:xfrm>
          <a:off x="7230999" y="5469367"/>
          <a:ext cx="1298633" cy="643664"/>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415BC484-806D-46D6-8DC8-06C4076EA26A}" type="TxLink">
            <a:rPr kumimoji="0" lang="en-US" sz="1100" b="0" i="0" u="none" strike="noStrike" kern="0" cap="none" spc="0" normalizeH="0" baseline="0" noProof="0">
              <a:ln>
                <a:noFill/>
              </a:ln>
              <a:solidFill>
                <a:sysClr val="window" lastClr="FFFFFF"/>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 </a:t>
          </a:fld>
          <a:endParaRPr kumimoji="0" lang="ru-RU" sz="18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14</xdr:col>
      <xdr:colOff>375025</xdr:colOff>
      <xdr:row>34</xdr:row>
      <xdr:rowOff>122517</xdr:rowOff>
    </xdr:from>
    <xdr:to>
      <xdr:col>16</xdr:col>
      <xdr:colOff>806427</xdr:colOff>
      <xdr:row>47</xdr:row>
      <xdr:rowOff>202362</xdr:rowOff>
    </xdr:to>
    <xdr:graphicFrame macro="">
      <xdr:nvGraphicFramePr>
        <xdr:cNvPr id="88" name="Chart 87">
          <a:extLst>
            <a:ext uri="{FF2B5EF4-FFF2-40B4-BE49-F238E27FC236}">
              <a16:creationId xmlns:a16="http://schemas.microsoft.com/office/drawing/2014/main" id="{00000000-0008-0000-0500-00005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743158</xdr:colOff>
      <xdr:row>39</xdr:row>
      <xdr:rowOff>123414</xdr:rowOff>
    </xdr:from>
    <xdr:to>
      <xdr:col>16</xdr:col>
      <xdr:colOff>508104</xdr:colOff>
      <xdr:row>42</xdr:row>
      <xdr:rowOff>172422</xdr:rowOff>
    </xdr:to>
    <xdr:sp macro="" textlink="Processing!C32">
      <xdr:nvSpPr>
        <xdr:cNvPr id="89" name="TextBox 88">
          <a:extLst>
            <a:ext uri="{FF2B5EF4-FFF2-40B4-BE49-F238E27FC236}">
              <a16:creationId xmlns:a16="http://schemas.microsoft.com/office/drawing/2014/main" id="{00000000-0008-0000-0500-000059000000}"/>
            </a:ext>
          </a:extLst>
        </xdr:cNvPr>
        <xdr:cNvSpPr txBox="1"/>
      </xdr:nvSpPr>
      <xdr:spPr>
        <a:xfrm>
          <a:off x="12300158" y="8048214"/>
          <a:ext cx="1415946" cy="6586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0501828F-1504-894C-A6B7-04A2C757D063}" type="TxLink">
            <a:rPr lang="en-US" sz="2000" b="0"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0%</a:t>
          </a:fld>
          <a:endParaRPr lang="ru-RU" sz="2000" b="0" i="0" u="none" strike="noStrike" noProof="0">
            <a:solidFill>
              <a:schemeClr val="bg1"/>
            </a:solidFill>
            <a:latin typeface="Calibri"/>
            <a:ea typeface="+mn-ea"/>
            <a:cs typeface="Calibri"/>
          </a:endParaRPr>
        </a:p>
      </xdr:txBody>
    </xdr:sp>
    <xdr:clientData/>
  </xdr:twoCellAnchor>
  <xdr:twoCellAnchor>
    <xdr:from>
      <xdr:col>14</xdr:col>
      <xdr:colOff>439942</xdr:colOff>
      <xdr:row>34</xdr:row>
      <xdr:rowOff>60660</xdr:rowOff>
    </xdr:from>
    <xdr:to>
      <xdr:col>16</xdr:col>
      <xdr:colOff>694776</xdr:colOff>
      <xdr:row>37</xdr:row>
      <xdr:rowOff>94725</xdr:rowOff>
    </xdr:to>
    <xdr:sp macro="" textlink="Processing!C31">
      <xdr:nvSpPr>
        <xdr:cNvPr id="90" name="TextBox 89">
          <a:extLst>
            <a:ext uri="{FF2B5EF4-FFF2-40B4-BE49-F238E27FC236}">
              <a16:creationId xmlns:a16="http://schemas.microsoft.com/office/drawing/2014/main" id="{00000000-0008-0000-0500-00005A000000}"/>
            </a:ext>
          </a:extLst>
        </xdr:cNvPr>
        <xdr:cNvSpPr txBox="1"/>
      </xdr:nvSpPr>
      <xdr:spPr>
        <a:xfrm>
          <a:off x="11996942" y="6969460"/>
          <a:ext cx="1905834" cy="643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7D7D1C0E-0156-9B43-9F16-BE0BA3D29940}" type="TxLink">
            <a:rPr lang="en-US" sz="1400" b="1"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Used Credit Funds</a:t>
          </a:fld>
          <a:endParaRPr lang="ru-RU" sz="1400" b="1" i="0" u="none" strike="noStrike" noProof="0">
            <a:solidFill>
              <a:schemeClr val="bg1"/>
            </a:solidFill>
            <a:latin typeface="Calibri"/>
            <a:ea typeface="+mn-ea"/>
            <a:cs typeface="Calibri"/>
          </a:endParaRPr>
        </a:p>
      </xdr:txBody>
    </xdr:sp>
    <xdr:clientData/>
  </xdr:twoCellAnchor>
  <xdr:twoCellAnchor>
    <xdr:from>
      <xdr:col>7</xdr:col>
      <xdr:colOff>765296</xdr:colOff>
      <xdr:row>10</xdr:row>
      <xdr:rowOff>72612</xdr:rowOff>
    </xdr:from>
    <xdr:to>
      <xdr:col>9</xdr:col>
      <xdr:colOff>283802</xdr:colOff>
      <xdr:row>13</xdr:row>
      <xdr:rowOff>106676</xdr:rowOff>
    </xdr:to>
    <xdr:sp macro="" textlink="Processing!B29">
      <xdr:nvSpPr>
        <xdr:cNvPr id="91" name="TextBox 90">
          <a:extLst>
            <a:ext uri="{FF2B5EF4-FFF2-40B4-BE49-F238E27FC236}">
              <a16:creationId xmlns:a16="http://schemas.microsoft.com/office/drawing/2014/main" id="{00000000-0008-0000-0500-00005B000000}"/>
            </a:ext>
          </a:extLst>
        </xdr:cNvPr>
        <xdr:cNvSpPr txBox="1"/>
      </xdr:nvSpPr>
      <xdr:spPr>
        <a:xfrm>
          <a:off x="6543796" y="2104612"/>
          <a:ext cx="1169506" cy="643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B475B5C7-7512-674C-A0B9-9BF231C9382B}" type="TxLink">
            <a:rPr lang="en-US" sz="1400" b="1" i="0" u="none" strike="noStrike" noProof="0">
              <a:solidFill>
                <a:schemeClr val="bg1"/>
              </a:soli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Repayment</a:t>
          </a:fld>
          <a:endParaRPr lang="ru-RU" sz="1400" b="1" i="0" u="none" strike="noStrike" noProof="0">
            <a:solidFill>
              <a:schemeClr val="bg1"/>
            </a:solidFill>
            <a:latin typeface="Calibri"/>
            <a:ea typeface="+mn-ea"/>
            <a:cs typeface="Calibri"/>
          </a:endParaRPr>
        </a:p>
      </xdr:txBody>
    </xdr:sp>
    <xdr:clientData/>
  </xdr:twoCellAnchor>
  <xdr:twoCellAnchor>
    <xdr:from>
      <xdr:col>5</xdr:col>
      <xdr:colOff>766782</xdr:colOff>
      <xdr:row>10</xdr:row>
      <xdr:rowOff>63647</xdr:rowOff>
    </xdr:from>
    <xdr:to>
      <xdr:col>8</xdr:col>
      <xdr:colOff>377293</xdr:colOff>
      <xdr:row>13</xdr:row>
      <xdr:rowOff>106676</xdr:rowOff>
    </xdr:to>
    <xdr:grpSp>
      <xdr:nvGrpSpPr>
        <xdr:cNvPr id="92" name="Group 91">
          <a:extLst>
            <a:ext uri="{FF2B5EF4-FFF2-40B4-BE49-F238E27FC236}">
              <a16:creationId xmlns:a16="http://schemas.microsoft.com/office/drawing/2014/main" id="{00000000-0008-0000-0500-00005C000000}"/>
            </a:ext>
          </a:extLst>
        </xdr:cNvPr>
        <xdr:cNvGrpSpPr/>
      </xdr:nvGrpSpPr>
      <xdr:grpSpPr>
        <a:xfrm>
          <a:off x="4894282" y="2032147"/>
          <a:ext cx="2087011" cy="633579"/>
          <a:chOff x="4499836" y="2017952"/>
          <a:chExt cx="1898753" cy="607807"/>
        </a:xfrm>
      </xdr:grpSpPr>
      <xdr:sp macro="" textlink="Processing!D28">
        <xdr:nvSpPr>
          <xdr:cNvPr id="93" name="TextBox 92">
            <a:extLst>
              <a:ext uri="{FF2B5EF4-FFF2-40B4-BE49-F238E27FC236}">
                <a16:creationId xmlns:a16="http://schemas.microsoft.com/office/drawing/2014/main" id="{00000000-0008-0000-0500-00005D000000}"/>
              </a:ext>
            </a:extLst>
          </xdr:cNvPr>
          <xdr:cNvSpPr txBox="1"/>
        </xdr:nvSpPr>
        <xdr:spPr>
          <a:xfrm>
            <a:off x="4562589" y="2026917"/>
            <a:ext cx="1836000" cy="598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09FFDEAD-5536-7642-8183-A0DFBE9F96B6}" type="TxLink">
              <a:rPr lang="en-US" sz="1800" b="0" i="0" u="none" strike="noStrike" noProof="0">
                <a:solidFill>
                  <a:srgbClr val="FF8A80"/>
                </a:soli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 € - </a:t>
            </a:fld>
            <a:endParaRPr lang="ru-RU" sz="1800" b="0" i="0" u="none" strike="noStrike" noProof="0">
              <a:solidFill>
                <a:srgbClr val="FF8A80"/>
              </a:solidFill>
              <a:latin typeface="Calibri"/>
              <a:ea typeface="+mn-ea"/>
              <a:cs typeface="Calibri"/>
            </a:endParaRPr>
          </a:p>
        </xdr:txBody>
      </xdr:sp>
      <xdr:sp macro="" textlink="">
        <xdr:nvSpPr>
          <xdr:cNvPr id="94" name="TextBox 93">
            <a:extLst>
              <a:ext uri="{FF2B5EF4-FFF2-40B4-BE49-F238E27FC236}">
                <a16:creationId xmlns:a16="http://schemas.microsoft.com/office/drawing/2014/main" id="{00000000-0008-0000-0500-00005E000000}"/>
              </a:ext>
            </a:extLst>
          </xdr:cNvPr>
          <xdr:cNvSpPr txBox="1"/>
        </xdr:nvSpPr>
        <xdr:spPr>
          <a:xfrm>
            <a:off x="4499836" y="2017952"/>
            <a:ext cx="753481" cy="598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none" strike="noStrike" noProof="0">
                <a:solidFill>
                  <a:srgbClr val="FF8A80"/>
                </a:solidFill>
                <a:latin typeface="Calibri"/>
                <a:ea typeface="+mn-ea"/>
                <a:cs typeface="Calibri"/>
              </a:rPr>
              <a:t>-</a:t>
            </a:r>
          </a:p>
        </xdr:txBody>
      </xdr:sp>
    </xdr:grpSp>
    <xdr:clientData/>
  </xdr:twoCellAnchor>
  <xdr:twoCellAnchor>
    <xdr:from>
      <xdr:col>10</xdr:col>
      <xdr:colOff>727193</xdr:colOff>
      <xdr:row>10</xdr:row>
      <xdr:rowOff>72612</xdr:rowOff>
    </xdr:from>
    <xdr:to>
      <xdr:col>12</xdr:col>
      <xdr:colOff>17930</xdr:colOff>
      <xdr:row>13</xdr:row>
      <xdr:rowOff>106676</xdr:rowOff>
    </xdr:to>
    <xdr:sp macro="" textlink="Processing!E29">
      <xdr:nvSpPr>
        <xdr:cNvPr id="95" name="TextBox 94">
          <a:extLst>
            <a:ext uri="{FF2B5EF4-FFF2-40B4-BE49-F238E27FC236}">
              <a16:creationId xmlns:a16="http://schemas.microsoft.com/office/drawing/2014/main" id="{00000000-0008-0000-0500-00005F000000}"/>
            </a:ext>
          </a:extLst>
        </xdr:cNvPr>
        <xdr:cNvSpPr txBox="1"/>
      </xdr:nvSpPr>
      <xdr:spPr>
        <a:xfrm>
          <a:off x="8982193" y="2104612"/>
          <a:ext cx="941737" cy="643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D65124CA-7302-3545-8BF2-FB6CE9B999DA}" type="TxLink">
            <a:rPr lang="en-US" sz="1800" b="0" i="0" u="none" strike="noStrike" noProof="0">
              <a:solidFill>
                <a:srgbClr val="BFCDE4"/>
              </a:soli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0%</a:t>
          </a:fld>
          <a:endParaRPr lang="ru-RU" sz="1800" b="0" i="0" u="none" strike="noStrike" noProof="0">
            <a:solidFill>
              <a:srgbClr val="BFCDE4"/>
            </a:solidFill>
            <a:latin typeface="Calibri"/>
            <a:ea typeface="+mn-ea"/>
            <a:cs typeface="Calibri"/>
          </a:endParaRPr>
        </a:p>
      </xdr:txBody>
    </xdr:sp>
    <xdr:clientData/>
  </xdr:twoCellAnchor>
  <xdr:twoCellAnchor>
    <xdr:from>
      <xdr:col>9</xdr:col>
      <xdr:colOff>270742</xdr:colOff>
      <xdr:row>10</xdr:row>
      <xdr:rowOff>72612</xdr:rowOff>
    </xdr:from>
    <xdr:to>
      <xdr:col>10</xdr:col>
      <xdr:colOff>749299</xdr:colOff>
      <xdr:row>13</xdr:row>
      <xdr:rowOff>106676</xdr:rowOff>
    </xdr:to>
    <xdr:grpSp>
      <xdr:nvGrpSpPr>
        <xdr:cNvPr id="96" name="Group 95">
          <a:extLst>
            <a:ext uri="{FF2B5EF4-FFF2-40B4-BE49-F238E27FC236}">
              <a16:creationId xmlns:a16="http://schemas.microsoft.com/office/drawing/2014/main" id="{00000000-0008-0000-0500-000060000000}"/>
            </a:ext>
          </a:extLst>
        </xdr:cNvPr>
        <xdr:cNvGrpSpPr/>
      </xdr:nvGrpSpPr>
      <xdr:grpSpPr>
        <a:xfrm>
          <a:off x="7700242" y="2041112"/>
          <a:ext cx="1304057" cy="624614"/>
          <a:chOff x="6409323" y="2026917"/>
          <a:chExt cx="1188898" cy="598842"/>
        </a:xfrm>
      </xdr:grpSpPr>
      <xdr:sp macro="" textlink="Processing!D29">
        <xdr:nvSpPr>
          <xdr:cNvPr id="97" name="TextBox 96">
            <a:extLst>
              <a:ext uri="{FF2B5EF4-FFF2-40B4-BE49-F238E27FC236}">
                <a16:creationId xmlns:a16="http://schemas.microsoft.com/office/drawing/2014/main" id="{00000000-0008-0000-0500-000061000000}"/>
              </a:ext>
            </a:extLst>
          </xdr:cNvPr>
          <xdr:cNvSpPr txBox="1"/>
        </xdr:nvSpPr>
        <xdr:spPr>
          <a:xfrm>
            <a:off x="6516899" y="2026917"/>
            <a:ext cx="1081322" cy="598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EB088203-627E-DA4C-8BDA-A559B1A511ED}" type="TxLink">
              <a:rPr lang="en-US" sz="1800" b="0" i="0" u="none" strike="noStrike" noProof="0">
                <a:solidFill>
                  <a:srgbClr val="7CF89B"/>
                </a:solidFill>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 € - </a:t>
            </a:fld>
            <a:endParaRPr lang="ru-RU" sz="1800" b="0" i="0" u="none" strike="noStrike" noProof="0">
              <a:solidFill>
                <a:srgbClr val="7CF89B"/>
              </a:solidFill>
              <a:latin typeface="Calibri"/>
              <a:ea typeface="+mn-ea"/>
              <a:cs typeface="Calibri"/>
            </a:endParaRPr>
          </a:p>
        </xdr:txBody>
      </xdr:sp>
      <xdr:sp macro="" textlink="">
        <xdr:nvSpPr>
          <xdr:cNvPr id="98" name="TextBox 97">
            <a:extLst>
              <a:ext uri="{FF2B5EF4-FFF2-40B4-BE49-F238E27FC236}">
                <a16:creationId xmlns:a16="http://schemas.microsoft.com/office/drawing/2014/main" id="{00000000-0008-0000-0500-000062000000}"/>
              </a:ext>
            </a:extLst>
          </xdr:cNvPr>
          <xdr:cNvSpPr txBox="1"/>
        </xdr:nvSpPr>
        <xdr:spPr>
          <a:xfrm>
            <a:off x="6409323" y="2026917"/>
            <a:ext cx="421783" cy="598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ru-RU" sz="1800" b="0" i="0" u="none" strike="noStrike" noProof="0">
                <a:solidFill>
                  <a:srgbClr val="7CF89B"/>
                </a:solidFill>
                <a:latin typeface="Calibri"/>
                <a:ea typeface="+mn-ea"/>
                <a:cs typeface="Calibri"/>
              </a:rPr>
              <a:t>+</a:t>
            </a:r>
            <a:endParaRPr lang="en-US" sz="1800" b="0" i="0" u="none" strike="noStrike" noProof="0">
              <a:solidFill>
                <a:srgbClr val="7CF89B"/>
              </a:solidFill>
              <a:latin typeface="Calibri"/>
              <a:ea typeface="+mn-ea"/>
              <a:cs typeface="Calibri"/>
            </a:endParaRPr>
          </a:p>
        </xdr:txBody>
      </xdr:sp>
    </xdr:grpSp>
    <xdr:clientData/>
  </xdr:twoCellAnchor>
  <xdr:twoCellAnchor editAs="oneCell">
    <xdr:from>
      <xdr:col>18</xdr:col>
      <xdr:colOff>55023</xdr:colOff>
      <xdr:row>32</xdr:row>
      <xdr:rowOff>61259</xdr:rowOff>
    </xdr:from>
    <xdr:to>
      <xdr:col>21</xdr:col>
      <xdr:colOff>606123</xdr:colOff>
      <xdr:row>46</xdr:row>
      <xdr:rowOff>107259</xdr:rowOff>
    </xdr:to>
    <mc:AlternateContent xmlns:mc="http://schemas.openxmlformats.org/markup-compatibility/2006" xmlns:a14="http://schemas.microsoft.com/office/drawing/2010/main">
      <mc:Choice Requires="a14">
        <xdr:graphicFrame macro="">
          <xdr:nvGraphicFramePr>
            <xdr:cNvPr id="102" name="Giorno 5">
              <a:extLst>
                <a:ext uri="{FF2B5EF4-FFF2-40B4-BE49-F238E27FC236}">
                  <a16:creationId xmlns:a16="http://schemas.microsoft.com/office/drawing/2014/main" id="{00000000-0008-0000-0500-000066000000}"/>
                </a:ext>
              </a:extLst>
            </xdr:cNvPr>
            <xdr:cNvGraphicFramePr/>
          </xdr:nvGraphicFramePr>
          <xdr:xfrm>
            <a:off x="0" y="0"/>
            <a:ext cx="0" cy="0"/>
          </xdr:xfrm>
          <a:graphic>
            <a:graphicData uri="http://schemas.microsoft.com/office/drawing/2010/slicer">
              <sle:slicer xmlns:sle="http://schemas.microsoft.com/office/drawing/2010/slicer" name="Giorno 5"/>
            </a:graphicData>
          </a:graphic>
        </xdr:graphicFrame>
      </mc:Choice>
      <mc:Fallback xmlns="">
        <xdr:sp macro="" textlink="">
          <xdr:nvSpPr>
            <xdr:cNvPr id="0" name=""/>
            <xdr:cNvSpPr>
              <a:spLocks noTextEdit="1"/>
            </xdr:cNvSpPr>
          </xdr:nvSpPr>
          <xdr:spPr>
            <a:xfrm>
              <a:off x="14914023" y="6563659"/>
              <a:ext cx="3027600" cy="2890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177800</xdr:colOff>
      <xdr:row>29</xdr:row>
      <xdr:rowOff>114300</xdr:rowOff>
    </xdr:from>
    <xdr:to>
      <xdr:col>2</xdr:col>
      <xdr:colOff>691484</xdr:colOff>
      <xdr:row>32</xdr:row>
      <xdr:rowOff>137159</xdr:rowOff>
    </xdr:to>
    <xdr:grpSp>
      <xdr:nvGrpSpPr>
        <xdr:cNvPr id="100" name="Group 99">
          <a:extLst>
            <a:ext uri="{FF2B5EF4-FFF2-40B4-BE49-F238E27FC236}">
              <a16:creationId xmlns:a16="http://schemas.microsoft.com/office/drawing/2014/main" id="{00000000-0008-0000-0500-000064000000}"/>
            </a:ext>
          </a:extLst>
        </xdr:cNvPr>
        <xdr:cNvGrpSpPr/>
      </xdr:nvGrpSpPr>
      <xdr:grpSpPr>
        <a:xfrm>
          <a:off x="177800" y="5822950"/>
          <a:ext cx="2164684" cy="613409"/>
          <a:chOff x="190500" y="5943600"/>
          <a:chExt cx="2164684" cy="632459"/>
        </a:xfrm>
      </xdr:grpSpPr>
      <xdr:sp macro="" textlink="Processing!R13">
        <xdr:nvSpPr>
          <xdr:cNvPr id="103" name="TextBox 102">
            <a:hlinkClick xmlns:r="http://schemas.openxmlformats.org/officeDocument/2006/relationships" r:id="rId11"/>
            <a:extLst>
              <a:ext uri="{FF2B5EF4-FFF2-40B4-BE49-F238E27FC236}">
                <a16:creationId xmlns:a16="http://schemas.microsoft.com/office/drawing/2014/main" id="{00000000-0008-0000-0500-000067000000}"/>
              </a:ext>
            </a:extLst>
          </xdr:cNvPr>
          <xdr:cNvSpPr txBox="1"/>
        </xdr:nvSpPr>
        <xdr:spPr>
          <a:xfrm>
            <a:off x="603252" y="5943600"/>
            <a:ext cx="1751932" cy="632459"/>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it-IT" sz="1400" b="0" i="0" u="none" strike="noStrike" kern="0" cap="none" spc="0" normalizeH="0" baseline="0" noProof="0">
                <a:ln>
                  <a:noFill/>
                </a:ln>
                <a:solidFill>
                  <a:sysClr val="window" lastClr="FFFFFF"/>
                </a:solidFill>
                <a:effectLst/>
                <a:uLnTx/>
                <a:uFillTx/>
                <a:latin typeface="Calibri"/>
                <a:ea typeface="+mn-ea"/>
                <a:cs typeface="Calibri"/>
              </a:rPr>
              <a:t>Insert Data</a:t>
            </a:r>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sp macro="" textlink="">
        <xdr:nvSpPr>
          <xdr:cNvPr id="104" name="TextBox 103">
            <a:extLst>
              <a:ext uri="{FF2B5EF4-FFF2-40B4-BE49-F238E27FC236}">
                <a16:creationId xmlns:a16="http://schemas.microsoft.com/office/drawing/2014/main" id="{00000000-0008-0000-0500-000068000000}"/>
              </a:ext>
            </a:extLst>
          </xdr:cNvPr>
          <xdr:cNvSpPr txBox="1"/>
        </xdr:nvSpPr>
        <xdr:spPr>
          <a:xfrm>
            <a:off x="190500" y="6025829"/>
            <a:ext cx="432000" cy="468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a:t>
            </a:r>
          </a:p>
        </xdr:txBody>
      </xdr:sp>
    </xdr:grpSp>
    <xdr:clientData/>
  </xdr:twoCellAnchor>
  <xdr:twoCellAnchor>
    <xdr:from>
      <xdr:col>3</xdr:col>
      <xdr:colOff>330200</xdr:colOff>
      <xdr:row>5</xdr:row>
      <xdr:rowOff>97117</xdr:rowOff>
    </xdr:from>
    <xdr:to>
      <xdr:col>22</xdr:col>
      <xdr:colOff>270436</xdr:colOff>
      <xdr:row>8</xdr:row>
      <xdr:rowOff>130735</xdr:rowOff>
    </xdr:to>
    <xdr:sp macro="" textlink="">
      <xdr:nvSpPr>
        <xdr:cNvPr id="105" name="Rectangle: Rounded Corners 15">
          <a:extLst>
            <a:ext uri="{FF2B5EF4-FFF2-40B4-BE49-F238E27FC236}">
              <a16:creationId xmlns:a16="http://schemas.microsoft.com/office/drawing/2014/main" id="{00000000-0008-0000-0500-000069000000}"/>
            </a:ext>
          </a:extLst>
        </xdr:cNvPr>
        <xdr:cNvSpPr/>
      </xdr:nvSpPr>
      <xdr:spPr>
        <a:xfrm>
          <a:off x="2806700" y="1113117"/>
          <a:ext cx="15624736" cy="643218"/>
        </a:xfrm>
        <a:prstGeom prst="roundRect">
          <a:avLst>
            <a:gd name="adj" fmla="val 15178"/>
          </a:avLst>
        </a:prstGeom>
        <a:solidFill>
          <a:srgbClr val="242732"/>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ru-RU" sz="24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330200</xdr:colOff>
      <xdr:row>1</xdr:row>
      <xdr:rowOff>0</xdr:rowOff>
    </xdr:from>
    <xdr:to>
      <xdr:col>22</xdr:col>
      <xdr:colOff>272200</xdr:colOff>
      <xdr:row>4</xdr:row>
      <xdr:rowOff>1</xdr:rowOff>
    </xdr:to>
    <xdr:sp macro="" textlink="">
      <xdr:nvSpPr>
        <xdr:cNvPr id="106" name="Rectangle: Rounded Corners 16">
          <a:extLst>
            <a:ext uri="{FF2B5EF4-FFF2-40B4-BE49-F238E27FC236}">
              <a16:creationId xmlns:a16="http://schemas.microsoft.com/office/drawing/2014/main" id="{00000000-0008-0000-0500-00006A000000}"/>
            </a:ext>
          </a:extLst>
        </xdr:cNvPr>
        <xdr:cNvSpPr/>
      </xdr:nvSpPr>
      <xdr:spPr>
        <a:xfrm>
          <a:off x="2806700" y="203200"/>
          <a:ext cx="15626500" cy="609601"/>
        </a:xfrm>
        <a:prstGeom prst="roundRect">
          <a:avLst>
            <a:gd name="adj" fmla="val 15178"/>
          </a:avLst>
        </a:prstGeom>
        <a:solidFill>
          <a:srgbClr val="242732"/>
        </a:solidFill>
        <a:ln w="12700" cap="flat" cmpd="sng" algn="ctr">
          <a:noFill/>
          <a:prstDash val="solid"/>
          <a:miter lim="800000"/>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ru-RU" sz="2400" b="1" i="0" u="none" strike="noStrike" kern="0" cap="none" spc="0" normalizeH="0" baseline="0" noProof="0">
              <a:ln>
                <a:noFill/>
              </a:ln>
              <a:solidFill>
                <a:sysClr val="window" lastClr="FFFFFF"/>
              </a:solidFill>
              <a:effectLst/>
              <a:uLnTx/>
              <a:uFillTx/>
              <a:latin typeface="Calibri" panose="020F0502020204030204"/>
              <a:ea typeface="+mn-ea"/>
              <a:cs typeface="+mn-cs"/>
            </a:rPr>
            <a:t>				</a:t>
          </a: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Personal Finance Dashboard</a:t>
          </a:r>
          <a:endParaRPr kumimoji="0" lang="ru-RU" sz="24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17</xdr:col>
      <xdr:colOff>56820</xdr:colOff>
      <xdr:row>1</xdr:row>
      <xdr:rowOff>198121</xdr:rowOff>
    </xdr:from>
    <xdr:to>
      <xdr:col>17</xdr:col>
      <xdr:colOff>277919</xdr:colOff>
      <xdr:row>3</xdr:row>
      <xdr:rowOff>5080</xdr:rowOff>
    </xdr:to>
    <xdr:grpSp>
      <xdr:nvGrpSpPr>
        <xdr:cNvPr id="107" name="Group 106">
          <a:extLst>
            <a:ext uri="{FF2B5EF4-FFF2-40B4-BE49-F238E27FC236}">
              <a16:creationId xmlns:a16="http://schemas.microsoft.com/office/drawing/2014/main" id="{00000000-0008-0000-0500-00006B000000}"/>
            </a:ext>
          </a:extLst>
        </xdr:cNvPr>
        <xdr:cNvGrpSpPr/>
      </xdr:nvGrpSpPr>
      <xdr:grpSpPr>
        <a:xfrm>
          <a:off x="14090320" y="394971"/>
          <a:ext cx="221099" cy="200659"/>
          <a:chOff x="6535559" y="690283"/>
          <a:chExt cx="274908" cy="248639"/>
        </a:xfrm>
      </xdr:grpSpPr>
      <xdr:sp macro="" textlink="">
        <xdr:nvSpPr>
          <xdr:cNvPr id="108" name="Moon">
            <a:extLst>
              <a:ext uri="{FF2B5EF4-FFF2-40B4-BE49-F238E27FC236}">
                <a16:creationId xmlns:a16="http://schemas.microsoft.com/office/drawing/2014/main" id="{00000000-0008-0000-0500-00006C000000}"/>
              </a:ext>
            </a:extLst>
          </xdr:cNvPr>
          <xdr:cNvSpPr/>
        </xdr:nvSpPr>
        <xdr:spPr>
          <a:xfrm>
            <a:off x="6535559" y="690283"/>
            <a:ext cx="140283" cy="245398"/>
          </a:xfrm>
          <a:prstGeom prst="moon">
            <a:avLst/>
          </a:prstGeom>
          <a:gradFill>
            <a:gsLst>
              <a:gs pos="0">
                <a:srgbClr val="FB6F32"/>
              </a:gs>
              <a:gs pos="72000">
                <a:srgbClr val="ED3229"/>
              </a:gs>
            </a:gsLst>
            <a:lin ang="8100000" scaled="1"/>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109" name="Big Star">
            <a:extLst>
              <a:ext uri="{FF2B5EF4-FFF2-40B4-BE49-F238E27FC236}">
                <a16:creationId xmlns:a16="http://schemas.microsoft.com/office/drawing/2014/main" id="{00000000-0008-0000-0500-00006D000000}"/>
              </a:ext>
            </a:extLst>
          </xdr:cNvPr>
          <xdr:cNvSpPr/>
        </xdr:nvSpPr>
        <xdr:spPr>
          <a:xfrm>
            <a:off x="6675270" y="773921"/>
            <a:ext cx="108000" cy="107972"/>
          </a:xfrm>
          <a:prstGeom prst="star4">
            <a:avLst/>
          </a:prstGeom>
          <a:gradFill>
            <a:gsLst>
              <a:gs pos="0">
                <a:srgbClr val="FB6F32"/>
              </a:gs>
              <a:gs pos="72000">
                <a:srgbClr val="ED3229"/>
              </a:gs>
            </a:gsLst>
            <a:lin ang="8100000" scaled="1"/>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110" name="Star">
            <a:extLst>
              <a:ext uri="{FF2B5EF4-FFF2-40B4-BE49-F238E27FC236}">
                <a16:creationId xmlns:a16="http://schemas.microsoft.com/office/drawing/2014/main" id="{00000000-0008-0000-0500-00006E000000}"/>
              </a:ext>
            </a:extLst>
          </xdr:cNvPr>
          <xdr:cNvSpPr/>
        </xdr:nvSpPr>
        <xdr:spPr>
          <a:xfrm>
            <a:off x="6756467" y="881723"/>
            <a:ext cx="54000" cy="57199"/>
          </a:xfrm>
          <a:prstGeom prst="star4">
            <a:avLst/>
          </a:prstGeom>
          <a:gradFill>
            <a:gsLst>
              <a:gs pos="0">
                <a:srgbClr val="FB6F32"/>
              </a:gs>
              <a:gs pos="72000">
                <a:srgbClr val="ED3229"/>
              </a:gs>
            </a:gsLst>
            <a:lin ang="8100000" scaled="1"/>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15</xdr:col>
      <xdr:colOff>755265</xdr:colOff>
      <xdr:row>1</xdr:row>
      <xdr:rowOff>198121</xdr:rowOff>
    </xdr:from>
    <xdr:to>
      <xdr:col>16</xdr:col>
      <xdr:colOff>138230</xdr:colOff>
      <xdr:row>3</xdr:row>
      <xdr:rowOff>5080</xdr:rowOff>
    </xdr:to>
    <xdr:grpSp>
      <xdr:nvGrpSpPr>
        <xdr:cNvPr id="111" name="Группа 7203">
          <a:extLst>
            <a:ext uri="{FF2B5EF4-FFF2-40B4-BE49-F238E27FC236}">
              <a16:creationId xmlns:a16="http://schemas.microsoft.com/office/drawing/2014/main" id="{00000000-0008-0000-0500-00006F000000}"/>
            </a:ext>
          </a:extLst>
        </xdr:cNvPr>
        <xdr:cNvGrpSpPr/>
      </xdr:nvGrpSpPr>
      <xdr:grpSpPr>
        <a:xfrm>
          <a:off x="13137765" y="394971"/>
          <a:ext cx="208465" cy="200659"/>
          <a:chOff x="14630400" y="0"/>
          <a:chExt cx="1320905" cy="1291901"/>
        </a:xfrm>
        <a:effectLst/>
      </xdr:grpSpPr>
      <xdr:sp macro="" textlink="">
        <xdr:nvSpPr>
          <xdr:cNvPr id="112" name="Lights">
            <a:extLst>
              <a:ext uri="{FF2B5EF4-FFF2-40B4-BE49-F238E27FC236}">
                <a16:creationId xmlns:a16="http://schemas.microsoft.com/office/drawing/2014/main" id="{00000000-0008-0000-0500-000070000000}"/>
              </a:ext>
            </a:extLst>
          </xdr:cNvPr>
          <xdr:cNvSpPr/>
        </xdr:nvSpPr>
        <xdr:spPr>
          <a:xfrm rot="19122911">
            <a:off x="14630400" y="0"/>
            <a:ext cx="1320905" cy="1291901"/>
          </a:xfrm>
          <a:custGeom>
            <a:avLst/>
            <a:gdLst>
              <a:gd name="connsiteX0" fmla="*/ 721625 w 2541582"/>
              <a:gd name="connsiteY0" fmla="*/ 1903961 h 2517378"/>
              <a:gd name="connsiteX1" fmla="*/ 721626 w 2541582"/>
              <a:gd name="connsiteY1" fmla="*/ 2056116 h 2517378"/>
              <a:gd name="connsiteX2" fmla="*/ 721626 w 2541582"/>
              <a:gd name="connsiteY2" fmla="*/ 2056119 h 2517378"/>
              <a:gd name="connsiteX3" fmla="*/ 573702 w 2541582"/>
              <a:gd name="connsiteY3" fmla="*/ 2208278 h 2517378"/>
              <a:gd name="connsiteX4" fmla="*/ 573701 w 2541582"/>
              <a:gd name="connsiteY4" fmla="*/ 2208277 h 2517378"/>
              <a:gd name="connsiteX5" fmla="*/ 425777 w 2541582"/>
              <a:gd name="connsiteY5" fmla="*/ 2208278 h 2517378"/>
              <a:gd name="connsiteX6" fmla="*/ 425777 w 2541582"/>
              <a:gd name="connsiteY6" fmla="*/ 2056123 h 2517378"/>
              <a:gd name="connsiteX7" fmla="*/ 425777 w 2541582"/>
              <a:gd name="connsiteY7" fmla="*/ 2056120 h 2517378"/>
              <a:gd name="connsiteX8" fmla="*/ 573701 w 2541582"/>
              <a:gd name="connsiteY8" fmla="*/ 1903962 h 2517378"/>
              <a:gd name="connsiteX9" fmla="*/ 573702 w 2541582"/>
              <a:gd name="connsiteY9" fmla="*/ 1903962 h 2517378"/>
              <a:gd name="connsiteX10" fmla="*/ 519727 w 2541582"/>
              <a:gd name="connsiteY10" fmla="*/ 1624038 h 2517378"/>
              <a:gd name="connsiteX11" fmla="*/ 458680 w 2541582"/>
              <a:gd name="connsiteY11" fmla="*/ 1763409 h 2517378"/>
              <a:gd name="connsiteX12" fmla="*/ 458678 w 2541582"/>
              <a:gd name="connsiteY12" fmla="*/ 1763413 h 2517378"/>
              <a:gd name="connsiteX13" fmla="*/ 262134 w 2541582"/>
              <a:gd name="connsiteY13" fmla="*/ 1843437 h 2517378"/>
              <a:gd name="connsiteX14" fmla="*/ 262133 w 2541582"/>
              <a:gd name="connsiteY14" fmla="*/ 1843437 h 2517378"/>
              <a:gd name="connsiteX15" fmla="*/ 126637 w 2541582"/>
              <a:gd name="connsiteY15" fmla="*/ 1784087 h 2517378"/>
              <a:gd name="connsiteX16" fmla="*/ 187684 w 2541582"/>
              <a:gd name="connsiteY16" fmla="*/ 1644716 h 2517378"/>
              <a:gd name="connsiteX17" fmla="*/ 187686 w 2541582"/>
              <a:gd name="connsiteY17" fmla="*/ 1644713 h 2517378"/>
              <a:gd name="connsiteX18" fmla="*/ 384230 w 2541582"/>
              <a:gd name="connsiteY18" fmla="*/ 1564688 h 2517378"/>
              <a:gd name="connsiteX19" fmla="*/ 384231 w 2541582"/>
              <a:gd name="connsiteY19" fmla="*/ 1564689 h 2517378"/>
              <a:gd name="connsiteX20" fmla="*/ 1009078 w 2541582"/>
              <a:gd name="connsiteY20" fmla="*/ 2051827 h 2517378"/>
              <a:gd name="connsiteX21" fmla="*/ 1066442 w 2541582"/>
              <a:gd name="connsiteY21" fmla="*/ 2192754 h 2517378"/>
              <a:gd name="connsiteX22" fmla="*/ 1066444 w 2541582"/>
              <a:gd name="connsiteY22" fmla="*/ 2192757 h 2517378"/>
              <a:gd name="connsiteX23" fmla="*/ 986801 w 2541582"/>
              <a:gd name="connsiteY23" fmla="*/ 2389456 h 2517378"/>
              <a:gd name="connsiteX24" fmla="*/ 986801 w 2541582"/>
              <a:gd name="connsiteY24" fmla="*/ 2389457 h 2517378"/>
              <a:gd name="connsiteX25" fmla="*/ 849793 w 2541582"/>
              <a:gd name="connsiteY25" fmla="*/ 2445226 h 2517378"/>
              <a:gd name="connsiteX26" fmla="*/ 792428 w 2541582"/>
              <a:gd name="connsiteY26" fmla="*/ 2304299 h 2517378"/>
              <a:gd name="connsiteX27" fmla="*/ 792426 w 2541582"/>
              <a:gd name="connsiteY27" fmla="*/ 2304296 h 2517378"/>
              <a:gd name="connsiteX28" fmla="*/ 872069 w 2541582"/>
              <a:gd name="connsiteY28" fmla="*/ 2107597 h 2517378"/>
              <a:gd name="connsiteX29" fmla="*/ 872070 w 2541582"/>
              <a:gd name="connsiteY29" fmla="*/ 2107597 h 2517378"/>
              <a:gd name="connsiteX30" fmla="*/ 1307640 w 2541582"/>
              <a:gd name="connsiteY30" fmla="*/ 2093057 h 2517378"/>
              <a:gd name="connsiteX31" fmla="*/ 1411294 w 2541582"/>
              <a:gd name="connsiteY31" fmla="*/ 2204442 h 2517378"/>
              <a:gd name="connsiteX32" fmla="*/ 1411296 w 2541582"/>
              <a:gd name="connsiteY32" fmla="*/ 2204445 h 2517378"/>
              <a:gd name="connsiteX33" fmla="*/ 1406663 w 2541582"/>
              <a:gd name="connsiteY33" fmla="*/ 2416606 h 2517378"/>
              <a:gd name="connsiteX34" fmla="*/ 1406663 w 2541582"/>
              <a:gd name="connsiteY34" fmla="*/ 2416606 h 2517378"/>
              <a:gd name="connsiteX35" fmla="*/ 1298374 w 2541582"/>
              <a:gd name="connsiteY35" fmla="*/ 2517378 h 2517378"/>
              <a:gd name="connsiteX36" fmla="*/ 1194720 w 2541582"/>
              <a:gd name="connsiteY36" fmla="*/ 2405992 h 2517378"/>
              <a:gd name="connsiteX37" fmla="*/ 1194718 w 2541582"/>
              <a:gd name="connsiteY37" fmla="*/ 2405989 h 2517378"/>
              <a:gd name="connsiteX38" fmla="*/ 1199351 w 2541582"/>
              <a:gd name="connsiteY38" fmla="*/ 2193829 h 2517378"/>
              <a:gd name="connsiteX39" fmla="*/ 1199351 w 2541582"/>
              <a:gd name="connsiteY39" fmla="*/ 2193828 h 2517378"/>
              <a:gd name="connsiteX40" fmla="*/ 323549 w 2541582"/>
              <a:gd name="connsiteY40" fmla="*/ 1188033 h 2517378"/>
              <a:gd name="connsiteX41" fmla="*/ 323549 w 2541582"/>
              <a:gd name="connsiteY41" fmla="*/ 1188033 h 2517378"/>
              <a:gd name="connsiteX42" fmla="*/ 424321 w 2541582"/>
              <a:gd name="connsiteY42" fmla="*/ 1296322 h 2517378"/>
              <a:gd name="connsiteX43" fmla="*/ 312935 w 2541582"/>
              <a:gd name="connsiteY43" fmla="*/ 1399976 h 2517378"/>
              <a:gd name="connsiteX44" fmla="*/ 312933 w 2541582"/>
              <a:gd name="connsiteY44" fmla="*/ 1399979 h 2517378"/>
              <a:gd name="connsiteX45" fmla="*/ 100772 w 2541582"/>
              <a:gd name="connsiteY45" fmla="*/ 1395346 h 2517378"/>
              <a:gd name="connsiteX46" fmla="*/ 100771 w 2541582"/>
              <a:gd name="connsiteY46" fmla="*/ 1395345 h 2517378"/>
              <a:gd name="connsiteX47" fmla="*/ 0 w 2541582"/>
              <a:gd name="connsiteY47" fmla="*/ 1287056 h 2517378"/>
              <a:gd name="connsiteX48" fmla="*/ 111385 w 2541582"/>
              <a:gd name="connsiteY48" fmla="*/ 1183403 h 2517378"/>
              <a:gd name="connsiteX49" fmla="*/ 111388 w 2541582"/>
              <a:gd name="connsiteY49" fmla="*/ 1183400 h 2517378"/>
              <a:gd name="connsiteX50" fmla="*/ 323549 w 2541582"/>
              <a:gd name="connsiteY50" fmla="*/ 1188033 h 2517378"/>
              <a:gd name="connsiteX51" fmla="*/ 1826146 w 2541582"/>
              <a:gd name="connsiteY51" fmla="*/ 2118023 h 2517378"/>
              <a:gd name="connsiteX52" fmla="*/ 1856583 w 2541582"/>
              <a:gd name="connsiteY52" fmla="*/ 2280157 h 2517378"/>
              <a:gd name="connsiteX53" fmla="*/ 1856583 w 2541582"/>
              <a:gd name="connsiteY53" fmla="*/ 2280157 h 2517378"/>
              <a:gd name="connsiteX54" fmla="*/ 1797234 w 2541582"/>
              <a:gd name="connsiteY54" fmla="*/ 2415653 h 2517378"/>
              <a:gd name="connsiteX55" fmla="*/ 1657863 w 2541582"/>
              <a:gd name="connsiteY55" fmla="*/ 2354606 h 2517378"/>
              <a:gd name="connsiteX56" fmla="*/ 1657859 w 2541582"/>
              <a:gd name="connsiteY56" fmla="*/ 2354605 h 2517378"/>
              <a:gd name="connsiteX57" fmla="*/ 1577835 w 2541582"/>
              <a:gd name="connsiteY57" fmla="*/ 2158060 h 2517378"/>
              <a:gd name="connsiteX58" fmla="*/ 1577835 w 2541582"/>
              <a:gd name="connsiteY58" fmla="*/ 2158060 h 2517378"/>
              <a:gd name="connsiteX59" fmla="*/ 1637185 w 2541582"/>
              <a:gd name="connsiteY59" fmla="*/ 2022564 h 2517378"/>
              <a:gd name="connsiteX60" fmla="*/ 1776555 w 2541582"/>
              <a:gd name="connsiteY60" fmla="*/ 2083611 h 2517378"/>
              <a:gd name="connsiteX61" fmla="*/ 1776559 w 2541582"/>
              <a:gd name="connsiteY61" fmla="*/ 2083612 h 2517378"/>
              <a:gd name="connsiteX62" fmla="*/ 1826146 w 2541582"/>
              <a:gd name="connsiteY62" fmla="*/ 2118023 h 2517378"/>
              <a:gd name="connsiteX63" fmla="*/ 377553 w 2541582"/>
              <a:gd name="connsiteY63" fmla="*/ 807593 h 2517378"/>
              <a:gd name="connsiteX64" fmla="*/ 410335 w 2541582"/>
              <a:gd name="connsiteY64" fmla="*/ 856415 h 2517378"/>
              <a:gd name="connsiteX65" fmla="*/ 410336 w 2541582"/>
              <a:gd name="connsiteY65" fmla="*/ 856415 h 2517378"/>
              <a:gd name="connsiteX66" fmla="*/ 466105 w 2541582"/>
              <a:gd name="connsiteY66" fmla="*/ 993423 h 2517378"/>
              <a:gd name="connsiteX67" fmla="*/ 325178 w 2541582"/>
              <a:gd name="connsiteY67" fmla="*/ 1050787 h 2517378"/>
              <a:gd name="connsiteX68" fmla="*/ 325175 w 2541582"/>
              <a:gd name="connsiteY68" fmla="*/ 1050789 h 2517378"/>
              <a:gd name="connsiteX69" fmla="*/ 128476 w 2541582"/>
              <a:gd name="connsiteY69" fmla="*/ 971146 h 2517378"/>
              <a:gd name="connsiteX70" fmla="*/ 128476 w 2541582"/>
              <a:gd name="connsiteY70" fmla="*/ 971146 h 2517378"/>
              <a:gd name="connsiteX71" fmla="*/ 72706 w 2541582"/>
              <a:gd name="connsiteY71" fmla="*/ 834138 h 2517378"/>
              <a:gd name="connsiteX72" fmla="*/ 213633 w 2541582"/>
              <a:gd name="connsiteY72" fmla="*/ 776773 h 2517378"/>
              <a:gd name="connsiteX73" fmla="*/ 213636 w 2541582"/>
              <a:gd name="connsiteY73" fmla="*/ 776772 h 2517378"/>
              <a:gd name="connsiteX74" fmla="*/ 377553 w 2541582"/>
              <a:gd name="connsiteY74" fmla="*/ 807593 h 2517378"/>
              <a:gd name="connsiteX75" fmla="*/ 2166386 w 2541582"/>
              <a:gd name="connsiteY75" fmla="*/ 1843414 h 2517378"/>
              <a:gd name="connsiteX76" fmla="*/ 2210952 w 2541582"/>
              <a:gd name="connsiteY76" fmla="*/ 1948012 h 2517378"/>
              <a:gd name="connsiteX77" fmla="*/ 2210952 w 2541582"/>
              <a:gd name="connsiteY77" fmla="*/ 1948012 h 2517378"/>
              <a:gd name="connsiteX78" fmla="*/ 2210952 w 2541582"/>
              <a:gd name="connsiteY78" fmla="*/ 2095936 h 2517378"/>
              <a:gd name="connsiteX79" fmla="*/ 2058798 w 2541582"/>
              <a:gd name="connsiteY79" fmla="*/ 2095936 h 2517378"/>
              <a:gd name="connsiteX80" fmla="*/ 2058794 w 2541582"/>
              <a:gd name="connsiteY80" fmla="*/ 2095937 h 2517378"/>
              <a:gd name="connsiteX81" fmla="*/ 1906636 w 2541582"/>
              <a:gd name="connsiteY81" fmla="*/ 1948012 h 2517378"/>
              <a:gd name="connsiteX82" fmla="*/ 1906636 w 2541582"/>
              <a:gd name="connsiteY82" fmla="*/ 1948012 h 2517378"/>
              <a:gd name="connsiteX83" fmla="*/ 1906636 w 2541582"/>
              <a:gd name="connsiteY83" fmla="*/ 1800088 h 2517378"/>
              <a:gd name="connsiteX84" fmla="*/ 2058790 w 2541582"/>
              <a:gd name="connsiteY84" fmla="*/ 1800088 h 2517378"/>
              <a:gd name="connsiteX85" fmla="*/ 2058794 w 2541582"/>
              <a:gd name="connsiteY85" fmla="*/ 1800088 h 2517378"/>
              <a:gd name="connsiteX86" fmla="*/ 2166386 w 2541582"/>
              <a:gd name="connsiteY86" fmla="*/ 1843414 h 2517378"/>
              <a:gd name="connsiteX87" fmla="*/ 592924 w 2541582"/>
              <a:gd name="connsiteY87" fmla="*/ 461833 h 2517378"/>
              <a:gd name="connsiteX88" fmla="*/ 637491 w 2541582"/>
              <a:gd name="connsiteY88" fmla="*/ 566431 h 2517378"/>
              <a:gd name="connsiteX89" fmla="*/ 637490 w 2541582"/>
              <a:gd name="connsiteY89" fmla="*/ 566431 h 2517378"/>
              <a:gd name="connsiteX90" fmla="*/ 637490 w 2541582"/>
              <a:gd name="connsiteY90" fmla="*/ 714355 h 2517378"/>
              <a:gd name="connsiteX91" fmla="*/ 485336 w 2541582"/>
              <a:gd name="connsiteY91" fmla="*/ 714355 h 2517378"/>
              <a:gd name="connsiteX92" fmla="*/ 485333 w 2541582"/>
              <a:gd name="connsiteY92" fmla="*/ 714356 h 2517378"/>
              <a:gd name="connsiteX93" fmla="*/ 333174 w 2541582"/>
              <a:gd name="connsiteY93" fmla="*/ 566431 h 2517378"/>
              <a:gd name="connsiteX94" fmla="*/ 333175 w 2541582"/>
              <a:gd name="connsiteY94" fmla="*/ 566431 h 2517378"/>
              <a:gd name="connsiteX95" fmla="*/ 333175 w 2541582"/>
              <a:gd name="connsiteY95" fmla="*/ 418507 h 2517378"/>
              <a:gd name="connsiteX96" fmla="*/ 485329 w 2541582"/>
              <a:gd name="connsiteY96" fmla="*/ 418507 h 2517378"/>
              <a:gd name="connsiteX97" fmla="*/ 485333 w 2541582"/>
              <a:gd name="connsiteY97" fmla="*/ 418507 h 2517378"/>
              <a:gd name="connsiteX98" fmla="*/ 592924 w 2541582"/>
              <a:gd name="connsiteY98" fmla="*/ 461833 h 2517378"/>
              <a:gd name="connsiteX99" fmla="*/ 2378656 w 2541582"/>
              <a:gd name="connsiteY99" fmla="*/ 1501946 h 2517378"/>
              <a:gd name="connsiteX100" fmla="*/ 2411439 w 2541582"/>
              <a:gd name="connsiteY100" fmla="*/ 1550768 h 2517378"/>
              <a:gd name="connsiteX101" fmla="*/ 2411439 w 2541582"/>
              <a:gd name="connsiteY101" fmla="*/ 1550768 h 2517378"/>
              <a:gd name="connsiteX102" fmla="*/ 2467208 w 2541582"/>
              <a:gd name="connsiteY102" fmla="*/ 1687776 h 2517378"/>
              <a:gd name="connsiteX103" fmla="*/ 2326282 w 2541582"/>
              <a:gd name="connsiteY103" fmla="*/ 1745141 h 2517378"/>
              <a:gd name="connsiteX104" fmla="*/ 2326278 w 2541582"/>
              <a:gd name="connsiteY104" fmla="*/ 1745142 h 2517378"/>
              <a:gd name="connsiteX105" fmla="*/ 2129579 w 2541582"/>
              <a:gd name="connsiteY105" fmla="*/ 1665499 h 2517378"/>
              <a:gd name="connsiteX106" fmla="*/ 2129579 w 2541582"/>
              <a:gd name="connsiteY106" fmla="*/ 1665499 h 2517378"/>
              <a:gd name="connsiteX107" fmla="*/ 2073809 w 2541582"/>
              <a:gd name="connsiteY107" fmla="*/ 1528491 h 2517378"/>
              <a:gd name="connsiteX108" fmla="*/ 2214736 w 2541582"/>
              <a:gd name="connsiteY108" fmla="*/ 1471127 h 2517378"/>
              <a:gd name="connsiteX109" fmla="*/ 2214739 w 2541582"/>
              <a:gd name="connsiteY109" fmla="*/ 1471125 h 2517378"/>
              <a:gd name="connsiteX110" fmla="*/ 2378656 w 2541582"/>
              <a:gd name="connsiteY110" fmla="*/ 1501946 h 2517378"/>
              <a:gd name="connsiteX111" fmla="*/ 928939 w 2541582"/>
              <a:gd name="connsiteY111" fmla="*/ 199283 h 2517378"/>
              <a:gd name="connsiteX112" fmla="*/ 959377 w 2541582"/>
              <a:gd name="connsiteY112" fmla="*/ 361416 h 2517378"/>
              <a:gd name="connsiteX113" fmla="*/ 959376 w 2541582"/>
              <a:gd name="connsiteY113" fmla="*/ 361417 h 2517378"/>
              <a:gd name="connsiteX114" fmla="*/ 900027 w 2541582"/>
              <a:gd name="connsiteY114" fmla="*/ 496913 h 2517378"/>
              <a:gd name="connsiteX115" fmla="*/ 760656 w 2541582"/>
              <a:gd name="connsiteY115" fmla="*/ 435866 h 2517378"/>
              <a:gd name="connsiteX116" fmla="*/ 760652 w 2541582"/>
              <a:gd name="connsiteY116" fmla="*/ 435865 h 2517378"/>
              <a:gd name="connsiteX117" fmla="*/ 680628 w 2541582"/>
              <a:gd name="connsiteY117" fmla="*/ 239320 h 2517378"/>
              <a:gd name="connsiteX118" fmla="*/ 680628 w 2541582"/>
              <a:gd name="connsiteY118" fmla="*/ 239320 h 2517378"/>
              <a:gd name="connsiteX119" fmla="*/ 739978 w 2541582"/>
              <a:gd name="connsiteY119" fmla="*/ 103824 h 2517378"/>
              <a:gd name="connsiteX120" fmla="*/ 879349 w 2541582"/>
              <a:gd name="connsiteY120" fmla="*/ 164871 h 2517378"/>
              <a:gd name="connsiteX121" fmla="*/ 879352 w 2541582"/>
              <a:gd name="connsiteY121" fmla="*/ 164872 h 2517378"/>
              <a:gd name="connsiteX122" fmla="*/ 928939 w 2541582"/>
              <a:gd name="connsiteY122" fmla="*/ 199283 h 2517378"/>
              <a:gd name="connsiteX123" fmla="*/ 2440810 w 2541582"/>
              <a:gd name="connsiteY123" fmla="*/ 1126826 h 2517378"/>
              <a:gd name="connsiteX124" fmla="*/ 2440811 w 2541582"/>
              <a:gd name="connsiteY124" fmla="*/ 1126826 h 2517378"/>
              <a:gd name="connsiteX125" fmla="*/ 2541582 w 2541582"/>
              <a:gd name="connsiteY125" fmla="*/ 1235115 h 2517378"/>
              <a:gd name="connsiteX126" fmla="*/ 2430197 w 2541582"/>
              <a:gd name="connsiteY126" fmla="*/ 1338769 h 2517378"/>
              <a:gd name="connsiteX127" fmla="*/ 2430194 w 2541582"/>
              <a:gd name="connsiteY127" fmla="*/ 1338772 h 2517378"/>
              <a:gd name="connsiteX128" fmla="*/ 2218033 w 2541582"/>
              <a:gd name="connsiteY128" fmla="*/ 1334138 h 2517378"/>
              <a:gd name="connsiteX129" fmla="*/ 2218033 w 2541582"/>
              <a:gd name="connsiteY129" fmla="*/ 1334138 h 2517378"/>
              <a:gd name="connsiteX130" fmla="*/ 2117261 w 2541582"/>
              <a:gd name="connsiteY130" fmla="*/ 1225849 h 2517378"/>
              <a:gd name="connsiteX131" fmla="*/ 2228647 w 2541582"/>
              <a:gd name="connsiteY131" fmla="*/ 1122195 h 2517378"/>
              <a:gd name="connsiteX132" fmla="*/ 2228649 w 2541582"/>
              <a:gd name="connsiteY132" fmla="*/ 1122192 h 2517378"/>
              <a:gd name="connsiteX133" fmla="*/ 2440810 w 2541582"/>
              <a:gd name="connsiteY133" fmla="*/ 1126826 h 2517378"/>
              <a:gd name="connsiteX134" fmla="*/ 1247133 w 2541582"/>
              <a:gd name="connsiteY134" fmla="*/ 0 h 2517378"/>
              <a:gd name="connsiteX135" fmla="*/ 1350787 w 2541582"/>
              <a:gd name="connsiteY135" fmla="*/ 111386 h 2517378"/>
              <a:gd name="connsiteX136" fmla="*/ 1350790 w 2541582"/>
              <a:gd name="connsiteY136" fmla="*/ 111388 h 2517378"/>
              <a:gd name="connsiteX137" fmla="*/ 1346157 w 2541582"/>
              <a:gd name="connsiteY137" fmla="*/ 323549 h 2517378"/>
              <a:gd name="connsiteX138" fmla="*/ 1346157 w 2541582"/>
              <a:gd name="connsiteY138" fmla="*/ 323550 h 2517378"/>
              <a:gd name="connsiteX139" fmla="*/ 1237868 w 2541582"/>
              <a:gd name="connsiteY139" fmla="*/ 424321 h 2517378"/>
              <a:gd name="connsiteX140" fmla="*/ 1134214 w 2541582"/>
              <a:gd name="connsiteY140" fmla="*/ 312935 h 2517378"/>
              <a:gd name="connsiteX141" fmla="*/ 1134211 w 2541582"/>
              <a:gd name="connsiteY141" fmla="*/ 312933 h 2517378"/>
              <a:gd name="connsiteX142" fmla="*/ 1138844 w 2541582"/>
              <a:gd name="connsiteY142" fmla="*/ 100772 h 2517378"/>
              <a:gd name="connsiteX143" fmla="*/ 1138844 w 2541582"/>
              <a:gd name="connsiteY143" fmla="*/ 100772 h 2517378"/>
              <a:gd name="connsiteX144" fmla="*/ 2416531 w 2541582"/>
              <a:gd name="connsiteY144" fmla="*/ 737089 h 2517378"/>
              <a:gd name="connsiteX145" fmla="*/ 2355484 w 2541582"/>
              <a:gd name="connsiteY145" fmla="*/ 876459 h 2517378"/>
              <a:gd name="connsiteX146" fmla="*/ 2355483 w 2541582"/>
              <a:gd name="connsiteY146" fmla="*/ 876463 h 2517378"/>
              <a:gd name="connsiteX147" fmla="*/ 2158938 w 2541582"/>
              <a:gd name="connsiteY147" fmla="*/ 956487 h 2517378"/>
              <a:gd name="connsiteX148" fmla="*/ 2158938 w 2541582"/>
              <a:gd name="connsiteY148" fmla="*/ 956487 h 2517378"/>
              <a:gd name="connsiteX149" fmla="*/ 2023442 w 2541582"/>
              <a:gd name="connsiteY149" fmla="*/ 897137 h 2517378"/>
              <a:gd name="connsiteX150" fmla="*/ 2084489 w 2541582"/>
              <a:gd name="connsiteY150" fmla="*/ 757767 h 2517378"/>
              <a:gd name="connsiteX151" fmla="*/ 2084490 w 2541582"/>
              <a:gd name="connsiteY151" fmla="*/ 757763 h 2517378"/>
              <a:gd name="connsiteX152" fmla="*/ 2281035 w 2541582"/>
              <a:gd name="connsiteY152" fmla="*/ 677739 h 2517378"/>
              <a:gd name="connsiteX153" fmla="*/ 2281035 w 2541582"/>
              <a:gd name="connsiteY153" fmla="*/ 677739 h 2517378"/>
              <a:gd name="connsiteX154" fmla="*/ 1695493 w 2541582"/>
              <a:gd name="connsiteY154" fmla="*/ 73601 h 2517378"/>
              <a:gd name="connsiteX155" fmla="*/ 1752857 w 2541582"/>
              <a:gd name="connsiteY155" fmla="*/ 214527 h 2517378"/>
              <a:gd name="connsiteX156" fmla="*/ 1752859 w 2541582"/>
              <a:gd name="connsiteY156" fmla="*/ 214531 h 2517378"/>
              <a:gd name="connsiteX157" fmla="*/ 1673216 w 2541582"/>
              <a:gd name="connsiteY157" fmla="*/ 411230 h 2517378"/>
              <a:gd name="connsiteX158" fmla="*/ 1673216 w 2541582"/>
              <a:gd name="connsiteY158" fmla="*/ 411230 h 2517378"/>
              <a:gd name="connsiteX159" fmla="*/ 1536207 w 2541582"/>
              <a:gd name="connsiteY159" fmla="*/ 466999 h 2517378"/>
              <a:gd name="connsiteX160" fmla="*/ 1478843 w 2541582"/>
              <a:gd name="connsiteY160" fmla="*/ 326073 h 2517378"/>
              <a:gd name="connsiteX161" fmla="*/ 1478841 w 2541582"/>
              <a:gd name="connsiteY161" fmla="*/ 326069 h 2517378"/>
              <a:gd name="connsiteX162" fmla="*/ 1558484 w 2541582"/>
              <a:gd name="connsiteY162" fmla="*/ 129370 h 2517378"/>
              <a:gd name="connsiteX163" fmla="*/ 1558485 w 2541582"/>
              <a:gd name="connsiteY163" fmla="*/ 129370 h 2517378"/>
              <a:gd name="connsiteX164" fmla="*/ 2119183 w 2541582"/>
              <a:gd name="connsiteY164" fmla="*/ 312304 h 2517378"/>
              <a:gd name="connsiteX165" fmla="*/ 2119184 w 2541582"/>
              <a:gd name="connsiteY165" fmla="*/ 464458 h 2517378"/>
              <a:gd name="connsiteX166" fmla="*/ 2119184 w 2541582"/>
              <a:gd name="connsiteY166" fmla="*/ 464462 h 2517378"/>
              <a:gd name="connsiteX167" fmla="*/ 1971260 w 2541582"/>
              <a:gd name="connsiteY167" fmla="*/ 616620 h 2517378"/>
              <a:gd name="connsiteX168" fmla="*/ 1971259 w 2541582"/>
              <a:gd name="connsiteY168" fmla="*/ 616620 h 2517378"/>
              <a:gd name="connsiteX169" fmla="*/ 1823335 w 2541582"/>
              <a:gd name="connsiteY169" fmla="*/ 616620 h 2517378"/>
              <a:gd name="connsiteX170" fmla="*/ 1823335 w 2541582"/>
              <a:gd name="connsiteY170" fmla="*/ 464466 h 2517378"/>
              <a:gd name="connsiteX171" fmla="*/ 1823335 w 2541582"/>
              <a:gd name="connsiteY171" fmla="*/ 464462 h 2517378"/>
              <a:gd name="connsiteX172" fmla="*/ 1971259 w 2541582"/>
              <a:gd name="connsiteY172" fmla="*/ 312304 h 2517378"/>
              <a:gd name="connsiteX173" fmla="*/ 1971260 w 2541582"/>
              <a:gd name="connsiteY173" fmla="*/ 312304 h 25173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Lst>
            <a:rect l="l" t="t" r="r" b="b"/>
            <a:pathLst>
              <a:path w="2541582" h="2517378">
                <a:moveTo>
                  <a:pt x="721625" y="1903961"/>
                </a:moveTo>
                <a:lnTo>
                  <a:pt x="721626" y="2056116"/>
                </a:lnTo>
                <a:lnTo>
                  <a:pt x="721626" y="2056119"/>
                </a:lnTo>
                <a:cubicBezTo>
                  <a:pt x="721626" y="2140154"/>
                  <a:pt x="655398" y="2208277"/>
                  <a:pt x="573702" y="2208278"/>
                </a:cubicBezTo>
                <a:lnTo>
                  <a:pt x="573701" y="2208277"/>
                </a:lnTo>
                <a:lnTo>
                  <a:pt x="425777" y="2208278"/>
                </a:lnTo>
                <a:lnTo>
                  <a:pt x="425777" y="2056123"/>
                </a:lnTo>
                <a:lnTo>
                  <a:pt x="425777" y="2056120"/>
                </a:lnTo>
                <a:cubicBezTo>
                  <a:pt x="425777" y="1972085"/>
                  <a:pt x="492005" y="1903962"/>
                  <a:pt x="573701" y="1903962"/>
                </a:cubicBezTo>
                <a:lnTo>
                  <a:pt x="573702" y="1903962"/>
                </a:lnTo>
                <a:close/>
                <a:moveTo>
                  <a:pt x="519727" y="1624038"/>
                </a:moveTo>
                <a:lnTo>
                  <a:pt x="458680" y="1763409"/>
                </a:lnTo>
                <a:lnTo>
                  <a:pt x="458678" y="1763413"/>
                </a:lnTo>
                <a:cubicBezTo>
                  <a:pt x="424962" y="1840387"/>
                  <a:pt x="336966" y="1876215"/>
                  <a:pt x="262134" y="1843437"/>
                </a:cubicBezTo>
                <a:lnTo>
                  <a:pt x="262133" y="1843437"/>
                </a:lnTo>
                <a:lnTo>
                  <a:pt x="126637" y="1784087"/>
                </a:lnTo>
                <a:lnTo>
                  <a:pt x="187684" y="1644716"/>
                </a:lnTo>
                <a:lnTo>
                  <a:pt x="187686" y="1644713"/>
                </a:lnTo>
                <a:cubicBezTo>
                  <a:pt x="221402" y="1567739"/>
                  <a:pt x="309398" y="1531910"/>
                  <a:pt x="384230" y="1564688"/>
                </a:cubicBezTo>
                <a:lnTo>
                  <a:pt x="384231" y="1564689"/>
                </a:lnTo>
                <a:close/>
                <a:moveTo>
                  <a:pt x="1009078" y="2051827"/>
                </a:moveTo>
                <a:lnTo>
                  <a:pt x="1066442" y="2192754"/>
                </a:lnTo>
                <a:lnTo>
                  <a:pt x="1066444" y="2192757"/>
                </a:lnTo>
                <a:cubicBezTo>
                  <a:pt x="1098126" y="2270591"/>
                  <a:pt x="1062469" y="2358656"/>
                  <a:pt x="986801" y="2389456"/>
                </a:cubicBezTo>
                <a:lnTo>
                  <a:pt x="986801" y="2389457"/>
                </a:lnTo>
                <a:lnTo>
                  <a:pt x="849793" y="2445226"/>
                </a:lnTo>
                <a:lnTo>
                  <a:pt x="792428" y="2304299"/>
                </a:lnTo>
                <a:lnTo>
                  <a:pt x="792426" y="2304296"/>
                </a:lnTo>
                <a:cubicBezTo>
                  <a:pt x="760744" y="2226462"/>
                  <a:pt x="796402" y="2138397"/>
                  <a:pt x="872069" y="2107597"/>
                </a:cubicBezTo>
                <a:lnTo>
                  <a:pt x="872070" y="2107597"/>
                </a:lnTo>
                <a:close/>
                <a:moveTo>
                  <a:pt x="1307640" y="2093057"/>
                </a:moveTo>
                <a:lnTo>
                  <a:pt x="1411294" y="2204442"/>
                </a:lnTo>
                <a:lnTo>
                  <a:pt x="1411296" y="2204445"/>
                </a:lnTo>
                <a:cubicBezTo>
                  <a:pt x="1468544" y="2265963"/>
                  <a:pt x="1466470" y="2360951"/>
                  <a:pt x="1406663" y="2416606"/>
                </a:cubicBezTo>
                <a:lnTo>
                  <a:pt x="1406663" y="2416606"/>
                </a:lnTo>
                <a:lnTo>
                  <a:pt x="1298374" y="2517378"/>
                </a:lnTo>
                <a:lnTo>
                  <a:pt x="1194720" y="2405992"/>
                </a:lnTo>
                <a:lnTo>
                  <a:pt x="1194718" y="2405989"/>
                </a:lnTo>
                <a:cubicBezTo>
                  <a:pt x="1137470" y="2344471"/>
                  <a:pt x="1139544" y="2249484"/>
                  <a:pt x="1199351" y="2193829"/>
                </a:cubicBezTo>
                <a:lnTo>
                  <a:pt x="1199351" y="2193828"/>
                </a:lnTo>
                <a:close/>
                <a:moveTo>
                  <a:pt x="323549" y="1188033"/>
                </a:moveTo>
                <a:lnTo>
                  <a:pt x="323549" y="1188033"/>
                </a:lnTo>
                <a:lnTo>
                  <a:pt x="424321" y="1296322"/>
                </a:lnTo>
                <a:lnTo>
                  <a:pt x="312935" y="1399976"/>
                </a:lnTo>
                <a:lnTo>
                  <a:pt x="312933" y="1399979"/>
                </a:lnTo>
                <a:cubicBezTo>
                  <a:pt x="251414" y="1457227"/>
                  <a:pt x="156427" y="1455152"/>
                  <a:pt x="100772" y="1395346"/>
                </a:cubicBezTo>
                <a:lnTo>
                  <a:pt x="100771" y="1395345"/>
                </a:lnTo>
                <a:lnTo>
                  <a:pt x="0" y="1287056"/>
                </a:lnTo>
                <a:lnTo>
                  <a:pt x="111385" y="1183403"/>
                </a:lnTo>
                <a:lnTo>
                  <a:pt x="111388" y="1183400"/>
                </a:lnTo>
                <a:cubicBezTo>
                  <a:pt x="172906" y="1126152"/>
                  <a:pt x="267894" y="1128226"/>
                  <a:pt x="323549" y="1188033"/>
                </a:cubicBezTo>
                <a:close/>
                <a:moveTo>
                  <a:pt x="1826146" y="2118023"/>
                </a:moveTo>
                <a:cubicBezTo>
                  <a:pt x="1867160" y="2160504"/>
                  <a:pt x="1881167" y="2224032"/>
                  <a:pt x="1856583" y="2280157"/>
                </a:cubicBezTo>
                <a:lnTo>
                  <a:pt x="1856583" y="2280157"/>
                </a:lnTo>
                <a:lnTo>
                  <a:pt x="1797234" y="2415653"/>
                </a:lnTo>
                <a:lnTo>
                  <a:pt x="1657863" y="2354606"/>
                </a:lnTo>
                <a:lnTo>
                  <a:pt x="1657859" y="2354605"/>
                </a:lnTo>
                <a:cubicBezTo>
                  <a:pt x="1580885" y="2320889"/>
                  <a:pt x="1545057" y="2232893"/>
                  <a:pt x="1577835" y="2158060"/>
                </a:cubicBezTo>
                <a:lnTo>
                  <a:pt x="1577835" y="2158060"/>
                </a:lnTo>
                <a:lnTo>
                  <a:pt x="1637185" y="2022564"/>
                </a:lnTo>
                <a:lnTo>
                  <a:pt x="1776555" y="2083611"/>
                </a:lnTo>
                <a:lnTo>
                  <a:pt x="1776559" y="2083612"/>
                </a:lnTo>
                <a:cubicBezTo>
                  <a:pt x="1795803" y="2092041"/>
                  <a:pt x="1812474" y="2103863"/>
                  <a:pt x="1826146" y="2118023"/>
                </a:cubicBezTo>
                <a:close/>
                <a:moveTo>
                  <a:pt x="377553" y="807593"/>
                </a:moveTo>
                <a:cubicBezTo>
                  <a:pt x="391356" y="821081"/>
                  <a:pt x="402635" y="837498"/>
                  <a:pt x="410335" y="856415"/>
                </a:cubicBezTo>
                <a:lnTo>
                  <a:pt x="410336" y="856415"/>
                </a:lnTo>
                <a:lnTo>
                  <a:pt x="466105" y="993423"/>
                </a:lnTo>
                <a:lnTo>
                  <a:pt x="325178" y="1050787"/>
                </a:lnTo>
                <a:lnTo>
                  <a:pt x="325175" y="1050789"/>
                </a:lnTo>
                <a:cubicBezTo>
                  <a:pt x="247342" y="1082471"/>
                  <a:pt x="159276" y="1046814"/>
                  <a:pt x="128476" y="971146"/>
                </a:cubicBezTo>
                <a:lnTo>
                  <a:pt x="128476" y="971146"/>
                </a:lnTo>
                <a:lnTo>
                  <a:pt x="72706" y="834138"/>
                </a:lnTo>
                <a:lnTo>
                  <a:pt x="213633" y="776773"/>
                </a:lnTo>
                <a:lnTo>
                  <a:pt x="213636" y="776772"/>
                </a:lnTo>
                <a:cubicBezTo>
                  <a:pt x="272011" y="753010"/>
                  <a:pt x="336142" y="767127"/>
                  <a:pt x="377553" y="807593"/>
                </a:cubicBezTo>
                <a:close/>
                <a:moveTo>
                  <a:pt x="2166386" y="1843414"/>
                </a:moveTo>
                <a:cubicBezTo>
                  <a:pt x="2193921" y="1870183"/>
                  <a:pt x="2210952" y="1907164"/>
                  <a:pt x="2210952" y="1948012"/>
                </a:cubicBezTo>
                <a:lnTo>
                  <a:pt x="2210952" y="1948012"/>
                </a:lnTo>
                <a:lnTo>
                  <a:pt x="2210952" y="2095936"/>
                </a:lnTo>
                <a:lnTo>
                  <a:pt x="2058798" y="2095936"/>
                </a:lnTo>
                <a:lnTo>
                  <a:pt x="2058794" y="2095937"/>
                </a:lnTo>
                <a:cubicBezTo>
                  <a:pt x="1974759" y="2095937"/>
                  <a:pt x="1906636" y="2029709"/>
                  <a:pt x="1906636" y="1948012"/>
                </a:cubicBezTo>
                <a:lnTo>
                  <a:pt x="1906636" y="1948012"/>
                </a:lnTo>
                <a:lnTo>
                  <a:pt x="1906636" y="1800088"/>
                </a:lnTo>
                <a:lnTo>
                  <a:pt x="2058790" y="1800088"/>
                </a:lnTo>
                <a:lnTo>
                  <a:pt x="2058794" y="1800088"/>
                </a:lnTo>
                <a:cubicBezTo>
                  <a:pt x="2100811" y="1800088"/>
                  <a:pt x="2138851" y="1816645"/>
                  <a:pt x="2166386" y="1843414"/>
                </a:cubicBezTo>
                <a:close/>
                <a:moveTo>
                  <a:pt x="592924" y="461833"/>
                </a:moveTo>
                <a:cubicBezTo>
                  <a:pt x="620460" y="488602"/>
                  <a:pt x="637491" y="525583"/>
                  <a:pt x="637491" y="566431"/>
                </a:cubicBezTo>
                <a:lnTo>
                  <a:pt x="637490" y="566431"/>
                </a:lnTo>
                <a:lnTo>
                  <a:pt x="637490" y="714355"/>
                </a:lnTo>
                <a:lnTo>
                  <a:pt x="485336" y="714355"/>
                </a:lnTo>
                <a:lnTo>
                  <a:pt x="485333" y="714356"/>
                </a:lnTo>
                <a:cubicBezTo>
                  <a:pt x="401298" y="714356"/>
                  <a:pt x="333174" y="648128"/>
                  <a:pt x="333174" y="566431"/>
                </a:cubicBezTo>
                <a:lnTo>
                  <a:pt x="333175" y="566431"/>
                </a:lnTo>
                <a:lnTo>
                  <a:pt x="333175" y="418507"/>
                </a:lnTo>
                <a:lnTo>
                  <a:pt x="485329" y="418507"/>
                </a:lnTo>
                <a:lnTo>
                  <a:pt x="485333" y="418507"/>
                </a:lnTo>
                <a:cubicBezTo>
                  <a:pt x="527350" y="418507"/>
                  <a:pt x="565389" y="435064"/>
                  <a:pt x="592924" y="461833"/>
                </a:cubicBezTo>
                <a:close/>
                <a:moveTo>
                  <a:pt x="2378656" y="1501946"/>
                </a:moveTo>
                <a:cubicBezTo>
                  <a:pt x="2392459" y="1515435"/>
                  <a:pt x="2403738" y="1531851"/>
                  <a:pt x="2411439" y="1550768"/>
                </a:cubicBezTo>
                <a:lnTo>
                  <a:pt x="2411439" y="1550768"/>
                </a:lnTo>
                <a:lnTo>
                  <a:pt x="2467208" y="1687776"/>
                </a:lnTo>
                <a:lnTo>
                  <a:pt x="2326282" y="1745141"/>
                </a:lnTo>
                <a:lnTo>
                  <a:pt x="2326278" y="1745142"/>
                </a:lnTo>
                <a:cubicBezTo>
                  <a:pt x="2248445" y="1776824"/>
                  <a:pt x="2160379" y="1741167"/>
                  <a:pt x="2129579" y="1665499"/>
                </a:cubicBezTo>
                <a:lnTo>
                  <a:pt x="2129579" y="1665499"/>
                </a:lnTo>
                <a:lnTo>
                  <a:pt x="2073809" y="1528491"/>
                </a:lnTo>
                <a:lnTo>
                  <a:pt x="2214736" y="1471127"/>
                </a:lnTo>
                <a:lnTo>
                  <a:pt x="2214739" y="1471125"/>
                </a:lnTo>
                <a:cubicBezTo>
                  <a:pt x="2273114" y="1447363"/>
                  <a:pt x="2337245" y="1461480"/>
                  <a:pt x="2378656" y="1501946"/>
                </a:cubicBezTo>
                <a:close/>
                <a:moveTo>
                  <a:pt x="928939" y="199283"/>
                </a:moveTo>
                <a:cubicBezTo>
                  <a:pt x="969953" y="241764"/>
                  <a:pt x="983960" y="305292"/>
                  <a:pt x="959377" y="361416"/>
                </a:cubicBezTo>
                <a:lnTo>
                  <a:pt x="959376" y="361417"/>
                </a:lnTo>
                <a:lnTo>
                  <a:pt x="900027" y="496913"/>
                </a:lnTo>
                <a:lnTo>
                  <a:pt x="760656" y="435866"/>
                </a:lnTo>
                <a:lnTo>
                  <a:pt x="760652" y="435865"/>
                </a:lnTo>
                <a:cubicBezTo>
                  <a:pt x="683678" y="402148"/>
                  <a:pt x="647850" y="314153"/>
                  <a:pt x="680628" y="239320"/>
                </a:cubicBezTo>
                <a:lnTo>
                  <a:pt x="680628" y="239320"/>
                </a:lnTo>
                <a:lnTo>
                  <a:pt x="739978" y="103824"/>
                </a:lnTo>
                <a:lnTo>
                  <a:pt x="879349" y="164871"/>
                </a:lnTo>
                <a:lnTo>
                  <a:pt x="879352" y="164872"/>
                </a:lnTo>
                <a:cubicBezTo>
                  <a:pt x="898596" y="173301"/>
                  <a:pt x="915268" y="185122"/>
                  <a:pt x="928939" y="199283"/>
                </a:cubicBezTo>
                <a:close/>
                <a:moveTo>
                  <a:pt x="2440810" y="1126826"/>
                </a:moveTo>
                <a:lnTo>
                  <a:pt x="2440811" y="1126826"/>
                </a:lnTo>
                <a:lnTo>
                  <a:pt x="2541582" y="1235115"/>
                </a:lnTo>
                <a:lnTo>
                  <a:pt x="2430197" y="1338769"/>
                </a:lnTo>
                <a:lnTo>
                  <a:pt x="2430194" y="1338772"/>
                </a:lnTo>
                <a:cubicBezTo>
                  <a:pt x="2368676" y="1396019"/>
                  <a:pt x="2273688" y="1393945"/>
                  <a:pt x="2218033" y="1334138"/>
                </a:cubicBezTo>
                <a:lnTo>
                  <a:pt x="2218033" y="1334138"/>
                </a:lnTo>
                <a:lnTo>
                  <a:pt x="2117261" y="1225849"/>
                </a:lnTo>
                <a:lnTo>
                  <a:pt x="2228647" y="1122195"/>
                </a:lnTo>
                <a:lnTo>
                  <a:pt x="2228649" y="1122192"/>
                </a:lnTo>
                <a:cubicBezTo>
                  <a:pt x="2290168" y="1064945"/>
                  <a:pt x="2385155" y="1067019"/>
                  <a:pt x="2440810" y="1126826"/>
                </a:cubicBezTo>
                <a:close/>
                <a:moveTo>
                  <a:pt x="1247133" y="0"/>
                </a:moveTo>
                <a:lnTo>
                  <a:pt x="1350787" y="111386"/>
                </a:lnTo>
                <a:lnTo>
                  <a:pt x="1350790" y="111388"/>
                </a:lnTo>
                <a:cubicBezTo>
                  <a:pt x="1408038" y="172907"/>
                  <a:pt x="1405963" y="267894"/>
                  <a:pt x="1346157" y="323549"/>
                </a:cubicBezTo>
                <a:lnTo>
                  <a:pt x="1346157" y="323550"/>
                </a:lnTo>
                <a:lnTo>
                  <a:pt x="1237868" y="424321"/>
                </a:lnTo>
                <a:lnTo>
                  <a:pt x="1134214" y="312935"/>
                </a:lnTo>
                <a:lnTo>
                  <a:pt x="1134211" y="312933"/>
                </a:lnTo>
                <a:cubicBezTo>
                  <a:pt x="1076963" y="251415"/>
                  <a:pt x="1079038" y="156427"/>
                  <a:pt x="1138844" y="100772"/>
                </a:cubicBezTo>
                <a:lnTo>
                  <a:pt x="1138844" y="100772"/>
                </a:lnTo>
                <a:close/>
                <a:moveTo>
                  <a:pt x="2416531" y="737089"/>
                </a:moveTo>
                <a:lnTo>
                  <a:pt x="2355484" y="876459"/>
                </a:lnTo>
                <a:lnTo>
                  <a:pt x="2355483" y="876463"/>
                </a:lnTo>
                <a:cubicBezTo>
                  <a:pt x="2321766" y="953437"/>
                  <a:pt x="2233771" y="989265"/>
                  <a:pt x="2158938" y="956487"/>
                </a:cubicBezTo>
                <a:lnTo>
                  <a:pt x="2158938" y="956487"/>
                </a:lnTo>
                <a:lnTo>
                  <a:pt x="2023442" y="897137"/>
                </a:lnTo>
                <a:lnTo>
                  <a:pt x="2084489" y="757767"/>
                </a:lnTo>
                <a:lnTo>
                  <a:pt x="2084490" y="757763"/>
                </a:lnTo>
                <a:cubicBezTo>
                  <a:pt x="2118206" y="680789"/>
                  <a:pt x="2206202" y="644961"/>
                  <a:pt x="2281035" y="677739"/>
                </a:cubicBezTo>
                <a:lnTo>
                  <a:pt x="2281035" y="677739"/>
                </a:lnTo>
                <a:close/>
                <a:moveTo>
                  <a:pt x="1695493" y="73601"/>
                </a:moveTo>
                <a:lnTo>
                  <a:pt x="1752857" y="214527"/>
                </a:lnTo>
                <a:lnTo>
                  <a:pt x="1752859" y="214531"/>
                </a:lnTo>
                <a:cubicBezTo>
                  <a:pt x="1784541" y="292364"/>
                  <a:pt x="1748884" y="380429"/>
                  <a:pt x="1673216" y="411230"/>
                </a:cubicBezTo>
                <a:lnTo>
                  <a:pt x="1673216" y="411230"/>
                </a:lnTo>
                <a:lnTo>
                  <a:pt x="1536207" y="466999"/>
                </a:lnTo>
                <a:lnTo>
                  <a:pt x="1478843" y="326073"/>
                </a:lnTo>
                <a:lnTo>
                  <a:pt x="1478841" y="326069"/>
                </a:lnTo>
                <a:cubicBezTo>
                  <a:pt x="1447159" y="248236"/>
                  <a:pt x="1482817" y="160171"/>
                  <a:pt x="1558484" y="129370"/>
                </a:cubicBezTo>
                <a:lnTo>
                  <a:pt x="1558485" y="129370"/>
                </a:lnTo>
                <a:close/>
                <a:moveTo>
                  <a:pt x="2119183" y="312304"/>
                </a:moveTo>
                <a:lnTo>
                  <a:pt x="2119184" y="464458"/>
                </a:lnTo>
                <a:lnTo>
                  <a:pt x="2119184" y="464462"/>
                </a:lnTo>
                <a:cubicBezTo>
                  <a:pt x="2119184" y="548497"/>
                  <a:pt x="2052956" y="616620"/>
                  <a:pt x="1971260" y="616620"/>
                </a:cubicBezTo>
                <a:lnTo>
                  <a:pt x="1971259" y="616620"/>
                </a:lnTo>
                <a:lnTo>
                  <a:pt x="1823335" y="616620"/>
                </a:lnTo>
                <a:lnTo>
                  <a:pt x="1823335" y="464466"/>
                </a:lnTo>
                <a:lnTo>
                  <a:pt x="1823335" y="464462"/>
                </a:lnTo>
                <a:cubicBezTo>
                  <a:pt x="1823335" y="380427"/>
                  <a:pt x="1889563" y="312304"/>
                  <a:pt x="1971259" y="312304"/>
                </a:cubicBezTo>
                <a:lnTo>
                  <a:pt x="1971260" y="312304"/>
                </a:lnTo>
                <a:close/>
              </a:path>
            </a:pathLst>
          </a:custGeom>
          <a:gradFill>
            <a:gsLst>
              <a:gs pos="0">
                <a:sysClr val="window" lastClr="FFFFFF">
                  <a:lumMod val="85000"/>
                </a:sysClr>
              </a:gs>
              <a:gs pos="100000">
                <a:sysClr val="window" lastClr="FFFFFF">
                  <a:lumMod val="50000"/>
                </a:sysClr>
              </a:gs>
            </a:gsLst>
            <a:lin ang="5400000" scaled="1"/>
          </a:gra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113" name="Sun">
            <a:extLst>
              <a:ext uri="{FF2B5EF4-FFF2-40B4-BE49-F238E27FC236}">
                <a16:creationId xmlns:a16="http://schemas.microsoft.com/office/drawing/2014/main" id="{00000000-0008-0000-0500-000071000000}"/>
              </a:ext>
            </a:extLst>
          </xdr:cNvPr>
          <xdr:cNvSpPr/>
        </xdr:nvSpPr>
        <xdr:spPr>
          <a:xfrm rot="18324177">
            <a:off x="14829219" y="190232"/>
            <a:ext cx="942318" cy="930488"/>
          </a:xfrm>
          <a:prstGeom prst="ellipse">
            <a:avLst/>
          </a:prstGeom>
          <a:gradFill>
            <a:gsLst>
              <a:gs pos="0">
                <a:sysClr val="window" lastClr="FFFFFF">
                  <a:lumMod val="85000"/>
                </a:sysClr>
              </a:gs>
              <a:gs pos="100000">
                <a:sysClr val="window" lastClr="FFFFFF">
                  <a:lumMod val="50000"/>
                </a:sysClr>
              </a:gs>
            </a:gsLst>
            <a:lin ang="5400000" scaled="1"/>
          </a:gradFill>
          <a:ln w="12700" cap="flat" cmpd="sng" algn="ctr">
            <a:no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18</xdr:col>
      <xdr:colOff>691331</xdr:colOff>
      <xdr:row>1</xdr:row>
      <xdr:rowOff>20103</xdr:rowOff>
    </xdr:from>
    <xdr:to>
      <xdr:col>20</xdr:col>
      <xdr:colOff>728763</xdr:colOff>
      <xdr:row>4</xdr:row>
      <xdr:rowOff>26635</xdr:rowOff>
    </xdr:to>
    <xdr:sp macro="" textlink="Processing!I1">
      <xdr:nvSpPr>
        <xdr:cNvPr id="114" name="TextBox 113">
          <a:extLst>
            <a:ext uri="{FF2B5EF4-FFF2-40B4-BE49-F238E27FC236}">
              <a16:creationId xmlns:a16="http://schemas.microsoft.com/office/drawing/2014/main" id="{00000000-0008-0000-0500-000072000000}"/>
            </a:ext>
          </a:extLst>
        </xdr:cNvPr>
        <xdr:cNvSpPr txBox="1"/>
      </xdr:nvSpPr>
      <xdr:spPr>
        <a:xfrm>
          <a:off x="15550331" y="223303"/>
          <a:ext cx="1688432" cy="616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616529F7-6C3A-9D4C-98BF-28707077E6C5}" type="TxLink">
            <a:rPr lang="en-US" sz="1200" b="0" i="0" u="none" strike="noStrike" noProof="0">
              <a:solidFill>
                <a:srgbClr val="BFCDE4"/>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Today: 1 Settembre 2025</a:t>
          </a:fld>
          <a:endParaRPr lang="ru-RU" sz="1200" b="0" i="0" u="none" strike="noStrike" noProof="0">
            <a:solidFill>
              <a:srgbClr val="BFCDE4"/>
            </a:solidFill>
            <a:latin typeface="Calibri"/>
            <a:ea typeface="+mn-ea"/>
            <a:cs typeface="Calibri"/>
          </a:endParaRPr>
        </a:p>
      </xdr:txBody>
    </xdr:sp>
    <xdr:clientData/>
  </xdr:twoCellAnchor>
  <xdr:twoCellAnchor editAs="oneCell">
    <xdr:from>
      <xdr:col>3</xdr:col>
      <xdr:colOff>451224</xdr:colOff>
      <xdr:row>6</xdr:row>
      <xdr:rowOff>4490</xdr:rowOff>
    </xdr:from>
    <xdr:to>
      <xdr:col>17</xdr:col>
      <xdr:colOff>297202</xdr:colOff>
      <xdr:row>8</xdr:row>
      <xdr:rowOff>20162</xdr:rowOff>
    </xdr:to>
    <mc:AlternateContent xmlns:mc="http://schemas.openxmlformats.org/markup-compatibility/2006" xmlns:a14="http://schemas.microsoft.com/office/drawing/2010/main">
      <mc:Choice Requires="a14">
        <xdr:graphicFrame macro="">
          <xdr:nvGraphicFramePr>
            <xdr:cNvPr id="115" name="Mese 14">
              <a:extLst>
                <a:ext uri="{FF2B5EF4-FFF2-40B4-BE49-F238E27FC236}">
                  <a16:creationId xmlns:a16="http://schemas.microsoft.com/office/drawing/2014/main" id="{00000000-0008-0000-0500-000073000000}"/>
                </a:ext>
              </a:extLst>
            </xdr:cNvPr>
            <xdr:cNvGraphicFramePr/>
          </xdr:nvGraphicFramePr>
          <xdr:xfrm>
            <a:off x="0" y="0"/>
            <a:ext cx="0" cy="0"/>
          </xdr:xfrm>
          <a:graphic>
            <a:graphicData uri="http://schemas.microsoft.com/office/drawing/2010/slicer">
              <sle:slicer xmlns:sle="http://schemas.microsoft.com/office/drawing/2010/slicer" name="Mese 14"/>
            </a:graphicData>
          </a:graphic>
        </xdr:graphicFrame>
      </mc:Choice>
      <mc:Fallback xmlns="">
        <xdr:sp macro="" textlink="">
          <xdr:nvSpPr>
            <xdr:cNvPr id="0" name=""/>
            <xdr:cNvSpPr>
              <a:spLocks noTextEdit="1"/>
            </xdr:cNvSpPr>
          </xdr:nvSpPr>
          <xdr:spPr>
            <a:xfrm>
              <a:off x="2927724" y="1223690"/>
              <a:ext cx="11402978" cy="4220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459686</xdr:colOff>
      <xdr:row>6</xdr:row>
      <xdr:rowOff>4926</xdr:rowOff>
    </xdr:from>
    <xdr:to>
      <xdr:col>22</xdr:col>
      <xdr:colOff>143436</xdr:colOff>
      <xdr:row>8</xdr:row>
      <xdr:rowOff>19726</xdr:rowOff>
    </xdr:to>
    <mc:AlternateContent xmlns:mc="http://schemas.openxmlformats.org/markup-compatibility/2006" xmlns:a14="http://schemas.microsoft.com/office/drawing/2010/main">
      <mc:Choice Requires="a14">
        <xdr:graphicFrame macro="">
          <xdr:nvGraphicFramePr>
            <xdr:cNvPr id="116" name="Anno 6">
              <a:extLst>
                <a:ext uri="{FF2B5EF4-FFF2-40B4-BE49-F238E27FC236}">
                  <a16:creationId xmlns:a16="http://schemas.microsoft.com/office/drawing/2014/main" id="{00000000-0008-0000-0500-000074000000}"/>
                </a:ext>
              </a:extLst>
            </xdr:cNvPr>
            <xdr:cNvGraphicFramePr/>
          </xdr:nvGraphicFramePr>
          <xdr:xfrm>
            <a:off x="0" y="0"/>
            <a:ext cx="0" cy="0"/>
          </xdr:xfrm>
          <a:graphic>
            <a:graphicData uri="http://schemas.microsoft.com/office/drawing/2010/slicer">
              <sle:slicer xmlns:sle="http://schemas.microsoft.com/office/drawing/2010/slicer" name="Anno 6"/>
            </a:graphicData>
          </a:graphic>
        </xdr:graphicFrame>
      </mc:Choice>
      <mc:Fallback xmlns="">
        <xdr:sp macro="" textlink="">
          <xdr:nvSpPr>
            <xdr:cNvPr id="0" name=""/>
            <xdr:cNvSpPr>
              <a:spLocks noTextEdit="1"/>
            </xdr:cNvSpPr>
          </xdr:nvSpPr>
          <xdr:spPr>
            <a:xfrm>
              <a:off x="15318686" y="1224126"/>
              <a:ext cx="2985750" cy="421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6723</xdr:colOff>
      <xdr:row>115</xdr:row>
      <xdr:rowOff>80682</xdr:rowOff>
    </xdr:to>
    <xdr:sp macro="" textlink="">
      <xdr:nvSpPr>
        <xdr:cNvPr id="2" name="Rectangle 1">
          <a:extLst>
            <a:ext uri="{FF2B5EF4-FFF2-40B4-BE49-F238E27FC236}">
              <a16:creationId xmlns:a16="http://schemas.microsoft.com/office/drawing/2014/main" id="{00000000-0008-0000-0600-000002000000}"/>
            </a:ext>
          </a:extLst>
        </xdr:cNvPr>
        <xdr:cNvSpPr/>
      </xdr:nvSpPr>
      <xdr:spPr>
        <a:xfrm>
          <a:off x="0" y="0"/>
          <a:ext cx="2483223" cy="23448682"/>
        </a:xfrm>
        <a:prstGeom prst="rect">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17</xdr:col>
      <xdr:colOff>390712</xdr:colOff>
      <xdr:row>10</xdr:row>
      <xdr:rowOff>11952</xdr:rowOff>
    </xdr:from>
    <xdr:to>
      <xdr:col>22</xdr:col>
      <xdr:colOff>270435</xdr:colOff>
      <xdr:row>26</xdr:row>
      <xdr:rowOff>74752</xdr:rowOff>
    </xdr:to>
    <xdr:sp macro="" textlink="">
      <xdr:nvSpPr>
        <xdr:cNvPr id="3" name="Rectangle: Rounded Corners 2">
          <a:extLst>
            <a:ext uri="{FF2B5EF4-FFF2-40B4-BE49-F238E27FC236}">
              <a16:creationId xmlns:a16="http://schemas.microsoft.com/office/drawing/2014/main" id="{00000000-0008-0000-0600-000003000000}"/>
            </a:ext>
          </a:extLst>
        </xdr:cNvPr>
        <xdr:cNvSpPr/>
      </xdr:nvSpPr>
      <xdr:spPr>
        <a:xfrm>
          <a:off x="14424212" y="2043952"/>
          <a:ext cx="4007223" cy="3314000"/>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320486</xdr:colOff>
      <xdr:row>10</xdr:row>
      <xdr:rowOff>11952</xdr:rowOff>
    </xdr:from>
    <xdr:to>
      <xdr:col>10</xdr:col>
      <xdr:colOff>66009</xdr:colOff>
      <xdr:row>32</xdr:row>
      <xdr:rowOff>184140</xdr:rowOff>
    </xdr:to>
    <xdr:sp macro="" textlink="">
      <xdr:nvSpPr>
        <xdr:cNvPr id="4" name="Rectangle: Rounded Corners 3">
          <a:extLst>
            <a:ext uri="{FF2B5EF4-FFF2-40B4-BE49-F238E27FC236}">
              <a16:creationId xmlns:a16="http://schemas.microsoft.com/office/drawing/2014/main" id="{00000000-0008-0000-0600-000004000000}"/>
            </a:ext>
          </a:extLst>
        </xdr:cNvPr>
        <xdr:cNvSpPr/>
      </xdr:nvSpPr>
      <xdr:spPr>
        <a:xfrm>
          <a:off x="2796986" y="2043952"/>
          <a:ext cx="5524023" cy="4642588"/>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17</xdr:col>
      <xdr:colOff>390712</xdr:colOff>
      <xdr:row>27</xdr:row>
      <xdr:rowOff>158378</xdr:rowOff>
    </xdr:from>
    <xdr:to>
      <xdr:col>22</xdr:col>
      <xdr:colOff>270435</xdr:colOff>
      <xdr:row>47</xdr:row>
      <xdr:rowOff>155386</xdr:rowOff>
    </xdr:to>
    <xdr:sp macro="" textlink="">
      <xdr:nvSpPr>
        <xdr:cNvPr id="5" name="Rectangle: Rounded Corners 4">
          <a:extLst>
            <a:ext uri="{FF2B5EF4-FFF2-40B4-BE49-F238E27FC236}">
              <a16:creationId xmlns:a16="http://schemas.microsoft.com/office/drawing/2014/main" id="{00000000-0008-0000-0600-000005000000}"/>
            </a:ext>
          </a:extLst>
        </xdr:cNvPr>
        <xdr:cNvSpPr/>
      </xdr:nvSpPr>
      <xdr:spPr>
        <a:xfrm>
          <a:off x="14424212" y="5644778"/>
          <a:ext cx="4007223" cy="4061008"/>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320488</xdr:colOff>
      <xdr:row>34</xdr:row>
      <xdr:rowOff>67810</xdr:rowOff>
    </xdr:from>
    <xdr:to>
      <xdr:col>10</xdr:col>
      <xdr:colOff>66011</xdr:colOff>
      <xdr:row>47</xdr:row>
      <xdr:rowOff>155386</xdr:rowOff>
    </xdr:to>
    <xdr:sp macro="" textlink="">
      <xdr:nvSpPr>
        <xdr:cNvPr id="6" name="Rectangle: Rounded Corners 5">
          <a:extLst>
            <a:ext uri="{FF2B5EF4-FFF2-40B4-BE49-F238E27FC236}">
              <a16:creationId xmlns:a16="http://schemas.microsoft.com/office/drawing/2014/main" id="{00000000-0008-0000-0600-000006000000}"/>
            </a:ext>
          </a:extLst>
        </xdr:cNvPr>
        <xdr:cNvSpPr/>
      </xdr:nvSpPr>
      <xdr:spPr>
        <a:xfrm>
          <a:off x="2796988" y="6976610"/>
          <a:ext cx="5524023" cy="2729176"/>
        </a:xfrm>
        <a:prstGeom prst="roundRect">
          <a:avLst>
            <a:gd name="adj" fmla="val 8435"/>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597948</xdr:colOff>
      <xdr:row>10</xdr:row>
      <xdr:rowOff>72612</xdr:rowOff>
    </xdr:from>
    <xdr:to>
      <xdr:col>6</xdr:col>
      <xdr:colOff>145707</xdr:colOff>
      <xdr:row>13</xdr:row>
      <xdr:rowOff>106676</xdr:rowOff>
    </xdr:to>
    <xdr:sp macro="" textlink="Processing!S14">
      <xdr:nvSpPr>
        <xdr:cNvPr id="17" name="TextBox 16">
          <a:extLst>
            <a:ext uri="{FF2B5EF4-FFF2-40B4-BE49-F238E27FC236}">
              <a16:creationId xmlns:a16="http://schemas.microsoft.com/office/drawing/2014/main" id="{00000000-0008-0000-0600-000011000000}"/>
            </a:ext>
          </a:extLst>
        </xdr:cNvPr>
        <xdr:cNvSpPr txBox="1"/>
      </xdr:nvSpPr>
      <xdr:spPr>
        <a:xfrm>
          <a:off x="3074448" y="2104612"/>
          <a:ext cx="2024259" cy="643664"/>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81B1D904-BBA9-CE46-8B58-B018AA7D9F1E}" type="TxLink">
            <a:rPr kumimoji="0" lang="en-US" sz="1400" b="1"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Goal Decomposition</a:t>
          </a:fld>
          <a:endParaRPr kumimoji="0" lang="ru-RU" sz="1400" b="1"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8966</xdr:colOff>
      <xdr:row>27</xdr:row>
      <xdr:rowOff>61718</xdr:rowOff>
    </xdr:from>
    <xdr:to>
      <xdr:col>3</xdr:col>
      <xdr:colOff>58719</xdr:colOff>
      <xdr:row>29</xdr:row>
      <xdr:rowOff>157622</xdr:rowOff>
    </xdr:to>
    <xdr:sp macro="" textlink="">
      <xdr:nvSpPr>
        <xdr:cNvPr id="18" name="Freeform: Shape 24">
          <a:extLst>
            <a:ext uri="{FF2B5EF4-FFF2-40B4-BE49-F238E27FC236}">
              <a16:creationId xmlns:a16="http://schemas.microsoft.com/office/drawing/2014/main" id="{00000000-0008-0000-0600-000012000000}"/>
            </a:ext>
          </a:extLst>
        </xdr:cNvPr>
        <xdr:cNvSpPr/>
      </xdr:nvSpPr>
      <xdr:spPr>
        <a:xfrm>
          <a:off x="8966" y="5548118"/>
          <a:ext cx="2526253" cy="502304"/>
        </a:xfrm>
        <a:custGeom>
          <a:avLst/>
          <a:gdLst>
            <a:gd name="connsiteX0" fmla="*/ 0 w 2264319"/>
            <a:gd name="connsiteY0" fmla="*/ 0 h 555812"/>
            <a:gd name="connsiteX1" fmla="*/ 2189612 w 2264319"/>
            <a:gd name="connsiteY1" fmla="*/ 0 h 555812"/>
            <a:gd name="connsiteX2" fmla="*/ 2264319 w 2264319"/>
            <a:gd name="connsiteY2" fmla="*/ 74707 h 555812"/>
            <a:gd name="connsiteX3" fmla="*/ 2264319 w 2264319"/>
            <a:gd name="connsiteY3" fmla="*/ 481105 h 555812"/>
            <a:gd name="connsiteX4" fmla="*/ 2189612 w 2264319"/>
            <a:gd name="connsiteY4" fmla="*/ 555812 h 555812"/>
            <a:gd name="connsiteX5" fmla="*/ 0 w 2264319"/>
            <a:gd name="connsiteY5" fmla="*/ 555812 h 555812"/>
            <a:gd name="connsiteX6" fmla="*/ 0 w 2264319"/>
            <a:gd name="connsiteY6" fmla="*/ 0 h 555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264319" h="555812">
              <a:moveTo>
                <a:pt x="0" y="0"/>
              </a:moveTo>
              <a:lnTo>
                <a:pt x="2189612" y="0"/>
              </a:lnTo>
              <a:cubicBezTo>
                <a:pt x="2230872" y="0"/>
                <a:pt x="2264319" y="33447"/>
                <a:pt x="2264319" y="74707"/>
              </a:cubicBezTo>
              <a:lnTo>
                <a:pt x="2264319" y="481105"/>
              </a:lnTo>
              <a:cubicBezTo>
                <a:pt x="2264319" y="522365"/>
                <a:pt x="2230872" y="555812"/>
                <a:pt x="2189612" y="555812"/>
              </a:cubicBezTo>
              <a:lnTo>
                <a:pt x="0" y="555812"/>
              </a:lnTo>
              <a:lnTo>
                <a:pt x="0" y="0"/>
              </a:lnTo>
              <a:close/>
            </a:path>
          </a:pathLst>
        </a:custGeom>
        <a:gradFill flip="none" rotWithShape="1">
          <a:gsLst>
            <a:gs pos="1000">
              <a:srgbClr val="F28F33"/>
            </a:gs>
            <a:gs pos="76000">
              <a:srgbClr val="FE2827"/>
            </a:gs>
          </a:gsLst>
          <a:lin ang="0" scaled="0"/>
          <a:tileRect/>
        </a:gra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600192</xdr:colOff>
      <xdr:row>11</xdr:row>
      <xdr:rowOff>126400</xdr:rowOff>
    </xdr:from>
    <xdr:to>
      <xdr:col>2</xdr:col>
      <xdr:colOff>698883</xdr:colOff>
      <xdr:row>14</xdr:row>
      <xdr:rowOff>160466</xdr:rowOff>
    </xdr:to>
    <xdr:sp macro="" textlink="Processing!B1">
      <xdr:nvSpPr>
        <xdr:cNvPr id="19" name="TextBox 18">
          <a:hlinkClick xmlns:r="http://schemas.openxmlformats.org/officeDocument/2006/relationships" r:id="rId1"/>
          <a:extLst>
            <a:ext uri="{FF2B5EF4-FFF2-40B4-BE49-F238E27FC236}">
              <a16:creationId xmlns:a16="http://schemas.microsoft.com/office/drawing/2014/main" id="{00000000-0008-0000-0600-000013000000}"/>
            </a:ext>
          </a:extLst>
        </xdr:cNvPr>
        <xdr:cNvSpPr txBox="1"/>
      </xdr:nvSpPr>
      <xdr:spPr>
        <a:xfrm>
          <a:off x="600192" y="2361600"/>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59CDF9CD-B63D-594A-A12E-792C9847BAAF}"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Dashboard</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14</xdr:row>
      <xdr:rowOff>41236</xdr:rowOff>
    </xdr:from>
    <xdr:to>
      <xdr:col>2</xdr:col>
      <xdr:colOff>698883</xdr:colOff>
      <xdr:row>17</xdr:row>
      <xdr:rowOff>75302</xdr:rowOff>
    </xdr:to>
    <xdr:sp macro="" textlink="Processing!T1">
      <xdr:nvSpPr>
        <xdr:cNvPr id="20" name="TextBox 19">
          <a:hlinkClick xmlns:r="http://schemas.openxmlformats.org/officeDocument/2006/relationships" r:id="rId2"/>
          <a:extLst>
            <a:ext uri="{FF2B5EF4-FFF2-40B4-BE49-F238E27FC236}">
              <a16:creationId xmlns:a16="http://schemas.microsoft.com/office/drawing/2014/main" id="{00000000-0008-0000-0600-000014000000}"/>
            </a:ext>
          </a:extLst>
        </xdr:cNvPr>
        <xdr:cNvSpPr txBox="1"/>
      </xdr:nvSpPr>
      <xdr:spPr>
        <a:xfrm>
          <a:off x="600192" y="2886036"/>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22F6BC7A-6218-FE4B-BD4C-82975D89921A}"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Daily Budgeting</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16</xdr:row>
      <xdr:rowOff>144330</xdr:rowOff>
    </xdr:from>
    <xdr:to>
      <xdr:col>2</xdr:col>
      <xdr:colOff>698883</xdr:colOff>
      <xdr:row>19</xdr:row>
      <xdr:rowOff>193336</xdr:rowOff>
    </xdr:to>
    <xdr:sp macro="" textlink="Processing!B39">
      <xdr:nvSpPr>
        <xdr:cNvPr id="21" name="TextBox 20">
          <a:hlinkClick xmlns:r="http://schemas.openxmlformats.org/officeDocument/2006/relationships" r:id="rId3"/>
          <a:extLst>
            <a:ext uri="{FF2B5EF4-FFF2-40B4-BE49-F238E27FC236}">
              <a16:creationId xmlns:a16="http://schemas.microsoft.com/office/drawing/2014/main" id="{00000000-0008-0000-0600-000015000000}"/>
            </a:ext>
          </a:extLst>
        </xdr:cNvPr>
        <xdr:cNvSpPr txBox="1"/>
      </xdr:nvSpPr>
      <xdr:spPr>
        <a:xfrm>
          <a:off x="600192" y="3395530"/>
          <a:ext cx="1749691" cy="65860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19292586-EAC6-9640-BFE8-527369BFEC68}"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Income</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19</xdr:row>
      <xdr:rowOff>59166</xdr:rowOff>
    </xdr:from>
    <xdr:to>
      <xdr:col>2</xdr:col>
      <xdr:colOff>698883</xdr:colOff>
      <xdr:row>22</xdr:row>
      <xdr:rowOff>93231</xdr:rowOff>
    </xdr:to>
    <xdr:sp macro="" textlink="Processing!B63">
      <xdr:nvSpPr>
        <xdr:cNvPr id="22" name="TextBox 21">
          <a:hlinkClick xmlns:r="http://schemas.openxmlformats.org/officeDocument/2006/relationships" r:id="rId4"/>
          <a:extLst>
            <a:ext uri="{FF2B5EF4-FFF2-40B4-BE49-F238E27FC236}">
              <a16:creationId xmlns:a16="http://schemas.microsoft.com/office/drawing/2014/main" id="{00000000-0008-0000-0600-000016000000}"/>
            </a:ext>
          </a:extLst>
        </xdr:cNvPr>
        <xdr:cNvSpPr txBox="1"/>
      </xdr:nvSpPr>
      <xdr:spPr>
        <a:xfrm>
          <a:off x="600192" y="3919966"/>
          <a:ext cx="1749691" cy="643665"/>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3345AC39-B275-1648-A7F2-3948D24A4B92}"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Expenses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21</xdr:row>
      <xdr:rowOff>177201</xdr:rowOff>
    </xdr:from>
    <xdr:to>
      <xdr:col>2</xdr:col>
      <xdr:colOff>698883</xdr:colOff>
      <xdr:row>25</xdr:row>
      <xdr:rowOff>8067</xdr:rowOff>
    </xdr:to>
    <xdr:sp macro="" textlink="Processing!I17">
      <xdr:nvSpPr>
        <xdr:cNvPr id="23" name="TextBox 22">
          <a:hlinkClick xmlns:r="http://schemas.openxmlformats.org/officeDocument/2006/relationships" r:id="rId5"/>
          <a:extLst>
            <a:ext uri="{FF2B5EF4-FFF2-40B4-BE49-F238E27FC236}">
              <a16:creationId xmlns:a16="http://schemas.microsoft.com/office/drawing/2014/main" id="{00000000-0008-0000-0600-000017000000}"/>
            </a:ext>
          </a:extLst>
        </xdr:cNvPr>
        <xdr:cNvSpPr txBox="1"/>
      </xdr:nvSpPr>
      <xdr:spPr>
        <a:xfrm>
          <a:off x="600192" y="4444401"/>
          <a:ext cx="1749691"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ACD94660-E0BC-8749-A589-0A96BB64233A}"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Investments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24</xdr:row>
      <xdr:rowOff>77096</xdr:rowOff>
    </xdr:from>
    <xdr:to>
      <xdr:col>2</xdr:col>
      <xdr:colOff>698883</xdr:colOff>
      <xdr:row>27</xdr:row>
      <xdr:rowOff>126102</xdr:rowOff>
    </xdr:to>
    <xdr:sp macro="" textlink="Processing!B18">
      <xdr:nvSpPr>
        <xdr:cNvPr id="24" name="TextBox 23">
          <a:hlinkClick xmlns:r="http://schemas.openxmlformats.org/officeDocument/2006/relationships" r:id="rId6"/>
          <a:extLst>
            <a:ext uri="{FF2B5EF4-FFF2-40B4-BE49-F238E27FC236}">
              <a16:creationId xmlns:a16="http://schemas.microsoft.com/office/drawing/2014/main" id="{00000000-0008-0000-0600-000018000000}"/>
            </a:ext>
          </a:extLst>
        </xdr:cNvPr>
        <xdr:cNvSpPr txBox="1"/>
      </xdr:nvSpPr>
      <xdr:spPr>
        <a:xfrm>
          <a:off x="600192" y="4953896"/>
          <a:ext cx="1749691" cy="65860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4F603978-2644-7C46-99B5-2D952D9A297C}"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Debts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600192</xdr:colOff>
      <xdr:row>26</xdr:row>
      <xdr:rowOff>195133</xdr:rowOff>
    </xdr:from>
    <xdr:to>
      <xdr:col>2</xdr:col>
      <xdr:colOff>698883</xdr:colOff>
      <xdr:row>30</xdr:row>
      <xdr:rowOff>25997</xdr:rowOff>
    </xdr:to>
    <xdr:sp macro="" textlink="Processing!R13">
      <xdr:nvSpPr>
        <xdr:cNvPr id="25" name="TextBox 24">
          <a:extLst>
            <a:ext uri="{FF2B5EF4-FFF2-40B4-BE49-F238E27FC236}">
              <a16:creationId xmlns:a16="http://schemas.microsoft.com/office/drawing/2014/main" id="{00000000-0008-0000-0600-000019000000}"/>
            </a:ext>
          </a:extLst>
        </xdr:cNvPr>
        <xdr:cNvSpPr txBox="1"/>
      </xdr:nvSpPr>
      <xdr:spPr>
        <a:xfrm>
          <a:off x="600192" y="5478333"/>
          <a:ext cx="1749691" cy="643664"/>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4C9EAD5B-F621-684E-9314-748A277AEE4D}" type="TxLink">
            <a:rPr kumimoji="0" lang="en-US" sz="1400" b="0"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Financial Goals</a:t>
          </a:fld>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276340</xdr:colOff>
      <xdr:row>12</xdr:row>
      <xdr:rowOff>116933</xdr:rowOff>
    </xdr:from>
    <xdr:to>
      <xdr:col>0</xdr:col>
      <xdr:colOff>528340</xdr:colOff>
      <xdr:row>13</xdr:row>
      <xdr:rowOff>177088</xdr:rowOff>
    </xdr:to>
    <xdr:sp macro="" textlink="">
      <xdr:nvSpPr>
        <xdr:cNvPr id="26" name="Freeform: Shape 32">
          <a:extLst>
            <a:ext uri="{FF2B5EF4-FFF2-40B4-BE49-F238E27FC236}">
              <a16:creationId xmlns:a16="http://schemas.microsoft.com/office/drawing/2014/main" id="{00000000-0008-0000-0600-00001A000000}"/>
            </a:ext>
          </a:extLst>
        </xdr:cNvPr>
        <xdr:cNvSpPr/>
      </xdr:nvSpPr>
      <xdr:spPr>
        <a:xfrm>
          <a:off x="276340" y="2555333"/>
          <a:ext cx="252000" cy="263355"/>
        </a:xfrm>
        <a:custGeom>
          <a:avLst/>
          <a:gdLst>
            <a:gd name="connsiteX0" fmla="*/ 0 w 2612439"/>
            <a:gd name="connsiteY0" fmla="*/ 1633347 h 2629917"/>
            <a:gd name="connsiteX1" fmla="*/ 914400 w 2612439"/>
            <a:gd name="connsiteY1" fmla="*/ 1633347 h 2629917"/>
            <a:gd name="connsiteX2" fmla="*/ 914400 w 2612439"/>
            <a:gd name="connsiteY2" fmla="*/ 2629917 h 2629917"/>
            <a:gd name="connsiteX3" fmla="*/ 0 w 2612439"/>
            <a:gd name="connsiteY3" fmla="*/ 2629917 h 2629917"/>
            <a:gd name="connsiteX4" fmla="*/ 1165379 w 2612439"/>
            <a:gd name="connsiteY4" fmla="*/ 1076325 h 2629917"/>
            <a:gd name="connsiteX5" fmla="*/ 2612439 w 2612439"/>
            <a:gd name="connsiteY5" fmla="*/ 1076325 h 2629917"/>
            <a:gd name="connsiteX6" fmla="*/ 2612439 w 2612439"/>
            <a:gd name="connsiteY6" fmla="*/ 2629917 h 2629917"/>
            <a:gd name="connsiteX7" fmla="*/ 1165379 w 2612439"/>
            <a:gd name="connsiteY7" fmla="*/ 2629917 h 2629917"/>
            <a:gd name="connsiteX8" fmla="*/ 1165379 w 2612439"/>
            <a:gd name="connsiteY8" fmla="*/ 0 h 2629917"/>
            <a:gd name="connsiteX9" fmla="*/ 2612439 w 2612439"/>
            <a:gd name="connsiteY9" fmla="*/ 0 h 2629917"/>
            <a:gd name="connsiteX10" fmla="*/ 2612439 w 2612439"/>
            <a:gd name="connsiteY10" fmla="*/ 847725 h 2629917"/>
            <a:gd name="connsiteX11" fmla="*/ 1165379 w 2612439"/>
            <a:gd name="connsiteY11" fmla="*/ 847725 h 2629917"/>
            <a:gd name="connsiteX12" fmla="*/ 0 w 2612439"/>
            <a:gd name="connsiteY12" fmla="*/ 0 h 2629917"/>
            <a:gd name="connsiteX13" fmla="*/ 914400 w 2612439"/>
            <a:gd name="connsiteY13" fmla="*/ 0 h 2629917"/>
            <a:gd name="connsiteX14" fmla="*/ 914400 w 2612439"/>
            <a:gd name="connsiteY14" fmla="*/ 1428750 h 2629917"/>
            <a:gd name="connsiteX15" fmla="*/ 0 w 2612439"/>
            <a:gd name="connsiteY15" fmla="*/ 1428750 h 2629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612439" h="2629917">
              <a:moveTo>
                <a:pt x="0" y="1633347"/>
              </a:moveTo>
              <a:lnTo>
                <a:pt x="914400" y="1633347"/>
              </a:lnTo>
              <a:lnTo>
                <a:pt x="914400" y="2629917"/>
              </a:lnTo>
              <a:lnTo>
                <a:pt x="0" y="2629917"/>
              </a:lnTo>
              <a:close/>
              <a:moveTo>
                <a:pt x="1165379" y="1076325"/>
              </a:moveTo>
              <a:lnTo>
                <a:pt x="2612439" y="1076325"/>
              </a:lnTo>
              <a:lnTo>
                <a:pt x="2612439" y="2629917"/>
              </a:lnTo>
              <a:lnTo>
                <a:pt x="1165379" y="2629917"/>
              </a:lnTo>
              <a:close/>
              <a:moveTo>
                <a:pt x="1165379" y="0"/>
              </a:moveTo>
              <a:lnTo>
                <a:pt x="2612439" y="0"/>
              </a:lnTo>
              <a:lnTo>
                <a:pt x="2612439" y="847725"/>
              </a:lnTo>
              <a:lnTo>
                <a:pt x="1165379" y="847725"/>
              </a:lnTo>
              <a:close/>
              <a:moveTo>
                <a:pt x="0" y="0"/>
              </a:moveTo>
              <a:lnTo>
                <a:pt x="914400" y="0"/>
              </a:lnTo>
              <a:lnTo>
                <a:pt x="914400" y="1428750"/>
              </a:lnTo>
              <a:lnTo>
                <a:pt x="0" y="1428750"/>
              </a:lnTo>
              <a:close/>
            </a:path>
          </a:pathLst>
        </a:custGeom>
        <a:solidFill>
          <a:sysClr val="window" lastClr="FFFFFF"/>
        </a:soli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276340</xdr:colOff>
      <xdr:row>17</xdr:row>
      <xdr:rowOff>133538</xdr:rowOff>
    </xdr:from>
    <xdr:to>
      <xdr:col>0</xdr:col>
      <xdr:colOff>528340</xdr:colOff>
      <xdr:row>19</xdr:row>
      <xdr:rowOff>1848</xdr:rowOff>
    </xdr:to>
    <xdr:sp macro="" textlink="">
      <xdr:nvSpPr>
        <xdr:cNvPr id="27" name="Freeform: Shape 33">
          <a:extLst>
            <a:ext uri="{FF2B5EF4-FFF2-40B4-BE49-F238E27FC236}">
              <a16:creationId xmlns:a16="http://schemas.microsoft.com/office/drawing/2014/main" id="{00000000-0008-0000-0600-00001B000000}"/>
            </a:ext>
          </a:extLst>
        </xdr:cNvPr>
        <xdr:cNvSpPr/>
      </xdr:nvSpPr>
      <xdr:spPr>
        <a:xfrm>
          <a:off x="276340" y="3587938"/>
          <a:ext cx="252000" cy="274710"/>
        </a:xfrm>
        <a:custGeom>
          <a:avLst/>
          <a:gdLst>
            <a:gd name="connsiteX0" fmla="*/ 478368 w 2434877"/>
            <a:gd name="connsiteY0" fmla="*/ 1660447 h 2669419"/>
            <a:gd name="connsiteX1" fmla="*/ 478368 w 2434877"/>
            <a:gd name="connsiteY1" fmla="*/ 2669419 h 2669419"/>
            <a:gd name="connsiteX2" fmla="*/ 4662 w 2434877"/>
            <a:gd name="connsiteY2" fmla="*/ 2669419 h 2669419"/>
            <a:gd name="connsiteX3" fmla="*/ 14134 w 2434877"/>
            <a:gd name="connsiteY3" fmla="*/ 2124668 h 2669419"/>
            <a:gd name="connsiteX4" fmla="*/ 805273 w 2434877"/>
            <a:gd name="connsiteY4" fmla="*/ 1333554 h 2669419"/>
            <a:gd name="connsiteX5" fmla="*/ 1072919 w 2434877"/>
            <a:gd name="connsiteY5" fmla="*/ 1601215 h 2669419"/>
            <a:gd name="connsiteX6" fmla="*/ 1072919 w 2434877"/>
            <a:gd name="connsiteY6" fmla="*/ 2664691 h 2669419"/>
            <a:gd name="connsiteX7" fmla="*/ 606315 w 2434877"/>
            <a:gd name="connsiteY7" fmla="*/ 2669407 h 2669419"/>
            <a:gd name="connsiteX8" fmla="*/ 606315 w 2434877"/>
            <a:gd name="connsiteY8" fmla="*/ 1532527 h 2669419"/>
            <a:gd name="connsiteX9" fmla="*/ 1681683 w 2434877"/>
            <a:gd name="connsiteY9" fmla="*/ 1139327 h 2669419"/>
            <a:gd name="connsiteX10" fmla="*/ 1681683 w 2434877"/>
            <a:gd name="connsiteY10" fmla="*/ 2669400 h 2669419"/>
            <a:gd name="connsiteX11" fmla="*/ 1217448 w 2434877"/>
            <a:gd name="connsiteY11" fmla="*/ 2659932 h 2669419"/>
            <a:gd name="connsiteX12" fmla="*/ 1217448 w 2434877"/>
            <a:gd name="connsiteY12" fmla="*/ 1603584 h 2669419"/>
            <a:gd name="connsiteX13" fmla="*/ 2288060 w 2434877"/>
            <a:gd name="connsiteY13" fmla="*/ 528130 h 2669419"/>
            <a:gd name="connsiteX14" fmla="*/ 2288060 w 2434877"/>
            <a:gd name="connsiteY14" fmla="*/ 2659908 h 2669419"/>
            <a:gd name="connsiteX15" fmla="*/ 1814372 w 2434877"/>
            <a:gd name="connsiteY15" fmla="*/ 2664660 h 2669419"/>
            <a:gd name="connsiteX16" fmla="*/ 1814372 w 2434877"/>
            <a:gd name="connsiteY16" fmla="*/ 1001818 h 2669419"/>
            <a:gd name="connsiteX17" fmla="*/ 1987216 w 2434877"/>
            <a:gd name="connsiteY17" fmla="*/ 0 h 2669419"/>
            <a:gd name="connsiteX18" fmla="*/ 2434877 w 2434877"/>
            <a:gd name="connsiteY18" fmla="*/ 0 h 2669419"/>
            <a:gd name="connsiteX19" fmla="*/ 2434877 w 2434877"/>
            <a:gd name="connsiteY19" fmla="*/ 461881 h 2669419"/>
            <a:gd name="connsiteX20" fmla="*/ 2323528 w 2434877"/>
            <a:gd name="connsiteY20" fmla="*/ 350532 h 2669419"/>
            <a:gd name="connsiteX21" fmla="*/ 1141637 w 2434877"/>
            <a:gd name="connsiteY21" fmla="*/ 1532450 h 2669419"/>
            <a:gd name="connsiteX22" fmla="*/ 817147 w 2434877"/>
            <a:gd name="connsiteY22" fmla="*/ 1207945 h 2669419"/>
            <a:gd name="connsiteX23" fmla="*/ 0 w 2434877"/>
            <a:gd name="connsiteY23" fmla="*/ 2001422 h 2669419"/>
            <a:gd name="connsiteX24" fmla="*/ 0 w 2434877"/>
            <a:gd name="connsiteY24" fmla="*/ 1532450 h 2669419"/>
            <a:gd name="connsiteX25" fmla="*/ 805303 w 2434877"/>
            <a:gd name="connsiteY25" fmla="*/ 727129 h 2669419"/>
            <a:gd name="connsiteX26" fmla="*/ 1146374 w 2434877"/>
            <a:gd name="connsiteY26" fmla="*/ 1068193 h 2669419"/>
            <a:gd name="connsiteX27" fmla="*/ 2100904 w 2434877"/>
            <a:gd name="connsiteY27" fmla="*/ 113688 h 26694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2434877" h="2669419">
              <a:moveTo>
                <a:pt x="478368" y="1660447"/>
              </a:moveTo>
              <a:lnTo>
                <a:pt x="478368" y="2669419"/>
              </a:lnTo>
              <a:lnTo>
                <a:pt x="4662" y="2669419"/>
              </a:lnTo>
              <a:lnTo>
                <a:pt x="14134" y="2124668"/>
              </a:lnTo>
              <a:close/>
              <a:moveTo>
                <a:pt x="805273" y="1333554"/>
              </a:moveTo>
              <a:lnTo>
                <a:pt x="1072919" y="1601215"/>
              </a:lnTo>
              <a:lnTo>
                <a:pt x="1072919" y="2664691"/>
              </a:lnTo>
              <a:lnTo>
                <a:pt x="606315" y="2669407"/>
              </a:lnTo>
              <a:lnTo>
                <a:pt x="606315" y="1532527"/>
              </a:lnTo>
              <a:close/>
              <a:moveTo>
                <a:pt x="1681683" y="1139327"/>
              </a:moveTo>
              <a:lnTo>
                <a:pt x="1681683" y="2669400"/>
              </a:lnTo>
              <a:lnTo>
                <a:pt x="1217448" y="2659932"/>
              </a:lnTo>
              <a:lnTo>
                <a:pt x="1217448" y="1603584"/>
              </a:lnTo>
              <a:close/>
              <a:moveTo>
                <a:pt x="2288060" y="528130"/>
              </a:moveTo>
              <a:lnTo>
                <a:pt x="2288060" y="2659908"/>
              </a:lnTo>
              <a:lnTo>
                <a:pt x="1814372" y="2664660"/>
              </a:lnTo>
              <a:lnTo>
                <a:pt x="1814372" y="1001818"/>
              </a:lnTo>
              <a:close/>
              <a:moveTo>
                <a:pt x="1987216" y="0"/>
              </a:moveTo>
              <a:lnTo>
                <a:pt x="2434877" y="0"/>
              </a:lnTo>
              <a:lnTo>
                <a:pt x="2434877" y="461881"/>
              </a:lnTo>
              <a:lnTo>
                <a:pt x="2323528" y="350532"/>
              </a:lnTo>
              <a:lnTo>
                <a:pt x="1141637" y="1532450"/>
              </a:lnTo>
              <a:lnTo>
                <a:pt x="817147" y="1207945"/>
              </a:lnTo>
              <a:lnTo>
                <a:pt x="0" y="2001422"/>
              </a:lnTo>
              <a:lnTo>
                <a:pt x="0" y="1532450"/>
              </a:lnTo>
              <a:lnTo>
                <a:pt x="805303" y="727129"/>
              </a:lnTo>
              <a:lnTo>
                <a:pt x="1146374" y="1068193"/>
              </a:lnTo>
              <a:lnTo>
                <a:pt x="2100904" y="113688"/>
              </a:lnTo>
              <a:close/>
            </a:path>
          </a:pathLst>
        </a:custGeom>
        <a:solidFill>
          <a:sysClr val="window" lastClr="FFFFFF"/>
        </a:solidFill>
        <a:ln w="6350" cap="flat">
          <a:solidFill>
            <a:sysClr val="windowText" lastClr="000000"/>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294340</xdr:colOff>
      <xdr:row>15</xdr:row>
      <xdr:rowOff>29313</xdr:rowOff>
    </xdr:from>
    <xdr:to>
      <xdr:col>0</xdr:col>
      <xdr:colOff>510340</xdr:colOff>
      <xdr:row>16</xdr:row>
      <xdr:rowOff>89468</xdr:rowOff>
    </xdr:to>
    <xdr:sp macro="" textlink="">
      <xdr:nvSpPr>
        <xdr:cNvPr id="28" name="Freeform: Shape 34">
          <a:extLst>
            <a:ext uri="{FF2B5EF4-FFF2-40B4-BE49-F238E27FC236}">
              <a16:creationId xmlns:a16="http://schemas.microsoft.com/office/drawing/2014/main" id="{00000000-0008-0000-0600-00001C000000}"/>
            </a:ext>
          </a:extLst>
        </xdr:cNvPr>
        <xdr:cNvSpPr/>
      </xdr:nvSpPr>
      <xdr:spPr>
        <a:xfrm>
          <a:off x="294340" y="3077313"/>
          <a:ext cx="216000" cy="263355"/>
        </a:xfrm>
        <a:custGeom>
          <a:avLst/>
          <a:gdLst>
            <a:gd name="connsiteX0" fmla="*/ 1038471 w 1997598"/>
            <a:gd name="connsiteY0" fmla="*/ 1798798 h 2622542"/>
            <a:gd name="connsiteX1" fmla="*/ 1083642 w 1997598"/>
            <a:gd name="connsiteY1" fmla="*/ 1825060 h 2622542"/>
            <a:gd name="connsiteX2" fmla="*/ 1097649 w 1997598"/>
            <a:gd name="connsiteY2" fmla="*/ 1865328 h 2622542"/>
            <a:gd name="connsiteX3" fmla="*/ 1081191 w 1997598"/>
            <a:gd name="connsiteY3" fmla="*/ 1911202 h 2622542"/>
            <a:gd name="connsiteX4" fmla="*/ 1038471 w 1997598"/>
            <a:gd name="connsiteY4" fmla="*/ 1935364 h 2622542"/>
            <a:gd name="connsiteX5" fmla="*/ 987696 w 1997598"/>
            <a:gd name="connsiteY5" fmla="*/ 1562783 h 2622542"/>
            <a:gd name="connsiteX6" fmla="*/ 987696 w 1997598"/>
            <a:gd name="connsiteY6" fmla="*/ 1683942 h 2622542"/>
            <a:gd name="connsiteX7" fmla="*/ 953730 w 1997598"/>
            <a:gd name="connsiteY7" fmla="*/ 1658378 h 2622542"/>
            <a:gd name="connsiteX8" fmla="*/ 942524 w 1997598"/>
            <a:gd name="connsiteY8" fmla="*/ 1623713 h 2622542"/>
            <a:gd name="connsiteX9" fmla="*/ 954780 w 1997598"/>
            <a:gd name="connsiteY9" fmla="*/ 1586593 h 2622542"/>
            <a:gd name="connsiteX10" fmla="*/ 987696 w 1997598"/>
            <a:gd name="connsiteY10" fmla="*/ 1562783 h 2622542"/>
            <a:gd name="connsiteX11" fmla="*/ 987696 w 1997598"/>
            <a:gd name="connsiteY11" fmla="*/ 1451780 h 2622542"/>
            <a:gd name="connsiteX12" fmla="*/ 987696 w 1997598"/>
            <a:gd name="connsiteY12" fmla="*/ 1486445 h 2622542"/>
            <a:gd name="connsiteX13" fmla="*/ 891050 w 1997598"/>
            <a:gd name="connsiteY13" fmla="*/ 1531616 h 2622542"/>
            <a:gd name="connsiteX14" fmla="*/ 854984 w 1997598"/>
            <a:gd name="connsiteY14" fmla="*/ 1627914 h 2622542"/>
            <a:gd name="connsiteX15" fmla="*/ 886849 w 1997598"/>
            <a:gd name="connsiteY15" fmla="*/ 1724560 h 2622542"/>
            <a:gd name="connsiteX16" fmla="*/ 987696 w 1997598"/>
            <a:gd name="connsiteY16" fmla="*/ 1783738 h 2622542"/>
            <a:gd name="connsiteX17" fmla="*/ 987696 w 1997598"/>
            <a:gd name="connsiteY17" fmla="*/ 1930460 h 2622542"/>
            <a:gd name="connsiteX18" fmla="*/ 953379 w 1997598"/>
            <a:gd name="connsiteY18" fmla="*/ 1901047 h 2622542"/>
            <a:gd name="connsiteX19" fmla="*/ 932368 w 1997598"/>
            <a:gd name="connsiteY19" fmla="*/ 1852725 h 2622542"/>
            <a:gd name="connsiteX20" fmla="*/ 840974 w 1997598"/>
            <a:gd name="connsiteY20" fmla="*/ 1862529 h 2622542"/>
            <a:gd name="connsiteX21" fmla="*/ 889297 w 1997598"/>
            <a:gd name="connsiteY21" fmla="*/ 1969329 h 2622542"/>
            <a:gd name="connsiteX22" fmla="*/ 987696 w 1997598"/>
            <a:gd name="connsiteY22" fmla="*/ 2014502 h 2622542"/>
            <a:gd name="connsiteX23" fmla="*/ 987696 w 1997598"/>
            <a:gd name="connsiteY23" fmla="*/ 2078232 h 2622542"/>
            <a:gd name="connsiteX24" fmla="*/ 1038471 w 1997598"/>
            <a:gd name="connsiteY24" fmla="*/ 2078232 h 2622542"/>
            <a:gd name="connsiteX25" fmla="*/ 1038471 w 1997598"/>
            <a:gd name="connsiteY25" fmla="*/ 2012749 h 2622542"/>
            <a:gd name="connsiteX26" fmla="*/ 1144921 w 1997598"/>
            <a:gd name="connsiteY26" fmla="*/ 1959525 h 2622542"/>
            <a:gd name="connsiteX27" fmla="*/ 1183440 w 1997598"/>
            <a:gd name="connsiteY27" fmla="*/ 1852725 h 2622542"/>
            <a:gd name="connsiteX28" fmla="*/ 1152976 w 1997598"/>
            <a:gd name="connsiteY28" fmla="*/ 1759928 h 2622542"/>
            <a:gd name="connsiteX29" fmla="*/ 1038471 w 1997598"/>
            <a:gd name="connsiteY29" fmla="*/ 1700750 h 2622542"/>
            <a:gd name="connsiteX30" fmla="*/ 1038471 w 1997598"/>
            <a:gd name="connsiteY30" fmla="*/ 1563833 h 2622542"/>
            <a:gd name="connsiteX31" fmla="*/ 1080492 w 1997598"/>
            <a:gd name="connsiteY31" fmla="*/ 1619859 h 2622542"/>
            <a:gd name="connsiteX32" fmla="*/ 1169083 w 1997598"/>
            <a:gd name="connsiteY32" fmla="*/ 1608306 h 2622542"/>
            <a:gd name="connsiteX33" fmla="*/ 1127065 w 1997598"/>
            <a:gd name="connsiteY33" fmla="*/ 1524616 h 2622542"/>
            <a:gd name="connsiteX34" fmla="*/ 1038471 w 1997598"/>
            <a:gd name="connsiteY34" fmla="*/ 1486445 h 2622542"/>
            <a:gd name="connsiteX35" fmla="*/ 1038471 w 1997598"/>
            <a:gd name="connsiteY35" fmla="*/ 1451780 h 2622542"/>
            <a:gd name="connsiteX36" fmla="*/ 1018529 w 1997598"/>
            <a:gd name="connsiteY36" fmla="*/ 1275937 h 2622542"/>
            <a:gd name="connsiteX37" fmla="*/ 1488375 w 1997598"/>
            <a:gd name="connsiteY37" fmla="*/ 1745783 h 2622542"/>
            <a:gd name="connsiteX38" fmla="*/ 1018529 w 1997598"/>
            <a:gd name="connsiteY38" fmla="*/ 2215629 h 2622542"/>
            <a:gd name="connsiteX39" fmla="*/ 548683 w 1997598"/>
            <a:gd name="connsiteY39" fmla="*/ 1745783 h 2622542"/>
            <a:gd name="connsiteX40" fmla="*/ 1018529 w 1997598"/>
            <a:gd name="connsiteY40" fmla="*/ 1275937 h 2622542"/>
            <a:gd name="connsiteX41" fmla="*/ 1018529 w 1997598"/>
            <a:gd name="connsiteY41" fmla="*/ 1183712 h 2622542"/>
            <a:gd name="connsiteX42" fmla="*/ 456458 w 1997598"/>
            <a:gd name="connsiteY42" fmla="*/ 1745783 h 2622542"/>
            <a:gd name="connsiteX43" fmla="*/ 1018529 w 1997598"/>
            <a:gd name="connsiteY43" fmla="*/ 2307854 h 2622542"/>
            <a:gd name="connsiteX44" fmla="*/ 1580600 w 1997598"/>
            <a:gd name="connsiteY44" fmla="*/ 1745783 h 2622542"/>
            <a:gd name="connsiteX45" fmla="*/ 1018529 w 1997598"/>
            <a:gd name="connsiteY45" fmla="*/ 1183712 h 2622542"/>
            <a:gd name="connsiteX46" fmla="*/ 664325 w 1997598"/>
            <a:gd name="connsiteY46" fmla="*/ 707629 h 2622542"/>
            <a:gd name="connsiteX47" fmla="*/ 1314151 w 1997598"/>
            <a:gd name="connsiteY47" fmla="*/ 707629 h 2622542"/>
            <a:gd name="connsiteX48" fmla="*/ 1997478 w 1997598"/>
            <a:gd name="connsiteY48" fmla="*/ 1799581 h 2622542"/>
            <a:gd name="connsiteX49" fmla="*/ 1568718 w 1997598"/>
            <a:gd name="connsiteY49" fmla="*/ 2622542 h 2622542"/>
            <a:gd name="connsiteX50" fmla="*/ 429850 w 1997598"/>
            <a:gd name="connsiteY50" fmla="*/ 2615846 h 2622542"/>
            <a:gd name="connsiteX51" fmla="*/ 1100 w 1997598"/>
            <a:gd name="connsiteY51" fmla="*/ 1792886 h 2622542"/>
            <a:gd name="connsiteX52" fmla="*/ 664325 w 1997598"/>
            <a:gd name="connsiteY52" fmla="*/ 707629 h 2622542"/>
            <a:gd name="connsiteX53" fmla="*/ 986902 w 1997598"/>
            <a:gd name="connsiteY53" fmla="*/ 180 h 2622542"/>
            <a:gd name="connsiteX54" fmla="*/ 1253856 w 1997598"/>
            <a:gd name="connsiteY54" fmla="*/ 231858 h 2622542"/>
            <a:gd name="connsiteX55" fmla="*/ 1602233 w 1997598"/>
            <a:gd name="connsiteY55" fmla="*/ 211770 h 2622542"/>
            <a:gd name="connsiteX56" fmla="*/ 1307453 w 1997598"/>
            <a:gd name="connsiteY56" fmla="*/ 647228 h 2622542"/>
            <a:gd name="connsiteX57" fmla="*/ 1253841 w 1997598"/>
            <a:gd name="connsiteY57" fmla="*/ 646050 h 2622542"/>
            <a:gd name="connsiteX58" fmla="*/ 1307042 w 1997598"/>
            <a:gd name="connsiteY58" fmla="*/ 424909 h 2622542"/>
            <a:gd name="connsiteX59" fmla="*/ 1275900 w 1997598"/>
            <a:gd name="connsiteY59" fmla="*/ 369830 h 2622542"/>
            <a:gd name="connsiteX60" fmla="*/ 1275900 w 1997598"/>
            <a:gd name="connsiteY60" fmla="*/ 369830 h 2622542"/>
            <a:gd name="connsiteX61" fmla="*/ 1224136 w 1997598"/>
            <a:gd name="connsiteY61" fmla="*/ 400473 h 2622542"/>
            <a:gd name="connsiteX62" fmla="*/ 1165526 w 1997598"/>
            <a:gd name="connsiteY62" fmla="*/ 644109 h 2622542"/>
            <a:gd name="connsiteX63" fmla="*/ 1041982 w 1997598"/>
            <a:gd name="connsiteY63" fmla="*/ 641396 h 2622542"/>
            <a:gd name="connsiteX64" fmla="*/ 1041017 w 1997598"/>
            <a:gd name="connsiteY64" fmla="*/ 583209 h 2622542"/>
            <a:gd name="connsiteX65" fmla="*/ 997569 w 1997598"/>
            <a:gd name="connsiteY65" fmla="*/ 537907 h 2622542"/>
            <a:gd name="connsiteX66" fmla="*/ 997570 w 1997598"/>
            <a:gd name="connsiteY66" fmla="*/ 537908 h 2622542"/>
            <a:gd name="connsiteX67" fmla="*/ 955600 w 1997598"/>
            <a:gd name="connsiteY67" fmla="*/ 581732 h 2622542"/>
            <a:gd name="connsiteX68" fmla="*/ 956559 w 1997598"/>
            <a:gd name="connsiteY68" fmla="*/ 639518 h 2622542"/>
            <a:gd name="connsiteX69" fmla="*/ 845567 w 1997598"/>
            <a:gd name="connsiteY69" fmla="*/ 637080 h 2622542"/>
            <a:gd name="connsiteX70" fmla="*/ 799761 w 1997598"/>
            <a:gd name="connsiteY70" fmla="*/ 506078 h 2622542"/>
            <a:gd name="connsiteX71" fmla="*/ 744896 w 1997598"/>
            <a:gd name="connsiteY71" fmla="*/ 477778 h 2622542"/>
            <a:gd name="connsiteX72" fmla="*/ 744897 w 1997598"/>
            <a:gd name="connsiteY72" fmla="*/ 477779 h 2622542"/>
            <a:gd name="connsiteX73" fmla="*/ 719619 w 1997598"/>
            <a:gd name="connsiteY73" fmla="*/ 534100 h 2622542"/>
            <a:gd name="connsiteX74" fmla="*/ 754930 w 1997598"/>
            <a:gd name="connsiteY74" fmla="*/ 635089 h 2622542"/>
            <a:gd name="connsiteX75" fmla="*/ 697819 w 1997598"/>
            <a:gd name="connsiteY75" fmla="*/ 633834 h 2622542"/>
            <a:gd name="connsiteX76" fmla="*/ 382954 w 1997598"/>
            <a:gd name="connsiteY76" fmla="*/ 198378 h 2622542"/>
            <a:gd name="connsiteX77" fmla="*/ 764810 w 1997598"/>
            <a:gd name="connsiteY77" fmla="*/ 218466 h 2622542"/>
            <a:gd name="connsiteX78" fmla="*/ 986902 w 1997598"/>
            <a:gd name="connsiteY78" fmla="*/ 180 h 26225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Lst>
          <a:rect l="l" t="t" r="r" b="b"/>
          <a:pathLst>
            <a:path w="1997598" h="2622542">
              <a:moveTo>
                <a:pt x="1038471" y="1798798"/>
              </a:moveTo>
              <a:cubicBezTo>
                <a:pt x="1059481" y="1804868"/>
                <a:pt x="1074537" y="1813621"/>
                <a:pt x="1083642" y="1825060"/>
              </a:cubicBezTo>
              <a:cubicBezTo>
                <a:pt x="1092981" y="1836266"/>
                <a:pt x="1097649" y="1849687"/>
                <a:pt x="1097649" y="1865328"/>
              </a:cubicBezTo>
              <a:cubicBezTo>
                <a:pt x="1097649" y="1882836"/>
                <a:pt x="1092164" y="1898129"/>
                <a:pt x="1081191" y="1911202"/>
              </a:cubicBezTo>
              <a:cubicBezTo>
                <a:pt x="1070218" y="1924039"/>
                <a:pt x="1055979" y="1932094"/>
                <a:pt x="1038471" y="1935364"/>
              </a:cubicBezTo>
              <a:close/>
              <a:moveTo>
                <a:pt x="987696" y="1562783"/>
              </a:moveTo>
              <a:lnTo>
                <a:pt x="987696" y="1683942"/>
              </a:lnTo>
              <a:cubicBezTo>
                <a:pt x="972522" y="1677407"/>
                <a:pt x="961201" y="1668886"/>
                <a:pt x="953730" y="1658378"/>
              </a:cubicBezTo>
              <a:cubicBezTo>
                <a:pt x="946260" y="1647642"/>
                <a:pt x="942524" y="1636085"/>
                <a:pt x="942524" y="1623713"/>
              </a:cubicBezTo>
              <a:cubicBezTo>
                <a:pt x="942524" y="1610174"/>
                <a:pt x="946611" y="1597799"/>
                <a:pt x="954780" y="1586593"/>
              </a:cubicBezTo>
              <a:cubicBezTo>
                <a:pt x="962951" y="1575386"/>
                <a:pt x="973923" y="1567450"/>
                <a:pt x="987696" y="1562783"/>
              </a:cubicBezTo>
              <a:close/>
              <a:moveTo>
                <a:pt x="987696" y="1451780"/>
              </a:moveTo>
              <a:lnTo>
                <a:pt x="987696" y="1486445"/>
              </a:lnTo>
              <a:cubicBezTo>
                <a:pt x="947543" y="1490413"/>
                <a:pt x="915327" y="1505473"/>
                <a:pt x="891050" y="1531616"/>
              </a:cubicBezTo>
              <a:cubicBezTo>
                <a:pt x="867004" y="1557531"/>
                <a:pt x="854984" y="1589629"/>
                <a:pt x="854984" y="1627914"/>
              </a:cubicBezTo>
              <a:cubicBezTo>
                <a:pt x="854984" y="1665731"/>
                <a:pt x="865606" y="1697947"/>
                <a:pt x="886849" y="1724560"/>
              </a:cubicBezTo>
              <a:cubicBezTo>
                <a:pt x="908326" y="1750941"/>
                <a:pt x="941940" y="1770669"/>
                <a:pt x="987696" y="1783738"/>
              </a:cubicBezTo>
              <a:lnTo>
                <a:pt x="987696" y="1930460"/>
              </a:lnTo>
              <a:cubicBezTo>
                <a:pt x="975088" y="1924391"/>
                <a:pt x="963653" y="1914587"/>
                <a:pt x="953379" y="1901047"/>
              </a:cubicBezTo>
              <a:cubicBezTo>
                <a:pt x="943109" y="1887507"/>
                <a:pt x="936104" y="1871397"/>
                <a:pt x="932368" y="1852725"/>
              </a:cubicBezTo>
              <a:lnTo>
                <a:pt x="840974" y="1862529"/>
              </a:lnTo>
              <a:cubicBezTo>
                <a:pt x="847979" y="1908518"/>
                <a:pt x="864085" y="1944119"/>
                <a:pt x="889297" y="1969329"/>
              </a:cubicBezTo>
              <a:cubicBezTo>
                <a:pt x="914509" y="1994541"/>
                <a:pt x="947310" y="2009597"/>
                <a:pt x="987696" y="2014502"/>
              </a:cubicBezTo>
              <a:lnTo>
                <a:pt x="987696" y="2078232"/>
              </a:lnTo>
              <a:lnTo>
                <a:pt x="1038471" y="2078232"/>
              </a:lnTo>
              <a:lnTo>
                <a:pt x="1038471" y="2012749"/>
              </a:lnTo>
              <a:cubicBezTo>
                <a:pt x="1083994" y="2006214"/>
                <a:pt x="1119476" y="1988473"/>
                <a:pt x="1144921" y="1959525"/>
              </a:cubicBezTo>
              <a:cubicBezTo>
                <a:pt x="1170602" y="1930578"/>
                <a:pt x="1183440" y="1894978"/>
                <a:pt x="1183440" y="1852725"/>
              </a:cubicBezTo>
              <a:cubicBezTo>
                <a:pt x="1183440" y="1814904"/>
                <a:pt x="1173288" y="1783971"/>
                <a:pt x="1152976" y="1759928"/>
              </a:cubicBezTo>
              <a:cubicBezTo>
                <a:pt x="1132665" y="1735648"/>
                <a:pt x="1094497" y="1715925"/>
                <a:pt x="1038471" y="1700750"/>
              </a:cubicBezTo>
              <a:lnTo>
                <a:pt x="1038471" y="1563833"/>
              </a:lnTo>
              <a:cubicBezTo>
                <a:pt x="1061116" y="1573638"/>
                <a:pt x="1075122" y="1592315"/>
                <a:pt x="1080492" y="1619859"/>
              </a:cubicBezTo>
              <a:lnTo>
                <a:pt x="1169083" y="1608306"/>
              </a:lnTo>
              <a:cubicBezTo>
                <a:pt x="1163013" y="1573286"/>
                <a:pt x="1149008" y="1545389"/>
                <a:pt x="1127065" y="1524616"/>
              </a:cubicBezTo>
              <a:cubicBezTo>
                <a:pt x="1105119" y="1503605"/>
                <a:pt x="1075587" y="1490883"/>
                <a:pt x="1038471" y="1486445"/>
              </a:cubicBezTo>
              <a:lnTo>
                <a:pt x="1038471" y="1451780"/>
              </a:lnTo>
              <a:close/>
              <a:moveTo>
                <a:pt x="1018529" y="1275937"/>
              </a:moveTo>
              <a:cubicBezTo>
                <a:pt x="1278018" y="1275937"/>
                <a:pt x="1488375" y="1486294"/>
                <a:pt x="1488375" y="1745783"/>
              </a:cubicBezTo>
              <a:cubicBezTo>
                <a:pt x="1488375" y="2005272"/>
                <a:pt x="1278018" y="2215629"/>
                <a:pt x="1018529" y="2215629"/>
              </a:cubicBezTo>
              <a:cubicBezTo>
                <a:pt x="759040" y="2215629"/>
                <a:pt x="548683" y="2005272"/>
                <a:pt x="548683" y="1745783"/>
              </a:cubicBezTo>
              <a:cubicBezTo>
                <a:pt x="548683" y="1486294"/>
                <a:pt x="759040" y="1275937"/>
                <a:pt x="1018529" y="1275937"/>
              </a:cubicBezTo>
              <a:close/>
              <a:moveTo>
                <a:pt x="1018529" y="1183712"/>
              </a:moveTo>
              <a:cubicBezTo>
                <a:pt x="708106" y="1183712"/>
                <a:pt x="456458" y="1435360"/>
                <a:pt x="456458" y="1745783"/>
              </a:cubicBezTo>
              <a:cubicBezTo>
                <a:pt x="456458" y="2056206"/>
                <a:pt x="708106" y="2307854"/>
                <a:pt x="1018529" y="2307854"/>
              </a:cubicBezTo>
              <a:cubicBezTo>
                <a:pt x="1328952" y="2307854"/>
                <a:pt x="1580600" y="2056206"/>
                <a:pt x="1580600" y="1745783"/>
              </a:cubicBezTo>
              <a:cubicBezTo>
                <a:pt x="1580600" y="1435360"/>
                <a:pt x="1328952" y="1183712"/>
                <a:pt x="1018529" y="1183712"/>
              </a:cubicBezTo>
              <a:close/>
              <a:moveTo>
                <a:pt x="664325" y="707629"/>
              </a:moveTo>
              <a:lnTo>
                <a:pt x="1314151" y="707629"/>
              </a:lnTo>
              <a:cubicBezTo>
                <a:pt x="1314151" y="707629"/>
                <a:pt x="2008098" y="1167205"/>
                <a:pt x="1997478" y="1799581"/>
              </a:cubicBezTo>
              <a:cubicBezTo>
                <a:pt x="1985742" y="2498450"/>
                <a:pt x="1568718" y="2622542"/>
                <a:pt x="1568718" y="2622542"/>
              </a:cubicBezTo>
              <a:lnTo>
                <a:pt x="429850" y="2615846"/>
              </a:lnTo>
              <a:cubicBezTo>
                <a:pt x="429850" y="2615846"/>
                <a:pt x="-25234" y="2404706"/>
                <a:pt x="1100" y="1792886"/>
              </a:cubicBezTo>
              <a:cubicBezTo>
                <a:pt x="27107" y="1188661"/>
                <a:pt x="664325" y="707629"/>
                <a:pt x="664325" y="707629"/>
              </a:cubicBezTo>
              <a:close/>
              <a:moveTo>
                <a:pt x="986902" y="180"/>
              </a:moveTo>
              <a:cubicBezTo>
                <a:pt x="1109577" y="-4712"/>
                <a:pt x="1237396" y="90440"/>
                <a:pt x="1253856" y="231858"/>
              </a:cubicBezTo>
              <a:cubicBezTo>
                <a:pt x="1388526" y="103410"/>
                <a:pt x="1501498" y="170515"/>
                <a:pt x="1602233" y="211770"/>
              </a:cubicBezTo>
              <a:lnTo>
                <a:pt x="1307453" y="647228"/>
              </a:lnTo>
              <a:lnTo>
                <a:pt x="1253841" y="646050"/>
              </a:lnTo>
              <a:lnTo>
                <a:pt x="1307042" y="424909"/>
              </a:lnTo>
              <a:cubicBezTo>
                <a:pt x="1312735" y="401236"/>
                <a:pt x="1298793" y="376577"/>
                <a:pt x="1275900" y="369830"/>
              </a:cubicBezTo>
              <a:lnTo>
                <a:pt x="1275900" y="369830"/>
              </a:lnTo>
              <a:cubicBezTo>
                <a:pt x="1253009" y="363080"/>
                <a:pt x="1229832" y="376802"/>
                <a:pt x="1224136" y="400473"/>
              </a:cubicBezTo>
              <a:lnTo>
                <a:pt x="1165526" y="644109"/>
              </a:lnTo>
              <a:lnTo>
                <a:pt x="1041982" y="641396"/>
              </a:lnTo>
              <a:lnTo>
                <a:pt x="1041017" y="583209"/>
              </a:lnTo>
              <a:cubicBezTo>
                <a:pt x="1040609" y="558598"/>
                <a:pt x="1021158" y="538315"/>
                <a:pt x="997569" y="537907"/>
              </a:cubicBezTo>
              <a:lnTo>
                <a:pt x="997570" y="537908"/>
              </a:lnTo>
              <a:cubicBezTo>
                <a:pt x="973984" y="537499"/>
                <a:pt x="955192" y="557122"/>
                <a:pt x="955600" y="581732"/>
              </a:cubicBezTo>
              <a:lnTo>
                <a:pt x="956559" y="639518"/>
              </a:lnTo>
              <a:lnTo>
                <a:pt x="845567" y="637080"/>
              </a:lnTo>
              <a:lnTo>
                <a:pt x="799761" y="506078"/>
              </a:lnTo>
              <a:cubicBezTo>
                <a:pt x="791590" y="482710"/>
                <a:pt x="767027" y="470040"/>
                <a:pt x="744896" y="477778"/>
              </a:cubicBezTo>
              <a:lnTo>
                <a:pt x="744897" y="477779"/>
              </a:lnTo>
              <a:cubicBezTo>
                <a:pt x="722766" y="485517"/>
                <a:pt x="711450" y="510735"/>
                <a:pt x="719619" y="534100"/>
              </a:cubicBezTo>
              <a:lnTo>
                <a:pt x="754930" y="635089"/>
              </a:lnTo>
              <a:lnTo>
                <a:pt x="697819" y="633834"/>
              </a:lnTo>
              <a:lnTo>
                <a:pt x="382954" y="198378"/>
              </a:lnTo>
              <a:cubicBezTo>
                <a:pt x="500883" y="146647"/>
                <a:pt x="611231" y="145422"/>
                <a:pt x="764810" y="218466"/>
              </a:cubicBezTo>
              <a:cubicBezTo>
                <a:pt x="799186" y="68313"/>
                <a:pt x="891489" y="3986"/>
                <a:pt x="986902" y="180"/>
              </a:cubicBezTo>
              <a:close/>
            </a:path>
          </a:pathLst>
        </a:custGeom>
        <a:solidFill>
          <a:sysClr val="window" lastClr="FFFFFF"/>
        </a:solidFill>
        <a:ln w="18002"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276340</xdr:colOff>
      <xdr:row>20</xdr:row>
      <xdr:rowOff>45917</xdr:rowOff>
    </xdr:from>
    <xdr:to>
      <xdr:col>0</xdr:col>
      <xdr:colOff>528340</xdr:colOff>
      <xdr:row>21</xdr:row>
      <xdr:rowOff>106073</xdr:rowOff>
    </xdr:to>
    <xdr:sp macro="" textlink="">
      <xdr:nvSpPr>
        <xdr:cNvPr id="29" name="Freeform: Shape 35">
          <a:extLst>
            <a:ext uri="{FF2B5EF4-FFF2-40B4-BE49-F238E27FC236}">
              <a16:creationId xmlns:a16="http://schemas.microsoft.com/office/drawing/2014/main" id="{00000000-0008-0000-0600-00001D000000}"/>
            </a:ext>
          </a:extLst>
        </xdr:cNvPr>
        <xdr:cNvSpPr/>
      </xdr:nvSpPr>
      <xdr:spPr>
        <a:xfrm>
          <a:off x="276340" y="4109917"/>
          <a:ext cx="252000" cy="263356"/>
        </a:xfrm>
        <a:custGeom>
          <a:avLst/>
          <a:gdLst>
            <a:gd name="connsiteX0" fmla="*/ 1845168 w 2847163"/>
            <a:gd name="connsiteY0" fmla="*/ 1750443 h 2759416"/>
            <a:gd name="connsiteX1" fmla="*/ 2309388 w 2847163"/>
            <a:gd name="connsiteY1" fmla="*/ 2214663 h 2759416"/>
            <a:gd name="connsiteX2" fmla="*/ 2318856 w 2847163"/>
            <a:gd name="connsiteY2" fmla="*/ 2759416 h 2759416"/>
            <a:gd name="connsiteX3" fmla="*/ 1845168 w 2847163"/>
            <a:gd name="connsiteY3" fmla="*/ 2759416 h 2759416"/>
            <a:gd name="connsiteX4" fmla="*/ 1518242 w 2847163"/>
            <a:gd name="connsiteY4" fmla="*/ 1423550 h 2759416"/>
            <a:gd name="connsiteX5" fmla="*/ 1717214 w 2847163"/>
            <a:gd name="connsiteY5" fmla="*/ 1622523 h 2759416"/>
            <a:gd name="connsiteX6" fmla="*/ 1717214 w 2847163"/>
            <a:gd name="connsiteY6" fmla="*/ 2759403 h 2759416"/>
            <a:gd name="connsiteX7" fmla="*/ 1250617 w 2847163"/>
            <a:gd name="connsiteY7" fmla="*/ 2754687 h 2759416"/>
            <a:gd name="connsiteX8" fmla="*/ 1250617 w 2847163"/>
            <a:gd name="connsiteY8" fmla="*/ 1691210 h 2759416"/>
            <a:gd name="connsiteX9" fmla="*/ 641835 w 2847163"/>
            <a:gd name="connsiteY9" fmla="*/ 1229322 h 2759416"/>
            <a:gd name="connsiteX10" fmla="*/ 1106070 w 2847163"/>
            <a:gd name="connsiteY10" fmla="*/ 1693578 h 2759416"/>
            <a:gd name="connsiteX11" fmla="*/ 1106070 w 2847163"/>
            <a:gd name="connsiteY11" fmla="*/ 2749927 h 2759416"/>
            <a:gd name="connsiteX12" fmla="*/ 641835 w 2847163"/>
            <a:gd name="connsiteY12" fmla="*/ 2759395 h 2759416"/>
            <a:gd name="connsiteX13" fmla="*/ 35444 w 2847163"/>
            <a:gd name="connsiteY13" fmla="*/ 618126 h 2759416"/>
            <a:gd name="connsiteX14" fmla="*/ 509154 w 2847163"/>
            <a:gd name="connsiteY14" fmla="*/ 1091814 h 2759416"/>
            <a:gd name="connsiteX15" fmla="*/ 509154 w 2847163"/>
            <a:gd name="connsiteY15" fmla="*/ 2754655 h 2759416"/>
            <a:gd name="connsiteX16" fmla="*/ 35444 w 2847163"/>
            <a:gd name="connsiteY16" fmla="*/ 2749904 h 2759416"/>
            <a:gd name="connsiteX17" fmla="*/ 0 w 2847163"/>
            <a:gd name="connsiteY17" fmla="*/ 0 h 2759416"/>
            <a:gd name="connsiteX18" fmla="*/ 1177165 w 2847163"/>
            <a:gd name="connsiteY18" fmla="*/ 1158192 h 2759416"/>
            <a:gd name="connsiteX19" fmla="*/ 1518233 w 2847163"/>
            <a:gd name="connsiteY19" fmla="*/ 817128 h 2759416"/>
            <a:gd name="connsiteX20" fmla="*/ 2746509 w 2847163"/>
            <a:gd name="connsiteY20" fmla="*/ 2007744 h 2759416"/>
            <a:gd name="connsiteX21" fmla="*/ 2847163 w 2847163"/>
            <a:gd name="connsiteY21" fmla="*/ 1910921 h 2759416"/>
            <a:gd name="connsiteX22" fmla="*/ 2847163 w 2847163"/>
            <a:gd name="connsiteY22" fmla="*/ 2340365 h 2759416"/>
            <a:gd name="connsiteX23" fmla="*/ 2400726 w 2847163"/>
            <a:gd name="connsiteY23" fmla="*/ 2340365 h 2759416"/>
            <a:gd name="connsiteX24" fmla="*/ 2494986 w 2847163"/>
            <a:gd name="connsiteY24" fmla="*/ 2249694 h 2759416"/>
            <a:gd name="connsiteX25" fmla="*/ 1506389 w 2847163"/>
            <a:gd name="connsiteY25" fmla="*/ 1297944 h 2759416"/>
            <a:gd name="connsiteX26" fmla="*/ 1181903 w 2847163"/>
            <a:gd name="connsiteY26" fmla="*/ 1622449 h 2759416"/>
            <a:gd name="connsiteX27" fmla="*/ 0 w 2847163"/>
            <a:gd name="connsiteY27" fmla="*/ 440532 h 275941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2847163" h="2759416">
              <a:moveTo>
                <a:pt x="1845168" y="1750443"/>
              </a:moveTo>
              <a:lnTo>
                <a:pt x="2309388" y="2214663"/>
              </a:lnTo>
              <a:lnTo>
                <a:pt x="2318856" y="2759416"/>
              </a:lnTo>
              <a:lnTo>
                <a:pt x="1845168" y="2759416"/>
              </a:lnTo>
              <a:close/>
              <a:moveTo>
                <a:pt x="1518242" y="1423550"/>
              </a:moveTo>
              <a:lnTo>
                <a:pt x="1717214" y="1622523"/>
              </a:lnTo>
              <a:lnTo>
                <a:pt x="1717214" y="2759403"/>
              </a:lnTo>
              <a:lnTo>
                <a:pt x="1250617" y="2754687"/>
              </a:lnTo>
              <a:lnTo>
                <a:pt x="1250617" y="1691210"/>
              </a:lnTo>
              <a:close/>
              <a:moveTo>
                <a:pt x="641835" y="1229322"/>
              </a:moveTo>
              <a:lnTo>
                <a:pt x="1106070" y="1693578"/>
              </a:lnTo>
              <a:lnTo>
                <a:pt x="1106070" y="2749927"/>
              </a:lnTo>
              <a:lnTo>
                <a:pt x="641835" y="2759395"/>
              </a:lnTo>
              <a:close/>
              <a:moveTo>
                <a:pt x="35444" y="618126"/>
              </a:moveTo>
              <a:lnTo>
                <a:pt x="509154" y="1091814"/>
              </a:lnTo>
              <a:lnTo>
                <a:pt x="509154" y="2754655"/>
              </a:lnTo>
              <a:lnTo>
                <a:pt x="35444" y="2749904"/>
              </a:lnTo>
              <a:close/>
              <a:moveTo>
                <a:pt x="0" y="0"/>
              </a:moveTo>
              <a:lnTo>
                <a:pt x="1177165" y="1158192"/>
              </a:lnTo>
              <a:lnTo>
                <a:pt x="1518233" y="817128"/>
              </a:lnTo>
              <a:lnTo>
                <a:pt x="2746509" y="2007744"/>
              </a:lnTo>
              <a:lnTo>
                <a:pt x="2847163" y="1910921"/>
              </a:lnTo>
              <a:lnTo>
                <a:pt x="2847163" y="2340365"/>
              </a:lnTo>
              <a:lnTo>
                <a:pt x="2400726" y="2340365"/>
              </a:lnTo>
              <a:lnTo>
                <a:pt x="2494986" y="2249694"/>
              </a:lnTo>
              <a:lnTo>
                <a:pt x="1506389" y="1297944"/>
              </a:lnTo>
              <a:lnTo>
                <a:pt x="1181903" y="1622449"/>
              </a:lnTo>
              <a:lnTo>
                <a:pt x="0" y="440532"/>
              </a:lnTo>
              <a:close/>
            </a:path>
          </a:pathLst>
        </a:custGeom>
        <a:solidFill>
          <a:sysClr val="window" lastClr="FFFFFF"/>
        </a:solidFill>
        <a:ln w="6350" cap="flat">
          <a:solidFill>
            <a:sysClr val="windowText" lastClr="000000"/>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276340</xdr:colOff>
      <xdr:row>22</xdr:row>
      <xdr:rowOff>161497</xdr:rowOff>
    </xdr:from>
    <xdr:to>
      <xdr:col>0</xdr:col>
      <xdr:colOff>528340</xdr:colOff>
      <xdr:row>24</xdr:row>
      <xdr:rowOff>18453</xdr:rowOff>
    </xdr:to>
    <xdr:sp macro="" textlink="">
      <xdr:nvSpPr>
        <xdr:cNvPr id="30" name="Freeform: Shape 36">
          <a:extLst>
            <a:ext uri="{FF2B5EF4-FFF2-40B4-BE49-F238E27FC236}">
              <a16:creationId xmlns:a16="http://schemas.microsoft.com/office/drawing/2014/main" id="{00000000-0008-0000-0600-00001E000000}"/>
            </a:ext>
          </a:extLst>
        </xdr:cNvPr>
        <xdr:cNvSpPr/>
      </xdr:nvSpPr>
      <xdr:spPr>
        <a:xfrm>
          <a:off x="276340" y="4631897"/>
          <a:ext cx="252000" cy="263356"/>
        </a:xfrm>
        <a:custGeom>
          <a:avLst/>
          <a:gdLst>
            <a:gd name="connsiteX0" fmla="*/ 639778 w 4884414"/>
            <a:gd name="connsiteY0" fmla="*/ 2912647 h 4858772"/>
            <a:gd name="connsiteX1" fmla="*/ 1031685 w 4884414"/>
            <a:gd name="connsiteY1" fmla="*/ 4714736 h 4858772"/>
            <a:gd name="connsiteX2" fmla="*/ 385208 w 4884414"/>
            <a:gd name="connsiteY2" fmla="*/ 4858772 h 4858772"/>
            <a:gd name="connsiteX3" fmla="*/ 0 w 4884414"/>
            <a:gd name="connsiteY3" fmla="*/ 3053299 h 4858772"/>
            <a:gd name="connsiteX4" fmla="*/ 4607863 w 4884414"/>
            <a:gd name="connsiteY4" fmla="*/ 2902441 h 4858772"/>
            <a:gd name="connsiteX5" fmla="*/ 4789111 w 4884414"/>
            <a:gd name="connsiteY5" fmla="*/ 2958353 h 4858772"/>
            <a:gd name="connsiteX6" fmla="*/ 4811396 w 4884414"/>
            <a:gd name="connsiteY6" fmla="*/ 3250422 h 4858772"/>
            <a:gd name="connsiteX7" fmla="*/ 2814330 w 4884414"/>
            <a:gd name="connsiteY7" fmla="*/ 4524139 h 4858772"/>
            <a:gd name="connsiteX8" fmla="*/ 1445303 w 4884414"/>
            <a:gd name="connsiteY8" fmla="*/ 4391479 h 4858772"/>
            <a:gd name="connsiteX9" fmla="*/ 1161080 w 4884414"/>
            <a:gd name="connsiteY9" fmla="*/ 4453075 h 4858772"/>
            <a:gd name="connsiteX10" fmla="*/ 895802 w 4884414"/>
            <a:gd name="connsiteY10" fmla="*/ 3202470 h 4858772"/>
            <a:gd name="connsiteX11" fmla="*/ 1492676 w 4884414"/>
            <a:gd name="connsiteY11" fmla="*/ 3046158 h 4858772"/>
            <a:gd name="connsiteX12" fmla="*/ 2495226 w 4884414"/>
            <a:gd name="connsiteY12" fmla="*/ 3450762 h 4858772"/>
            <a:gd name="connsiteX13" fmla="*/ 3321174 w 4884414"/>
            <a:gd name="connsiteY13" fmla="*/ 3055626 h 4858772"/>
            <a:gd name="connsiteX14" fmla="*/ 3742807 w 4884414"/>
            <a:gd name="connsiteY14" fmla="*/ 3103002 h 4858772"/>
            <a:gd name="connsiteX15" fmla="*/ 3723259 w 4884414"/>
            <a:gd name="connsiteY15" fmla="*/ 3443274 h 4858772"/>
            <a:gd name="connsiteX16" fmla="*/ 2513442 w 4884414"/>
            <a:gd name="connsiteY16" fmla="*/ 4087494 h 4858772"/>
            <a:gd name="connsiteX17" fmla="*/ 1386497 w 4884414"/>
            <a:gd name="connsiteY17" fmla="*/ 3877686 h 4858772"/>
            <a:gd name="connsiteX18" fmla="*/ 1345824 w 4884414"/>
            <a:gd name="connsiteY18" fmla="*/ 4040946 h 4858772"/>
            <a:gd name="connsiteX19" fmla="*/ 2583822 w 4884414"/>
            <a:gd name="connsiteY19" fmla="*/ 4264146 h 4858772"/>
            <a:gd name="connsiteX20" fmla="*/ 3918055 w 4884414"/>
            <a:gd name="connsiteY20" fmla="*/ 3524598 h 4858772"/>
            <a:gd name="connsiteX21" fmla="*/ 4020079 w 4884414"/>
            <a:gd name="connsiteY21" fmla="*/ 3359394 h 4858772"/>
            <a:gd name="connsiteX22" fmla="*/ 3984367 w 4884414"/>
            <a:gd name="connsiteY22" fmla="*/ 3155094 h 4858772"/>
            <a:gd name="connsiteX23" fmla="*/ 4420327 w 4884414"/>
            <a:gd name="connsiteY23" fmla="*/ 2932794 h 4858772"/>
            <a:gd name="connsiteX24" fmla="*/ 4607863 w 4884414"/>
            <a:gd name="connsiteY24" fmla="*/ 2902441 h 4858772"/>
            <a:gd name="connsiteX25" fmla="*/ 1433727 w 4884414"/>
            <a:gd name="connsiteY25" fmla="*/ 2168924 h 4858772"/>
            <a:gd name="connsiteX26" fmla="*/ 1849081 w 4884414"/>
            <a:gd name="connsiteY26" fmla="*/ 2168924 h 4858772"/>
            <a:gd name="connsiteX27" fmla="*/ 1849081 w 4884414"/>
            <a:gd name="connsiteY27" fmla="*/ 2845548 h 4858772"/>
            <a:gd name="connsiteX28" fmla="*/ 1433727 w 4884414"/>
            <a:gd name="connsiteY28" fmla="*/ 2845548 h 4858772"/>
            <a:gd name="connsiteX29" fmla="*/ 2941179 w 4884414"/>
            <a:gd name="connsiteY29" fmla="*/ 2004757 h 4858772"/>
            <a:gd name="connsiteX30" fmla="*/ 3359881 w 4884414"/>
            <a:gd name="connsiteY30" fmla="*/ 2004757 h 4858772"/>
            <a:gd name="connsiteX31" fmla="*/ 3359881 w 4884414"/>
            <a:gd name="connsiteY31" fmla="*/ 2842165 h 4858772"/>
            <a:gd name="connsiteX32" fmla="*/ 2941179 w 4884414"/>
            <a:gd name="connsiteY32" fmla="*/ 2842165 h 4858772"/>
            <a:gd name="connsiteX33" fmla="*/ 2187461 w 4884414"/>
            <a:gd name="connsiteY33" fmla="*/ 1666453 h 4858772"/>
            <a:gd name="connsiteX34" fmla="*/ 2609514 w 4884414"/>
            <a:gd name="connsiteY34" fmla="*/ 1666453 h 4858772"/>
            <a:gd name="connsiteX35" fmla="*/ 2609514 w 4884414"/>
            <a:gd name="connsiteY35" fmla="*/ 2858921 h 4858772"/>
            <a:gd name="connsiteX36" fmla="*/ 2187461 w 4884414"/>
            <a:gd name="connsiteY36" fmla="*/ 2858921 h 4858772"/>
            <a:gd name="connsiteX37" fmla="*/ 3691550 w 4884414"/>
            <a:gd name="connsiteY37" fmla="*/ 1488894 h 4858772"/>
            <a:gd name="connsiteX38" fmla="*/ 4110252 w 4884414"/>
            <a:gd name="connsiteY38" fmla="*/ 1488894 h 4858772"/>
            <a:gd name="connsiteX39" fmla="*/ 4110252 w 4884414"/>
            <a:gd name="connsiteY39" fmla="*/ 2852193 h 4858772"/>
            <a:gd name="connsiteX40" fmla="*/ 3691550 w 4884414"/>
            <a:gd name="connsiteY40" fmla="*/ 2852193 h 4858772"/>
            <a:gd name="connsiteX41" fmla="*/ 4884414 w 4884414"/>
            <a:gd name="connsiteY41" fmla="*/ 0 h 4858772"/>
            <a:gd name="connsiteX42" fmla="*/ 4879661 w 4884414"/>
            <a:gd name="connsiteY42" fmla="*/ 497394 h 4858772"/>
            <a:gd name="connsiteX43" fmla="*/ 4718597 w 4884414"/>
            <a:gd name="connsiteY43" fmla="*/ 497394 h 4858772"/>
            <a:gd name="connsiteX44" fmla="*/ 4713882 w 4884414"/>
            <a:gd name="connsiteY44" fmla="*/ 274752 h 4858772"/>
            <a:gd name="connsiteX45" fmla="*/ 3775937 w 4884414"/>
            <a:gd name="connsiteY45" fmla="*/ 1198498 h 4858772"/>
            <a:gd name="connsiteX46" fmla="*/ 3041680 w 4884414"/>
            <a:gd name="connsiteY46" fmla="*/ 454759 h 4858772"/>
            <a:gd name="connsiteX47" fmla="*/ 2027937 w 4884414"/>
            <a:gd name="connsiteY47" fmla="*/ 1430590 h 4858772"/>
            <a:gd name="connsiteX48" fmla="*/ 1426330 w 4884414"/>
            <a:gd name="connsiteY48" fmla="*/ 876370 h 4858772"/>
            <a:gd name="connsiteX49" fmla="*/ 327325 w 4884414"/>
            <a:gd name="connsiteY49" fmla="*/ 1984846 h 4858772"/>
            <a:gd name="connsiteX50" fmla="*/ 194686 w 4884414"/>
            <a:gd name="connsiteY50" fmla="*/ 1871158 h 4858772"/>
            <a:gd name="connsiteX51" fmla="*/ 1416855 w 4884414"/>
            <a:gd name="connsiteY51" fmla="*/ 644242 h 4858772"/>
            <a:gd name="connsiteX52" fmla="*/ 2027937 w 4884414"/>
            <a:gd name="connsiteY52" fmla="*/ 1203214 h 4858772"/>
            <a:gd name="connsiteX53" fmla="*/ 3022744 w 4884414"/>
            <a:gd name="connsiteY53" fmla="*/ 222642 h 4858772"/>
            <a:gd name="connsiteX54" fmla="*/ 3799624 w 4884414"/>
            <a:gd name="connsiteY54" fmla="*/ 961618 h 4858772"/>
            <a:gd name="connsiteX55" fmla="*/ 4604909 w 4884414"/>
            <a:gd name="connsiteY55" fmla="*/ 161060 h 4858772"/>
            <a:gd name="connsiteX56" fmla="*/ 4377533 w 4884414"/>
            <a:gd name="connsiteY56" fmla="*/ 151585 h 4858772"/>
            <a:gd name="connsiteX57" fmla="*/ 4372781 w 4884414"/>
            <a:gd name="connsiteY57" fmla="*/ 4737 h 4858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4884414" h="4858772">
              <a:moveTo>
                <a:pt x="639778" y="2912647"/>
              </a:moveTo>
              <a:lnTo>
                <a:pt x="1031685" y="4714736"/>
              </a:lnTo>
              <a:lnTo>
                <a:pt x="385208" y="4858772"/>
              </a:lnTo>
              <a:lnTo>
                <a:pt x="0" y="3053299"/>
              </a:lnTo>
              <a:close/>
              <a:moveTo>
                <a:pt x="4607863" y="2902441"/>
              </a:moveTo>
              <a:cubicBezTo>
                <a:pt x="4668385" y="2903746"/>
                <a:pt x="4734018" y="2917543"/>
                <a:pt x="4789111" y="2958353"/>
              </a:cubicBezTo>
              <a:cubicBezTo>
                <a:pt x="4984268" y="3102893"/>
                <a:pt x="4811396" y="3250422"/>
                <a:pt x="4811396" y="3250422"/>
              </a:cubicBezTo>
              <a:cubicBezTo>
                <a:pt x="4811396" y="3250422"/>
                <a:pt x="3126199" y="4484683"/>
                <a:pt x="2814330" y="4524139"/>
              </a:cubicBezTo>
              <a:cubicBezTo>
                <a:pt x="2436006" y="4571983"/>
                <a:pt x="1681870" y="4399758"/>
                <a:pt x="1445303" y="4391479"/>
              </a:cubicBezTo>
              <a:cubicBezTo>
                <a:pt x="1331655" y="4387519"/>
                <a:pt x="1161080" y="4453075"/>
                <a:pt x="1161080" y="4453075"/>
              </a:cubicBezTo>
              <a:lnTo>
                <a:pt x="895802" y="3202470"/>
              </a:lnTo>
              <a:cubicBezTo>
                <a:pt x="895802" y="3202470"/>
                <a:pt x="1206936" y="3031326"/>
                <a:pt x="1492676" y="3046158"/>
              </a:cubicBezTo>
              <a:cubicBezTo>
                <a:pt x="1861078" y="3065273"/>
                <a:pt x="2261046" y="3451698"/>
                <a:pt x="2495226" y="3450762"/>
              </a:cubicBezTo>
              <a:cubicBezTo>
                <a:pt x="2653086" y="3450150"/>
                <a:pt x="3321174" y="3055626"/>
                <a:pt x="3321174" y="3055626"/>
              </a:cubicBezTo>
              <a:cubicBezTo>
                <a:pt x="3321174" y="3055626"/>
                <a:pt x="3595819" y="2954430"/>
                <a:pt x="3742807" y="3103002"/>
              </a:cubicBezTo>
              <a:cubicBezTo>
                <a:pt x="3947863" y="3310290"/>
                <a:pt x="3723259" y="3443274"/>
                <a:pt x="3723259" y="3443274"/>
              </a:cubicBezTo>
              <a:cubicBezTo>
                <a:pt x="3723259" y="3443274"/>
                <a:pt x="2958654" y="3989718"/>
                <a:pt x="2513442" y="4087494"/>
              </a:cubicBezTo>
              <a:cubicBezTo>
                <a:pt x="2233902" y="4148910"/>
                <a:pt x="1386497" y="3877686"/>
                <a:pt x="1386497" y="3877686"/>
              </a:cubicBezTo>
              <a:lnTo>
                <a:pt x="1345824" y="4040946"/>
              </a:lnTo>
              <a:cubicBezTo>
                <a:pt x="1345824" y="4040946"/>
                <a:pt x="2201574" y="4299750"/>
                <a:pt x="2583822" y="4264146"/>
              </a:cubicBezTo>
              <a:cubicBezTo>
                <a:pt x="2873478" y="4237218"/>
                <a:pt x="3918055" y="3524598"/>
                <a:pt x="3918055" y="3524598"/>
              </a:cubicBezTo>
              <a:cubicBezTo>
                <a:pt x="3918055" y="3524598"/>
                <a:pt x="3992143" y="3470274"/>
                <a:pt x="4020079" y="3359394"/>
              </a:cubicBezTo>
              <a:cubicBezTo>
                <a:pt x="4045927" y="3256794"/>
                <a:pt x="3984367" y="3155094"/>
                <a:pt x="3984367" y="3155094"/>
              </a:cubicBezTo>
              <a:lnTo>
                <a:pt x="4420327" y="2932794"/>
              </a:lnTo>
              <a:cubicBezTo>
                <a:pt x="4420327" y="2932794"/>
                <a:pt x="4506995" y="2900267"/>
                <a:pt x="4607863" y="2902441"/>
              </a:cubicBezTo>
              <a:close/>
              <a:moveTo>
                <a:pt x="1433727" y="2168924"/>
              </a:moveTo>
              <a:lnTo>
                <a:pt x="1849081" y="2168924"/>
              </a:lnTo>
              <a:lnTo>
                <a:pt x="1849081" y="2845548"/>
              </a:lnTo>
              <a:lnTo>
                <a:pt x="1433727" y="2845548"/>
              </a:lnTo>
              <a:close/>
              <a:moveTo>
                <a:pt x="2941179" y="2004757"/>
              </a:moveTo>
              <a:lnTo>
                <a:pt x="3359881" y="2004757"/>
              </a:lnTo>
              <a:lnTo>
                <a:pt x="3359881" y="2842165"/>
              </a:lnTo>
              <a:lnTo>
                <a:pt x="2941179" y="2842165"/>
              </a:lnTo>
              <a:close/>
              <a:moveTo>
                <a:pt x="2187461" y="1666453"/>
              </a:moveTo>
              <a:lnTo>
                <a:pt x="2609514" y="1666453"/>
              </a:lnTo>
              <a:lnTo>
                <a:pt x="2609514" y="2858921"/>
              </a:lnTo>
              <a:lnTo>
                <a:pt x="2187461" y="2858921"/>
              </a:lnTo>
              <a:close/>
              <a:moveTo>
                <a:pt x="3691550" y="1488894"/>
              </a:moveTo>
              <a:lnTo>
                <a:pt x="4110252" y="1488894"/>
              </a:lnTo>
              <a:lnTo>
                <a:pt x="4110252" y="2852193"/>
              </a:lnTo>
              <a:lnTo>
                <a:pt x="3691550" y="2852193"/>
              </a:lnTo>
              <a:close/>
              <a:moveTo>
                <a:pt x="4884414" y="0"/>
              </a:moveTo>
              <a:lnTo>
                <a:pt x="4879661" y="497394"/>
              </a:lnTo>
              <a:lnTo>
                <a:pt x="4718597" y="497394"/>
              </a:lnTo>
              <a:lnTo>
                <a:pt x="4713882" y="274752"/>
              </a:lnTo>
              <a:lnTo>
                <a:pt x="3775937" y="1198498"/>
              </a:lnTo>
              <a:lnTo>
                <a:pt x="3041680" y="454759"/>
              </a:lnTo>
              <a:lnTo>
                <a:pt x="2027937" y="1430590"/>
              </a:lnTo>
              <a:lnTo>
                <a:pt x="1426330" y="876370"/>
              </a:lnTo>
              <a:lnTo>
                <a:pt x="327325" y="1984846"/>
              </a:lnTo>
              <a:lnTo>
                <a:pt x="194686" y="1871158"/>
              </a:lnTo>
              <a:lnTo>
                <a:pt x="1416855" y="644242"/>
              </a:lnTo>
              <a:lnTo>
                <a:pt x="2027937" y="1203214"/>
              </a:lnTo>
              <a:lnTo>
                <a:pt x="3022744" y="222642"/>
              </a:lnTo>
              <a:lnTo>
                <a:pt x="3799624" y="961618"/>
              </a:lnTo>
              <a:lnTo>
                <a:pt x="4604909" y="161060"/>
              </a:lnTo>
              <a:lnTo>
                <a:pt x="4377533" y="151585"/>
              </a:lnTo>
              <a:lnTo>
                <a:pt x="4372781" y="4737"/>
              </a:lnTo>
              <a:close/>
            </a:path>
          </a:pathLst>
        </a:custGeom>
        <a:solidFill>
          <a:sysClr val="window" lastClr="FFFFFF"/>
        </a:solidFill>
        <a:ln w="17998"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299103</xdr:colOff>
      <xdr:row>25</xdr:row>
      <xdr:rowOff>62522</xdr:rowOff>
    </xdr:from>
    <xdr:to>
      <xdr:col>0</xdr:col>
      <xdr:colOff>497103</xdr:colOff>
      <xdr:row>26</xdr:row>
      <xdr:rowOff>134033</xdr:rowOff>
    </xdr:to>
    <xdr:sp macro="" textlink="">
      <xdr:nvSpPr>
        <xdr:cNvPr id="31" name="Freeform: Shape 37">
          <a:extLst>
            <a:ext uri="{FF2B5EF4-FFF2-40B4-BE49-F238E27FC236}">
              <a16:creationId xmlns:a16="http://schemas.microsoft.com/office/drawing/2014/main" id="{00000000-0008-0000-0600-00001F000000}"/>
            </a:ext>
          </a:extLst>
        </xdr:cNvPr>
        <xdr:cNvSpPr/>
      </xdr:nvSpPr>
      <xdr:spPr>
        <a:xfrm>
          <a:off x="299103" y="5142522"/>
          <a:ext cx="198000" cy="274711"/>
        </a:xfrm>
        <a:custGeom>
          <a:avLst/>
          <a:gdLst>
            <a:gd name="connsiteX0" fmla="*/ 1055978 w 2078051"/>
            <a:gd name="connsiteY0" fmla="*/ 1929003 h 2870971"/>
            <a:gd name="connsiteX1" fmla="*/ 1107799 w 2078051"/>
            <a:gd name="connsiteY1" fmla="*/ 1959131 h 2870971"/>
            <a:gd name="connsiteX2" fmla="*/ 1123868 w 2078051"/>
            <a:gd name="connsiteY2" fmla="*/ 2005327 h 2870971"/>
            <a:gd name="connsiteX3" fmla="*/ 1104987 w 2078051"/>
            <a:gd name="connsiteY3" fmla="*/ 2057955 h 2870971"/>
            <a:gd name="connsiteX4" fmla="*/ 1055978 w 2078051"/>
            <a:gd name="connsiteY4" fmla="*/ 2085674 h 2870971"/>
            <a:gd name="connsiteX5" fmla="*/ 997728 w 2078051"/>
            <a:gd name="connsiteY5" fmla="*/ 1658243 h 2870971"/>
            <a:gd name="connsiteX6" fmla="*/ 997728 w 2078051"/>
            <a:gd name="connsiteY6" fmla="*/ 1797238 h 2870971"/>
            <a:gd name="connsiteX7" fmla="*/ 958762 w 2078051"/>
            <a:gd name="connsiteY7" fmla="*/ 1767911 h 2870971"/>
            <a:gd name="connsiteX8" fmla="*/ 945906 w 2078051"/>
            <a:gd name="connsiteY8" fmla="*/ 1728143 h 2870971"/>
            <a:gd name="connsiteX9" fmla="*/ 959966 w 2078051"/>
            <a:gd name="connsiteY9" fmla="*/ 1685558 h 2870971"/>
            <a:gd name="connsiteX10" fmla="*/ 997728 w 2078051"/>
            <a:gd name="connsiteY10" fmla="*/ 1658243 h 2870971"/>
            <a:gd name="connsiteX11" fmla="*/ 997728 w 2078051"/>
            <a:gd name="connsiteY11" fmla="*/ 1530898 h 2870971"/>
            <a:gd name="connsiteX12" fmla="*/ 997728 w 2078051"/>
            <a:gd name="connsiteY12" fmla="*/ 1570667 h 2870971"/>
            <a:gd name="connsiteX13" fmla="*/ 886854 w 2078051"/>
            <a:gd name="connsiteY13" fmla="*/ 1622487 h 2870971"/>
            <a:gd name="connsiteX14" fmla="*/ 845479 w 2078051"/>
            <a:gd name="connsiteY14" fmla="*/ 1732962 h 2870971"/>
            <a:gd name="connsiteX15" fmla="*/ 882035 w 2078051"/>
            <a:gd name="connsiteY15" fmla="*/ 1843836 h 2870971"/>
            <a:gd name="connsiteX16" fmla="*/ 997728 w 2078051"/>
            <a:gd name="connsiteY16" fmla="*/ 1911726 h 2870971"/>
            <a:gd name="connsiteX17" fmla="*/ 997728 w 2078051"/>
            <a:gd name="connsiteY17" fmla="*/ 2080048 h 2870971"/>
            <a:gd name="connsiteX18" fmla="*/ 958359 w 2078051"/>
            <a:gd name="connsiteY18" fmla="*/ 2046305 h 2870971"/>
            <a:gd name="connsiteX19" fmla="*/ 934255 w 2078051"/>
            <a:gd name="connsiteY19" fmla="*/ 1990869 h 2870971"/>
            <a:gd name="connsiteX20" fmla="*/ 829406 w 2078051"/>
            <a:gd name="connsiteY20" fmla="*/ 2002116 h 2870971"/>
            <a:gd name="connsiteX21" fmla="*/ 884843 w 2078051"/>
            <a:gd name="connsiteY21" fmla="*/ 2124639 h 2870971"/>
            <a:gd name="connsiteX22" fmla="*/ 997728 w 2078051"/>
            <a:gd name="connsiteY22" fmla="*/ 2176462 h 2870971"/>
            <a:gd name="connsiteX23" fmla="*/ 997728 w 2078051"/>
            <a:gd name="connsiteY23" fmla="*/ 2249574 h 2870971"/>
            <a:gd name="connsiteX24" fmla="*/ 1055978 w 2078051"/>
            <a:gd name="connsiteY24" fmla="*/ 2249574 h 2870971"/>
            <a:gd name="connsiteX25" fmla="*/ 1055978 w 2078051"/>
            <a:gd name="connsiteY25" fmla="*/ 2174451 h 2870971"/>
            <a:gd name="connsiteX26" fmla="*/ 1178099 w 2078051"/>
            <a:gd name="connsiteY26" fmla="*/ 2113392 h 2870971"/>
            <a:gd name="connsiteX27" fmla="*/ 1222289 w 2078051"/>
            <a:gd name="connsiteY27" fmla="*/ 1990869 h 2870971"/>
            <a:gd name="connsiteX28" fmla="*/ 1187340 w 2078051"/>
            <a:gd name="connsiteY28" fmla="*/ 1884411 h 2870971"/>
            <a:gd name="connsiteX29" fmla="*/ 1055978 w 2078051"/>
            <a:gd name="connsiteY29" fmla="*/ 1816521 h 2870971"/>
            <a:gd name="connsiteX30" fmla="*/ 1055978 w 2078051"/>
            <a:gd name="connsiteY30" fmla="*/ 1659447 h 2870971"/>
            <a:gd name="connsiteX31" fmla="*/ 1104185 w 2078051"/>
            <a:gd name="connsiteY31" fmla="*/ 1723721 h 2870971"/>
            <a:gd name="connsiteX32" fmla="*/ 1205818 w 2078051"/>
            <a:gd name="connsiteY32" fmla="*/ 1710467 h 2870971"/>
            <a:gd name="connsiteX33" fmla="*/ 1157614 w 2078051"/>
            <a:gd name="connsiteY33" fmla="*/ 1614457 h 2870971"/>
            <a:gd name="connsiteX34" fmla="*/ 1055978 w 2078051"/>
            <a:gd name="connsiteY34" fmla="*/ 1570667 h 2870971"/>
            <a:gd name="connsiteX35" fmla="*/ 1055978 w 2078051"/>
            <a:gd name="connsiteY35" fmla="*/ 1530898 h 2870971"/>
            <a:gd name="connsiteX36" fmla="*/ 1033100 w 2078051"/>
            <a:gd name="connsiteY36" fmla="*/ 1329168 h 2870971"/>
            <a:gd name="connsiteX37" fmla="*/ 1572115 w 2078051"/>
            <a:gd name="connsiteY37" fmla="*/ 1868183 h 2870971"/>
            <a:gd name="connsiteX38" fmla="*/ 1033100 w 2078051"/>
            <a:gd name="connsiteY38" fmla="*/ 2407198 h 2870971"/>
            <a:gd name="connsiteX39" fmla="*/ 494085 w 2078051"/>
            <a:gd name="connsiteY39" fmla="*/ 1868183 h 2870971"/>
            <a:gd name="connsiteX40" fmla="*/ 1033100 w 2078051"/>
            <a:gd name="connsiteY40" fmla="*/ 1329168 h 2870971"/>
            <a:gd name="connsiteX41" fmla="*/ 1033100 w 2078051"/>
            <a:gd name="connsiteY41" fmla="*/ 1223366 h 2870971"/>
            <a:gd name="connsiteX42" fmla="*/ 388283 w 2078051"/>
            <a:gd name="connsiteY42" fmla="*/ 1868183 h 2870971"/>
            <a:gd name="connsiteX43" fmla="*/ 1033100 w 2078051"/>
            <a:gd name="connsiteY43" fmla="*/ 2513000 h 2870971"/>
            <a:gd name="connsiteX44" fmla="*/ 1677917 w 2078051"/>
            <a:gd name="connsiteY44" fmla="*/ 1868183 h 2870971"/>
            <a:gd name="connsiteX45" fmla="*/ 1033100 w 2078051"/>
            <a:gd name="connsiteY45" fmla="*/ 1223366 h 2870971"/>
            <a:gd name="connsiteX46" fmla="*/ 983183 w 2078051"/>
            <a:gd name="connsiteY46" fmla="*/ 335217 h 2870971"/>
            <a:gd name="connsiteX47" fmla="*/ 758164 w 2078051"/>
            <a:gd name="connsiteY47" fmla="*/ 343982 h 2870971"/>
            <a:gd name="connsiteX48" fmla="*/ 488284 w 2078051"/>
            <a:gd name="connsiteY48" fmla="*/ 983732 h 2870971"/>
            <a:gd name="connsiteX49" fmla="*/ 488749 w 2078051"/>
            <a:gd name="connsiteY49" fmla="*/ 985270 h 2870971"/>
            <a:gd name="connsiteX50" fmla="*/ 642599 w 2078051"/>
            <a:gd name="connsiteY50" fmla="*/ 899738 h 2870971"/>
            <a:gd name="connsiteX51" fmla="*/ 1558297 w 2078051"/>
            <a:gd name="connsiteY51" fmla="*/ 983595 h 2870971"/>
            <a:gd name="connsiteX52" fmla="*/ 1599794 w 2078051"/>
            <a:gd name="connsiteY52" fmla="*/ 1014524 h 2870971"/>
            <a:gd name="connsiteX53" fmla="*/ 1602875 w 2078051"/>
            <a:gd name="connsiteY53" fmla="*/ 999811 h 2870971"/>
            <a:gd name="connsiteX54" fmla="*/ 1383012 w 2078051"/>
            <a:gd name="connsiteY54" fmla="*/ 357449 h 2870971"/>
            <a:gd name="connsiteX55" fmla="*/ 983183 w 2078051"/>
            <a:gd name="connsiteY55" fmla="*/ 335217 h 2870971"/>
            <a:gd name="connsiteX56" fmla="*/ 1024198 w 2078051"/>
            <a:gd name="connsiteY56" fmla="*/ 0 h 2870971"/>
            <a:gd name="connsiteX57" fmla="*/ 1463633 w 2078051"/>
            <a:gd name="connsiteY57" fmla="*/ 41646 h 2870971"/>
            <a:gd name="connsiteX58" fmla="*/ 1850752 w 2078051"/>
            <a:gd name="connsiteY58" fmla="*/ 1233583 h 2870971"/>
            <a:gd name="connsiteX59" fmla="*/ 1848614 w 2078051"/>
            <a:gd name="connsiteY59" fmla="*/ 1239078 h 2870971"/>
            <a:gd name="connsiteX60" fmla="*/ 1936700 w 2078051"/>
            <a:gd name="connsiteY60" fmla="*/ 1360517 h 2870971"/>
            <a:gd name="connsiteX61" fmla="*/ 1430019 w 2078051"/>
            <a:gd name="connsiteY61" fmla="*/ 2823279 h 2870971"/>
            <a:gd name="connsiteX62" fmla="*/ 583477 w 2078051"/>
            <a:gd name="connsiteY62" fmla="*/ 2796381 h 2870971"/>
            <a:gd name="connsiteX63" fmla="*/ 131162 w 2078051"/>
            <a:gd name="connsiteY63" fmla="*/ 1394268 h 2870971"/>
            <a:gd name="connsiteX64" fmla="*/ 216742 w 2078051"/>
            <a:gd name="connsiteY64" fmla="*/ 1260356 h 2870971"/>
            <a:gd name="connsiteX65" fmla="*/ 216557 w 2078051"/>
            <a:gd name="connsiteY65" fmla="*/ 1259844 h 2870971"/>
            <a:gd name="connsiteX66" fmla="*/ 637229 w 2078051"/>
            <a:gd name="connsiteY66" fmla="*/ 28215 h 2870971"/>
            <a:gd name="connsiteX67" fmla="*/ 1024198 w 2078051"/>
            <a:gd name="connsiteY67" fmla="*/ 0 h 287097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Lst>
          <a:rect l="l" t="t" r="r" b="b"/>
          <a:pathLst>
            <a:path w="2078051" h="2870971">
              <a:moveTo>
                <a:pt x="1055978" y="1929003"/>
              </a:moveTo>
              <a:cubicBezTo>
                <a:pt x="1080081" y="1935967"/>
                <a:pt x="1097353" y="1946008"/>
                <a:pt x="1107799" y="1959131"/>
              </a:cubicBezTo>
              <a:cubicBezTo>
                <a:pt x="1118513" y="1971987"/>
                <a:pt x="1123868" y="1987384"/>
                <a:pt x="1123868" y="2005327"/>
              </a:cubicBezTo>
              <a:cubicBezTo>
                <a:pt x="1123868" y="2025413"/>
                <a:pt x="1117575" y="2042957"/>
                <a:pt x="1104987" y="2057955"/>
              </a:cubicBezTo>
              <a:cubicBezTo>
                <a:pt x="1092399" y="2072682"/>
                <a:pt x="1076063" y="2081922"/>
                <a:pt x="1055978" y="2085674"/>
              </a:cubicBezTo>
              <a:close/>
              <a:moveTo>
                <a:pt x="997728" y="1658243"/>
              </a:moveTo>
              <a:lnTo>
                <a:pt x="997728" y="1797238"/>
              </a:lnTo>
              <a:cubicBezTo>
                <a:pt x="980320" y="1789741"/>
                <a:pt x="967333" y="1779966"/>
                <a:pt x="958762" y="1767911"/>
              </a:cubicBezTo>
              <a:cubicBezTo>
                <a:pt x="950192" y="1755594"/>
                <a:pt x="945906" y="1742336"/>
                <a:pt x="945906" y="1728143"/>
              </a:cubicBezTo>
              <a:cubicBezTo>
                <a:pt x="945906" y="1712610"/>
                <a:pt x="950595" y="1698414"/>
                <a:pt x="959966" y="1685558"/>
              </a:cubicBezTo>
              <a:cubicBezTo>
                <a:pt x="969340" y="1672701"/>
                <a:pt x="981927" y="1663597"/>
                <a:pt x="997728" y="1658243"/>
              </a:cubicBezTo>
              <a:close/>
              <a:moveTo>
                <a:pt x="997728" y="1530898"/>
              </a:moveTo>
              <a:lnTo>
                <a:pt x="997728" y="1570667"/>
              </a:lnTo>
              <a:cubicBezTo>
                <a:pt x="951664" y="1575219"/>
                <a:pt x="914705" y="1592496"/>
                <a:pt x="886854" y="1622487"/>
              </a:cubicBezTo>
              <a:cubicBezTo>
                <a:pt x="859268" y="1652218"/>
                <a:pt x="845479" y="1689041"/>
                <a:pt x="845479" y="1732962"/>
              </a:cubicBezTo>
              <a:cubicBezTo>
                <a:pt x="845479" y="1776346"/>
                <a:pt x="857664" y="1813305"/>
                <a:pt x="882035" y="1843836"/>
              </a:cubicBezTo>
              <a:cubicBezTo>
                <a:pt x="906673" y="1874101"/>
                <a:pt x="945236" y="1896733"/>
                <a:pt x="997728" y="1911726"/>
              </a:cubicBezTo>
              <a:lnTo>
                <a:pt x="997728" y="2080048"/>
              </a:lnTo>
              <a:cubicBezTo>
                <a:pt x="983264" y="2073085"/>
                <a:pt x="970145" y="2061838"/>
                <a:pt x="958359" y="2046305"/>
              </a:cubicBezTo>
              <a:cubicBezTo>
                <a:pt x="946577" y="2030771"/>
                <a:pt x="938541" y="2012290"/>
                <a:pt x="934255" y="1990869"/>
              </a:cubicBezTo>
              <a:lnTo>
                <a:pt x="829406" y="2002116"/>
              </a:lnTo>
              <a:cubicBezTo>
                <a:pt x="837442" y="2054876"/>
                <a:pt x="855919" y="2095718"/>
                <a:pt x="884843" y="2124639"/>
              </a:cubicBezTo>
              <a:cubicBezTo>
                <a:pt x="913767" y="2153563"/>
                <a:pt x="951397" y="2170835"/>
                <a:pt x="997728" y="2176462"/>
              </a:cubicBezTo>
              <a:lnTo>
                <a:pt x="997728" y="2249574"/>
              </a:lnTo>
              <a:lnTo>
                <a:pt x="1055978" y="2249574"/>
              </a:lnTo>
              <a:lnTo>
                <a:pt x="1055978" y="2174451"/>
              </a:lnTo>
              <a:cubicBezTo>
                <a:pt x="1108203" y="2166954"/>
                <a:pt x="1148908" y="2146601"/>
                <a:pt x="1178099" y="2113392"/>
              </a:cubicBezTo>
              <a:cubicBezTo>
                <a:pt x="1207561" y="2080183"/>
                <a:pt x="1222289" y="2039342"/>
                <a:pt x="1222289" y="1990869"/>
              </a:cubicBezTo>
              <a:cubicBezTo>
                <a:pt x="1222289" y="1947480"/>
                <a:pt x="1210642" y="1911993"/>
                <a:pt x="1187340" y="1884411"/>
              </a:cubicBezTo>
              <a:cubicBezTo>
                <a:pt x="1164039" y="1856556"/>
                <a:pt x="1120252" y="1833930"/>
                <a:pt x="1055978" y="1816521"/>
              </a:cubicBezTo>
              <a:lnTo>
                <a:pt x="1055978" y="1659447"/>
              </a:lnTo>
              <a:cubicBezTo>
                <a:pt x="1081957" y="1670696"/>
                <a:pt x="1098025" y="1692122"/>
                <a:pt x="1104185" y="1723721"/>
              </a:cubicBezTo>
              <a:lnTo>
                <a:pt x="1205818" y="1710467"/>
              </a:lnTo>
              <a:cubicBezTo>
                <a:pt x="1198855" y="1670292"/>
                <a:pt x="1182788" y="1638288"/>
                <a:pt x="1157614" y="1614457"/>
              </a:cubicBezTo>
              <a:cubicBezTo>
                <a:pt x="1132438" y="1590353"/>
                <a:pt x="1098558" y="1575758"/>
                <a:pt x="1055978" y="1570667"/>
              </a:cubicBezTo>
              <a:lnTo>
                <a:pt x="1055978" y="1530898"/>
              </a:lnTo>
              <a:close/>
              <a:moveTo>
                <a:pt x="1033100" y="1329168"/>
              </a:moveTo>
              <a:cubicBezTo>
                <a:pt x="1330790" y="1329168"/>
                <a:pt x="1572115" y="1570493"/>
                <a:pt x="1572115" y="1868183"/>
              </a:cubicBezTo>
              <a:cubicBezTo>
                <a:pt x="1572115" y="2165873"/>
                <a:pt x="1330790" y="2407198"/>
                <a:pt x="1033100" y="2407198"/>
              </a:cubicBezTo>
              <a:cubicBezTo>
                <a:pt x="735410" y="2407198"/>
                <a:pt x="494085" y="2165873"/>
                <a:pt x="494085" y="1868183"/>
              </a:cubicBezTo>
              <a:cubicBezTo>
                <a:pt x="494085" y="1570493"/>
                <a:pt x="735410" y="1329168"/>
                <a:pt x="1033100" y="1329168"/>
              </a:cubicBezTo>
              <a:close/>
              <a:moveTo>
                <a:pt x="1033100" y="1223366"/>
              </a:moveTo>
              <a:cubicBezTo>
                <a:pt x="676978" y="1223366"/>
                <a:pt x="388283" y="1512061"/>
                <a:pt x="388283" y="1868183"/>
              </a:cubicBezTo>
              <a:cubicBezTo>
                <a:pt x="388283" y="2224306"/>
                <a:pt x="676978" y="2513000"/>
                <a:pt x="1033100" y="2513000"/>
              </a:cubicBezTo>
              <a:cubicBezTo>
                <a:pt x="1389223" y="2513000"/>
                <a:pt x="1677917" y="2224306"/>
                <a:pt x="1677917" y="1868183"/>
              </a:cubicBezTo>
              <a:cubicBezTo>
                <a:pt x="1677917" y="1512061"/>
                <a:pt x="1389223" y="1223366"/>
                <a:pt x="1033100" y="1223366"/>
              </a:cubicBezTo>
              <a:close/>
              <a:moveTo>
                <a:pt x="983183" y="335217"/>
              </a:moveTo>
              <a:cubicBezTo>
                <a:pt x="882977" y="335206"/>
                <a:pt x="793965" y="338025"/>
                <a:pt x="758164" y="343982"/>
              </a:cubicBezTo>
              <a:cubicBezTo>
                <a:pt x="350402" y="411872"/>
                <a:pt x="455610" y="870209"/>
                <a:pt x="488284" y="983732"/>
              </a:cubicBezTo>
              <a:lnTo>
                <a:pt x="488749" y="985270"/>
              </a:lnTo>
              <a:lnTo>
                <a:pt x="642599" y="899738"/>
              </a:lnTo>
              <a:cubicBezTo>
                <a:pt x="932499" y="777096"/>
                <a:pt x="1276563" y="811395"/>
                <a:pt x="1558297" y="983595"/>
              </a:cubicBezTo>
              <a:lnTo>
                <a:pt x="1599794" y="1014524"/>
              </a:lnTo>
              <a:lnTo>
                <a:pt x="1602875" y="999811"/>
              </a:lnTo>
              <a:cubicBezTo>
                <a:pt x="1622986" y="897761"/>
                <a:pt x="1684582" y="481792"/>
                <a:pt x="1383012" y="357449"/>
              </a:cubicBezTo>
              <a:cubicBezTo>
                <a:pt x="1348307" y="343121"/>
                <a:pt x="1150195" y="335237"/>
                <a:pt x="983183" y="335217"/>
              </a:cubicBezTo>
              <a:close/>
              <a:moveTo>
                <a:pt x="1024198" y="0"/>
              </a:moveTo>
              <a:cubicBezTo>
                <a:pt x="1194350" y="-9"/>
                <a:pt x="1373246" y="11626"/>
                <a:pt x="1463633" y="41646"/>
              </a:cubicBezTo>
              <a:cubicBezTo>
                <a:pt x="2185740" y="281592"/>
                <a:pt x="1890480" y="1128639"/>
                <a:pt x="1850752" y="1233583"/>
              </a:cubicBezTo>
              <a:lnTo>
                <a:pt x="1848614" y="1239078"/>
              </a:lnTo>
              <a:lnTo>
                <a:pt x="1936700" y="1360517"/>
              </a:lnTo>
              <a:cubicBezTo>
                <a:pt x="2317913" y="1979920"/>
                <a:pt x="1852931" y="2700800"/>
                <a:pt x="1430019" y="2823279"/>
              </a:cubicBezTo>
              <a:cubicBezTo>
                <a:pt x="1158841" y="2901805"/>
                <a:pt x="730150" y="2876713"/>
                <a:pt x="583477" y="2796381"/>
              </a:cubicBezTo>
              <a:cubicBezTo>
                <a:pt x="191527" y="2581783"/>
                <a:pt x="-215596" y="2019195"/>
                <a:pt x="131162" y="1394268"/>
              </a:cubicBezTo>
              <a:lnTo>
                <a:pt x="216742" y="1260356"/>
              </a:lnTo>
              <a:lnTo>
                <a:pt x="216557" y="1259844"/>
              </a:lnTo>
              <a:cubicBezTo>
                <a:pt x="177285" y="1148690"/>
                <a:pt x="-113420" y="252456"/>
                <a:pt x="637229" y="28215"/>
              </a:cubicBezTo>
              <a:cubicBezTo>
                <a:pt x="692639" y="11662"/>
                <a:pt x="854047" y="9"/>
                <a:pt x="1024198" y="0"/>
              </a:cubicBezTo>
              <a:close/>
            </a:path>
          </a:pathLst>
        </a:custGeom>
        <a:solidFill>
          <a:sysClr val="window" lastClr="FFFFFF"/>
        </a:soli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276340</xdr:colOff>
      <xdr:row>27</xdr:row>
      <xdr:rowOff>178099</xdr:rowOff>
    </xdr:from>
    <xdr:to>
      <xdr:col>0</xdr:col>
      <xdr:colOff>528340</xdr:colOff>
      <xdr:row>29</xdr:row>
      <xdr:rowOff>35054</xdr:rowOff>
    </xdr:to>
    <xdr:sp macro="" textlink="">
      <xdr:nvSpPr>
        <xdr:cNvPr id="32" name="Freeform: Shape 38">
          <a:extLst>
            <a:ext uri="{FF2B5EF4-FFF2-40B4-BE49-F238E27FC236}">
              <a16:creationId xmlns:a16="http://schemas.microsoft.com/office/drawing/2014/main" id="{00000000-0008-0000-0600-000020000000}"/>
            </a:ext>
          </a:extLst>
        </xdr:cNvPr>
        <xdr:cNvSpPr/>
      </xdr:nvSpPr>
      <xdr:spPr>
        <a:xfrm>
          <a:off x="276340" y="5664499"/>
          <a:ext cx="252000" cy="263355"/>
        </a:xfrm>
        <a:custGeom>
          <a:avLst/>
          <a:gdLst>
            <a:gd name="connsiteX0" fmla="*/ 669226 w 3163078"/>
            <a:gd name="connsiteY0" fmla="*/ 1658213 h 3163078"/>
            <a:gd name="connsiteX1" fmla="*/ 244013 w 3163078"/>
            <a:gd name="connsiteY1" fmla="*/ 1658214 h 3163078"/>
            <a:gd name="connsiteX2" fmla="*/ 247066 w 3163078"/>
            <a:gd name="connsiteY2" fmla="*/ 1718689 h 3163078"/>
            <a:gd name="connsiteX3" fmla="*/ 1444389 w 3163078"/>
            <a:gd name="connsiteY3" fmla="*/ 2916012 h 3163078"/>
            <a:gd name="connsiteX4" fmla="*/ 1499820 w 3163078"/>
            <a:gd name="connsiteY4" fmla="*/ 2918811 h 3163078"/>
            <a:gd name="connsiteX5" fmla="*/ 1495533 w 3163078"/>
            <a:gd name="connsiteY5" fmla="*/ 2890456 h 3163078"/>
            <a:gd name="connsiteX6" fmla="*/ 1495533 w 3163078"/>
            <a:gd name="connsiteY6" fmla="*/ 2467055 h 3163078"/>
            <a:gd name="connsiteX7" fmla="*/ 1479365 w 3163078"/>
            <a:gd name="connsiteY7" fmla="*/ 2466239 h 3163078"/>
            <a:gd name="connsiteX8" fmla="*/ 682606 w 3163078"/>
            <a:gd name="connsiteY8" fmla="*/ 1745881 h 3163078"/>
            <a:gd name="connsiteX9" fmla="*/ 2919066 w 3163078"/>
            <a:gd name="connsiteY9" fmla="*/ 1658213 h 3163078"/>
            <a:gd name="connsiteX10" fmla="*/ 2475189 w 3163078"/>
            <a:gd name="connsiteY10" fmla="*/ 1658214 h 3163078"/>
            <a:gd name="connsiteX11" fmla="*/ 2461810 w 3163078"/>
            <a:gd name="connsiteY11" fmla="*/ 1745881 h 3163078"/>
            <a:gd name="connsiteX12" fmla="*/ 1755212 w 3163078"/>
            <a:gd name="connsiteY12" fmla="*/ 2452479 h 3163078"/>
            <a:gd name="connsiteX13" fmla="*/ 1704868 w 3163078"/>
            <a:gd name="connsiteY13" fmla="*/ 2460162 h 3163078"/>
            <a:gd name="connsiteX14" fmla="*/ 1704868 w 3163078"/>
            <a:gd name="connsiteY14" fmla="*/ 2890456 h 3163078"/>
            <a:gd name="connsiteX15" fmla="*/ 1700869 w 3163078"/>
            <a:gd name="connsiteY15" fmla="*/ 2916912 h 3163078"/>
            <a:gd name="connsiteX16" fmla="*/ 1718689 w 3163078"/>
            <a:gd name="connsiteY16" fmla="*/ 2916012 h 3163078"/>
            <a:gd name="connsiteX17" fmla="*/ 2916012 w 3163078"/>
            <a:gd name="connsiteY17" fmla="*/ 1718689 h 3163078"/>
            <a:gd name="connsiteX18" fmla="*/ 1665289 w 3163078"/>
            <a:gd name="connsiteY18" fmla="*/ 1628851 h 3163078"/>
            <a:gd name="connsiteX19" fmla="*/ 1665289 w 3163078"/>
            <a:gd name="connsiteY19" fmla="*/ 1751958 h 3163078"/>
            <a:gd name="connsiteX20" fmla="*/ 1741278 w 3163078"/>
            <a:gd name="connsiteY20" fmla="*/ 1733090 h 3163078"/>
            <a:gd name="connsiteX21" fmla="*/ 1772883 w 3163078"/>
            <a:gd name="connsiteY21" fmla="*/ 1689910 h 3163078"/>
            <a:gd name="connsiteX22" fmla="*/ 1736568 w 3163078"/>
            <a:gd name="connsiteY22" fmla="*/ 1647194 h 3163078"/>
            <a:gd name="connsiteX23" fmla="*/ 1665289 w 3163078"/>
            <a:gd name="connsiteY23" fmla="*/ 1628851 h 3163078"/>
            <a:gd name="connsiteX24" fmla="*/ 1561731 w 3163078"/>
            <a:gd name="connsiteY24" fmla="*/ 1346387 h 3163078"/>
            <a:gd name="connsiteX25" fmla="*/ 1481712 w 3163078"/>
            <a:gd name="connsiteY25" fmla="*/ 1363245 h 3163078"/>
            <a:gd name="connsiteX26" fmla="*/ 1446742 w 3163078"/>
            <a:gd name="connsiteY26" fmla="*/ 1402960 h 3163078"/>
            <a:gd name="connsiteX27" fmla="*/ 1469607 w 3163078"/>
            <a:gd name="connsiteY27" fmla="*/ 1439212 h 3163078"/>
            <a:gd name="connsiteX28" fmla="*/ 1561731 w 3163078"/>
            <a:gd name="connsiteY28" fmla="*/ 1461544 h 3163078"/>
            <a:gd name="connsiteX29" fmla="*/ 1550971 w 3163078"/>
            <a:gd name="connsiteY29" fmla="*/ 1101133 h 3163078"/>
            <a:gd name="connsiteX30" fmla="*/ 1667979 w 3163078"/>
            <a:gd name="connsiteY30" fmla="*/ 1101133 h 3163078"/>
            <a:gd name="connsiteX31" fmla="*/ 1667979 w 3163078"/>
            <a:gd name="connsiteY31" fmla="*/ 1215826 h 3163078"/>
            <a:gd name="connsiteX32" fmla="*/ 1812557 w 3163078"/>
            <a:gd name="connsiteY32" fmla="*/ 1228724 h 3163078"/>
            <a:gd name="connsiteX33" fmla="*/ 1943685 w 3163078"/>
            <a:gd name="connsiteY33" fmla="*/ 1254026 h 3163078"/>
            <a:gd name="connsiteX34" fmla="*/ 1943685 w 3163078"/>
            <a:gd name="connsiteY34" fmla="*/ 1397021 h 3163078"/>
            <a:gd name="connsiteX35" fmla="*/ 1914100 w 3163078"/>
            <a:gd name="connsiteY35" fmla="*/ 1397021 h 3163078"/>
            <a:gd name="connsiteX36" fmla="*/ 1803142 w 3163078"/>
            <a:gd name="connsiteY36" fmla="*/ 1363245 h 3163078"/>
            <a:gd name="connsiteX37" fmla="*/ 1667979 w 3163078"/>
            <a:gd name="connsiteY37" fmla="*/ 1346387 h 3163078"/>
            <a:gd name="connsiteX38" fmla="*/ 1667979 w 3163078"/>
            <a:gd name="connsiteY38" fmla="*/ 1472463 h 3163078"/>
            <a:gd name="connsiteX39" fmla="*/ 1721778 w 3163078"/>
            <a:gd name="connsiteY39" fmla="*/ 1480412 h 3163078"/>
            <a:gd name="connsiteX40" fmla="*/ 1945030 w 3163078"/>
            <a:gd name="connsiteY40" fmla="*/ 1546914 h 3163078"/>
            <a:gd name="connsiteX41" fmla="*/ 2016984 w 3163078"/>
            <a:gd name="connsiteY41" fmla="*/ 1670547 h 3163078"/>
            <a:gd name="connsiteX42" fmla="*/ 1921495 w 3163078"/>
            <a:gd name="connsiteY42" fmla="*/ 1814501 h 3163078"/>
            <a:gd name="connsiteX43" fmla="*/ 1667979 w 3163078"/>
            <a:gd name="connsiteY43" fmla="*/ 1882519 h 3163078"/>
            <a:gd name="connsiteX44" fmla="*/ 1667979 w 3163078"/>
            <a:gd name="connsiteY44" fmla="*/ 2062725 h 3163078"/>
            <a:gd name="connsiteX45" fmla="*/ 1550971 w 3163078"/>
            <a:gd name="connsiteY45" fmla="*/ 2062725 h 3163078"/>
            <a:gd name="connsiteX46" fmla="*/ 1550971 w 3163078"/>
            <a:gd name="connsiteY46" fmla="*/ 1885489 h 3163078"/>
            <a:gd name="connsiteX47" fmla="*/ 1376808 w 3163078"/>
            <a:gd name="connsiteY47" fmla="*/ 1872095 h 3163078"/>
            <a:gd name="connsiteX48" fmla="*/ 1222145 w 3163078"/>
            <a:gd name="connsiteY48" fmla="*/ 1839803 h 3163078"/>
            <a:gd name="connsiteX49" fmla="*/ 1222145 w 3163078"/>
            <a:gd name="connsiteY49" fmla="*/ 1694859 h 3163078"/>
            <a:gd name="connsiteX50" fmla="*/ 1252405 w 3163078"/>
            <a:gd name="connsiteY50" fmla="*/ 1694859 h 3163078"/>
            <a:gd name="connsiteX51" fmla="*/ 1394293 w 3163078"/>
            <a:gd name="connsiteY51" fmla="*/ 1734575 h 3163078"/>
            <a:gd name="connsiteX52" fmla="*/ 1554336 w 3163078"/>
            <a:gd name="connsiteY52" fmla="*/ 1753938 h 3163078"/>
            <a:gd name="connsiteX53" fmla="*/ 1554336 w 3163078"/>
            <a:gd name="connsiteY53" fmla="*/ 1617902 h 3163078"/>
            <a:gd name="connsiteX54" fmla="*/ 1489107 w 3163078"/>
            <a:gd name="connsiteY54" fmla="*/ 1606983 h 3163078"/>
            <a:gd name="connsiteX55" fmla="*/ 1374789 w 3163078"/>
            <a:gd name="connsiteY55" fmla="*/ 1582671 h 3163078"/>
            <a:gd name="connsiteX56" fmla="*/ 1285355 w 3163078"/>
            <a:gd name="connsiteY56" fmla="*/ 1545925 h 3163078"/>
            <a:gd name="connsiteX57" fmla="*/ 1226851 w 3163078"/>
            <a:gd name="connsiteY57" fmla="*/ 1489847 h 3163078"/>
            <a:gd name="connsiteX58" fmla="*/ 1206006 w 3163078"/>
            <a:gd name="connsiteY58" fmla="*/ 1406950 h 3163078"/>
            <a:gd name="connsiteX59" fmla="*/ 1297459 w 3163078"/>
            <a:gd name="connsiteY59" fmla="*/ 1280349 h 3163078"/>
            <a:gd name="connsiteX60" fmla="*/ 1550971 w 3163078"/>
            <a:gd name="connsiteY60" fmla="*/ 1216816 h 3163078"/>
            <a:gd name="connsiteX61" fmla="*/ 1495533 w 3163078"/>
            <a:gd name="connsiteY61" fmla="*/ 796577 h 3163078"/>
            <a:gd name="connsiteX62" fmla="*/ 1493463 w 3163078"/>
            <a:gd name="connsiteY62" fmla="*/ 796681 h 3163078"/>
            <a:gd name="connsiteX63" fmla="*/ 817683 w 3163078"/>
            <a:gd name="connsiteY63" fmla="*/ 1407661 h 3163078"/>
            <a:gd name="connsiteX64" fmla="*/ 811308 w 3163078"/>
            <a:gd name="connsiteY64" fmla="*/ 1449430 h 3163078"/>
            <a:gd name="connsiteX65" fmla="*/ 838783 w 3163078"/>
            <a:gd name="connsiteY65" fmla="*/ 1453584 h 3163078"/>
            <a:gd name="connsiteX66" fmla="*/ 904101 w 3163078"/>
            <a:gd name="connsiteY66" fmla="*/ 1512804 h 3163078"/>
            <a:gd name="connsiteX67" fmla="*/ 912326 w 3163078"/>
            <a:gd name="connsiteY67" fmla="*/ 1553546 h 3163078"/>
            <a:gd name="connsiteX68" fmla="*/ 904101 w 3163078"/>
            <a:gd name="connsiteY68" fmla="*/ 1594287 h 3163078"/>
            <a:gd name="connsiteX69" fmla="*/ 838783 w 3163078"/>
            <a:gd name="connsiteY69" fmla="*/ 1653508 h 3163078"/>
            <a:gd name="connsiteX70" fmla="*/ 808524 w 3163078"/>
            <a:gd name="connsiteY70" fmla="*/ 1658082 h 3163078"/>
            <a:gd name="connsiteX71" fmla="*/ 817683 w 3163078"/>
            <a:gd name="connsiteY71" fmla="*/ 1718094 h 3163078"/>
            <a:gd name="connsiteX72" fmla="*/ 1493463 w 3163078"/>
            <a:gd name="connsiteY72" fmla="*/ 2329073 h 3163078"/>
            <a:gd name="connsiteX73" fmla="*/ 1495532 w 3163078"/>
            <a:gd name="connsiteY73" fmla="*/ 2329177 h 3163078"/>
            <a:gd name="connsiteX74" fmla="*/ 1495532 w 3163078"/>
            <a:gd name="connsiteY74" fmla="*/ 2306691 h 3163078"/>
            <a:gd name="connsiteX75" fmla="*/ 1600200 w 3163078"/>
            <a:gd name="connsiteY75" fmla="*/ 2202023 h 3163078"/>
            <a:gd name="connsiteX76" fmla="*/ 1600200 w 3163078"/>
            <a:gd name="connsiteY76" fmla="*/ 2202022 h 3163078"/>
            <a:gd name="connsiteX77" fmla="*/ 1704868 w 3163078"/>
            <a:gd name="connsiteY77" fmla="*/ 2306690 h 3163078"/>
            <a:gd name="connsiteX78" fmla="*/ 1704868 w 3163078"/>
            <a:gd name="connsiteY78" fmla="*/ 2320844 h 3163078"/>
            <a:gd name="connsiteX79" fmla="*/ 1727425 w 3163078"/>
            <a:gd name="connsiteY79" fmla="*/ 2317402 h 3163078"/>
            <a:gd name="connsiteX80" fmla="*/ 2326733 w 3163078"/>
            <a:gd name="connsiteY80" fmla="*/ 1718094 h 3163078"/>
            <a:gd name="connsiteX81" fmla="*/ 2335902 w 3163078"/>
            <a:gd name="connsiteY81" fmla="*/ 1658015 h 3163078"/>
            <a:gd name="connsiteX82" fmla="*/ 2296149 w 3163078"/>
            <a:gd name="connsiteY82" fmla="*/ 1649989 h 3163078"/>
            <a:gd name="connsiteX83" fmla="*/ 2232222 w 3163078"/>
            <a:gd name="connsiteY83" fmla="*/ 1553546 h 3163078"/>
            <a:gd name="connsiteX84" fmla="*/ 2232221 w 3163078"/>
            <a:gd name="connsiteY84" fmla="*/ 1553546 h 3163078"/>
            <a:gd name="connsiteX85" fmla="*/ 2296148 w 3163078"/>
            <a:gd name="connsiteY85" fmla="*/ 1457103 h 3163078"/>
            <a:gd name="connsiteX86" fmla="*/ 2333139 w 3163078"/>
            <a:gd name="connsiteY86" fmla="*/ 1449635 h 3163078"/>
            <a:gd name="connsiteX87" fmla="*/ 2326733 w 3163078"/>
            <a:gd name="connsiteY87" fmla="*/ 1407661 h 3163078"/>
            <a:gd name="connsiteX88" fmla="*/ 1727425 w 3163078"/>
            <a:gd name="connsiteY88" fmla="*/ 808352 h 3163078"/>
            <a:gd name="connsiteX89" fmla="*/ 1704868 w 3163078"/>
            <a:gd name="connsiteY89" fmla="*/ 804910 h 3163078"/>
            <a:gd name="connsiteX90" fmla="*/ 1704868 w 3163078"/>
            <a:gd name="connsiteY90" fmla="*/ 809732 h 3163078"/>
            <a:gd name="connsiteX91" fmla="*/ 1640942 w 3163078"/>
            <a:gd name="connsiteY91" fmla="*/ 906175 h 3163078"/>
            <a:gd name="connsiteX92" fmla="*/ 1600201 w 3163078"/>
            <a:gd name="connsiteY92" fmla="*/ 914400 h 3163078"/>
            <a:gd name="connsiteX93" fmla="*/ 1559460 w 3163078"/>
            <a:gd name="connsiteY93" fmla="*/ 906175 h 3163078"/>
            <a:gd name="connsiteX94" fmla="*/ 1495533 w 3163078"/>
            <a:gd name="connsiteY94" fmla="*/ 809732 h 3163078"/>
            <a:gd name="connsiteX95" fmla="*/ 1704868 w 3163078"/>
            <a:gd name="connsiteY95" fmla="*/ 246369 h 3163078"/>
            <a:gd name="connsiteX96" fmla="*/ 1704868 w 3163078"/>
            <a:gd name="connsiteY96" fmla="*/ 665592 h 3163078"/>
            <a:gd name="connsiteX97" fmla="*/ 1755212 w 3163078"/>
            <a:gd name="connsiteY97" fmla="*/ 673275 h 3163078"/>
            <a:gd name="connsiteX98" fmla="*/ 2461810 w 3163078"/>
            <a:gd name="connsiteY98" fmla="*/ 1379873 h 3163078"/>
            <a:gd name="connsiteX99" fmla="*/ 2472341 w 3163078"/>
            <a:gd name="connsiteY99" fmla="*/ 1448878 h 3163078"/>
            <a:gd name="connsiteX100" fmla="*/ 2916238 w 3163078"/>
            <a:gd name="connsiteY100" fmla="*/ 1448878 h 3163078"/>
            <a:gd name="connsiteX101" fmla="*/ 2916012 w 3163078"/>
            <a:gd name="connsiteY101" fmla="*/ 1444389 h 3163078"/>
            <a:gd name="connsiteX102" fmla="*/ 1718689 w 3163078"/>
            <a:gd name="connsiteY102" fmla="*/ 247066 h 3163078"/>
            <a:gd name="connsiteX103" fmla="*/ 1495532 w 3163078"/>
            <a:gd name="connsiteY103" fmla="*/ 244484 h 3163078"/>
            <a:gd name="connsiteX104" fmla="*/ 1444389 w 3163078"/>
            <a:gd name="connsiteY104" fmla="*/ 247066 h 3163078"/>
            <a:gd name="connsiteX105" fmla="*/ 247066 w 3163078"/>
            <a:gd name="connsiteY105" fmla="*/ 1444389 h 3163078"/>
            <a:gd name="connsiteX106" fmla="*/ 246840 w 3163078"/>
            <a:gd name="connsiteY106" fmla="*/ 1448878 h 3163078"/>
            <a:gd name="connsiteX107" fmla="*/ 672075 w 3163078"/>
            <a:gd name="connsiteY107" fmla="*/ 1448878 h 3163078"/>
            <a:gd name="connsiteX108" fmla="*/ 682606 w 3163078"/>
            <a:gd name="connsiteY108" fmla="*/ 1379873 h 3163078"/>
            <a:gd name="connsiteX109" fmla="*/ 1479365 w 3163078"/>
            <a:gd name="connsiteY109" fmla="*/ 659515 h 3163078"/>
            <a:gd name="connsiteX110" fmla="*/ 1495533 w 3163078"/>
            <a:gd name="connsiteY110" fmla="*/ 658699 h 3163078"/>
            <a:gd name="connsiteX111" fmla="*/ 1581539 w 3163078"/>
            <a:gd name="connsiteY111" fmla="*/ 0 h 3163078"/>
            <a:gd name="connsiteX112" fmla="*/ 3163078 w 3163078"/>
            <a:gd name="connsiteY112" fmla="*/ 1581539 h 3163078"/>
            <a:gd name="connsiteX113" fmla="*/ 1581539 w 3163078"/>
            <a:gd name="connsiteY113" fmla="*/ 3163078 h 3163078"/>
            <a:gd name="connsiteX114" fmla="*/ 0 w 3163078"/>
            <a:gd name="connsiteY114" fmla="*/ 1581539 h 3163078"/>
            <a:gd name="connsiteX115" fmla="*/ 1581539 w 3163078"/>
            <a:gd name="connsiteY115" fmla="*/ 0 h 31630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Lst>
          <a:rect l="l" t="t" r="r" b="b"/>
          <a:pathLst>
            <a:path w="3163078" h="3163078">
              <a:moveTo>
                <a:pt x="669226" y="1658213"/>
              </a:moveTo>
              <a:lnTo>
                <a:pt x="244013" y="1658214"/>
              </a:lnTo>
              <a:lnTo>
                <a:pt x="247066" y="1718689"/>
              </a:lnTo>
              <a:cubicBezTo>
                <a:pt x="311180" y="2350004"/>
                <a:pt x="813074" y="2851898"/>
                <a:pt x="1444389" y="2916012"/>
              </a:cubicBezTo>
              <a:lnTo>
                <a:pt x="1499820" y="2918811"/>
              </a:lnTo>
              <a:lnTo>
                <a:pt x="1495533" y="2890456"/>
              </a:lnTo>
              <a:lnTo>
                <a:pt x="1495533" y="2467055"/>
              </a:lnTo>
              <a:lnTo>
                <a:pt x="1479365" y="2466239"/>
              </a:lnTo>
              <a:cubicBezTo>
                <a:pt x="1082527" y="2425938"/>
                <a:pt x="761230" y="2130108"/>
                <a:pt x="682606" y="1745881"/>
              </a:cubicBezTo>
              <a:close/>
              <a:moveTo>
                <a:pt x="2919066" y="1658213"/>
              </a:moveTo>
              <a:lnTo>
                <a:pt x="2475189" y="1658214"/>
              </a:lnTo>
              <a:lnTo>
                <a:pt x="2461810" y="1745881"/>
              </a:lnTo>
              <a:cubicBezTo>
                <a:pt x="2389234" y="2100552"/>
                <a:pt x="2109883" y="2379903"/>
                <a:pt x="1755212" y="2452479"/>
              </a:cubicBezTo>
              <a:lnTo>
                <a:pt x="1704868" y="2460162"/>
              </a:lnTo>
              <a:lnTo>
                <a:pt x="1704868" y="2890456"/>
              </a:lnTo>
              <a:lnTo>
                <a:pt x="1700869" y="2916912"/>
              </a:lnTo>
              <a:lnTo>
                <a:pt x="1718689" y="2916012"/>
              </a:lnTo>
              <a:cubicBezTo>
                <a:pt x="2350004" y="2851898"/>
                <a:pt x="2851898" y="2350004"/>
                <a:pt x="2916012" y="1718689"/>
              </a:cubicBezTo>
              <a:close/>
              <a:moveTo>
                <a:pt x="1665289" y="1628851"/>
              </a:moveTo>
              <a:lnTo>
                <a:pt x="1665289" y="1751958"/>
              </a:lnTo>
              <a:cubicBezTo>
                <a:pt x="1694879" y="1748958"/>
                <a:pt x="1720207" y="1742679"/>
                <a:pt x="1741278" y="1733090"/>
              </a:cubicBezTo>
              <a:cubicBezTo>
                <a:pt x="1762349" y="1723161"/>
                <a:pt x="1772883" y="1708747"/>
                <a:pt x="1772883" y="1689910"/>
              </a:cubicBezTo>
              <a:cubicBezTo>
                <a:pt x="1772883" y="1670702"/>
                <a:pt x="1760778" y="1656473"/>
                <a:pt x="1736568" y="1647194"/>
              </a:cubicBezTo>
              <a:cubicBezTo>
                <a:pt x="1712812" y="1637605"/>
                <a:pt x="1689050" y="1631481"/>
                <a:pt x="1665289" y="1628851"/>
              </a:cubicBezTo>
              <a:close/>
              <a:moveTo>
                <a:pt x="1561731" y="1346387"/>
              </a:moveTo>
              <a:cubicBezTo>
                <a:pt x="1532146" y="1348026"/>
                <a:pt x="1505469" y="1353656"/>
                <a:pt x="1481712" y="1363245"/>
              </a:cubicBezTo>
              <a:cubicBezTo>
                <a:pt x="1458399" y="1372524"/>
                <a:pt x="1446742" y="1385763"/>
                <a:pt x="1446742" y="1402960"/>
              </a:cubicBezTo>
              <a:cubicBezTo>
                <a:pt x="1446742" y="1418519"/>
                <a:pt x="1454364" y="1430613"/>
                <a:pt x="1469607" y="1439212"/>
              </a:cubicBezTo>
              <a:cubicBezTo>
                <a:pt x="1484850" y="1447811"/>
                <a:pt x="1515558" y="1455265"/>
                <a:pt x="1561731" y="1461544"/>
              </a:cubicBezTo>
              <a:close/>
              <a:moveTo>
                <a:pt x="1550971" y="1101133"/>
              </a:moveTo>
              <a:lnTo>
                <a:pt x="1667979" y="1101133"/>
              </a:lnTo>
              <a:lnTo>
                <a:pt x="1667979" y="1215826"/>
              </a:lnTo>
              <a:cubicBezTo>
                <a:pt x="1709225" y="1217125"/>
                <a:pt x="1757418" y="1221424"/>
                <a:pt x="1812557" y="1228724"/>
              </a:cubicBezTo>
              <a:cubicBezTo>
                <a:pt x="1868149" y="1235993"/>
                <a:pt x="1911859" y="1244437"/>
                <a:pt x="1943685" y="1254026"/>
              </a:cubicBezTo>
              <a:lnTo>
                <a:pt x="1943685" y="1397021"/>
              </a:lnTo>
              <a:lnTo>
                <a:pt x="1914100" y="1397021"/>
              </a:lnTo>
              <a:cubicBezTo>
                <a:pt x="1882269" y="1383443"/>
                <a:pt x="1845285" y="1372184"/>
                <a:pt x="1803142" y="1363245"/>
              </a:cubicBezTo>
              <a:cubicBezTo>
                <a:pt x="1761004" y="1354305"/>
                <a:pt x="1715950" y="1348676"/>
                <a:pt x="1667979" y="1346387"/>
              </a:cubicBezTo>
              <a:lnTo>
                <a:pt x="1667979" y="1472463"/>
              </a:lnTo>
              <a:lnTo>
                <a:pt x="1721778" y="1480412"/>
              </a:lnTo>
              <a:cubicBezTo>
                <a:pt x="1823095" y="1494981"/>
                <a:pt x="1897512" y="1517128"/>
                <a:pt x="1945030" y="1546914"/>
              </a:cubicBezTo>
              <a:cubicBezTo>
                <a:pt x="1993001" y="1576392"/>
                <a:pt x="2016984" y="1617592"/>
                <a:pt x="2016984" y="1670547"/>
              </a:cubicBezTo>
              <a:cubicBezTo>
                <a:pt x="2016984" y="1726471"/>
                <a:pt x="1985153" y="1774445"/>
                <a:pt x="1921495" y="1814501"/>
              </a:cubicBezTo>
              <a:cubicBezTo>
                <a:pt x="1857838" y="1854557"/>
                <a:pt x="1773331" y="1877230"/>
                <a:pt x="1667979" y="1882519"/>
              </a:cubicBezTo>
              <a:lnTo>
                <a:pt x="1667979" y="2062725"/>
              </a:lnTo>
              <a:lnTo>
                <a:pt x="1550971" y="2062725"/>
              </a:lnTo>
              <a:lnTo>
                <a:pt x="1550971" y="1885489"/>
              </a:lnTo>
              <a:cubicBezTo>
                <a:pt x="1500763" y="1885148"/>
                <a:pt x="1442708" y="1880694"/>
                <a:pt x="1376808" y="1872095"/>
              </a:cubicBezTo>
              <a:cubicBezTo>
                <a:pt x="1310909" y="1863496"/>
                <a:pt x="1259352" y="1852732"/>
                <a:pt x="1222145" y="1839803"/>
              </a:cubicBezTo>
              <a:lnTo>
                <a:pt x="1222145" y="1694859"/>
              </a:lnTo>
              <a:lnTo>
                <a:pt x="1252405" y="1694859"/>
              </a:lnTo>
              <a:cubicBezTo>
                <a:pt x="1293646" y="1711407"/>
                <a:pt x="1340942" y="1724646"/>
                <a:pt x="1394293" y="1734575"/>
              </a:cubicBezTo>
              <a:cubicBezTo>
                <a:pt x="1448087" y="1744503"/>
                <a:pt x="1501438" y="1750968"/>
                <a:pt x="1554336" y="1753938"/>
              </a:cubicBezTo>
              <a:lnTo>
                <a:pt x="1554336" y="1617902"/>
              </a:lnTo>
              <a:lnTo>
                <a:pt x="1489107" y="1606983"/>
              </a:lnTo>
              <a:cubicBezTo>
                <a:pt x="1447865" y="1600054"/>
                <a:pt x="1409758" y="1591951"/>
                <a:pt x="1374789" y="1582671"/>
              </a:cubicBezTo>
              <a:cubicBezTo>
                <a:pt x="1340272" y="1573392"/>
                <a:pt x="1310461" y="1561174"/>
                <a:pt x="1285355" y="1545925"/>
              </a:cubicBezTo>
              <a:cubicBezTo>
                <a:pt x="1260249" y="1530707"/>
                <a:pt x="1240749" y="1512024"/>
                <a:pt x="1226851" y="1489847"/>
              </a:cubicBezTo>
              <a:cubicBezTo>
                <a:pt x="1212953" y="1467328"/>
                <a:pt x="1206006" y="1439707"/>
                <a:pt x="1206006" y="1406950"/>
              </a:cubicBezTo>
              <a:cubicBezTo>
                <a:pt x="1206006" y="1357615"/>
                <a:pt x="1236487" y="1315425"/>
                <a:pt x="1297459" y="1280349"/>
              </a:cubicBezTo>
              <a:cubicBezTo>
                <a:pt x="1358427" y="1245272"/>
                <a:pt x="1442934" y="1224084"/>
                <a:pt x="1550971" y="1216816"/>
              </a:cubicBezTo>
              <a:close/>
              <a:moveTo>
                <a:pt x="1495533" y="796577"/>
              </a:moveTo>
              <a:lnTo>
                <a:pt x="1493463" y="796681"/>
              </a:lnTo>
              <a:cubicBezTo>
                <a:pt x="1156880" y="830863"/>
                <a:pt x="884369" y="1081774"/>
                <a:pt x="817683" y="1407661"/>
              </a:cubicBezTo>
              <a:lnTo>
                <a:pt x="811308" y="1449430"/>
              </a:lnTo>
              <a:lnTo>
                <a:pt x="838783" y="1453584"/>
              </a:lnTo>
              <a:cubicBezTo>
                <a:pt x="868280" y="1462758"/>
                <a:pt x="892184" y="1484629"/>
                <a:pt x="904101" y="1512804"/>
              </a:cubicBezTo>
              <a:lnTo>
                <a:pt x="912326" y="1553546"/>
              </a:lnTo>
              <a:lnTo>
                <a:pt x="904101" y="1594287"/>
              </a:lnTo>
              <a:cubicBezTo>
                <a:pt x="892184" y="1622462"/>
                <a:pt x="868280" y="1644333"/>
                <a:pt x="838783" y="1653508"/>
              </a:cubicBezTo>
              <a:lnTo>
                <a:pt x="808524" y="1658082"/>
              </a:lnTo>
              <a:lnTo>
                <a:pt x="817683" y="1718094"/>
              </a:lnTo>
              <a:cubicBezTo>
                <a:pt x="884369" y="2043980"/>
                <a:pt x="1156880" y="2294891"/>
                <a:pt x="1493463" y="2329073"/>
              </a:cubicBezTo>
              <a:lnTo>
                <a:pt x="1495532" y="2329177"/>
              </a:lnTo>
              <a:lnTo>
                <a:pt x="1495532" y="2306691"/>
              </a:lnTo>
              <a:cubicBezTo>
                <a:pt x="1495532" y="2248884"/>
                <a:pt x="1542393" y="2202023"/>
                <a:pt x="1600200" y="2202023"/>
              </a:cubicBezTo>
              <a:lnTo>
                <a:pt x="1600200" y="2202022"/>
              </a:lnTo>
              <a:cubicBezTo>
                <a:pt x="1658007" y="2202022"/>
                <a:pt x="1704868" y="2248883"/>
                <a:pt x="1704868" y="2306690"/>
              </a:cubicBezTo>
              <a:lnTo>
                <a:pt x="1704868" y="2320844"/>
              </a:lnTo>
              <a:lnTo>
                <a:pt x="1727425" y="2317402"/>
              </a:lnTo>
              <a:cubicBezTo>
                <a:pt x="2028243" y="2255846"/>
                <a:pt x="2265177" y="2018912"/>
                <a:pt x="2326733" y="1718094"/>
              </a:cubicBezTo>
              <a:lnTo>
                <a:pt x="2335902" y="1658015"/>
              </a:lnTo>
              <a:lnTo>
                <a:pt x="2296149" y="1649989"/>
              </a:lnTo>
              <a:cubicBezTo>
                <a:pt x="2258582" y="1634099"/>
                <a:pt x="2232222" y="1596901"/>
                <a:pt x="2232222" y="1553546"/>
              </a:cubicBezTo>
              <a:lnTo>
                <a:pt x="2232221" y="1553546"/>
              </a:lnTo>
              <a:cubicBezTo>
                <a:pt x="2232221" y="1510191"/>
                <a:pt x="2258581" y="1472993"/>
                <a:pt x="2296148" y="1457103"/>
              </a:cubicBezTo>
              <a:lnTo>
                <a:pt x="2333139" y="1449635"/>
              </a:lnTo>
              <a:lnTo>
                <a:pt x="2326733" y="1407661"/>
              </a:lnTo>
              <a:cubicBezTo>
                <a:pt x="2265177" y="1106843"/>
                <a:pt x="2028243" y="869908"/>
                <a:pt x="1727425" y="808352"/>
              </a:cubicBezTo>
              <a:lnTo>
                <a:pt x="1704868" y="804910"/>
              </a:lnTo>
              <a:lnTo>
                <a:pt x="1704868" y="809732"/>
              </a:lnTo>
              <a:cubicBezTo>
                <a:pt x="1704868" y="853087"/>
                <a:pt x="1678509" y="890285"/>
                <a:pt x="1640942" y="906175"/>
              </a:cubicBezTo>
              <a:lnTo>
                <a:pt x="1600201" y="914400"/>
              </a:lnTo>
              <a:lnTo>
                <a:pt x="1559460" y="906175"/>
              </a:lnTo>
              <a:cubicBezTo>
                <a:pt x="1521893" y="890285"/>
                <a:pt x="1495533" y="853087"/>
                <a:pt x="1495533" y="809732"/>
              </a:cubicBezTo>
              <a:close/>
              <a:moveTo>
                <a:pt x="1704868" y="246369"/>
              </a:moveTo>
              <a:lnTo>
                <a:pt x="1704868" y="665592"/>
              </a:lnTo>
              <a:lnTo>
                <a:pt x="1755212" y="673275"/>
              </a:lnTo>
              <a:cubicBezTo>
                <a:pt x="2109883" y="745852"/>
                <a:pt x="2389234" y="1025202"/>
                <a:pt x="2461810" y="1379873"/>
              </a:cubicBezTo>
              <a:lnTo>
                <a:pt x="2472341" y="1448878"/>
              </a:lnTo>
              <a:lnTo>
                <a:pt x="2916238" y="1448878"/>
              </a:lnTo>
              <a:lnTo>
                <a:pt x="2916012" y="1444389"/>
              </a:lnTo>
              <a:cubicBezTo>
                <a:pt x="2851898" y="813074"/>
                <a:pt x="2350004" y="311180"/>
                <a:pt x="1718689" y="247066"/>
              </a:cubicBezTo>
              <a:close/>
              <a:moveTo>
                <a:pt x="1495532" y="244484"/>
              </a:moveTo>
              <a:lnTo>
                <a:pt x="1444389" y="247066"/>
              </a:lnTo>
              <a:cubicBezTo>
                <a:pt x="813074" y="311180"/>
                <a:pt x="311180" y="813074"/>
                <a:pt x="247066" y="1444389"/>
              </a:cubicBezTo>
              <a:lnTo>
                <a:pt x="246840" y="1448878"/>
              </a:lnTo>
              <a:lnTo>
                <a:pt x="672075" y="1448878"/>
              </a:lnTo>
              <a:lnTo>
                <a:pt x="682606" y="1379873"/>
              </a:lnTo>
              <a:cubicBezTo>
                <a:pt x="761230" y="995646"/>
                <a:pt x="1082527" y="699816"/>
                <a:pt x="1479365" y="659515"/>
              </a:cubicBezTo>
              <a:lnTo>
                <a:pt x="1495533" y="658699"/>
              </a:lnTo>
              <a:close/>
              <a:moveTo>
                <a:pt x="1581539" y="0"/>
              </a:moveTo>
              <a:cubicBezTo>
                <a:pt x="2454999" y="0"/>
                <a:pt x="3163078" y="708079"/>
                <a:pt x="3163078" y="1581539"/>
              </a:cubicBezTo>
              <a:cubicBezTo>
                <a:pt x="3163078" y="2454999"/>
                <a:pt x="2454999" y="3163078"/>
                <a:pt x="1581539" y="3163078"/>
              </a:cubicBezTo>
              <a:cubicBezTo>
                <a:pt x="708079" y="3163078"/>
                <a:pt x="0" y="2454999"/>
                <a:pt x="0" y="1581539"/>
              </a:cubicBezTo>
              <a:cubicBezTo>
                <a:pt x="0" y="708079"/>
                <a:pt x="708079" y="0"/>
                <a:pt x="1581539" y="0"/>
              </a:cubicBezTo>
              <a:close/>
            </a:path>
          </a:pathLst>
        </a:custGeom>
        <a:solidFill>
          <a:sysClr val="window" lastClr="FFFFFF"/>
        </a:solidFill>
        <a:ln w="35341" cap="flat">
          <a:noFill/>
          <a:prstDash val="solid"/>
          <a:miter/>
        </a:ln>
        <a:effectLst>
          <a:outerShdw blurRad="50800" dist="38100" dir="2700000" algn="tl" rotWithShape="0">
            <a:prstClr val="black">
              <a:alpha val="40000"/>
            </a:prstClr>
          </a:outerShdw>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0</xdr:col>
      <xdr:colOff>519952</xdr:colOff>
      <xdr:row>3</xdr:row>
      <xdr:rowOff>170327</xdr:rowOff>
    </xdr:from>
    <xdr:to>
      <xdr:col>2</xdr:col>
      <xdr:colOff>94491</xdr:colOff>
      <xdr:row>9</xdr:row>
      <xdr:rowOff>98611</xdr:rowOff>
    </xdr:to>
    <xdr:grpSp>
      <xdr:nvGrpSpPr>
        <xdr:cNvPr id="33" name="Group 32">
          <a:extLst>
            <a:ext uri="{FF2B5EF4-FFF2-40B4-BE49-F238E27FC236}">
              <a16:creationId xmlns:a16="http://schemas.microsoft.com/office/drawing/2014/main" id="{00000000-0008-0000-0600-000021000000}"/>
            </a:ext>
          </a:extLst>
        </xdr:cNvPr>
        <xdr:cNvGrpSpPr/>
      </xdr:nvGrpSpPr>
      <xdr:grpSpPr>
        <a:xfrm>
          <a:off x="519952" y="760877"/>
          <a:ext cx="1225539" cy="1109384"/>
          <a:chOff x="0" y="0"/>
          <a:chExt cx="3878604" cy="3794658"/>
        </a:xfrm>
        <a:solidFill>
          <a:sysClr val="window" lastClr="FFFFFF"/>
        </a:solidFill>
      </xdr:grpSpPr>
      <xdr:sp macro="" textlink="">
        <xdr:nvSpPr>
          <xdr:cNvPr id="34" name="Freeform: Shape 40">
            <a:extLst>
              <a:ext uri="{FF2B5EF4-FFF2-40B4-BE49-F238E27FC236}">
                <a16:creationId xmlns:a16="http://schemas.microsoft.com/office/drawing/2014/main" id="{00000000-0008-0000-0600-000022000000}"/>
              </a:ext>
            </a:extLst>
          </xdr:cNvPr>
          <xdr:cNvSpPr/>
        </xdr:nvSpPr>
        <xdr:spPr>
          <a:xfrm>
            <a:off x="1567237" y="24810"/>
            <a:ext cx="2311367" cy="2470875"/>
          </a:xfrm>
          <a:custGeom>
            <a:avLst/>
            <a:gdLst>
              <a:gd name="connsiteX0" fmla="*/ 216 w 2257633"/>
              <a:gd name="connsiteY0" fmla="*/ 1936113 h 2405021"/>
              <a:gd name="connsiteX1" fmla="*/ 361980 w 2257633"/>
              <a:gd name="connsiteY1" fmla="*/ 2405050 h 2405021"/>
              <a:gd name="connsiteX2" fmla="*/ 1159200 w 2257633"/>
              <a:gd name="connsiteY2" fmla="*/ 1694949 h 2405021"/>
              <a:gd name="connsiteX3" fmla="*/ 998424 w 2257633"/>
              <a:gd name="connsiteY3" fmla="*/ 1406877 h 2405021"/>
              <a:gd name="connsiteX4" fmla="*/ 2164069 w 2257633"/>
              <a:gd name="connsiteY4" fmla="*/ 944626 h 2405021"/>
              <a:gd name="connsiteX5" fmla="*/ 2157373 w 2257633"/>
              <a:gd name="connsiteY5" fmla="*/ 221105 h 2405021"/>
              <a:gd name="connsiteX6" fmla="*/ 2257849 w 2257633"/>
              <a:gd name="connsiteY6" fmla="*/ 221105 h 2405021"/>
              <a:gd name="connsiteX7" fmla="*/ 2110501 w 2257633"/>
              <a:gd name="connsiteY7" fmla="*/ 29 h 2405021"/>
              <a:gd name="connsiteX8" fmla="*/ 1963117 w 2257633"/>
              <a:gd name="connsiteY8" fmla="*/ 214405 h 2405021"/>
              <a:gd name="connsiteX9" fmla="*/ 2066401 w 2257633"/>
              <a:gd name="connsiteY9" fmla="*/ 217958 h 2405021"/>
              <a:gd name="connsiteX10" fmla="*/ 2050201 w 2257633"/>
              <a:gd name="connsiteY10" fmla="*/ 703451 h 2405021"/>
              <a:gd name="connsiteX11" fmla="*/ 375372 w 2257633"/>
              <a:gd name="connsiteY11" fmla="*/ 1205896 h 2405021"/>
              <a:gd name="connsiteX12" fmla="*/ 596448 w 2257633"/>
              <a:gd name="connsiteY12" fmla="*/ 160786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63854 w 2311368"/>
              <a:gd name="connsiteY4" fmla="*/ 944598 h 2405021"/>
              <a:gd name="connsiteX5" fmla="*/ 2157158 w 2311368"/>
              <a:gd name="connsiteY5" fmla="*/ 221077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63854 w 2311368"/>
              <a:gd name="connsiteY4" fmla="*/ 944598 h 2405021"/>
              <a:gd name="connsiteX5" fmla="*/ 2157158 w 2311368"/>
              <a:gd name="connsiteY5" fmla="*/ 221077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157158 w 2311368"/>
              <a:gd name="connsiteY5" fmla="*/ 221077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210894 w 2311368"/>
              <a:gd name="connsiteY5" fmla="*/ 221078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210894 w 2311368"/>
              <a:gd name="connsiteY5" fmla="*/ 221078 h 2405021"/>
              <a:gd name="connsiteX6" fmla="*/ 2311368 w 2311368"/>
              <a:gd name="connsiteY6" fmla="*/ 221077 h 2405021"/>
              <a:gd name="connsiteX7" fmla="*/ 2110286 w 2311368"/>
              <a:gd name="connsiteY7" fmla="*/ 1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1936085 h 2405021"/>
              <a:gd name="connsiteX1" fmla="*/ 361765 w 2311368"/>
              <a:gd name="connsiteY1" fmla="*/ 2405022 h 2405021"/>
              <a:gd name="connsiteX2" fmla="*/ 1158985 w 2311368"/>
              <a:gd name="connsiteY2" fmla="*/ 1694921 h 2405021"/>
              <a:gd name="connsiteX3" fmla="*/ 998209 w 2311368"/>
              <a:gd name="connsiteY3" fmla="*/ 1406849 h 2405021"/>
              <a:gd name="connsiteX4" fmla="*/ 2197439 w 2311368"/>
              <a:gd name="connsiteY4" fmla="*/ 944597 h 2405021"/>
              <a:gd name="connsiteX5" fmla="*/ 2210894 w 2311368"/>
              <a:gd name="connsiteY5" fmla="*/ 221078 h 2405021"/>
              <a:gd name="connsiteX6" fmla="*/ 2311368 w 2311368"/>
              <a:gd name="connsiteY6" fmla="*/ 221077 h 2405021"/>
              <a:gd name="connsiteX7" fmla="*/ 2157304 w 2311368"/>
              <a:gd name="connsiteY7" fmla="*/ 0 h 2405021"/>
              <a:gd name="connsiteX8" fmla="*/ 1962902 w 2311368"/>
              <a:gd name="connsiteY8" fmla="*/ 214377 h 2405021"/>
              <a:gd name="connsiteX9" fmla="*/ 2066186 w 2311368"/>
              <a:gd name="connsiteY9" fmla="*/ 217930 h 2405021"/>
              <a:gd name="connsiteX10" fmla="*/ 2049986 w 2311368"/>
              <a:gd name="connsiteY10" fmla="*/ 703423 h 2405021"/>
              <a:gd name="connsiteX11" fmla="*/ 375157 w 2311368"/>
              <a:gd name="connsiteY11" fmla="*/ 1205868 h 2405021"/>
              <a:gd name="connsiteX12" fmla="*/ 596233 w 2311368"/>
              <a:gd name="connsiteY12" fmla="*/ 1607837 h 2405021"/>
              <a:gd name="connsiteX13" fmla="*/ 1 w 2311368"/>
              <a:gd name="connsiteY13" fmla="*/ 1936085 h 2405021"/>
              <a:gd name="connsiteX0" fmla="*/ 1 w 2311368"/>
              <a:gd name="connsiteY0" fmla="*/ 2001937 h 2470873"/>
              <a:gd name="connsiteX1" fmla="*/ 361765 w 2311368"/>
              <a:gd name="connsiteY1" fmla="*/ 2470874 h 2470873"/>
              <a:gd name="connsiteX2" fmla="*/ 1158985 w 2311368"/>
              <a:gd name="connsiteY2" fmla="*/ 1760773 h 2470873"/>
              <a:gd name="connsiteX3" fmla="*/ 998209 w 2311368"/>
              <a:gd name="connsiteY3" fmla="*/ 1472701 h 2470873"/>
              <a:gd name="connsiteX4" fmla="*/ 2197439 w 2311368"/>
              <a:gd name="connsiteY4" fmla="*/ 1010449 h 2470873"/>
              <a:gd name="connsiteX5" fmla="*/ 2210894 w 2311368"/>
              <a:gd name="connsiteY5" fmla="*/ 286930 h 2470873"/>
              <a:gd name="connsiteX6" fmla="*/ 2311368 w 2311368"/>
              <a:gd name="connsiteY6" fmla="*/ 286929 h 2470873"/>
              <a:gd name="connsiteX7" fmla="*/ 2164021 w 2311368"/>
              <a:gd name="connsiteY7" fmla="*/ 0 h 2470873"/>
              <a:gd name="connsiteX8" fmla="*/ 1962902 w 2311368"/>
              <a:gd name="connsiteY8" fmla="*/ 280229 h 2470873"/>
              <a:gd name="connsiteX9" fmla="*/ 2066186 w 2311368"/>
              <a:gd name="connsiteY9" fmla="*/ 283782 h 2470873"/>
              <a:gd name="connsiteX10" fmla="*/ 2049986 w 2311368"/>
              <a:gd name="connsiteY10" fmla="*/ 769275 h 2470873"/>
              <a:gd name="connsiteX11" fmla="*/ 375157 w 2311368"/>
              <a:gd name="connsiteY11" fmla="*/ 1271720 h 2470873"/>
              <a:gd name="connsiteX12" fmla="*/ 596233 w 2311368"/>
              <a:gd name="connsiteY12" fmla="*/ 1673689 h 2470873"/>
              <a:gd name="connsiteX13" fmla="*/ 1 w 2311368"/>
              <a:gd name="connsiteY13" fmla="*/ 2001937 h 2470873"/>
              <a:gd name="connsiteX0" fmla="*/ 1 w 2311368"/>
              <a:gd name="connsiteY0" fmla="*/ 2001937 h 2470873"/>
              <a:gd name="connsiteX1" fmla="*/ 361765 w 2311368"/>
              <a:gd name="connsiteY1" fmla="*/ 2470874 h 2470873"/>
              <a:gd name="connsiteX2" fmla="*/ 1158985 w 2311368"/>
              <a:gd name="connsiteY2" fmla="*/ 1760773 h 2470873"/>
              <a:gd name="connsiteX3" fmla="*/ 998209 w 2311368"/>
              <a:gd name="connsiteY3" fmla="*/ 1472701 h 2470873"/>
              <a:gd name="connsiteX4" fmla="*/ 2217590 w 2311368"/>
              <a:gd name="connsiteY4" fmla="*/ 1010449 h 2470873"/>
              <a:gd name="connsiteX5" fmla="*/ 2210894 w 2311368"/>
              <a:gd name="connsiteY5" fmla="*/ 286930 h 2470873"/>
              <a:gd name="connsiteX6" fmla="*/ 2311368 w 2311368"/>
              <a:gd name="connsiteY6" fmla="*/ 286929 h 2470873"/>
              <a:gd name="connsiteX7" fmla="*/ 2164021 w 2311368"/>
              <a:gd name="connsiteY7" fmla="*/ 0 h 2470873"/>
              <a:gd name="connsiteX8" fmla="*/ 1962902 w 2311368"/>
              <a:gd name="connsiteY8" fmla="*/ 280229 h 2470873"/>
              <a:gd name="connsiteX9" fmla="*/ 2066186 w 2311368"/>
              <a:gd name="connsiteY9" fmla="*/ 283782 h 2470873"/>
              <a:gd name="connsiteX10" fmla="*/ 2049986 w 2311368"/>
              <a:gd name="connsiteY10" fmla="*/ 769275 h 2470873"/>
              <a:gd name="connsiteX11" fmla="*/ 375157 w 2311368"/>
              <a:gd name="connsiteY11" fmla="*/ 1271720 h 2470873"/>
              <a:gd name="connsiteX12" fmla="*/ 596233 w 2311368"/>
              <a:gd name="connsiteY12" fmla="*/ 1673689 h 2470873"/>
              <a:gd name="connsiteX13" fmla="*/ 1 w 2311368"/>
              <a:gd name="connsiteY13" fmla="*/ 2001937 h 2470873"/>
              <a:gd name="connsiteX0" fmla="*/ 1 w 2311368"/>
              <a:gd name="connsiteY0" fmla="*/ 2001937 h 2470873"/>
              <a:gd name="connsiteX1" fmla="*/ 361765 w 2311368"/>
              <a:gd name="connsiteY1" fmla="*/ 2470874 h 2470873"/>
              <a:gd name="connsiteX2" fmla="*/ 1158985 w 2311368"/>
              <a:gd name="connsiteY2" fmla="*/ 1760773 h 2470873"/>
              <a:gd name="connsiteX3" fmla="*/ 998209 w 2311368"/>
              <a:gd name="connsiteY3" fmla="*/ 1472701 h 2470873"/>
              <a:gd name="connsiteX4" fmla="*/ 2217590 w 2311368"/>
              <a:gd name="connsiteY4" fmla="*/ 1010449 h 2470873"/>
              <a:gd name="connsiteX5" fmla="*/ 2210894 w 2311368"/>
              <a:gd name="connsiteY5" fmla="*/ 286930 h 2470873"/>
              <a:gd name="connsiteX6" fmla="*/ 2311368 w 2311368"/>
              <a:gd name="connsiteY6" fmla="*/ 286929 h 2470873"/>
              <a:gd name="connsiteX7" fmla="*/ 2164021 w 2311368"/>
              <a:gd name="connsiteY7" fmla="*/ 0 h 2470873"/>
              <a:gd name="connsiteX8" fmla="*/ 1962902 w 2311368"/>
              <a:gd name="connsiteY8" fmla="*/ 280229 h 2470873"/>
              <a:gd name="connsiteX9" fmla="*/ 2066186 w 2311368"/>
              <a:gd name="connsiteY9" fmla="*/ 283782 h 2470873"/>
              <a:gd name="connsiteX10" fmla="*/ 2049986 w 2311368"/>
              <a:gd name="connsiteY10" fmla="*/ 769275 h 2470873"/>
              <a:gd name="connsiteX11" fmla="*/ 375157 w 2311368"/>
              <a:gd name="connsiteY11" fmla="*/ 1271720 h 2470873"/>
              <a:gd name="connsiteX12" fmla="*/ 596233 w 2311368"/>
              <a:gd name="connsiteY12" fmla="*/ 1673689 h 2470873"/>
              <a:gd name="connsiteX13" fmla="*/ 1 w 2311368"/>
              <a:gd name="connsiteY13" fmla="*/ 2001937 h 247087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2311368" h="2470873">
                <a:moveTo>
                  <a:pt x="1" y="2001937"/>
                </a:moveTo>
                <a:cubicBezTo>
                  <a:pt x="230617" y="2202278"/>
                  <a:pt x="307405" y="2341058"/>
                  <a:pt x="361765" y="2470874"/>
                </a:cubicBezTo>
                <a:lnTo>
                  <a:pt x="1158985" y="1760773"/>
                </a:lnTo>
                <a:lnTo>
                  <a:pt x="998209" y="1472701"/>
                </a:lnTo>
                <a:cubicBezTo>
                  <a:pt x="998209" y="1472701"/>
                  <a:pt x="1952386" y="1136105"/>
                  <a:pt x="2217590" y="1010449"/>
                </a:cubicBezTo>
                <a:cubicBezTo>
                  <a:pt x="2239842" y="999906"/>
                  <a:pt x="2210894" y="286930"/>
                  <a:pt x="2210894" y="286930"/>
                </a:cubicBezTo>
                <a:lnTo>
                  <a:pt x="2311368" y="286929"/>
                </a:lnTo>
                <a:lnTo>
                  <a:pt x="2164021" y="0"/>
                </a:lnTo>
                <a:lnTo>
                  <a:pt x="1962902" y="280229"/>
                </a:lnTo>
                <a:lnTo>
                  <a:pt x="2066186" y="283782"/>
                </a:lnTo>
                <a:lnTo>
                  <a:pt x="2049986" y="769275"/>
                </a:lnTo>
                <a:lnTo>
                  <a:pt x="375157" y="1271720"/>
                </a:lnTo>
                <a:lnTo>
                  <a:pt x="596233" y="1673689"/>
                </a:lnTo>
                <a:lnTo>
                  <a:pt x="1" y="2001937"/>
                </a:lnTo>
                <a:close/>
              </a:path>
            </a:pathLst>
          </a:custGeom>
          <a:grpFill/>
          <a:ln w="17998" cap="flat">
            <a:solidFill>
              <a:sysClr val="windowText" lastClr="000000"/>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5" name="Freeform: Shape 41">
            <a:extLst>
              <a:ext uri="{FF2B5EF4-FFF2-40B4-BE49-F238E27FC236}">
                <a16:creationId xmlns:a16="http://schemas.microsoft.com/office/drawing/2014/main" id="{00000000-0008-0000-0600-000023000000}"/>
              </a:ext>
            </a:extLst>
          </xdr:cNvPr>
          <xdr:cNvSpPr/>
        </xdr:nvSpPr>
        <xdr:spPr>
          <a:xfrm>
            <a:off x="0" y="1872131"/>
            <a:ext cx="1997598" cy="1914913"/>
          </a:xfrm>
          <a:custGeom>
            <a:avLst/>
            <a:gdLst>
              <a:gd name="connsiteX0" fmla="*/ 1038471 w 1997598"/>
              <a:gd name="connsiteY0" fmla="*/ 1091169 h 1914913"/>
              <a:gd name="connsiteX1" fmla="*/ 1083642 w 1997598"/>
              <a:gd name="connsiteY1" fmla="*/ 1117431 h 1914913"/>
              <a:gd name="connsiteX2" fmla="*/ 1097649 w 1997598"/>
              <a:gd name="connsiteY2" fmla="*/ 1157699 h 1914913"/>
              <a:gd name="connsiteX3" fmla="*/ 1081191 w 1997598"/>
              <a:gd name="connsiteY3" fmla="*/ 1203573 h 1914913"/>
              <a:gd name="connsiteX4" fmla="*/ 1038471 w 1997598"/>
              <a:gd name="connsiteY4" fmla="*/ 1227735 h 1914913"/>
              <a:gd name="connsiteX5" fmla="*/ 987696 w 1997598"/>
              <a:gd name="connsiteY5" fmla="*/ 855154 h 1914913"/>
              <a:gd name="connsiteX6" fmla="*/ 987696 w 1997598"/>
              <a:gd name="connsiteY6" fmla="*/ 976313 h 1914913"/>
              <a:gd name="connsiteX7" fmla="*/ 953730 w 1997598"/>
              <a:gd name="connsiteY7" fmla="*/ 950749 h 1914913"/>
              <a:gd name="connsiteX8" fmla="*/ 942524 w 1997598"/>
              <a:gd name="connsiteY8" fmla="*/ 916084 h 1914913"/>
              <a:gd name="connsiteX9" fmla="*/ 954780 w 1997598"/>
              <a:gd name="connsiteY9" fmla="*/ 878964 h 1914913"/>
              <a:gd name="connsiteX10" fmla="*/ 987696 w 1997598"/>
              <a:gd name="connsiteY10" fmla="*/ 855154 h 1914913"/>
              <a:gd name="connsiteX11" fmla="*/ 987696 w 1997598"/>
              <a:gd name="connsiteY11" fmla="*/ 744151 h 1914913"/>
              <a:gd name="connsiteX12" fmla="*/ 987696 w 1997598"/>
              <a:gd name="connsiteY12" fmla="*/ 778816 h 1914913"/>
              <a:gd name="connsiteX13" fmla="*/ 891050 w 1997598"/>
              <a:gd name="connsiteY13" fmla="*/ 823987 h 1914913"/>
              <a:gd name="connsiteX14" fmla="*/ 854984 w 1997598"/>
              <a:gd name="connsiteY14" fmla="*/ 920285 h 1914913"/>
              <a:gd name="connsiteX15" fmla="*/ 886849 w 1997598"/>
              <a:gd name="connsiteY15" fmla="*/ 1016931 h 1914913"/>
              <a:gd name="connsiteX16" fmla="*/ 987696 w 1997598"/>
              <a:gd name="connsiteY16" fmla="*/ 1076109 h 1914913"/>
              <a:gd name="connsiteX17" fmla="*/ 987696 w 1997598"/>
              <a:gd name="connsiteY17" fmla="*/ 1222831 h 1914913"/>
              <a:gd name="connsiteX18" fmla="*/ 953379 w 1997598"/>
              <a:gd name="connsiteY18" fmla="*/ 1193418 h 1914913"/>
              <a:gd name="connsiteX19" fmla="*/ 932368 w 1997598"/>
              <a:gd name="connsiteY19" fmla="*/ 1145096 h 1914913"/>
              <a:gd name="connsiteX20" fmla="*/ 840974 w 1997598"/>
              <a:gd name="connsiteY20" fmla="*/ 1154900 h 1914913"/>
              <a:gd name="connsiteX21" fmla="*/ 889297 w 1997598"/>
              <a:gd name="connsiteY21" fmla="*/ 1261700 h 1914913"/>
              <a:gd name="connsiteX22" fmla="*/ 987696 w 1997598"/>
              <a:gd name="connsiteY22" fmla="*/ 1306873 h 1914913"/>
              <a:gd name="connsiteX23" fmla="*/ 987696 w 1997598"/>
              <a:gd name="connsiteY23" fmla="*/ 1370603 h 1914913"/>
              <a:gd name="connsiteX24" fmla="*/ 1038471 w 1997598"/>
              <a:gd name="connsiteY24" fmla="*/ 1370603 h 1914913"/>
              <a:gd name="connsiteX25" fmla="*/ 1038471 w 1997598"/>
              <a:gd name="connsiteY25" fmla="*/ 1305120 h 1914913"/>
              <a:gd name="connsiteX26" fmla="*/ 1144921 w 1997598"/>
              <a:gd name="connsiteY26" fmla="*/ 1251896 h 1914913"/>
              <a:gd name="connsiteX27" fmla="*/ 1183440 w 1997598"/>
              <a:gd name="connsiteY27" fmla="*/ 1145096 h 1914913"/>
              <a:gd name="connsiteX28" fmla="*/ 1152976 w 1997598"/>
              <a:gd name="connsiteY28" fmla="*/ 1052299 h 1914913"/>
              <a:gd name="connsiteX29" fmla="*/ 1038471 w 1997598"/>
              <a:gd name="connsiteY29" fmla="*/ 993121 h 1914913"/>
              <a:gd name="connsiteX30" fmla="*/ 1038471 w 1997598"/>
              <a:gd name="connsiteY30" fmla="*/ 856204 h 1914913"/>
              <a:gd name="connsiteX31" fmla="*/ 1080492 w 1997598"/>
              <a:gd name="connsiteY31" fmla="*/ 912230 h 1914913"/>
              <a:gd name="connsiteX32" fmla="*/ 1169083 w 1997598"/>
              <a:gd name="connsiteY32" fmla="*/ 900677 h 1914913"/>
              <a:gd name="connsiteX33" fmla="*/ 1127065 w 1997598"/>
              <a:gd name="connsiteY33" fmla="*/ 816987 h 1914913"/>
              <a:gd name="connsiteX34" fmla="*/ 1038471 w 1997598"/>
              <a:gd name="connsiteY34" fmla="*/ 778816 h 1914913"/>
              <a:gd name="connsiteX35" fmla="*/ 1038471 w 1997598"/>
              <a:gd name="connsiteY35" fmla="*/ 744151 h 1914913"/>
              <a:gd name="connsiteX36" fmla="*/ 1018529 w 1997598"/>
              <a:gd name="connsiteY36" fmla="*/ 568308 h 1914913"/>
              <a:gd name="connsiteX37" fmla="*/ 1488375 w 1997598"/>
              <a:gd name="connsiteY37" fmla="*/ 1038154 h 1914913"/>
              <a:gd name="connsiteX38" fmla="*/ 1018529 w 1997598"/>
              <a:gd name="connsiteY38" fmla="*/ 1508000 h 1914913"/>
              <a:gd name="connsiteX39" fmla="*/ 548683 w 1997598"/>
              <a:gd name="connsiteY39" fmla="*/ 1038154 h 1914913"/>
              <a:gd name="connsiteX40" fmla="*/ 1018529 w 1997598"/>
              <a:gd name="connsiteY40" fmla="*/ 568308 h 1914913"/>
              <a:gd name="connsiteX41" fmla="*/ 1018529 w 1997598"/>
              <a:gd name="connsiteY41" fmla="*/ 476083 h 1914913"/>
              <a:gd name="connsiteX42" fmla="*/ 456458 w 1997598"/>
              <a:gd name="connsiteY42" fmla="*/ 1038154 h 1914913"/>
              <a:gd name="connsiteX43" fmla="*/ 1018529 w 1997598"/>
              <a:gd name="connsiteY43" fmla="*/ 1600225 h 1914913"/>
              <a:gd name="connsiteX44" fmla="*/ 1580600 w 1997598"/>
              <a:gd name="connsiteY44" fmla="*/ 1038154 h 1914913"/>
              <a:gd name="connsiteX45" fmla="*/ 1018529 w 1997598"/>
              <a:gd name="connsiteY45" fmla="*/ 476083 h 1914913"/>
              <a:gd name="connsiteX46" fmla="*/ 664325 w 1997598"/>
              <a:gd name="connsiteY46" fmla="*/ 0 h 1914913"/>
              <a:gd name="connsiteX47" fmla="*/ 1314151 w 1997598"/>
              <a:gd name="connsiteY47" fmla="*/ 0 h 1914913"/>
              <a:gd name="connsiteX48" fmla="*/ 1997478 w 1997598"/>
              <a:gd name="connsiteY48" fmla="*/ 1091952 h 1914913"/>
              <a:gd name="connsiteX49" fmla="*/ 1568718 w 1997598"/>
              <a:gd name="connsiteY49" fmla="*/ 1914913 h 1914913"/>
              <a:gd name="connsiteX50" fmla="*/ 429850 w 1997598"/>
              <a:gd name="connsiteY50" fmla="*/ 1908217 h 1914913"/>
              <a:gd name="connsiteX51" fmla="*/ 1100 w 1997598"/>
              <a:gd name="connsiteY51" fmla="*/ 1085257 h 1914913"/>
              <a:gd name="connsiteX52" fmla="*/ 664325 w 1997598"/>
              <a:gd name="connsiteY52" fmla="*/ 0 h 19149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Lst>
            <a:rect l="l" t="t" r="r" b="b"/>
            <a:pathLst>
              <a:path w="1997598" h="1914913">
                <a:moveTo>
                  <a:pt x="1038471" y="1091169"/>
                </a:moveTo>
                <a:cubicBezTo>
                  <a:pt x="1059481" y="1097239"/>
                  <a:pt x="1074537" y="1105992"/>
                  <a:pt x="1083642" y="1117431"/>
                </a:cubicBezTo>
                <a:cubicBezTo>
                  <a:pt x="1092981" y="1128637"/>
                  <a:pt x="1097649" y="1142058"/>
                  <a:pt x="1097649" y="1157699"/>
                </a:cubicBezTo>
                <a:cubicBezTo>
                  <a:pt x="1097649" y="1175207"/>
                  <a:pt x="1092164" y="1190500"/>
                  <a:pt x="1081191" y="1203573"/>
                </a:cubicBezTo>
                <a:cubicBezTo>
                  <a:pt x="1070218" y="1216410"/>
                  <a:pt x="1055979" y="1224465"/>
                  <a:pt x="1038471" y="1227735"/>
                </a:cubicBezTo>
                <a:close/>
                <a:moveTo>
                  <a:pt x="987696" y="855154"/>
                </a:moveTo>
                <a:lnTo>
                  <a:pt x="987696" y="976313"/>
                </a:lnTo>
                <a:cubicBezTo>
                  <a:pt x="972522" y="969778"/>
                  <a:pt x="961201" y="961257"/>
                  <a:pt x="953730" y="950749"/>
                </a:cubicBezTo>
                <a:cubicBezTo>
                  <a:pt x="946260" y="940013"/>
                  <a:pt x="942524" y="928456"/>
                  <a:pt x="942524" y="916084"/>
                </a:cubicBezTo>
                <a:cubicBezTo>
                  <a:pt x="942524" y="902545"/>
                  <a:pt x="946611" y="890170"/>
                  <a:pt x="954780" y="878964"/>
                </a:cubicBezTo>
                <a:cubicBezTo>
                  <a:pt x="962951" y="867757"/>
                  <a:pt x="973923" y="859821"/>
                  <a:pt x="987696" y="855154"/>
                </a:cubicBezTo>
                <a:close/>
                <a:moveTo>
                  <a:pt x="987696" y="744151"/>
                </a:moveTo>
                <a:lnTo>
                  <a:pt x="987696" y="778816"/>
                </a:lnTo>
                <a:cubicBezTo>
                  <a:pt x="947543" y="782784"/>
                  <a:pt x="915327" y="797844"/>
                  <a:pt x="891050" y="823987"/>
                </a:cubicBezTo>
                <a:cubicBezTo>
                  <a:pt x="867004" y="849902"/>
                  <a:pt x="854984" y="882000"/>
                  <a:pt x="854984" y="920285"/>
                </a:cubicBezTo>
                <a:cubicBezTo>
                  <a:pt x="854984" y="958102"/>
                  <a:pt x="865606" y="990318"/>
                  <a:pt x="886849" y="1016931"/>
                </a:cubicBezTo>
                <a:cubicBezTo>
                  <a:pt x="908326" y="1043312"/>
                  <a:pt x="941940" y="1063040"/>
                  <a:pt x="987696" y="1076109"/>
                </a:cubicBezTo>
                <a:lnTo>
                  <a:pt x="987696" y="1222831"/>
                </a:lnTo>
                <a:cubicBezTo>
                  <a:pt x="975088" y="1216762"/>
                  <a:pt x="963653" y="1206958"/>
                  <a:pt x="953379" y="1193418"/>
                </a:cubicBezTo>
                <a:cubicBezTo>
                  <a:pt x="943109" y="1179878"/>
                  <a:pt x="936104" y="1163768"/>
                  <a:pt x="932368" y="1145096"/>
                </a:cubicBezTo>
                <a:lnTo>
                  <a:pt x="840974" y="1154900"/>
                </a:lnTo>
                <a:cubicBezTo>
                  <a:pt x="847979" y="1200889"/>
                  <a:pt x="864085" y="1236490"/>
                  <a:pt x="889297" y="1261700"/>
                </a:cubicBezTo>
                <a:cubicBezTo>
                  <a:pt x="914509" y="1286912"/>
                  <a:pt x="947310" y="1301968"/>
                  <a:pt x="987696" y="1306873"/>
                </a:cubicBezTo>
                <a:lnTo>
                  <a:pt x="987696" y="1370603"/>
                </a:lnTo>
                <a:lnTo>
                  <a:pt x="1038471" y="1370603"/>
                </a:lnTo>
                <a:lnTo>
                  <a:pt x="1038471" y="1305120"/>
                </a:lnTo>
                <a:cubicBezTo>
                  <a:pt x="1083994" y="1298585"/>
                  <a:pt x="1119476" y="1280844"/>
                  <a:pt x="1144921" y="1251896"/>
                </a:cubicBezTo>
                <a:cubicBezTo>
                  <a:pt x="1170602" y="1222949"/>
                  <a:pt x="1183440" y="1187349"/>
                  <a:pt x="1183440" y="1145096"/>
                </a:cubicBezTo>
                <a:cubicBezTo>
                  <a:pt x="1183440" y="1107275"/>
                  <a:pt x="1173288" y="1076342"/>
                  <a:pt x="1152976" y="1052299"/>
                </a:cubicBezTo>
                <a:cubicBezTo>
                  <a:pt x="1132665" y="1028019"/>
                  <a:pt x="1094497" y="1008296"/>
                  <a:pt x="1038471" y="993121"/>
                </a:cubicBezTo>
                <a:lnTo>
                  <a:pt x="1038471" y="856204"/>
                </a:lnTo>
                <a:cubicBezTo>
                  <a:pt x="1061116" y="866009"/>
                  <a:pt x="1075122" y="884686"/>
                  <a:pt x="1080492" y="912230"/>
                </a:cubicBezTo>
                <a:lnTo>
                  <a:pt x="1169083" y="900677"/>
                </a:lnTo>
                <a:cubicBezTo>
                  <a:pt x="1163013" y="865657"/>
                  <a:pt x="1149008" y="837760"/>
                  <a:pt x="1127065" y="816987"/>
                </a:cubicBezTo>
                <a:cubicBezTo>
                  <a:pt x="1105119" y="795976"/>
                  <a:pt x="1075587" y="783254"/>
                  <a:pt x="1038471" y="778816"/>
                </a:cubicBezTo>
                <a:lnTo>
                  <a:pt x="1038471" y="744151"/>
                </a:lnTo>
                <a:close/>
                <a:moveTo>
                  <a:pt x="1018529" y="568308"/>
                </a:moveTo>
                <a:cubicBezTo>
                  <a:pt x="1278018" y="568308"/>
                  <a:pt x="1488375" y="778665"/>
                  <a:pt x="1488375" y="1038154"/>
                </a:cubicBezTo>
                <a:cubicBezTo>
                  <a:pt x="1488375" y="1297643"/>
                  <a:pt x="1278018" y="1508000"/>
                  <a:pt x="1018529" y="1508000"/>
                </a:cubicBezTo>
                <a:cubicBezTo>
                  <a:pt x="759040" y="1508000"/>
                  <a:pt x="548683" y="1297643"/>
                  <a:pt x="548683" y="1038154"/>
                </a:cubicBezTo>
                <a:cubicBezTo>
                  <a:pt x="548683" y="778665"/>
                  <a:pt x="759040" y="568308"/>
                  <a:pt x="1018529" y="568308"/>
                </a:cubicBezTo>
                <a:close/>
                <a:moveTo>
                  <a:pt x="1018529" y="476083"/>
                </a:moveTo>
                <a:cubicBezTo>
                  <a:pt x="708106" y="476083"/>
                  <a:pt x="456458" y="727731"/>
                  <a:pt x="456458" y="1038154"/>
                </a:cubicBezTo>
                <a:cubicBezTo>
                  <a:pt x="456458" y="1348577"/>
                  <a:pt x="708106" y="1600225"/>
                  <a:pt x="1018529" y="1600225"/>
                </a:cubicBezTo>
                <a:cubicBezTo>
                  <a:pt x="1328952" y="1600225"/>
                  <a:pt x="1580600" y="1348577"/>
                  <a:pt x="1580600" y="1038154"/>
                </a:cubicBezTo>
                <a:cubicBezTo>
                  <a:pt x="1580600" y="727731"/>
                  <a:pt x="1328952" y="476083"/>
                  <a:pt x="1018529" y="476083"/>
                </a:cubicBezTo>
                <a:close/>
                <a:moveTo>
                  <a:pt x="664325" y="0"/>
                </a:moveTo>
                <a:lnTo>
                  <a:pt x="1314151" y="0"/>
                </a:lnTo>
                <a:cubicBezTo>
                  <a:pt x="1314151" y="0"/>
                  <a:pt x="2008098" y="459576"/>
                  <a:pt x="1997478" y="1091952"/>
                </a:cubicBezTo>
                <a:cubicBezTo>
                  <a:pt x="1985742" y="1790821"/>
                  <a:pt x="1568718" y="1914913"/>
                  <a:pt x="1568718" y="1914913"/>
                </a:cubicBezTo>
                <a:lnTo>
                  <a:pt x="429850" y="1908217"/>
                </a:lnTo>
                <a:cubicBezTo>
                  <a:pt x="429850" y="1908217"/>
                  <a:pt x="-25234" y="1697077"/>
                  <a:pt x="1100" y="1085257"/>
                </a:cubicBezTo>
                <a:cubicBezTo>
                  <a:pt x="27107" y="481032"/>
                  <a:pt x="664325" y="0"/>
                  <a:pt x="664325" y="0"/>
                </a:cubicBezTo>
                <a:close/>
              </a:path>
            </a:pathLst>
          </a:custGeom>
          <a:grpFill/>
          <a:ln w="18002"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6" name="Freeform: Shape 42">
            <a:extLst>
              <a:ext uri="{FF2B5EF4-FFF2-40B4-BE49-F238E27FC236}">
                <a16:creationId xmlns:a16="http://schemas.microsoft.com/office/drawing/2014/main" id="{00000000-0008-0000-0600-000024000000}"/>
              </a:ext>
            </a:extLst>
          </xdr:cNvPr>
          <xdr:cNvSpPr/>
        </xdr:nvSpPr>
        <xdr:spPr>
          <a:xfrm rot="15043660" flipV="1">
            <a:off x="678904" y="943653"/>
            <a:ext cx="730416" cy="1146531"/>
          </a:xfrm>
          <a:custGeom>
            <a:avLst/>
            <a:gdLst>
              <a:gd name="connsiteX0" fmla="*/ 716588 w 730416"/>
              <a:gd name="connsiteY0" fmla="*/ 511011 h 1146531"/>
              <a:gd name="connsiteX1" fmla="*/ 409782 w 730416"/>
              <a:gd name="connsiteY1" fmla="*/ 335484 h 1146531"/>
              <a:gd name="connsiteX2" fmla="*/ 313760 w 730416"/>
              <a:gd name="connsiteY2" fmla="*/ 0 h 1146531"/>
              <a:gd name="connsiteX3" fmla="*/ 0 w 730416"/>
              <a:gd name="connsiteY3" fmla="*/ 421987 h 1146531"/>
              <a:gd name="connsiteX4" fmla="*/ 18807 w 730416"/>
              <a:gd name="connsiteY4" fmla="*/ 472206 h 1146531"/>
              <a:gd name="connsiteX5" fmla="*/ 209996 w 730416"/>
              <a:gd name="connsiteY5" fmla="*/ 348997 h 1146531"/>
              <a:gd name="connsiteX6" fmla="*/ 272267 w 730416"/>
              <a:gd name="connsiteY6" fmla="*/ 360214 h 1146531"/>
              <a:gd name="connsiteX7" fmla="*/ 272266 w 730416"/>
              <a:gd name="connsiteY7" fmla="*/ 360214 h 1146531"/>
              <a:gd name="connsiteX8" fmla="*/ 260426 w 730416"/>
              <a:gd name="connsiteY8" fmla="*/ 419191 h 1146531"/>
              <a:gd name="connsiteX9" fmla="*/ 49788 w 730416"/>
              <a:gd name="connsiteY9" fmla="*/ 554931 h 1146531"/>
              <a:gd name="connsiteX10" fmla="*/ 93126 w 730416"/>
              <a:gd name="connsiteY10" fmla="*/ 670656 h 1146531"/>
              <a:gd name="connsiteX11" fmla="*/ 148370 w 730416"/>
              <a:gd name="connsiteY11" fmla="*/ 652362 h 1146531"/>
              <a:gd name="connsiteX12" fmla="*/ 205474 w 730416"/>
              <a:gd name="connsiteY12" fmla="*/ 678423 h 1146531"/>
              <a:gd name="connsiteX13" fmla="*/ 205473 w 730416"/>
              <a:gd name="connsiteY13" fmla="*/ 678422 h 1146531"/>
              <a:gd name="connsiteX14" fmla="*/ 177957 w 730416"/>
              <a:gd name="connsiteY14" fmla="*/ 732505 h 1146531"/>
              <a:gd name="connsiteX15" fmla="*/ 123093 w 730416"/>
              <a:gd name="connsiteY15" fmla="*/ 750672 h 1146531"/>
              <a:gd name="connsiteX16" fmla="*/ 162028 w 730416"/>
              <a:gd name="connsiteY16" fmla="*/ 854640 h 1146531"/>
              <a:gd name="connsiteX17" fmla="*/ 300808 w 730416"/>
              <a:gd name="connsiteY17" fmla="*/ 854640 h 1146531"/>
              <a:gd name="connsiteX18" fmla="*/ 345630 w 730416"/>
              <a:gd name="connsiteY18" fmla="*/ 897090 h 1146531"/>
              <a:gd name="connsiteX19" fmla="*/ 345629 w 730416"/>
              <a:gd name="connsiteY19" fmla="*/ 897090 h 1146531"/>
              <a:gd name="connsiteX20" fmla="*/ 300807 w 730416"/>
              <a:gd name="connsiteY20" fmla="*/ 939540 h 1146531"/>
              <a:gd name="connsiteX21" fmla="*/ 193823 w 730416"/>
              <a:gd name="connsiteY21" fmla="*/ 939540 h 1146531"/>
              <a:gd name="connsiteX22" fmla="*/ 213858 w 730416"/>
              <a:gd name="connsiteY22" fmla="*/ 993037 h 1146531"/>
              <a:gd name="connsiteX23" fmla="*/ 728835 w 730416"/>
              <a:gd name="connsiteY23" fmla="*/ 1146531 h 1146531"/>
              <a:gd name="connsiteX24" fmla="*/ 583838 w 730416"/>
              <a:gd name="connsiteY24" fmla="*/ 792704 h 1146531"/>
              <a:gd name="connsiteX25" fmla="*/ 716588 w 730416"/>
              <a:gd name="connsiteY25" fmla="*/ 511011 h 114653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30416" h="1146531">
                <a:moveTo>
                  <a:pt x="716588" y="511011"/>
                </a:moveTo>
                <a:cubicBezTo>
                  <a:pt x="680716" y="393596"/>
                  <a:pt x="548708" y="304346"/>
                  <a:pt x="409782" y="335484"/>
                </a:cubicBezTo>
                <a:cubicBezTo>
                  <a:pt x="486583" y="165966"/>
                  <a:pt x="385952" y="81473"/>
                  <a:pt x="313760" y="0"/>
                </a:cubicBezTo>
                <a:lnTo>
                  <a:pt x="0" y="421987"/>
                </a:lnTo>
                <a:lnTo>
                  <a:pt x="18807" y="472206"/>
                </a:lnTo>
                <a:lnTo>
                  <a:pt x="209996" y="348997"/>
                </a:lnTo>
                <a:cubicBezTo>
                  <a:pt x="230463" y="335809"/>
                  <a:pt x="258342" y="340831"/>
                  <a:pt x="272267" y="360214"/>
                </a:cubicBezTo>
                <a:lnTo>
                  <a:pt x="272266" y="360214"/>
                </a:lnTo>
                <a:cubicBezTo>
                  <a:pt x="286194" y="379595"/>
                  <a:pt x="280891" y="406002"/>
                  <a:pt x="260426" y="419191"/>
                </a:cubicBezTo>
                <a:lnTo>
                  <a:pt x="49788" y="554931"/>
                </a:lnTo>
                <a:lnTo>
                  <a:pt x="93126" y="670656"/>
                </a:lnTo>
                <a:lnTo>
                  <a:pt x="148370" y="652362"/>
                </a:lnTo>
                <a:cubicBezTo>
                  <a:pt x="171737" y="644624"/>
                  <a:pt x="197303" y="656291"/>
                  <a:pt x="205474" y="678423"/>
                </a:cubicBezTo>
                <a:lnTo>
                  <a:pt x="205473" y="678422"/>
                </a:lnTo>
                <a:cubicBezTo>
                  <a:pt x="213644" y="700552"/>
                  <a:pt x="201323" y="724767"/>
                  <a:pt x="177957" y="732505"/>
                </a:cubicBezTo>
                <a:lnTo>
                  <a:pt x="123093" y="750672"/>
                </a:lnTo>
                <a:lnTo>
                  <a:pt x="162028" y="854640"/>
                </a:lnTo>
                <a:lnTo>
                  <a:pt x="300808" y="854640"/>
                </a:lnTo>
                <a:cubicBezTo>
                  <a:pt x="325563" y="854641"/>
                  <a:pt x="345630" y="873646"/>
                  <a:pt x="345630" y="897090"/>
                </a:cubicBezTo>
                <a:lnTo>
                  <a:pt x="345629" y="897090"/>
                </a:lnTo>
                <a:cubicBezTo>
                  <a:pt x="345629" y="920534"/>
                  <a:pt x="325560" y="939540"/>
                  <a:pt x="300807" y="939540"/>
                </a:cubicBezTo>
                <a:lnTo>
                  <a:pt x="193823" y="939540"/>
                </a:lnTo>
                <a:lnTo>
                  <a:pt x="213858" y="993037"/>
                </a:lnTo>
                <a:lnTo>
                  <a:pt x="728835" y="1146531"/>
                </a:lnTo>
                <a:cubicBezTo>
                  <a:pt x="738744" y="1018136"/>
                  <a:pt x="703479" y="913568"/>
                  <a:pt x="583838" y="792704"/>
                </a:cubicBezTo>
                <a:cubicBezTo>
                  <a:pt x="714230" y="710695"/>
                  <a:pt x="744487" y="602333"/>
                  <a:pt x="716588" y="511011"/>
                </a:cubicBezTo>
                <a:close/>
              </a:path>
            </a:pathLst>
          </a:custGeom>
          <a:grp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37" name="Freeform: Shape 43">
            <a:extLst>
              <a:ext uri="{FF2B5EF4-FFF2-40B4-BE49-F238E27FC236}">
                <a16:creationId xmlns:a16="http://schemas.microsoft.com/office/drawing/2014/main" id="{00000000-0008-0000-0600-000025000000}"/>
              </a:ext>
            </a:extLst>
          </xdr:cNvPr>
          <xdr:cNvSpPr/>
        </xdr:nvSpPr>
        <xdr:spPr>
          <a:xfrm>
            <a:off x="1066684" y="0"/>
            <a:ext cx="1014942" cy="1014942"/>
          </a:xfrm>
          <a:custGeom>
            <a:avLst/>
            <a:gdLst>
              <a:gd name="connsiteX0" fmla="*/ 529764 w 1014942"/>
              <a:gd name="connsiteY0" fmla="*/ 520172 h 1014942"/>
              <a:gd name="connsiteX1" fmla="*/ 568161 w 1014942"/>
              <a:gd name="connsiteY1" fmla="*/ 542495 h 1014942"/>
              <a:gd name="connsiteX2" fmla="*/ 580067 w 1014942"/>
              <a:gd name="connsiteY2" fmla="*/ 576724 h 1014942"/>
              <a:gd name="connsiteX3" fmla="*/ 566077 w 1014942"/>
              <a:gd name="connsiteY3" fmla="*/ 615719 h 1014942"/>
              <a:gd name="connsiteX4" fmla="*/ 529764 w 1014942"/>
              <a:gd name="connsiteY4" fmla="*/ 636257 h 1014942"/>
              <a:gd name="connsiteX5" fmla="*/ 486603 w 1014942"/>
              <a:gd name="connsiteY5" fmla="*/ 319551 h 1014942"/>
              <a:gd name="connsiteX6" fmla="*/ 486603 w 1014942"/>
              <a:gd name="connsiteY6" fmla="*/ 422540 h 1014942"/>
              <a:gd name="connsiteX7" fmla="*/ 457731 w 1014942"/>
              <a:gd name="connsiteY7" fmla="*/ 400810 h 1014942"/>
              <a:gd name="connsiteX8" fmla="*/ 448206 w 1014942"/>
              <a:gd name="connsiteY8" fmla="*/ 371344 h 1014942"/>
              <a:gd name="connsiteX9" fmla="*/ 458624 w 1014942"/>
              <a:gd name="connsiteY9" fmla="*/ 339790 h 1014942"/>
              <a:gd name="connsiteX10" fmla="*/ 486603 w 1014942"/>
              <a:gd name="connsiteY10" fmla="*/ 319551 h 1014942"/>
              <a:gd name="connsiteX11" fmla="*/ 486603 w 1014942"/>
              <a:gd name="connsiteY11" fmla="*/ 225195 h 1014942"/>
              <a:gd name="connsiteX12" fmla="*/ 486603 w 1014942"/>
              <a:gd name="connsiteY12" fmla="*/ 254661 h 1014942"/>
              <a:gd name="connsiteX13" fmla="*/ 404451 w 1014942"/>
              <a:gd name="connsiteY13" fmla="*/ 293058 h 1014942"/>
              <a:gd name="connsiteX14" fmla="*/ 373794 w 1014942"/>
              <a:gd name="connsiteY14" fmla="*/ 374915 h 1014942"/>
              <a:gd name="connsiteX15" fmla="*/ 400880 w 1014942"/>
              <a:gd name="connsiteY15" fmla="*/ 457067 h 1014942"/>
              <a:gd name="connsiteX16" fmla="*/ 486603 w 1014942"/>
              <a:gd name="connsiteY16" fmla="*/ 507370 h 1014942"/>
              <a:gd name="connsiteX17" fmla="*/ 486603 w 1014942"/>
              <a:gd name="connsiteY17" fmla="*/ 632088 h 1014942"/>
              <a:gd name="connsiteX18" fmla="*/ 457433 w 1014942"/>
              <a:gd name="connsiteY18" fmla="*/ 607087 h 1014942"/>
              <a:gd name="connsiteX19" fmla="*/ 439573 w 1014942"/>
              <a:gd name="connsiteY19" fmla="*/ 566011 h 1014942"/>
              <a:gd name="connsiteX20" fmla="*/ 361885 w 1014942"/>
              <a:gd name="connsiteY20" fmla="*/ 574344 h 1014942"/>
              <a:gd name="connsiteX21" fmla="*/ 402961 w 1014942"/>
              <a:gd name="connsiteY21" fmla="*/ 665129 h 1014942"/>
              <a:gd name="connsiteX22" fmla="*/ 486603 w 1014942"/>
              <a:gd name="connsiteY22" fmla="*/ 703527 h 1014942"/>
              <a:gd name="connsiteX23" fmla="*/ 486603 w 1014942"/>
              <a:gd name="connsiteY23" fmla="*/ 757700 h 1014942"/>
              <a:gd name="connsiteX24" fmla="*/ 529764 w 1014942"/>
              <a:gd name="connsiteY24" fmla="*/ 757700 h 1014942"/>
              <a:gd name="connsiteX25" fmla="*/ 529764 w 1014942"/>
              <a:gd name="connsiteY25" fmla="*/ 702036 h 1014942"/>
              <a:gd name="connsiteX26" fmla="*/ 620250 w 1014942"/>
              <a:gd name="connsiteY26" fmla="*/ 656795 h 1014942"/>
              <a:gd name="connsiteX27" fmla="*/ 652992 w 1014942"/>
              <a:gd name="connsiteY27" fmla="*/ 566011 h 1014942"/>
              <a:gd name="connsiteX28" fmla="*/ 627097 w 1014942"/>
              <a:gd name="connsiteY28" fmla="*/ 487131 h 1014942"/>
              <a:gd name="connsiteX29" fmla="*/ 529764 w 1014942"/>
              <a:gd name="connsiteY29" fmla="*/ 436828 h 1014942"/>
              <a:gd name="connsiteX30" fmla="*/ 529764 w 1014942"/>
              <a:gd name="connsiteY30" fmla="*/ 320444 h 1014942"/>
              <a:gd name="connsiteX31" fmla="*/ 565483 w 1014942"/>
              <a:gd name="connsiteY31" fmla="*/ 368068 h 1014942"/>
              <a:gd name="connsiteX32" fmla="*/ 640788 w 1014942"/>
              <a:gd name="connsiteY32" fmla="*/ 358247 h 1014942"/>
              <a:gd name="connsiteX33" fmla="*/ 605072 w 1014942"/>
              <a:gd name="connsiteY33" fmla="*/ 287107 h 1014942"/>
              <a:gd name="connsiteX34" fmla="*/ 529764 w 1014942"/>
              <a:gd name="connsiteY34" fmla="*/ 254661 h 1014942"/>
              <a:gd name="connsiteX35" fmla="*/ 529764 w 1014942"/>
              <a:gd name="connsiteY35" fmla="*/ 225195 h 1014942"/>
              <a:gd name="connsiteX36" fmla="*/ 507471 w 1014942"/>
              <a:gd name="connsiteY36" fmla="*/ 0 h 1014942"/>
              <a:gd name="connsiteX37" fmla="*/ 1014942 w 1014942"/>
              <a:gd name="connsiteY37" fmla="*/ 507471 h 1014942"/>
              <a:gd name="connsiteX38" fmla="*/ 507471 w 1014942"/>
              <a:gd name="connsiteY38" fmla="*/ 1014942 h 1014942"/>
              <a:gd name="connsiteX39" fmla="*/ 0 w 1014942"/>
              <a:gd name="connsiteY39" fmla="*/ 507471 h 1014942"/>
              <a:gd name="connsiteX40" fmla="*/ 507471 w 1014942"/>
              <a:gd name="connsiteY40" fmla="*/ 0 h 1014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1014942" h="1014942">
                <a:moveTo>
                  <a:pt x="529764" y="520172"/>
                </a:moveTo>
                <a:cubicBezTo>
                  <a:pt x="547623" y="525330"/>
                  <a:pt x="560421" y="532772"/>
                  <a:pt x="568161" y="542495"/>
                </a:cubicBezTo>
                <a:cubicBezTo>
                  <a:pt x="576099" y="552021"/>
                  <a:pt x="580067" y="563429"/>
                  <a:pt x="580067" y="576724"/>
                </a:cubicBezTo>
                <a:cubicBezTo>
                  <a:pt x="580067" y="591607"/>
                  <a:pt x="575405" y="604606"/>
                  <a:pt x="566077" y="615719"/>
                </a:cubicBezTo>
                <a:cubicBezTo>
                  <a:pt x="556750" y="626631"/>
                  <a:pt x="544646" y="633478"/>
                  <a:pt x="529764" y="636257"/>
                </a:cubicBezTo>
                <a:close/>
                <a:moveTo>
                  <a:pt x="486603" y="319551"/>
                </a:moveTo>
                <a:lnTo>
                  <a:pt x="486603" y="422540"/>
                </a:lnTo>
                <a:cubicBezTo>
                  <a:pt x="473705" y="416985"/>
                  <a:pt x="464082" y="409742"/>
                  <a:pt x="457731" y="400810"/>
                </a:cubicBezTo>
                <a:cubicBezTo>
                  <a:pt x="451381" y="391684"/>
                  <a:pt x="448206" y="381860"/>
                  <a:pt x="448206" y="371344"/>
                </a:cubicBezTo>
                <a:cubicBezTo>
                  <a:pt x="448206" y="359835"/>
                  <a:pt x="451680" y="349316"/>
                  <a:pt x="458624" y="339790"/>
                </a:cubicBezTo>
                <a:cubicBezTo>
                  <a:pt x="465569" y="330264"/>
                  <a:pt x="474896" y="323518"/>
                  <a:pt x="486603" y="319551"/>
                </a:cubicBezTo>
                <a:close/>
                <a:moveTo>
                  <a:pt x="486603" y="225195"/>
                </a:moveTo>
                <a:lnTo>
                  <a:pt x="486603" y="254661"/>
                </a:lnTo>
                <a:cubicBezTo>
                  <a:pt x="452472" y="258034"/>
                  <a:pt x="425087" y="270835"/>
                  <a:pt x="404451" y="293058"/>
                </a:cubicBezTo>
                <a:cubicBezTo>
                  <a:pt x="384011" y="315087"/>
                  <a:pt x="373794" y="342371"/>
                  <a:pt x="373794" y="374915"/>
                </a:cubicBezTo>
                <a:cubicBezTo>
                  <a:pt x="373794" y="407060"/>
                  <a:pt x="382823" y="434445"/>
                  <a:pt x="400880" y="457067"/>
                </a:cubicBezTo>
                <a:cubicBezTo>
                  <a:pt x="419136" y="479492"/>
                  <a:pt x="447709" y="496260"/>
                  <a:pt x="486603" y="507370"/>
                </a:cubicBezTo>
                <a:lnTo>
                  <a:pt x="486603" y="632088"/>
                </a:lnTo>
                <a:cubicBezTo>
                  <a:pt x="475886" y="626930"/>
                  <a:pt x="466166" y="618596"/>
                  <a:pt x="457433" y="607087"/>
                </a:cubicBezTo>
                <a:cubicBezTo>
                  <a:pt x="448703" y="595577"/>
                  <a:pt x="442748" y="581883"/>
                  <a:pt x="439573" y="566011"/>
                </a:cubicBezTo>
                <a:lnTo>
                  <a:pt x="361885" y="574344"/>
                </a:lnTo>
                <a:cubicBezTo>
                  <a:pt x="367839" y="613437"/>
                  <a:pt x="381530" y="643698"/>
                  <a:pt x="402961" y="665129"/>
                </a:cubicBezTo>
                <a:cubicBezTo>
                  <a:pt x="424392" y="686560"/>
                  <a:pt x="452274" y="699358"/>
                  <a:pt x="486603" y="703527"/>
                </a:cubicBezTo>
                <a:lnTo>
                  <a:pt x="486603" y="757700"/>
                </a:lnTo>
                <a:lnTo>
                  <a:pt x="529764" y="757700"/>
                </a:lnTo>
                <a:lnTo>
                  <a:pt x="529764" y="702036"/>
                </a:lnTo>
                <a:cubicBezTo>
                  <a:pt x="568460" y="696482"/>
                  <a:pt x="598621" y="681401"/>
                  <a:pt x="620250" y="656795"/>
                </a:cubicBezTo>
                <a:cubicBezTo>
                  <a:pt x="642080" y="632189"/>
                  <a:pt x="652992" y="601928"/>
                  <a:pt x="652992" y="566011"/>
                </a:cubicBezTo>
                <a:cubicBezTo>
                  <a:pt x="652992" y="533862"/>
                  <a:pt x="644363" y="507568"/>
                  <a:pt x="627097" y="487131"/>
                </a:cubicBezTo>
                <a:cubicBezTo>
                  <a:pt x="609832" y="466492"/>
                  <a:pt x="577388" y="449727"/>
                  <a:pt x="529764" y="436828"/>
                </a:cubicBezTo>
                <a:lnTo>
                  <a:pt x="529764" y="320444"/>
                </a:lnTo>
                <a:cubicBezTo>
                  <a:pt x="549013" y="328778"/>
                  <a:pt x="560918" y="344653"/>
                  <a:pt x="565483" y="368068"/>
                </a:cubicBezTo>
                <a:lnTo>
                  <a:pt x="640788" y="358247"/>
                </a:lnTo>
                <a:cubicBezTo>
                  <a:pt x="635629" y="328479"/>
                  <a:pt x="623724" y="304766"/>
                  <a:pt x="605072" y="287107"/>
                </a:cubicBezTo>
                <a:cubicBezTo>
                  <a:pt x="586417" y="269248"/>
                  <a:pt x="561314" y="258433"/>
                  <a:pt x="529764" y="254661"/>
                </a:cubicBezTo>
                <a:lnTo>
                  <a:pt x="529764" y="225195"/>
                </a:lnTo>
                <a:close/>
                <a:moveTo>
                  <a:pt x="507471" y="0"/>
                </a:moveTo>
                <a:cubicBezTo>
                  <a:pt x="787739" y="0"/>
                  <a:pt x="1014942" y="227203"/>
                  <a:pt x="1014942" y="507471"/>
                </a:cubicBezTo>
                <a:cubicBezTo>
                  <a:pt x="1014942" y="787739"/>
                  <a:pt x="787739" y="1014942"/>
                  <a:pt x="507471" y="1014942"/>
                </a:cubicBezTo>
                <a:cubicBezTo>
                  <a:pt x="227203" y="1014942"/>
                  <a:pt x="0" y="787739"/>
                  <a:pt x="0" y="507471"/>
                </a:cubicBezTo>
                <a:cubicBezTo>
                  <a:pt x="0" y="227203"/>
                  <a:pt x="227203" y="0"/>
                  <a:pt x="507471" y="0"/>
                </a:cubicBezTo>
                <a:close/>
              </a:path>
            </a:pathLst>
          </a:custGeom>
          <a:grpFill/>
          <a:ln w="17998"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8" name="Freeform: Shape 44">
            <a:extLst>
              <a:ext uri="{FF2B5EF4-FFF2-40B4-BE49-F238E27FC236}">
                <a16:creationId xmlns:a16="http://schemas.microsoft.com/office/drawing/2014/main" id="{00000000-0008-0000-0600-000026000000}"/>
              </a:ext>
            </a:extLst>
          </xdr:cNvPr>
          <xdr:cNvSpPr/>
        </xdr:nvSpPr>
        <xdr:spPr>
          <a:xfrm>
            <a:off x="3439631" y="1737986"/>
            <a:ext cx="305142" cy="2056672"/>
          </a:xfrm>
          <a:custGeom>
            <a:avLst/>
            <a:gdLst>
              <a:gd name="connsiteX0" fmla="*/ 294 w 274669"/>
              <a:gd name="connsiteY0" fmla="*/ 147 h 2056670"/>
              <a:gd name="connsiteX1" fmla="*/ 274963 w 274669"/>
              <a:gd name="connsiteY1" fmla="*/ 147 h 2056670"/>
              <a:gd name="connsiteX2" fmla="*/ 274963 w 274669"/>
              <a:gd name="connsiteY2" fmla="*/ 2056818 h 2056670"/>
              <a:gd name="connsiteX3" fmla="*/ 294 w 274669"/>
              <a:gd name="connsiteY3" fmla="*/ 2056818 h 2056670"/>
            </a:gdLst>
            <a:ahLst/>
            <a:cxnLst>
              <a:cxn ang="0">
                <a:pos x="connsiteX0" y="connsiteY0"/>
              </a:cxn>
              <a:cxn ang="0">
                <a:pos x="connsiteX1" y="connsiteY1"/>
              </a:cxn>
              <a:cxn ang="0">
                <a:pos x="connsiteX2" y="connsiteY2"/>
              </a:cxn>
              <a:cxn ang="0">
                <a:pos x="connsiteX3" y="connsiteY3"/>
              </a:cxn>
            </a:cxnLst>
            <a:rect l="l" t="t" r="r" b="b"/>
            <a:pathLst>
              <a:path w="274669" h="2056670">
                <a:moveTo>
                  <a:pt x="294" y="147"/>
                </a:moveTo>
                <a:lnTo>
                  <a:pt x="274963" y="147"/>
                </a:lnTo>
                <a:lnTo>
                  <a:pt x="274963" y="2056818"/>
                </a:lnTo>
                <a:lnTo>
                  <a:pt x="294" y="2056818"/>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9" name="Freeform: Shape 45">
            <a:extLst>
              <a:ext uri="{FF2B5EF4-FFF2-40B4-BE49-F238E27FC236}">
                <a16:creationId xmlns:a16="http://schemas.microsoft.com/office/drawing/2014/main" id="{00000000-0008-0000-0600-000027000000}"/>
              </a:ext>
            </a:extLst>
          </xdr:cNvPr>
          <xdr:cNvSpPr/>
        </xdr:nvSpPr>
        <xdr:spPr>
          <a:xfrm>
            <a:off x="2890307" y="2173441"/>
            <a:ext cx="305142" cy="1621217"/>
          </a:xfrm>
          <a:custGeom>
            <a:avLst/>
            <a:gdLst>
              <a:gd name="connsiteX0" fmla="*/ 252 w 281368"/>
              <a:gd name="connsiteY0" fmla="*/ 163 h 1621217"/>
              <a:gd name="connsiteX1" fmla="*/ 281621 w 281368"/>
              <a:gd name="connsiteY1" fmla="*/ 163 h 1621217"/>
              <a:gd name="connsiteX2" fmla="*/ 281621 w 281368"/>
              <a:gd name="connsiteY2" fmla="*/ 1621381 h 1621217"/>
              <a:gd name="connsiteX3" fmla="*/ 252 w 281368"/>
              <a:gd name="connsiteY3" fmla="*/ 1621381 h 1621217"/>
            </a:gdLst>
            <a:ahLst/>
            <a:cxnLst>
              <a:cxn ang="0">
                <a:pos x="connsiteX0" y="connsiteY0"/>
              </a:cxn>
              <a:cxn ang="0">
                <a:pos x="connsiteX1" y="connsiteY1"/>
              </a:cxn>
              <a:cxn ang="0">
                <a:pos x="connsiteX2" y="connsiteY2"/>
              </a:cxn>
              <a:cxn ang="0">
                <a:pos x="connsiteX3" y="connsiteY3"/>
              </a:cxn>
            </a:cxnLst>
            <a:rect l="l" t="t" r="r" b="b"/>
            <a:pathLst>
              <a:path w="281368" h="1621217">
                <a:moveTo>
                  <a:pt x="252" y="163"/>
                </a:moveTo>
                <a:lnTo>
                  <a:pt x="281621" y="163"/>
                </a:lnTo>
                <a:lnTo>
                  <a:pt x="281621" y="1621381"/>
                </a:lnTo>
                <a:lnTo>
                  <a:pt x="252" y="1621381"/>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0" name="Freeform: Shape 46">
            <a:extLst>
              <a:ext uri="{FF2B5EF4-FFF2-40B4-BE49-F238E27FC236}">
                <a16:creationId xmlns:a16="http://schemas.microsoft.com/office/drawing/2014/main" id="{00000000-0008-0000-0600-000028000000}"/>
              </a:ext>
            </a:extLst>
          </xdr:cNvPr>
          <xdr:cNvSpPr/>
        </xdr:nvSpPr>
        <xdr:spPr>
          <a:xfrm>
            <a:off x="2354373" y="2736176"/>
            <a:ext cx="305142" cy="1058482"/>
          </a:xfrm>
          <a:custGeom>
            <a:avLst/>
            <a:gdLst>
              <a:gd name="connsiteX0" fmla="*/ 211 w 281368"/>
              <a:gd name="connsiteY0" fmla="*/ 184 h 1058483"/>
              <a:gd name="connsiteX1" fmla="*/ 281580 w 281368"/>
              <a:gd name="connsiteY1" fmla="*/ 184 h 1058483"/>
              <a:gd name="connsiteX2" fmla="*/ 281580 w 281368"/>
              <a:gd name="connsiteY2" fmla="*/ 1058668 h 1058483"/>
              <a:gd name="connsiteX3" fmla="*/ 211 w 281368"/>
              <a:gd name="connsiteY3" fmla="*/ 1058668 h 1058483"/>
            </a:gdLst>
            <a:ahLst/>
            <a:cxnLst>
              <a:cxn ang="0">
                <a:pos x="connsiteX0" y="connsiteY0"/>
              </a:cxn>
              <a:cxn ang="0">
                <a:pos x="connsiteX1" y="connsiteY1"/>
              </a:cxn>
              <a:cxn ang="0">
                <a:pos x="connsiteX2" y="connsiteY2"/>
              </a:cxn>
              <a:cxn ang="0">
                <a:pos x="connsiteX3" y="connsiteY3"/>
              </a:cxn>
            </a:cxnLst>
            <a:rect l="l" t="t" r="r" b="b"/>
            <a:pathLst>
              <a:path w="281368" h="1058483">
                <a:moveTo>
                  <a:pt x="211" y="184"/>
                </a:moveTo>
                <a:lnTo>
                  <a:pt x="281580" y="184"/>
                </a:lnTo>
                <a:lnTo>
                  <a:pt x="281580" y="1058668"/>
                </a:lnTo>
                <a:lnTo>
                  <a:pt x="211" y="1058668"/>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1" name="Freeform: Shape 47">
            <a:extLst>
              <a:ext uri="{FF2B5EF4-FFF2-40B4-BE49-F238E27FC236}">
                <a16:creationId xmlns:a16="http://schemas.microsoft.com/office/drawing/2014/main" id="{00000000-0008-0000-0600-000029000000}"/>
              </a:ext>
            </a:extLst>
          </xdr:cNvPr>
          <xdr:cNvSpPr/>
        </xdr:nvSpPr>
        <xdr:spPr>
          <a:xfrm>
            <a:off x="1844938" y="3097384"/>
            <a:ext cx="305142" cy="697274"/>
          </a:xfrm>
          <a:custGeom>
            <a:avLst/>
            <a:gdLst>
              <a:gd name="connsiteX0" fmla="*/ 171 w 275221"/>
              <a:gd name="connsiteY0" fmla="*/ 197 h 697273"/>
              <a:gd name="connsiteX1" fmla="*/ 275393 w 275221"/>
              <a:gd name="connsiteY1" fmla="*/ 197 h 697273"/>
              <a:gd name="connsiteX2" fmla="*/ 275393 w 275221"/>
              <a:gd name="connsiteY2" fmla="*/ 697471 h 697273"/>
              <a:gd name="connsiteX3" fmla="*/ 171 w 275221"/>
              <a:gd name="connsiteY3" fmla="*/ 697471 h 697273"/>
            </a:gdLst>
            <a:ahLst/>
            <a:cxnLst>
              <a:cxn ang="0">
                <a:pos x="connsiteX0" y="connsiteY0"/>
              </a:cxn>
              <a:cxn ang="0">
                <a:pos x="connsiteX1" y="connsiteY1"/>
              </a:cxn>
              <a:cxn ang="0">
                <a:pos x="connsiteX2" y="connsiteY2"/>
              </a:cxn>
              <a:cxn ang="0">
                <a:pos x="connsiteX3" y="connsiteY3"/>
              </a:cxn>
            </a:cxnLst>
            <a:rect l="l" t="t" r="r" b="b"/>
            <a:pathLst>
              <a:path w="275221" h="697273">
                <a:moveTo>
                  <a:pt x="171" y="197"/>
                </a:moveTo>
                <a:lnTo>
                  <a:pt x="275393" y="197"/>
                </a:lnTo>
                <a:lnTo>
                  <a:pt x="275393" y="697471"/>
                </a:lnTo>
                <a:lnTo>
                  <a:pt x="171" y="697471"/>
                </a:lnTo>
                <a:close/>
              </a:path>
            </a:pathLst>
          </a:custGeom>
          <a:grpFill/>
          <a:ln w="25400" cap="flat">
            <a:solidFill>
              <a:srgbClr val="242732"/>
            </a:solid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Text" lastClr="000000"/>
              </a:solidFill>
              <a:effectLst/>
              <a:uLnTx/>
              <a:uFillTx/>
              <a:latin typeface="Calibri" panose="020F0502020204030204"/>
              <a:ea typeface="+mn-ea"/>
              <a:cs typeface="+mn-cs"/>
            </a:endParaRPr>
          </a:p>
        </xdr:txBody>
      </xdr:sp>
    </xdr:grpSp>
    <xdr:clientData/>
  </xdr:twoCellAnchor>
  <xdr:twoCellAnchor>
    <xdr:from>
      <xdr:col>18</xdr:col>
      <xdr:colOff>309657</xdr:colOff>
      <xdr:row>13</xdr:row>
      <xdr:rowOff>74061</xdr:rowOff>
    </xdr:from>
    <xdr:to>
      <xdr:col>21</xdr:col>
      <xdr:colOff>612746</xdr:colOff>
      <xdr:row>21</xdr:row>
      <xdr:rowOff>163922</xdr:rowOff>
    </xdr:to>
    <xdr:grpSp>
      <xdr:nvGrpSpPr>
        <xdr:cNvPr id="42" name="Group 41">
          <a:extLst>
            <a:ext uri="{FF2B5EF4-FFF2-40B4-BE49-F238E27FC236}">
              <a16:creationId xmlns:a16="http://schemas.microsoft.com/office/drawing/2014/main" id="{00000000-0008-0000-0600-00002A000000}"/>
            </a:ext>
          </a:extLst>
        </xdr:cNvPr>
        <xdr:cNvGrpSpPr/>
      </xdr:nvGrpSpPr>
      <xdr:grpSpPr>
        <a:xfrm>
          <a:off x="15168657" y="2633111"/>
          <a:ext cx="2779589" cy="1664661"/>
          <a:chOff x="6684884" y="1133961"/>
          <a:chExt cx="4632942" cy="2991773"/>
        </a:xfrm>
        <a:effectLst>
          <a:outerShdw blurRad="50800" dist="38100" dir="2700000" algn="tl" rotWithShape="0">
            <a:prstClr val="black">
              <a:alpha val="40000"/>
            </a:prstClr>
          </a:outerShdw>
        </a:effectLst>
      </xdr:grpSpPr>
      <xdr:sp macro="" textlink="">
        <xdr:nvSpPr>
          <xdr:cNvPr id="43" name="Rectangle: Rounded Corners 49">
            <a:extLst>
              <a:ext uri="{FF2B5EF4-FFF2-40B4-BE49-F238E27FC236}">
                <a16:creationId xmlns:a16="http://schemas.microsoft.com/office/drawing/2014/main" id="{00000000-0008-0000-0600-00002B000000}"/>
              </a:ext>
            </a:extLst>
          </xdr:cNvPr>
          <xdr:cNvSpPr/>
        </xdr:nvSpPr>
        <xdr:spPr>
          <a:xfrm>
            <a:off x="6684884" y="1133961"/>
            <a:ext cx="4632942" cy="2991773"/>
          </a:xfrm>
          <a:prstGeom prst="roundRect">
            <a:avLst>
              <a:gd name="adj" fmla="val 6897"/>
            </a:avLst>
          </a:prstGeom>
          <a:gradFill flip="none" rotWithShape="1">
            <a:gsLst>
              <a:gs pos="77000">
                <a:srgbClr val="2D3540"/>
              </a:gs>
              <a:gs pos="0">
                <a:srgbClr val="4472C4">
                  <a:lumMod val="30000"/>
                  <a:lumOff val="70000"/>
                </a:srgbClr>
              </a:gs>
            </a:gsLst>
            <a:path path="circle">
              <a:fillToRect l="100000" b="100000"/>
            </a:path>
            <a:tileRect t="-100000" r="-100000"/>
          </a:gradFill>
          <a:ln w="12700" cap="flat" cmpd="sng" algn="ctr">
            <a:solidFill>
              <a:srgbClr val="4472C4">
                <a:shade val="15000"/>
              </a:srgbClr>
            </a:solid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nvGrpSpPr>
          <xdr:cNvPr id="44" name="Group 43">
            <a:extLst>
              <a:ext uri="{FF2B5EF4-FFF2-40B4-BE49-F238E27FC236}">
                <a16:creationId xmlns:a16="http://schemas.microsoft.com/office/drawing/2014/main" id="{00000000-0008-0000-0600-00002C000000}"/>
              </a:ext>
            </a:extLst>
          </xdr:cNvPr>
          <xdr:cNvGrpSpPr/>
        </xdr:nvGrpSpPr>
        <xdr:grpSpPr>
          <a:xfrm>
            <a:off x="7138979" y="2378947"/>
            <a:ext cx="710550" cy="501799"/>
            <a:chOff x="2716066" y="2011251"/>
            <a:chExt cx="710550" cy="501799"/>
          </a:xfrm>
          <a:solidFill>
            <a:srgbClr val="FBF1BD"/>
          </a:solidFill>
        </xdr:grpSpPr>
        <xdr:sp macro="" textlink="">
          <xdr:nvSpPr>
            <xdr:cNvPr id="48" name="Freeform: Shape 54">
              <a:extLst>
                <a:ext uri="{FF2B5EF4-FFF2-40B4-BE49-F238E27FC236}">
                  <a16:creationId xmlns:a16="http://schemas.microsoft.com/office/drawing/2014/main" id="{00000000-0008-0000-0600-000030000000}"/>
                </a:ext>
              </a:extLst>
            </xdr:cNvPr>
            <xdr:cNvSpPr/>
          </xdr:nvSpPr>
          <xdr:spPr>
            <a:xfrm>
              <a:off x="2716066" y="2011251"/>
              <a:ext cx="710548" cy="102310"/>
            </a:xfrm>
            <a:custGeom>
              <a:avLst/>
              <a:gdLst>
                <a:gd name="connsiteX0" fmla="*/ 80328 w 710548"/>
                <a:gd name="connsiteY0" fmla="*/ 0 h 102310"/>
                <a:gd name="connsiteX1" fmla="*/ 630220 w 710548"/>
                <a:gd name="connsiteY1" fmla="*/ 0 h 102310"/>
                <a:gd name="connsiteX2" fmla="*/ 710548 w 710548"/>
                <a:gd name="connsiteY2" fmla="*/ 80328 h 102310"/>
                <a:gd name="connsiteX3" fmla="*/ 710548 w 710548"/>
                <a:gd name="connsiteY3" fmla="*/ 102310 h 102310"/>
                <a:gd name="connsiteX4" fmla="*/ 426341 w 710548"/>
                <a:gd name="connsiteY4" fmla="*/ 102310 h 102310"/>
                <a:gd name="connsiteX5" fmla="*/ 417706 w 710548"/>
                <a:gd name="connsiteY5" fmla="*/ 89503 h 102310"/>
                <a:gd name="connsiteX6" fmla="*/ 379637 w 710548"/>
                <a:gd name="connsiteY6" fmla="*/ 73734 h 102310"/>
                <a:gd name="connsiteX7" fmla="*/ 330912 w 710548"/>
                <a:gd name="connsiteY7" fmla="*/ 73734 h 102310"/>
                <a:gd name="connsiteX8" fmla="*/ 292843 w 710548"/>
                <a:gd name="connsiteY8" fmla="*/ 89503 h 102310"/>
                <a:gd name="connsiteX9" fmla="*/ 284208 w 710548"/>
                <a:gd name="connsiteY9" fmla="*/ 102310 h 102310"/>
                <a:gd name="connsiteX10" fmla="*/ 0 w 710548"/>
                <a:gd name="connsiteY10" fmla="*/ 102310 h 102310"/>
                <a:gd name="connsiteX11" fmla="*/ 0 w 710548"/>
                <a:gd name="connsiteY11" fmla="*/ 80328 h 102310"/>
                <a:gd name="connsiteX12" fmla="*/ 80328 w 710548"/>
                <a:gd name="connsiteY12" fmla="*/ 0 h 10231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710548" h="102310">
                  <a:moveTo>
                    <a:pt x="80328" y="0"/>
                  </a:moveTo>
                  <a:lnTo>
                    <a:pt x="630220" y="0"/>
                  </a:lnTo>
                  <a:cubicBezTo>
                    <a:pt x="674584" y="0"/>
                    <a:pt x="710548" y="35964"/>
                    <a:pt x="710548" y="80328"/>
                  </a:cubicBezTo>
                  <a:lnTo>
                    <a:pt x="710548" y="102310"/>
                  </a:lnTo>
                  <a:lnTo>
                    <a:pt x="426341" y="102310"/>
                  </a:lnTo>
                  <a:lnTo>
                    <a:pt x="417706" y="89503"/>
                  </a:lnTo>
                  <a:cubicBezTo>
                    <a:pt x="407964" y="79760"/>
                    <a:pt x="394504" y="73734"/>
                    <a:pt x="379637" y="73734"/>
                  </a:cubicBezTo>
                  <a:lnTo>
                    <a:pt x="330912" y="73734"/>
                  </a:lnTo>
                  <a:cubicBezTo>
                    <a:pt x="316045" y="73734"/>
                    <a:pt x="302586" y="79760"/>
                    <a:pt x="292843" y="89503"/>
                  </a:cubicBezTo>
                  <a:lnTo>
                    <a:pt x="284208" y="102310"/>
                  </a:lnTo>
                  <a:lnTo>
                    <a:pt x="0" y="102310"/>
                  </a:lnTo>
                  <a:lnTo>
                    <a:pt x="0" y="80328"/>
                  </a:lnTo>
                  <a:cubicBezTo>
                    <a:pt x="0" y="35964"/>
                    <a:pt x="35964" y="0"/>
                    <a:pt x="80328" y="0"/>
                  </a:cubicBez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49" name="Freeform: Shape 55">
              <a:extLst>
                <a:ext uri="{FF2B5EF4-FFF2-40B4-BE49-F238E27FC236}">
                  <a16:creationId xmlns:a16="http://schemas.microsoft.com/office/drawing/2014/main" id="{00000000-0008-0000-0600-000031000000}"/>
                </a:ext>
              </a:extLst>
            </xdr:cNvPr>
            <xdr:cNvSpPr/>
          </xdr:nvSpPr>
          <xdr:spPr>
            <a:xfrm>
              <a:off x="2716066" y="2410739"/>
              <a:ext cx="710548" cy="102311"/>
            </a:xfrm>
            <a:custGeom>
              <a:avLst/>
              <a:gdLst>
                <a:gd name="connsiteX0" fmla="*/ 0 w 710548"/>
                <a:gd name="connsiteY0" fmla="*/ 0 h 102311"/>
                <a:gd name="connsiteX1" fmla="*/ 284208 w 710548"/>
                <a:gd name="connsiteY1" fmla="*/ 0 h 102311"/>
                <a:gd name="connsiteX2" fmla="*/ 292843 w 710548"/>
                <a:gd name="connsiteY2" fmla="*/ 12807 h 102311"/>
                <a:gd name="connsiteX3" fmla="*/ 330912 w 710548"/>
                <a:gd name="connsiteY3" fmla="*/ 28576 h 102311"/>
                <a:gd name="connsiteX4" fmla="*/ 379637 w 710548"/>
                <a:gd name="connsiteY4" fmla="*/ 28576 h 102311"/>
                <a:gd name="connsiteX5" fmla="*/ 417706 w 710548"/>
                <a:gd name="connsiteY5" fmla="*/ 12807 h 102311"/>
                <a:gd name="connsiteX6" fmla="*/ 426341 w 710548"/>
                <a:gd name="connsiteY6" fmla="*/ 0 h 102311"/>
                <a:gd name="connsiteX7" fmla="*/ 710548 w 710548"/>
                <a:gd name="connsiteY7" fmla="*/ 0 h 102311"/>
                <a:gd name="connsiteX8" fmla="*/ 710548 w 710548"/>
                <a:gd name="connsiteY8" fmla="*/ 21983 h 102311"/>
                <a:gd name="connsiteX9" fmla="*/ 630220 w 710548"/>
                <a:gd name="connsiteY9" fmla="*/ 102311 h 102311"/>
                <a:gd name="connsiteX10" fmla="*/ 80328 w 710548"/>
                <a:gd name="connsiteY10" fmla="*/ 102311 h 102311"/>
                <a:gd name="connsiteX11" fmla="*/ 0 w 710548"/>
                <a:gd name="connsiteY11" fmla="*/ 21983 h 102311"/>
                <a:gd name="connsiteX12" fmla="*/ 0 w 710548"/>
                <a:gd name="connsiteY12" fmla="*/ 0 h 10231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710548" h="102311">
                  <a:moveTo>
                    <a:pt x="0" y="0"/>
                  </a:moveTo>
                  <a:lnTo>
                    <a:pt x="284208" y="0"/>
                  </a:lnTo>
                  <a:lnTo>
                    <a:pt x="292843" y="12807"/>
                  </a:lnTo>
                  <a:cubicBezTo>
                    <a:pt x="302586" y="22550"/>
                    <a:pt x="316045" y="28576"/>
                    <a:pt x="330912" y="28576"/>
                  </a:cubicBezTo>
                  <a:lnTo>
                    <a:pt x="379637" y="28576"/>
                  </a:lnTo>
                  <a:cubicBezTo>
                    <a:pt x="394504" y="28576"/>
                    <a:pt x="407964" y="22550"/>
                    <a:pt x="417706" y="12807"/>
                  </a:cubicBezTo>
                  <a:lnTo>
                    <a:pt x="426341" y="0"/>
                  </a:lnTo>
                  <a:lnTo>
                    <a:pt x="710548" y="0"/>
                  </a:lnTo>
                  <a:lnTo>
                    <a:pt x="710548" y="21983"/>
                  </a:lnTo>
                  <a:cubicBezTo>
                    <a:pt x="710548" y="66347"/>
                    <a:pt x="674584" y="102311"/>
                    <a:pt x="630220" y="102311"/>
                  </a:cubicBezTo>
                  <a:lnTo>
                    <a:pt x="80328" y="102311"/>
                  </a:lnTo>
                  <a:cubicBezTo>
                    <a:pt x="35964" y="102311"/>
                    <a:pt x="0" y="66347"/>
                    <a:pt x="0" y="21983"/>
                  </a:cubicBezTo>
                  <a:lnTo>
                    <a:pt x="0"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0" name="Freeform: Shape 56">
              <a:extLst>
                <a:ext uri="{FF2B5EF4-FFF2-40B4-BE49-F238E27FC236}">
                  <a16:creationId xmlns:a16="http://schemas.microsoft.com/office/drawing/2014/main" id="{00000000-0008-0000-0600-000032000000}"/>
                </a:ext>
              </a:extLst>
            </xdr:cNvPr>
            <xdr:cNvSpPr/>
          </xdr:nvSpPr>
          <xdr:spPr>
            <a:xfrm>
              <a:off x="2716066" y="2113561"/>
              <a:ext cx="284208" cy="148588"/>
            </a:xfrm>
            <a:custGeom>
              <a:avLst/>
              <a:gdLst>
                <a:gd name="connsiteX0" fmla="*/ 0 w 284208"/>
                <a:gd name="connsiteY0" fmla="*/ 0 h 148588"/>
                <a:gd name="connsiteX1" fmla="*/ 284208 w 284208"/>
                <a:gd name="connsiteY1" fmla="*/ 0 h 148588"/>
                <a:gd name="connsiteX2" fmla="*/ 281305 w 284208"/>
                <a:gd name="connsiteY2" fmla="*/ 4306 h 148588"/>
                <a:gd name="connsiteX3" fmla="*/ 277074 w 284208"/>
                <a:gd name="connsiteY3" fmla="*/ 25262 h 148588"/>
                <a:gd name="connsiteX4" fmla="*/ 277074 w 284208"/>
                <a:gd name="connsiteY4" fmla="*/ 148588 h 148588"/>
                <a:gd name="connsiteX5" fmla="*/ 0 w 284208"/>
                <a:gd name="connsiteY5" fmla="*/ 148588 h 148588"/>
                <a:gd name="connsiteX6" fmla="*/ 0 w 284208"/>
                <a:gd name="connsiteY6" fmla="*/ 0 h 1485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8" h="148588">
                  <a:moveTo>
                    <a:pt x="0" y="0"/>
                  </a:moveTo>
                  <a:lnTo>
                    <a:pt x="284208" y="0"/>
                  </a:lnTo>
                  <a:lnTo>
                    <a:pt x="281305" y="4306"/>
                  </a:lnTo>
                  <a:cubicBezTo>
                    <a:pt x="278581" y="10747"/>
                    <a:pt x="277074" y="17829"/>
                    <a:pt x="277074" y="25262"/>
                  </a:cubicBezTo>
                  <a:lnTo>
                    <a:pt x="277074" y="148588"/>
                  </a:lnTo>
                  <a:lnTo>
                    <a:pt x="0" y="148588"/>
                  </a:lnTo>
                  <a:lnTo>
                    <a:pt x="0"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1" name="Freeform: Shape 57">
              <a:extLst>
                <a:ext uri="{FF2B5EF4-FFF2-40B4-BE49-F238E27FC236}">
                  <a16:creationId xmlns:a16="http://schemas.microsoft.com/office/drawing/2014/main" id="{00000000-0008-0000-0600-000033000000}"/>
                </a:ext>
              </a:extLst>
            </xdr:cNvPr>
            <xdr:cNvSpPr/>
          </xdr:nvSpPr>
          <xdr:spPr>
            <a:xfrm>
              <a:off x="3142409" y="2113561"/>
              <a:ext cx="284207" cy="148588"/>
            </a:xfrm>
            <a:custGeom>
              <a:avLst/>
              <a:gdLst>
                <a:gd name="connsiteX0" fmla="*/ 0 w 284207"/>
                <a:gd name="connsiteY0" fmla="*/ 0 h 148588"/>
                <a:gd name="connsiteX1" fmla="*/ 284207 w 284207"/>
                <a:gd name="connsiteY1" fmla="*/ 0 h 148588"/>
                <a:gd name="connsiteX2" fmla="*/ 284207 w 284207"/>
                <a:gd name="connsiteY2" fmla="*/ 148588 h 148588"/>
                <a:gd name="connsiteX3" fmla="*/ 7134 w 284207"/>
                <a:gd name="connsiteY3" fmla="*/ 148588 h 148588"/>
                <a:gd name="connsiteX4" fmla="*/ 7134 w 284207"/>
                <a:gd name="connsiteY4" fmla="*/ 25262 h 148588"/>
                <a:gd name="connsiteX5" fmla="*/ 2903 w 284207"/>
                <a:gd name="connsiteY5" fmla="*/ 4306 h 148588"/>
                <a:gd name="connsiteX6" fmla="*/ 0 w 284207"/>
                <a:gd name="connsiteY6" fmla="*/ 0 h 1485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7" h="148588">
                  <a:moveTo>
                    <a:pt x="0" y="0"/>
                  </a:moveTo>
                  <a:lnTo>
                    <a:pt x="284207" y="0"/>
                  </a:lnTo>
                  <a:lnTo>
                    <a:pt x="284207" y="148588"/>
                  </a:lnTo>
                  <a:lnTo>
                    <a:pt x="7134" y="148588"/>
                  </a:lnTo>
                  <a:lnTo>
                    <a:pt x="7134" y="25262"/>
                  </a:lnTo>
                  <a:cubicBezTo>
                    <a:pt x="7134" y="17829"/>
                    <a:pt x="5628" y="10747"/>
                    <a:pt x="2903" y="4306"/>
                  </a:cubicBezTo>
                  <a:lnTo>
                    <a:pt x="0"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2" name="Freeform: Shape 58">
              <a:extLst>
                <a:ext uri="{FF2B5EF4-FFF2-40B4-BE49-F238E27FC236}">
                  <a16:creationId xmlns:a16="http://schemas.microsoft.com/office/drawing/2014/main" id="{00000000-0008-0000-0600-000034000000}"/>
                </a:ext>
              </a:extLst>
            </xdr:cNvPr>
            <xdr:cNvSpPr/>
          </xdr:nvSpPr>
          <xdr:spPr>
            <a:xfrm>
              <a:off x="2716066" y="2262150"/>
              <a:ext cx="284208" cy="148589"/>
            </a:xfrm>
            <a:custGeom>
              <a:avLst/>
              <a:gdLst>
                <a:gd name="connsiteX0" fmla="*/ 0 w 284208"/>
                <a:gd name="connsiteY0" fmla="*/ 0 h 148589"/>
                <a:gd name="connsiteX1" fmla="*/ 277074 w 284208"/>
                <a:gd name="connsiteY1" fmla="*/ 0 h 148589"/>
                <a:gd name="connsiteX2" fmla="*/ 277074 w 284208"/>
                <a:gd name="connsiteY2" fmla="*/ 123327 h 148589"/>
                <a:gd name="connsiteX3" fmla="*/ 281305 w 284208"/>
                <a:gd name="connsiteY3" fmla="*/ 144283 h 148589"/>
                <a:gd name="connsiteX4" fmla="*/ 284208 w 284208"/>
                <a:gd name="connsiteY4" fmla="*/ 148589 h 148589"/>
                <a:gd name="connsiteX5" fmla="*/ 0 w 284208"/>
                <a:gd name="connsiteY5" fmla="*/ 148589 h 148589"/>
                <a:gd name="connsiteX6" fmla="*/ 0 w 284208"/>
                <a:gd name="connsiteY6" fmla="*/ 0 h 1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8" h="148589">
                  <a:moveTo>
                    <a:pt x="0" y="0"/>
                  </a:moveTo>
                  <a:lnTo>
                    <a:pt x="277074" y="0"/>
                  </a:lnTo>
                  <a:lnTo>
                    <a:pt x="277074" y="123327"/>
                  </a:lnTo>
                  <a:cubicBezTo>
                    <a:pt x="277074" y="130761"/>
                    <a:pt x="278581" y="137842"/>
                    <a:pt x="281305" y="144283"/>
                  </a:cubicBezTo>
                  <a:lnTo>
                    <a:pt x="284208" y="148589"/>
                  </a:lnTo>
                  <a:lnTo>
                    <a:pt x="0" y="148589"/>
                  </a:lnTo>
                  <a:lnTo>
                    <a:pt x="0" y="0"/>
                  </a:lnTo>
                  <a:close/>
                </a:path>
              </a:pathLst>
            </a:custGeom>
            <a:grpFill/>
            <a:ln w="6350" cap="flat" cmpd="sng" algn="ctr">
              <a:solidFill>
                <a:srgbClr val="4472C4">
                  <a:shade val="15000"/>
                </a:srgbClr>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3" name="Freeform: Shape 59">
              <a:extLst>
                <a:ext uri="{FF2B5EF4-FFF2-40B4-BE49-F238E27FC236}">
                  <a16:creationId xmlns:a16="http://schemas.microsoft.com/office/drawing/2014/main" id="{00000000-0008-0000-0600-000035000000}"/>
                </a:ext>
              </a:extLst>
            </xdr:cNvPr>
            <xdr:cNvSpPr/>
          </xdr:nvSpPr>
          <xdr:spPr>
            <a:xfrm>
              <a:off x="3142409" y="2262150"/>
              <a:ext cx="284207" cy="148589"/>
            </a:xfrm>
            <a:custGeom>
              <a:avLst/>
              <a:gdLst>
                <a:gd name="connsiteX0" fmla="*/ 7134 w 284207"/>
                <a:gd name="connsiteY0" fmla="*/ 0 h 148589"/>
                <a:gd name="connsiteX1" fmla="*/ 284207 w 284207"/>
                <a:gd name="connsiteY1" fmla="*/ 0 h 148589"/>
                <a:gd name="connsiteX2" fmla="*/ 284207 w 284207"/>
                <a:gd name="connsiteY2" fmla="*/ 148589 h 148589"/>
                <a:gd name="connsiteX3" fmla="*/ 0 w 284207"/>
                <a:gd name="connsiteY3" fmla="*/ 148589 h 148589"/>
                <a:gd name="connsiteX4" fmla="*/ 2903 w 284207"/>
                <a:gd name="connsiteY4" fmla="*/ 144283 h 148589"/>
                <a:gd name="connsiteX5" fmla="*/ 7134 w 284207"/>
                <a:gd name="connsiteY5" fmla="*/ 123327 h 148589"/>
                <a:gd name="connsiteX6" fmla="*/ 7134 w 284207"/>
                <a:gd name="connsiteY6" fmla="*/ 0 h 1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84207" h="148589">
                  <a:moveTo>
                    <a:pt x="7134" y="0"/>
                  </a:moveTo>
                  <a:lnTo>
                    <a:pt x="284207" y="0"/>
                  </a:lnTo>
                  <a:lnTo>
                    <a:pt x="284207" y="148589"/>
                  </a:lnTo>
                  <a:lnTo>
                    <a:pt x="0" y="148589"/>
                  </a:lnTo>
                  <a:lnTo>
                    <a:pt x="2903" y="144283"/>
                  </a:lnTo>
                  <a:cubicBezTo>
                    <a:pt x="5628" y="137842"/>
                    <a:pt x="7134" y="130761"/>
                    <a:pt x="7134" y="123327"/>
                  </a:cubicBezTo>
                  <a:lnTo>
                    <a:pt x="7134" y="0"/>
                  </a:lnTo>
                  <a:close/>
                </a:path>
              </a:pathLst>
            </a:custGeom>
            <a:grpFill/>
            <a:ln w="6350" cap="flat" cmpd="sng" algn="ctr">
              <a:solidFill>
                <a:sysClr val="windowText" lastClr="000000"/>
              </a:solid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54" name="Rectangle: Rounded Corners 60">
              <a:extLst>
                <a:ext uri="{FF2B5EF4-FFF2-40B4-BE49-F238E27FC236}">
                  <a16:creationId xmlns:a16="http://schemas.microsoft.com/office/drawing/2014/main" id="{00000000-0008-0000-0600-000036000000}"/>
                </a:ext>
              </a:extLst>
            </xdr:cNvPr>
            <xdr:cNvSpPr/>
          </xdr:nvSpPr>
          <xdr:spPr>
            <a:xfrm>
              <a:off x="2993139" y="2084984"/>
              <a:ext cx="156401" cy="354330"/>
            </a:xfrm>
            <a:prstGeom prst="roundRect">
              <a:avLst>
                <a:gd name="adj" fmla="val 34423"/>
              </a:avLst>
            </a:prstGeom>
            <a:grpFill/>
            <a:ln w="6350" cap="flat" cmpd="sng" algn="ctr">
              <a:solidFill>
                <a:sysClr val="windowText" lastClr="000000"/>
              </a:solid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sp macro="" textlink="">
        <xdr:nvSpPr>
          <xdr:cNvPr id="45" name="Oval 44">
            <a:extLst>
              <a:ext uri="{FF2B5EF4-FFF2-40B4-BE49-F238E27FC236}">
                <a16:creationId xmlns:a16="http://schemas.microsoft.com/office/drawing/2014/main" id="{00000000-0008-0000-0600-00002D000000}"/>
              </a:ext>
            </a:extLst>
          </xdr:cNvPr>
          <xdr:cNvSpPr/>
        </xdr:nvSpPr>
        <xdr:spPr>
          <a:xfrm>
            <a:off x="10163787" y="1535610"/>
            <a:ext cx="504000" cy="504000"/>
          </a:xfrm>
          <a:prstGeom prst="ellipse">
            <a:avLst/>
          </a:prstGeom>
          <a:solidFill>
            <a:srgbClr val="FF0000"/>
          </a:solidFill>
          <a:ln w="12700" cap="flat" cmpd="sng" algn="ctr">
            <a:no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46" name="Oval 45">
            <a:extLst>
              <a:ext uri="{FF2B5EF4-FFF2-40B4-BE49-F238E27FC236}">
                <a16:creationId xmlns:a16="http://schemas.microsoft.com/office/drawing/2014/main" id="{00000000-0008-0000-0600-00002E000000}"/>
              </a:ext>
            </a:extLst>
          </xdr:cNvPr>
          <xdr:cNvSpPr/>
        </xdr:nvSpPr>
        <xdr:spPr>
          <a:xfrm>
            <a:off x="10414983" y="1535610"/>
            <a:ext cx="505609" cy="504000"/>
          </a:xfrm>
          <a:prstGeom prst="ellipse">
            <a:avLst/>
          </a:prstGeom>
          <a:solidFill>
            <a:srgbClr val="FFC000"/>
          </a:solidFill>
          <a:ln w="12700" cap="flat" cmpd="sng" algn="ctr">
            <a:no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47" name="TextBox 55">
            <a:extLst>
              <a:ext uri="{FF2B5EF4-FFF2-40B4-BE49-F238E27FC236}">
                <a16:creationId xmlns:a16="http://schemas.microsoft.com/office/drawing/2014/main" id="{00000000-0008-0000-0600-00002F000000}"/>
              </a:ext>
            </a:extLst>
          </xdr:cNvPr>
          <xdr:cNvSpPr txBox="1"/>
        </xdr:nvSpPr>
        <xdr:spPr>
          <a:xfrm>
            <a:off x="7227366" y="3183940"/>
            <a:ext cx="3547978" cy="708003"/>
          </a:xfrm>
          <a:prstGeom prst="rect">
            <a:avLst/>
          </a:prstGeom>
          <a:noFill/>
        </xdr:spPr>
        <xdr:txBody>
          <a:bodyPr wrap="square" rtlCol="0">
            <a:sp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ysClr val="window" lastClr="FFFFFF"/>
                </a:solidFill>
                <a:effectLst/>
                <a:uLnTx/>
                <a:uFillTx/>
                <a:latin typeface="Calibri" panose="020F0502020204030204"/>
                <a:ea typeface="+mn-ea"/>
                <a:cs typeface="+mn-cs"/>
              </a:rPr>
              <a:t>1234 …. …. 5678</a:t>
            </a: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19</xdr:col>
      <xdr:colOff>361656</xdr:colOff>
      <xdr:row>22</xdr:row>
      <xdr:rowOff>897</xdr:rowOff>
    </xdr:from>
    <xdr:to>
      <xdr:col>21</xdr:col>
      <xdr:colOff>460346</xdr:colOff>
      <xdr:row>25</xdr:row>
      <xdr:rowOff>34963</xdr:rowOff>
    </xdr:to>
    <xdr:sp macro="" textlink="Processing!M1">
      <xdr:nvSpPr>
        <xdr:cNvPr id="55" name="TextBox 54">
          <a:extLst>
            <a:ext uri="{FF2B5EF4-FFF2-40B4-BE49-F238E27FC236}">
              <a16:creationId xmlns:a16="http://schemas.microsoft.com/office/drawing/2014/main" id="{00000000-0008-0000-0600-000037000000}"/>
            </a:ext>
          </a:extLst>
        </xdr:cNvPr>
        <xdr:cNvSpPr txBox="1"/>
      </xdr:nvSpPr>
      <xdr:spPr>
        <a:xfrm>
          <a:off x="16046156" y="4471297"/>
          <a:ext cx="1749690" cy="643666"/>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2261E7B4-3A24-6749-9092-341D8EEC6826}" type="TxLink">
            <a:rPr kumimoji="0" lang="en-US" sz="1800" b="0" i="0" u="none" strike="noStrike" kern="0" cap="none" spc="0" normalizeH="0" baseline="0" noProof="0">
              <a:ln>
                <a:noFill/>
              </a:ln>
              <a:solidFill>
                <a:srgbClr val="BFCDE4"/>
              </a:soli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Sum of Balance</a:t>
          </a:fld>
          <a:endParaRPr kumimoji="0" lang="ru-RU" sz="1800" b="0" i="0" u="none" strike="noStrike" kern="0" cap="none" spc="0" normalizeH="0" baseline="0" noProof="0">
            <a:ln>
              <a:noFill/>
            </a:ln>
            <a:solidFill>
              <a:srgbClr val="BFCDE4"/>
            </a:solidFill>
            <a:effectLst/>
            <a:uLnTx/>
            <a:uFillTx/>
            <a:latin typeface="Calibri"/>
            <a:ea typeface="+mn-ea"/>
            <a:cs typeface="Calibri"/>
          </a:endParaRPr>
        </a:p>
      </xdr:txBody>
    </xdr:sp>
    <xdr:clientData/>
  </xdr:twoCellAnchor>
  <xdr:twoCellAnchor>
    <xdr:from>
      <xdr:col>18</xdr:col>
      <xdr:colOff>157257</xdr:colOff>
      <xdr:row>22</xdr:row>
      <xdr:rowOff>897</xdr:rowOff>
    </xdr:from>
    <xdr:to>
      <xdr:col>20</xdr:col>
      <xdr:colOff>193195</xdr:colOff>
      <xdr:row>25</xdr:row>
      <xdr:rowOff>34963</xdr:rowOff>
    </xdr:to>
    <xdr:sp macro="" textlink="Processing!L1">
      <xdr:nvSpPr>
        <xdr:cNvPr id="56" name="TextBox 55">
          <a:extLst>
            <a:ext uri="{FF2B5EF4-FFF2-40B4-BE49-F238E27FC236}">
              <a16:creationId xmlns:a16="http://schemas.microsoft.com/office/drawing/2014/main" id="{00000000-0008-0000-0600-000038000000}"/>
            </a:ext>
          </a:extLst>
        </xdr:cNvPr>
        <xdr:cNvSpPr txBox="1"/>
      </xdr:nvSpPr>
      <xdr:spPr>
        <a:xfrm>
          <a:off x="15016257" y="4471297"/>
          <a:ext cx="1686938" cy="643666"/>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918FFD92-C359-384E-AC40-2B01C9EA99C7}" type="TxLink">
            <a:rPr kumimoji="0" lang="en-US" sz="1800" b="0" i="0" u="none" strike="noStrike" kern="0" cap="none" spc="0" normalizeH="0" baseline="0" noProof="0">
              <a:ln>
                <a:noFill/>
              </a:ln>
              <a:solidFill>
                <a:srgbClr val="BFCDE4"/>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Balance:</a:t>
          </a:fld>
          <a:endParaRPr kumimoji="0" lang="ru-RU" sz="1800" b="0" i="0" u="none" strike="noStrike" kern="0" cap="none" spc="0" normalizeH="0" baseline="0" noProof="0">
            <a:ln>
              <a:noFill/>
            </a:ln>
            <a:solidFill>
              <a:srgbClr val="BFCDE4"/>
            </a:solidFill>
            <a:effectLst/>
            <a:uLnTx/>
            <a:uFillTx/>
            <a:latin typeface="Calibri"/>
            <a:ea typeface="+mn-ea"/>
            <a:cs typeface="Calibri"/>
          </a:endParaRPr>
        </a:p>
      </xdr:txBody>
    </xdr:sp>
    <xdr:clientData/>
  </xdr:twoCellAnchor>
  <xdr:twoCellAnchor>
    <xdr:from>
      <xdr:col>3</xdr:col>
      <xdr:colOff>597948</xdr:colOff>
      <xdr:row>34</xdr:row>
      <xdr:rowOff>60660</xdr:rowOff>
    </xdr:from>
    <xdr:to>
      <xdr:col>5</xdr:col>
      <xdr:colOff>696639</xdr:colOff>
      <xdr:row>37</xdr:row>
      <xdr:rowOff>94725</xdr:rowOff>
    </xdr:to>
    <xdr:sp macro="" textlink="Processing!AB26">
      <xdr:nvSpPr>
        <xdr:cNvPr id="58" name="TextBox 57">
          <a:extLst>
            <a:ext uri="{FF2B5EF4-FFF2-40B4-BE49-F238E27FC236}">
              <a16:creationId xmlns:a16="http://schemas.microsoft.com/office/drawing/2014/main" id="{00000000-0008-0000-0600-00003A000000}"/>
            </a:ext>
          </a:extLst>
        </xdr:cNvPr>
        <xdr:cNvSpPr txBox="1"/>
      </xdr:nvSpPr>
      <xdr:spPr>
        <a:xfrm>
          <a:off x="3074448" y="6969460"/>
          <a:ext cx="1749691" cy="643665"/>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6256A51D-6E73-FC4D-8E51-C9FA13640643}" type="TxLink">
            <a:rPr kumimoji="0" lang="en-US" sz="1400" b="1" i="0" u="none" strike="noStrike" kern="0" cap="none" spc="0" normalizeH="0" baseline="0" noProof="0">
              <a:ln>
                <a:noFill/>
              </a:ln>
              <a:solidFill>
                <a:sysClr val="window" lastClr="FFFFFF"/>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Distribution</a:t>
          </a:fld>
          <a:endParaRPr kumimoji="0" lang="ru-RU" sz="1400" b="1"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14</xdr:col>
      <xdr:colOff>204247</xdr:colOff>
      <xdr:row>34</xdr:row>
      <xdr:rowOff>60660</xdr:rowOff>
    </xdr:from>
    <xdr:to>
      <xdr:col>16</xdr:col>
      <xdr:colOff>302938</xdr:colOff>
      <xdr:row>37</xdr:row>
      <xdr:rowOff>94725</xdr:rowOff>
    </xdr:to>
    <xdr:sp macro="" textlink="Processing!I58">
      <xdr:nvSpPr>
        <xdr:cNvPr id="59" name="TextBox 58">
          <a:extLst>
            <a:ext uri="{FF2B5EF4-FFF2-40B4-BE49-F238E27FC236}">
              <a16:creationId xmlns:a16="http://schemas.microsoft.com/office/drawing/2014/main" id="{00000000-0008-0000-0600-00003B000000}"/>
            </a:ext>
          </a:extLst>
        </xdr:cNvPr>
        <xdr:cNvSpPr txBox="1"/>
      </xdr:nvSpPr>
      <xdr:spPr>
        <a:xfrm>
          <a:off x="11761247" y="6969460"/>
          <a:ext cx="1749691" cy="643665"/>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72A96177-2834-49EE-AC18-C9EA6FBA1894}" type="TxLink">
            <a:rPr kumimoji="0" lang="en-US" sz="1400" b="1" i="0" u="none" strike="noStrike" kern="0" cap="none" spc="0" normalizeH="0" baseline="0" noProof="0">
              <a:ln>
                <a:noFill/>
              </a:ln>
              <a:solidFill>
                <a:sysClr val="window" lastClr="FFFFFF"/>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Total</a:t>
          </a:fld>
          <a:endParaRPr kumimoji="0" lang="ru-RU" sz="1800" b="1"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313763</xdr:colOff>
      <xdr:row>1</xdr:row>
      <xdr:rowOff>54468</xdr:rowOff>
    </xdr:from>
    <xdr:to>
      <xdr:col>2</xdr:col>
      <xdr:colOff>412454</xdr:colOff>
      <xdr:row>4</xdr:row>
      <xdr:rowOff>61000</xdr:rowOff>
    </xdr:to>
    <xdr:sp macro="" textlink="Processing!G3">
      <xdr:nvSpPr>
        <xdr:cNvPr id="60" name="TextBox 59">
          <a:extLst>
            <a:ext uri="{FF2B5EF4-FFF2-40B4-BE49-F238E27FC236}">
              <a16:creationId xmlns:a16="http://schemas.microsoft.com/office/drawing/2014/main" id="{00000000-0008-0000-0600-00003C000000}"/>
            </a:ext>
          </a:extLst>
        </xdr:cNvPr>
        <xdr:cNvSpPr txBox="1"/>
      </xdr:nvSpPr>
      <xdr:spPr>
        <a:xfrm>
          <a:off x="313763" y="257668"/>
          <a:ext cx="1749691" cy="616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C666D869-9FE6-1E48-BAEC-893F8F37A98D}" type="TxLink">
            <a:rPr lang="en-US" sz="1200" b="0"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Personal Finance</a:t>
          </a:fld>
          <a:endParaRPr lang="ru-RU" sz="1200" b="0" i="0" u="none" strike="noStrike" noProof="0">
            <a:solidFill>
              <a:schemeClr val="bg1"/>
            </a:solidFill>
            <a:latin typeface="Calibri"/>
            <a:ea typeface="+mn-ea"/>
            <a:cs typeface="Calibri"/>
          </a:endParaRPr>
        </a:p>
      </xdr:txBody>
    </xdr:sp>
    <xdr:clientData/>
  </xdr:twoCellAnchor>
  <xdr:twoCellAnchor>
    <xdr:from>
      <xdr:col>10</xdr:col>
      <xdr:colOff>332411</xdr:colOff>
      <xdr:row>10</xdr:row>
      <xdr:rowOff>11952</xdr:rowOff>
    </xdr:from>
    <xdr:to>
      <xdr:col>17</xdr:col>
      <xdr:colOff>140688</xdr:colOff>
      <xdr:row>32</xdr:row>
      <xdr:rowOff>184140</xdr:rowOff>
    </xdr:to>
    <xdr:sp macro="" textlink="">
      <xdr:nvSpPr>
        <xdr:cNvPr id="61" name="Rectangle: Rounded Corners 119">
          <a:extLst>
            <a:ext uri="{FF2B5EF4-FFF2-40B4-BE49-F238E27FC236}">
              <a16:creationId xmlns:a16="http://schemas.microsoft.com/office/drawing/2014/main" id="{00000000-0008-0000-0600-00003D000000}"/>
            </a:ext>
          </a:extLst>
        </xdr:cNvPr>
        <xdr:cNvSpPr/>
      </xdr:nvSpPr>
      <xdr:spPr>
        <a:xfrm>
          <a:off x="8587411" y="2043952"/>
          <a:ext cx="5586777" cy="4642588"/>
        </a:xfrm>
        <a:prstGeom prst="roundRect">
          <a:avLst>
            <a:gd name="adj" fmla="val 5589"/>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11</xdr:col>
      <xdr:colOff>726439</xdr:colOff>
      <xdr:row>34</xdr:row>
      <xdr:rowOff>60660</xdr:rowOff>
    </xdr:from>
    <xdr:to>
      <xdr:col>13</xdr:col>
      <xdr:colOff>825130</xdr:colOff>
      <xdr:row>37</xdr:row>
      <xdr:rowOff>94725</xdr:rowOff>
    </xdr:to>
    <xdr:sp macro="" textlink="Processing!I57">
      <xdr:nvSpPr>
        <xdr:cNvPr id="62" name="TextBox 61">
          <a:extLst>
            <a:ext uri="{FF2B5EF4-FFF2-40B4-BE49-F238E27FC236}">
              <a16:creationId xmlns:a16="http://schemas.microsoft.com/office/drawing/2014/main" id="{00000000-0008-0000-0600-00003E000000}"/>
            </a:ext>
          </a:extLst>
        </xdr:cNvPr>
        <xdr:cNvSpPr txBox="1"/>
      </xdr:nvSpPr>
      <xdr:spPr>
        <a:xfrm>
          <a:off x="9806939" y="6969460"/>
          <a:ext cx="1749691" cy="643665"/>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FDA13D34-8036-4FB1-ACD9-AEB0879B67EA}" type="TxLink">
            <a:rPr kumimoji="0" lang="en-US" sz="1400" b="1" i="0" u="none" strike="noStrike" kern="0" cap="none" spc="0" normalizeH="0" baseline="0" noProof="0">
              <a:ln>
                <a:noFill/>
              </a:ln>
              <a:solidFill>
                <a:sysClr val="window" lastClr="FFFFFF"/>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31</a:t>
          </a:fld>
          <a:endParaRPr kumimoji="0" lang="ru-RU" sz="1400" b="1"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5</xdr:col>
      <xdr:colOff>50054</xdr:colOff>
      <xdr:row>14</xdr:row>
      <xdr:rowOff>62753</xdr:rowOff>
    </xdr:from>
    <xdr:to>
      <xdr:col>8</xdr:col>
      <xdr:colOff>594657</xdr:colOff>
      <xdr:row>31</xdr:row>
      <xdr:rowOff>149413</xdr:rowOff>
    </xdr:to>
    <xdr:graphicFrame macro="">
      <xdr:nvGraphicFramePr>
        <xdr:cNvPr id="63" name="Chart 62">
          <a:extLst>
            <a:ext uri="{FF2B5EF4-FFF2-40B4-BE49-F238E27FC236}">
              <a16:creationId xmlns:a16="http://schemas.microsoft.com/office/drawing/2014/main" id="{00000000-0008-0000-06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123586</xdr:colOff>
      <xdr:row>19</xdr:row>
      <xdr:rowOff>72998</xdr:rowOff>
    </xdr:from>
    <xdr:to>
      <xdr:col>7</xdr:col>
      <xdr:colOff>479505</xdr:colOff>
      <xdr:row>24</xdr:row>
      <xdr:rowOff>167981</xdr:rowOff>
    </xdr:to>
    <xdr:sp macro="" textlink="">
      <xdr:nvSpPr>
        <xdr:cNvPr id="64" name="Oval 63">
          <a:extLst>
            <a:ext uri="{FF2B5EF4-FFF2-40B4-BE49-F238E27FC236}">
              <a16:creationId xmlns:a16="http://schemas.microsoft.com/office/drawing/2014/main" id="{00000000-0008-0000-0600-000040000000}"/>
            </a:ext>
          </a:extLst>
        </xdr:cNvPr>
        <xdr:cNvSpPr/>
      </xdr:nvSpPr>
      <xdr:spPr>
        <a:xfrm>
          <a:off x="5076586" y="3933798"/>
          <a:ext cx="1181419" cy="1110983"/>
        </a:xfrm>
        <a:prstGeom prst="ellipse">
          <a:avLst/>
        </a:prstGeom>
        <a:solidFill>
          <a:srgbClr val="009999">
            <a:alpha val="15000"/>
          </a:srgbClr>
        </a:solidFill>
        <a:ln w="12700" cap="flat" cmpd="sng" algn="ctr">
          <a:solidFill>
            <a:sysClr val="window" lastClr="FFFFFF"/>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6</xdr:col>
      <xdr:colOff>48021</xdr:colOff>
      <xdr:row>14</xdr:row>
      <xdr:rowOff>93490</xdr:rowOff>
    </xdr:from>
    <xdr:to>
      <xdr:col>6</xdr:col>
      <xdr:colOff>727994</xdr:colOff>
      <xdr:row>20</xdr:row>
      <xdr:rowOff>8963</xdr:rowOff>
    </xdr:to>
    <xdr:sp macro="" textlink="Processing!U16">
      <xdr:nvSpPr>
        <xdr:cNvPr id="65" name="TextBox 64">
          <a:extLst>
            <a:ext uri="{FF2B5EF4-FFF2-40B4-BE49-F238E27FC236}">
              <a16:creationId xmlns:a16="http://schemas.microsoft.com/office/drawing/2014/main" id="{00000000-0008-0000-0600-000041000000}"/>
            </a:ext>
          </a:extLst>
        </xdr:cNvPr>
        <xdr:cNvSpPr txBox="1"/>
      </xdr:nvSpPr>
      <xdr:spPr>
        <a:xfrm>
          <a:off x="5001021" y="2938290"/>
          <a:ext cx="679973" cy="1134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r" defTabSz="914400" eaLnBrk="1" fontAlgn="auto" latinLnBrk="0" hangingPunct="1">
            <a:lnSpc>
              <a:spcPct val="100000"/>
            </a:lnSpc>
            <a:spcBef>
              <a:spcPts val="0"/>
            </a:spcBef>
            <a:spcAft>
              <a:spcPts val="0"/>
            </a:spcAft>
            <a:buClrTx/>
            <a:buSzTx/>
            <a:buFontTx/>
            <a:buNone/>
            <a:tabLst/>
            <a:defRPr/>
          </a:pPr>
          <a:fld id="{188F0C91-1781-7242-A47D-932AF6E98016}" type="TxLink">
            <a:rPr lang="en-US" sz="1200" b="0" i="0" u="none" strike="noStrike" noProof="0">
              <a:solidFill>
                <a:srgbClr val="BFCDE4"/>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Goal  1
Goal  2
Goal  3
Goal  4</a:t>
          </a:fld>
          <a:endParaRPr lang="ru-RU" sz="1200" b="0" i="0" u="none" strike="noStrike" noProof="0">
            <a:solidFill>
              <a:srgbClr val="BFCDE4"/>
            </a:solidFill>
            <a:latin typeface="Calibri"/>
            <a:ea typeface="+mn-ea"/>
            <a:cs typeface="Calibri"/>
          </a:endParaRPr>
        </a:p>
      </xdr:txBody>
    </xdr:sp>
    <xdr:clientData/>
  </xdr:twoCellAnchor>
  <xdr:twoCellAnchor>
    <xdr:from>
      <xdr:col>6</xdr:col>
      <xdr:colOff>171607</xdr:colOff>
      <xdr:row>20</xdr:row>
      <xdr:rowOff>129979</xdr:rowOff>
    </xdr:from>
    <xdr:to>
      <xdr:col>7</xdr:col>
      <xdr:colOff>412906</xdr:colOff>
      <xdr:row>23</xdr:row>
      <xdr:rowOff>40353</xdr:rowOff>
    </xdr:to>
    <xdr:sp macro="" textlink="Processing!S16">
      <xdr:nvSpPr>
        <xdr:cNvPr id="66" name="TextBox 65">
          <a:extLst>
            <a:ext uri="{FF2B5EF4-FFF2-40B4-BE49-F238E27FC236}">
              <a16:creationId xmlns:a16="http://schemas.microsoft.com/office/drawing/2014/main" id="{00000000-0008-0000-0600-000042000000}"/>
            </a:ext>
          </a:extLst>
        </xdr:cNvPr>
        <xdr:cNvSpPr txBox="1"/>
      </xdr:nvSpPr>
      <xdr:spPr>
        <a:xfrm>
          <a:off x="5124607" y="4193979"/>
          <a:ext cx="1066799" cy="519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6077DCF1-F936-5041-8A43-5AD397F9B24A}" type="TxLink">
            <a:rPr lang="en-US" sz="2800" b="0" i="0" u="none" strike="noStrike" noProof="0">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0%</a:t>
          </a:fld>
          <a:endParaRPr lang="ru-RU" sz="2800" b="0" i="0" u="none" strike="noStrike" noProof="0">
            <a:solidFill>
              <a:schemeClr val="bg1"/>
            </a:solidFill>
            <a:latin typeface="Calibri"/>
            <a:ea typeface="+mn-ea"/>
            <a:cs typeface="Calibri"/>
          </a:endParaRPr>
        </a:p>
      </xdr:txBody>
    </xdr:sp>
    <xdr:clientData/>
  </xdr:twoCellAnchor>
  <xdr:twoCellAnchor>
    <xdr:from>
      <xdr:col>11</xdr:col>
      <xdr:colOff>87558</xdr:colOff>
      <xdr:row>13</xdr:row>
      <xdr:rowOff>2947</xdr:rowOff>
    </xdr:from>
    <xdr:to>
      <xdr:col>16</xdr:col>
      <xdr:colOff>690341</xdr:colOff>
      <xdr:row>32</xdr:row>
      <xdr:rowOff>163044</xdr:rowOff>
    </xdr:to>
    <xdr:grpSp>
      <xdr:nvGrpSpPr>
        <xdr:cNvPr id="67" name="Group 66">
          <a:extLst>
            <a:ext uri="{FF2B5EF4-FFF2-40B4-BE49-F238E27FC236}">
              <a16:creationId xmlns:a16="http://schemas.microsoft.com/office/drawing/2014/main" id="{00000000-0008-0000-0600-000043000000}"/>
            </a:ext>
          </a:extLst>
        </xdr:cNvPr>
        <xdr:cNvGrpSpPr/>
      </xdr:nvGrpSpPr>
      <xdr:grpSpPr>
        <a:xfrm>
          <a:off x="9168058" y="2561997"/>
          <a:ext cx="4730283" cy="3900247"/>
          <a:chOff x="7786688" y="2384571"/>
          <a:chExt cx="4291012" cy="3722073"/>
        </a:xfrm>
      </xdr:grpSpPr>
      <xdr:sp macro="" textlink="">
        <xdr:nvSpPr>
          <xdr:cNvPr id="68" name="Rectangle 67">
            <a:extLst>
              <a:ext uri="{FF2B5EF4-FFF2-40B4-BE49-F238E27FC236}">
                <a16:creationId xmlns:a16="http://schemas.microsoft.com/office/drawing/2014/main" id="{00000000-0008-0000-0600-000044000000}"/>
              </a:ext>
            </a:extLst>
          </xdr:cNvPr>
          <xdr:cNvSpPr/>
        </xdr:nvSpPr>
        <xdr:spPr>
          <a:xfrm rot="2700000">
            <a:off x="9035739" y="3376873"/>
            <a:ext cx="1756242" cy="1800000"/>
          </a:xfrm>
          <a:prstGeom prst="rect">
            <a:avLst/>
          </a:prstGeom>
          <a:gradFill flip="none" rotWithShape="1">
            <a:gsLst>
              <a:gs pos="5000">
                <a:srgbClr val="2A3D54"/>
              </a:gs>
              <a:gs pos="83000">
                <a:srgbClr val="2A2C3C"/>
              </a:gs>
            </a:gsLst>
            <a:path path="shape">
              <a:fillToRect l="50000" t="50000" r="50000" b="50000"/>
            </a:path>
            <a:tileRect/>
          </a:gra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graphicFrame macro="">
        <xdr:nvGraphicFramePr>
          <xdr:cNvPr id="69" name="Chart 68">
            <a:extLst>
              <a:ext uri="{FF2B5EF4-FFF2-40B4-BE49-F238E27FC236}">
                <a16:creationId xmlns:a16="http://schemas.microsoft.com/office/drawing/2014/main" id="{00000000-0008-0000-0600-000045000000}"/>
              </a:ext>
            </a:extLst>
          </xdr:cNvPr>
          <xdr:cNvGraphicFramePr>
            <a:graphicFrameLocks/>
          </xdr:cNvGraphicFramePr>
        </xdr:nvGraphicFramePr>
        <xdr:xfrm>
          <a:off x="7786688" y="2384571"/>
          <a:ext cx="4291012" cy="3722073"/>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10</xdr:col>
      <xdr:colOff>332411</xdr:colOff>
      <xdr:row>34</xdr:row>
      <xdr:rowOff>67810</xdr:rowOff>
    </xdr:from>
    <xdr:to>
      <xdr:col>17</xdr:col>
      <xdr:colOff>140688</xdr:colOff>
      <xdr:row>47</xdr:row>
      <xdr:rowOff>155386</xdr:rowOff>
    </xdr:to>
    <xdr:sp macro="" textlink="">
      <xdr:nvSpPr>
        <xdr:cNvPr id="70" name="Rectangle: Rounded Corners 120">
          <a:extLst>
            <a:ext uri="{FF2B5EF4-FFF2-40B4-BE49-F238E27FC236}">
              <a16:creationId xmlns:a16="http://schemas.microsoft.com/office/drawing/2014/main" id="{00000000-0008-0000-0600-000046000000}"/>
            </a:ext>
          </a:extLst>
        </xdr:cNvPr>
        <xdr:cNvSpPr/>
      </xdr:nvSpPr>
      <xdr:spPr>
        <a:xfrm>
          <a:off x="8587411" y="6976610"/>
          <a:ext cx="5586777" cy="2729176"/>
        </a:xfrm>
        <a:prstGeom prst="roundRect">
          <a:avLst>
            <a:gd name="adj" fmla="val 8435"/>
          </a:avLst>
        </a:prstGeom>
        <a:solidFill>
          <a:srgbClr val="242732"/>
        </a:soli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4</xdr:col>
      <xdr:colOff>499036</xdr:colOff>
      <xdr:row>35</xdr:row>
      <xdr:rowOff>149411</xdr:rowOff>
    </xdr:from>
    <xdr:to>
      <xdr:col>9</xdr:col>
      <xdr:colOff>647699</xdr:colOff>
      <xdr:row>46</xdr:row>
      <xdr:rowOff>164352</xdr:rowOff>
    </xdr:to>
    <xdr:graphicFrame macro="">
      <xdr:nvGraphicFramePr>
        <xdr:cNvPr id="71" name="Chart 70">
          <a:extLst>
            <a:ext uri="{FF2B5EF4-FFF2-40B4-BE49-F238E27FC236}">
              <a16:creationId xmlns:a16="http://schemas.microsoft.com/office/drawing/2014/main" id="{00000000-0008-0000-06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552077</xdr:colOff>
      <xdr:row>30</xdr:row>
      <xdr:rowOff>38100</xdr:rowOff>
    </xdr:from>
    <xdr:to>
      <xdr:col>22</xdr:col>
      <xdr:colOff>180788</xdr:colOff>
      <xdr:row>47</xdr:row>
      <xdr:rowOff>32871</xdr:rowOff>
    </xdr:to>
    <xdr:graphicFrame macro="">
      <xdr:nvGraphicFramePr>
        <xdr:cNvPr id="72" name="Chart 71">
          <a:extLst>
            <a:ext uri="{FF2B5EF4-FFF2-40B4-BE49-F238E27FC236}">
              <a16:creationId xmlns:a16="http://schemas.microsoft.com/office/drawing/2014/main" id="{00000000-0008-0000-06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497842</xdr:colOff>
      <xdr:row>39</xdr:row>
      <xdr:rowOff>114447</xdr:rowOff>
    </xdr:from>
    <xdr:to>
      <xdr:col>7</xdr:col>
      <xdr:colOff>596532</xdr:colOff>
      <xdr:row>42</xdr:row>
      <xdr:rowOff>163455</xdr:rowOff>
    </xdr:to>
    <xdr:sp macro="" textlink="Processing!AA30">
      <xdr:nvSpPr>
        <xdr:cNvPr id="73" name="TextBox 72">
          <a:extLst>
            <a:ext uri="{FF2B5EF4-FFF2-40B4-BE49-F238E27FC236}">
              <a16:creationId xmlns:a16="http://schemas.microsoft.com/office/drawing/2014/main" id="{00000000-0008-0000-0600-000049000000}"/>
            </a:ext>
          </a:extLst>
        </xdr:cNvPr>
        <xdr:cNvSpPr txBox="1"/>
      </xdr:nvSpPr>
      <xdr:spPr>
        <a:xfrm>
          <a:off x="4625342" y="8039247"/>
          <a:ext cx="1749690" cy="6586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9C30A427-8E7F-6040-B241-DF68CBFD8F88}" type="TxLink">
            <a:rPr lang="en-US" sz="1700" b="0" i="0" u="none" strike="noStrike" noProof="0">
              <a:gradFill>
                <a:gsLst>
                  <a:gs pos="0">
                    <a:schemeClr val="bg1"/>
                  </a:gs>
                  <a:gs pos="100000">
                    <a:srgbClr val="10FAE5"/>
                  </a:gs>
                </a:gsLst>
                <a:lin ang="5400000" scaled="1"/>
              </a:gra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 € 1.800 </a:t>
          </a:fld>
          <a:endParaRPr lang="ru-RU" sz="1700" b="0" i="0" u="none" strike="noStrike" noProof="0">
            <a:gradFill>
              <a:gsLst>
                <a:gs pos="0">
                  <a:schemeClr val="bg1"/>
                </a:gs>
                <a:gs pos="100000">
                  <a:srgbClr val="10FAE5"/>
                </a:gs>
              </a:gsLst>
              <a:lin ang="5400000" scaled="1"/>
            </a:gradFill>
            <a:latin typeface="Calibri"/>
            <a:ea typeface="+mn-ea"/>
            <a:cs typeface="Calibri"/>
          </a:endParaRPr>
        </a:p>
      </xdr:txBody>
    </xdr:sp>
    <xdr:clientData/>
  </xdr:twoCellAnchor>
  <xdr:twoCellAnchor>
    <xdr:from>
      <xdr:col>4</xdr:col>
      <xdr:colOff>753803</xdr:colOff>
      <xdr:row>14</xdr:row>
      <xdr:rowOff>93490</xdr:rowOff>
    </xdr:from>
    <xdr:to>
      <xdr:col>6</xdr:col>
      <xdr:colOff>86291</xdr:colOff>
      <xdr:row>20</xdr:row>
      <xdr:rowOff>8963</xdr:rowOff>
    </xdr:to>
    <xdr:sp macro="" textlink="Processing!U17">
      <xdr:nvSpPr>
        <xdr:cNvPr id="74" name="TextBox 73">
          <a:extLst>
            <a:ext uri="{FF2B5EF4-FFF2-40B4-BE49-F238E27FC236}">
              <a16:creationId xmlns:a16="http://schemas.microsoft.com/office/drawing/2014/main" id="{00000000-0008-0000-0600-00004A000000}"/>
            </a:ext>
          </a:extLst>
        </xdr:cNvPr>
        <xdr:cNvSpPr txBox="1"/>
      </xdr:nvSpPr>
      <xdr:spPr>
        <a:xfrm>
          <a:off x="4055803" y="2938290"/>
          <a:ext cx="983488" cy="1134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r" defTabSz="914400" eaLnBrk="1" fontAlgn="auto" latinLnBrk="0" hangingPunct="1">
            <a:lnSpc>
              <a:spcPct val="100000"/>
            </a:lnSpc>
            <a:spcBef>
              <a:spcPts val="0"/>
            </a:spcBef>
            <a:spcAft>
              <a:spcPts val="0"/>
            </a:spcAft>
            <a:buClrTx/>
            <a:buSzTx/>
            <a:buFontTx/>
            <a:buNone/>
            <a:tabLst/>
            <a:defRPr/>
          </a:pPr>
          <a:fld id="{0D421F9A-F61F-174E-A05C-885D1066F032}" type="TxLink">
            <a:rPr lang="en-US" sz="1200" b="0" i="0" u="none" strike="noStrike" noProof="0">
              <a:solidFill>
                <a:srgbClr val="BFCDE4"/>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€1000
€1250
€1500
€1800</a:t>
          </a:fld>
          <a:endParaRPr lang="ru-RU" sz="1200" b="0" i="0" u="none" strike="noStrike" noProof="0">
            <a:solidFill>
              <a:srgbClr val="BFCDE4"/>
            </a:solidFill>
            <a:latin typeface="Calibri"/>
            <a:ea typeface="+mn-ea"/>
            <a:cs typeface="Calibri"/>
          </a:endParaRPr>
        </a:p>
      </xdr:txBody>
    </xdr:sp>
    <xdr:clientData/>
  </xdr:twoCellAnchor>
  <xdr:twoCellAnchor>
    <xdr:from>
      <xdr:col>3</xdr:col>
      <xdr:colOff>804135</xdr:colOff>
      <xdr:row>19</xdr:row>
      <xdr:rowOff>99506</xdr:rowOff>
    </xdr:from>
    <xdr:to>
      <xdr:col>6</xdr:col>
      <xdr:colOff>77326</xdr:colOff>
      <xdr:row>22</xdr:row>
      <xdr:rowOff>148512</xdr:rowOff>
    </xdr:to>
    <xdr:sp macro="" textlink="Processing!AA30">
      <xdr:nvSpPr>
        <xdr:cNvPr id="75" name="TextBox 74">
          <a:extLst>
            <a:ext uri="{FF2B5EF4-FFF2-40B4-BE49-F238E27FC236}">
              <a16:creationId xmlns:a16="http://schemas.microsoft.com/office/drawing/2014/main" id="{00000000-0008-0000-0600-00004B000000}"/>
            </a:ext>
          </a:extLst>
        </xdr:cNvPr>
        <xdr:cNvSpPr txBox="1"/>
      </xdr:nvSpPr>
      <xdr:spPr>
        <a:xfrm>
          <a:off x="3280635" y="3960306"/>
          <a:ext cx="1749691" cy="658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91DF4585-2D02-964A-8AAD-2B6F2465ABBD}" type="TxLink">
            <a:rPr lang="en-US" sz="1500" b="0" i="0" u="none" strike="noStrike" noProof="0">
              <a:solidFill>
                <a:srgbClr val="BFCDE4"/>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 € 1.800 </a:t>
          </a:fld>
          <a:endParaRPr lang="ru-RU" sz="1500" b="0" i="0" u="none" strike="noStrike" noProof="0">
            <a:solidFill>
              <a:srgbClr val="BFCDE4"/>
            </a:solidFill>
            <a:latin typeface="Calibri"/>
            <a:ea typeface="+mn-ea"/>
            <a:cs typeface="Calibri"/>
          </a:endParaRPr>
        </a:p>
      </xdr:txBody>
    </xdr:sp>
    <xdr:clientData/>
  </xdr:twoCellAnchor>
  <xdr:twoCellAnchor>
    <xdr:from>
      <xdr:col>14</xdr:col>
      <xdr:colOff>249074</xdr:colOff>
      <xdr:row>10</xdr:row>
      <xdr:rowOff>72612</xdr:rowOff>
    </xdr:from>
    <xdr:to>
      <xdr:col>16</xdr:col>
      <xdr:colOff>622333</xdr:colOff>
      <xdr:row>13</xdr:row>
      <xdr:rowOff>106676</xdr:rowOff>
    </xdr:to>
    <xdr:sp macro="" textlink="Processing!AB18">
      <xdr:nvSpPr>
        <xdr:cNvPr id="76" name="TextBox 75">
          <a:extLst>
            <a:ext uri="{FF2B5EF4-FFF2-40B4-BE49-F238E27FC236}">
              <a16:creationId xmlns:a16="http://schemas.microsoft.com/office/drawing/2014/main" id="{00000000-0008-0000-0600-00004C000000}"/>
            </a:ext>
          </a:extLst>
        </xdr:cNvPr>
        <xdr:cNvSpPr txBox="1"/>
      </xdr:nvSpPr>
      <xdr:spPr>
        <a:xfrm>
          <a:off x="11806074" y="2104612"/>
          <a:ext cx="2024259" cy="643664"/>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716A4108-7FDE-4F4E-BC9C-3657E9C7F6FF}" type="TxLink">
            <a:rPr kumimoji="0" lang="en-US" sz="1400" b="1" i="0" u="none" strike="noStrike" kern="0" cap="none" spc="0" normalizeH="0" baseline="0" noProof="0">
              <a:ln>
                <a:noFill/>
              </a:ln>
              <a:solidFill>
                <a:sysClr val="window" lastClr="FFFFFF"/>
              </a:soli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Goal Management</a:t>
          </a:fld>
          <a:endParaRPr kumimoji="0" lang="ru-RU" sz="1400" b="1"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19</xdr:col>
      <xdr:colOff>744025</xdr:colOff>
      <xdr:row>28</xdr:row>
      <xdr:rowOff>894</xdr:rowOff>
    </xdr:from>
    <xdr:to>
      <xdr:col>22</xdr:col>
      <xdr:colOff>17215</xdr:colOff>
      <xdr:row>31</xdr:row>
      <xdr:rowOff>34960</xdr:rowOff>
    </xdr:to>
    <xdr:sp macro="" textlink="Processing!W26">
      <xdr:nvSpPr>
        <xdr:cNvPr id="77" name="TextBox 76">
          <a:extLst>
            <a:ext uri="{FF2B5EF4-FFF2-40B4-BE49-F238E27FC236}">
              <a16:creationId xmlns:a16="http://schemas.microsoft.com/office/drawing/2014/main" id="{00000000-0008-0000-0600-00004D000000}"/>
            </a:ext>
          </a:extLst>
        </xdr:cNvPr>
        <xdr:cNvSpPr txBox="1"/>
      </xdr:nvSpPr>
      <xdr:spPr>
        <a:xfrm>
          <a:off x="16428525" y="5690494"/>
          <a:ext cx="1749690" cy="643666"/>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D6A56BC7-1185-9E47-B3D8-A984D66EE977}" type="TxLink">
            <a:rPr kumimoji="0" lang="en-US" sz="1400" b="1" i="0" u="none" strike="noStrike" kern="0" cap="none" spc="0" normalizeH="0" baseline="0" noProof="0">
              <a:ln>
                <a:noFill/>
              </a:ln>
              <a:solidFill>
                <a:sysClr val="window" lastClr="FFFFFF"/>
              </a:soli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Implementation</a:t>
          </a:fld>
          <a:endParaRPr kumimoji="0" lang="ru-RU" sz="1400" b="1"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10</xdr:col>
      <xdr:colOff>414350</xdr:colOff>
      <xdr:row>34</xdr:row>
      <xdr:rowOff>130649</xdr:rowOff>
    </xdr:from>
    <xdr:to>
      <xdr:col>17</xdr:col>
      <xdr:colOff>58749</xdr:colOff>
      <xdr:row>47</xdr:row>
      <xdr:rowOff>92548</xdr:rowOff>
    </xdr:to>
    <xdr:graphicFrame macro="">
      <xdr:nvGraphicFramePr>
        <xdr:cNvPr id="78" name="Chart 77">
          <a:extLst>
            <a:ext uri="{FF2B5EF4-FFF2-40B4-BE49-F238E27FC236}">
              <a16:creationId xmlns:a16="http://schemas.microsoft.com/office/drawing/2014/main" id="{00000000-0008-0000-0600-00004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586395</xdr:colOff>
      <xdr:row>34</xdr:row>
      <xdr:rowOff>60660</xdr:rowOff>
    </xdr:from>
    <xdr:to>
      <xdr:col>16</xdr:col>
      <xdr:colOff>622333</xdr:colOff>
      <xdr:row>37</xdr:row>
      <xdr:rowOff>94725</xdr:rowOff>
    </xdr:to>
    <xdr:sp macro="" textlink="Processing!AA33">
      <xdr:nvSpPr>
        <xdr:cNvPr id="79" name="TextBox 78">
          <a:extLst>
            <a:ext uri="{FF2B5EF4-FFF2-40B4-BE49-F238E27FC236}">
              <a16:creationId xmlns:a16="http://schemas.microsoft.com/office/drawing/2014/main" id="{00000000-0008-0000-0600-00004F000000}"/>
            </a:ext>
          </a:extLst>
        </xdr:cNvPr>
        <xdr:cNvSpPr txBox="1"/>
      </xdr:nvSpPr>
      <xdr:spPr>
        <a:xfrm>
          <a:off x="12143395" y="6969460"/>
          <a:ext cx="1686938" cy="643665"/>
        </a:xfrm>
        <a:prstGeom prst="rect">
          <a:avLst/>
        </a:prstGeom>
        <a:noFill/>
        <a:ln w="9525" cmpd="sng">
          <a:noFill/>
        </a:ln>
        <a:effectLst/>
      </xdr:spPr>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00D76A26-B17B-1C4E-AED7-1701EDF1165B}" type="TxLink">
            <a:rPr kumimoji="0" lang="en-US" sz="1400" b="1" i="0" u="none" strike="noStrike" kern="0" cap="none" spc="0" normalizeH="0" baseline="0" noProof="0">
              <a:ln>
                <a:noFill/>
              </a:ln>
              <a:solidFill>
                <a:sysClr val="window" lastClr="FFFFFF"/>
              </a:solidFill>
              <a:effectLst/>
              <a:uLnTx/>
              <a:uFillTx/>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Monthly Plan</a:t>
          </a:fld>
          <a:endParaRPr kumimoji="0" lang="ru-RU" sz="1400" b="1" i="0" u="none" strike="noStrike" kern="0" cap="none" spc="0" normalizeH="0" baseline="0" noProof="0">
            <a:ln>
              <a:noFill/>
            </a:ln>
            <a:solidFill>
              <a:sysClr val="window" lastClr="FFFFFF"/>
            </a:solidFill>
            <a:effectLst/>
            <a:uLnTx/>
            <a:uFillTx/>
            <a:latin typeface="Calibri"/>
            <a:ea typeface="+mn-ea"/>
            <a:cs typeface="Calibri"/>
          </a:endParaRPr>
        </a:p>
      </xdr:txBody>
    </xdr:sp>
    <xdr:clientData/>
  </xdr:twoCellAnchor>
  <xdr:twoCellAnchor>
    <xdr:from>
      <xdr:col>0</xdr:col>
      <xdr:colOff>177800</xdr:colOff>
      <xdr:row>29</xdr:row>
      <xdr:rowOff>114300</xdr:rowOff>
    </xdr:from>
    <xdr:to>
      <xdr:col>2</xdr:col>
      <xdr:colOff>691484</xdr:colOff>
      <xdr:row>32</xdr:row>
      <xdr:rowOff>137159</xdr:rowOff>
    </xdr:to>
    <xdr:grpSp>
      <xdr:nvGrpSpPr>
        <xdr:cNvPr id="80" name="Group 79">
          <a:extLst>
            <a:ext uri="{FF2B5EF4-FFF2-40B4-BE49-F238E27FC236}">
              <a16:creationId xmlns:a16="http://schemas.microsoft.com/office/drawing/2014/main" id="{00000000-0008-0000-0600-000050000000}"/>
            </a:ext>
          </a:extLst>
        </xdr:cNvPr>
        <xdr:cNvGrpSpPr/>
      </xdr:nvGrpSpPr>
      <xdr:grpSpPr>
        <a:xfrm>
          <a:off x="177800" y="5822950"/>
          <a:ext cx="2164684" cy="613409"/>
          <a:chOff x="190500" y="5943600"/>
          <a:chExt cx="2164684" cy="632459"/>
        </a:xfrm>
      </xdr:grpSpPr>
      <xdr:sp macro="" textlink="Processing!R13">
        <xdr:nvSpPr>
          <xdr:cNvPr id="82" name="TextBox 81">
            <a:hlinkClick xmlns:r="http://schemas.openxmlformats.org/officeDocument/2006/relationships" r:id="rId12"/>
            <a:extLst>
              <a:ext uri="{FF2B5EF4-FFF2-40B4-BE49-F238E27FC236}">
                <a16:creationId xmlns:a16="http://schemas.microsoft.com/office/drawing/2014/main" id="{00000000-0008-0000-0600-000052000000}"/>
              </a:ext>
            </a:extLst>
          </xdr:cNvPr>
          <xdr:cNvSpPr txBox="1"/>
        </xdr:nvSpPr>
        <xdr:spPr>
          <a:xfrm>
            <a:off x="603252" y="5943600"/>
            <a:ext cx="1751932" cy="632459"/>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it-IT" sz="1400" b="0" i="0" u="none" strike="noStrike" kern="0" cap="none" spc="0" normalizeH="0" baseline="0" noProof="0">
                <a:ln>
                  <a:noFill/>
                </a:ln>
                <a:solidFill>
                  <a:sysClr val="window" lastClr="FFFFFF"/>
                </a:solidFill>
                <a:effectLst/>
                <a:uLnTx/>
                <a:uFillTx/>
                <a:latin typeface="Calibri"/>
                <a:ea typeface="+mn-ea"/>
                <a:cs typeface="Calibri"/>
              </a:rPr>
              <a:t>Insert Data</a:t>
            </a:r>
            <a:endParaRPr kumimoji="0" lang="ru-RU" sz="1400" b="0" i="0" u="none" strike="noStrike" kern="0" cap="none" spc="0" normalizeH="0" baseline="0" noProof="0">
              <a:ln>
                <a:noFill/>
              </a:ln>
              <a:solidFill>
                <a:sysClr val="window" lastClr="FFFFFF"/>
              </a:solidFill>
              <a:effectLst/>
              <a:uLnTx/>
              <a:uFillTx/>
              <a:latin typeface="Calibri"/>
              <a:ea typeface="+mn-ea"/>
              <a:cs typeface="Calibri"/>
            </a:endParaRPr>
          </a:p>
        </xdr:txBody>
      </xdr:sp>
      <xdr:sp macro="" textlink="">
        <xdr:nvSpPr>
          <xdr:cNvPr id="83" name="TextBox 82">
            <a:extLst>
              <a:ext uri="{FF2B5EF4-FFF2-40B4-BE49-F238E27FC236}">
                <a16:creationId xmlns:a16="http://schemas.microsoft.com/office/drawing/2014/main" id="{00000000-0008-0000-0600-000053000000}"/>
              </a:ext>
            </a:extLst>
          </xdr:cNvPr>
          <xdr:cNvSpPr txBox="1"/>
        </xdr:nvSpPr>
        <xdr:spPr>
          <a:xfrm>
            <a:off x="190500" y="6025829"/>
            <a:ext cx="432000" cy="468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a:t>
            </a:r>
          </a:p>
        </xdr:txBody>
      </xdr:sp>
    </xdr:grpSp>
    <xdr:clientData/>
  </xdr:twoCellAnchor>
  <xdr:twoCellAnchor>
    <xdr:from>
      <xdr:col>3</xdr:col>
      <xdr:colOff>317500</xdr:colOff>
      <xdr:row>5</xdr:row>
      <xdr:rowOff>97117</xdr:rowOff>
    </xdr:from>
    <xdr:to>
      <xdr:col>22</xdr:col>
      <xdr:colOff>257736</xdr:colOff>
      <xdr:row>8</xdr:row>
      <xdr:rowOff>130735</xdr:rowOff>
    </xdr:to>
    <xdr:sp macro="" textlink="">
      <xdr:nvSpPr>
        <xdr:cNvPr id="84" name="Rectangle: Rounded Corners 15">
          <a:extLst>
            <a:ext uri="{FF2B5EF4-FFF2-40B4-BE49-F238E27FC236}">
              <a16:creationId xmlns:a16="http://schemas.microsoft.com/office/drawing/2014/main" id="{00000000-0008-0000-0600-000054000000}"/>
            </a:ext>
          </a:extLst>
        </xdr:cNvPr>
        <xdr:cNvSpPr/>
      </xdr:nvSpPr>
      <xdr:spPr>
        <a:xfrm>
          <a:off x="2794000" y="1113117"/>
          <a:ext cx="15624736" cy="643218"/>
        </a:xfrm>
        <a:prstGeom prst="roundRect">
          <a:avLst>
            <a:gd name="adj" fmla="val 15178"/>
          </a:avLst>
        </a:prstGeom>
        <a:solidFill>
          <a:srgbClr val="242732"/>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ru-RU" sz="24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317500</xdr:colOff>
      <xdr:row>1</xdr:row>
      <xdr:rowOff>0</xdr:rowOff>
    </xdr:from>
    <xdr:to>
      <xdr:col>22</xdr:col>
      <xdr:colOff>259500</xdr:colOff>
      <xdr:row>4</xdr:row>
      <xdr:rowOff>1</xdr:rowOff>
    </xdr:to>
    <xdr:sp macro="" textlink="">
      <xdr:nvSpPr>
        <xdr:cNvPr id="85" name="Rectangle: Rounded Corners 16">
          <a:extLst>
            <a:ext uri="{FF2B5EF4-FFF2-40B4-BE49-F238E27FC236}">
              <a16:creationId xmlns:a16="http://schemas.microsoft.com/office/drawing/2014/main" id="{00000000-0008-0000-0600-000055000000}"/>
            </a:ext>
          </a:extLst>
        </xdr:cNvPr>
        <xdr:cNvSpPr/>
      </xdr:nvSpPr>
      <xdr:spPr>
        <a:xfrm>
          <a:off x="2794000" y="203200"/>
          <a:ext cx="15626500" cy="609601"/>
        </a:xfrm>
        <a:prstGeom prst="roundRect">
          <a:avLst>
            <a:gd name="adj" fmla="val 15178"/>
          </a:avLst>
        </a:prstGeom>
        <a:solidFill>
          <a:srgbClr val="242732"/>
        </a:solidFill>
        <a:ln w="12700" cap="flat" cmpd="sng" algn="ctr">
          <a:noFill/>
          <a:prstDash val="solid"/>
          <a:miter lim="800000"/>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ru-RU" sz="2400" b="1" i="0" u="none" strike="noStrike" kern="0" cap="none" spc="0" normalizeH="0" baseline="0" noProof="0">
              <a:ln>
                <a:noFill/>
              </a:ln>
              <a:solidFill>
                <a:sysClr val="window" lastClr="FFFFFF"/>
              </a:solidFill>
              <a:effectLst/>
              <a:uLnTx/>
              <a:uFillTx/>
              <a:latin typeface="Calibri" panose="020F0502020204030204"/>
              <a:ea typeface="+mn-ea"/>
              <a:cs typeface="+mn-cs"/>
            </a:rPr>
            <a:t>				</a:t>
          </a: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Personal Finance Dashboard</a:t>
          </a:r>
          <a:endParaRPr kumimoji="0" lang="ru-RU" sz="24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17</xdr:col>
      <xdr:colOff>44120</xdr:colOff>
      <xdr:row>1</xdr:row>
      <xdr:rowOff>198121</xdr:rowOff>
    </xdr:from>
    <xdr:to>
      <xdr:col>17</xdr:col>
      <xdr:colOff>265219</xdr:colOff>
      <xdr:row>3</xdr:row>
      <xdr:rowOff>5080</xdr:rowOff>
    </xdr:to>
    <xdr:grpSp>
      <xdr:nvGrpSpPr>
        <xdr:cNvPr id="86" name="Group 85">
          <a:extLst>
            <a:ext uri="{FF2B5EF4-FFF2-40B4-BE49-F238E27FC236}">
              <a16:creationId xmlns:a16="http://schemas.microsoft.com/office/drawing/2014/main" id="{00000000-0008-0000-0600-000056000000}"/>
            </a:ext>
          </a:extLst>
        </xdr:cNvPr>
        <xdr:cNvGrpSpPr/>
      </xdr:nvGrpSpPr>
      <xdr:grpSpPr>
        <a:xfrm>
          <a:off x="14077620" y="394971"/>
          <a:ext cx="221099" cy="200659"/>
          <a:chOff x="6535559" y="690283"/>
          <a:chExt cx="274908" cy="248639"/>
        </a:xfrm>
      </xdr:grpSpPr>
      <xdr:sp macro="" textlink="">
        <xdr:nvSpPr>
          <xdr:cNvPr id="87" name="Moon">
            <a:extLst>
              <a:ext uri="{FF2B5EF4-FFF2-40B4-BE49-F238E27FC236}">
                <a16:creationId xmlns:a16="http://schemas.microsoft.com/office/drawing/2014/main" id="{00000000-0008-0000-0600-000057000000}"/>
              </a:ext>
            </a:extLst>
          </xdr:cNvPr>
          <xdr:cNvSpPr/>
        </xdr:nvSpPr>
        <xdr:spPr>
          <a:xfrm>
            <a:off x="6535559" y="690283"/>
            <a:ext cx="140283" cy="245398"/>
          </a:xfrm>
          <a:prstGeom prst="moon">
            <a:avLst/>
          </a:prstGeom>
          <a:gradFill>
            <a:gsLst>
              <a:gs pos="0">
                <a:srgbClr val="FB6F32"/>
              </a:gs>
              <a:gs pos="72000">
                <a:srgbClr val="ED3229"/>
              </a:gs>
            </a:gsLst>
            <a:lin ang="8100000" scaled="1"/>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88" name="Big Star">
            <a:extLst>
              <a:ext uri="{FF2B5EF4-FFF2-40B4-BE49-F238E27FC236}">
                <a16:creationId xmlns:a16="http://schemas.microsoft.com/office/drawing/2014/main" id="{00000000-0008-0000-0600-000058000000}"/>
              </a:ext>
            </a:extLst>
          </xdr:cNvPr>
          <xdr:cNvSpPr/>
        </xdr:nvSpPr>
        <xdr:spPr>
          <a:xfrm>
            <a:off x="6675270" y="773921"/>
            <a:ext cx="108000" cy="107972"/>
          </a:xfrm>
          <a:prstGeom prst="star4">
            <a:avLst/>
          </a:prstGeom>
          <a:gradFill>
            <a:gsLst>
              <a:gs pos="0">
                <a:srgbClr val="FB6F32"/>
              </a:gs>
              <a:gs pos="72000">
                <a:srgbClr val="ED3229"/>
              </a:gs>
            </a:gsLst>
            <a:lin ang="8100000" scaled="1"/>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89" name="Star">
            <a:extLst>
              <a:ext uri="{FF2B5EF4-FFF2-40B4-BE49-F238E27FC236}">
                <a16:creationId xmlns:a16="http://schemas.microsoft.com/office/drawing/2014/main" id="{00000000-0008-0000-0600-000059000000}"/>
              </a:ext>
            </a:extLst>
          </xdr:cNvPr>
          <xdr:cNvSpPr/>
        </xdr:nvSpPr>
        <xdr:spPr>
          <a:xfrm>
            <a:off x="6756467" y="881723"/>
            <a:ext cx="54000" cy="57199"/>
          </a:xfrm>
          <a:prstGeom prst="star4">
            <a:avLst/>
          </a:prstGeom>
          <a:gradFill>
            <a:gsLst>
              <a:gs pos="0">
                <a:srgbClr val="FB6F32"/>
              </a:gs>
              <a:gs pos="72000">
                <a:srgbClr val="ED3229"/>
              </a:gs>
            </a:gsLst>
            <a:lin ang="8100000" scaled="1"/>
          </a:grad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ru-RU"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15</xdr:col>
      <xdr:colOff>742565</xdr:colOff>
      <xdr:row>1</xdr:row>
      <xdr:rowOff>198121</xdr:rowOff>
    </xdr:from>
    <xdr:to>
      <xdr:col>16</xdr:col>
      <xdr:colOff>125530</xdr:colOff>
      <xdr:row>3</xdr:row>
      <xdr:rowOff>5080</xdr:rowOff>
    </xdr:to>
    <xdr:grpSp>
      <xdr:nvGrpSpPr>
        <xdr:cNvPr id="90" name="Группа 7203">
          <a:extLst>
            <a:ext uri="{FF2B5EF4-FFF2-40B4-BE49-F238E27FC236}">
              <a16:creationId xmlns:a16="http://schemas.microsoft.com/office/drawing/2014/main" id="{00000000-0008-0000-0600-00005A000000}"/>
            </a:ext>
          </a:extLst>
        </xdr:cNvPr>
        <xdr:cNvGrpSpPr/>
      </xdr:nvGrpSpPr>
      <xdr:grpSpPr>
        <a:xfrm>
          <a:off x="13125065" y="394971"/>
          <a:ext cx="208465" cy="200659"/>
          <a:chOff x="14630400" y="0"/>
          <a:chExt cx="1320905" cy="1291901"/>
        </a:xfrm>
        <a:effectLst/>
      </xdr:grpSpPr>
      <xdr:sp macro="" textlink="">
        <xdr:nvSpPr>
          <xdr:cNvPr id="91" name="Lights">
            <a:extLst>
              <a:ext uri="{FF2B5EF4-FFF2-40B4-BE49-F238E27FC236}">
                <a16:creationId xmlns:a16="http://schemas.microsoft.com/office/drawing/2014/main" id="{00000000-0008-0000-0600-00005B000000}"/>
              </a:ext>
            </a:extLst>
          </xdr:cNvPr>
          <xdr:cNvSpPr/>
        </xdr:nvSpPr>
        <xdr:spPr>
          <a:xfrm rot="19122911">
            <a:off x="14630400" y="0"/>
            <a:ext cx="1320905" cy="1291901"/>
          </a:xfrm>
          <a:custGeom>
            <a:avLst/>
            <a:gdLst>
              <a:gd name="connsiteX0" fmla="*/ 721625 w 2541582"/>
              <a:gd name="connsiteY0" fmla="*/ 1903961 h 2517378"/>
              <a:gd name="connsiteX1" fmla="*/ 721626 w 2541582"/>
              <a:gd name="connsiteY1" fmla="*/ 2056116 h 2517378"/>
              <a:gd name="connsiteX2" fmla="*/ 721626 w 2541582"/>
              <a:gd name="connsiteY2" fmla="*/ 2056119 h 2517378"/>
              <a:gd name="connsiteX3" fmla="*/ 573702 w 2541582"/>
              <a:gd name="connsiteY3" fmla="*/ 2208278 h 2517378"/>
              <a:gd name="connsiteX4" fmla="*/ 573701 w 2541582"/>
              <a:gd name="connsiteY4" fmla="*/ 2208277 h 2517378"/>
              <a:gd name="connsiteX5" fmla="*/ 425777 w 2541582"/>
              <a:gd name="connsiteY5" fmla="*/ 2208278 h 2517378"/>
              <a:gd name="connsiteX6" fmla="*/ 425777 w 2541582"/>
              <a:gd name="connsiteY6" fmla="*/ 2056123 h 2517378"/>
              <a:gd name="connsiteX7" fmla="*/ 425777 w 2541582"/>
              <a:gd name="connsiteY7" fmla="*/ 2056120 h 2517378"/>
              <a:gd name="connsiteX8" fmla="*/ 573701 w 2541582"/>
              <a:gd name="connsiteY8" fmla="*/ 1903962 h 2517378"/>
              <a:gd name="connsiteX9" fmla="*/ 573702 w 2541582"/>
              <a:gd name="connsiteY9" fmla="*/ 1903962 h 2517378"/>
              <a:gd name="connsiteX10" fmla="*/ 519727 w 2541582"/>
              <a:gd name="connsiteY10" fmla="*/ 1624038 h 2517378"/>
              <a:gd name="connsiteX11" fmla="*/ 458680 w 2541582"/>
              <a:gd name="connsiteY11" fmla="*/ 1763409 h 2517378"/>
              <a:gd name="connsiteX12" fmla="*/ 458678 w 2541582"/>
              <a:gd name="connsiteY12" fmla="*/ 1763413 h 2517378"/>
              <a:gd name="connsiteX13" fmla="*/ 262134 w 2541582"/>
              <a:gd name="connsiteY13" fmla="*/ 1843437 h 2517378"/>
              <a:gd name="connsiteX14" fmla="*/ 262133 w 2541582"/>
              <a:gd name="connsiteY14" fmla="*/ 1843437 h 2517378"/>
              <a:gd name="connsiteX15" fmla="*/ 126637 w 2541582"/>
              <a:gd name="connsiteY15" fmla="*/ 1784087 h 2517378"/>
              <a:gd name="connsiteX16" fmla="*/ 187684 w 2541582"/>
              <a:gd name="connsiteY16" fmla="*/ 1644716 h 2517378"/>
              <a:gd name="connsiteX17" fmla="*/ 187686 w 2541582"/>
              <a:gd name="connsiteY17" fmla="*/ 1644713 h 2517378"/>
              <a:gd name="connsiteX18" fmla="*/ 384230 w 2541582"/>
              <a:gd name="connsiteY18" fmla="*/ 1564688 h 2517378"/>
              <a:gd name="connsiteX19" fmla="*/ 384231 w 2541582"/>
              <a:gd name="connsiteY19" fmla="*/ 1564689 h 2517378"/>
              <a:gd name="connsiteX20" fmla="*/ 1009078 w 2541582"/>
              <a:gd name="connsiteY20" fmla="*/ 2051827 h 2517378"/>
              <a:gd name="connsiteX21" fmla="*/ 1066442 w 2541582"/>
              <a:gd name="connsiteY21" fmla="*/ 2192754 h 2517378"/>
              <a:gd name="connsiteX22" fmla="*/ 1066444 w 2541582"/>
              <a:gd name="connsiteY22" fmla="*/ 2192757 h 2517378"/>
              <a:gd name="connsiteX23" fmla="*/ 986801 w 2541582"/>
              <a:gd name="connsiteY23" fmla="*/ 2389456 h 2517378"/>
              <a:gd name="connsiteX24" fmla="*/ 986801 w 2541582"/>
              <a:gd name="connsiteY24" fmla="*/ 2389457 h 2517378"/>
              <a:gd name="connsiteX25" fmla="*/ 849793 w 2541582"/>
              <a:gd name="connsiteY25" fmla="*/ 2445226 h 2517378"/>
              <a:gd name="connsiteX26" fmla="*/ 792428 w 2541582"/>
              <a:gd name="connsiteY26" fmla="*/ 2304299 h 2517378"/>
              <a:gd name="connsiteX27" fmla="*/ 792426 w 2541582"/>
              <a:gd name="connsiteY27" fmla="*/ 2304296 h 2517378"/>
              <a:gd name="connsiteX28" fmla="*/ 872069 w 2541582"/>
              <a:gd name="connsiteY28" fmla="*/ 2107597 h 2517378"/>
              <a:gd name="connsiteX29" fmla="*/ 872070 w 2541582"/>
              <a:gd name="connsiteY29" fmla="*/ 2107597 h 2517378"/>
              <a:gd name="connsiteX30" fmla="*/ 1307640 w 2541582"/>
              <a:gd name="connsiteY30" fmla="*/ 2093057 h 2517378"/>
              <a:gd name="connsiteX31" fmla="*/ 1411294 w 2541582"/>
              <a:gd name="connsiteY31" fmla="*/ 2204442 h 2517378"/>
              <a:gd name="connsiteX32" fmla="*/ 1411296 w 2541582"/>
              <a:gd name="connsiteY32" fmla="*/ 2204445 h 2517378"/>
              <a:gd name="connsiteX33" fmla="*/ 1406663 w 2541582"/>
              <a:gd name="connsiteY33" fmla="*/ 2416606 h 2517378"/>
              <a:gd name="connsiteX34" fmla="*/ 1406663 w 2541582"/>
              <a:gd name="connsiteY34" fmla="*/ 2416606 h 2517378"/>
              <a:gd name="connsiteX35" fmla="*/ 1298374 w 2541582"/>
              <a:gd name="connsiteY35" fmla="*/ 2517378 h 2517378"/>
              <a:gd name="connsiteX36" fmla="*/ 1194720 w 2541582"/>
              <a:gd name="connsiteY36" fmla="*/ 2405992 h 2517378"/>
              <a:gd name="connsiteX37" fmla="*/ 1194718 w 2541582"/>
              <a:gd name="connsiteY37" fmla="*/ 2405989 h 2517378"/>
              <a:gd name="connsiteX38" fmla="*/ 1199351 w 2541582"/>
              <a:gd name="connsiteY38" fmla="*/ 2193829 h 2517378"/>
              <a:gd name="connsiteX39" fmla="*/ 1199351 w 2541582"/>
              <a:gd name="connsiteY39" fmla="*/ 2193828 h 2517378"/>
              <a:gd name="connsiteX40" fmla="*/ 323549 w 2541582"/>
              <a:gd name="connsiteY40" fmla="*/ 1188033 h 2517378"/>
              <a:gd name="connsiteX41" fmla="*/ 323549 w 2541582"/>
              <a:gd name="connsiteY41" fmla="*/ 1188033 h 2517378"/>
              <a:gd name="connsiteX42" fmla="*/ 424321 w 2541582"/>
              <a:gd name="connsiteY42" fmla="*/ 1296322 h 2517378"/>
              <a:gd name="connsiteX43" fmla="*/ 312935 w 2541582"/>
              <a:gd name="connsiteY43" fmla="*/ 1399976 h 2517378"/>
              <a:gd name="connsiteX44" fmla="*/ 312933 w 2541582"/>
              <a:gd name="connsiteY44" fmla="*/ 1399979 h 2517378"/>
              <a:gd name="connsiteX45" fmla="*/ 100772 w 2541582"/>
              <a:gd name="connsiteY45" fmla="*/ 1395346 h 2517378"/>
              <a:gd name="connsiteX46" fmla="*/ 100771 w 2541582"/>
              <a:gd name="connsiteY46" fmla="*/ 1395345 h 2517378"/>
              <a:gd name="connsiteX47" fmla="*/ 0 w 2541582"/>
              <a:gd name="connsiteY47" fmla="*/ 1287056 h 2517378"/>
              <a:gd name="connsiteX48" fmla="*/ 111385 w 2541582"/>
              <a:gd name="connsiteY48" fmla="*/ 1183403 h 2517378"/>
              <a:gd name="connsiteX49" fmla="*/ 111388 w 2541582"/>
              <a:gd name="connsiteY49" fmla="*/ 1183400 h 2517378"/>
              <a:gd name="connsiteX50" fmla="*/ 323549 w 2541582"/>
              <a:gd name="connsiteY50" fmla="*/ 1188033 h 2517378"/>
              <a:gd name="connsiteX51" fmla="*/ 1826146 w 2541582"/>
              <a:gd name="connsiteY51" fmla="*/ 2118023 h 2517378"/>
              <a:gd name="connsiteX52" fmla="*/ 1856583 w 2541582"/>
              <a:gd name="connsiteY52" fmla="*/ 2280157 h 2517378"/>
              <a:gd name="connsiteX53" fmla="*/ 1856583 w 2541582"/>
              <a:gd name="connsiteY53" fmla="*/ 2280157 h 2517378"/>
              <a:gd name="connsiteX54" fmla="*/ 1797234 w 2541582"/>
              <a:gd name="connsiteY54" fmla="*/ 2415653 h 2517378"/>
              <a:gd name="connsiteX55" fmla="*/ 1657863 w 2541582"/>
              <a:gd name="connsiteY55" fmla="*/ 2354606 h 2517378"/>
              <a:gd name="connsiteX56" fmla="*/ 1657859 w 2541582"/>
              <a:gd name="connsiteY56" fmla="*/ 2354605 h 2517378"/>
              <a:gd name="connsiteX57" fmla="*/ 1577835 w 2541582"/>
              <a:gd name="connsiteY57" fmla="*/ 2158060 h 2517378"/>
              <a:gd name="connsiteX58" fmla="*/ 1577835 w 2541582"/>
              <a:gd name="connsiteY58" fmla="*/ 2158060 h 2517378"/>
              <a:gd name="connsiteX59" fmla="*/ 1637185 w 2541582"/>
              <a:gd name="connsiteY59" fmla="*/ 2022564 h 2517378"/>
              <a:gd name="connsiteX60" fmla="*/ 1776555 w 2541582"/>
              <a:gd name="connsiteY60" fmla="*/ 2083611 h 2517378"/>
              <a:gd name="connsiteX61" fmla="*/ 1776559 w 2541582"/>
              <a:gd name="connsiteY61" fmla="*/ 2083612 h 2517378"/>
              <a:gd name="connsiteX62" fmla="*/ 1826146 w 2541582"/>
              <a:gd name="connsiteY62" fmla="*/ 2118023 h 2517378"/>
              <a:gd name="connsiteX63" fmla="*/ 377553 w 2541582"/>
              <a:gd name="connsiteY63" fmla="*/ 807593 h 2517378"/>
              <a:gd name="connsiteX64" fmla="*/ 410335 w 2541582"/>
              <a:gd name="connsiteY64" fmla="*/ 856415 h 2517378"/>
              <a:gd name="connsiteX65" fmla="*/ 410336 w 2541582"/>
              <a:gd name="connsiteY65" fmla="*/ 856415 h 2517378"/>
              <a:gd name="connsiteX66" fmla="*/ 466105 w 2541582"/>
              <a:gd name="connsiteY66" fmla="*/ 993423 h 2517378"/>
              <a:gd name="connsiteX67" fmla="*/ 325178 w 2541582"/>
              <a:gd name="connsiteY67" fmla="*/ 1050787 h 2517378"/>
              <a:gd name="connsiteX68" fmla="*/ 325175 w 2541582"/>
              <a:gd name="connsiteY68" fmla="*/ 1050789 h 2517378"/>
              <a:gd name="connsiteX69" fmla="*/ 128476 w 2541582"/>
              <a:gd name="connsiteY69" fmla="*/ 971146 h 2517378"/>
              <a:gd name="connsiteX70" fmla="*/ 128476 w 2541582"/>
              <a:gd name="connsiteY70" fmla="*/ 971146 h 2517378"/>
              <a:gd name="connsiteX71" fmla="*/ 72706 w 2541582"/>
              <a:gd name="connsiteY71" fmla="*/ 834138 h 2517378"/>
              <a:gd name="connsiteX72" fmla="*/ 213633 w 2541582"/>
              <a:gd name="connsiteY72" fmla="*/ 776773 h 2517378"/>
              <a:gd name="connsiteX73" fmla="*/ 213636 w 2541582"/>
              <a:gd name="connsiteY73" fmla="*/ 776772 h 2517378"/>
              <a:gd name="connsiteX74" fmla="*/ 377553 w 2541582"/>
              <a:gd name="connsiteY74" fmla="*/ 807593 h 2517378"/>
              <a:gd name="connsiteX75" fmla="*/ 2166386 w 2541582"/>
              <a:gd name="connsiteY75" fmla="*/ 1843414 h 2517378"/>
              <a:gd name="connsiteX76" fmla="*/ 2210952 w 2541582"/>
              <a:gd name="connsiteY76" fmla="*/ 1948012 h 2517378"/>
              <a:gd name="connsiteX77" fmla="*/ 2210952 w 2541582"/>
              <a:gd name="connsiteY77" fmla="*/ 1948012 h 2517378"/>
              <a:gd name="connsiteX78" fmla="*/ 2210952 w 2541582"/>
              <a:gd name="connsiteY78" fmla="*/ 2095936 h 2517378"/>
              <a:gd name="connsiteX79" fmla="*/ 2058798 w 2541582"/>
              <a:gd name="connsiteY79" fmla="*/ 2095936 h 2517378"/>
              <a:gd name="connsiteX80" fmla="*/ 2058794 w 2541582"/>
              <a:gd name="connsiteY80" fmla="*/ 2095937 h 2517378"/>
              <a:gd name="connsiteX81" fmla="*/ 1906636 w 2541582"/>
              <a:gd name="connsiteY81" fmla="*/ 1948012 h 2517378"/>
              <a:gd name="connsiteX82" fmla="*/ 1906636 w 2541582"/>
              <a:gd name="connsiteY82" fmla="*/ 1948012 h 2517378"/>
              <a:gd name="connsiteX83" fmla="*/ 1906636 w 2541582"/>
              <a:gd name="connsiteY83" fmla="*/ 1800088 h 2517378"/>
              <a:gd name="connsiteX84" fmla="*/ 2058790 w 2541582"/>
              <a:gd name="connsiteY84" fmla="*/ 1800088 h 2517378"/>
              <a:gd name="connsiteX85" fmla="*/ 2058794 w 2541582"/>
              <a:gd name="connsiteY85" fmla="*/ 1800088 h 2517378"/>
              <a:gd name="connsiteX86" fmla="*/ 2166386 w 2541582"/>
              <a:gd name="connsiteY86" fmla="*/ 1843414 h 2517378"/>
              <a:gd name="connsiteX87" fmla="*/ 592924 w 2541582"/>
              <a:gd name="connsiteY87" fmla="*/ 461833 h 2517378"/>
              <a:gd name="connsiteX88" fmla="*/ 637491 w 2541582"/>
              <a:gd name="connsiteY88" fmla="*/ 566431 h 2517378"/>
              <a:gd name="connsiteX89" fmla="*/ 637490 w 2541582"/>
              <a:gd name="connsiteY89" fmla="*/ 566431 h 2517378"/>
              <a:gd name="connsiteX90" fmla="*/ 637490 w 2541582"/>
              <a:gd name="connsiteY90" fmla="*/ 714355 h 2517378"/>
              <a:gd name="connsiteX91" fmla="*/ 485336 w 2541582"/>
              <a:gd name="connsiteY91" fmla="*/ 714355 h 2517378"/>
              <a:gd name="connsiteX92" fmla="*/ 485333 w 2541582"/>
              <a:gd name="connsiteY92" fmla="*/ 714356 h 2517378"/>
              <a:gd name="connsiteX93" fmla="*/ 333174 w 2541582"/>
              <a:gd name="connsiteY93" fmla="*/ 566431 h 2517378"/>
              <a:gd name="connsiteX94" fmla="*/ 333175 w 2541582"/>
              <a:gd name="connsiteY94" fmla="*/ 566431 h 2517378"/>
              <a:gd name="connsiteX95" fmla="*/ 333175 w 2541582"/>
              <a:gd name="connsiteY95" fmla="*/ 418507 h 2517378"/>
              <a:gd name="connsiteX96" fmla="*/ 485329 w 2541582"/>
              <a:gd name="connsiteY96" fmla="*/ 418507 h 2517378"/>
              <a:gd name="connsiteX97" fmla="*/ 485333 w 2541582"/>
              <a:gd name="connsiteY97" fmla="*/ 418507 h 2517378"/>
              <a:gd name="connsiteX98" fmla="*/ 592924 w 2541582"/>
              <a:gd name="connsiteY98" fmla="*/ 461833 h 2517378"/>
              <a:gd name="connsiteX99" fmla="*/ 2378656 w 2541582"/>
              <a:gd name="connsiteY99" fmla="*/ 1501946 h 2517378"/>
              <a:gd name="connsiteX100" fmla="*/ 2411439 w 2541582"/>
              <a:gd name="connsiteY100" fmla="*/ 1550768 h 2517378"/>
              <a:gd name="connsiteX101" fmla="*/ 2411439 w 2541582"/>
              <a:gd name="connsiteY101" fmla="*/ 1550768 h 2517378"/>
              <a:gd name="connsiteX102" fmla="*/ 2467208 w 2541582"/>
              <a:gd name="connsiteY102" fmla="*/ 1687776 h 2517378"/>
              <a:gd name="connsiteX103" fmla="*/ 2326282 w 2541582"/>
              <a:gd name="connsiteY103" fmla="*/ 1745141 h 2517378"/>
              <a:gd name="connsiteX104" fmla="*/ 2326278 w 2541582"/>
              <a:gd name="connsiteY104" fmla="*/ 1745142 h 2517378"/>
              <a:gd name="connsiteX105" fmla="*/ 2129579 w 2541582"/>
              <a:gd name="connsiteY105" fmla="*/ 1665499 h 2517378"/>
              <a:gd name="connsiteX106" fmla="*/ 2129579 w 2541582"/>
              <a:gd name="connsiteY106" fmla="*/ 1665499 h 2517378"/>
              <a:gd name="connsiteX107" fmla="*/ 2073809 w 2541582"/>
              <a:gd name="connsiteY107" fmla="*/ 1528491 h 2517378"/>
              <a:gd name="connsiteX108" fmla="*/ 2214736 w 2541582"/>
              <a:gd name="connsiteY108" fmla="*/ 1471127 h 2517378"/>
              <a:gd name="connsiteX109" fmla="*/ 2214739 w 2541582"/>
              <a:gd name="connsiteY109" fmla="*/ 1471125 h 2517378"/>
              <a:gd name="connsiteX110" fmla="*/ 2378656 w 2541582"/>
              <a:gd name="connsiteY110" fmla="*/ 1501946 h 2517378"/>
              <a:gd name="connsiteX111" fmla="*/ 928939 w 2541582"/>
              <a:gd name="connsiteY111" fmla="*/ 199283 h 2517378"/>
              <a:gd name="connsiteX112" fmla="*/ 959377 w 2541582"/>
              <a:gd name="connsiteY112" fmla="*/ 361416 h 2517378"/>
              <a:gd name="connsiteX113" fmla="*/ 959376 w 2541582"/>
              <a:gd name="connsiteY113" fmla="*/ 361417 h 2517378"/>
              <a:gd name="connsiteX114" fmla="*/ 900027 w 2541582"/>
              <a:gd name="connsiteY114" fmla="*/ 496913 h 2517378"/>
              <a:gd name="connsiteX115" fmla="*/ 760656 w 2541582"/>
              <a:gd name="connsiteY115" fmla="*/ 435866 h 2517378"/>
              <a:gd name="connsiteX116" fmla="*/ 760652 w 2541582"/>
              <a:gd name="connsiteY116" fmla="*/ 435865 h 2517378"/>
              <a:gd name="connsiteX117" fmla="*/ 680628 w 2541582"/>
              <a:gd name="connsiteY117" fmla="*/ 239320 h 2517378"/>
              <a:gd name="connsiteX118" fmla="*/ 680628 w 2541582"/>
              <a:gd name="connsiteY118" fmla="*/ 239320 h 2517378"/>
              <a:gd name="connsiteX119" fmla="*/ 739978 w 2541582"/>
              <a:gd name="connsiteY119" fmla="*/ 103824 h 2517378"/>
              <a:gd name="connsiteX120" fmla="*/ 879349 w 2541582"/>
              <a:gd name="connsiteY120" fmla="*/ 164871 h 2517378"/>
              <a:gd name="connsiteX121" fmla="*/ 879352 w 2541582"/>
              <a:gd name="connsiteY121" fmla="*/ 164872 h 2517378"/>
              <a:gd name="connsiteX122" fmla="*/ 928939 w 2541582"/>
              <a:gd name="connsiteY122" fmla="*/ 199283 h 2517378"/>
              <a:gd name="connsiteX123" fmla="*/ 2440810 w 2541582"/>
              <a:gd name="connsiteY123" fmla="*/ 1126826 h 2517378"/>
              <a:gd name="connsiteX124" fmla="*/ 2440811 w 2541582"/>
              <a:gd name="connsiteY124" fmla="*/ 1126826 h 2517378"/>
              <a:gd name="connsiteX125" fmla="*/ 2541582 w 2541582"/>
              <a:gd name="connsiteY125" fmla="*/ 1235115 h 2517378"/>
              <a:gd name="connsiteX126" fmla="*/ 2430197 w 2541582"/>
              <a:gd name="connsiteY126" fmla="*/ 1338769 h 2517378"/>
              <a:gd name="connsiteX127" fmla="*/ 2430194 w 2541582"/>
              <a:gd name="connsiteY127" fmla="*/ 1338772 h 2517378"/>
              <a:gd name="connsiteX128" fmla="*/ 2218033 w 2541582"/>
              <a:gd name="connsiteY128" fmla="*/ 1334138 h 2517378"/>
              <a:gd name="connsiteX129" fmla="*/ 2218033 w 2541582"/>
              <a:gd name="connsiteY129" fmla="*/ 1334138 h 2517378"/>
              <a:gd name="connsiteX130" fmla="*/ 2117261 w 2541582"/>
              <a:gd name="connsiteY130" fmla="*/ 1225849 h 2517378"/>
              <a:gd name="connsiteX131" fmla="*/ 2228647 w 2541582"/>
              <a:gd name="connsiteY131" fmla="*/ 1122195 h 2517378"/>
              <a:gd name="connsiteX132" fmla="*/ 2228649 w 2541582"/>
              <a:gd name="connsiteY132" fmla="*/ 1122192 h 2517378"/>
              <a:gd name="connsiteX133" fmla="*/ 2440810 w 2541582"/>
              <a:gd name="connsiteY133" fmla="*/ 1126826 h 2517378"/>
              <a:gd name="connsiteX134" fmla="*/ 1247133 w 2541582"/>
              <a:gd name="connsiteY134" fmla="*/ 0 h 2517378"/>
              <a:gd name="connsiteX135" fmla="*/ 1350787 w 2541582"/>
              <a:gd name="connsiteY135" fmla="*/ 111386 h 2517378"/>
              <a:gd name="connsiteX136" fmla="*/ 1350790 w 2541582"/>
              <a:gd name="connsiteY136" fmla="*/ 111388 h 2517378"/>
              <a:gd name="connsiteX137" fmla="*/ 1346157 w 2541582"/>
              <a:gd name="connsiteY137" fmla="*/ 323549 h 2517378"/>
              <a:gd name="connsiteX138" fmla="*/ 1346157 w 2541582"/>
              <a:gd name="connsiteY138" fmla="*/ 323550 h 2517378"/>
              <a:gd name="connsiteX139" fmla="*/ 1237868 w 2541582"/>
              <a:gd name="connsiteY139" fmla="*/ 424321 h 2517378"/>
              <a:gd name="connsiteX140" fmla="*/ 1134214 w 2541582"/>
              <a:gd name="connsiteY140" fmla="*/ 312935 h 2517378"/>
              <a:gd name="connsiteX141" fmla="*/ 1134211 w 2541582"/>
              <a:gd name="connsiteY141" fmla="*/ 312933 h 2517378"/>
              <a:gd name="connsiteX142" fmla="*/ 1138844 w 2541582"/>
              <a:gd name="connsiteY142" fmla="*/ 100772 h 2517378"/>
              <a:gd name="connsiteX143" fmla="*/ 1138844 w 2541582"/>
              <a:gd name="connsiteY143" fmla="*/ 100772 h 2517378"/>
              <a:gd name="connsiteX144" fmla="*/ 2416531 w 2541582"/>
              <a:gd name="connsiteY144" fmla="*/ 737089 h 2517378"/>
              <a:gd name="connsiteX145" fmla="*/ 2355484 w 2541582"/>
              <a:gd name="connsiteY145" fmla="*/ 876459 h 2517378"/>
              <a:gd name="connsiteX146" fmla="*/ 2355483 w 2541582"/>
              <a:gd name="connsiteY146" fmla="*/ 876463 h 2517378"/>
              <a:gd name="connsiteX147" fmla="*/ 2158938 w 2541582"/>
              <a:gd name="connsiteY147" fmla="*/ 956487 h 2517378"/>
              <a:gd name="connsiteX148" fmla="*/ 2158938 w 2541582"/>
              <a:gd name="connsiteY148" fmla="*/ 956487 h 2517378"/>
              <a:gd name="connsiteX149" fmla="*/ 2023442 w 2541582"/>
              <a:gd name="connsiteY149" fmla="*/ 897137 h 2517378"/>
              <a:gd name="connsiteX150" fmla="*/ 2084489 w 2541582"/>
              <a:gd name="connsiteY150" fmla="*/ 757767 h 2517378"/>
              <a:gd name="connsiteX151" fmla="*/ 2084490 w 2541582"/>
              <a:gd name="connsiteY151" fmla="*/ 757763 h 2517378"/>
              <a:gd name="connsiteX152" fmla="*/ 2281035 w 2541582"/>
              <a:gd name="connsiteY152" fmla="*/ 677739 h 2517378"/>
              <a:gd name="connsiteX153" fmla="*/ 2281035 w 2541582"/>
              <a:gd name="connsiteY153" fmla="*/ 677739 h 2517378"/>
              <a:gd name="connsiteX154" fmla="*/ 1695493 w 2541582"/>
              <a:gd name="connsiteY154" fmla="*/ 73601 h 2517378"/>
              <a:gd name="connsiteX155" fmla="*/ 1752857 w 2541582"/>
              <a:gd name="connsiteY155" fmla="*/ 214527 h 2517378"/>
              <a:gd name="connsiteX156" fmla="*/ 1752859 w 2541582"/>
              <a:gd name="connsiteY156" fmla="*/ 214531 h 2517378"/>
              <a:gd name="connsiteX157" fmla="*/ 1673216 w 2541582"/>
              <a:gd name="connsiteY157" fmla="*/ 411230 h 2517378"/>
              <a:gd name="connsiteX158" fmla="*/ 1673216 w 2541582"/>
              <a:gd name="connsiteY158" fmla="*/ 411230 h 2517378"/>
              <a:gd name="connsiteX159" fmla="*/ 1536207 w 2541582"/>
              <a:gd name="connsiteY159" fmla="*/ 466999 h 2517378"/>
              <a:gd name="connsiteX160" fmla="*/ 1478843 w 2541582"/>
              <a:gd name="connsiteY160" fmla="*/ 326073 h 2517378"/>
              <a:gd name="connsiteX161" fmla="*/ 1478841 w 2541582"/>
              <a:gd name="connsiteY161" fmla="*/ 326069 h 2517378"/>
              <a:gd name="connsiteX162" fmla="*/ 1558484 w 2541582"/>
              <a:gd name="connsiteY162" fmla="*/ 129370 h 2517378"/>
              <a:gd name="connsiteX163" fmla="*/ 1558485 w 2541582"/>
              <a:gd name="connsiteY163" fmla="*/ 129370 h 2517378"/>
              <a:gd name="connsiteX164" fmla="*/ 2119183 w 2541582"/>
              <a:gd name="connsiteY164" fmla="*/ 312304 h 2517378"/>
              <a:gd name="connsiteX165" fmla="*/ 2119184 w 2541582"/>
              <a:gd name="connsiteY165" fmla="*/ 464458 h 2517378"/>
              <a:gd name="connsiteX166" fmla="*/ 2119184 w 2541582"/>
              <a:gd name="connsiteY166" fmla="*/ 464462 h 2517378"/>
              <a:gd name="connsiteX167" fmla="*/ 1971260 w 2541582"/>
              <a:gd name="connsiteY167" fmla="*/ 616620 h 2517378"/>
              <a:gd name="connsiteX168" fmla="*/ 1971259 w 2541582"/>
              <a:gd name="connsiteY168" fmla="*/ 616620 h 2517378"/>
              <a:gd name="connsiteX169" fmla="*/ 1823335 w 2541582"/>
              <a:gd name="connsiteY169" fmla="*/ 616620 h 2517378"/>
              <a:gd name="connsiteX170" fmla="*/ 1823335 w 2541582"/>
              <a:gd name="connsiteY170" fmla="*/ 464466 h 2517378"/>
              <a:gd name="connsiteX171" fmla="*/ 1823335 w 2541582"/>
              <a:gd name="connsiteY171" fmla="*/ 464462 h 2517378"/>
              <a:gd name="connsiteX172" fmla="*/ 1971259 w 2541582"/>
              <a:gd name="connsiteY172" fmla="*/ 312304 h 2517378"/>
              <a:gd name="connsiteX173" fmla="*/ 1971260 w 2541582"/>
              <a:gd name="connsiteY173" fmla="*/ 312304 h 25173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Lst>
            <a:rect l="l" t="t" r="r" b="b"/>
            <a:pathLst>
              <a:path w="2541582" h="2517378">
                <a:moveTo>
                  <a:pt x="721625" y="1903961"/>
                </a:moveTo>
                <a:lnTo>
                  <a:pt x="721626" y="2056116"/>
                </a:lnTo>
                <a:lnTo>
                  <a:pt x="721626" y="2056119"/>
                </a:lnTo>
                <a:cubicBezTo>
                  <a:pt x="721626" y="2140154"/>
                  <a:pt x="655398" y="2208277"/>
                  <a:pt x="573702" y="2208278"/>
                </a:cubicBezTo>
                <a:lnTo>
                  <a:pt x="573701" y="2208277"/>
                </a:lnTo>
                <a:lnTo>
                  <a:pt x="425777" y="2208278"/>
                </a:lnTo>
                <a:lnTo>
                  <a:pt x="425777" y="2056123"/>
                </a:lnTo>
                <a:lnTo>
                  <a:pt x="425777" y="2056120"/>
                </a:lnTo>
                <a:cubicBezTo>
                  <a:pt x="425777" y="1972085"/>
                  <a:pt x="492005" y="1903962"/>
                  <a:pt x="573701" y="1903962"/>
                </a:cubicBezTo>
                <a:lnTo>
                  <a:pt x="573702" y="1903962"/>
                </a:lnTo>
                <a:close/>
                <a:moveTo>
                  <a:pt x="519727" y="1624038"/>
                </a:moveTo>
                <a:lnTo>
                  <a:pt x="458680" y="1763409"/>
                </a:lnTo>
                <a:lnTo>
                  <a:pt x="458678" y="1763413"/>
                </a:lnTo>
                <a:cubicBezTo>
                  <a:pt x="424962" y="1840387"/>
                  <a:pt x="336966" y="1876215"/>
                  <a:pt x="262134" y="1843437"/>
                </a:cubicBezTo>
                <a:lnTo>
                  <a:pt x="262133" y="1843437"/>
                </a:lnTo>
                <a:lnTo>
                  <a:pt x="126637" y="1784087"/>
                </a:lnTo>
                <a:lnTo>
                  <a:pt x="187684" y="1644716"/>
                </a:lnTo>
                <a:lnTo>
                  <a:pt x="187686" y="1644713"/>
                </a:lnTo>
                <a:cubicBezTo>
                  <a:pt x="221402" y="1567739"/>
                  <a:pt x="309398" y="1531910"/>
                  <a:pt x="384230" y="1564688"/>
                </a:cubicBezTo>
                <a:lnTo>
                  <a:pt x="384231" y="1564689"/>
                </a:lnTo>
                <a:close/>
                <a:moveTo>
                  <a:pt x="1009078" y="2051827"/>
                </a:moveTo>
                <a:lnTo>
                  <a:pt x="1066442" y="2192754"/>
                </a:lnTo>
                <a:lnTo>
                  <a:pt x="1066444" y="2192757"/>
                </a:lnTo>
                <a:cubicBezTo>
                  <a:pt x="1098126" y="2270591"/>
                  <a:pt x="1062469" y="2358656"/>
                  <a:pt x="986801" y="2389456"/>
                </a:cubicBezTo>
                <a:lnTo>
                  <a:pt x="986801" y="2389457"/>
                </a:lnTo>
                <a:lnTo>
                  <a:pt x="849793" y="2445226"/>
                </a:lnTo>
                <a:lnTo>
                  <a:pt x="792428" y="2304299"/>
                </a:lnTo>
                <a:lnTo>
                  <a:pt x="792426" y="2304296"/>
                </a:lnTo>
                <a:cubicBezTo>
                  <a:pt x="760744" y="2226462"/>
                  <a:pt x="796402" y="2138397"/>
                  <a:pt x="872069" y="2107597"/>
                </a:cubicBezTo>
                <a:lnTo>
                  <a:pt x="872070" y="2107597"/>
                </a:lnTo>
                <a:close/>
                <a:moveTo>
                  <a:pt x="1307640" y="2093057"/>
                </a:moveTo>
                <a:lnTo>
                  <a:pt x="1411294" y="2204442"/>
                </a:lnTo>
                <a:lnTo>
                  <a:pt x="1411296" y="2204445"/>
                </a:lnTo>
                <a:cubicBezTo>
                  <a:pt x="1468544" y="2265963"/>
                  <a:pt x="1466470" y="2360951"/>
                  <a:pt x="1406663" y="2416606"/>
                </a:cubicBezTo>
                <a:lnTo>
                  <a:pt x="1406663" y="2416606"/>
                </a:lnTo>
                <a:lnTo>
                  <a:pt x="1298374" y="2517378"/>
                </a:lnTo>
                <a:lnTo>
                  <a:pt x="1194720" y="2405992"/>
                </a:lnTo>
                <a:lnTo>
                  <a:pt x="1194718" y="2405989"/>
                </a:lnTo>
                <a:cubicBezTo>
                  <a:pt x="1137470" y="2344471"/>
                  <a:pt x="1139544" y="2249484"/>
                  <a:pt x="1199351" y="2193829"/>
                </a:cubicBezTo>
                <a:lnTo>
                  <a:pt x="1199351" y="2193828"/>
                </a:lnTo>
                <a:close/>
                <a:moveTo>
                  <a:pt x="323549" y="1188033"/>
                </a:moveTo>
                <a:lnTo>
                  <a:pt x="323549" y="1188033"/>
                </a:lnTo>
                <a:lnTo>
                  <a:pt x="424321" y="1296322"/>
                </a:lnTo>
                <a:lnTo>
                  <a:pt x="312935" y="1399976"/>
                </a:lnTo>
                <a:lnTo>
                  <a:pt x="312933" y="1399979"/>
                </a:lnTo>
                <a:cubicBezTo>
                  <a:pt x="251414" y="1457227"/>
                  <a:pt x="156427" y="1455152"/>
                  <a:pt x="100772" y="1395346"/>
                </a:cubicBezTo>
                <a:lnTo>
                  <a:pt x="100771" y="1395345"/>
                </a:lnTo>
                <a:lnTo>
                  <a:pt x="0" y="1287056"/>
                </a:lnTo>
                <a:lnTo>
                  <a:pt x="111385" y="1183403"/>
                </a:lnTo>
                <a:lnTo>
                  <a:pt x="111388" y="1183400"/>
                </a:lnTo>
                <a:cubicBezTo>
                  <a:pt x="172906" y="1126152"/>
                  <a:pt x="267894" y="1128226"/>
                  <a:pt x="323549" y="1188033"/>
                </a:cubicBezTo>
                <a:close/>
                <a:moveTo>
                  <a:pt x="1826146" y="2118023"/>
                </a:moveTo>
                <a:cubicBezTo>
                  <a:pt x="1867160" y="2160504"/>
                  <a:pt x="1881167" y="2224032"/>
                  <a:pt x="1856583" y="2280157"/>
                </a:cubicBezTo>
                <a:lnTo>
                  <a:pt x="1856583" y="2280157"/>
                </a:lnTo>
                <a:lnTo>
                  <a:pt x="1797234" y="2415653"/>
                </a:lnTo>
                <a:lnTo>
                  <a:pt x="1657863" y="2354606"/>
                </a:lnTo>
                <a:lnTo>
                  <a:pt x="1657859" y="2354605"/>
                </a:lnTo>
                <a:cubicBezTo>
                  <a:pt x="1580885" y="2320889"/>
                  <a:pt x="1545057" y="2232893"/>
                  <a:pt x="1577835" y="2158060"/>
                </a:cubicBezTo>
                <a:lnTo>
                  <a:pt x="1577835" y="2158060"/>
                </a:lnTo>
                <a:lnTo>
                  <a:pt x="1637185" y="2022564"/>
                </a:lnTo>
                <a:lnTo>
                  <a:pt x="1776555" y="2083611"/>
                </a:lnTo>
                <a:lnTo>
                  <a:pt x="1776559" y="2083612"/>
                </a:lnTo>
                <a:cubicBezTo>
                  <a:pt x="1795803" y="2092041"/>
                  <a:pt x="1812474" y="2103863"/>
                  <a:pt x="1826146" y="2118023"/>
                </a:cubicBezTo>
                <a:close/>
                <a:moveTo>
                  <a:pt x="377553" y="807593"/>
                </a:moveTo>
                <a:cubicBezTo>
                  <a:pt x="391356" y="821081"/>
                  <a:pt x="402635" y="837498"/>
                  <a:pt x="410335" y="856415"/>
                </a:cubicBezTo>
                <a:lnTo>
                  <a:pt x="410336" y="856415"/>
                </a:lnTo>
                <a:lnTo>
                  <a:pt x="466105" y="993423"/>
                </a:lnTo>
                <a:lnTo>
                  <a:pt x="325178" y="1050787"/>
                </a:lnTo>
                <a:lnTo>
                  <a:pt x="325175" y="1050789"/>
                </a:lnTo>
                <a:cubicBezTo>
                  <a:pt x="247342" y="1082471"/>
                  <a:pt x="159276" y="1046814"/>
                  <a:pt x="128476" y="971146"/>
                </a:cubicBezTo>
                <a:lnTo>
                  <a:pt x="128476" y="971146"/>
                </a:lnTo>
                <a:lnTo>
                  <a:pt x="72706" y="834138"/>
                </a:lnTo>
                <a:lnTo>
                  <a:pt x="213633" y="776773"/>
                </a:lnTo>
                <a:lnTo>
                  <a:pt x="213636" y="776772"/>
                </a:lnTo>
                <a:cubicBezTo>
                  <a:pt x="272011" y="753010"/>
                  <a:pt x="336142" y="767127"/>
                  <a:pt x="377553" y="807593"/>
                </a:cubicBezTo>
                <a:close/>
                <a:moveTo>
                  <a:pt x="2166386" y="1843414"/>
                </a:moveTo>
                <a:cubicBezTo>
                  <a:pt x="2193921" y="1870183"/>
                  <a:pt x="2210952" y="1907164"/>
                  <a:pt x="2210952" y="1948012"/>
                </a:cubicBezTo>
                <a:lnTo>
                  <a:pt x="2210952" y="1948012"/>
                </a:lnTo>
                <a:lnTo>
                  <a:pt x="2210952" y="2095936"/>
                </a:lnTo>
                <a:lnTo>
                  <a:pt x="2058798" y="2095936"/>
                </a:lnTo>
                <a:lnTo>
                  <a:pt x="2058794" y="2095937"/>
                </a:lnTo>
                <a:cubicBezTo>
                  <a:pt x="1974759" y="2095937"/>
                  <a:pt x="1906636" y="2029709"/>
                  <a:pt x="1906636" y="1948012"/>
                </a:cubicBezTo>
                <a:lnTo>
                  <a:pt x="1906636" y="1948012"/>
                </a:lnTo>
                <a:lnTo>
                  <a:pt x="1906636" y="1800088"/>
                </a:lnTo>
                <a:lnTo>
                  <a:pt x="2058790" y="1800088"/>
                </a:lnTo>
                <a:lnTo>
                  <a:pt x="2058794" y="1800088"/>
                </a:lnTo>
                <a:cubicBezTo>
                  <a:pt x="2100811" y="1800088"/>
                  <a:pt x="2138851" y="1816645"/>
                  <a:pt x="2166386" y="1843414"/>
                </a:cubicBezTo>
                <a:close/>
                <a:moveTo>
                  <a:pt x="592924" y="461833"/>
                </a:moveTo>
                <a:cubicBezTo>
                  <a:pt x="620460" y="488602"/>
                  <a:pt x="637491" y="525583"/>
                  <a:pt x="637491" y="566431"/>
                </a:cubicBezTo>
                <a:lnTo>
                  <a:pt x="637490" y="566431"/>
                </a:lnTo>
                <a:lnTo>
                  <a:pt x="637490" y="714355"/>
                </a:lnTo>
                <a:lnTo>
                  <a:pt x="485336" y="714355"/>
                </a:lnTo>
                <a:lnTo>
                  <a:pt x="485333" y="714356"/>
                </a:lnTo>
                <a:cubicBezTo>
                  <a:pt x="401298" y="714356"/>
                  <a:pt x="333174" y="648128"/>
                  <a:pt x="333174" y="566431"/>
                </a:cubicBezTo>
                <a:lnTo>
                  <a:pt x="333175" y="566431"/>
                </a:lnTo>
                <a:lnTo>
                  <a:pt x="333175" y="418507"/>
                </a:lnTo>
                <a:lnTo>
                  <a:pt x="485329" y="418507"/>
                </a:lnTo>
                <a:lnTo>
                  <a:pt x="485333" y="418507"/>
                </a:lnTo>
                <a:cubicBezTo>
                  <a:pt x="527350" y="418507"/>
                  <a:pt x="565389" y="435064"/>
                  <a:pt x="592924" y="461833"/>
                </a:cubicBezTo>
                <a:close/>
                <a:moveTo>
                  <a:pt x="2378656" y="1501946"/>
                </a:moveTo>
                <a:cubicBezTo>
                  <a:pt x="2392459" y="1515435"/>
                  <a:pt x="2403738" y="1531851"/>
                  <a:pt x="2411439" y="1550768"/>
                </a:cubicBezTo>
                <a:lnTo>
                  <a:pt x="2411439" y="1550768"/>
                </a:lnTo>
                <a:lnTo>
                  <a:pt x="2467208" y="1687776"/>
                </a:lnTo>
                <a:lnTo>
                  <a:pt x="2326282" y="1745141"/>
                </a:lnTo>
                <a:lnTo>
                  <a:pt x="2326278" y="1745142"/>
                </a:lnTo>
                <a:cubicBezTo>
                  <a:pt x="2248445" y="1776824"/>
                  <a:pt x="2160379" y="1741167"/>
                  <a:pt x="2129579" y="1665499"/>
                </a:cubicBezTo>
                <a:lnTo>
                  <a:pt x="2129579" y="1665499"/>
                </a:lnTo>
                <a:lnTo>
                  <a:pt x="2073809" y="1528491"/>
                </a:lnTo>
                <a:lnTo>
                  <a:pt x="2214736" y="1471127"/>
                </a:lnTo>
                <a:lnTo>
                  <a:pt x="2214739" y="1471125"/>
                </a:lnTo>
                <a:cubicBezTo>
                  <a:pt x="2273114" y="1447363"/>
                  <a:pt x="2337245" y="1461480"/>
                  <a:pt x="2378656" y="1501946"/>
                </a:cubicBezTo>
                <a:close/>
                <a:moveTo>
                  <a:pt x="928939" y="199283"/>
                </a:moveTo>
                <a:cubicBezTo>
                  <a:pt x="969953" y="241764"/>
                  <a:pt x="983960" y="305292"/>
                  <a:pt x="959377" y="361416"/>
                </a:cubicBezTo>
                <a:lnTo>
                  <a:pt x="959376" y="361417"/>
                </a:lnTo>
                <a:lnTo>
                  <a:pt x="900027" y="496913"/>
                </a:lnTo>
                <a:lnTo>
                  <a:pt x="760656" y="435866"/>
                </a:lnTo>
                <a:lnTo>
                  <a:pt x="760652" y="435865"/>
                </a:lnTo>
                <a:cubicBezTo>
                  <a:pt x="683678" y="402148"/>
                  <a:pt x="647850" y="314153"/>
                  <a:pt x="680628" y="239320"/>
                </a:cubicBezTo>
                <a:lnTo>
                  <a:pt x="680628" y="239320"/>
                </a:lnTo>
                <a:lnTo>
                  <a:pt x="739978" y="103824"/>
                </a:lnTo>
                <a:lnTo>
                  <a:pt x="879349" y="164871"/>
                </a:lnTo>
                <a:lnTo>
                  <a:pt x="879352" y="164872"/>
                </a:lnTo>
                <a:cubicBezTo>
                  <a:pt x="898596" y="173301"/>
                  <a:pt x="915268" y="185122"/>
                  <a:pt x="928939" y="199283"/>
                </a:cubicBezTo>
                <a:close/>
                <a:moveTo>
                  <a:pt x="2440810" y="1126826"/>
                </a:moveTo>
                <a:lnTo>
                  <a:pt x="2440811" y="1126826"/>
                </a:lnTo>
                <a:lnTo>
                  <a:pt x="2541582" y="1235115"/>
                </a:lnTo>
                <a:lnTo>
                  <a:pt x="2430197" y="1338769"/>
                </a:lnTo>
                <a:lnTo>
                  <a:pt x="2430194" y="1338772"/>
                </a:lnTo>
                <a:cubicBezTo>
                  <a:pt x="2368676" y="1396019"/>
                  <a:pt x="2273688" y="1393945"/>
                  <a:pt x="2218033" y="1334138"/>
                </a:cubicBezTo>
                <a:lnTo>
                  <a:pt x="2218033" y="1334138"/>
                </a:lnTo>
                <a:lnTo>
                  <a:pt x="2117261" y="1225849"/>
                </a:lnTo>
                <a:lnTo>
                  <a:pt x="2228647" y="1122195"/>
                </a:lnTo>
                <a:lnTo>
                  <a:pt x="2228649" y="1122192"/>
                </a:lnTo>
                <a:cubicBezTo>
                  <a:pt x="2290168" y="1064945"/>
                  <a:pt x="2385155" y="1067019"/>
                  <a:pt x="2440810" y="1126826"/>
                </a:cubicBezTo>
                <a:close/>
                <a:moveTo>
                  <a:pt x="1247133" y="0"/>
                </a:moveTo>
                <a:lnTo>
                  <a:pt x="1350787" y="111386"/>
                </a:lnTo>
                <a:lnTo>
                  <a:pt x="1350790" y="111388"/>
                </a:lnTo>
                <a:cubicBezTo>
                  <a:pt x="1408038" y="172907"/>
                  <a:pt x="1405963" y="267894"/>
                  <a:pt x="1346157" y="323549"/>
                </a:cubicBezTo>
                <a:lnTo>
                  <a:pt x="1346157" y="323550"/>
                </a:lnTo>
                <a:lnTo>
                  <a:pt x="1237868" y="424321"/>
                </a:lnTo>
                <a:lnTo>
                  <a:pt x="1134214" y="312935"/>
                </a:lnTo>
                <a:lnTo>
                  <a:pt x="1134211" y="312933"/>
                </a:lnTo>
                <a:cubicBezTo>
                  <a:pt x="1076963" y="251415"/>
                  <a:pt x="1079038" y="156427"/>
                  <a:pt x="1138844" y="100772"/>
                </a:cubicBezTo>
                <a:lnTo>
                  <a:pt x="1138844" y="100772"/>
                </a:lnTo>
                <a:close/>
                <a:moveTo>
                  <a:pt x="2416531" y="737089"/>
                </a:moveTo>
                <a:lnTo>
                  <a:pt x="2355484" y="876459"/>
                </a:lnTo>
                <a:lnTo>
                  <a:pt x="2355483" y="876463"/>
                </a:lnTo>
                <a:cubicBezTo>
                  <a:pt x="2321766" y="953437"/>
                  <a:pt x="2233771" y="989265"/>
                  <a:pt x="2158938" y="956487"/>
                </a:cubicBezTo>
                <a:lnTo>
                  <a:pt x="2158938" y="956487"/>
                </a:lnTo>
                <a:lnTo>
                  <a:pt x="2023442" y="897137"/>
                </a:lnTo>
                <a:lnTo>
                  <a:pt x="2084489" y="757767"/>
                </a:lnTo>
                <a:lnTo>
                  <a:pt x="2084490" y="757763"/>
                </a:lnTo>
                <a:cubicBezTo>
                  <a:pt x="2118206" y="680789"/>
                  <a:pt x="2206202" y="644961"/>
                  <a:pt x="2281035" y="677739"/>
                </a:cubicBezTo>
                <a:lnTo>
                  <a:pt x="2281035" y="677739"/>
                </a:lnTo>
                <a:close/>
                <a:moveTo>
                  <a:pt x="1695493" y="73601"/>
                </a:moveTo>
                <a:lnTo>
                  <a:pt x="1752857" y="214527"/>
                </a:lnTo>
                <a:lnTo>
                  <a:pt x="1752859" y="214531"/>
                </a:lnTo>
                <a:cubicBezTo>
                  <a:pt x="1784541" y="292364"/>
                  <a:pt x="1748884" y="380429"/>
                  <a:pt x="1673216" y="411230"/>
                </a:cubicBezTo>
                <a:lnTo>
                  <a:pt x="1673216" y="411230"/>
                </a:lnTo>
                <a:lnTo>
                  <a:pt x="1536207" y="466999"/>
                </a:lnTo>
                <a:lnTo>
                  <a:pt x="1478843" y="326073"/>
                </a:lnTo>
                <a:lnTo>
                  <a:pt x="1478841" y="326069"/>
                </a:lnTo>
                <a:cubicBezTo>
                  <a:pt x="1447159" y="248236"/>
                  <a:pt x="1482817" y="160171"/>
                  <a:pt x="1558484" y="129370"/>
                </a:cubicBezTo>
                <a:lnTo>
                  <a:pt x="1558485" y="129370"/>
                </a:lnTo>
                <a:close/>
                <a:moveTo>
                  <a:pt x="2119183" y="312304"/>
                </a:moveTo>
                <a:lnTo>
                  <a:pt x="2119184" y="464458"/>
                </a:lnTo>
                <a:lnTo>
                  <a:pt x="2119184" y="464462"/>
                </a:lnTo>
                <a:cubicBezTo>
                  <a:pt x="2119184" y="548497"/>
                  <a:pt x="2052956" y="616620"/>
                  <a:pt x="1971260" y="616620"/>
                </a:cubicBezTo>
                <a:lnTo>
                  <a:pt x="1971259" y="616620"/>
                </a:lnTo>
                <a:lnTo>
                  <a:pt x="1823335" y="616620"/>
                </a:lnTo>
                <a:lnTo>
                  <a:pt x="1823335" y="464466"/>
                </a:lnTo>
                <a:lnTo>
                  <a:pt x="1823335" y="464462"/>
                </a:lnTo>
                <a:cubicBezTo>
                  <a:pt x="1823335" y="380427"/>
                  <a:pt x="1889563" y="312304"/>
                  <a:pt x="1971259" y="312304"/>
                </a:cubicBezTo>
                <a:lnTo>
                  <a:pt x="1971260" y="312304"/>
                </a:lnTo>
                <a:close/>
              </a:path>
            </a:pathLst>
          </a:custGeom>
          <a:gradFill>
            <a:gsLst>
              <a:gs pos="0">
                <a:sysClr val="window" lastClr="FFFFFF">
                  <a:lumMod val="85000"/>
                </a:sysClr>
              </a:gs>
              <a:gs pos="100000">
                <a:sysClr val="window" lastClr="FFFFFF">
                  <a:lumMod val="50000"/>
                </a:sysClr>
              </a:gs>
            </a:gsLst>
            <a:lin ang="5400000" scaled="1"/>
          </a:gradFill>
          <a:ln w="12700" cap="flat" cmpd="sng" algn="ctr">
            <a:noFill/>
            <a:prstDash val="solid"/>
            <a:miter lim="800000"/>
          </a:ln>
          <a:effectLst/>
        </xdr:spPr>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92" name="Sun">
            <a:extLst>
              <a:ext uri="{FF2B5EF4-FFF2-40B4-BE49-F238E27FC236}">
                <a16:creationId xmlns:a16="http://schemas.microsoft.com/office/drawing/2014/main" id="{00000000-0008-0000-0600-00005C000000}"/>
              </a:ext>
            </a:extLst>
          </xdr:cNvPr>
          <xdr:cNvSpPr/>
        </xdr:nvSpPr>
        <xdr:spPr>
          <a:xfrm rot="18324177">
            <a:off x="14829219" y="190232"/>
            <a:ext cx="942318" cy="930488"/>
          </a:xfrm>
          <a:prstGeom prst="ellipse">
            <a:avLst/>
          </a:prstGeom>
          <a:gradFill>
            <a:gsLst>
              <a:gs pos="0">
                <a:sysClr val="window" lastClr="FFFFFF">
                  <a:lumMod val="85000"/>
                </a:sysClr>
              </a:gs>
              <a:gs pos="100000">
                <a:sysClr val="window" lastClr="FFFFFF">
                  <a:lumMod val="50000"/>
                </a:sysClr>
              </a:gs>
            </a:gsLst>
            <a:lin ang="5400000" scaled="1"/>
          </a:gradFill>
          <a:ln w="12700" cap="flat" cmpd="sng" algn="ctr">
            <a:noFill/>
            <a:prstDash val="solid"/>
            <a:miter lim="800000"/>
          </a:ln>
          <a:effectLst/>
        </xdr:spPr>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ru-RU" sz="1800" b="0" i="0" u="none" strike="noStrike" kern="1200" cap="none" spc="0" normalizeH="0" baseline="0" noProof="0">
              <a:ln>
                <a:noFill/>
              </a:ln>
              <a:solidFill>
                <a:sysClr val="window" lastClr="FFFFFF"/>
              </a:solidFill>
              <a:effectLst/>
              <a:uLnTx/>
              <a:uFillTx/>
              <a:latin typeface="Calibri" panose="020F0502020204030204"/>
              <a:ea typeface="+mn-ea"/>
              <a:cs typeface="+mn-cs"/>
            </a:endParaRPr>
          </a:p>
        </xdr:txBody>
      </xdr:sp>
    </xdr:grpSp>
    <xdr:clientData/>
  </xdr:twoCellAnchor>
  <xdr:twoCellAnchor>
    <xdr:from>
      <xdr:col>18</xdr:col>
      <xdr:colOff>678631</xdr:colOff>
      <xdr:row>1</xdr:row>
      <xdr:rowOff>20103</xdr:rowOff>
    </xdr:from>
    <xdr:to>
      <xdr:col>20</xdr:col>
      <xdr:colOff>716063</xdr:colOff>
      <xdr:row>4</xdr:row>
      <xdr:rowOff>26635</xdr:rowOff>
    </xdr:to>
    <xdr:sp macro="" textlink="Processing!I1">
      <xdr:nvSpPr>
        <xdr:cNvPr id="93" name="TextBox 92">
          <a:extLst>
            <a:ext uri="{FF2B5EF4-FFF2-40B4-BE49-F238E27FC236}">
              <a16:creationId xmlns:a16="http://schemas.microsoft.com/office/drawing/2014/main" id="{00000000-0008-0000-0600-00005D000000}"/>
            </a:ext>
          </a:extLst>
        </xdr:cNvPr>
        <xdr:cNvSpPr txBox="1"/>
      </xdr:nvSpPr>
      <xdr:spPr>
        <a:xfrm>
          <a:off x="15537631" y="223303"/>
          <a:ext cx="1688432" cy="616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r" defTabSz="914400" eaLnBrk="1" fontAlgn="auto" latinLnBrk="0" hangingPunct="1">
            <a:lnSpc>
              <a:spcPct val="100000"/>
            </a:lnSpc>
            <a:spcBef>
              <a:spcPts val="0"/>
            </a:spcBef>
            <a:spcAft>
              <a:spcPts val="0"/>
            </a:spcAft>
            <a:buClrTx/>
            <a:buSzTx/>
            <a:buFontTx/>
            <a:buNone/>
            <a:tabLst/>
            <a:defRPr/>
          </a:pPr>
          <a:fld id="{616529F7-6C3A-9D4C-98BF-28707077E6C5}" type="TxLink">
            <a:rPr lang="en-US" sz="1200" b="0" i="0" u="none" strike="noStrike" noProof="0">
              <a:solidFill>
                <a:srgbClr val="BFCDE4"/>
              </a:solidFill>
              <a:latin typeface="Calibri"/>
              <a:ea typeface="+mn-ea"/>
              <a:cs typeface="Calibri"/>
            </a:rPr>
            <a:pPr marL="0" marR="0" lvl="0" indent="0" algn="r" defTabSz="914400" eaLnBrk="1" fontAlgn="auto" latinLnBrk="0" hangingPunct="1">
              <a:lnSpc>
                <a:spcPct val="100000"/>
              </a:lnSpc>
              <a:spcBef>
                <a:spcPts val="0"/>
              </a:spcBef>
              <a:spcAft>
                <a:spcPts val="0"/>
              </a:spcAft>
              <a:buClrTx/>
              <a:buSzTx/>
              <a:buFontTx/>
              <a:buNone/>
              <a:tabLst/>
              <a:defRPr/>
            </a:pPr>
            <a:t>Today: 1 Settembre 2025</a:t>
          </a:fld>
          <a:endParaRPr lang="ru-RU" sz="1200" b="0" i="0" u="none" strike="noStrike" noProof="0">
            <a:solidFill>
              <a:srgbClr val="BFCDE4"/>
            </a:solidFill>
            <a:latin typeface="Calibri"/>
            <a:ea typeface="+mn-ea"/>
            <a:cs typeface="Calibri"/>
          </a:endParaRPr>
        </a:p>
      </xdr:txBody>
    </xdr:sp>
    <xdr:clientData/>
  </xdr:twoCellAnchor>
  <xdr:twoCellAnchor editAs="oneCell">
    <xdr:from>
      <xdr:col>3</xdr:col>
      <xdr:colOff>438524</xdr:colOff>
      <xdr:row>6</xdr:row>
      <xdr:rowOff>4490</xdr:rowOff>
    </xdr:from>
    <xdr:to>
      <xdr:col>17</xdr:col>
      <xdr:colOff>284502</xdr:colOff>
      <xdr:row>8</xdr:row>
      <xdr:rowOff>20162</xdr:rowOff>
    </xdr:to>
    <mc:AlternateContent xmlns:mc="http://schemas.openxmlformats.org/markup-compatibility/2006" xmlns:a14="http://schemas.microsoft.com/office/drawing/2010/main">
      <mc:Choice Requires="a14">
        <xdr:graphicFrame macro="">
          <xdr:nvGraphicFramePr>
            <xdr:cNvPr id="94" name="Mese 15">
              <a:extLst>
                <a:ext uri="{FF2B5EF4-FFF2-40B4-BE49-F238E27FC236}">
                  <a16:creationId xmlns:a16="http://schemas.microsoft.com/office/drawing/2014/main" id="{00000000-0008-0000-0600-00005E000000}"/>
                </a:ext>
              </a:extLst>
            </xdr:cNvPr>
            <xdr:cNvGraphicFramePr/>
          </xdr:nvGraphicFramePr>
          <xdr:xfrm>
            <a:off x="0" y="0"/>
            <a:ext cx="0" cy="0"/>
          </xdr:xfrm>
          <a:graphic>
            <a:graphicData uri="http://schemas.microsoft.com/office/drawing/2010/slicer">
              <sle:slicer xmlns:sle="http://schemas.microsoft.com/office/drawing/2010/slicer" name="Mese 15"/>
            </a:graphicData>
          </a:graphic>
        </xdr:graphicFrame>
      </mc:Choice>
      <mc:Fallback xmlns="">
        <xdr:sp macro="" textlink="">
          <xdr:nvSpPr>
            <xdr:cNvPr id="0" name=""/>
            <xdr:cNvSpPr>
              <a:spLocks noTextEdit="1"/>
            </xdr:cNvSpPr>
          </xdr:nvSpPr>
          <xdr:spPr>
            <a:xfrm>
              <a:off x="2915024" y="1223690"/>
              <a:ext cx="11402978" cy="4220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446986</xdr:colOff>
      <xdr:row>6</xdr:row>
      <xdr:rowOff>4926</xdr:rowOff>
    </xdr:from>
    <xdr:to>
      <xdr:col>22</xdr:col>
      <xdr:colOff>130736</xdr:colOff>
      <xdr:row>8</xdr:row>
      <xdr:rowOff>19726</xdr:rowOff>
    </xdr:to>
    <mc:AlternateContent xmlns:mc="http://schemas.openxmlformats.org/markup-compatibility/2006" xmlns:a14="http://schemas.microsoft.com/office/drawing/2010/main">
      <mc:Choice Requires="a14">
        <xdr:graphicFrame macro="">
          <xdr:nvGraphicFramePr>
            <xdr:cNvPr id="95" name="Anno 7">
              <a:extLst>
                <a:ext uri="{FF2B5EF4-FFF2-40B4-BE49-F238E27FC236}">
                  <a16:creationId xmlns:a16="http://schemas.microsoft.com/office/drawing/2014/main" id="{00000000-0008-0000-0600-00005F000000}"/>
                </a:ext>
              </a:extLst>
            </xdr:cNvPr>
            <xdr:cNvGraphicFramePr/>
          </xdr:nvGraphicFramePr>
          <xdr:xfrm>
            <a:off x="0" y="0"/>
            <a:ext cx="0" cy="0"/>
          </xdr:xfrm>
          <a:graphic>
            <a:graphicData uri="http://schemas.microsoft.com/office/drawing/2010/slicer">
              <sle:slicer xmlns:sle="http://schemas.microsoft.com/office/drawing/2010/slicer" name="Anno 7"/>
            </a:graphicData>
          </a:graphic>
        </xdr:graphicFrame>
      </mc:Choice>
      <mc:Fallback xmlns="">
        <xdr:sp macro="" textlink="">
          <xdr:nvSpPr>
            <xdr:cNvPr id="0" name=""/>
            <xdr:cNvSpPr>
              <a:spLocks noTextEdit="1"/>
            </xdr:cNvSpPr>
          </xdr:nvSpPr>
          <xdr:spPr>
            <a:xfrm>
              <a:off x="15305986" y="1224126"/>
              <a:ext cx="2985750" cy="421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15</xdr:row>
          <xdr:rowOff>0</xdr:rowOff>
        </xdr:from>
        <xdr:to>
          <xdr:col>2</xdr:col>
          <xdr:colOff>1181100</xdr:colOff>
          <xdr:row>18</xdr:row>
          <xdr:rowOff>0</xdr:rowOff>
        </xdr:to>
        <xdr:sp macro="" textlink="">
          <xdr:nvSpPr>
            <xdr:cNvPr id="9218" name="Add Row"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it-IT" sz="1800" b="0" i="0" u="none" strike="noStrike" baseline="0">
                  <a:solidFill>
                    <a:srgbClr val="000000"/>
                  </a:solidFill>
                  <a:latin typeface="Calibri"/>
                  <a:ea typeface="Calibri"/>
                  <a:cs typeface="Calibri"/>
                </a:rPr>
                <a:t>Add Row</a:t>
              </a:r>
            </a:p>
          </xdr:txBody>
        </xdr:sp>
        <xdr:clientData fPrintsWithSheet="0"/>
      </xdr:twoCellAnchor>
    </mc:Choice>
    <mc:Fallback/>
  </mc:AlternateContent>
  <xdr:twoCellAnchor>
    <xdr:from>
      <xdr:col>15</xdr:col>
      <xdr:colOff>79375</xdr:colOff>
      <xdr:row>9</xdr:row>
      <xdr:rowOff>47625</xdr:rowOff>
    </xdr:from>
    <xdr:to>
      <xdr:col>15</xdr:col>
      <xdr:colOff>1339375</xdr:colOff>
      <xdr:row>10</xdr:row>
      <xdr:rowOff>145125</xdr:rowOff>
    </xdr:to>
    <xdr:sp macro="" textlink="Processing!M508">
      <xdr:nvSpPr>
        <xdr:cNvPr id="8" name="TextBox 7">
          <a:hlinkClick xmlns:r="http://schemas.openxmlformats.org/officeDocument/2006/relationships" r:id="rId1"/>
          <a:extLst>
            <a:ext uri="{FF2B5EF4-FFF2-40B4-BE49-F238E27FC236}">
              <a16:creationId xmlns:a16="http://schemas.microsoft.com/office/drawing/2014/main" id="{00000000-0008-0000-0700-000008000000}"/>
            </a:ext>
          </a:extLst>
        </xdr:cNvPr>
        <xdr:cNvSpPr txBox="1"/>
      </xdr:nvSpPr>
      <xdr:spPr>
        <a:xfrm>
          <a:off x="13890625" y="1762125"/>
          <a:ext cx="1260000" cy="288000"/>
        </a:xfrm>
        <a:prstGeom prst="rect">
          <a:avLst/>
        </a:prstGeom>
        <a:noFill/>
        <a:ln>
          <a:noFill/>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089734A5-472D-354C-8392-9C5553531771}" type="TxLink">
            <a:rPr kumimoji="0" lang="en-US" sz="1400" b="0" i="0" u="none" strike="noStrike" kern="0" cap="none" spc="0" normalizeH="0" baseline="0" noProof="0">
              <a:ln>
                <a:noFill/>
              </a:ln>
              <a:solidFill>
                <a:schemeClr val="tx1"/>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 </a:t>
          </a:fld>
          <a:endParaRPr kumimoji="0" lang="ru-RU" sz="1400" b="0" i="0" u="none" strike="noStrike" kern="0" cap="none" spc="0" normalizeH="0" baseline="0" noProof="0">
            <a:ln>
              <a:noFill/>
            </a:ln>
            <a:solidFill>
              <a:schemeClr val="tx1"/>
            </a:solidFill>
            <a:effectLst/>
            <a:uLnTx/>
            <a:uFillTx/>
            <a:latin typeface="Calibri"/>
            <a:ea typeface="+mn-ea"/>
            <a:cs typeface="Calibri"/>
          </a:endParaRPr>
        </a:p>
      </xdr:txBody>
    </xdr:sp>
    <xdr:clientData/>
  </xdr:twoCellAnchor>
  <xdr:twoCellAnchor>
    <xdr:from>
      <xdr:col>16</xdr:col>
      <xdr:colOff>95250</xdr:colOff>
      <xdr:row>9</xdr:row>
      <xdr:rowOff>47625</xdr:rowOff>
    </xdr:from>
    <xdr:to>
      <xdr:col>16</xdr:col>
      <xdr:colOff>1355250</xdr:colOff>
      <xdr:row>10</xdr:row>
      <xdr:rowOff>145125</xdr:rowOff>
    </xdr:to>
    <xdr:sp macro="" textlink="Processing!M508">
      <xdr:nvSpPr>
        <xdr:cNvPr id="11" name="TextBox 10">
          <a:hlinkClick xmlns:r="http://schemas.openxmlformats.org/officeDocument/2006/relationships" r:id="rId2"/>
          <a:extLst>
            <a:ext uri="{FF2B5EF4-FFF2-40B4-BE49-F238E27FC236}">
              <a16:creationId xmlns:a16="http://schemas.microsoft.com/office/drawing/2014/main" id="{00000000-0008-0000-0700-00000B000000}"/>
            </a:ext>
          </a:extLst>
        </xdr:cNvPr>
        <xdr:cNvSpPr txBox="1"/>
      </xdr:nvSpPr>
      <xdr:spPr>
        <a:xfrm>
          <a:off x="15335250" y="1762125"/>
          <a:ext cx="1260000" cy="288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089734A5-472D-354C-8392-9C5553531771}" type="TxLink">
            <a:rPr kumimoji="0" lang="en-US" sz="1400" b="0" i="0" u="none" strike="noStrike" kern="0" cap="none" spc="0" normalizeH="0" baseline="0" noProof="0">
              <a:ln>
                <a:noFill/>
              </a:ln>
              <a:solidFill>
                <a:schemeClr val="tx1"/>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 </a:t>
          </a:fld>
          <a:endParaRPr kumimoji="0" lang="ru-RU" sz="1400" b="0" i="0" u="none" strike="noStrike" kern="0" cap="none" spc="0" normalizeH="0" baseline="0" noProof="0">
            <a:ln>
              <a:noFill/>
            </a:ln>
            <a:solidFill>
              <a:schemeClr val="tx1"/>
            </a:solidFill>
            <a:effectLst/>
            <a:uLnTx/>
            <a:uFillTx/>
            <a:latin typeface="Calibri"/>
            <a:ea typeface="+mn-ea"/>
            <a:cs typeface="Calibri"/>
          </a:endParaRPr>
        </a:p>
      </xdr:txBody>
    </xdr:sp>
    <xdr:clientData/>
  </xdr:twoCellAnchor>
  <xdr:twoCellAnchor>
    <xdr:from>
      <xdr:col>17</xdr:col>
      <xdr:colOff>79375</xdr:colOff>
      <xdr:row>9</xdr:row>
      <xdr:rowOff>47625</xdr:rowOff>
    </xdr:from>
    <xdr:to>
      <xdr:col>17</xdr:col>
      <xdr:colOff>1339375</xdr:colOff>
      <xdr:row>10</xdr:row>
      <xdr:rowOff>145125</xdr:rowOff>
    </xdr:to>
    <xdr:sp macro="" textlink="Processing!M508">
      <xdr:nvSpPr>
        <xdr:cNvPr id="12" name="TextBox 11">
          <a:hlinkClick xmlns:r="http://schemas.openxmlformats.org/officeDocument/2006/relationships" r:id="rId3"/>
          <a:extLst>
            <a:ext uri="{FF2B5EF4-FFF2-40B4-BE49-F238E27FC236}">
              <a16:creationId xmlns:a16="http://schemas.microsoft.com/office/drawing/2014/main" id="{00000000-0008-0000-0700-00000C000000}"/>
            </a:ext>
          </a:extLst>
        </xdr:cNvPr>
        <xdr:cNvSpPr txBox="1"/>
      </xdr:nvSpPr>
      <xdr:spPr>
        <a:xfrm>
          <a:off x="16748125" y="1762125"/>
          <a:ext cx="1260000" cy="288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089734A5-472D-354C-8392-9C5553531771}" type="TxLink">
            <a:rPr kumimoji="0" lang="en-US" sz="1400" b="0" i="0" u="none" strike="noStrike" kern="0" cap="none" spc="0" normalizeH="0" baseline="0" noProof="0">
              <a:ln>
                <a:noFill/>
              </a:ln>
              <a:solidFill>
                <a:schemeClr val="tx1"/>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 </a:t>
          </a:fld>
          <a:endParaRPr kumimoji="0" lang="ru-RU" sz="1400" b="0" i="0" u="none" strike="noStrike" kern="0" cap="none" spc="0" normalizeH="0" baseline="0" noProof="0">
            <a:ln>
              <a:noFill/>
            </a:ln>
            <a:solidFill>
              <a:schemeClr val="tx1"/>
            </a:solidFill>
            <a:effectLst/>
            <a:uLnTx/>
            <a:uFillTx/>
            <a:latin typeface="Calibri"/>
            <a:ea typeface="+mn-ea"/>
            <a:cs typeface="Calibri"/>
          </a:endParaRPr>
        </a:p>
      </xdr:txBody>
    </xdr:sp>
    <xdr:clientData/>
  </xdr:twoCellAnchor>
  <xdr:twoCellAnchor>
    <xdr:from>
      <xdr:col>18</xdr:col>
      <xdr:colOff>47625</xdr:colOff>
      <xdr:row>9</xdr:row>
      <xdr:rowOff>47625</xdr:rowOff>
    </xdr:from>
    <xdr:to>
      <xdr:col>18</xdr:col>
      <xdr:colOff>1271625</xdr:colOff>
      <xdr:row>10</xdr:row>
      <xdr:rowOff>145125</xdr:rowOff>
    </xdr:to>
    <xdr:sp macro="" textlink="Processing!M508">
      <xdr:nvSpPr>
        <xdr:cNvPr id="13" name="TextBox 12">
          <a:hlinkClick xmlns:r="http://schemas.openxmlformats.org/officeDocument/2006/relationships" r:id="rId4"/>
          <a:extLst>
            <a:ext uri="{FF2B5EF4-FFF2-40B4-BE49-F238E27FC236}">
              <a16:creationId xmlns:a16="http://schemas.microsoft.com/office/drawing/2014/main" id="{00000000-0008-0000-0700-00000D000000}"/>
            </a:ext>
          </a:extLst>
        </xdr:cNvPr>
        <xdr:cNvSpPr txBox="1"/>
      </xdr:nvSpPr>
      <xdr:spPr>
        <a:xfrm>
          <a:off x="18145125" y="1762125"/>
          <a:ext cx="1224000" cy="288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089734A5-472D-354C-8392-9C5553531771}" type="TxLink">
            <a:rPr kumimoji="0" lang="en-US" sz="1400" b="0" i="0" u="none" strike="noStrike" kern="0" cap="none" spc="0" normalizeH="0" baseline="0" noProof="0">
              <a:ln>
                <a:noFill/>
              </a:ln>
              <a:solidFill>
                <a:schemeClr val="tx1"/>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 </a:t>
          </a:fld>
          <a:endParaRPr kumimoji="0" lang="ru-RU" sz="1400" b="0" i="0" u="none" strike="noStrike" kern="0" cap="none" spc="0" normalizeH="0" baseline="0" noProof="0">
            <a:ln>
              <a:noFill/>
            </a:ln>
            <a:solidFill>
              <a:schemeClr val="tx1"/>
            </a:solidFill>
            <a:effectLst/>
            <a:uLnTx/>
            <a:uFillTx/>
            <a:latin typeface="Calibri"/>
            <a:ea typeface="+mn-ea"/>
            <a:cs typeface="Calibri"/>
          </a:endParaRPr>
        </a:p>
      </xdr:txBody>
    </xdr:sp>
    <xdr:clientData/>
  </xdr:twoCellAnchor>
  <xdr:twoCellAnchor>
    <xdr:from>
      <xdr:col>18</xdr:col>
      <xdr:colOff>142875</xdr:colOff>
      <xdr:row>11</xdr:row>
      <xdr:rowOff>31751</xdr:rowOff>
    </xdr:from>
    <xdr:to>
      <xdr:col>18</xdr:col>
      <xdr:colOff>1222875</xdr:colOff>
      <xdr:row>12</xdr:row>
      <xdr:rowOff>158751</xdr:rowOff>
    </xdr:to>
    <xdr:sp macro="" textlink="Processing!M508">
      <xdr:nvSpPr>
        <xdr:cNvPr id="14" name="TextBox 13">
          <a:hlinkClick xmlns:r="http://schemas.openxmlformats.org/officeDocument/2006/relationships" r:id="rId5"/>
          <a:extLst>
            <a:ext uri="{FF2B5EF4-FFF2-40B4-BE49-F238E27FC236}">
              <a16:creationId xmlns:a16="http://schemas.microsoft.com/office/drawing/2014/main" id="{00000000-0008-0000-0700-00000E000000}"/>
            </a:ext>
          </a:extLst>
        </xdr:cNvPr>
        <xdr:cNvSpPr txBox="1"/>
      </xdr:nvSpPr>
      <xdr:spPr>
        <a:xfrm>
          <a:off x="18240375" y="2127251"/>
          <a:ext cx="1080000" cy="3175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089734A5-472D-354C-8392-9C5553531771}" type="TxLink">
            <a:rPr kumimoji="0" lang="en-US" sz="1400" b="0" i="0" u="none" strike="noStrike" kern="0" cap="none" spc="0" normalizeH="0" baseline="0" noProof="0">
              <a:ln>
                <a:noFill/>
              </a:ln>
              <a:solidFill>
                <a:schemeClr val="tx1"/>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 </a:t>
          </a:fld>
          <a:endParaRPr kumimoji="0" lang="ru-RU" sz="1400" b="0" i="0" u="none" strike="noStrike" kern="0" cap="none" spc="0" normalizeH="0" baseline="0" noProof="0">
            <a:ln>
              <a:noFill/>
            </a:ln>
            <a:solidFill>
              <a:schemeClr val="tx1"/>
            </a:solidFill>
            <a:effectLst/>
            <a:uLnTx/>
            <a:uFillTx/>
            <a:latin typeface="Calibri"/>
            <a:ea typeface="+mn-ea"/>
            <a:cs typeface="Calibri"/>
          </a:endParaRPr>
        </a:p>
      </xdr:txBody>
    </xdr:sp>
    <xdr:clientData/>
  </xdr:twoCellAnchor>
  <xdr:twoCellAnchor>
    <xdr:from>
      <xdr:col>15</xdr:col>
      <xdr:colOff>95250</xdr:colOff>
      <xdr:row>11</xdr:row>
      <xdr:rowOff>47626</xdr:rowOff>
    </xdr:from>
    <xdr:to>
      <xdr:col>15</xdr:col>
      <xdr:colOff>1355250</xdr:colOff>
      <xdr:row>12</xdr:row>
      <xdr:rowOff>145126</xdr:rowOff>
    </xdr:to>
    <xdr:sp macro="" textlink="Processing!M508">
      <xdr:nvSpPr>
        <xdr:cNvPr id="15" name="TextBox 14">
          <a:hlinkClick xmlns:r="http://schemas.openxmlformats.org/officeDocument/2006/relationships" r:id="rId6"/>
          <a:extLst>
            <a:ext uri="{FF2B5EF4-FFF2-40B4-BE49-F238E27FC236}">
              <a16:creationId xmlns:a16="http://schemas.microsoft.com/office/drawing/2014/main" id="{00000000-0008-0000-0700-00000F000000}"/>
            </a:ext>
          </a:extLst>
        </xdr:cNvPr>
        <xdr:cNvSpPr txBox="1"/>
      </xdr:nvSpPr>
      <xdr:spPr>
        <a:xfrm>
          <a:off x="13906500" y="2143126"/>
          <a:ext cx="1260000" cy="288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089734A5-472D-354C-8392-9C5553531771}" type="TxLink">
            <a:rPr kumimoji="0" lang="en-US" sz="1400" b="0" i="0" u="none" strike="noStrike" kern="0" cap="none" spc="0" normalizeH="0" baseline="0" noProof="0">
              <a:ln>
                <a:noFill/>
              </a:ln>
              <a:solidFill>
                <a:schemeClr val="tx1"/>
              </a:solidFill>
              <a:effectLst/>
              <a:uLnTx/>
              <a:uFillTx/>
              <a:latin typeface="Calibri"/>
              <a:ea typeface="+mn-ea"/>
              <a:cs typeface="Calibri"/>
            </a:rPr>
            <a:pPr marL="0" marR="0" lvl="0" indent="0" algn="l" defTabSz="914400" eaLnBrk="1" fontAlgn="auto" latinLnBrk="0" hangingPunct="1">
              <a:lnSpc>
                <a:spcPct val="100000"/>
              </a:lnSpc>
              <a:spcBef>
                <a:spcPts val="0"/>
              </a:spcBef>
              <a:spcAft>
                <a:spcPts val="0"/>
              </a:spcAft>
              <a:buClrTx/>
              <a:buSzTx/>
              <a:buFontTx/>
              <a:buNone/>
              <a:tabLst/>
              <a:defRPr/>
            </a:pPr>
            <a:t> </a:t>
          </a:fld>
          <a:endParaRPr kumimoji="0" lang="ru-RU" sz="1400" b="0" i="0" u="none" strike="noStrike" kern="0" cap="none" spc="0" normalizeH="0" baseline="0" noProof="0">
            <a:ln>
              <a:noFill/>
            </a:ln>
            <a:solidFill>
              <a:schemeClr val="tx1"/>
            </a:solidFill>
            <a:effectLst/>
            <a:uLnTx/>
            <a:uFillTx/>
            <a:latin typeface="Calibri"/>
            <a:ea typeface="+mn-ea"/>
            <a:cs typeface="Calibri"/>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12</xdr:col>
      <xdr:colOff>660400</xdr:colOff>
      <xdr:row>58</xdr:row>
      <xdr:rowOff>152400</xdr:rowOff>
    </xdr:from>
    <xdr:to>
      <xdr:col>12</xdr:col>
      <xdr:colOff>927100</xdr:colOff>
      <xdr:row>60</xdr:row>
      <xdr:rowOff>76200</xdr:rowOff>
    </xdr:to>
    <xdr:cxnSp macro="">
      <xdr:nvCxnSpPr>
        <xdr:cNvPr id="4" name="Straight Arrow Connector 3">
          <a:extLst>
            <a:ext uri="{FF2B5EF4-FFF2-40B4-BE49-F238E27FC236}">
              <a16:creationId xmlns:a16="http://schemas.microsoft.com/office/drawing/2014/main" id="{00000000-0008-0000-0800-000004000000}"/>
            </a:ext>
          </a:extLst>
        </xdr:cNvPr>
        <xdr:cNvCxnSpPr/>
      </xdr:nvCxnSpPr>
      <xdr:spPr>
        <a:xfrm>
          <a:off x="13246100" y="11861800"/>
          <a:ext cx="266700" cy="3556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457200</xdr:colOff>
      <xdr:row>58</xdr:row>
      <xdr:rowOff>139700</xdr:rowOff>
    </xdr:from>
    <xdr:to>
      <xdr:col>15</xdr:col>
      <xdr:colOff>660400</xdr:colOff>
      <xdr:row>60</xdr:row>
      <xdr:rowOff>76200</xdr:rowOff>
    </xdr:to>
    <xdr:cxnSp macro="">
      <xdr:nvCxnSpPr>
        <xdr:cNvPr id="5" name="Straight Arrow Connector 4">
          <a:extLst>
            <a:ext uri="{FF2B5EF4-FFF2-40B4-BE49-F238E27FC236}">
              <a16:creationId xmlns:a16="http://schemas.microsoft.com/office/drawing/2014/main" id="{00000000-0008-0000-0800-000005000000}"/>
            </a:ext>
          </a:extLst>
        </xdr:cNvPr>
        <xdr:cNvCxnSpPr/>
      </xdr:nvCxnSpPr>
      <xdr:spPr>
        <a:xfrm>
          <a:off x="16167100" y="11849100"/>
          <a:ext cx="203200" cy="3683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114300</xdr:colOff>
      <xdr:row>59</xdr:row>
      <xdr:rowOff>25400</xdr:rowOff>
    </xdr:from>
    <xdr:to>
      <xdr:col>26</xdr:col>
      <xdr:colOff>317500</xdr:colOff>
      <xdr:row>60</xdr:row>
      <xdr:rowOff>177800</xdr:rowOff>
    </xdr:to>
    <xdr:cxnSp macro="">
      <xdr:nvCxnSpPr>
        <xdr:cNvPr id="6" name="Straight Arrow Connector 5">
          <a:extLst>
            <a:ext uri="{FF2B5EF4-FFF2-40B4-BE49-F238E27FC236}">
              <a16:creationId xmlns:a16="http://schemas.microsoft.com/office/drawing/2014/main" id="{00000000-0008-0000-0800-000006000000}"/>
            </a:ext>
          </a:extLst>
        </xdr:cNvPr>
        <xdr:cNvCxnSpPr/>
      </xdr:nvCxnSpPr>
      <xdr:spPr>
        <a:xfrm>
          <a:off x="23876000" y="11899900"/>
          <a:ext cx="203200" cy="3683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986277</xdr:colOff>
      <xdr:row>1</xdr:row>
      <xdr:rowOff>10269</xdr:rowOff>
    </xdr:from>
    <xdr:to>
      <xdr:col>11</xdr:col>
      <xdr:colOff>27021</xdr:colOff>
      <xdr:row>3</xdr:row>
      <xdr:rowOff>27022</xdr:rowOff>
    </xdr:to>
    <mc:AlternateContent xmlns:mc="http://schemas.openxmlformats.org/markup-compatibility/2006" xmlns:a14="http://schemas.microsoft.com/office/drawing/2010/main">
      <mc:Choice Requires="a14">
        <xdr:graphicFrame macro="">
          <xdr:nvGraphicFramePr>
            <xdr:cNvPr id="3" name="Mese 7">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Mese 7"/>
            </a:graphicData>
          </a:graphic>
        </xdr:graphicFrame>
      </mc:Choice>
      <mc:Fallback xmlns="">
        <xdr:sp macro="" textlink="">
          <xdr:nvSpPr>
            <xdr:cNvPr id="0" name=""/>
            <xdr:cNvSpPr>
              <a:spLocks noTextEdit="1"/>
            </xdr:cNvSpPr>
          </xdr:nvSpPr>
          <xdr:spPr>
            <a:xfrm>
              <a:off x="1810426" y="212929"/>
              <a:ext cx="11402978" cy="4220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394776</xdr:colOff>
      <xdr:row>0</xdr:row>
      <xdr:rowOff>0</xdr:rowOff>
    </xdr:from>
    <xdr:to>
      <xdr:col>14</xdr:col>
      <xdr:colOff>905211</xdr:colOff>
      <xdr:row>10</xdr:row>
      <xdr:rowOff>54042</xdr:rowOff>
    </xdr:to>
    <mc:AlternateContent xmlns:mc="http://schemas.openxmlformats.org/markup-compatibility/2006" xmlns:a14="http://schemas.microsoft.com/office/drawing/2010/main">
      <mc:Choice Requires="a14">
        <xdr:graphicFrame macro="">
          <xdr:nvGraphicFramePr>
            <xdr:cNvPr id="4" name="Giorno">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Giorno"/>
            </a:graphicData>
          </a:graphic>
        </xdr:graphicFrame>
      </mc:Choice>
      <mc:Fallback xmlns="">
        <xdr:sp macro="" textlink="">
          <xdr:nvSpPr>
            <xdr:cNvPr id="0" name=""/>
            <xdr:cNvSpPr>
              <a:spLocks noTextEdit="1"/>
            </xdr:cNvSpPr>
          </xdr:nvSpPr>
          <xdr:spPr>
            <a:xfrm>
              <a:off x="15229457" y="0"/>
              <a:ext cx="4036711" cy="20806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868463</xdr:colOff>
      <xdr:row>3</xdr:row>
      <xdr:rowOff>122136</xdr:rowOff>
    </xdr:from>
    <xdr:to>
      <xdr:col>10</xdr:col>
      <xdr:colOff>327937</xdr:colOff>
      <xdr:row>5</xdr:row>
      <xdr:rowOff>138017</xdr:rowOff>
    </xdr:to>
    <mc:AlternateContent xmlns:mc="http://schemas.openxmlformats.org/markup-compatibility/2006" xmlns:a14="http://schemas.microsoft.com/office/drawing/2010/main">
      <mc:Choice Requires="a14">
        <xdr:graphicFrame macro="">
          <xdr:nvGraphicFramePr>
            <xdr:cNvPr id="2" name="Anno">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Anno"/>
            </a:graphicData>
          </a:graphic>
        </xdr:graphicFrame>
      </mc:Choice>
      <mc:Fallback xmlns="">
        <xdr:sp macro="" textlink="">
          <xdr:nvSpPr>
            <xdr:cNvPr id="0" name=""/>
            <xdr:cNvSpPr>
              <a:spLocks noTextEdit="1"/>
            </xdr:cNvSpPr>
          </xdr:nvSpPr>
          <xdr:spPr>
            <a:xfrm>
              <a:off x="8718144" y="730115"/>
              <a:ext cx="2985750" cy="421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ebel/Desktop/TTJJnuovaDataAggiornataCopi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de Log"/>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 refreshedDate="45823.690058680557" missingItemsLimit="0" createdVersion="6" refreshedVersion="6" minRefreshableVersion="3" recordCount="1557" xr:uid="{1FA490F0-FAAD-B046-BF82-E4F8FCD90BFE}">
  <cacheSource type="worksheet">
    <worksheetSource name="Dati"/>
  </cacheSource>
  <cacheFields count="38">
    <cacheField name="RowID" numFmtId="0">
      <sharedItems containsSemiMixedTypes="0" containsString="0" containsNumber="1" containsInteger="1" minValue="1" maxValue="1557" count="142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1"/>
        <n v="662"/>
        <n v="663"/>
        <n v="664"/>
        <n v="665"/>
        <n v="666"/>
        <n v="668"/>
        <n v="669"/>
        <n v="673"/>
        <n v="674"/>
        <n v="675"/>
        <n v="678"/>
        <n v="684"/>
        <n v="685"/>
        <n v="690"/>
        <n v="691"/>
        <n v="692"/>
        <n v="693"/>
        <n v="694"/>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31"/>
        <n v="832"/>
        <n v="833"/>
        <n v="834"/>
        <n v="835"/>
        <n v="836"/>
        <n v="837"/>
        <n v="838"/>
        <n v="841"/>
        <n v="843"/>
        <n v="844"/>
        <n v="845"/>
        <n v="846"/>
        <n v="847"/>
        <n v="848"/>
        <n v="849"/>
        <n v="853"/>
        <n v="854"/>
        <n v="855"/>
        <n v="858"/>
        <n v="859"/>
        <n v="861"/>
        <n v="862"/>
        <n v="863"/>
        <n v="865"/>
        <n v="867"/>
        <n v="868"/>
        <n v="870"/>
        <n v="875"/>
        <n v="878"/>
        <n v="881"/>
        <n v="882"/>
        <n v="883"/>
        <n v="884"/>
        <n v="885"/>
        <n v="886"/>
        <n v="889"/>
        <n v="890"/>
        <n v="891"/>
        <n v="893"/>
        <n v="895"/>
        <n v="896"/>
        <n v="897"/>
        <n v="900"/>
        <n v="901"/>
        <n v="902"/>
        <n v="903"/>
        <n v="904"/>
        <n v="907"/>
        <n v="908"/>
        <n v="909"/>
        <n v="910"/>
        <n v="911"/>
        <n v="912"/>
        <n v="913"/>
        <n v="918"/>
        <n v="922"/>
        <n v="923"/>
        <n v="924"/>
        <n v="925"/>
        <n v="926"/>
        <n v="927"/>
        <n v="928"/>
        <n v="929"/>
        <n v="930"/>
        <n v="932"/>
        <n v="933"/>
        <n v="936"/>
        <n v="937"/>
        <n v="938"/>
        <n v="939"/>
        <n v="940"/>
        <n v="942"/>
        <n v="941"/>
        <n v="943"/>
        <n v="945"/>
        <n v="946"/>
        <n v="947"/>
        <n v="949"/>
        <n v="950"/>
        <n v="953"/>
        <n v="954"/>
        <n v="958"/>
        <n v="961"/>
        <n v="962"/>
        <n v="963"/>
        <n v="969"/>
        <n v="970"/>
        <n v="971"/>
        <n v="972"/>
        <n v="973"/>
        <n v="974"/>
        <n v="976"/>
        <n v="980"/>
        <n v="982"/>
        <n v="983"/>
        <n v="984"/>
        <n v="986"/>
        <n v="990"/>
        <n v="991"/>
        <n v="997"/>
        <n v="999"/>
        <n v="1000"/>
        <n v="1004"/>
        <n v="1021"/>
        <n v="1022"/>
        <n v="1023"/>
        <n v="1024"/>
        <n v="1025"/>
        <n v="1026"/>
        <n v="1027"/>
        <n v="1028"/>
        <n v="1029"/>
        <n v="1030"/>
        <n v="1031"/>
        <n v="1032"/>
        <n v="1036"/>
        <n v="1037"/>
        <n v="1038"/>
        <n v="1039"/>
        <n v="1040"/>
        <n v="1041"/>
        <n v="1042"/>
        <n v="1043"/>
        <n v="1044"/>
        <n v="1045"/>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4"/>
        <n v="1186"/>
        <n v="1188"/>
        <n v="1190"/>
        <n v="1192"/>
        <n v="1193"/>
        <n v="1194"/>
        <n v="1197"/>
        <n v="1198"/>
        <n v="1199"/>
        <n v="1200"/>
        <n v="1201"/>
        <n v="1202"/>
        <n v="1203"/>
        <n v="1205"/>
        <n v="1206"/>
        <n v="1207"/>
        <n v="1208"/>
        <n v="1209"/>
        <n v="1211"/>
        <n v="1212"/>
        <n v="1213"/>
        <n v="1214"/>
        <n v="1215"/>
        <n v="1216"/>
        <n v="1217"/>
        <n v="1218"/>
        <n v="1219"/>
        <n v="1223"/>
        <n v="1224"/>
        <n v="1225"/>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sharedItems>
    </cacheField>
    <cacheField name="Data" numFmtId="14">
      <sharedItems containsSemiMixedTypes="0" containsNonDate="0" containsDate="1" containsString="0" minDate="2023-01-01T00:00:00" maxDate="2026-05-30T00:00:00"/>
    </cacheField>
    <cacheField name="Giorno" numFmtId="0">
      <sharedItems containsSemiMixedTypes="0" containsString="0" containsNumber="1" containsInteger="1" minValue="1" maxValue="31" count="31">
        <n v="1"/>
        <n v="2"/>
        <n v="3"/>
        <n v="4"/>
        <n v="5"/>
        <n v="6"/>
        <n v="7"/>
        <n v="8"/>
        <n v="9"/>
        <n v="10"/>
        <n v="11"/>
        <n v="12"/>
        <n v="13"/>
        <n v="14"/>
        <n v="15"/>
        <n v="16"/>
        <n v="17"/>
        <n v="18"/>
        <n v="19"/>
        <n v="20"/>
        <n v="21"/>
        <n v="22"/>
        <n v="23"/>
        <n v="24"/>
        <n v="25"/>
        <n v="26"/>
        <n v="27"/>
        <n v="28"/>
        <n v="29"/>
        <n v="30"/>
        <n v="31"/>
      </sharedItems>
    </cacheField>
    <cacheField name="Mese" numFmtId="0">
      <sharedItems count="12">
        <s v="Gennaio"/>
        <s v="Febbraio"/>
        <s v="Marzo"/>
        <s v="Aprile"/>
        <s v="Maggio"/>
        <s v="Giugno"/>
        <s v="Luglio"/>
        <s v="Agosto"/>
        <s v="Settembre"/>
        <s v="Ottobre"/>
        <s v="Novembre"/>
        <s v="Dicembre"/>
      </sharedItems>
    </cacheField>
    <cacheField name="Anno" numFmtId="0">
      <sharedItems count="4">
        <s v="2023"/>
        <s v="2024"/>
        <s v="2025"/>
        <s v="2026"/>
      </sharedItems>
    </cacheField>
    <cacheField name="Descrizione" numFmtId="0">
      <sharedItems containsBlank="1" count="174">
        <m/>
        <s v="Polizza&quot;NoProblem&quot;BNL"/>
        <s v="CanoneContoBNL"/>
        <s v="Treno"/>
        <s v="Taxi"/>
        <s v="Spesa"/>
        <s v="Barbiere"/>
        <s v="Prodotti Barba"/>
        <s v="Riparazione Telefono"/>
        <s v="Visita Oculistica"/>
        <s v="Gocce Occhi"/>
        <s v="Brico"/>
        <s v="Biglietti Metro"/>
        <s v="Fiori"/>
        <s v="Mascherine"/>
        <s v="Tè (Jasmine Green Pearl Tea)"/>
        <s v="Acqua"/>
        <s v="Affitto Lesina"/>
        <s v="Deposito Affitto Lesina"/>
        <s v="Gas o Luce?"/>
        <s v="Mutande Lunghe"/>
        <s v="Spray Vestiti"/>
        <s v="Bancomat"/>
        <s v="Shampoo Farmacia"/>
        <s v="Dolcetti Arabi"/>
        <s v="Tè"/>
        <s v="Tari 2023 (2,5€ Comm. Tabacchi)"/>
        <s v="Articoli Casa"/>
        <s v="Cappello"/>
        <s v="Calzini"/>
        <s v="Pizza"/>
        <s v="Sapone"/>
        <s v="Spazzolino"/>
        <s v="Pastiera"/>
        <s v="Brillantina Linetti"/>
        <s v="IRPEF (2,5€ Comm. Tabacchi)"/>
        <s v="Lotto"/>
        <s v="Ricarica Telefono"/>
        <s v="Gommini Sedie"/>
        <s v="Monitor Pc"/>
        <s v="Aspirapolvere"/>
        <s v="Cavo HDMI Computer"/>
        <s v="Candele"/>
        <s v="Tè (Clarice - Viale Monza)"/>
        <s v="Test Covid"/>
        <s v="Regalini Natale"/>
        <s v="Corde Chitarra"/>
        <s v="Bilgietto Lotteria"/>
        <s v="Computer"/>
        <s v="Interssi Banca"/>
        <s v="BolloTrimestraleContoBNL"/>
        <s v="Tastiera+Mouse &amp; Braccio Schermo"/>
        <s v="Barbiere (35+5Mancia)"/>
        <s v="Lievito Alimentare"/>
        <s v="Piccante Valentina"/>
        <s v="Maglia"/>
        <s v="Monitor+DockStation+ModemRouter"/>
        <s v="Kimchi"/>
        <s v="Gogiugharu"/>
        <s v="Caffè E Dolci Offerti (Ragazzi Negozio Koreano)"/>
        <s v="Candela Yankee"/>
        <s v="Bocconcini Dai Dai"/>
        <s v="Prodotti Pulizia"/>
        <s v="Calze"/>
        <s v="Maglione"/>
        <s v="Occhiali"/>
        <s v="Bocconcini Cani + Presa Elettrica (Angelo)"/>
        <s v="Pane"/>
        <s v="Cappotti+Cappello"/>
        <s v="Grucce+LevapelucchiVestiti"/>
        <s v="Gas"/>
        <s v="Ricarica"/>
        <s v="Candela"/>
        <s v="Canotta+T-Shirt (Zara)"/>
        <s v="Luce"/>
        <s v="Profumatore Ambienti"/>
        <s v="Snack Cani"/>
        <s v="Varie Casa"/>
        <s v="Agnostico Barba"/>
        <s v="Biglietto Metro"/>
        <s v="Cappotto Stefano"/>
        <s v="Bibita Offerta Ragazzi Computer"/>
        <s v="Metro"/>
        <s v="Tè e Dolci"/>
        <s v="CopriWater+Dispenser Sapone Cucina"/>
        <s v="Set4Padelle+Teglia"/>
        <s v="Piccante&amp;Miso"/>
        <s v="Scarpe"/>
        <s v="Stendino+BarattoloVetro"/>
        <s v="SolettaScarpe"/>
        <s v="Rosa"/>
        <s v="Cornetto&amp;Cappuccino Offerto (alessandro)"/>
        <s v="Calzolaio"/>
        <s v="1/2AffittoLesina"/>
        <s v="Prelievo"/>
        <s v="BarattoliVetro"/>
        <s v="AccessoriCasa"/>
        <s v="Calzolaio+Fazzoletto"/>
        <s v="Regali Nicole"/>
        <s v="Lavanderia(AlessandroXCarmine)"/>
        <s v="CappuccinOfferto(UnaCheDicevaDiAverFame)"/>
        <s v="Sapone(L'Occitane)"/>
        <s v="CaffèOfferto(LeoCalzolaio)"/>
        <s v="InvioE-MailAngelo"/>
        <s v="Barbiere(35Taglio+5Mancia)"/>
        <s v="Tè(JasmineGreenPearlPhoenix-CorsoMAgenta)"/>
        <s v="Lenti A Contatto"/>
        <s v="ProfumoAmbiente(RegaloMamma)"/>
        <s v="Bagnoschiuma&amp;Crema(RegaloMamma)"/>
        <s v="Treno(Andata&amp;Ritorno)"/>
        <s v="ProdottiGrecia&amp;Vari(RegaliCasa)"/>
        <s v="BusteCHiavi(Angelo&amp;Alex)"/>
        <s v="Casa(AlexXCarmine)"/>
        <s v="Parcheegio Napoli"/>
        <s v="1/2 di 1/2 affitto Lesina"/>
        <s v="1/2 di 1/2 affitto Lesina (fine 2024)"/>
        <s v="recupero incremento carte debito"/>
        <s v="Luce (chiusuraContrattoMercatoTutelato)"/>
        <s v="Mamma&amp;Papaà"/>
        <s v="commissioni quota annuale carta BNl"/>
        <s v="Barbiere(35Taglio+10Mancia)"/>
        <s v="libro Alida"/>
        <s v="Lavanderia"/>
        <s v="Agnostico"/>
        <s v="elastici capelli X Angelo"/>
        <s v="grucce"/>
        <s v="lucchetto posta"/>
        <s v="latte+cocacola offerto (indiano sotto casa:prestato pinza)"/>
        <s v="Spesa (Eatly)"/>
        <s v="Computer (Msi Cyborg 15 A13VE-603IT_Unieuro Offerta Sottocosto)"/>
        <s v="incenso"/>
        <s v="fazzolletti cotone"/>
        <s v="Soldi persi?"/>
        <s v="sea salt spray+pomata"/>
        <s v="griglia raffreddamento cibo"/>
        <s v="cuscini"/>
        <s v="prestito  (Angelo)"/>
        <s v="tari 2024 (2,5€ Comm. Tabacchi)"/>
        <s v="barattoliVetro&amp;contenitoriPlastica"/>
        <s v="cocccardeXAngelo"/>
        <s v="guarnizioni finestre/porta"/>
        <s v="Regali(libro&quot;PiccoloPrincipe&quot;+Chicco+Rose)"/>
        <s v="AngelaAMilano(Panettone+BustaRegalo+1€XBagnoStazione)+Angelo(BusteCani)"/>
        <s v="biglietto lotteria"/>
        <s v="Scrivania+Sedia"/>
        <s v="appendiabiti"/>
        <s v="telecamere ariano"/>
        <s v="buste giochi (frozen+Spiderman) Nicole&amp;Antony"/>
        <s v="caramelle greche ouzo (2 conf.)"/>
        <s v="ricezione appendiabiti amazon (tabacchi)"/>
        <s v="regali compleanno alida"/>
        <s v="ricezione scrivania amazon (tabacchi)"/>
        <s v="regalo Angelo compleanno (Agnostico)"/>
        <s v="regalo Alida compleanno (rosa + busta carta)"/>
        <s v="Corte Romanengo - via caminadella 23 20123 Milano (sala tè) (x compleanno Alida)"/>
        <s v="acqua (locale concerto)"/>
        <s v="guaina porte/finestre"/>
        <s v="pane (Trama - via Spadani)"/>
        <s v="cappotto Invicta Mamma "/>
        <s v="buste cani (angelo)"/>
        <s v="giubbotto Papà (Invicta)"/>
        <s v="cd playstation Stefano"/>
        <s v="Borsa (12€)+corde(15,9) chitarra"/>
        <s v="ps4(190€)+tartufo(55€)"/>
        <s v="panettone (Napoli)"/>
        <s v="autobus (Napoli-Ariano)"/>
        <s v="Regali (nicole-Antonio)"/>
        <s v="interessi banca"/>
        <s v="Imposte &amp; Tasse"/>
        <s v="Acconto Affito Lesina"/>
        <s v="treno (Napoli-Milano)"/>
        <s v="tappetino mouse"/>
        <s v="caramelle"/>
        <s v="Barbiere(40Taglio+10Mancia)"/>
      </sharedItems>
    </cacheField>
    <cacheField name="Categoria" numFmtId="0">
      <sharedItems containsBlank="1" count="24">
        <m/>
        <s v="Conto &amp; Carte BNL"/>
        <s v="Trasporti"/>
        <s v="Food"/>
        <s v="Barba &amp; Capelli"/>
        <s v="Cosmetici"/>
        <s v="No Food"/>
        <s v="Spese Impreviste"/>
        <s v="Medications"/>
        <s v="Varie Casa"/>
        <s v="Varie"/>
        <s v="Affitto"/>
        <s v="Bollette"/>
        <s v="Abbigliamento"/>
        <s v="Prelievo"/>
        <s v="Snacks On The Way"/>
        <s v="Tasse"/>
        <s v="Telefono"/>
        <s v="Internet"/>
        <s v="Attrezzature Lavoro"/>
        <s v="BNL(Interessi Creditori)"/>
        <s v="Regali"/>
        <s v="Regali Cash"/>
        <s v="Ristorante"/>
      </sharedItems>
    </cacheField>
    <cacheField name="Sottocategoria" numFmtId="0">
      <sharedItems count="11">
        <s v=""/>
        <s v="Banca"/>
        <s v="Varie Uscite"/>
        <s v="Casa"/>
        <s v="Personali"/>
        <s v="Real Estate"/>
        <s v="Utenze"/>
        <s v="Fuori Casa"/>
        <s v="Business Uscite"/>
        <s v="Lavoro"/>
        <s v="Varie Entrate"/>
      </sharedItems>
    </cacheField>
    <cacheField name="Metodo" numFmtId="0">
      <sharedItems/>
    </cacheField>
    <cacheField name="Uscite" numFmtId="173">
      <sharedItems containsMixedTypes="1" containsNumber="1" minValue="0.1" maxValue="799.9"/>
    </cacheField>
    <cacheField name="Uscite Fisse" numFmtId="173">
      <sharedItems containsMixedTypes="1" containsNumber="1" minValue="0.5" maxValue="178"/>
    </cacheField>
    <cacheField name="Altre Uscite" numFmtId="173">
      <sharedItems/>
    </cacheField>
    <cacheField name="Entrate" numFmtId="173">
      <sharedItems containsMixedTypes="1" containsNumber="1" minValue="0.28000000000000003" maxValue="1000"/>
    </cacheField>
    <cacheField name="Entrate Fisse" numFmtId="173">
      <sharedItems containsMixedTypes="1" containsNumber="1" containsInteger="1" minValue="1000" maxValue="4000"/>
    </cacheField>
    <cacheField name="Altre Entrate" numFmtId="173">
      <sharedItems/>
    </cacheField>
    <cacheField name="Prelievo" numFmtId="173">
      <sharedItems containsMixedTypes="1" containsNumber="1" containsInteger="1" minValue="300" maxValue="1500"/>
    </cacheField>
    <cacheField name="Balance" numFmtId="181">
      <sharedItems containsBlank="1" containsMixedTypes="1" containsNumber="1" minValue="5963.6100000000151" maxValue="11486.87"/>
    </cacheField>
    <cacheField name="Savings" numFmtId="173">
      <sharedItems/>
    </cacheField>
    <cacheField name="Entrate Fisse Business" numFmtId="173">
      <sharedItems containsNonDate="0" containsString="0" containsBlank="1"/>
    </cacheField>
    <cacheField name="Entrate Fisse Securities" numFmtId="173">
      <sharedItems containsNonDate="0" containsString="0" containsBlank="1"/>
    </cacheField>
    <cacheField name="Entrate Fisse Gold" numFmtId="173">
      <sharedItems containsNonDate="0" containsString="0" containsBlank="1"/>
    </cacheField>
    <cacheField name="Entrate Fisse Real Estate" numFmtId="173">
      <sharedItems containsNonDate="0" containsString="0" containsBlank="1"/>
    </cacheField>
    <cacheField name="Entrate Fisse Cryptocurrency" numFmtId="173">
      <sharedItems containsNonDate="0" containsString="0" containsBlank="1"/>
    </cacheField>
    <cacheField name="Entrate Business" numFmtId="173">
      <sharedItems containsNonDate="0" containsString="0" containsBlank="1"/>
    </cacheField>
    <cacheField name="Entrate Securities" numFmtId="173">
      <sharedItems containsNonDate="0" containsString="0" containsBlank="1"/>
    </cacheField>
    <cacheField name="Entrate Gold" numFmtId="173">
      <sharedItems containsNonDate="0" containsString="0" containsBlank="1"/>
    </cacheField>
    <cacheField name="Entrate Real Estate" numFmtId="173">
      <sharedItems containsNonDate="0" containsString="0" containsBlank="1"/>
    </cacheField>
    <cacheField name="Entrate Cryptocurrency" numFmtId="173">
      <sharedItems containsNonDate="0" containsString="0" containsBlank="1"/>
    </cacheField>
    <cacheField name="Inv. Business" numFmtId="173">
      <sharedItems containsNonDate="0" containsString="0" containsBlank="1"/>
    </cacheField>
    <cacheField name="Inv. Securities" numFmtId="173">
      <sharedItems containsNonDate="0" containsString="0" containsBlank="1"/>
    </cacheField>
    <cacheField name="Inv. Gold" numFmtId="173">
      <sharedItems containsNonDate="0" containsString="0" containsBlank="1"/>
    </cacheField>
    <cacheField name="Inv. Real Estate" numFmtId="173">
      <sharedItems containsNonDate="0" containsString="0" containsBlank="1"/>
    </cacheField>
    <cacheField name="Inv. Cryptocurrency" numFmtId="173">
      <sharedItems containsNonDate="0" containsString="0" containsBlank="1"/>
    </cacheField>
    <cacheField name="Totale Portfolio" numFmtId="173">
      <sharedItems/>
    </cacheField>
    <cacheField name="Mutuo" numFmtId="173">
      <sharedItems containsNonDate="0" containsString="0" containsBlank="1"/>
    </cacheField>
    <cacheField name="Leasing Macchina" numFmtId="173">
      <sharedItems containsBlank="1"/>
    </cacheField>
    <cacheField name="Consumer Credit" numFmtId="173">
      <sharedItems containsNonDate="0" containsString="0" containsBlank="1"/>
    </cacheField>
    <cacheField name="Credit Card" numFmtId="173">
      <sharedItems containsNonDate="0" containsString="0" containsBlank="1"/>
    </cacheField>
  </cacheFields>
  <extLst>
    <ext xmlns:x14="http://schemas.microsoft.com/office/spreadsheetml/2009/9/main" uri="{725AE2AE-9491-48be-B2B4-4EB974FC3084}">
      <x14:pivotCacheDefinition pivotCacheId="19170011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57">
  <r>
    <x v="0"/>
    <d v="2023-01-01T00:00:00"/>
    <x v="0"/>
    <x v="0"/>
    <x v="0"/>
    <x v="0"/>
    <x v="0"/>
    <x v="0"/>
    <s v=""/>
    <s v=""/>
    <s v=""/>
    <s v=""/>
    <s v=""/>
    <s v=""/>
    <s v=""/>
    <s v=""/>
    <n v="7298.85"/>
    <s v=""/>
    <m/>
    <m/>
    <m/>
    <m/>
    <m/>
    <m/>
    <m/>
    <m/>
    <m/>
    <m/>
    <m/>
    <m/>
    <m/>
    <m/>
    <m/>
    <s v=" "/>
    <m/>
    <s v=" "/>
    <m/>
    <m/>
  </r>
  <r>
    <x v="1"/>
    <d v="2023-01-02T00:00:00"/>
    <x v="1"/>
    <x v="0"/>
    <x v="0"/>
    <x v="0"/>
    <x v="0"/>
    <x v="0"/>
    <s v=""/>
    <s v=""/>
    <s v=""/>
    <s v=""/>
    <s v=""/>
    <s v=""/>
    <s v=""/>
    <s v=""/>
    <s v=""/>
    <s v=""/>
    <m/>
    <m/>
    <m/>
    <m/>
    <m/>
    <m/>
    <m/>
    <m/>
    <m/>
    <m/>
    <m/>
    <m/>
    <m/>
    <m/>
    <m/>
    <s v=" "/>
    <m/>
    <s v=" "/>
    <m/>
    <m/>
  </r>
  <r>
    <x v="2"/>
    <d v="2023-01-03T00:00:00"/>
    <x v="2"/>
    <x v="0"/>
    <x v="0"/>
    <x v="0"/>
    <x v="0"/>
    <x v="0"/>
    <s v=""/>
    <s v=""/>
    <s v=""/>
    <s v=""/>
    <s v=""/>
    <s v=""/>
    <s v=""/>
    <s v=""/>
    <s v=""/>
    <s v=""/>
    <m/>
    <m/>
    <m/>
    <m/>
    <m/>
    <m/>
    <m/>
    <m/>
    <m/>
    <m/>
    <m/>
    <m/>
    <m/>
    <m/>
    <m/>
    <s v=" "/>
    <m/>
    <s v=" "/>
    <m/>
    <m/>
  </r>
  <r>
    <x v="3"/>
    <d v="2023-01-04T00:00:00"/>
    <x v="3"/>
    <x v="0"/>
    <x v="0"/>
    <x v="0"/>
    <x v="0"/>
    <x v="0"/>
    <s v=""/>
    <s v=""/>
    <s v=""/>
    <s v=""/>
    <s v=""/>
    <s v=""/>
    <s v=""/>
    <s v=""/>
    <s v=""/>
    <s v=""/>
    <m/>
    <m/>
    <m/>
    <m/>
    <m/>
    <m/>
    <m/>
    <m/>
    <m/>
    <m/>
    <m/>
    <m/>
    <m/>
    <m/>
    <m/>
    <s v=" "/>
    <m/>
    <s v=" "/>
    <m/>
    <m/>
  </r>
  <r>
    <x v="4"/>
    <d v="2023-01-05T00:00:00"/>
    <x v="4"/>
    <x v="0"/>
    <x v="0"/>
    <x v="0"/>
    <x v="0"/>
    <x v="0"/>
    <s v=""/>
    <s v=""/>
    <s v=""/>
    <s v=""/>
    <s v=""/>
    <s v=""/>
    <s v=""/>
    <s v=""/>
    <s v=""/>
    <s v=""/>
    <m/>
    <m/>
    <m/>
    <m/>
    <m/>
    <m/>
    <m/>
    <m/>
    <m/>
    <m/>
    <m/>
    <m/>
    <m/>
    <m/>
    <m/>
    <s v=" "/>
    <m/>
    <s v=" "/>
    <m/>
    <m/>
  </r>
  <r>
    <x v="5"/>
    <d v="2023-01-06T00:00:00"/>
    <x v="5"/>
    <x v="0"/>
    <x v="0"/>
    <x v="0"/>
    <x v="0"/>
    <x v="0"/>
    <s v=""/>
    <s v=""/>
    <s v=""/>
    <s v=""/>
    <s v=""/>
    <s v=""/>
    <s v=""/>
    <s v=""/>
    <s v=""/>
    <s v=""/>
    <m/>
    <m/>
    <m/>
    <m/>
    <m/>
    <m/>
    <m/>
    <m/>
    <m/>
    <m/>
    <m/>
    <m/>
    <m/>
    <m/>
    <m/>
    <s v=" "/>
    <m/>
    <s v=" "/>
    <m/>
    <m/>
  </r>
  <r>
    <x v="6"/>
    <d v="2023-01-07T00:00:00"/>
    <x v="6"/>
    <x v="0"/>
    <x v="0"/>
    <x v="0"/>
    <x v="0"/>
    <x v="0"/>
    <s v=""/>
    <s v=""/>
    <s v=""/>
    <s v=""/>
    <s v=""/>
    <s v=""/>
    <s v=""/>
    <s v=""/>
    <s v=""/>
    <s v=""/>
    <m/>
    <m/>
    <m/>
    <m/>
    <m/>
    <m/>
    <m/>
    <m/>
    <m/>
    <m/>
    <m/>
    <m/>
    <m/>
    <m/>
    <m/>
    <s v=" "/>
    <m/>
    <s v=" "/>
    <m/>
    <m/>
  </r>
  <r>
    <x v="7"/>
    <d v="2023-01-08T00:00:00"/>
    <x v="7"/>
    <x v="0"/>
    <x v="0"/>
    <x v="0"/>
    <x v="0"/>
    <x v="0"/>
    <s v=""/>
    <s v=""/>
    <s v=""/>
    <s v=""/>
    <s v=""/>
    <s v=""/>
    <s v=""/>
    <s v=""/>
    <s v=""/>
    <s v=""/>
    <m/>
    <m/>
    <m/>
    <m/>
    <m/>
    <m/>
    <m/>
    <m/>
    <m/>
    <m/>
    <m/>
    <m/>
    <m/>
    <m/>
    <m/>
    <s v=" "/>
    <m/>
    <s v=" "/>
    <m/>
    <m/>
  </r>
  <r>
    <x v="8"/>
    <d v="2023-01-09T00:00:00"/>
    <x v="8"/>
    <x v="0"/>
    <x v="0"/>
    <x v="0"/>
    <x v="0"/>
    <x v="0"/>
    <s v=""/>
    <s v=""/>
    <s v=""/>
    <s v=""/>
    <s v=""/>
    <s v=""/>
    <s v=""/>
    <s v=""/>
    <s v=""/>
    <s v=""/>
    <m/>
    <m/>
    <m/>
    <m/>
    <m/>
    <m/>
    <m/>
    <m/>
    <m/>
    <m/>
    <m/>
    <m/>
    <m/>
    <m/>
    <m/>
    <s v=" "/>
    <m/>
    <s v=" "/>
    <m/>
    <m/>
  </r>
  <r>
    <x v="9"/>
    <d v="2023-01-10T00:00:00"/>
    <x v="9"/>
    <x v="0"/>
    <x v="0"/>
    <x v="0"/>
    <x v="0"/>
    <x v="0"/>
    <s v=""/>
    <s v=""/>
    <s v=""/>
    <s v=""/>
    <s v=""/>
    <s v=""/>
    <s v=""/>
    <s v=""/>
    <s v=""/>
    <s v=""/>
    <m/>
    <m/>
    <m/>
    <m/>
    <m/>
    <m/>
    <m/>
    <m/>
    <m/>
    <m/>
    <m/>
    <m/>
    <m/>
    <m/>
    <m/>
    <s v=" "/>
    <m/>
    <s v=" "/>
    <m/>
    <m/>
  </r>
  <r>
    <x v="10"/>
    <d v="2023-01-11T00:00:00"/>
    <x v="10"/>
    <x v="0"/>
    <x v="0"/>
    <x v="0"/>
    <x v="0"/>
    <x v="0"/>
    <s v=""/>
    <s v=""/>
    <s v=""/>
    <s v=""/>
    <s v=""/>
    <s v=""/>
    <s v=""/>
    <s v=""/>
    <s v=""/>
    <s v=""/>
    <m/>
    <m/>
    <m/>
    <m/>
    <m/>
    <m/>
    <m/>
    <m/>
    <m/>
    <m/>
    <m/>
    <m/>
    <m/>
    <m/>
    <m/>
    <s v=" "/>
    <m/>
    <s v=" "/>
    <m/>
    <m/>
  </r>
  <r>
    <x v="11"/>
    <d v="2023-01-12T00:00:00"/>
    <x v="11"/>
    <x v="0"/>
    <x v="0"/>
    <x v="0"/>
    <x v="0"/>
    <x v="0"/>
    <s v=""/>
    <s v=""/>
    <s v=""/>
    <s v=""/>
    <s v=""/>
    <s v=""/>
    <s v=""/>
    <s v=""/>
    <s v=""/>
    <s v=""/>
    <m/>
    <m/>
    <m/>
    <m/>
    <m/>
    <m/>
    <m/>
    <m/>
    <m/>
    <m/>
    <m/>
    <m/>
    <m/>
    <m/>
    <m/>
    <s v=" "/>
    <m/>
    <s v=" "/>
    <m/>
    <m/>
  </r>
  <r>
    <x v="12"/>
    <d v="2023-01-13T00:00:00"/>
    <x v="12"/>
    <x v="0"/>
    <x v="0"/>
    <x v="0"/>
    <x v="0"/>
    <x v="0"/>
    <s v=""/>
    <s v=""/>
    <s v=""/>
    <s v=""/>
    <s v=""/>
    <s v=""/>
    <s v=""/>
    <s v=""/>
    <s v=""/>
    <s v=""/>
    <m/>
    <m/>
    <m/>
    <m/>
    <m/>
    <m/>
    <m/>
    <m/>
    <m/>
    <m/>
    <m/>
    <m/>
    <m/>
    <m/>
    <m/>
    <s v=" "/>
    <m/>
    <s v=" "/>
    <m/>
    <m/>
  </r>
  <r>
    <x v="13"/>
    <d v="2023-01-14T00:00:00"/>
    <x v="13"/>
    <x v="0"/>
    <x v="0"/>
    <x v="0"/>
    <x v="0"/>
    <x v="0"/>
    <s v=""/>
    <s v=""/>
    <s v=""/>
    <s v=""/>
    <s v=""/>
    <s v=""/>
    <s v=""/>
    <s v=""/>
    <s v=""/>
    <s v=""/>
    <m/>
    <m/>
    <m/>
    <m/>
    <m/>
    <m/>
    <m/>
    <m/>
    <m/>
    <m/>
    <m/>
    <m/>
    <m/>
    <m/>
    <m/>
    <s v=" "/>
    <m/>
    <s v=" "/>
    <m/>
    <m/>
  </r>
  <r>
    <x v="14"/>
    <d v="2023-01-15T00:00:00"/>
    <x v="14"/>
    <x v="0"/>
    <x v="0"/>
    <x v="0"/>
    <x v="0"/>
    <x v="0"/>
    <s v=""/>
    <s v=""/>
    <s v=""/>
    <s v=""/>
    <s v=""/>
    <s v=""/>
    <s v=""/>
    <s v=""/>
    <s v=""/>
    <s v=""/>
    <m/>
    <m/>
    <m/>
    <m/>
    <m/>
    <m/>
    <m/>
    <m/>
    <m/>
    <m/>
    <m/>
    <m/>
    <m/>
    <m/>
    <m/>
    <s v=" "/>
    <m/>
    <s v=" "/>
    <m/>
    <m/>
  </r>
  <r>
    <x v="15"/>
    <d v="2023-01-16T00:00:00"/>
    <x v="15"/>
    <x v="0"/>
    <x v="0"/>
    <x v="0"/>
    <x v="0"/>
    <x v="0"/>
    <s v=""/>
    <s v=""/>
    <s v=""/>
    <s v=""/>
    <s v=""/>
    <s v=""/>
    <s v=""/>
    <s v=""/>
    <s v=""/>
    <s v=""/>
    <m/>
    <m/>
    <m/>
    <m/>
    <m/>
    <m/>
    <m/>
    <m/>
    <m/>
    <m/>
    <m/>
    <m/>
    <m/>
    <m/>
    <m/>
    <s v=" "/>
    <m/>
    <s v=" "/>
    <m/>
    <m/>
  </r>
  <r>
    <x v="16"/>
    <d v="2023-01-17T00:00:00"/>
    <x v="16"/>
    <x v="0"/>
    <x v="0"/>
    <x v="0"/>
    <x v="0"/>
    <x v="0"/>
    <s v=""/>
    <s v=""/>
    <s v=""/>
    <s v=""/>
    <s v=""/>
    <s v=""/>
    <s v=""/>
    <s v=""/>
    <s v=""/>
    <s v=""/>
    <m/>
    <m/>
    <m/>
    <m/>
    <m/>
    <m/>
    <m/>
    <m/>
    <m/>
    <m/>
    <m/>
    <m/>
    <m/>
    <m/>
    <m/>
    <s v=" "/>
    <m/>
    <s v=" "/>
    <m/>
    <m/>
  </r>
  <r>
    <x v="17"/>
    <d v="2023-01-18T00:00:00"/>
    <x v="17"/>
    <x v="0"/>
    <x v="0"/>
    <x v="0"/>
    <x v="0"/>
    <x v="0"/>
    <s v=""/>
    <s v=""/>
    <s v=""/>
    <s v=""/>
    <s v=""/>
    <s v=""/>
    <s v=""/>
    <s v=""/>
    <s v=""/>
    <s v=""/>
    <m/>
    <m/>
    <m/>
    <m/>
    <m/>
    <m/>
    <m/>
    <m/>
    <m/>
    <m/>
    <m/>
    <m/>
    <m/>
    <m/>
    <m/>
    <s v=" "/>
    <m/>
    <s v=" "/>
    <m/>
    <m/>
  </r>
  <r>
    <x v="18"/>
    <d v="2023-01-19T00:00:00"/>
    <x v="18"/>
    <x v="0"/>
    <x v="0"/>
    <x v="0"/>
    <x v="0"/>
    <x v="0"/>
    <s v=""/>
    <s v=""/>
    <s v=""/>
    <s v=""/>
    <s v=""/>
    <s v=""/>
    <s v=""/>
    <s v=""/>
    <s v=""/>
    <s v=""/>
    <m/>
    <m/>
    <m/>
    <m/>
    <m/>
    <m/>
    <m/>
    <m/>
    <m/>
    <m/>
    <m/>
    <m/>
    <m/>
    <m/>
    <m/>
    <s v=" "/>
    <m/>
    <s v=" "/>
    <m/>
    <m/>
  </r>
  <r>
    <x v="19"/>
    <d v="2023-01-20T00:00:00"/>
    <x v="19"/>
    <x v="0"/>
    <x v="0"/>
    <x v="0"/>
    <x v="0"/>
    <x v="0"/>
    <s v=""/>
    <s v=""/>
    <s v=""/>
    <s v=""/>
    <s v=""/>
    <s v=""/>
    <s v=""/>
    <s v=""/>
    <s v=""/>
    <s v=""/>
    <m/>
    <m/>
    <m/>
    <m/>
    <m/>
    <m/>
    <m/>
    <m/>
    <m/>
    <m/>
    <m/>
    <m/>
    <m/>
    <m/>
    <m/>
    <s v=" "/>
    <m/>
    <s v=" "/>
    <m/>
    <m/>
  </r>
  <r>
    <x v="20"/>
    <d v="2023-01-21T00:00:00"/>
    <x v="20"/>
    <x v="0"/>
    <x v="0"/>
    <x v="0"/>
    <x v="0"/>
    <x v="0"/>
    <s v=""/>
    <s v=""/>
    <s v=""/>
    <s v=""/>
    <s v=""/>
    <s v=""/>
    <s v=""/>
    <s v=""/>
    <s v=""/>
    <s v=""/>
    <m/>
    <m/>
    <m/>
    <m/>
    <m/>
    <m/>
    <m/>
    <m/>
    <m/>
    <m/>
    <m/>
    <m/>
    <m/>
    <m/>
    <m/>
    <s v=" "/>
    <m/>
    <s v=" "/>
    <m/>
    <m/>
  </r>
  <r>
    <x v="21"/>
    <d v="2023-01-22T00:00:00"/>
    <x v="21"/>
    <x v="0"/>
    <x v="0"/>
    <x v="0"/>
    <x v="0"/>
    <x v="0"/>
    <s v=""/>
    <s v=""/>
    <s v=""/>
    <s v=""/>
    <s v=""/>
    <s v=""/>
    <s v=""/>
    <s v=""/>
    <s v=""/>
    <s v=""/>
    <m/>
    <m/>
    <m/>
    <m/>
    <m/>
    <m/>
    <m/>
    <m/>
    <m/>
    <m/>
    <m/>
    <m/>
    <m/>
    <m/>
    <m/>
    <s v=" "/>
    <m/>
    <s v=" "/>
    <m/>
    <m/>
  </r>
  <r>
    <x v="22"/>
    <d v="2023-01-23T00:00:00"/>
    <x v="22"/>
    <x v="0"/>
    <x v="0"/>
    <x v="0"/>
    <x v="0"/>
    <x v="0"/>
    <s v=""/>
    <s v=""/>
    <s v=""/>
    <s v=""/>
    <s v=""/>
    <s v=""/>
    <s v=""/>
    <s v=""/>
    <s v=""/>
    <s v=""/>
    <m/>
    <m/>
    <m/>
    <m/>
    <m/>
    <m/>
    <m/>
    <m/>
    <m/>
    <m/>
    <m/>
    <m/>
    <m/>
    <m/>
    <m/>
    <s v=" "/>
    <m/>
    <s v=" "/>
    <m/>
    <m/>
  </r>
  <r>
    <x v="23"/>
    <d v="2023-01-24T00:00:00"/>
    <x v="23"/>
    <x v="0"/>
    <x v="0"/>
    <x v="0"/>
    <x v="0"/>
    <x v="0"/>
    <s v=""/>
    <s v=""/>
    <s v=""/>
    <s v=""/>
    <s v=""/>
    <s v=""/>
    <s v=""/>
    <s v=""/>
    <s v=""/>
    <s v=""/>
    <m/>
    <m/>
    <m/>
    <m/>
    <m/>
    <m/>
    <m/>
    <m/>
    <m/>
    <m/>
    <m/>
    <m/>
    <m/>
    <m/>
    <m/>
    <s v=" "/>
    <m/>
    <s v=" "/>
    <m/>
    <m/>
  </r>
  <r>
    <x v="24"/>
    <d v="2023-01-25T00:00:00"/>
    <x v="24"/>
    <x v="0"/>
    <x v="0"/>
    <x v="0"/>
    <x v="0"/>
    <x v="0"/>
    <s v=""/>
    <s v=""/>
    <s v=""/>
    <s v=""/>
    <s v=""/>
    <s v=""/>
    <s v=""/>
    <s v=""/>
    <s v=""/>
    <s v=""/>
    <m/>
    <m/>
    <m/>
    <m/>
    <m/>
    <m/>
    <m/>
    <m/>
    <m/>
    <m/>
    <m/>
    <m/>
    <m/>
    <m/>
    <m/>
    <s v=" "/>
    <m/>
    <s v=" "/>
    <m/>
    <m/>
  </r>
  <r>
    <x v="25"/>
    <d v="2023-01-26T00:00:00"/>
    <x v="25"/>
    <x v="0"/>
    <x v="0"/>
    <x v="0"/>
    <x v="0"/>
    <x v="0"/>
    <s v=""/>
    <s v=""/>
    <s v=""/>
    <s v=""/>
    <s v=""/>
    <s v=""/>
    <s v=""/>
    <s v=""/>
    <s v=""/>
    <s v=""/>
    <m/>
    <m/>
    <m/>
    <m/>
    <m/>
    <m/>
    <m/>
    <m/>
    <m/>
    <m/>
    <m/>
    <m/>
    <m/>
    <m/>
    <m/>
    <s v=" "/>
    <m/>
    <s v=" "/>
    <m/>
    <m/>
  </r>
  <r>
    <x v="26"/>
    <d v="2023-01-27T00:00:00"/>
    <x v="26"/>
    <x v="0"/>
    <x v="0"/>
    <x v="0"/>
    <x v="0"/>
    <x v="0"/>
    <s v=""/>
    <s v=""/>
    <s v=""/>
    <s v=""/>
    <s v=""/>
    <s v=""/>
    <s v=""/>
    <s v=""/>
    <s v=""/>
    <s v=""/>
    <m/>
    <m/>
    <m/>
    <m/>
    <m/>
    <m/>
    <m/>
    <m/>
    <m/>
    <m/>
    <m/>
    <m/>
    <m/>
    <m/>
    <m/>
    <s v=" "/>
    <m/>
    <s v=" "/>
    <m/>
    <m/>
  </r>
  <r>
    <x v="27"/>
    <d v="2023-01-28T00:00:00"/>
    <x v="27"/>
    <x v="0"/>
    <x v="0"/>
    <x v="0"/>
    <x v="0"/>
    <x v="0"/>
    <s v=""/>
    <s v=""/>
    <s v=""/>
    <s v=""/>
    <s v=""/>
    <s v=""/>
    <s v=""/>
    <s v=""/>
    <s v=""/>
    <s v=""/>
    <m/>
    <m/>
    <m/>
    <m/>
    <m/>
    <m/>
    <m/>
    <m/>
    <m/>
    <m/>
    <m/>
    <m/>
    <m/>
    <m/>
    <m/>
    <s v=" "/>
    <m/>
    <s v=" "/>
    <m/>
    <m/>
  </r>
  <r>
    <x v="28"/>
    <d v="2023-01-29T00:00:00"/>
    <x v="28"/>
    <x v="0"/>
    <x v="0"/>
    <x v="0"/>
    <x v="0"/>
    <x v="0"/>
    <s v=""/>
    <s v=""/>
    <s v=""/>
    <s v=""/>
    <s v=""/>
    <s v=""/>
    <s v=""/>
    <s v=""/>
    <s v=""/>
    <s v=""/>
    <m/>
    <m/>
    <m/>
    <m/>
    <m/>
    <m/>
    <m/>
    <m/>
    <m/>
    <m/>
    <m/>
    <m/>
    <m/>
    <m/>
    <m/>
    <s v=" "/>
    <m/>
    <s v=" "/>
    <m/>
    <m/>
  </r>
  <r>
    <x v="29"/>
    <d v="2023-01-30T00:00:00"/>
    <x v="29"/>
    <x v="0"/>
    <x v="0"/>
    <x v="0"/>
    <x v="0"/>
    <x v="0"/>
    <s v=""/>
    <s v=""/>
    <s v=""/>
    <s v=""/>
    <s v=""/>
    <s v=""/>
    <s v=""/>
    <s v=""/>
    <s v=""/>
    <s v=""/>
    <m/>
    <m/>
    <m/>
    <m/>
    <m/>
    <m/>
    <m/>
    <m/>
    <m/>
    <m/>
    <m/>
    <m/>
    <m/>
    <m/>
    <m/>
    <s v=" "/>
    <m/>
    <s v=" "/>
    <m/>
    <m/>
  </r>
  <r>
    <x v="30"/>
    <d v="2023-01-31T00:00:00"/>
    <x v="30"/>
    <x v="0"/>
    <x v="0"/>
    <x v="0"/>
    <x v="0"/>
    <x v="0"/>
    <s v=""/>
    <s v=""/>
    <s v=""/>
    <s v=""/>
    <s v=""/>
    <s v=""/>
    <s v=""/>
    <s v=""/>
    <s v=""/>
    <s v=""/>
    <m/>
    <m/>
    <m/>
    <m/>
    <m/>
    <m/>
    <m/>
    <m/>
    <m/>
    <m/>
    <m/>
    <m/>
    <m/>
    <m/>
    <m/>
    <s v=" "/>
    <m/>
    <s v=" "/>
    <m/>
    <m/>
  </r>
  <r>
    <x v="31"/>
    <d v="2023-02-01T00:00:00"/>
    <x v="0"/>
    <x v="1"/>
    <x v="0"/>
    <x v="0"/>
    <x v="0"/>
    <x v="0"/>
    <s v=""/>
    <s v=""/>
    <s v=""/>
    <s v=""/>
    <s v=""/>
    <s v=""/>
    <s v=""/>
    <s v=""/>
    <s v=""/>
    <s v=""/>
    <m/>
    <m/>
    <m/>
    <m/>
    <m/>
    <m/>
    <m/>
    <m/>
    <m/>
    <m/>
    <m/>
    <m/>
    <m/>
    <m/>
    <m/>
    <s v=" "/>
    <m/>
    <s v=" "/>
    <m/>
    <m/>
  </r>
  <r>
    <x v="32"/>
    <d v="2023-02-02T00:00:00"/>
    <x v="1"/>
    <x v="1"/>
    <x v="0"/>
    <x v="0"/>
    <x v="0"/>
    <x v="0"/>
    <s v=""/>
    <s v=""/>
    <s v=""/>
    <s v=""/>
    <s v=""/>
    <s v=""/>
    <s v=""/>
    <s v=""/>
    <s v=""/>
    <s v=""/>
    <m/>
    <m/>
    <m/>
    <m/>
    <m/>
    <m/>
    <m/>
    <m/>
    <m/>
    <m/>
    <m/>
    <m/>
    <m/>
    <m/>
    <m/>
    <s v=" "/>
    <m/>
    <s v=" "/>
    <m/>
    <m/>
  </r>
  <r>
    <x v="33"/>
    <d v="2023-02-03T00:00:00"/>
    <x v="2"/>
    <x v="1"/>
    <x v="0"/>
    <x v="0"/>
    <x v="0"/>
    <x v="0"/>
    <s v=""/>
    <s v=""/>
    <s v=""/>
    <s v=""/>
    <s v=""/>
    <s v=""/>
    <s v=""/>
    <s v=""/>
    <s v=""/>
    <s v=""/>
    <m/>
    <m/>
    <m/>
    <m/>
    <m/>
    <m/>
    <m/>
    <m/>
    <m/>
    <m/>
    <m/>
    <m/>
    <m/>
    <m/>
    <m/>
    <s v=" "/>
    <m/>
    <s v=" "/>
    <m/>
    <m/>
  </r>
  <r>
    <x v="34"/>
    <d v="2023-02-04T00:00:00"/>
    <x v="3"/>
    <x v="1"/>
    <x v="0"/>
    <x v="0"/>
    <x v="0"/>
    <x v="0"/>
    <s v=""/>
    <s v=""/>
    <s v=""/>
    <s v=""/>
    <s v=""/>
    <s v=""/>
    <s v=""/>
    <s v=""/>
    <s v=""/>
    <s v=""/>
    <m/>
    <m/>
    <m/>
    <m/>
    <m/>
    <m/>
    <m/>
    <m/>
    <m/>
    <m/>
    <m/>
    <m/>
    <m/>
    <m/>
    <m/>
    <s v=" "/>
    <m/>
    <s v=" "/>
    <m/>
    <m/>
  </r>
  <r>
    <x v="35"/>
    <d v="2023-02-05T00:00:00"/>
    <x v="4"/>
    <x v="1"/>
    <x v="0"/>
    <x v="0"/>
    <x v="0"/>
    <x v="0"/>
    <s v=""/>
    <s v=""/>
    <s v=""/>
    <s v=""/>
    <s v=""/>
    <s v=""/>
    <s v=""/>
    <s v=""/>
    <s v=""/>
    <s v=""/>
    <m/>
    <m/>
    <m/>
    <m/>
    <m/>
    <m/>
    <m/>
    <m/>
    <m/>
    <m/>
    <m/>
    <m/>
    <m/>
    <m/>
    <m/>
    <s v=" "/>
    <m/>
    <s v=" "/>
    <m/>
    <m/>
  </r>
  <r>
    <x v="36"/>
    <d v="2023-02-06T00:00:00"/>
    <x v="5"/>
    <x v="1"/>
    <x v="0"/>
    <x v="0"/>
    <x v="0"/>
    <x v="0"/>
    <s v=""/>
    <s v=""/>
    <s v=""/>
    <s v=""/>
    <s v=""/>
    <s v=""/>
    <s v=""/>
    <s v=""/>
    <s v=""/>
    <s v=""/>
    <m/>
    <m/>
    <m/>
    <m/>
    <m/>
    <m/>
    <m/>
    <m/>
    <m/>
    <m/>
    <m/>
    <m/>
    <m/>
    <m/>
    <m/>
    <s v=" "/>
    <m/>
    <s v=" "/>
    <m/>
    <m/>
  </r>
  <r>
    <x v="37"/>
    <d v="2023-02-07T00:00:00"/>
    <x v="6"/>
    <x v="1"/>
    <x v="0"/>
    <x v="0"/>
    <x v="0"/>
    <x v="0"/>
    <s v=""/>
    <s v=""/>
    <s v=""/>
    <s v=""/>
    <s v=""/>
    <s v=""/>
    <s v=""/>
    <s v=""/>
    <s v=""/>
    <s v=""/>
    <m/>
    <m/>
    <m/>
    <m/>
    <m/>
    <m/>
    <m/>
    <m/>
    <m/>
    <m/>
    <m/>
    <m/>
    <m/>
    <m/>
    <m/>
    <s v=" "/>
    <m/>
    <s v=" "/>
    <m/>
    <m/>
  </r>
  <r>
    <x v="38"/>
    <d v="2023-02-08T00:00:00"/>
    <x v="7"/>
    <x v="1"/>
    <x v="0"/>
    <x v="0"/>
    <x v="0"/>
    <x v="0"/>
    <s v=""/>
    <s v=""/>
    <s v=""/>
    <s v=""/>
    <s v=""/>
    <s v=""/>
    <s v=""/>
    <s v=""/>
    <s v=""/>
    <s v=""/>
    <m/>
    <m/>
    <m/>
    <m/>
    <m/>
    <m/>
    <m/>
    <m/>
    <m/>
    <m/>
    <m/>
    <m/>
    <m/>
    <m/>
    <m/>
    <s v=" "/>
    <m/>
    <s v=" "/>
    <m/>
    <m/>
  </r>
  <r>
    <x v="39"/>
    <d v="2023-02-09T00:00:00"/>
    <x v="8"/>
    <x v="1"/>
    <x v="0"/>
    <x v="0"/>
    <x v="0"/>
    <x v="0"/>
    <s v=""/>
    <s v=""/>
    <s v=""/>
    <s v=""/>
    <s v=""/>
    <s v=""/>
    <s v=""/>
    <s v=""/>
    <s v=""/>
    <s v=""/>
    <m/>
    <m/>
    <m/>
    <m/>
    <m/>
    <m/>
    <m/>
    <m/>
    <m/>
    <m/>
    <m/>
    <m/>
    <m/>
    <m/>
    <m/>
    <s v=" "/>
    <m/>
    <s v=" "/>
    <m/>
    <m/>
  </r>
  <r>
    <x v="40"/>
    <d v="2023-02-10T00:00:00"/>
    <x v="9"/>
    <x v="1"/>
    <x v="0"/>
    <x v="0"/>
    <x v="0"/>
    <x v="0"/>
    <s v=""/>
    <s v=""/>
    <s v=""/>
    <s v=""/>
    <s v=""/>
    <s v=""/>
    <s v=""/>
    <s v=""/>
    <s v=""/>
    <s v=""/>
    <m/>
    <m/>
    <m/>
    <m/>
    <m/>
    <m/>
    <m/>
    <m/>
    <m/>
    <m/>
    <m/>
    <m/>
    <m/>
    <m/>
    <m/>
    <s v=" "/>
    <m/>
    <s v=" "/>
    <m/>
    <m/>
  </r>
  <r>
    <x v="41"/>
    <d v="2023-02-11T00:00:00"/>
    <x v="10"/>
    <x v="1"/>
    <x v="0"/>
    <x v="0"/>
    <x v="0"/>
    <x v="0"/>
    <s v=""/>
    <s v=""/>
    <s v=""/>
    <s v=""/>
    <s v=""/>
    <s v=""/>
    <s v=""/>
    <s v=""/>
    <s v=""/>
    <s v=""/>
    <m/>
    <m/>
    <m/>
    <m/>
    <m/>
    <m/>
    <m/>
    <m/>
    <m/>
    <m/>
    <m/>
    <m/>
    <m/>
    <m/>
    <m/>
    <s v=" "/>
    <m/>
    <s v=" "/>
    <m/>
    <m/>
  </r>
  <r>
    <x v="42"/>
    <d v="2023-02-12T00:00:00"/>
    <x v="11"/>
    <x v="1"/>
    <x v="0"/>
    <x v="0"/>
    <x v="0"/>
    <x v="0"/>
    <s v=""/>
    <s v=""/>
    <s v=""/>
    <s v=""/>
    <s v=""/>
    <s v=""/>
    <s v=""/>
    <s v=""/>
    <s v=""/>
    <s v=""/>
    <m/>
    <m/>
    <m/>
    <m/>
    <m/>
    <m/>
    <m/>
    <m/>
    <m/>
    <m/>
    <m/>
    <m/>
    <m/>
    <m/>
    <m/>
    <s v=" "/>
    <m/>
    <s v=" "/>
    <m/>
    <m/>
  </r>
  <r>
    <x v="43"/>
    <d v="2023-02-13T00:00:00"/>
    <x v="12"/>
    <x v="1"/>
    <x v="0"/>
    <x v="0"/>
    <x v="0"/>
    <x v="0"/>
    <s v=""/>
    <s v=""/>
    <s v=""/>
    <s v=""/>
    <s v=""/>
    <s v=""/>
    <s v=""/>
    <s v=""/>
    <s v=""/>
    <s v=""/>
    <m/>
    <m/>
    <m/>
    <m/>
    <m/>
    <m/>
    <m/>
    <m/>
    <m/>
    <m/>
    <m/>
    <m/>
    <m/>
    <m/>
    <m/>
    <s v=" "/>
    <m/>
    <s v=" "/>
    <m/>
    <m/>
  </r>
  <r>
    <x v="44"/>
    <d v="2023-02-14T00:00:00"/>
    <x v="13"/>
    <x v="1"/>
    <x v="0"/>
    <x v="0"/>
    <x v="0"/>
    <x v="0"/>
    <s v=""/>
    <s v=""/>
    <s v=""/>
    <s v=""/>
    <s v=""/>
    <s v=""/>
    <s v=""/>
    <s v=""/>
    <s v=""/>
    <s v=""/>
    <m/>
    <m/>
    <m/>
    <m/>
    <m/>
    <m/>
    <m/>
    <m/>
    <m/>
    <m/>
    <m/>
    <m/>
    <m/>
    <m/>
    <m/>
    <s v=" "/>
    <m/>
    <s v=" "/>
    <m/>
    <m/>
  </r>
  <r>
    <x v="45"/>
    <d v="2023-02-15T00:00:00"/>
    <x v="14"/>
    <x v="1"/>
    <x v="0"/>
    <x v="0"/>
    <x v="0"/>
    <x v="0"/>
    <s v=""/>
    <s v=""/>
    <s v=""/>
    <s v=""/>
    <s v=""/>
    <s v=""/>
    <s v=""/>
    <s v=""/>
    <s v=""/>
    <s v=""/>
    <m/>
    <m/>
    <m/>
    <m/>
    <m/>
    <m/>
    <m/>
    <m/>
    <m/>
    <m/>
    <m/>
    <m/>
    <m/>
    <m/>
    <m/>
    <s v=" "/>
    <m/>
    <s v=" "/>
    <m/>
    <m/>
  </r>
  <r>
    <x v="46"/>
    <d v="2023-02-16T00:00:00"/>
    <x v="15"/>
    <x v="1"/>
    <x v="0"/>
    <x v="0"/>
    <x v="0"/>
    <x v="0"/>
    <s v=""/>
    <s v=""/>
    <s v=""/>
    <s v=""/>
    <s v=""/>
    <s v=""/>
    <s v=""/>
    <s v=""/>
    <s v=""/>
    <s v=""/>
    <m/>
    <m/>
    <m/>
    <m/>
    <m/>
    <m/>
    <m/>
    <m/>
    <m/>
    <m/>
    <m/>
    <m/>
    <m/>
    <m/>
    <m/>
    <s v=" "/>
    <m/>
    <s v=" "/>
    <m/>
    <m/>
  </r>
  <r>
    <x v="47"/>
    <d v="2023-02-17T00:00:00"/>
    <x v="16"/>
    <x v="1"/>
    <x v="0"/>
    <x v="0"/>
    <x v="0"/>
    <x v="0"/>
    <s v=""/>
    <s v=""/>
    <s v=""/>
    <s v=""/>
    <s v=""/>
    <s v=""/>
    <s v=""/>
    <s v=""/>
    <s v=""/>
    <s v=""/>
    <m/>
    <m/>
    <m/>
    <m/>
    <m/>
    <m/>
    <m/>
    <m/>
    <m/>
    <m/>
    <m/>
    <m/>
    <m/>
    <m/>
    <m/>
    <s v=" "/>
    <m/>
    <s v=" "/>
    <m/>
    <m/>
  </r>
  <r>
    <x v="48"/>
    <d v="2023-02-18T00:00:00"/>
    <x v="17"/>
    <x v="1"/>
    <x v="0"/>
    <x v="0"/>
    <x v="0"/>
    <x v="0"/>
    <s v=""/>
    <s v=""/>
    <s v=""/>
    <s v=""/>
    <s v=""/>
    <s v=""/>
    <s v=""/>
    <s v=""/>
    <s v=""/>
    <s v=""/>
    <m/>
    <m/>
    <m/>
    <m/>
    <m/>
    <m/>
    <m/>
    <m/>
    <m/>
    <m/>
    <m/>
    <m/>
    <m/>
    <m/>
    <m/>
    <s v=" "/>
    <m/>
    <s v=" "/>
    <m/>
    <m/>
  </r>
  <r>
    <x v="49"/>
    <d v="2023-02-19T00:00:00"/>
    <x v="18"/>
    <x v="1"/>
    <x v="0"/>
    <x v="0"/>
    <x v="0"/>
    <x v="0"/>
    <s v=""/>
    <s v=""/>
    <s v=""/>
    <s v=""/>
    <s v=""/>
    <s v=""/>
    <s v=""/>
    <s v=""/>
    <s v=""/>
    <s v=""/>
    <m/>
    <m/>
    <m/>
    <m/>
    <m/>
    <m/>
    <m/>
    <m/>
    <m/>
    <m/>
    <m/>
    <m/>
    <m/>
    <m/>
    <m/>
    <s v=" "/>
    <m/>
    <s v=" "/>
    <m/>
    <m/>
  </r>
  <r>
    <x v="50"/>
    <d v="2023-02-20T00:00:00"/>
    <x v="19"/>
    <x v="1"/>
    <x v="0"/>
    <x v="0"/>
    <x v="0"/>
    <x v="0"/>
    <s v=""/>
    <s v=""/>
    <s v=""/>
    <s v=""/>
    <s v=""/>
    <s v=""/>
    <s v=""/>
    <s v=""/>
    <s v=""/>
    <s v=""/>
    <m/>
    <m/>
    <m/>
    <m/>
    <m/>
    <m/>
    <m/>
    <m/>
    <m/>
    <m/>
    <m/>
    <m/>
    <m/>
    <m/>
    <m/>
    <s v=" "/>
    <m/>
    <s v=" "/>
    <m/>
    <m/>
  </r>
  <r>
    <x v="51"/>
    <d v="2023-02-21T00:00:00"/>
    <x v="20"/>
    <x v="1"/>
    <x v="0"/>
    <x v="0"/>
    <x v="0"/>
    <x v="0"/>
    <s v=""/>
    <s v=""/>
    <s v=""/>
    <s v=""/>
    <s v=""/>
    <s v=""/>
    <s v=""/>
    <s v=""/>
    <s v=""/>
    <s v=""/>
    <m/>
    <m/>
    <m/>
    <m/>
    <m/>
    <m/>
    <m/>
    <m/>
    <m/>
    <m/>
    <m/>
    <m/>
    <m/>
    <m/>
    <m/>
    <s v=" "/>
    <m/>
    <s v=" "/>
    <m/>
    <m/>
  </r>
  <r>
    <x v="52"/>
    <d v="2023-02-22T00:00:00"/>
    <x v="21"/>
    <x v="1"/>
    <x v="0"/>
    <x v="0"/>
    <x v="0"/>
    <x v="0"/>
    <s v=""/>
    <s v=""/>
    <s v=""/>
    <s v=""/>
    <s v=""/>
    <s v=""/>
    <s v=""/>
    <s v=""/>
    <s v=""/>
    <s v=""/>
    <m/>
    <m/>
    <m/>
    <m/>
    <m/>
    <m/>
    <m/>
    <m/>
    <m/>
    <m/>
    <m/>
    <m/>
    <m/>
    <m/>
    <m/>
    <s v=" "/>
    <m/>
    <s v=" "/>
    <m/>
    <m/>
  </r>
  <r>
    <x v="53"/>
    <d v="2023-02-23T00:00:00"/>
    <x v="22"/>
    <x v="1"/>
    <x v="0"/>
    <x v="0"/>
    <x v="0"/>
    <x v="0"/>
    <s v=""/>
    <s v=""/>
    <s v=""/>
    <s v=""/>
    <s v=""/>
    <s v=""/>
    <s v=""/>
    <s v=""/>
    <s v=""/>
    <s v=""/>
    <m/>
    <m/>
    <m/>
    <m/>
    <m/>
    <m/>
    <m/>
    <m/>
    <m/>
    <m/>
    <m/>
    <m/>
    <m/>
    <m/>
    <m/>
    <s v=" "/>
    <m/>
    <s v=" "/>
    <m/>
    <m/>
  </r>
  <r>
    <x v="54"/>
    <d v="2023-02-24T00:00:00"/>
    <x v="23"/>
    <x v="1"/>
    <x v="0"/>
    <x v="0"/>
    <x v="0"/>
    <x v="0"/>
    <s v=""/>
    <s v=""/>
    <s v=""/>
    <s v=""/>
    <s v=""/>
    <s v=""/>
    <s v=""/>
    <s v=""/>
    <s v=""/>
    <s v=""/>
    <m/>
    <m/>
    <m/>
    <m/>
    <m/>
    <m/>
    <m/>
    <m/>
    <m/>
    <m/>
    <m/>
    <m/>
    <m/>
    <m/>
    <m/>
    <s v=" "/>
    <m/>
    <s v=" "/>
    <m/>
    <m/>
  </r>
  <r>
    <x v="55"/>
    <d v="2023-02-25T00:00:00"/>
    <x v="24"/>
    <x v="1"/>
    <x v="0"/>
    <x v="0"/>
    <x v="0"/>
    <x v="0"/>
    <s v=""/>
    <s v=""/>
    <s v=""/>
    <s v=""/>
    <s v=""/>
    <s v=""/>
    <s v=""/>
    <s v=""/>
    <s v=""/>
    <s v=""/>
    <m/>
    <m/>
    <m/>
    <m/>
    <m/>
    <m/>
    <m/>
    <m/>
    <m/>
    <m/>
    <m/>
    <m/>
    <m/>
    <m/>
    <m/>
    <s v=" "/>
    <m/>
    <s v=" "/>
    <m/>
    <m/>
  </r>
  <r>
    <x v="56"/>
    <d v="2023-02-26T00:00:00"/>
    <x v="25"/>
    <x v="1"/>
    <x v="0"/>
    <x v="0"/>
    <x v="0"/>
    <x v="0"/>
    <s v=""/>
    <s v=""/>
    <s v=""/>
    <s v=""/>
    <s v=""/>
    <s v=""/>
    <s v=""/>
    <s v=""/>
    <s v=""/>
    <s v=""/>
    <m/>
    <m/>
    <m/>
    <m/>
    <m/>
    <m/>
    <m/>
    <m/>
    <m/>
    <m/>
    <m/>
    <m/>
    <m/>
    <m/>
    <m/>
    <s v=" "/>
    <m/>
    <s v=" "/>
    <m/>
    <m/>
  </r>
  <r>
    <x v="57"/>
    <d v="2023-02-27T00:00:00"/>
    <x v="26"/>
    <x v="1"/>
    <x v="0"/>
    <x v="0"/>
    <x v="0"/>
    <x v="0"/>
    <s v=""/>
    <s v=""/>
    <s v=""/>
    <s v=""/>
    <s v=""/>
    <s v=""/>
    <s v=""/>
    <s v=""/>
    <s v=""/>
    <s v=""/>
    <m/>
    <m/>
    <m/>
    <m/>
    <m/>
    <m/>
    <m/>
    <m/>
    <m/>
    <m/>
    <m/>
    <m/>
    <m/>
    <m/>
    <m/>
    <s v=" "/>
    <m/>
    <s v=" "/>
    <m/>
    <m/>
  </r>
  <r>
    <x v="58"/>
    <d v="2023-02-28T00:00:00"/>
    <x v="27"/>
    <x v="1"/>
    <x v="0"/>
    <x v="0"/>
    <x v="0"/>
    <x v="0"/>
    <s v=""/>
    <s v=""/>
    <s v=""/>
    <s v=""/>
    <s v=""/>
    <s v=""/>
    <s v=""/>
    <s v=""/>
    <s v=""/>
    <s v=""/>
    <m/>
    <m/>
    <m/>
    <m/>
    <m/>
    <m/>
    <m/>
    <m/>
    <m/>
    <m/>
    <m/>
    <m/>
    <m/>
    <m/>
    <m/>
    <s v=" "/>
    <m/>
    <s v=" "/>
    <m/>
    <m/>
  </r>
  <r>
    <x v="59"/>
    <d v="2023-03-01T00:00:00"/>
    <x v="0"/>
    <x v="2"/>
    <x v="0"/>
    <x v="0"/>
    <x v="0"/>
    <x v="0"/>
    <s v=""/>
    <s v=""/>
    <s v=""/>
    <s v=""/>
    <s v=""/>
    <s v=""/>
    <s v=""/>
    <s v=""/>
    <s v=""/>
    <s v=""/>
    <m/>
    <m/>
    <m/>
    <m/>
    <m/>
    <m/>
    <m/>
    <m/>
    <m/>
    <m/>
    <m/>
    <m/>
    <m/>
    <m/>
    <m/>
    <s v=" "/>
    <m/>
    <s v=" "/>
    <m/>
    <m/>
  </r>
  <r>
    <x v="60"/>
    <d v="2023-03-02T00:00:00"/>
    <x v="1"/>
    <x v="2"/>
    <x v="0"/>
    <x v="0"/>
    <x v="0"/>
    <x v="0"/>
    <s v=""/>
    <s v=""/>
    <s v=""/>
    <s v=""/>
    <s v=""/>
    <s v=""/>
    <s v=""/>
    <s v=""/>
    <s v=""/>
    <s v=""/>
    <m/>
    <m/>
    <m/>
    <m/>
    <m/>
    <m/>
    <m/>
    <m/>
    <m/>
    <m/>
    <m/>
    <m/>
    <m/>
    <m/>
    <m/>
    <s v=" "/>
    <m/>
    <s v=" "/>
    <m/>
    <m/>
  </r>
  <r>
    <x v="61"/>
    <d v="2023-03-03T00:00:00"/>
    <x v="2"/>
    <x v="2"/>
    <x v="0"/>
    <x v="0"/>
    <x v="0"/>
    <x v="0"/>
    <s v=""/>
    <s v=""/>
    <s v=""/>
    <s v=""/>
    <s v=""/>
    <s v=""/>
    <s v=""/>
    <s v=""/>
    <s v=""/>
    <s v=""/>
    <m/>
    <m/>
    <m/>
    <m/>
    <m/>
    <m/>
    <m/>
    <m/>
    <m/>
    <m/>
    <m/>
    <m/>
    <m/>
    <m/>
    <m/>
    <s v=" "/>
    <m/>
    <s v=" "/>
    <m/>
    <m/>
  </r>
  <r>
    <x v="62"/>
    <d v="2023-03-04T00:00:00"/>
    <x v="3"/>
    <x v="2"/>
    <x v="0"/>
    <x v="0"/>
    <x v="0"/>
    <x v="0"/>
    <s v=""/>
    <s v=""/>
    <s v=""/>
    <s v=""/>
    <s v=""/>
    <s v=""/>
    <s v=""/>
    <s v=""/>
    <s v=""/>
    <s v=""/>
    <m/>
    <m/>
    <m/>
    <m/>
    <m/>
    <m/>
    <m/>
    <m/>
    <m/>
    <m/>
    <m/>
    <m/>
    <m/>
    <m/>
    <m/>
    <s v=" "/>
    <m/>
    <s v=" "/>
    <m/>
    <m/>
  </r>
  <r>
    <x v="63"/>
    <d v="2023-03-05T00:00:00"/>
    <x v="4"/>
    <x v="2"/>
    <x v="0"/>
    <x v="0"/>
    <x v="0"/>
    <x v="0"/>
    <s v=""/>
    <s v=""/>
    <s v=""/>
    <s v=""/>
    <s v=""/>
    <s v=""/>
    <s v=""/>
    <s v=""/>
    <s v=""/>
    <s v=""/>
    <m/>
    <m/>
    <m/>
    <m/>
    <m/>
    <m/>
    <m/>
    <m/>
    <m/>
    <m/>
    <m/>
    <m/>
    <m/>
    <m/>
    <m/>
    <s v=" "/>
    <m/>
    <s v=" "/>
    <m/>
    <m/>
  </r>
  <r>
    <x v="64"/>
    <d v="2023-03-06T00:00:00"/>
    <x v="5"/>
    <x v="2"/>
    <x v="0"/>
    <x v="0"/>
    <x v="0"/>
    <x v="0"/>
    <s v=""/>
    <s v=""/>
    <s v=""/>
    <s v=""/>
    <s v=""/>
    <s v=""/>
    <s v=""/>
    <s v=""/>
    <s v=""/>
    <s v=""/>
    <m/>
    <m/>
    <m/>
    <m/>
    <m/>
    <m/>
    <m/>
    <m/>
    <m/>
    <m/>
    <m/>
    <m/>
    <m/>
    <m/>
    <m/>
    <s v=" "/>
    <m/>
    <s v=" "/>
    <m/>
    <m/>
  </r>
  <r>
    <x v="65"/>
    <d v="2023-03-07T00:00:00"/>
    <x v="6"/>
    <x v="2"/>
    <x v="0"/>
    <x v="0"/>
    <x v="0"/>
    <x v="0"/>
    <s v=""/>
    <s v=""/>
    <s v=""/>
    <s v=""/>
    <s v=""/>
    <s v=""/>
    <s v=""/>
    <s v=""/>
    <s v=""/>
    <s v=""/>
    <m/>
    <m/>
    <m/>
    <m/>
    <m/>
    <m/>
    <m/>
    <m/>
    <m/>
    <m/>
    <m/>
    <m/>
    <m/>
    <m/>
    <m/>
    <s v=" "/>
    <m/>
    <s v=" "/>
    <m/>
    <m/>
  </r>
  <r>
    <x v="66"/>
    <d v="2023-03-08T00:00:00"/>
    <x v="7"/>
    <x v="2"/>
    <x v="0"/>
    <x v="0"/>
    <x v="0"/>
    <x v="0"/>
    <s v=""/>
    <s v=""/>
    <s v=""/>
    <s v=""/>
    <s v=""/>
    <s v=""/>
    <s v=""/>
    <s v=""/>
    <s v=""/>
    <s v=""/>
    <m/>
    <m/>
    <m/>
    <m/>
    <m/>
    <m/>
    <m/>
    <m/>
    <m/>
    <m/>
    <m/>
    <m/>
    <m/>
    <m/>
    <m/>
    <s v=" "/>
    <m/>
    <s v=" "/>
    <m/>
    <m/>
  </r>
  <r>
    <x v="67"/>
    <d v="2023-03-09T00:00:00"/>
    <x v="8"/>
    <x v="2"/>
    <x v="0"/>
    <x v="0"/>
    <x v="0"/>
    <x v="0"/>
    <s v=""/>
    <s v=""/>
    <s v=""/>
    <s v=""/>
    <s v=""/>
    <s v=""/>
    <s v=""/>
    <s v=""/>
    <s v=""/>
    <s v=""/>
    <m/>
    <m/>
    <m/>
    <m/>
    <m/>
    <m/>
    <m/>
    <m/>
    <m/>
    <m/>
    <m/>
    <m/>
    <m/>
    <m/>
    <m/>
    <s v=" "/>
    <m/>
    <s v=" "/>
    <m/>
    <m/>
  </r>
  <r>
    <x v="68"/>
    <d v="2023-03-10T00:00:00"/>
    <x v="9"/>
    <x v="2"/>
    <x v="0"/>
    <x v="0"/>
    <x v="0"/>
    <x v="0"/>
    <s v=""/>
    <s v=""/>
    <s v=""/>
    <s v=""/>
    <s v=""/>
    <s v=""/>
    <s v=""/>
    <s v=""/>
    <s v=""/>
    <s v=""/>
    <m/>
    <m/>
    <m/>
    <m/>
    <m/>
    <m/>
    <m/>
    <m/>
    <m/>
    <m/>
    <m/>
    <m/>
    <m/>
    <m/>
    <m/>
    <s v=" "/>
    <m/>
    <s v=" "/>
    <m/>
    <m/>
  </r>
  <r>
    <x v="69"/>
    <d v="2023-03-11T00:00:00"/>
    <x v="10"/>
    <x v="2"/>
    <x v="0"/>
    <x v="0"/>
    <x v="0"/>
    <x v="0"/>
    <s v=""/>
    <s v=""/>
    <s v=""/>
    <s v=""/>
    <s v=""/>
    <s v=""/>
    <s v=""/>
    <s v=""/>
    <s v=""/>
    <s v=""/>
    <m/>
    <m/>
    <m/>
    <m/>
    <m/>
    <m/>
    <m/>
    <m/>
    <m/>
    <m/>
    <m/>
    <m/>
    <m/>
    <m/>
    <m/>
    <s v=" "/>
    <m/>
    <s v=" "/>
    <m/>
    <m/>
  </r>
  <r>
    <x v="70"/>
    <d v="2023-03-12T00:00:00"/>
    <x v="11"/>
    <x v="2"/>
    <x v="0"/>
    <x v="0"/>
    <x v="0"/>
    <x v="0"/>
    <s v=""/>
    <s v=""/>
    <s v=""/>
    <s v=""/>
    <s v=""/>
    <s v=""/>
    <s v=""/>
    <s v=""/>
    <s v=""/>
    <s v=""/>
    <m/>
    <m/>
    <m/>
    <m/>
    <m/>
    <m/>
    <m/>
    <m/>
    <m/>
    <m/>
    <m/>
    <m/>
    <m/>
    <m/>
    <m/>
    <s v=" "/>
    <m/>
    <s v=" "/>
    <m/>
    <m/>
  </r>
  <r>
    <x v="71"/>
    <d v="2023-03-13T00:00:00"/>
    <x v="12"/>
    <x v="2"/>
    <x v="0"/>
    <x v="0"/>
    <x v="0"/>
    <x v="0"/>
    <s v=""/>
    <s v=""/>
    <s v=""/>
    <s v=""/>
    <s v=""/>
    <s v=""/>
    <s v=""/>
    <s v=""/>
    <s v=""/>
    <s v=""/>
    <m/>
    <m/>
    <m/>
    <m/>
    <m/>
    <m/>
    <m/>
    <m/>
    <m/>
    <m/>
    <m/>
    <m/>
    <m/>
    <m/>
    <m/>
    <s v=" "/>
    <m/>
    <s v=" "/>
    <m/>
    <m/>
  </r>
  <r>
    <x v="72"/>
    <d v="2023-03-14T00:00:00"/>
    <x v="13"/>
    <x v="2"/>
    <x v="0"/>
    <x v="0"/>
    <x v="0"/>
    <x v="0"/>
    <s v=""/>
    <s v=""/>
    <s v=""/>
    <s v=""/>
    <s v=""/>
    <s v=""/>
    <s v=""/>
    <s v=""/>
    <s v=""/>
    <s v=""/>
    <m/>
    <m/>
    <m/>
    <m/>
    <m/>
    <m/>
    <m/>
    <m/>
    <m/>
    <m/>
    <m/>
    <m/>
    <m/>
    <m/>
    <m/>
    <s v=" "/>
    <m/>
    <s v=" "/>
    <m/>
    <m/>
  </r>
  <r>
    <x v="73"/>
    <d v="2023-03-15T00:00:00"/>
    <x v="14"/>
    <x v="2"/>
    <x v="0"/>
    <x v="0"/>
    <x v="0"/>
    <x v="0"/>
    <s v=""/>
    <s v=""/>
    <s v=""/>
    <s v=""/>
    <s v=""/>
    <s v=""/>
    <s v=""/>
    <s v=""/>
    <s v=""/>
    <s v=""/>
    <m/>
    <m/>
    <m/>
    <m/>
    <m/>
    <m/>
    <m/>
    <m/>
    <m/>
    <m/>
    <m/>
    <m/>
    <m/>
    <m/>
    <m/>
    <s v=" "/>
    <m/>
    <s v=" "/>
    <m/>
    <m/>
  </r>
  <r>
    <x v="74"/>
    <d v="2023-03-16T00:00:00"/>
    <x v="15"/>
    <x v="2"/>
    <x v="0"/>
    <x v="0"/>
    <x v="0"/>
    <x v="0"/>
    <s v=""/>
    <s v=""/>
    <s v=""/>
    <s v=""/>
    <s v=""/>
    <s v=""/>
    <s v=""/>
    <s v=""/>
    <s v=""/>
    <s v=""/>
    <m/>
    <m/>
    <m/>
    <m/>
    <m/>
    <m/>
    <m/>
    <m/>
    <m/>
    <m/>
    <m/>
    <m/>
    <m/>
    <m/>
    <m/>
    <s v=" "/>
    <m/>
    <s v=" "/>
    <m/>
    <m/>
  </r>
  <r>
    <x v="75"/>
    <d v="2023-03-17T00:00:00"/>
    <x v="16"/>
    <x v="2"/>
    <x v="0"/>
    <x v="0"/>
    <x v="0"/>
    <x v="0"/>
    <s v=""/>
    <s v=""/>
    <s v=""/>
    <s v=""/>
    <s v=""/>
    <s v=""/>
    <s v=""/>
    <s v=""/>
    <s v=""/>
    <s v=""/>
    <m/>
    <m/>
    <m/>
    <m/>
    <m/>
    <m/>
    <m/>
    <m/>
    <m/>
    <m/>
    <m/>
    <m/>
    <m/>
    <m/>
    <m/>
    <s v=" "/>
    <m/>
    <s v=" "/>
    <m/>
    <m/>
  </r>
  <r>
    <x v="76"/>
    <d v="2023-03-18T00:00:00"/>
    <x v="17"/>
    <x v="2"/>
    <x v="0"/>
    <x v="0"/>
    <x v="0"/>
    <x v="0"/>
    <s v=""/>
    <s v=""/>
    <s v=""/>
    <s v=""/>
    <s v=""/>
    <s v=""/>
    <s v=""/>
    <s v=""/>
    <s v=""/>
    <s v=""/>
    <m/>
    <m/>
    <m/>
    <m/>
    <m/>
    <m/>
    <m/>
    <m/>
    <m/>
    <m/>
    <m/>
    <m/>
    <m/>
    <m/>
    <m/>
    <s v=" "/>
    <m/>
    <s v=" "/>
    <m/>
    <m/>
  </r>
  <r>
    <x v="77"/>
    <d v="2023-03-19T00:00:00"/>
    <x v="18"/>
    <x v="2"/>
    <x v="0"/>
    <x v="0"/>
    <x v="0"/>
    <x v="0"/>
    <s v=""/>
    <s v=""/>
    <s v=""/>
    <s v=""/>
    <s v=""/>
    <s v=""/>
    <s v=""/>
    <s v=""/>
    <s v=""/>
    <s v=""/>
    <m/>
    <m/>
    <m/>
    <m/>
    <m/>
    <m/>
    <m/>
    <m/>
    <m/>
    <m/>
    <m/>
    <m/>
    <m/>
    <m/>
    <m/>
    <s v=" "/>
    <m/>
    <s v=" "/>
    <m/>
    <m/>
  </r>
  <r>
    <x v="78"/>
    <d v="2023-03-20T00:00:00"/>
    <x v="19"/>
    <x v="2"/>
    <x v="0"/>
    <x v="0"/>
    <x v="0"/>
    <x v="0"/>
    <s v=""/>
    <s v=""/>
    <s v=""/>
    <s v=""/>
    <s v=""/>
    <s v=""/>
    <s v=""/>
    <s v=""/>
    <s v=""/>
    <s v=""/>
    <m/>
    <m/>
    <m/>
    <m/>
    <m/>
    <m/>
    <m/>
    <m/>
    <m/>
    <m/>
    <m/>
    <m/>
    <m/>
    <m/>
    <m/>
    <s v=" "/>
    <m/>
    <s v=" "/>
    <m/>
    <m/>
  </r>
  <r>
    <x v="79"/>
    <d v="2023-03-21T00:00:00"/>
    <x v="20"/>
    <x v="2"/>
    <x v="0"/>
    <x v="0"/>
    <x v="0"/>
    <x v="0"/>
    <s v=""/>
    <s v=""/>
    <s v=""/>
    <s v=""/>
    <s v=""/>
    <s v=""/>
    <s v=""/>
    <s v=""/>
    <s v=""/>
    <s v=""/>
    <m/>
    <m/>
    <m/>
    <m/>
    <m/>
    <m/>
    <m/>
    <m/>
    <m/>
    <m/>
    <m/>
    <m/>
    <m/>
    <m/>
    <m/>
    <s v=" "/>
    <m/>
    <s v=" "/>
    <m/>
    <m/>
  </r>
  <r>
    <x v="80"/>
    <d v="2023-03-22T00:00:00"/>
    <x v="21"/>
    <x v="2"/>
    <x v="0"/>
    <x v="0"/>
    <x v="0"/>
    <x v="0"/>
    <s v=""/>
    <s v=""/>
    <s v=""/>
    <s v=""/>
    <s v=""/>
    <s v=""/>
    <s v=""/>
    <s v=""/>
    <s v=""/>
    <s v=""/>
    <m/>
    <m/>
    <m/>
    <m/>
    <m/>
    <m/>
    <m/>
    <m/>
    <m/>
    <m/>
    <m/>
    <m/>
    <m/>
    <m/>
    <m/>
    <s v=" "/>
    <m/>
    <s v=" "/>
    <m/>
    <m/>
  </r>
  <r>
    <x v="81"/>
    <d v="2023-03-23T00:00:00"/>
    <x v="22"/>
    <x v="2"/>
    <x v="0"/>
    <x v="0"/>
    <x v="0"/>
    <x v="0"/>
    <s v=""/>
    <s v=""/>
    <s v=""/>
    <s v=""/>
    <s v=""/>
    <s v=""/>
    <s v=""/>
    <s v=""/>
    <s v=""/>
    <s v=""/>
    <m/>
    <m/>
    <m/>
    <m/>
    <m/>
    <m/>
    <m/>
    <m/>
    <m/>
    <m/>
    <m/>
    <m/>
    <m/>
    <m/>
    <m/>
    <s v=" "/>
    <m/>
    <s v=" "/>
    <m/>
    <m/>
  </r>
  <r>
    <x v="82"/>
    <d v="2023-03-24T00:00:00"/>
    <x v="23"/>
    <x v="2"/>
    <x v="0"/>
    <x v="0"/>
    <x v="0"/>
    <x v="0"/>
    <s v=""/>
    <s v=""/>
    <s v=""/>
    <s v=""/>
    <s v=""/>
    <s v=""/>
    <s v=""/>
    <s v=""/>
    <s v=""/>
    <s v=""/>
    <m/>
    <m/>
    <m/>
    <m/>
    <m/>
    <m/>
    <m/>
    <m/>
    <m/>
    <m/>
    <m/>
    <m/>
    <m/>
    <m/>
    <m/>
    <s v=" "/>
    <m/>
    <s v=" "/>
    <m/>
    <m/>
  </r>
  <r>
    <x v="83"/>
    <d v="2023-03-25T00:00:00"/>
    <x v="24"/>
    <x v="2"/>
    <x v="0"/>
    <x v="0"/>
    <x v="0"/>
    <x v="0"/>
    <s v=""/>
    <s v=""/>
    <s v=""/>
    <s v=""/>
    <s v=""/>
    <s v=""/>
    <s v=""/>
    <s v=""/>
    <s v=""/>
    <s v=""/>
    <m/>
    <m/>
    <m/>
    <m/>
    <m/>
    <m/>
    <m/>
    <m/>
    <m/>
    <m/>
    <m/>
    <m/>
    <m/>
    <m/>
    <m/>
    <s v=" "/>
    <m/>
    <s v=" "/>
    <m/>
    <m/>
  </r>
  <r>
    <x v="84"/>
    <d v="2023-03-26T00:00:00"/>
    <x v="25"/>
    <x v="2"/>
    <x v="0"/>
    <x v="0"/>
    <x v="0"/>
    <x v="0"/>
    <s v=""/>
    <s v=""/>
    <s v=""/>
    <s v=""/>
    <s v=""/>
    <s v=""/>
    <s v=""/>
    <s v=""/>
    <s v=""/>
    <s v=""/>
    <m/>
    <m/>
    <m/>
    <m/>
    <m/>
    <m/>
    <m/>
    <m/>
    <m/>
    <m/>
    <m/>
    <m/>
    <m/>
    <m/>
    <m/>
    <s v=" "/>
    <m/>
    <s v=" "/>
    <m/>
    <m/>
  </r>
  <r>
    <x v="85"/>
    <d v="2023-03-27T00:00:00"/>
    <x v="26"/>
    <x v="2"/>
    <x v="0"/>
    <x v="0"/>
    <x v="0"/>
    <x v="0"/>
    <s v=""/>
    <s v=""/>
    <s v=""/>
    <s v=""/>
    <s v=""/>
    <s v=""/>
    <s v=""/>
    <s v=""/>
    <s v=""/>
    <s v=""/>
    <m/>
    <m/>
    <m/>
    <m/>
    <m/>
    <m/>
    <m/>
    <m/>
    <m/>
    <m/>
    <m/>
    <m/>
    <m/>
    <m/>
    <m/>
    <s v=" "/>
    <m/>
    <s v=" "/>
    <m/>
    <m/>
  </r>
  <r>
    <x v="86"/>
    <d v="2023-03-28T00:00:00"/>
    <x v="27"/>
    <x v="2"/>
    <x v="0"/>
    <x v="0"/>
    <x v="0"/>
    <x v="0"/>
    <s v=""/>
    <s v=""/>
    <s v=""/>
    <s v=""/>
    <s v=""/>
    <s v=""/>
    <s v=""/>
    <s v=""/>
    <s v=""/>
    <s v=""/>
    <m/>
    <m/>
    <m/>
    <m/>
    <m/>
    <m/>
    <m/>
    <m/>
    <m/>
    <m/>
    <m/>
    <m/>
    <m/>
    <m/>
    <m/>
    <s v=" "/>
    <m/>
    <s v=" "/>
    <m/>
    <m/>
  </r>
  <r>
    <x v="87"/>
    <d v="2023-03-29T00:00:00"/>
    <x v="28"/>
    <x v="2"/>
    <x v="0"/>
    <x v="0"/>
    <x v="0"/>
    <x v="0"/>
    <s v=""/>
    <s v=""/>
    <s v=""/>
    <s v=""/>
    <s v=""/>
    <s v=""/>
    <s v=""/>
    <s v=""/>
    <s v=""/>
    <s v=""/>
    <m/>
    <m/>
    <m/>
    <m/>
    <m/>
    <m/>
    <m/>
    <m/>
    <m/>
    <m/>
    <m/>
    <m/>
    <m/>
    <m/>
    <m/>
    <s v=" "/>
    <m/>
    <s v=" "/>
    <m/>
    <m/>
  </r>
  <r>
    <x v="88"/>
    <d v="2023-03-30T00:00:00"/>
    <x v="29"/>
    <x v="2"/>
    <x v="0"/>
    <x v="0"/>
    <x v="0"/>
    <x v="0"/>
    <s v=""/>
    <s v=""/>
    <s v=""/>
    <s v=""/>
    <s v=""/>
    <s v=""/>
    <s v=""/>
    <s v=""/>
    <s v=""/>
    <s v=""/>
    <m/>
    <m/>
    <m/>
    <m/>
    <m/>
    <m/>
    <m/>
    <m/>
    <m/>
    <m/>
    <m/>
    <m/>
    <m/>
    <m/>
    <m/>
    <s v=" "/>
    <m/>
    <s v=" "/>
    <m/>
    <m/>
  </r>
  <r>
    <x v="89"/>
    <d v="2023-03-31T00:00:00"/>
    <x v="30"/>
    <x v="2"/>
    <x v="0"/>
    <x v="0"/>
    <x v="0"/>
    <x v="0"/>
    <s v=""/>
    <s v=""/>
    <s v=""/>
    <s v=""/>
    <s v=""/>
    <s v=""/>
    <s v=""/>
    <s v=""/>
    <s v=""/>
    <s v=""/>
    <m/>
    <m/>
    <m/>
    <m/>
    <m/>
    <m/>
    <m/>
    <m/>
    <m/>
    <m/>
    <m/>
    <m/>
    <m/>
    <m/>
    <m/>
    <s v=" "/>
    <m/>
    <s v=" "/>
    <m/>
    <m/>
  </r>
  <r>
    <x v="90"/>
    <d v="2023-04-01T00:00:00"/>
    <x v="0"/>
    <x v="3"/>
    <x v="0"/>
    <x v="0"/>
    <x v="0"/>
    <x v="0"/>
    <s v=""/>
    <s v=""/>
    <s v=""/>
    <s v=""/>
    <s v=""/>
    <s v=""/>
    <s v=""/>
    <s v=""/>
    <s v=""/>
    <s v=""/>
    <m/>
    <m/>
    <m/>
    <m/>
    <m/>
    <m/>
    <m/>
    <m/>
    <m/>
    <m/>
    <m/>
    <m/>
    <m/>
    <m/>
    <m/>
    <s v=" "/>
    <m/>
    <s v=" "/>
    <m/>
    <m/>
  </r>
  <r>
    <x v="91"/>
    <d v="2023-04-02T00:00:00"/>
    <x v="1"/>
    <x v="3"/>
    <x v="0"/>
    <x v="0"/>
    <x v="0"/>
    <x v="0"/>
    <s v=""/>
    <s v=""/>
    <s v=""/>
    <s v=""/>
    <s v=""/>
    <s v=""/>
    <s v=""/>
    <s v=""/>
    <s v=""/>
    <s v=""/>
    <m/>
    <m/>
    <m/>
    <m/>
    <m/>
    <m/>
    <m/>
    <m/>
    <m/>
    <m/>
    <m/>
    <m/>
    <m/>
    <m/>
    <m/>
    <s v=" "/>
    <m/>
    <s v=" "/>
    <m/>
    <m/>
  </r>
  <r>
    <x v="92"/>
    <d v="2023-04-03T00:00:00"/>
    <x v="2"/>
    <x v="3"/>
    <x v="0"/>
    <x v="0"/>
    <x v="0"/>
    <x v="0"/>
    <s v=""/>
    <s v=""/>
    <s v=""/>
    <s v=""/>
    <s v=""/>
    <s v=""/>
    <s v=""/>
    <s v=""/>
    <s v=""/>
    <s v=""/>
    <m/>
    <m/>
    <m/>
    <m/>
    <m/>
    <m/>
    <m/>
    <m/>
    <m/>
    <m/>
    <m/>
    <m/>
    <m/>
    <m/>
    <m/>
    <s v=" "/>
    <m/>
    <s v=" "/>
    <m/>
    <m/>
  </r>
  <r>
    <x v="93"/>
    <d v="2023-04-04T00:00:00"/>
    <x v="3"/>
    <x v="3"/>
    <x v="0"/>
    <x v="0"/>
    <x v="0"/>
    <x v="0"/>
    <s v=""/>
    <s v=""/>
    <s v=""/>
    <s v=""/>
    <s v=""/>
    <s v=""/>
    <s v=""/>
    <s v=""/>
    <s v=""/>
    <s v=""/>
    <m/>
    <m/>
    <m/>
    <m/>
    <m/>
    <m/>
    <m/>
    <m/>
    <m/>
    <m/>
    <m/>
    <m/>
    <m/>
    <m/>
    <m/>
    <s v=" "/>
    <m/>
    <s v=" "/>
    <m/>
    <m/>
  </r>
  <r>
    <x v="94"/>
    <d v="2023-04-05T00:00:00"/>
    <x v="4"/>
    <x v="3"/>
    <x v="0"/>
    <x v="0"/>
    <x v="0"/>
    <x v="0"/>
    <s v=""/>
    <s v=""/>
    <s v=""/>
    <s v=""/>
    <s v=""/>
    <s v=""/>
    <s v=""/>
    <s v=""/>
    <s v=""/>
    <s v=""/>
    <m/>
    <m/>
    <m/>
    <m/>
    <m/>
    <m/>
    <m/>
    <m/>
    <m/>
    <m/>
    <m/>
    <m/>
    <m/>
    <m/>
    <m/>
    <s v=" "/>
    <m/>
    <s v=" "/>
    <m/>
    <m/>
  </r>
  <r>
    <x v="95"/>
    <d v="2023-04-06T00:00:00"/>
    <x v="5"/>
    <x v="3"/>
    <x v="0"/>
    <x v="0"/>
    <x v="0"/>
    <x v="0"/>
    <s v=""/>
    <s v=""/>
    <s v=""/>
    <s v=""/>
    <s v=""/>
    <s v=""/>
    <s v=""/>
    <s v=""/>
    <s v=""/>
    <s v=""/>
    <m/>
    <m/>
    <m/>
    <m/>
    <m/>
    <m/>
    <m/>
    <m/>
    <m/>
    <m/>
    <m/>
    <m/>
    <m/>
    <m/>
    <m/>
    <s v=" "/>
    <m/>
    <s v=" "/>
    <m/>
    <m/>
  </r>
  <r>
    <x v="96"/>
    <d v="2023-04-07T00:00:00"/>
    <x v="6"/>
    <x v="3"/>
    <x v="0"/>
    <x v="0"/>
    <x v="0"/>
    <x v="0"/>
    <s v=""/>
    <s v=""/>
    <s v=""/>
    <s v=""/>
    <s v=""/>
    <s v=""/>
    <s v=""/>
    <s v=""/>
    <s v=""/>
    <s v=""/>
    <m/>
    <m/>
    <m/>
    <m/>
    <m/>
    <m/>
    <m/>
    <m/>
    <m/>
    <m/>
    <m/>
    <m/>
    <m/>
    <m/>
    <m/>
    <s v=" "/>
    <m/>
    <s v=" "/>
    <m/>
    <m/>
  </r>
  <r>
    <x v="97"/>
    <d v="2023-04-08T00:00:00"/>
    <x v="7"/>
    <x v="3"/>
    <x v="0"/>
    <x v="0"/>
    <x v="0"/>
    <x v="0"/>
    <s v=""/>
    <s v=""/>
    <s v=""/>
    <s v=""/>
    <s v=""/>
    <s v=""/>
    <s v=""/>
    <s v=""/>
    <s v=""/>
    <s v=""/>
    <m/>
    <m/>
    <m/>
    <m/>
    <m/>
    <m/>
    <m/>
    <m/>
    <m/>
    <m/>
    <m/>
    <m/>
    <m/>
    <m/>
    <m/>
    <s v=" "/>
    <m/>
    <s v=" "/>
    <m/>
    <m/>
  </r>
  <r>
    <x v="98"/>
    <d v="2023-04-09T00:00:00"/>
    <x v="8"/>
    <x v="3"/>
    <x v="0"/>
    <x v="0"/>
    <x v="0"/>
    <x v="0"/>
    <s v=""/>
    <s v=""/>
    <s v=""/>
    <s v=""/>
    <s v=""/>
    <s v=""/>
    <s v=""/>
    <s v=""/>
    <s v=""/>
    <s v=""/>
    <m/>
    <m/>
    <m/>
    <m/>
    <m/>
    <m/>
    <m/>
    <m/>
    <m/>
    <m/>
    <m/>
    <m/>
    <m/>
    <m/>
    <m/>
    <s v=" "/>
    <m/>
    <s v=" "/>
    <m/>
    <m/>
  </r>
  <r>
    <x v="99"/>
    <d v="2023-04-10T00:00:00"/>
    <x v="9"/>
    <x v="3"/>
    <x v="0"/>
    <x v="0"/>
    <x v="0"/>
    <x v="0"/>
    <s v=""/>
    <s v=""/>
    <s v=""/>
    <s v=""/>
    <s v=""/>
    <s v=""/>
    <s v=""/>
    <s v=""/>
    <s v=""/>
    <s v=""/>
    <m/>
    <m/>
    <m/>
    <m/>
    <m/>
    <m/>
    <m/>
    <m/>
    <m/>
    <m/>
    <m/>
    <m/>
    <m/>
    <m/>
    <m/>
    <s v=" "/>
    <m/>
    <s v=" "/>
    <m/>
    <m/>
  </r>
  <r>
    <x v="100"/>
    <d v="2023-04-11T00:00:00"/>
    <x v="10"/>
    <x v="3"/>
    <x v="0"/>
    <x v="0"/>
    <x v="0"/>
    <x v="0"/>
    <s v=""/>
    <s v=""/>
    <s v=""/>
    <s v=""/>
    <s v=""/>
    <s v=""/>
    <s v=""/>
    <s v=""/>
    <s v=""/>
    <s v=""/>
    <m/>
    <m/>
    <m/>
    <m/>
    <m/>
    <m/>
    <m/>
    <m/>
    <m/>
    <m/>
    <m/>
    <m/>
    <m/>
    <m/>
    <m/>
    <s v=" "/>
    <m/>
    <s v=" "/>
    <m/>
    <m/>
  </r>
  <r>
    <x v="101"/>
    <d v="2023-04-12T00:00:00"/>
    <x v="11"/>
    <x v="3"/>
    <x v="0"/>
    <x v="0"/>
    <x v="0"/>
    <x v="0"/>
    <s v=""/>
    <s v=""/>
    <s v=""/>
    <s v=""/>
    <s v=""/>
    <s v=""/>
    <s v=""/>
    <s v=""/>
    <s v=""/>
    <s v=""/>
    <m/>
    <m/>
    <m/>
    <m/>
    <m/>
    <m/>
    <m/>
    <m/>
    <m/>
    <m/>
    <m/>
    <m/>
    <m/>
    <m/>
    <m/>
    <s v=" "/>
    <m/>
    <s v=" "/>
    <m/>
    <m/>
  </r>
  <r>
    <x v="102"/>
    <d v="2023-04-13T00:00:00"/>
    <x v="12"/>
    <x v="3"/>
    <x v="0"/>
    <x v="0"/>
    <x v="0"/>
    <x v="0"/>
    <s v=""/>
    <s v=""/>
    <s v=""/>
    <s v=""/>
    <s v=""/>
    <s v=""/>
    <s v=""/>
    <s v=""/>
    <s v=""/>
    <s v=""/>
    <m/>
    <m/>
    <m/>
    <m/>
    <m/>
    <m/>
    <m/>
    <m/>
    <m/>
    <m/>
    <m/>
    <m/>
    <m/>
    <m/>
    <m/>
    <s v=" "/>
    <m/>
    <s v=" "/>
    <m/>
    <m/>
  </r>
  <r>
    <x v="103"/>
    <d v="2023-04-14T00:00:00"/>
    <x v="13"/>
    <x v="3"/>
    <x v="0"/>
    <x v="0"/>
    <x v="0"/>
    <x v="0"/>
    <s v=""/>
    <s v=""/>
    <s v=""/>
    <s v=""/>
    <s v=""/>
    <s v=""/>
    <s v=""/>
    <s v=""/>
    <s v=""/>
    <s v=""/>
    <m/>
    <m/>
    <m/>
    <m/>
    <m/>
    <m/>
    <m/>
    <m/>
    <m/>
    <m/>
    <m/>
    <m/>
    <m/>
    <m/>
    <m/>
    <s v=" "/>
    <m/>
    <s v=" "/>
    <m/>
    <m/>
  </r>
  <r>
    <x v="104"/>
    <d v="2023-04-15T00:00:00"/>
    <x v="14"/>
    <x v="3"/>
    <x v="0"/>
    <x v="0"/>
    <x v="0"/>
    <x v="0"/>
    <s v=""/>
    <s v=""/>
    <s v=""/>
    <s v=""/>
    <s v=""/>
    <s v=""/>
    <s v=""/>
    <s v=""/>
    <s v=""/>
    <s v=""/>
    <m/>
    <m/>
    <m/>
    <m/>
    <m/>
    <m/>
    <m/>
    <m/>
    <m/>
    <m/>
    <m/>
    <m/>
    <m/>
    <m/>
    <m/>
    <s v=" "/>
    <m/>
    <s v=" "/>
    <m/>
    <m/>
  </r>
  <r>
    <x v="105"/>
    <d v="2023-04-16T00:00:00"/>
    <x v="15"/>
    <x v="3"/>
    <x v="0"/>
    <x v="0"/>
    <x v="0"/>
    <x v="0"/>
    <s v=""/>
    <s v=""/>
    <s v=""/>
    <s v=""/>
    <s v=""/>
    <s v=""/>
    <s v=""/>
    <s v=""/>
    <s v=""/>
    <s v=""/>
    <m/>
    <m/>
    <m/>
    <m/>
    <m/>
    <m/>
    <m/>
    <m/>
    <m/>
    <m/>
    <m/>
    <m/>
    <m/>
    <m/>
    <m/>
    <s v=" "/>
    <m/>
    <s v=" "/>
    <m/>
    <m/>
  </r>
  <r>
    <x v="106"/>
    <d v="2023-04-17T00:00:00"/>
    <x v="16"/>
    <x v="3"/>
    <x v="0"/>
    <x v="0"/>
    <x v="0"/>
    <x v="0"/>
    <s v=""/>
    <s v=""/>
    <s v=""/>
    <s v=""/>
    <s v=""/>
    <s v=""/>
    <s v=""/>
    <s v=""/>
    <s v=""/>
    <s v=""/>
    <m/>
    <m/>
    <m/>
    <m/>
    <m/>
    <m/>
    <m/>
    <m/>
    <m/>
    <m/>
    <m/>
    <m/>
    <m/>
    <m/>
    <m/>
    <s v=" "/>
    <m/>
    <s v=" "/>
    <m/>
    <m/>
  </r>
  <r>
    <x v="107"/>
    <d v="2023-04-18T00:00:00"/>
    <x v="17"/>
    <x v="3"/>
    <x v="0"/>
    <x v="0"/>
    <x v="0"/>
    <x v="0"/>
    <s v=""/>
    <s v=""/>
    <s v=""/>
    <s v=""/>
    <s v=""/>
    <s v=""/>
    <s v=""/>
    <s v=""/>
    <s v=""/>
    <s v=""/>
    <m/>
    <m/>
    <m/>
    <m/>
    <m/>
    <m/>
    <m/>
    <m/>
    <m/>
    <m/>
    <m/>
    <m/>
    <m/>
    <m/>
    <m/>
    <s v=" "/>
    <m/>
    <s v=" "/>
    <m/>
    <m/>
  </r>
  <r>
    <x v="108"/>
    <d v="2023-04-19T00:00:00"/>
    <x v="18"/>
    <x v="3"/>
    <x v="0"/>
    <x v="0"/>
    <x v="0"/>
    <x v="0"/>
    <s v=""/>
    <s v=""/>
    <s v=""/>
    <s v=""/>
    <s v=""/>
    <s v=""/>
    <s v=""/>
    <s v=""/>
    <s v=""/>
    <s v=""/>
    <m/>
    <m/>
    <m/>
    <m/>
    <m/>
    <m/>
    <m/>
    <m/>
    <m/>
    <m/>
    <m/>
    <m/>
    <m/>
    <m/>
    <m/>
    <s v=" "/>
    <m/>
    <s v=" "/>
    <m/>
    <m/>
  </r>
  <r>
    <x v="109"/>
    <d v="2023-04-20T00:00:00"/>
    <x v="19"/>
    <x v="3"/>
    <x v="0"/>
    <x v="0"/>
    <x v="0"/>
    <x v="0"/>
    <s v=""/>
    <s v=""/>
    <s v=""/>
    <s v=""/>
    <s v=""/>
    <s v=""/>
    <s v=""/>
    <s v=""/>
    <s v=""/>
    <s v=""/>
    <m/>
    <m/>
    <m/>
    <m/>
    <m/>
    <m/>
    <m/>
    <m/>
    <m/>
    <m/>
    <m/>
    <m/>
    <m/>
    <m/>
    <m/>
    <s v=" "/>
    <m/>
    <s v=" "/>
    <m/>
    <m/>
  </r>
  <r>
    <x v="110"/>
    <d v="2023-04-21T00:00:00"/>
    <x v="20"/>
    <x v="3"/>
    <x v="0"/>
    <x v="0"/>
    <x v="0"/>
    <x v="0"/>
    <s v=""/>
    <s v=""/>
    <s v=""/>
    <s v=""/>
    <s v=""/>
    <s v=""/>
    <s v=""/>
    <s v=""/>
    <s v=""/>
    <s v=""/>
    <m/>
    <m/>
    <m/>
    <m/>
    <m/>
    <m/>
    <m/>
    <m/>
    <m/>
    <m/>
    <m/>
    <m/>
    <m/>
    <m/>
    <m/>
    <s v=" "/>
    <m/>
    <s v=" "/>
    <m/>
    <m/>
  </r>
  <r>
    <x v="111"/>
    <d v="2023-04-22T00:00:00"/>
    <x v="21"/>
    <x v="3"/>
    <x v="0"/>
    <x v="0"/>
    <x v="0"/>
    <x v="0"/>
    <s v=""/>
    <s v=""/>
    <s v=""/>
    <s v=""/>
    <s v=""/>
    <s v=""/>
    <s v=""/>
    <s v=""/>
    <s v=""/>
    <s v=""/>
    <m/>
    <m/>
    <m/>
    <m/>
    <m/>
    <m/>
    <m/>
    <m/>
    <m/>
    <m/>
    <m/>
    <m/>
    <m/>
    <m/>
    <m/>
    <s v=" "/>
    <m/>
    <s v=" "/>
    <m/>
    <m/>
  </r>
  <r>
    <x v="112"/>
    <d v="2023-04-23T00:00:00"/>
    <x v="22"/>
    <x v="3"/>
    <x v="0"/>
    <x v="0"/>
    <x v="0"/>
    <x v="0"/>
    <s v=""/>
    <s v=""/>
    <s v=""/>
    <s v=""/>
    <s v=""/>
    <s v=""/>
    <s v=""/>
    <s v=""/>
    <s v=""/>
    <s v=""/>
    <m/>
    <m/>
    <m/>
    <m/>
    <m/>
    <m/>
    <m/>
    <m/>
    <m/>
    <m/>
    <m/>
    <m/>
    <m/>
    <m/>
    <m/>
    <s v=" "/>
    <m/>
    <s v=" "/>
    <m/>
    <m/>
  </r>
  <r>
    <x v="113"/>
    <d v="2023-04-24T00:00:00"/>
    <x v="23"/>
    <x v="3"/>
    <x v="0"/>
    <x v="0"/>
    <x v="0"/>
    <x v="0"/>
    <s v=""/>
    <s v=""/>
    <s v=""/>
    <s v=""/>
    <s v=""/>
    <s v=""/>
    <s v=""/>
    <s v=""/>
    <s v=""/>
    <s v=""/>
    <m/>
    <m/>
    <m/>
    <m/>
    <m/>
    <m/>
    <m/>
    <m/>
    <m/>
    <m/>
    <m/>
    <m/>
    <m/>
    <m/>
    <m/>
    <s v=" "/>
    <m/>
    <s v=" "/>
    <m/>
    <m/>
  </r>
  <r>
    <x v="114"/>
    <d v="2023-04-25T00:00:00"/>
    <x v="24"/>
    <x v="3"/>
    <x v="0"/>
    <x v="0"/>
    <x v="0"/>
    <x v="0"/>
    <s v=""/>
    <s v=""/>
    <s v=""/>
    <s v=""/>
    <s v=""/>
    <s v=""/>
    <s v=""/>
    <s v=""/>
    <s v=""/>
    <s v=""/>
    <m/>
    <m/>
    <m/>
    <m/>
    <m/>
    <m/>
    <m/>
    <m/>
    <m/>
    <m/>
    <m/>
    <m/>
    <m/>
    <m/>
    <m/>
    <s v=" "/>
    <m/>
    <s v=" "/>
    <m/>
    <m/>
  </r>
  <r>
    <x v="115"/>
    <d v="2023-04-26T00:00:00"/>
    <x v="25"/>
    <x v="3"/>
    <x v="0"/>
    <x v="0"/>
    <x v="0"/>
    <x v="0"/>
    <s v=""/>
    <s v=""/>
    <s v=""/>
    <s v=""/>
    <s v=""/>
    <s v=""/>
    <s v=""/>
    <s v=""/>
    <s v=""/>
    <s v=""/>
    <m/>
    <m/>
    <m/>
    <m/>
    <m/>
    <m/>
    <m/>
    <m/>
    <m/>
    <m/>
    <m/>
    <m/>
    <m/>
    <m/>
    <m/>
    <s v=" "/>
    <m/>
    <s v=" "/>
    <m/>
    <m/>
  </r>
  <r>
    <x v="116"/>
    <d v="2023-04-27T00:00:00"/>
    <x v="26"/>
    <x v="3"/>
    <x v="0"/>
    <x v="0"/>
    <x v="0"/>
    <x v="0"/>
    <s v=""/>
    <s v=""/>
    <s v=""/>
    <s v=""/>
    <s v=""/>
    <s v=""/>
    <s v=""/>
    <s v=""/>
    <s v=""/>
    <s v=""/>
    <m/>
    <m/>
    <m/>
    <m/>
    <m/>
    <m/>
    <m/>
    <m/>
    <m/>
    <m/>
    <m/>
    <m/>
    <m/>
    <m/>
    <m/>
    <s v=" "/>
    <m/>
    <s v=" "/>
    <m/>
    <m/>
  </r>
  <r>
    <x v="117"/>
    <d v="2023-04-28T00:00:00"/>
    <x v="27"/>
    <x v="3"/>
    <x v="0"/>
    <x v="0"/>
    <x v="0"/>
    <x v="0"/>
    <s v=""/>
    <s v=""/>
    <s v=""/>
    <s v=""/>
    <s v=""/>
    <s v=""/>
    <s v=""/>
    <s v=""/>
    <s v=""/>
    <s v=""/>
    <m/>
    <m/>
    <m/>
    <m/>
    <m/>
    <m/>
    <m/>
    <m/>
    <m/>
    <m/>
    <m/>
    <m/>
    <m/>
    <m/>
    <m/>
    <s v=" "/>
    <m/>
    <s v=" "/>
    <m/>
    <m/>
  </r>
  <r>
    <x v="118"/>
    <d v="2023-04-29T00:00:00"/>
    <x v="28"/>
    <x v="3"/>
    <x v="0"/>
    <x v="0"/>
    <x v="0"/>
    <x v="0"/>
    <s v=""/>
    <s v=""/>
    <s v=""/>
    <s v=""/>
    <s v=""/>
    <s v=""/>
    <s v=""/>
    <s v=""/>
    <s v=""/>
    <s v=""/>
    <m/>
    <m/>
    <m/>
    <m/>
    <m/>
    <m/>
    <m/>
    <m/>
    <m/>
    <m/>
    <m/>
    <m/>
    <m/>
    <m/>
    <m/>
    <s v=" "/>
    <m/>
    <s v=" "/>
    <m/>
    <m/>
  </r>
  <r>
    <x v="119"/>
    <d v="2023-04-30T00:00:00"/>
    <x v="29"/>
    <x v="3"/>
    <x v="0"/>
    <x v="0"/>
    <x v="0"/>
    <x v="0"/>
    <s v=""/>
    <s v=""/>
    <s v=""/>
    <s v=""/>
    <s v=""/>
    <s v=""/>
    <s v=""/>
    <s v=""/>
    <s v=""/>
    <s v=""/>
    <m/>
    <m/>
    <m/>
    <m/>
    <m/>
    <m/>
    <m/>
    <m/>
    <m/>
    <m/>
    <m/>
    <m/>
    <m/>
    <m/>
    <m/>
    <s v=" "/>
    <m/>
    <s v=" "/>
    <m/>
    <m/>
  </r>
  <r>
    <x v="120"/>
    <d v="2023-05-01T00:00:00"/>
    <x v="0"/>
    <x v="4"/>
    <x v="0"/>
    <x v="0"/>
    <x v="0"/>
    <x v="0"/>
    <s v=""/>
    <s v=""/>
    <s v=""/>
    <s v=""/>
    <s v=""/>
    <s v=""/>
    <s v=""/>
    <s v=""/>
    <s v=""/>
    <s v=""/>
    <m/>
    <m/>
    <m/>
    <m/>
    <m/>
    <m/>
    <m/>
    <m/>
    <m/>
    <m/>
    <m/>
    <m/>
    <m/>
    <m/>
    <m/>
    <s v=" "/>
    <m/>
    <s v=" "/>
    <m/>
    <m/>
  </r>
  <r>
    <x v="121"/>
    <d v="2023-05-02T00:00:00"/>
    <x v="1"/>
    <x v="4"/>
    <x v="0"/>
    <x v="0"/>
    <x v="0"/>
    <x v="0"/>
    <s v=""/>
    <s v=""/>
    <s v=""/>
    <s v=""/>
    <s v=""/>
    <s v=""/>
    <s v=""/>
    <s v=""/>
    <s v=""/>
    <s v=""/>
    <m/>
    <m/>
    <m/>
    <m/>
    <m/>
    <m/>
    <m/>
    <m/>
    <m/>
    <m/>
    <m/>
    <m/>
    <m/>
    <m/>
    <m/>
    <s v=" "/>
    <m/>
    <s v=" "/>
    <m/>
    <m/>
  </r>
  <r>
    <x v="122"/>
    <d v="2023-05-03T00:00:00"/>
    <x v="2"/>
    <x v="4"/>
    <x v="0"/>
    <x v="0"/>
    <x v="0"/>
    <x v="0"/>
    <s v=""/>
    <s v=""/>
    <s v=""/>
    <s v=""/>
    <s v=""/>
    <s v=""/>
    <s v=""/>
    <s v=""/>
    <s v=""/>
    <s v=""/>
    <m/>
    <m/>
    <m/>
    <m/>
    <m/>
    <m/>
    <m/>
    <m/>
    <m/>
    <m/>
    <m/>
    <m/>
    <m/>
    <m/>
    <m/>
    <s v=" "/>
    <m/>
    <s v=" "/>
    <m/>
    <m/>
  </r>
  <r>
    <x v="123"/>
    <d v="2023-05-04T00:00:00"/>
    <x v="3"/>
    <x v="4"/>
    <x v="0"/>
    <x v="0"/>
    <x v="0"/>
    <x v="0"/>
    <s v=""/>
    <s v=""/>
    <s v=""/>
    <s v=""/>
    <s v=""/>
    <s v=""/>
    <s v=""/>
    <s v=""/>
    <s v=""/>
    <s v=""/>
    <m/>
    <m/>
    <m/>
    <m/>
    <m/>
    <m/>
    <m/>
    <m/>
    <m/>
    <m/>
    <m/>
    <m/>
    <m/>
    <m/>
    <m/>
    <s v=" "/>
    <m/>
    <s v=" "/>
    <m/>
    <m/>
  </r>
  <r>
    <x v="124"/>
    <d v="2023-05-05T00:00:00"/>
    <x v="4"/>
    <x v="4"/>
    <x v="0"/>
    <x v="0"/>
    <x v="0"/>
    <x v="0"/>
    <s v=""/>
    <s v=""/>
    <s v=""/>
    <s v=""/>
    <s v=""/>
    <s v=""/>
    <s v=""/>
    <s v=""/>
    <s v=""/>
    <s v=""/>
    <m/>
    <m/>
    <m/>
    <m/>
    <m/>
    <m/>
    <m/>
    <m/>
    <m/>
    <m/>
    <m/>
    <m/>
    <m/>
    <m/>
    <m/>
    <s v=" "/>
    <m/>
    <s v=" "/>
    <m/>
    <m/>
  </r>
  <r>
    <x v="125"/>
    <d v="2023-05-06T00:00:00"/>
    <x v="5"/>
    <x v="4"/>
    <x v="0"/>
    <x v="0"/>
    <x v="0"/>
    <x v="0"/>
    <s v=""/>
    <s v=""/>
    <s v=""/>
    <s v=""/>
    <s v=""/>
    <s v=""/>
    <s v=""/>
    <s v=""/>
    <s v=""/>
    <s v=""/>
    <m/>
    <m/>
    <m/>
    <m/>
    <m/>
    <m/>
    <m/>
    <m/>
    <m/>
    <m/>
    <m/>
    <m/>
    <m/>
    <m/>
    <m/>
    <s v=" "/>
    <m/>
    <s v=" "/>
    <m/>
    <m/>
  </r>
  <r>
    <x v="126"/>
    <d v="2023-05-07T00:00:00"/>
    <x v="6"/>
    <x v="4"/>
    <x v="0"/>
    <x v="0"/>
    <x v="0"/>
    <x v="0"/>
    <s v=""/>
    <s v=""/>
    <s v=""/>
    <s v=""/>
    <s v=""/>
    <s v=""/>
    <s v=""/>
    <s v=""/>
    <s v=""/>
    <s v=""/>
    <m/>
    <m/>
    <m/>
    <m/>
    <m/>
    <m/>
    <m/>
    <m/>
    <m/>
    <m/>
    <m/>
    <m/>
    <m/>
    <m/>
    <m/>
    <s v=" "/>
    <m/>
    <s v=" "/>
    <m/>
    <m/>
  </r>
  <r>
    <x v="127"/>
    <d v="2023-05-08T00:00:00"/>
    <x v="7"/>
    <x v="4"/>
    <x v="0"/>
    <x v="0"/>
    <x v="0"/>
    <x v="0"/>
    <s v=""/>
    <s v=""/>
    <s v=""/>
    <s v=""/>
    <s v=""/>
    <s v=""/>
    <s v=""/>
    <s v=""/>
    <s v=""/>
    <s v=""/>
    <m/>
    <m/>
    <m/>
    <m/>
    <m/>
    <m/>
    <m/>
    <m/>
    <m/>
    <m/>
    <m/>
    <m/>
    <m/>
    <m/>
    <m/>
    <s v=" "/>
    <m/>
    <s v=" "/>
    <m/>
    <m/>
  </r>
  <r>
    <x v="128"/>
    <d v="2023-05-09T00:00:00"/>
    <x v="8"/>
    <x v="4"/>
    <x v="0"/>
    <x v="0"/>
    <x v="0"/>
    <x v="0"/>
    <s v=""/>
    <s v=""/>
    <s v=""/>
    <s v=""/>
    <s v=""/>
    <s v=""/>
    <s v=""/>
    <s v=""/>
    <s v=""/>
    <s v=""/>
    <m/>
    <m/>
    <m/>
    <m/>
    <m/>
    <m/>
    <m/>
    <m/>
    <m/>
    <m/>
    <m/>
    <m/>
    <m/>
    <m/>
    <m/>
    <s v=" "/>
    <m/>
    <s v=" "/>
    <m/>
    <m/>
  </r>
  <r>
    <x v="129"/>
    <d v="2023-05-10T00:00:00"/>
    <x v="9"/>
    <x v="4"/>
    <x v="0"/>
    <x v="0"/>
    <x v="0"/>
    <x v="0"/>
    <s v=""/>
    <s v=""/>
    <s v=""/>
    <s v=""/>
    <s v=""/>
    <s v=""/>
    <s v=""/>
    <s v=""/>
    <s v=""/>
    <s v=""/>
    <m/>
    <m/>
    <m/>
    <m/>
    <m/>
    <m/>
    <m/>
    <m/>
    <m/>
    <m/>
    <m/>
    <m/>
    <m/>
    <m/>
    <m/>
    <s v=" "/>
    <m/>
    <s v=" "/>
    <m/>
    <m/>
  </r>
  <r>
    <x v="130"/>
    <d v="2023-05-11T00:00:00"/>
    <x v="10"/>
    <x v="4"/>
    <x v="0"/>
    <x v="0"/>
    <x v="0"/>
    <x v="0"/>
    <s v=""/>
    <s v=""/>
    <s v=""/>
    <s v=""/>
    <s v=""/>
    <s v=""/>
    <s v=""/>
    <s v=""/>
    <s v=""/>
    <s v=""/>
    <m/>
    <m/>
    <m/>
    <m/>
    <m/>
    <m/>
    <m/>
    <m/>
    <m/>
    <m/>
    <m/>
    <m/>
    <m/>
    <m/>
    <m/>
    <s v=" "/>
    <m/>
    <s v=" "/>
    <m/>
    <m/>
  </r>
  <r>
    <x v="131"/>
    <d v="2023-05-12T00:00:00"/>
    <x v="11"/>
    <x v="4"/>
    <x v="0"/>
    <x v="0"/>
    <x v="0"/>
    <x v="0"/>
    <s v=""/>
    <s v=""/>
    <s v=""/>
    <s v=""/>
    <s v=""/>
    <s v=""/>
    <s v=""/>
    <s v=""/>
    <s v=""/>
    <s v=""/>
    <m/>
    <m/>
    <m/>
    <m/>
    <m/>
    <m/>
    <m/>
    <m/>
    <m/>
    <m/>
    <m/>
    <m/>
    <m/>
    <m/>
    <m/>
    <s v=" "/>
    <m/>
    <s v=" "/>
    <m/>
    <m/>
  </r>
  <r>
    <x v="132"/>
    <d v="2023-05-13T00:00:00"/>
    <x v="12"/>
    <x v="4"/>
    <x v="0"/>
    <x v="0"/>
    <x v="0"/>
    <x v="0"/>
    <s v=""/>
    <s v=""/>
    <s v=""/>
    <s v=""/>
    <s v=""/>
    <s v=""/>
    <s v=""/>
    <s v=""/>
    <s v=""/>
    <s v=""/>
    <m/>
    <m/>
    <m/>
    <m/>
    <m/>
    <m/>
    <m/>
    <m/>
    <m/>
    <m/>
    <m/>
    <m/>
    <m/>
    <m/>
    <m/>
    <s v=" "/>
    <m/>
    <s v=" "/>
    <m/>
    <m/>
  </r>
  <r>
    <x v="133"/>
    <d v="2023-05-14T00:00:00"/>
    <x v="13"/>
    <x v="4"/>
    <x v="0"/>
    <x v="0"/>
    <x v="0"/>
    <x v="0"/>
    <s v=""/>
    <s v=""/>
    <s v=""/>
    <s v=""/>
    <s v=""/>
    <s v=""/>
    <s v=""/>
    <s v=""/>
    <s v=""/>
    <s v=""/>
    <m/>
    <m/>
    <m/>
    <m/>
    <m/>
    <m/>
    <m/>
    <m/>
    <m/>
    <m/>
    <m/>
    <m/>
    <m/>
    <m/>
    <m/>
    <s v=" "/>
    <m/>
    <s v=" "/>
    <m/>
    <m/>
  </r>
  <r>
    <x v="134"/>
    <d v="2023-05-15T00:00:00"/>
    <x v="14"/>
    <x v="4"/>
    <x v="0"/>
    <x v="0"/>
    <x v="0"/>
    <x v="0"/>
    <s v=""/>
    <s v=""/>
    <s v=""/>
    <s v=""/>
    <s v=""/>
    <s v=""/>
    <s v=""/>
    <s v=""/>
    <s v=""/>
    <s v=""/>
    <m/>
    <m/>
    <m/>
    <m/>
    <m/>
    <m/>
    <m/>
    <m/>
    <m/>
    <m/>
    <m/>
    <m/>
    <m/>
    <m/>
    <m/>
    <s v=" "/>
    <m/>
    <s v=" "/>
    <m/>
    <m/>
  </r>
  <r>
    <x v="135"/>
    <d v="2023-05-16T00:00:00"/>
    <x v="15"/>
    <x v="4"/>
    <x v="0"/>
    <x v="0"/>
    <x v="0"/>
    <x v="0"/>
    <s v=""/>
    <s v=""/>
    <s v=""/>
    <s v=""/>
    <s v=""/>
    <s v=""/>
    <s v=""/>
    <s v=""/>
    <s v=""/>
    <s v=""/>
    <m/>
    <m/>
    <m/>
    <m/>
    <m/>
    <m/>
    <m/>
    <m/>
    <m/>
    <m/>
    <m/>
    <m/>
    <m/>
    <m/>
    <m/>
    <s v=" "/>
    <m/>
    <s v=" "/>
    <m/>
    <m/>
  </r>
  <r>
    <x v="136"/>
    <d v="2023-05-17T00:00:00"/>
    <x v="16"/>
    <x v="4"/>
    <x v="0"/>
    <x v="0"/>
    <x v="0"/>
    <x v="0"/>
    <s v=""/>
    <s v=""/>
    <s v=""/>
    <s v=""/>
    <s v=""/>
    <s v=""/>
    <s v=""/>
    <s v=""/>
    <s v=""/>
    <s v=""/>
    <m/>
    <m/>
    <m/>
    <m/>
    <m/>
    <m/>
    <m/>
    <m/>
    <m/>
    <m/>
    <m/>
    <m/>
    <m/>
    <m/>
    <m/>
    <s v=" "/>
    <m/>
    <s v=" "/>
    <m/>
    <m/>
  </r>
  <r>
    <x v="137"/>
    <d v="2023-05-18T00:00:00"/>
    <x v="17"/>
    <x v="4"/>
    <x v="0"/>
    <x v="0"/>
    <x v="0"/>
    <x v="0"/>
    <s v=""/>
    <s v=""/>
    <s v=""/>
    <s v=""/>
    <s v=""/>
    <s v=""/>
    <s v=""/>
    <s v=""/>
    <s v=""/>
    <s v=""/>
    <m/>
    <m/>
    <m/>
    <m/>
    <m/>
    <m/>
    <m/>
    <m/>
    <m/>
    <m/>
    <m/>
    <m/>
    <m/>
    <m/>
    <m/>
    <s v=" "/>
    <m/>
    <s v=" "/>
    <m/>
    <m/>
  </r>
  <r>
    <x v="138"/>
    <d v="2023-05-19T00:00:00"/>
    <x v="18"/>
    <x v="4"/>
    <x v="0"/>
    <x v="0"/>
    <x v="0"/>
    <x v="0"/>
    <s v=""/>
    <s v=""/>
    <s v=""/>
    <s v=""/>
    <s v=""/>
    <s v=""/>
    <s v=""/>
    <s v=""/>
    <s v=""/>
    <s v=""/>
    <m/>
    <m/>
    <m/>
    <m/>
    <m/>
    <m/>
    <m/>
    <m/>
    <m/>
    <m/>
    <m/>
    <m/>
    <m/>
    <m/>
    <m/>
    <s v=" "/>
    <m/>
    <s v=" "/>
    <m/>
    <m/>
  </r>
  <r>
    <x v="139"/>
    <d v="2023-05-20T00:00:00"/>
    <x v="19"/>
    <x v="4"/>
    <x v="0"/>
    <x v="0"/>
    <x v="0"/>
    <x v="0"/>
    <s v=""/>
    <s v=""/>
    <s v=""/>
    <s v=""/>
    <s v=""/>
    <s v=""/>
    <s v=""/>
    <s v=""/>
    <s v=""/>
    <s v=""/>
    <m/>
    <m/>
    <m/>
    <m/>
    <m/>
    <m/>
    <m/>
    <m/>
    <m/>
    <m/>
    <m/>
    <m/>
    <m/>
    <m/>
    <m/>
    <s v=" "/>
    <m/>
    <s v=" "/>
    <m/>
    <m/>
  </r>
  <r>
    <x v="140"/>
    <d v="2023-05-21T00:00:00"/>
    <x v="20"/>
    <x v="4"/>
    <x v="0"/>
    <x v="0"/>
    <x v="0"/>
    <x v="0"/>
    <s v=""/>
    <s v=""/>
    <s v=""/>
    <s v=""/>
    <s v=""/>
    <s v=""/>
    <s v=""/>
    <s v=""/>
    <s v=""/>
    <s v=""/>
    <m/>
    <m/>
    <m/>
    <m/>
    <m/>
    <m/>
    <m/>
    <m/>
    <m/>
    <m/>
    <m/>
    <m/>
    <m/>
    <m/>
    <m/>
    <s v=" "/>
    <m/>
    <s v=" "/>
    <m/>
    <m/>
  </r>
  <r>
    <x v="141"/>
    <d v="2023-05-22T00:00:00"/>
    <x v="21"/>
    <x v="4"/>
    <x v="0"/>
    <x v="0"/>
    <x v="0"/>
    <x v="0"/>
    <s v=""/>
    <s v=""/>
    <s v=""/>
    <s v=""/>
    <s v=""/>
    <s v=""/>
    <s v=""/>
    <s v=""/>
    <s v=""/>
    <s v=""/>
    <m/>
    <m/>
    <m/>
    <m/>
    <m/>
    <m/>
    <m/>
    <m/>
    <m/>
    <m/>
    <m/>
    <m/>
    <m/>
    <m/>
    <m/>
    <s v=" "/>
    <m/>
    <s v=" "/>
    <m/>
    <m/>
  </r>
  <r>
    <x v="142"/>
    <d v="2023-05-23T00:00:00"/>
    <x v="22"/>
    <x v="4"/>
    <x v="0"/>
    <x v="0"/>
    <x v="0"/>
    <x v="0"/>
    <s v=""/>
    <s v=""/>
    <s v=""/>
    <s v=""/>
    <s v=""/>
    <s v=""/>
    <s v=""/>
    <s v=""/>
    <s v=""/>
    <s v=""/>
    <m/>
    <m/>
    <m/>
    <m/>
    <m/>
    <m/>
    <m/>
    <m/>
    <m/>
    <m/>
    <m/>
    <m/>
    <m/>
    <m/>
    <m/>
    <s v=" "/>
    <m/>
    <s v=" "/>
    <m/>
    <m/>
  </r>
  <r>
    <x v="143"/>
    <d v="2023-05-24T00:00:00"/>
    <x v="23"/>
    <x v="4"/>
    <x v="0"/>
    <x v="0"/>
    <x v="0"/>
    <x v="0"/>
    <s v=""/>
    <s v=""/>
    <s v=""/>
    <s v=""/>
    <s v=""/>
    <s v=""/>
    <s v=""/>
    <s v=""/>
    <s v=""/>
    <s v=""/>
    <m/>
    <m/>
    <m/>
    <m/>
    <m/>
    <m/>
    <m/>
    <m/>
    <m/>
    <m/>
    <m/>
    <m/>
    <m/>
    <m/>
    <m/>
    <s v=" "/>
    <m/>
    <s v=" "/>
    <m/>
    <m/>
  </r>
  <r>
    <x v="144"/>
    <d v="2023-05-25T00:00:00"/>
    <x v="24"/>
    <x v="4"/>
    <x v="0"/>
    <x v="0"/>
    <x v="0"/>
    <x v="0"/>
    <s v=""/>
    <s v=""/>
    <s v=""/>
    <s v=""/>
    <s v=""/>
    <s v=""/>
    <s v=""/>
    <s v=""/>
    <s v=""/>
    <s v=""/>
    <m/>
    <m/>
    <m/>
    <m/>
    <m/>
    <m/>
    <m/>
    <m/>
    <m/>
    <m/>
    <m/>
    <m/>
    <m/>
    <m/>
    <m/>
    <s v=" "/>
    <m/>
    <s v=" "/>
    <m/>
    <m/>
  </r>
  <r>
    <x v="145"/>
    <d v="2023-05-26T00:00:00"/>
    <x v="25"/>
    <x v="4"/>
    <x v="0"/>
    <x v="0"/>
    <x v="0"/>
    <x v="0"/>
    <s v=""/>
    <s v=""/>
    <s v=""/>
    <s v=""/>
    <s v=""/>
    <s v=""/>
    <s v=""/>
    <s v=""/>
    <s v=""/>
    <s v=""/>
    <m/>
    <m/>
    <m/>
    <m/>
    <m/>
    <m/>
    <m/>
    <m/>
    <m/>
    <m/>
    <m/>
    <m/>
    <m/>
    <m/>
    <m/>
    <s v=" "/>
    <m/>
    <s v=" "/>
    <m/>
    <m/>
  </r>
  <r>
    <x v="146"/>
    <d v="2023-05-27T00:00:00"/>
    <x v="26"/>
    <x v="4"/>
    <x v="0"/>
    <x v="0"/>
    <x v="0"/>
    <x v="0"/>
    <s v=""/>
    <s v=""/>
    <s v=""/>
    <s v=""/>
    <s v=""/>
    <s v=""/>
    <s v=""/>
    <s v=""/>
    <s v=""/>
    <s v=""/>
    <m/>
    <m/>
    <m/>
    <m/>
    <m/>
    <m/>
    <m/>
    <m/>
    <m/>
    <m/>
    <m/>
    <m/>
    <m/>
    <m/>
    <m/>
    <s v=" "/>
    <m/>
    <s v=" "/>
    <m/>
    <m/>
  </r>
  <r>
    <x v="147"/>
    <d v="2023-05-28T00:00:00"/>
    <x v="27"/>
    <x v="4"/>
    <x v="0"/>
    <x v="0"/>
    <x v="0"/>
    <x v="0"/>
    <s v=""/>
    <s v=""/>
    <s v=""/>
    <s v=""/>
    <s v=""/>
    <s v=""/>
    <s v=""/>
    <s v=""/>
    <s v=""/>
    <s v=""/>
    <m/>
    <m/>
    <m/>
    <m/>
    <m/>
    <m/>
    <m/>
    <m/>
    <m/>
    <m/>
    <m/>
    <m/>
    <m/>
    <m/>
    <m/>
    <s v=" "/>
    <m/>
    <s v=" "/>
    <m/>
    <m/>
  </r>
  <r>
    <x v="148"/>
    <d v="2023-05-29T00:00:00"/>
    <x v="28"/>
    <x v="4"/>
    <x v="0"/>
    <x v="0"/>
    <x v="0"/>
    <x v="0"/>
    <s v=""/>
    <s v=""/>
    <s v=""/>
    <s v=""/>
    <s v=""/>
    <s v=""/>
    <s v=""/>
    <s v=""/>
    <s v=""/>
    <s v=""/>
    <m/>
    <m/>
    <m/>
    <m/>
    <m/>
    <m/>
    <m/>
    <m/>
    <m/>
    <m/>
    <m/>
    <m/>
    <m/>
    <m/>
    <m/>
    <s v=" "/>
    <m/>
    <s v=" "/>
    <m/>
    <m/>
  </r>
  <r>
    <x v="149"/>
    <d v="2023-05-30T00:00:00"/>
    <x v="29"/>
    <x v="4"/>
    <x v="0"/>
    <x v="0"/>
    <x v="0"/>
    <x v="0"/>
    <s v=""/>
    <s v=""/>
    <s v=""/>
    <s v=""/>
    <s v=""/>
    <s v=""/>
    <s v=""/>
    <s v=""/>
    <s v=""/>
    <s v=""/>
    <m/>
    <m/>
    <m/>
    <m/>
    <m/>
    <m/>
    <m/>
    <m/>
    <m/>
    <m/>
    <m/>
    <m/>
    <m/>
    <m/>
    <m/>
    <s v=" "/>
    <m/>
    <s v=" "/>
    <m/>
    <m/>
  </r>
  <r>
    <x v="150"/>
    <d v="2023-05-31T00:00:00"/>
    <x v="30"/>
    <x v="4"/>
    <x v="0"/>
    <x v="0"/>
    <x v="0"/>
    <x v="0"/>
    <s v=""/>
    <s v=""/>
    <s v=""/>
    <s v=""/>
    <s v=""/>
    <s v=""/>
    <s v=""/>
    <s v=""/>
    <s v=""/>
    <s v=""/>
    <m/>
    <m/>
    <m/>
    <m/>
    <m/>
    <m/>
    <m/>
    <m/>
    <m/>
    <m/>
    <m/>
    <m/>
    <m/>
    <m/>
    <m/>
    <s v=" "/>
    <m/>
    <s v=" "/>
    <m/>
    <m/>
  </r>
  <r>
    <x v="151"/>
    <d v="2023-06-01T00:00:00"/>
    <x v="0"/>
    <x v="5"/>
    <x v="0"/>
    <x v="0"/>
    <x v="0"/>
    <x v="0"/>
    <s v=""/>
    <s v=""/>
    <s v=""/>
    <s v=""/>
    <s v=""/>
    <s v=""/>
    <s v=""/>
    <s v=""/>
    <s v=""/>
    <s v=""/>
    <m/>
    <m/>
    <m/>
    <m/>
    <m/>
    <m/>
    <m/>
    <m/>
    <m/>
    <m/>
    <m/>
    <m/>
    <m/>
    <m/>
    <m/>
    <s v=" "/>
    <m/>
    <s v=" "/>
    <m/>
    <m/>
  </r>
  <r>
    <x v="152"/>
    <d v="2023-06-02T00:00:00"/>
    <x v="1"/>
    <x v="5"/>
    <x v="0"/>
    <x v="0"/>
    <x v="0"/>
    <x v="0"/>
    <s v=""/>
    <s v=""/>
    <s v=""/>
    <s v=""/>
    <s v=""/>
    <s v=""/>
    <s v=""/>
    <s v=""/>
    <s v=""/>
    <s v=""/>
    <m/>
    <m/>
    <m/>
    <m/>
    <m/>
    <m/>
    <m/>
    <m/>
    <m/>
    <m/>
    <m/>
    <m/>
    <m/>
    <m/>
    <m/>
    <s v=" "/>
    <m/>
    <s v=" "/>
    <m/>
    <m/>
  </r>
  <r>
    <x v="153"/>
    <d v="2023-06-03T00:00:00"/>
    <x v="2"/>
    <x v="5"/>
    <x v="0"/>
    <x v="0"/>
    <x v="0"/>
    <x v="0"/>
    <s v=""/>
    <s v=""/>
    <s v=""/>
    <s v=""/>
    <s v=""/>
    <s v=""/>
    <s v=""/>
    <s v=""/>
    <s v=""/>
    <s v=""/>
    <m/>
    <m/>
    <m/>
    <m/>
    <m/>
    <m/>
    <m/>
    <m/>
    <m/>
    <m/>
    <m/>
    <m/>
    <m/>
    <m/>
    <m/>
    <s v=" "/>
    <m/>
    <s v=" "/>
    <m/>
    <m/>
  </r>
  <r>
    <x v="154"/>
    <d v="2023-06-04T00:00:00"/>
    <x v="3"/>
    <x v="5"/>
    <x v="0"/>
    <x v="0"/>
    <x v="0"/>
    <x v="0"/>
    <s v=""/>
    <s v=""/>
    <s v=""/>
    <s v=""/>
    <s v=""/>
    <s v=""/>
    <s v=""/>
    <s v=""/>
    <s v=""/>
    <s v=""/>
    <m/>
    <m/>
    <m/>
    <m/>
    <m/>
    <m/>
    <m/>
    <m/>
    <m/>
    <m/>
    <m/>
    <m/>
    <m/>
    <m/>
    <m/>
    <s v=" "/>
    <m/>
    <s v=" "/>
    <m/>
    <m/>
  </r>
  <r>
    <x v="155"/>
    <d v="2023-06-05T00:00:00"/>
    <x v="4"/>
    <x v="5"/>
    <x v="0"/>
    <x v="0"/>
    <x v="0"/>
    <x v="0"/>
    <s v=""/>
    <s v=""/>
    <s v=""/>
    <s v=""/>
    <s v=""/>
    <s v=""/>
    <s v=""/>
    <s v=""/>
    <s v=""/>
    <s v=""/>
    <m/>
    <m/>
    <m/>
    <m/>
    <m/>
    <m/>
    <m/>
    <m/>
    <m/>
    <m/>
    <m/>
    <m/>
    <m/>
    <m/>
    <m/>
    <s v=" "/>
    <m/>
    <s v=" "/>
    <m/>
    <m/>
  </r>
  <r>
    <x v="156"/>
    <d v="2023-06-06T00:00:00"/>
    <x v="5"/>
    <x v="5"/>
    <x v="0"/>
    <x v="0"/>
    <x v="0"/>
    <x v="0"/>
    <s v=""/>
    <s v=""/>
    <s v=""/>
    <s v=""/>
    <s v=""/>
    <s v=""/>
    <s v=""/>
    <s v=""/>
    <s v=""/>
    <s v=""/>
    <m/>
    <m/>
    <m/>
    <m/>
    <m/>
    <m/>
    <m/>
    <m/>
    <m/>
    <m/>
    <m/>
    <m/>
    <m/>
    <m/>
    <m/>
    <s v=" "/>
    <m/>
    <s v=" "/>
    <m/>
    <m/>
  </r>
  <r>
    <x v="157"/>
    <d v="2023-06-07T00:00:00"/>
    <x v="6"/>
    <x v="5"/>
    <x v="0"/>
    <x v="0"/>
    <x v="0"/>
    <x v="0"/>
    <s v=""/>
    <s v=""/>
    <s v=""/>
    <s v=""/>
    <s v=""/>
    <s v=""/>
    <s v=""/>
    <s v=""/>
    <s v=""/>
    <s v=""/>
    <m/>
    <m/>
    <m/>
    <m/>
    <m/>
    <m/>
    <m/>
    <m/>
    <m/>
    <m/>
    <m/>
    <m/>
    <m/>
    <m/>
    <m/>
    <s v=" "/>
    <m/>
    <s v=" "/>
    <m/>
    <m/>
  </r>
  <r>
    <x v="158"/>
    <d v="2023-06-08T00:00:00"/>
    <x v="7"/>
    <x v="5"/>
    <x v="0"/>
    <x v="0"/>
    <x v="0"/>
    <x v="0"/>
    <s v=""/>
    <s v=""/>
    <s v=""/>
    <s v=""/>
    <s v=""/>
    <s v=""/>
    <s v=""/>
    <s v=""/>
    <s v=""/>
    <s v=""/>
    <m/>
    <m/>
    <m/>
    <m/>
    <m/>
    <m/>
    <m/>
    <m/>
    <m/>
    <m/>
    <m/>
    <m/>
    <m/>
    <m/>
    <m/>
    <s v=" "/>
    <m/>
    <s v=" "/>
    <m/>
    <m/>
  </r>
  <r>
    <x v="159"/>
    <d v="2023-06-09T00:00:00"/>
    <x v="8"/>
    <x v="5"/>
    <x v="0"/>
    <x v="0"/>
    <x v="0"/>
    <x v="0"/>
    <s v=""/>
    <s v=""/>
    <s v=""/>
    <s v=""/>
    <s v=""/>
    <s v=""/>
    <s v=""/>
    <s v=""/>
    <s v=""/>
    <s v=""/>
    <m/>
    <m/>
    <m/>
    <m/>
    <m/>
    <m/>
    <m/>
    <m/>
    <m/>
    <m/>
    <m/>
    <m/>
    <m/>
    <m/>
    <m/>
    <s v=" "/>
    <m/>
    <s v=" "/>
    <m/>
    <m/>
  </r>
  <r>
    <x v="160"/>
    <d v="2023-06-10T00:00:00"/>
    <x v="9"/>
    <x v="5"/>
    <x v="0"/>
    <x v="0"/>
    <x v="0"/>
    <x v="0"/>
    <s v=""/>
    <s v=""/>
    <s v=""/>
    <s v=""/>
    <s v=""/>
    <s v=""/>
    <s v=""/>
    <s v=""/>
    <s v=""/>
    <s v=""/>
    <m/>
    <m/>
    <m/>
    <m/>
    <m/>
    <m/>
    <m/>
    <m/>
    <m/>
    <m/>
    <m/>
    <m/>
    <m/>
    <m/>
    <m/>
    <s v=" "/>
    <m/>
    <s v=" "/>
    <m/>
    <m/>
  </r>
  <r>
    <x v="161"/>
    <d v="2023-06-11T00:00:00"/>
    <x v="10"/>
    <x v="5"/>
    <x v="0"/>
    <x v="0"/>
    <x v="0"/>
    <x v="0"/>
    <s v=""/>
    <s v=""/>
    <s v=""/>
    <s v=""/>
    <s v=""/>
    <s v=""/>
    <s v=""/>
    <s v=""/>
    <s v=""/>
    <s v=""/>
    <m/>
    <m/>
    <m/>
    <m/>
    <m/>
    <m/>
    <m/>
    <m/>
    <m/>
    <m/>
    <m/>
    <m/>
    <m/>
    <m/>
    <m/>
    <s v=" "/>
    <m/>
    <s v=" "/>
    <m/>
    <m/>
  </r>
  <r>
    <x v="162"/>
    <d v="2023-06-12T00:00:00"/>
    <x v="11"/>
    <x v="5"/>
    <x v="0"/>
    <x v="0"/>
    <x v="0"/>
    <x v="0"/>
    <s v=""/>
    <s v=""/>
    <s v=""/>
    <s v=""/>
    <s v=""/>
    <s v=""/>
    <s v=""/>
    <s v=""/>
    <s v=""/>
    <s v=""/>
    <m/>
    <m/>
    <m/>
    <m/>
    <m/>
    <m/>
    <m/>
    <m/>
    <m/>
    <m/>
    <m/>
    <m/>
    <m/>
    <m/>
    <m/>
    <s v=" "/>
    <m/>
    <s v=" "/>
    <m/>
    <m/>
  </r>
  <r>
    <x v="163"/>
    <d v="2023-06-13T00:00:00"/>
    <x v="12"/>
    <x v="5"/>
    <x v="0"/>
    <x v="0"/>
    <x v="0"/>
    <x v="0"/>
    <s v=""/>
    <s v=""/>
    <s v=""/>
    <s v=""/>
    <s v=""/>
    <s v=""/>
    <s v=""/>
    <s v=""/>
    <s v=""/>
    <s v=""/>
    <m/>
    <m/>
    <m/>
    <m/>
    <m/>
    <m/>
    <m/>
    <m/>
    <m/>
    <m/>
    <m/>
    <m/>
    <m/>
    <m/>
    <m/>
    <s v=" "/>
    <m/>
    <s v=" "/>
    <m/>
    <m/>
  </r>
  <r>
    <x v="164"/>
    <d v="2023-06-14T00:00:00"/>
    <x v="13"/>
    <x v="5"/>
    <x v="0"/>
    <x v="0"/>
    <x v="0"/>
    <x v="0"/>
    <s v=""/>
    <s v=""/>
    <s v=""/>
    <s v=""/>
    <s v=""/>
    <s v=""/>
    <s v=""/>
    <s v=""/>
    <s v=""/>
    <s v=""/>
    <m/>
    <m/>
    <m/>
    <m/>
    <m/>
    <m/>
    <m/>
    <m/>
    <m/>
    <m/>
    <m/>
    <m/>
    <m/>
    <m/>
    <m/>
    <s v=" "/>
    <m/>
    <s v=" "/>
    <m/>
    <m/>
  </r>
  <r>
    <x v="165"/>
    <d v="2023-06-15T00:00:00"/>
    <x v="14"/>
    <x v="5"/>
    <x v="0"/>
    <x v="0"/>
    <x v="0"/>
    <x v="0"/>
    <s v=""/>
    <s v=""/>
    <s v=""/>
    <s v=""/>
    <s v=""/>
    <s v=""/>
    <s v=""/>
    <s v=""/>
    <s v=""/>
    <s v=""/>
    <m/>
    <m/>
    <m/>
    <m/>
    <m/>
    <m/>
    <m/>
    <m/>
    <m/>
    <m/>
    <m/>
    <m/>
    <m/>
    <m/>
    <m/>
    <s v=" "/>
    <m/>
    <s v=" "/>
    <m/>
    <m/>
  </r>
  <r>
    <x v="166"/>
    <d v="2023-06-16T00:00:00"/>
    <x v="15"/>
    <x v="5"/>
    <x v="0"/>
    <x v="0"/>
    <x v="0"/>
    <x v="0"/>
    <s v=""/>
    <s v=""/>
    <s v=""/>
    <s v=""/>
    <s v=""/>
    <s v=""/>
    <s v=""/>
    <s v=""/>
    <s v=""/>
    <s v=""/>
    <m/>
    <m/>
    <m/>
    <m/>
    <m/>
    <m/>
    <m/>
    <m/>
    <m/>
    <m/>
    <m/>
    <m/>
    <m/>
    <m/>
    <m/>
    <s v=" "/>
    <m/>
    <s v=" "/>
    <m/>
    <m/>
  </r>
  <r>
    <x v="167"/>
    <d v="2023-06-17T00:00:00"/>
    <x v="16"/>
    <x v="5"/>
    <x v="0"/>
    <x v="0"/>
    <x v="0"/>
    <x v="0"/>
    <s v=""/>
    <s v=""/>
    <s v=""/>
    <s v=""/>
    <s v=""/>
    <s v=""/>
    <s v=""/>
    <s v=""/>
    <s v=""/>
    <s v=""/>
    <m/>
    <m/>
    <m/>
    <m/>
    <m/>
    <m/>
    <m/>
    <m/>
    <m/>
    <m/>
    <m/>
    <m/>
    <m/>
    <m/>
    <m/>
    <s v=" "/>
    <m/>
    <s v=" "/>
    <m/>
    <m/>
  </r>
  <r>
    <x v="168"/>
    <d v="2023-06-18T00:00:00"/>
    <x v="17"/>
    <x v="5"/>
    <x v="0"/>
    <x v="0"/>
    <x v="0"/>
    <x v="0"/>
    <s v=""/>
    <s v=""/>
    <s v=""/>
    <s v=""/>
    <s v=""/>
    <s v=""/>
    <s v=""/>
    <s v=""/>
    <s v=""/>
    <s v=""/>
    <m/>
    <m/>
    <m/>
    <m/>
    <m/>
    <m/>
    <m/>
    <m/>
    <m/>
    <m/>
    <m/>
    <m/>
    <m/>
    <m/>
    <m/>
    <s v=" "/>
    <m/>
    <s v=" "/>
    <m/>
    <m/>
  </r>
  <r>
    <x v="169"/>
    <d v="2023-06-19T00:00:00"/>
    <x v="18"/>
    <x v="5"/>
    <x v="0"/>
    <x v="0"/>
    <x v="0"/>
    <x v="0"/>
    <s v=""/>
    <s v=""/>
    <s v=""/>
    <s v=""/>
    <s v=""/>
    <s v=""/>
    <s v=""/>
    <s v=""/>
    <s v=""/>
    <s v=""/>
    <m/>
    <m/>
    <m/>
    <m/>
    <m/>
    <m/>
    <m/>
    <m/>
    <m/>
    <m/>
    <m/>
    <m/>
    <m/>
    <m/>
    <m/>
    <s v=" "/>
    <m/>
    <s v=" "/>
    <m/>
    <m/>
  </r>
  <r>
    <x v="170"/>
    <d v="2023-06-20T00:00:00"/>
    <x v="19"/>
    <x v="5"/>
    <x v="0"/>
    <x v="0"/>
    <x v="0"/>
    <x v="0"/>
    <s v=""/>
    <s v=""/>
    <s v=""/>
    <s v=""/>
    <s v=""/>
    <s v=""/>
    <s v=""/>
    <s v=""/>
    <s v=""/>
    <s v=""/>
    <m/>
    <m/>
    <m/>
    <m/>
    <m/>
    <m/>
    <m/>
    <m/>
    <m/>
    <m/>
    <m/>
    <m/>
    <m/>
    <m/>
    <m/>
    <s v=" "/>
    <m/>
    <s v=" "/>
    <m/>
    <m/>
  </r>
  <r>
    <x v="171"/>
    <d v="2023-06-21T00:00:00"/>
    <x v="20"/>
    <x v="5"/>
    <x v="0"/>
    <x v="0"/>
    <x v="0"/>
    <x v="0"/>
    <s v=""/>
    <s v=""/>
    <s v=""/>
    <s v=""/>
    <s v=""/>
    <s v=""/>
    <s v=""/>
    <s v=""/>
    <s v=""/>
    <s v=""/>
    <m/>
    <m/>
    <m/>
    <m/>
    <m/>
    <m/>
    <m/>
    <m/>
    <m/>
    <m/>
    <m/>
    <m/>
    <m/>
    <m/>
    <m/>
    <s v=" "/>
    <m/>
    <s v=" "/>
    <m/>
    <m/>
  </r>
  <r>
    <x v="172"/>
    <d v="2023-06-22T00:00:00"/>
    <x v="21"/>
    <x v="5"/>
    <x v="0"/>
    <x v="0"/>
    <x v="0"/>
    <x v="0"/>
    <s v=""/>
    <s v=""/>
    <s v=""/>
    <s v=""/>
    <s v=""/>
    <s v=""/>
    <s v=""/>
    <s v=""/>
    <s v=""/>
    <s v=""/>
    <m/>
    <m/>
    <m/>
    <m/>
    <m/>
    <m/>
    <m/>
    <m/>
    <m/>
    <m/>
    <m/>
    <m/>
    <m/>
    <m/>
    <m/>
    <s v=" "/>
    <m/>
    <s v=" "/>
    <m/>
    <m/>
  </r>
  <r>
    <x v="173"/>
    <d v="2023-06-23T00:00:00"/>
    <x v="22"/>
    <x v="5"/>
    <x v="0"/>
    <x v="0"/>
    <x v="0"/>
    <x v="0"/>
    <s v=""/>
    <s v=""/>
    <s v=""/>
    <s v=""/>
    <s v=""/>
    <s v=""/>
    <s v=""/>
    <s v=""/>
    <s v=""/>
    <s v=""/>
    <m/>
    <m/>
    <m/>
    <m/>
    <m/>
    <m/>
    <m/>
    <m/>
    <m/>
    <m/>
    <m/>
    <m/>
    <m/>
    <m/>
    <m/>
    <s v=" "/>
    <m/>
    <s v=" "/>
    <m/>
    <m/>
  </r>
  <r>
    <x v="174"/>
    <d v="2023-06-24T00:00:00"/>
    <x v="23"/>
    <x v="5"/>
    <x v="0"/>
    <x v="0"/>
    <x v="0"/>
    <x v="0"/>
    <s v=""/>
    <s v=""/>
    <s v=""/>
    <s v=""/>
    <s v=""/>
    <s v=""/>
    <s v=""/>
    <s v=""/>
    <s v=""/>
    <s v=""/>
    <m/>
    <m/>
    <m/>
    <m/>
    <m/>
    <m/>
    <m/>
    <m/>
    <m/>
    <m/>
    <m/>
    <m/>
    <m/>
    <m/>
    <m/>
    <s v=" "/>
    <m/>
    <s v=" "/>
    <m/>
    <m/>
  </r>
  <r>
    <x v="175"/>
    <d v="2023-06-25T00:00:00"/>
    <x v="24"/>
    <x v="5"/>
    <x v="0"/>
    <x v="0"/>
    <x v="0"/>
    <x v="0"/>
    <s v=""/>
    <s v=""/>
    <s v=""/>
    <s v=""/>
    <s v=""/>
    <s v=""/>
    <s v=""/>
    <s v=""/>
    <s v=""/>
    <s v=""/>
    <m/>
    <m/>
    <m/>
    <m/>
    <m/>
    <m/>
    <m/>
    <m/>
    <m/>
    <m/>
    <m/>
    <m/>
    <m/>
    <m/>
    <m/>
    <s v=" "/>
    <m/>
    <s v=" "/>
    <m/>
    <m/>
  </r>
  <r>
    <x v="176"/>
    <d v="2023-06-26T00:00:00"/>
    <x v="25"/>
    <x v="5"/>
    <x v="0"/>
    <x v="0"/>
    <x v="0"/>
    <x v="0"/>
    <s v=""/>
    <s v=""/>
    <s v=""/>
    <s v=""/>
    <s v=""/>
    <s v=""/>
    <s v=""/>
    <s v=""/>
    <s v=""/>
    <s v=""/>
    <m/>
    <m/>
    <m/>
    <m/>
    <m/>
    <m/>
    <m/>
    <m/>
    <m/>
    <m/>
    <m/>
    <m/>
    <m/>
    <m/>
    <m/>
    <s v=" "/>
    <m/>
    <s v=" "/>
    <m/>
    <m/>
  </r>
  <r>
    <x v="177"/>
    <d v="2023-06-27T00:00:00"/>
    <x v="26"/>
    <x v="5"/>
    <x v="0"/>
    <x v="0"/>
    <x v="0"/>
    <x v="0"/>
    <s v=""/>
    <s v=""/>
    <s v=""/>
    <s v=""/>
    <s v=""/>
    <s v=""/>
    <s v=""/>
    <s v=""/>
    <s v=""/>
    <s v=""/>
    <m/>
    <m/>
    <m/>
    <m/>
    <m/>
    <m/>
    <m/>
    <m/>
    <m/>
    <m/>
    <m/>
    <m/>
    <m/>
    <m/>
    <m/>
    <s v=" "/>
    <m/>
    <s v=" "/>
    <m/>
    <m/>
  </r>
  <r>
    <x v="178"/>
    <d v="2023-06-28T00:00:00"/>
    <x v="27"/>
    <x v="5"/>
    <x v="0"/>
    <x v="0"/>
    <x v="0"/>
    <x v="0"/>
    <s v=""/>
    <s v=""/>
    <s v=""/>
    <s v=""/>
    <s v=""/>
    <s v=""/>
    <s v=""/>
    <s v=""/>
    <s v=""/>
    <s v=""/>
    <m/>
    <m/>
    <m/>
    <m/>
    <m/>
    <m/>
    <m/>
    <m/>
    <m/>
    <m/>
    <m/>
    <m/>
    <m/>
    <m/>
    <m/>
    <s v=" "/>
    <m/>
    <s v=" "/>
    <m/>
    <m/>
  </r>
  <r>
    <x v="179"/>
    <d v="2023-06-29T00:00:00"/>
    <x v="28"/>
    <x v="5"/>
    <x v="0"/>
    <x v="0"/>
    <x v="0"/>
    <x v="0"/>
    <s v=""/>
    <s v=""/>
    <s v=""/>
    <s v=""/>
    <s v=""/>
    <s v=""/>
    <s v=""/>
    <s v=""/>
    <s v=""/>
    <s v=""/>
    <m/>
    <m/>
    <m/>
    <m/>
    <m/>
    <m/>
    <m/>
    <m/>
    <m/>
    <m/>
    <m/>
    <m/>
    <m/>
    <m/>
    <m/>
    <s v=" "/>
    <m/>
    <s v=" "/>
    <m/>
    <m/>
  </r>
  <r>
    <x v="180"/>
    <d v="2023-06-30T00:00:00"/>
    <x v="29"/>
    <x v="5"/>
    <x v="0"/>
    <x v="0"/>
    <x v="0"/>
    <x v="0"/>
    <s v=""/>
    <s v=""/>
    <s v=""/>
    <s v=""/>
    <s v=""/>
    <s v=""/>
    <s v=""/>
    <s v=""/>
    <s v=""/>
    <s v=""/>
    <m/>
    <m/>
    <m/>
    <m/>
    <m/>
    <m/>
    <m/>
    <m/>
    <m/>
    <m/>
    <m/>
    <m/>
    <m/>
    <m/>
    <m/>
    <s v=" "/>
    <m/>
    <s v=" "/>
    <m/>
    <m/>
  </r>
  <r>
    <x v="181"/>
    <d v="2023-07-01T00:00:00"/>
    <x v="0"/>
    <x v="6"/>
    <x v="0"/>
    <x v="0"/>
    <x v="0"/>
    <x v="0"/>
    <s v=""/>
    <s v=""/>
    <s v=""/>
    <s v=""/>
    <s v=""/>
    <s v=""/>
    <s v=""/>
    <s v=""/>
    <s v=""/>
    <s v=""/>
    <m/>
    <m/>
    <m/>
    <m/>
    <m/>
    <m/>
    <m/>
    <m/>
    <m/>
    <m/>
    <m/>
    <m/>
    <m/>
    <m/>
    <m/>
    <s v=" "/>
    <m/>
    <s v=" "/>
    <m/>
    <m/>
  </r>
  <r>
    <x v="182"/>
    <d v="2023-07-02T00:00:00"/>
    <x v="1"/>
    <x v="6"/>
    <x v="0"/>
    <x v="0"/>
    <x v="0"/>
    <x v="0"/>
    <s v=""/>
    <s v=""/>
    <s v=""/>
    <s v=""/>
    <s v=""/>
    <s v=""/>
    <s v=""/>
    <s v=""/>
    <s v=""/>
    <s v=""/>
    <m/>
    <m/>
    <m/>
    <m/>
    <m/>
    <m/>
    <m/>
    <m/>
    <m/>
    <m/>
    <m/>
    <m/>
    <m/>
    <m/>
    <m/>
    <s v=" "/>
    <m/>
    <s v=" "/>
    <m/>
    <m/>
  </r>
  <r>
    <x v="183"/>
    <d v="2023-07-03T00:00:00"/>
    <x v="2"/>
    <x v="6"/>
    <x v="0"/>
    <x v="0"/>
    <x v="0"/>
    <x v="0"/>
    <s v=""/>
    <s v=""/>
    <s v=""/>
    <s v=""/>
    <s v=""/>
    <s v=""/>
    <s v=""/>
    <s v=""/>
    <s v=""/>
    <s v=""/>
    <m/>
    <m/>
    <m/>
    <m/>
    <m/>
    <m/>
    <m/>
    <m/>
    <m/>
    <m/>
    <m/>
    <m/>
    <m/>
    <m/>
    <m/>
    <s v=" "/>
    <m/>
    <s v=" "/>
    <m/>
    <m/>
  </r>
  <r>
    <x v="184"/>
    <d v="2023-07-04T00:00:00"/>
    <x v="3"/>
    <x v="6"/>
    <x v="0"/>
    <x v="0"/>
    <x v="0"/>
    <x v="0"/>
    <s v=""/>
    <s v=""/>
    <s v=""/>
    <s v=""/>
    <s v=""/>
    <s v=""/>
    <s v=""/>
    <s v=""/>
    <s v=""/>
    <s v=""/>
    <m/>
    <m/>
    <m/>
    <m/>
    <m/>
    <m/>
    <m/>
    <m/>
    <m/>
    <m/>
    <m/>
    <m/>
    <m/>
    <m/>
    <m/>
    <s v=" "/>
    <m/>
    <s v=" "/>
    <m/>
    <m/>
  </r>
  <r>
    <x v="185"/>
    <d v="2023-07-05T00:00:00"/>
    <x v="4"/>
    <x v="6"/>
    <x v="0"/>
    <x v="0"/>
    <x v="0"/>
    <x v="0"/>
    <s v=""/>
    <s v=""/>
    <s v=""/>
    <s v=""/>
    <s v=""/>
    <s v=""/>
    <s v=""/>
    <s v=""/>
    <s v=""/>
    <s v=""/>
    <m/>
    <m/>
    <m/>
    <m/>
    <m/>
    <m/>
    <m/>
    <m/>
    <m/>
    <m/>
    <m/>
    <m/>
    <m/>
    <m/>
    <m/>
    <s v=" "/>
    <m/>
    <s v=" "/>
    <m/>
    <m/>
  </r>
  <r>
    <x v="186"/>
    <d v="2023-07-06T00:00:00"/>
    <x v="5"/>
    <x v="6"/>
    <x v="0"/>
    <x v="0"/>
    <x v="0"/>
    <x v="0"/>
    <s v=""/>
    <s v=""/>
    <s v=""/>
    <s v=""/>
    <s v=""/>
    <s v=""/>
    <s v=""/>
    <s v=""/>
    <s v=""/>
    <s v=""/>
    <m/>
    <m/>
    <m/>
    <m/>
    <m/>
    <m/>
    <m/>
    <m/>
    <m/>
    <m/>
    <m/>
    <m/>
    <m/>
    <m/>
    <m/>
    <s v=" "/>
    <m/>
    <s v=" "/>
    <m/>
    <m/>
  </r>
  <r>
    <x v="187"/>
    <d v="2023-07-07T00:00:00"/>
    <x v="6"/>
    <x v="6"/>
    <x v="0"/>
    <x v="0"/>
    <x v="0"/>
    <x v="0"/>
    <s v=""/>
    <s v=""/>
    <s v=""/>
    <s v=""/>
    <s v=""/>
    <s v=""/>
    <s v=""/>
    <s v=""/>
    <s v=""/>
    <s v=""/>
    <m/>
    <m/>
    <m/>
    <m/>
    <m/>
    <m/>
    <m/>
    <m/>
    <m/>
    <m/>
    <m/>
    <m/>
    <m/>
    <m/>
    <m/>
    <s v=" "/>
    <m/>
    <s v=" "/>
    <m/>
    <m/>
  </r>
  <r>
    <x v="188"/>
    <d v="2023-07-08T00:00:00"/>
    <x v="7"/>
    <x v="6"/>
    <x v="0"/>
    <x v="0"/>
    <x v="0"/>
    <x v="0"/>
    <s v=""/>
    <s v=""/>
    <s v=""/>
    <s v=""/>
    <s v=""/>
    <s v=""/>
    <s v=""/>
    <s v=""/>
    <s v=""/>
    <s v=""/>
    <m/>
    <m/>
    <m/>
    <m/>
    <m/>
    <m/>
    <m/>
    <m/>
    <m/>
    <m/>
    <m/>
    <m/>
    <m/>
    <m/>
    <m/>
    <s v=" "/>
    <m/>
    <s v=" "/>
    <m/>
    <m/>
  </r>
  <r>
    <x v="189"/>
    <d v="2023-07-09T00:00:00"/>
    <x v="8"/>
    <x v="6"/>
    <x v="0"/>
    <x v="0"/>
    <x v="0"/>
    <x v="0"/>
    <s v=""/>
    <s v=""/>
    <s v=""/>
    <s v=""/>
    <s v=""/>
    <s v=""/>
    <s v=""/>
    <s v=""/>
    <s v=""/>
    <s v=""/>
    <m/>
    <m/>
    <m/>
    <m/>
    <m/>
    <m/>
    <m/>
    <m/>
    <m/>
    <m/>
    <m/>
    <m/>
    <m/>
    <m/>
    <m/>
    <s v=" "/>
    <m/>
    <s v=" "/>
    <m/>
    <m/>
  </r>
  <r>
    <x v="190"/>
    <d v="2023-07-10T00:00:00"/>
    <x v="9"/>
    <x v="6"/>
    <x v="0"/>
    <x v="0"/>
    <x v="0"/>
    <x v="0"/>
    <s v=""/>
    <s v=""/>
    <s v=""/>
    <s v=""/>
    <s v=""/>
    <s v=""/>
    <s v=""/>
    <s v=""/>
    <s v=""/>
    <s v=""/>
    <m/>
    <m/>
    <m/>
    <m/>
    <m/>
    <m/>
    <m/>
    <m/>
    <m/>
    <m/>
    <m/>
    <m/>
    <m/>
    <m/>
    <m/>
    <s v=" "/>
    <m/>
    <s v=" "/>
    <m/>
    <m/>
  </r>
  <r>
    <x v="191"/>
    <d v="2023-07-11T00:00:00"/>
    <x v="10"/>
    <x v="6"/>
    <x v="0"/>
    <x v="0"/>
    <x v="0"/>
    <x v="0"/>
    <s v=""/>
    <s v=""/>
    <s v=""/>
    <s v=""/>
    <s v=""/>
    <s v=""/>
    <s v=""/>
    <s v=""/>
    <s v=""/>
    <s v=""/>
    <m/>
    <m/>
    <m/>
    <m/>
    <m/>
    <m/>
    <m/>
    <m/>
    <m/>
    <m/>
    <m/>
    <m/>
    <m/>
    <m/>
    <m/>
    <s v=" "/>
    <m/>
    <s v=" "/>
    <m/>
    <m/>
  </r>
  <r>
    <x v="192"/>
    <d v="2023-07-12T00:00:00"/>
    <x v="11"/>
    <x v="6"/>
    <x v="0"/>
    <x v="0"/>
    <x v="0"/>
    <x v="0"/>
    <s v=""/>
    <s v=""/>
    <s v=""/>
    <s v=""/>
    <s v=""/>
    <s v=""/>
    <s v=""/>
    <s v=""/>
    <s v=""/>
    <s v=""/>
    <m/>
    <m/>
    <m/>
    <m/>
    <m/>
    <m/>
    <m/>
    <m/>
    <m/>
    <m/>
    <m/>
    <m/>
    <m/>
    <m/>
    <m/>
    <s v=" "/>
    <m/>
    <s v=" "/>
    <m/>
    <m/>
  </r>
  <r>
    <x v="193"/>
    <d v="2023-07-13T00:00:00"/>
    <x v="12"/>
    <x v="6"/>
    <x v="0"/>
    <x v="0"/>
    <x v="0"/>
    <x v="0"/>
    <s v=""/>
    <s v=""/>
    <s v=""/>
    <s v=""/>
    <s v=""/>
    <s v=""/>
    <s v=""/>
    <s v=""/>
    <s v=""/>
    <s v=""/>
    <m/>
    <m/>
    <m/>
    <m/>
    <m/>
    <m/>
    <m/>
    <m/>
    <m/>
    <m/>
    <m/>
    <m/>
    <m/>
    <m/>
    <m/>
    <s v=" "/>
    <m/>
    <s v=" "/>
    <m/>
    <m/>
  </r>
  <r>
    <x v="194"/>
    <d v="2023-07-14T00:00:00"/>
    <x v="13"/>
    <x v="6"/>
    <x v="0"/>
    <x v="0"/>
    <x v="0"/>
    <x v="0"/>
    <s v=""/>
    <s v=""/>
    <s v=""/>
    <s v=""/>
    <s v=""/>
    <s v=""/>
    <s v=""/>
    <s v=""/>
    <s v=""/>
    <s v=""/>
    <m/>
    <m/>
    <m/>
    <m/>
    <m/>
    <m/>
    <m/>
    <m/>
    <m/>
    <m/>
    <m/>
    <m/>
    <m/>
    <m/>
    <m/>
    <s v=" "/>
    <m/>
    <s v=" "/>
    <m/>
    <m/>
  </r>
  <r>
    <x v="195"/>
    <d v="2023-07-15T00:00:00"/>
    <x v="14"/>
    <x v="6"/>
    <x v="0"/>
    <x v="0"/>
    <x v="0"/>
    <x v="0"/>
    <s v=""/>
    <s v=""/>
    <s v=""/>
    <s v=""/>
    <s v=""/>
    <s v=""/>
    <s v=""/>
    <s v=""/>
    <s v=""/>
    <s v=""/>
    <m/>
    <m/>
    <m/>
    <m/>
    <m/>
    <m/>
    <m/>
    <m/>
    <m/>
    <m/>
    <m/>
    <m/>
    <m/>
    <m/>
    <m/>
    <s v=" "/>
    <m/>
    <s v=" "/>
    <m/>
    <m/>
  </r>
  <r>
    <x v="196"/>
    <d v="2023-07-16T00:00:00"/>
    <x v="15"/>
    <x v="6"/>
    <x v="0"/>
    <x v="0"/>
    <x v="0"/>
    <x v="0"/>
    <s v=""/>
    <s v=""/>
    <s v=""/>
    <s v=""/>
    <s v=""/>
    <s v=""/>
    <s v=""/>
    <s v=""/>
    <s v=""/>
    <s v=""/>
    <m/>
    <m/>
    <m/>
    <m/>
    <m/>
    <m/>
    <m/>
    <m/>
    <m/>
    <m/>
    <m/>
    <m/>
    <m/>
    <m/>
    <m/>
    <s v=" "/>
    <m/>
    <s v=" "/>
    <m/>
    <m/>
  </r>
  <r>
    <x v="197"/>
    <d v="2023-07-17T00:00:00"/>
    <x v="16"/>
    <x v="6"/>
    <x v="0"/>
    <x v="0"/>
    <x v="0"/>
    <x v="0"/>
    <s v=""/>
    <s v=""/>
    <s v=""/>
    <s v=""/>
    <s v=""/>
    <s v=""/>
    <s v=""/>
    <s v=""/>
    <s v=""/>
    <s v=""/>
    <m/>
    <m/>
    <m/>
    <m/>
    <m/>
    <m/>
    <m/>
    <m/>
    <m/>
    <m/>
    <m/>
    <m/>
    <m/>
    <m/>
    <m/>
    <s v=" "/>
    <m/>
    <s v=" "/>
    <m/>
    <m/>
  </r>
  <r>
    <x v="198"/>
    <d v="2023-07-18T00:00:00"/>
    <x v="17"/>
    <x v="6"/>
    <x v="0"/>
    <x v="0"/>
    <x v="0"/>
    <x v="0"/>
    <s v=""/>
    <s v=""/>
    <s v=""/>
    <s v=""/>
    <s v=""/>
    <s v=""/>
    <s v=""/>
    <s v=""/>
    <s v=""/>
    <s v=""/>
    <m/>
    <m/>
    <m/>
    <m/>
    <m/>
    <m/>
    <m/>
    <m/>
    <m/>
    <m/>
    <m/>
    <m/>
    <m/>
    <m/>
    <m/>
    <s v=" "/>
    <m/>
    <s v=" "/>
    <m/>
    <m/>
  </r>
  <r>
    <x v="199"/>
    <d v="2023-07-19T00:00:00"/>
    <x v="18"/>
    <x v="6"/>
    <x v="0"/>
    <x v="0"/>
    <x v="0"/>
    <x v="0"/>
    <s v=""/>
    <s v=""/>
    <s v=""/>
    <s v=""/>
    <s v=""/>
    <s v=""/>
    <s v=""/>
    <s v=""/>
    <s v=""/>
    <s v=""/>
    <m/>
    <m/>
    <m/>
    <m/>
    <m/>
    <m/>
    <m/>
    <m/>
    <m/>
    <m/>
    <m/>
    <m/>
    <m/>
    <m/>
    <m/>
    <s v=" "/>
    <m/>
    <s v=" "/>
    <m/>
    <m/>
  </r>
  <r>
    <x v="200"/>
    <d v="2023-07-20T00:00:00"/>
    <x v="19"/>
    <x v="6"/>
    <x v="0"/>
    <x v="0"/>
    <x v="0"/>
    <x v="0"/>
    <s v=""/>
    <s v=""/>
    <s v=""/>
    <s v=""/>
    <s v=""/>
    <s v=""/>
    <s v=""/>
    <s v=""/>
    <s v=""/>
    <s v=""/>
    <m/>
    <m/>
    <m/>
    <m/>
    <m/>
    <m/>
    <m/>
    <m/>
    <m/>
    <m/>
    <m/>
    <m/>
    <m/>
    <m/>
    <m/>
    <s v=" "/>
    <m/>
    <s v=" "/>
    <m/>
    <m/>
  </r>
  <r>
    <x v="201"/>
    <d v="2023-07-21T00:00:00"/>
    <x v="20"/>
    <x v="6"/>
    <x v="0"/>
    <x v="0"/>
    <x v="0"/>
    <x v="0"/>
    <s v=""/>
    <s v=""/>
    <s v=""/>
    <s v=""/>
    <s v=""/>
    <s v=""/>
    <s v=""/>
    <s v=""/>
    <s v=""/>
    <s v=""/>
    <m/>
    <m/>
    <m/>
    <m/>
    <m/>
    <m/>
    <m/>
    <m/>
    <m/>
    <m/>
    <m/>
    <m/>
    <m/>
    <m/>
    <m/>
    <s v=" "/>
    <m/>
    <s v=" "/>
    <m/>
    <m/>
  </r>
  <r>
    <x v="202"/>
    <d v="2023-07-22T00:00:00"/>
    <x v="21"/>
    <x v="6"/>
    <x v="0"/>
    <x v="0"/>
    <x v="0"/>
    <x v="0"/>
    <s v=""/>
    <s v=""/>
    <s v=""/>
    <s v=""/>
    <s v=""/>
    <s v=""/>
    <s v=""/>
    <s v=""/>
    <s v=""/>
    <s v=""/>
    <m/>
    <m/>
    <m/>
    <m/>
    <m/>
    <m/>
    <m/>
    <m/>
    <m/>
    <m/>
    <m/>
    <m/>
    <m/>
    <m/>
    <m/>
    <s v=" "/>
    <m/>
    <s v=" "/>
    <m/>
    <m/>
  </r>
  <r>
    <x v="203"/>
    <d v="2023-07-23T00:00:00"/>
    <x v="22"/>
    <x v="6"/>
    <x v="0"/>
    <x v="0"/>
    <x v="0"/>
    <x v="0"/>
    <s v=""/>
    <s v=""/>
    <s v=""/>
    <s v=""/>
    <s v=""/>
    <s v=""/>
    <s v=""/>
    <s v=""/>
    <s v=""/>
    <s v=""/>
    <m/>
    <m/>
    <m/>
    <m/>
    <m/>
    <m/>
    <m/>
    <m/>
    <m/>
    <m/>
    <m/>
    <m/>
    <m/>
    <m/>
    <m/>
    <s v=" "/>
    <m/>
    <s v=" "/>
    <m/>
    <m/>
  </r>
  <r>
    <x v="204"/>
    <d v="2023-07-24T00:00:00"/>
    <x v="23"/>
    <x v="6"/>
    <x v="0"/>
    <x v="0"/>
    <x v="0"/>
    <x v="0"/>
    <s v=""/>
    <s v=""/>
    <s v=""/>
    <s v=""/>
    <s v=""/>
    <s v=""/>
    <s v=""/>
    <s v=""/>
    <s v=""/>
    <s v=""/>
    <m/>
    <m/>
    <m/>
    <m/>
    <m/>
    <m/>
    <m/>
    <m/>
    <m/>
    <m/>
    <m/>
    <m/>
    <m/>
    <m/>
    <m/>
    <s v=" "/>
    <m/>
    <s v=" "/>
    <m/>
    <m/>
  </r>
  <r>
    <x v="205"/>
    <d v="2023-07-25T00:00:00"/>
    <x v="24"/>
    <x v="6"/>
    <x v="0"/>
    <x v="0"/>
    <x v="0"/>
    <x v="0"/>
    <s v=""/>
    <s v=""/>
    <s v=""/>
    <s v=""/>
    <s v=""/>
    <s v=""/>
    <s v=""/>
    <s v=""/>
    <s v=""/>
    <s v=""/>
    <m/>
    <m/>
    <m/>
    <m/>
    <m/>
    <m/>
    <m/>
    <m/>
    <m/>
    <m/>
    <m/>
    <m/>
    <m/>
    <m/>
    <m/>
    <s v=" "/>
    <m/>
    <s v=" "/>
    <m/>
    <m/>
  </r>
  <r>
    <x v="206"/>
    <d v="2023-07-26T00:00:00"/>
    <x v="25"/>
    <x v="6"/>
    <x v="0"/>
    <x v="0"/>
    <x v="0"/>
    <x v="0"/>
    <s v=""/>
    <s v=""/>
    <s v=""/>
    <s v=""/>
    <s v=""/>
    <s v=""/>
    <s v=""/>
    <s v=""/>
    <s v=""/>
    <s v=""/>
    <m/>
    <m/>
    <m/>
    <m/>
    <m/>
    <m/>
    <m/>
    <m/>
    <m/>
    <m/>
    <m/>
    <m/>
    <m/>
    <m/>
    <m/>
    <s v=" "/>
    <m/>
    <s v=" "/>
    <m/>
    <m/>
  </r>
  <r>
    <x v="207"/>
    <d v="2023-07-27T00:00:00"/>
    <x v="26"/>
    <x v="6"/>
    <x v="0"/>
    <x v="0"/>
    <x v="0"/>
    <x v="0"/>
    <s v=""/>
    <s v=""/>
    <s v=""/>
    <s v=""/>
    <s v=""/>
    <s v=""/>
    <s v=""/>
    <s v=""/>
    <s v=""/>
    <s v=""/>
    <m/>
    <m/>
    <m/>
    <m/>
    <m/>
    <m/>
    <m/>
    <m/>
    <m/>
    <m/>
    <m/>
    <m/>
    <m/>
    <m/>
    <m/>
    <s v=" "/>
    <m/>
    <s v=" "/>
    <m/>
    <m/>
  </r>
  <r>
    <x v="208"/>
    <d v="2023-07-28T00:00:00"/>
    <x v="27"/>
    <x v="6"/>
    <x v="0"/>
    <x v="0"/>
    <x v="0"/>
    <x v="0"/>
    <s v=""/>
    <s v=""/>
    <s v=""/>
    <s v=""/>
    <s v=""/>
    <s v=""/>
    <s v=""/>
    <s v=""/>
    <s v=""/>
    <s v=""/>
    <m/>
    <m/>
    <m/>
    <m/>
    <m/>
    <m/>
    <m/>
    <m/>
    <m/>
    <m/>
    <m/>
    <m/>
    <m/>
    <m/>
    <m/>
    <s v=" "/>
    <m/>
    <s v=" "/>
    <m/>
    <m/>
  </r>
  <r>
    <x v="209"/>
    <d v="2023-07-29T00:00:00"/>
    <x v="28"/>
    <x v="6"/>
    <x v="0"/>
    <x v="0"/>
    <x v="0"/>
    <x v="0"/>
    <s v=""/>
    <s v=""/>
    <s v=""/>
    <s v=""/>
    <s v=""/>
    <s v=""/>
    <s v=""/>
    <s v=""/>
    <s v=""/>
    <s v=""/>
    <m/>
    <m/>
    <m/>
    <m/>
    <m/>
    <m/>
    <m/>
    <m/>
    <m/>
    <m/>
    <m/>
    <m/>
    <m/>
    <m/>
    <m/>
    <s v=" "/>
    <m/>
    <s v=" "/>
    <m/>
    <m/>
  </r>
  <r>
    <x v="210"/>
    <d v="2023-07-30T00:00:00"/>
    <x v="29"/>
    <x v="6"/>
    <x v="0"/>
    <x v="0"/>
    <x v="0"/>
    <x v="0"/>
    <s v=""/>
    <s v=""/>
    <s v=""/>
    <s v=""/>
    <s v=""/>
    <s v=""/>
    <s v=""/>
    <s v=""/>
    <s v=""/>
    <s v=""/>
    <m/>
    <m/>
    <m/>
    <m/>
    <m/>
    <m/>
    <m/>
    <m/>
    <m/>
    <m/>
    <m/>
    <m/>
    <m/>
    <m/>
    <m/>
    <s v=" "/>
    <m/>
    <s v=" "/>
    <m/>
    <m/>
  </r>
  <r>
    <x v="211"/>
    <d v="2023-07-31T00:00:00"/>
    <x v="30"/>
    <x v="6"/>
    <x v="0"/>
    <x v="0"/>
    <x v="0"/>
    <x v="0"/>
    <s v=""/>
    <s v=""/>
    <s v=""/>
    <s v=""/>
    <s v=""/>
    <s v=""/>
    <s v=""/>
    <s v=""/>
    <s v=""/>
    <s v=""/>
    <m/>
    <m/>
    <m/>
    <m/>
    <m/>
    <m/>
    <m/>
    <m/>
    <m/>
    <m/>
    <m/>
    <m/>
    <m/>
    <m/>
    <m/>
    <s v=" "/>
    <m/>
    <s v=" "/>
    <m/>
    <m/>
  </r>
  <r>
    <x v="212"/>
    <d v="2023-08-01T00:00:00"/>
    <x v="0"/>
    <x v="7"/>
    <x v="0"/>
    <x v="0"/>
    <x v="0"/>
    <x v="0"/>
    <s v=""/>
    <s v=""/>
    <s v=""/>
    <s v=""/>
    <s v=""/>
    <s v=""/>
    <s v=""/>
    <s v=""/>
    <s v=""/>
    <s v=""/>
    <m/>
    <m/>
    <m/>
    <m/>
    <m/>
    <m/>
    <m/>
    <m/>
    <m/>
    <m/>
    <m/>
    <m/>
    <m/>
    <m/>
    <m/>
    <s v=" "/>
    <m/>
    <s v=" "/>
    <m/>
    <m/>
  </r>
  <r>
    <x v="213"/>
    <d v="2023-08-02T00:00:00"/>
    <x v="1"/>
    <x v="7"/>
    <x v="0"/>
    <x v="0"/>
    <x v="0"/>
    <x v="0"/>
    <s v=""/>
    <s v=""/>
    <s v=""/>
    <s v=""/>
    <s v=""/>
    <s v=""/>
    <s v=""/>
    <s v=""/>
    <s v=""/>
    <s v=""/>
    <m/>
    <m/>
    <m/>
    <m/>
    <m/>
    <m/>
    <m/>
    <m/>
    <m/>
    <m/>
    <m/>
    <m/>
    <m/>
    <m/>
    <m/>
    <s v=" "/>
    <m/>
    <s v=" "/>
    <m/>
    <m/>
  </r>
  <r>
    <x v="214"/>
    <d v="2023-08-03T00:00:00"/>
    <x v="2"/>
    <x v="7"/>
    <x v="0"/>
    <x v="0"/>
    <x v="0"/>
    <x v="0"/>
    <s v=""/>
    <s v=""/>
    <s v=""/>
    <s v=""/>
    <s v=""/>
    <s v=""/>
    <s v=""/>
    <s v=""/>
    <s v=""/>
    <s v=""/>
    <m/>
    <m/>
    <m/>
    <m/>
    <m/>
    <m/>
    <m/>
    <m/>
    <m/>
    <m/>
    <m/>
    <m/>
    <m/>
    <m/>
    <m/>
    <s v=" "/>
    <m/>
    <s v=" "/>
    <m/>
    <m/>
  </r>
  <r>
    <x v="215"/>
    <d v="2023-08-04T00:00:00"/>
    <x v="3"/>
    <x v="7"/>
    <x v="0"/>
    <x v="0"/>
    <x v="0"/>
    <x v="0"/>
    <s v=""/>
    <s v=""/>
    <s v=""/>
    <s v=""/>
    <s v=""/>
    <s v=""/>
    <s v=""/>
    <s v=""/>
    <s v=""/>
    <s v=""/>
    <m/>
    <m/>
    <m/>
    <m/>
    <m/>
    <m/>
    <m/>
    <m/>
    <m/>
    <m/>
    <m/>
    <m/>
    <m/>
    <m/>
    <m/>
    <s v=" "/>
    <m/>
    <s v=" "/>
    <m/>
    <m/>
  </r>
  <r>
    <x v="216"/>
    <d v="2023-08-05T00:00:00"/>
    <x v="4"/>
    <x v="7"/>
    <x v="0"/>
    <x v="0"/>
    <x v="0"/>
    <x v="0"/>
    <s v=""/>
    <s v=""/>
    <s v=""/>
    <s v=""/>
    <s v=""/>
    <s v=""/>
    <s v=""/>
    <s v=""/>
    <s v=""/>
    <s v=""/>
    <m/>
    <m/>
    <m/>
    <m/>
    <m/>
    <m/>
    <m/>
    <m/>
    <m/>
    <m/>
    <m/>
    <m/>
    <m/>
    <m/>
    <m/>
    <s v=" "/>
    <m/>
    <s v=" "/>
    <m/>
    <m/>
  </r>
  <r>
    <x v="217"/>
    <d v="2023-08-06T00:00:00"/>
    <x v="5"/>
    <x v="7"/>
    <x v="0"/>
    <x v="0"/>
    <x v="0"/>
    <x v="0"/>
    <s v=""/>
    <s v=""/>
    <s v=""/>
    <s v=""/>
    <s v=""/>
    <s v=""/>
    <s v=""/>
    <s v=""/>
    <s v=""/>
    <s v=""/>
    <m/>
    <m/>
    <m/>
    <m/>
    <m/>
    <m/>
    <m/>
    <m/>
    <m/>
    <m/>
    <m/>
    <m/>
    <m/>
    <m/>
    <m/>
    <s v=" "/>
    <m/>
    <s v=" "/>
    <m/>
    <m/>
  </r>
  <r>
    <x v="218"/>
    <d v="2023-08-07T00:00:00"/>
    <x v="6"/>
    <x v="7"/>
    <x v="0"/>
    <x v="0"/>
    <x v="0"/>
    <x v="0"/>
    <s v=""/>
    <s v=""/>
    <s v=""/>
    <s v=""/>
    <s v=""/>
    <s v=""/>
    <s v=""/>
    <s v=""/>
    <s v=""/>
    <s v=""/>
    <m/>
    <m/>
    <m/>
    <m/>
    <m/>
    <m/>
    <m/>
    <m/>
    <m/>
    <m/>
    <m/>
    <m/>
    <m/>
    <m/>
    <m/>
    <s v=" "/>
    <m/>
    <s v=" "/>
    <m/>
    <m/>
  </r>
  <r>
    <x v="219"/>
    <d v="2023-08-08T00:00:00"/>
    <x v="7"/>
    <x v="7"/>
    <x v="0"/>
    <x v="0"/>
    <x v="0"/>
    <x v="0"/>
    <s v=""/>
    <s v=""/>
    <s v=""/>
    <s v=""/>
    <s v=""/>
    <s v=""/>
    <s v=""/>
    <s v=""/>
    <s v=""/>
    <s v=""/>
    <m/>
    <m/>
    <m/>
    <m/>
    <m/>
    <m/>
    <m/>
    <m/>
    <m/>
    <m/>
    <m/>
    <m/>
    <m/>
    <m/>
    <m/>
    <s v=" "/>
    <m/>
    <s v=" "/>
    <m/>
    <m/>
  </r>
  <r>
    <x v="220"/>
    <d v="2023-08-09T00:00:00"/>
    <x v="8"/>
    <x v="7"/>
    <x v="0"/>
    <x v="0"/>
    <x v="0"/>
    <x v="0"/>
    <s v=""/>
    <s v=""/>
    <s v=""/>
    <s v=""/>
    <s v=""/>
    <s v=""/>
    <s v=""/>
    <s v=""/>
    <s v=""/>
    <s v=""/>
    <m/>
    <m/>
    <m/>
    <m/>
    <m/>
    <m/>
    <m/>
    <m/>
    <m/>
    <m/>
    <m/>
    <m/>
    <m/>
    <m/>
    <m/>
    <s v=" "/>
    <m/>
    <s v=" "/>
    <m/>
    <m/>
  </r>
  <r>
    <x v="221"/>
    <d v="2023-08-10T00:00:00"/>
    <x v="9"/>
    <x v="7"/>
    <x v="0"/>
    <x v="0"/>
    <x v="0"/>
    <x v="0"/>
    <s v=""/>
    <s v=""/>
    <s v=""/>
    <s v=""/>
    <s v=""/>
    <s v=""/>
    <s v=""/>
    <s v=""/>
    <s v=""/>
    <s v=""/>
    <m/>
    <m/>
    <m/>
    <m/>
    <m/>
    <m/>
    <m/>
    <m/>
    <m/>
    <m/>
    <m/>
    <m/>
    <m/>
    <m/>
    <m/>
    <s v=" "/>
    <m/>
    <s v=" "/>
    <m/>
    <m/>
  </r>
  <r>
    <x v="222"/>
    <d v="2023-08-11T00:00:00"/>
    <x v="10"/>
    <x v="7"/>
    <x v="0"/>
    <x v="0"/>
    <x v="0"/>
    <x v="0"/>
    <s v=""/>
    <s v=""/>
    <s v=""/>
    <s v=""/>
    <s v=""/>
    <s v=""/>
    <s v=""/>
    <s v=""/>
    <s v=""/>
    <s v=""/>
    <m/>
    <m/>
    <m/>
    <m/>
    <m/>
    <m/>
    <m/>
    <m/>
    <m/>
    <m/>
    <m/>
    <m/>
    <m/>
    <m/>
    <m/>
    <s v=" "/>
    <m/>
    <s v=" "/>
    <m/>
    <m/>
  </r>
  <r>
    <x v="223"/>
    <d v="2023-08-12T00:00:00"/>
    <x v="11"/>
    <x v="7"/>
    <x v="0"/>
    <x v="0"/>
    <x v="0"/>
    <x v="0"/>
    <s v=""/>
    <s v=""/>
    <s v=""/>
    <s v=""/>
    <s v=""/>
    <s v=""/>
    <s v=""/>
    <s v=""/>
    <s v=""/>
    <s v=""/>
    <m/>
    <m/>
    <m/>
    <m/>
    <m/>
    <m/>
    <m/>
    <m/>
    <m/>
    <m/>
    <m/>
    <m/>
    <m/>
    <m/>
    <m/>
    <s v=" "/>
    <m/>
    <s v=" "/>
    <m/>
    <m/>
  </r>
  <r>
    <x v="224"/>
    <d v="2023-08-13T00:00:00"/>
    <x v="12"/>
    <x v="7"/>
    <x v="0"/>
    <x v="0"/>
    <x v="0"/>
    <x v="0"/>
    <s v=""/>
    <s v=""/>
    <s v=""/>
    <s v=""/>
    <s v=""/>
    <s v=""/>
    <s v=""/>
    <s v=""/>
    <s v=""/>
    <s v=""/>
    <m/>
    <m/>
    <m/>
    <m/>
    <m/>
    <m/>
    <m/>
    <m/>
    <m/>
    <m/>
    <m/>
    <m/>
    <m/>
    <m/>
    <m/>
    <s v=" "/>
    <m/>
    <s v=" "/>
    <m/>
    <m/>
  </r>
  <r>
    <x v="225"/>
    <d v="2023-08-14T00:00:00"/>
    <x v="13"/>
    <x v="7"/>
    <x v="0"/>
    <x v="0"/>
    <x v="0"/>
    <x v="0"/>
    <s v=""/>
    <s v=""/>
    <s v=""/>
    <s v=""/>
    <s v=""/>
    <s v=""/>
    <s v=""/>
    <s v=""/>
    <s v=""/>
    <s v=""/>
    <m/>
    <m/>
    <m/>
    <m/>
    <m/>
    <m/>
    <m/>
    <m/>
    <m/>
    <m/>
    <m/>
    <m/>
    <m/>
    <m/>
    <m/>
    <s v=" "/>
    <m/>
    <s v=" "/>
    <m/>
    <m/>
  </r>
  <r>
    <x v="226"/>
    <d v="2023-08-15T00:00:00"/>
    <x v="14"/>
    <x v="7"/>
    <x v="0"/>
    <x v="0"/>
    <x v="0"/>
    <x v="0"/>
    <s v=""/>
    <s v=""/>
    <s v=""/>
    <s v=""/>
    <s v=""/>
    <s v=""/>
    <s v=""/>
    <s v=""/>
    <s v=""/>
    <s v=""/>
    <m/>
    <m/>
    <m/>
    <m/>
    <m/>
    <m/>
    <m/>
    <m/>
    <m/>
    <m/>
    <m/>
    <m/>
    <m/>
    <m/>
    <m/>
    <s v=" "/>
    <m/>
    <s v=" "/>
    <m/>
    <m/>
  </r>
  <r>
    <x v="227"/>
    <d v="2023-08-16T00:00:00"/>
    <x v="15"/>
    <x v="7"/>
    <x v="0"/>
    <x v="0"/>
    <x v="0"/>
    <x v="0"/>
    <s v=""/>
    <s v=""/>
    <s v=""/>
    <s v=""/>
    <s v=""/>
    <s v=""/>
    <s v=""/>
    <s v=""/>
    <s v=""/>
    <s v=""/>
    <m/>
    <m/>
    <m/>
    <m/>
    <m/>
    <m/>
    <m/>
    <m/>
    <m/>
    <m/>
    <m/>
    <m/>
    <m/>
    <m/>
    <m/>
    <s v=" "/>
    <m/>
    <s v=" "/>
    <m/>
    <m/>
  </r>
  <r>
    <x v="228"/>
    <d v="2023-08-17T00:00:00"/>
    <x v="16"/>
    <x v="7"/>
    <x v="0"/>
    <x v="0"/>
    <x v="0"/>
    <x v="0"/>
    <s v=""/>
    <s v=""/>
    <s v=""/>
    <s v=""/>
    <s v=""/>
    <s v=""/>
    <s v=""/>
    <s v=""/>
    <s v=""/>
    <s v=""/>
    <m/>
    <m/>
    <m/>
    <m/>
    <m/>
    <m/>
    <m/>
    <m/>
    <m/>
    <m/>
    <m/>
    <m/>
    <m/>
    <m/>
    <m/>
    <s v=" "/>
    <m/>
    <s v=" "/>
    <m/>
    <m/>
  </r>
  <r>
    <x v="229"/>
    <d v="2023-08-18T00:00:00"/>
    <x v="17"/>
    <x v="7"/>
    <x v="0"/>
    <x v="0"/>
    <x v="0"/>
    <x v="0"/>
    <s v=""/>
    <s v=""/>
    <s v=""/>
    <s v=""/>
    <s v=""/>
    <s v=""/>
    <s v=""/>
    <s v=""/>
    <s v=""/>
    <s v=""/>
    <m/>
    <m/>
    <m/>
    <m/>
    <m/>
    <m/>
    <m/>
    <m/>
    <m/>
    <m/>
    <m/>
    <m/>
    <m/>
    <m/>
    <m/>
    <s v=" "/>
    <m/>
    <s v=" "/>
    <m/>
    <m/>
  </r>
  <r>
    <x v="230"/>
    <d v="2023-08-19T00:00:00"/>
    <x v="18"/>
    <x v="7"/>
    <x v="0"/>
    <x v="0"/>
    <x v="0"/>
    <x v="0"/>
    <s v=""/>
    <s v=""/>
    <s v=""/>
    <s v=""/>
    <s v=""/>
    <s v=""/>
    <s v=""/>
    <s v=""/>
    <s v=""/>
    <s v=""/>
    <m/>
    <m/>
    <m/>
    <m/>
    <m/>
    <m/>
    <m/>
    <m/>
    <m/>
    <m/>
    <m/>
    <m/>
    <m/>
    <m/>
    <m/>
    <s v=" "/>
    <m/>
    <s v=" "/>
    <m/>
    <m/>
  </r>
  <r>
    <x v="231"/>
    <d v="2023-08-20T00:00:00"/>
    <x v="19"/>
    <x v="7"/>
    <x v="0"/>
    <x v="0"/>
    <x v="0"/>
    <x v="0"/>
    <s v=""/>
    <s v=""/>
    <s v=""/>
    <s v=""/>
    <s v=""/>
    <s v=""/>
    <s v=""/>
    <s v=""/>
    <s v=""/>
    <s v=""/>
    <m/>
    <m/>
    <m/>
    <m/>
    <m/>
    <m/>
    <m/>
    <m/>
    <m/>
    <m/>
    <m/>
    <m/>
    <m/>
    <m/>
    <m/>
    <s v=" "/>
    <m/>
    <s v=" "/>
    <m/>
    <m/>
  </r>
  <r>
    <x v="232"/>
    <d v="2023-08-21T00:00:00"/>
    <x v="20"/>
    <x v="7"/>
    <x v="0"/>
    <x v="0"/>
    <x v="0"/>
    <x v="0"/>
    <s v=""/>
    <s v=""/>
    <s v=""/>
    <s v=""/>
    <s v=""/>
    <s v=""/>
    <s v=""/>
    <s v=""/>
    <s v=""/>
    <s v=""/>
    <m/>
    <m/>
    <m/>
    <m/>
    <m/>
    <m/>
    <m/>
    <m/>
    <m/>
    <m/>
    <m/>
    <m/>
    <m/>
    <m/>
    <m/>
    <s v=" "/>
    <m/>
    <s v=" "/>
    <m/>
    <m/>
  </r>
  <r>
    <x v="233"/>
    <d v="2023-08-22T00:00:00"/>
    <x v="21"/>
    <x v="7"/>
    <x v="0"/>
    <x v="0"/>
    <x v="0"/>
    <x v="0"/>
    <s v=""/>
    <s v=""/>
    <s v=""/>
    <s v=""/>
    <s v=""/>
    <s v=""/>
    <s v=""/>
    <s v=""/>
    <s v=""/>
    <s v=""/>
    <m/>
    <m/>
    <m/>
    <m/>
    <m/>
    <m/>
    <m/>
    <m/>
    <m/>
    <m/>
    <m/>
    <m/>
    <m/>
    <m/>
    <m/>
    <s v=" "/>
    <m/>
    <s v=" "/>
    <m/>
    <m/>
  </r>
  <r>
    <x v="234"/>
    <d v="2023-08-23T00:00:00"/>
    <x v="22"/>
    <x v="7"/>
    <x v="0"/>
    <x v="0"/>
    <x v="0"/>
    <x v="0"/>
    <s v=""/>
    <s v=""/>
    <s v=""/>
    <s v=""/>
    <s v=""/>
    <s v=""/>
    <s v=""/>
    <s v=""/>
    <s v=""/>
    <s v=""/>
    <m/>
    <m/>
    <m/>
    <m/>
    <m/>
    <m/>
    <m/>
    <m/>
    <m/>
    <m/>
    <m/>
    <m/>
    <m/>
    <m/>
    <m/>
    <s v=" "/>
    <m/>
    <s v=" "/>
    <m/>
    <m/>
  </r>
  <r>
    <x v="235"/>
    <d v="2023-08-24T00:00:00"/>
    <x v="23"/>
    <x v="7"/>
    <x v="0"/>
    <x v="0"/>
    <x v="0"/>
    <x v="0"/>
    <s v=""/>
    <s v=""/>
    <s v=""/>
    <s v=""/>
    <s v=""/>
    <s v=""/>
    <s v=""/>
    <s v=""/>
    <s v=""/>
    <s v=""/>
    <m/>
    <m/>
    <m/>
    <m/>
    <m/>
    <m/>
    <m/>
    <m/>
    <m/>
    <m/>
    <m/>
    <m/>
    <m/>
    <m/>
    <m/>
    <s v=" "/>
    <m/>
    <s v=" "/>
    <m/>
    <m/>
  </r>
  <r>
    <x v="236"/>
    <d v="2023-08-25T00:00:00"/>
    <x v="24"/>
    <x v="7"/>
    <x v="0"/>
    <x v="0"/>
    <x v="0"/>
    <x v="0"/>
    <s v=""/>
    <s v=""/>
    <s v=""/>
    <s v=""/>
    <s v=""/>
    <s v=""/>
    <s v=""/>
    <s v=""/>
    <s v=""/>
    <s v=""/>
    <m/>
    <m/>
    <m/>
    <m/>
    <m/>
    <m/>
    <m/>
    <m/>
    <m/>
    <m/>
    <m/>
    <m/>
    <m/>
    <m/>
    <m/>
    <s v=" "/>
    <m/>
    <s v=" "/>
    <m/>
    <m/>
  </r>
  <r>
    <x v="237"/>
    <d v="2023-08-26T00:00:00"/>
    <x v="25"/>
    <x v="7"/>
    <x v="0"/>
    <x v="0"/>
    <x v="0"/>
    <x v="0"/>
    <s v=""/>
    <s v=""/>
    <s v=""/>
    <s v=""/>
    <s v=""/>
    <s v=""/>
    <s v=""/>
    <s v=""/>
    <s v=""/>
    <s v=""/>
    <m/>
    <m/>
    <m/>
    <m/>
    <m/>
    <m/>
    <m/>
    <m/>
    <m/>
    <m/>
    <m/>
    <m/>
    <m/>
    <m/>
    <m/>
    <s v=" "/>
    <m/>
    <s v=" "/>
    <m/>
    <m/>
  </r>
  <r>
    <x v="238"/>
    <d v="2023-08-27T00:00:00"/>
    <x v="26"/>
    <x v="7"/>
    <x v="0"/>
    <x v="0"/>
    <x v="0"/>
    <x v="0"/>
    <s v=""/>
    <s v=""/>
    <s v=""/>
    <s v=""/>
    <s v=""/>
    <s v=""/>
    <s v=""/>
    <s v=""/>
    <s v=""/>
    <s v=""/>
    <m/>
    <m/>
    <m/>
    <m/>
    <m/>
    <m/>
    <m/>
    <m/>
    <m/>
    <m/>
    <m/>
    <m/>
    <m/>
    <m/>
    <m/>
    <s v=" "/>
    <m/>
    <s v=" "/>
    <m/>
    <m/>
  </r>
  <r>
    <x v="239"/>
    <d v="2023-08-28T00:00:00"/>
    <x v="27"/>
    <x v="7"/>
    <x v="0"/>
    <x v="0"/>
    <x v="0"/>
    <x v="0"/>
    <s v=""/>
    <s v=""/>
    <s v=""/>
    <s v=""/>
    <s v=""/>
    <s v=""/>
    <s v=""/>
    <s v=""/>
    <s v=""/>
    <s v=""/>
    <m/>
    <m/>
    <m/>
    <m/>
    <m/>
    <m/>
    <m/>
    <m/>
    <m/>
    <m/>
    <m/>
    <m/>
    <m/>
    <m/>
    <m/>
    <s v=" "/>
    <m/>
    <s v=" "/>
    <m/>
    <m/>
  </r>
  <r>
    <x v="240"/>
    <d v="2023-08-29T00:00:00"/>
    <x v="28"/>
    <x v="7"/>
    <x v="0"/>
    <x v="0"/>
    <x v="0"/>
    <x v="0"/>
    <s v=""/>
    <s v=""/>
    <s v=""/>
    <s v=""/>
    <s v=""/>
    <s v=""/>
    <s v=""/>
    <s v=""/>
    <s v=""/>
    <s v=""/>
    <m/>
    <m/>
    <m/>
    <m/>
    <m/>
    <m/>
    <m/>
    <m/>
    <m/>
    <m/>
    <m/>
    <m/>
    <m/>
    <m/>
    <m/>
    <s v=" "/>
    <m/>
    <s v=" "/>
    <m/>
    <m/>
  </r>
  <r>
    <x v="241"/>
    <d v="2023-08-30T00:00:00"/>
    <x v="29"/>
    <x v="7"/>
    <x v="0"/>
    <x v="0"/>
    <x v="0"/>
    <x v="0"/>
    <s v=""/>
    <s v=""/>
    <s v=""/>
    <s v=""/>
    <s v=""/>
    <s v=""/>
    <s v=""/>
    <s v=""/>
    <s v=""/>
    <s v=""/>
    <m/>
    <m/>
    <m/>
    <m/>
    <m/>
    <m/>
    <m/>
    <m/>
    <m/>
    <m/>
    <m/>
    <m/>
    <m/>
    <m/>
    <m/>
    <s v=" "/>
    <m/>
    <s v=" "/>
    <m/>
    <m/>
  </r>
  <r>
    <x v="242"/>
    <d v="2023-08-31T00:00:00"/>
    <x v="30"/>
    <x v="7"/>
    <x v="0"/>
    <x v="0"/>
    <x v="0"/>
    <x v="0"/>
    <s v=""/>
    <s v=""/>
    <s v=""/>
    <s v=""/>
    <s v=""/>
    <s v=""/>
    <s v=""/>
    <s v=""/>
    <s v=""/>
    <s v=""/>
    <m/>
    <m/>
    <m/>
    <m/>
    <m/>
    <m/>
    <m/>
    <m/>
    <m/>
    <m/>
    <m/>
    <m/>
    <m/>
    <m/>
    <m/>
    <s v=" "/>
    <m/>
    <s v=" "/>
    <m/>
    <m/>
  </r>
  <r>
    <x v="243"/>
    <d v="2023-09-01T00:00:00"/>
    <x v="0"/>
    <x v="8"/>
    <x v="0"/>
    <x v="0"/>
    <x v="0"/>
    <x v="0"/>
    <s v=""/>
    <s v=""/>
    <s v=""/>
    <s v=""/>
    <s v=""/>
    <s v=""/>
    <s v=""/>
    <s v=""/>
    <s v=""/>
    <s v=""/>
    <m/>
    <m/>
    <m/>
    <m/>
    <m/>
    <m/>
    <m/>
    <m/>
    <m/>
    <m/>
    <m/>
    <m/>
    <m/>
    <m/>
    <m/>
    <s v=" "/>
    <m/>
    <s v=" "/>
    <m/>
    <m/>
  </r>
  <r>
    <x v="244"/>
    <d v="2023-09-02T00:00:00"/>
    <x v="1"/>
    <x v="8"/>
    <x v="0"/>
    <x v="0"/>
    <x v="0"/>
    <x v="0"/>
    <s v=""/>
    <s v=""/>
    <s v=""/>
    <s v=""/>
    <s v=""/>
    <s v=""/>
    <s v=""/>
    <s v=""/>
    <s v=""/>
    <s v=""/>
    <m/>
    <m/>
    <m/>
    <m/>
    <m/>
    <m/>
    <m/>
    <m/>
    <m/>
    <m/>
    <m/>
    <m/>
    <m/>
    <m/>
    <m/>
    <s v=" "/>
    <m/>
    <s v=" "/>
    <m/>
    <m/>
  </r>
  <r>
    <x v="245"/>
    <d v="2023-09-03T00:00:00"/>
    <x v="2"/>
    <x v="8"/>
    <x v="0"/>
    <x v="0"/>
    <x v="0"/>
    <x v="0"/>
    <s v=""/>
    <s v=""/>
    <s v=""/>
    <s v=""/>
    <s v=""/>
    <s v=""/>
    <s v=""/>
    <s v=""/>
    <s v=""/>
    <s v=""/>
    <m/>
    <m/>
    <m/>
    <m/>
    <m/>
    <m/>
    <m/>
    <m/>
    <m/>
    <m/>
    <m/>
    <m/>
    <m/>
    <m/>
    <m/>
    <s v=" "/>
    <m/>
    <s v=" "/>
    <m/>
    <m/>
  </r>
  <r>
    <x v="246"/>
    <d v="2023-09-04T00:00:00"/>
    <x v="3"/>
    <x v="8"/>
    <x v="0"/>
    <x v="0"/>
    <x v="0"/>
    <x v="0"/>
    <s v=""/>
    <s v=""/>
    <s v=""/>
    <s v=""/>
    <s v=""/>
    <s v=""/>
    <s v=""/>
    <s v=""/>
    <s v=""/>
    <s v=""/>
    <m/>
    <m/>
    <m/>
    <m/>
    <m/>
    <m/>
    <m/>
    <m/>
    <m/>
    <m/>
    <m/>
    <m/>
    <m/>
    <m/>
    <m/>
    <s v=" "/>
    <m/>
    <s v=" "/>
    <m/>
    <m/>
  </r>
  <r>
    <x v="247"/>
    <d v="2023-09-05T00:00:00"/>
    <x v="4"/>
    <x v="8"/>
    <x v="0"/>
    <x v="0"/>
    <x v="0"/>
    <x v="0"/>
    <s v=""/>
    <s v=""/>
    <s v=""/>
    <s v=""/>
    <s v=""/>
    <s v=""/>
    <s v=""/>
    <s v=""/>
    <s v=""/>
    <s v=""/>
    <m/>
    <m/>
    <m/>
    <m/>
    <m/>
    <m/>
    <m/>
    <m/>
    <m/>
    <m/>
    <m/>
    <m/>
    <m/>
    <m/>
    <m/>
    <s v=" "/>
    <m/>
    <s v=" "/>
    <m/>
    <m/>
  </r>
  <r>
    <x v="248"/>
    <d v="2023-09-06T00:00:00"/>
    <x v="5"/>
    <x v="8"/>
    <x v="0"/>
    <x v="0"/>
    <x v="0"/>
    <x v="0"/>
    <s v=""/>
    <s v=""/>
    <s v=""/>
    <s v=""/>
    <s v=""/>
    <s v=""/>
    <s v=""/>
    <s v=""/>
    <s v=""/>
    <s v=""/>
    <m/>
    <m/>
    <m/>
    <m/>
    <m/>
    <m/>
    <m/>
    <m/>
    <m/>
    <m/>
    <m/>
    <m/>
    <m/>
    <m/>
    <m/>
    <s v=" "/>
    <m/>
    <s v=" "/>
    <m/>
    <m/>
  </r>
  <r>
    <x v="249"/>
    <d v="2023-09-07T00:00:00"/>
    <x v="6"/>
    <x v="8"/>
    <x v="0"/>
    <x v="0"/>
    <x v="0"/>
    <x v="0"/>
    <s v=""/>
    <s v=""/>
    <s v=""/>
    <s v=""/>
    <s v=""/>
    <s v=""/>
    <s v=""/>
    <s v=""/>
    <s v=""/>
    <s v=""/>
    <m/>
    <m/>
    <m/>
    <m/>
    <m/>
    <m/>
    <m/>
    <m/>
    <m/>
    <m/>
    <m/>
    <m/>
    <m/>
    <m/>
    <m/>
    <s v=" "/>
    <m/>
    <s v=" "/>
    <m/>
    <m/>
  </r>
  <r>
    <x v="250"/>
    <d v="2023-09-08T00:00:00"/>
    <x v="7"/>
    <x v="8"/>
    <x v="0"/>
    <x v="0"/>
    <x v="0"/>
    <x v="0"/>
    <s v=""/>
    <s v=""/>
    <s v=""/>
    <s v=""/>
    <s v=""/>
    <s v=""/>
    <s v=""/>
    <s v=""/>
    <s v=""/>
    <s v=""/>
    <m/>
    <m/>
    <m/>
    <m/>
    <m/>
    <m/>
    <m/>
    <m/>
    <m/>
    <m/>
    <m/>
    <m/>
    <m/>
    <m/>
    <m/>
    <s v=" "/>
    <m/>
    <s v=" "/>
    <m/>
    <m/>
  </r>
  <r>
    <x v="251"/>
    <d v="2023-09-09T00:00:00"/>
    <x v="8"/>
    <x v="8"/>
    <x v="0"/>
    <x v="0"/>
    <x v="0"/>
    <x v="0"/>
    <s v=""/>
    <s v=""/>
    <s v=""/>
    <s v=""/>
    <s v=""/>
    <s v=""/>
    <s v=""/>
    <s v=""/>
    <s v=""/>
    <s v=""/>
    <m/>
    <m/>
    <m/>
    <m/>
    <m/>
    <m/>
    <m/>
    <m/>
    <m/>
    <m/>
    <m/>
    <m/>
    <m/>
    <m/>
    <m/>
    <s v=" "/>
    <m/>
    <s v=" "/>
    <m/>
    <m/>
  </r>
  <r>
    <x v="252"/>
    <d v="2023-09-10T00:00:00"/>
    <x v="9"/>
    <x v="8"/>
    <x v="0"/>
    <x v="0"/>
    <x v="0"/>
    <x v="0"/>
    <s v=""/>
    <s v=""/>
    <s v=""/>
    <s v=""/>
    <s v=""/>
    <s v=""/>
    <s v=""/>
    <s v=""/>
    <s v=""/>
    <s v=""/>
    <m/>
    <m/>
    <m/>
    <m/>
    <m/>
    <m/>
    <m/>
    <m/>
    <m/>
    <m/>
    <m/>
    <m/>
    <m/>
    <m/>
    <m/>
    <s v=" "/>
    <m/>
    <s v=" "/>
    <m/>
    <m/>
  </r>
  <r>
    <x v="253"/>
    <d v="2023-09-11T00:00:00"/>
    <x v="10"/>
    <x v="8"/>
    <x v="0"/>
    <x v="0"/>
    <x v="0"/>
    <x v="0"/>
    <s v=""/>
    <s v=""/>
    <s v=""/>
    <s v=""/>
    <s v=""/>
    <s v=""/>
    <s v=""/>
    <s v=""/>
    <s v=""/>
    <s v=""/>
    <m/>
    <m/>
    <m/>
    <m/>
    <m/>
    <m/>
    <m/>
    <m/>
    <m/>
    <m/>
    <m/>
    <m/>
    <m/>
    <m/>
    <m/>
    <s v=" "/>
    <m/>
    <s v=" "/>
    <m/>
    <m/>
  </r>
  <r>
    <x v="254"/>
    <d v="2023-09-12T00:00:00"/>
    <x v="11"/>
    <x v="8"/>
    <x v="0"/>
    <x v="0"/>
    <x v="0"/>
    <x v="0"/>
    <s v=""/>
    <s v=""/>
    <s v=""/>
    <s v=""/>
    <s v=""/>
    <s v=""/>
    <s v=""/>
    <s v=""/>
    <s v=""/>
    <s v=""/>
    <m/>
    <m/>
    <m/>
    <m/>
    <m/>
    <m/>
    <m/>
    <m/>
    <m/>
    <m/>
    <m/>
    <m/>
    <m/>
    <m/>
    <m/>
    <s v=" "/>
    <m/>
    <s v=" "/>
    <m/>
    <m/>
  </r>
  <r>
    <x v="255"/>
    <d v="2023-09-13T00:00:00"/>
    <x v="12"/>
    <x v="8"/>
    <x v="0"/>
    <x v="0"/>
    <x v="0"/>
    <x v="0"/>
    <s v=""/>
    <s v=""/>
    <s v=""/>
    <s v=""/>
    <s v=""/>
    <s v=""/>
    <s v=""/>
    <s v=""/>
    <s v=""/>
    <s v=""/>
    <m/>
    <m/>
    <m/>
    <m/>
    <m/>
    <m/>
    <m/>
    <m/>
    <m/>
    <m/>
    <m/>
    <m/>
    <m/>
    <m/>
    <m/>
    <s v=" "/>
    <m/>
    <s v=" "/>
    <m/>
    <m/>
  </r>
  <r>
    <x v="256"/>
    <d v="2023-09-14T00:00:00"/>
    <x v="13"/>
    <x v="8"/>
    <x v="0"/>
    <x v="0"/>
    <x v="0"/>
    <x v="0"/>
    <s v=""/>
    <s v=""/>
    <s v=""/>
    <s v=""/>
    <s v=""/>
    <s v=""/>
    <s v=""/>
    <s v=""/>
    <s v=""/>
    <s v=""/>
    <m/>
    <m/>
    <m/>
    <m/>
    <m/>
    <m/>
    <m/>
    <m/>
    <m/>
    <m/>
    <m/>
    <m/>
    <m/>
    <m/>
    <m/>
    <s v=" "/>
    <m/>
    <s v=" "/>
    <m/>
    <m/>
  </r>
  <r>
    <x v="257"/>
    <d v="2023-09-15T00:00:00"/>
    <x v="14"/>
    <x v="8"/>
    <x v="0"/>
    <x v="0"/>
    <x v="0"/>
    <x v="0"/>
    <s v=""/>
    <s v=""/>
    <s v=""/>
    <s v=""/>
    <s v=""/>
    <s v=""/>
    <s v=""/>
    <s v=""/>
    <s v=""/>
    <s v=""/>
    <m/>
    <m/>
    <m/>
    <m/>
    <m/>
    <m/>
    <m/>
    <m/>
    <m/>
    <m/>
    <m/>
    <m/>
    <m/>
    <m/>
    <m/>
    <s v=" "/>
    <m/>
    <s v=" "/>
    <m/>
    <m/>
  </r>
  <r>
    <x v="258"/>
    <d v="2023-09-16T00:00:00"/>
    <x v="15"/>
    <x v="8"/>
    <x v="0"/>
    <x v="0"/>
    <x v="0"/>
    <x v="0"/>
    <s v=""/>
    <s v=""/>
    <s v=""/>
    <s v=""/>
    <s v=""/>
    <s v=""/>
    <s v=""/>
    <s v=""/>
    <s v=""/>
    <s v=""/>
    <m/>
    <m/>
    <m/>
    <m/>
    <m/>
    <m/>
    <m/>
    <m/>
    <m/>
    <m/>
    <m/>
    <m/>
    <m/>
    <m/>
    <m/>
    <s v=" "/>
    <m/>
    <s v=" "/>
    <m/>
    <m/>
  </r>
  <r>
    <x v="259"/>
    <d v="2023-09-17T00:00:00"/>
    <x v="16"/>
    <x v="8"/>
    <x v="0"/>
    <x v="0"/>
    <x v="0"/>
    <x v="0"/>
    <s v=""/>
    <s v=""/>
    <s v=""/>
    <s v=""/>
    <s v=""/>
    <s v=""/>
    <s v=""/>
    <s v=""/>
    <s v=""/>
    <s v=""/>
    <m/>
    <m/>
    <m/>
    <m/>
    <m/>
    <m/>
    <m/>
    <m/>
    <m/>
    <m/>
    <m/>
    <m/>
    <m/>
    <m/>
    <m/>
    <s v=" "/>
    <m/>
    <s v=" "/>
    <m/>
    <m/>
  </r>
  <r>
    <x v="260"/>
    <d v="2023-09-18T00:00:00"/>
    <x v="17"/>
    <x v="8"/>
    <x v="0"/>
    <x v="0"/>
    <x v="0"/>
    <x v="0"/>
    <s v=""/>
    <s v=""/>
    <s v=""/>
    <s v=""/>
    <s v=""/>
    <s v=""/>
    <s v=""/>
    <s v=""/>
    <s v=""/>
    <s v=""/>
    <m/>
    <m/>
    <m/>
    <m/>
    <m/>
    <m/>
    <m/>
    <m/>
    <m/>
    <m/>
    <m/>
    <m/>
    <m/>
    <m/>
    <m/>
    <s v=" "/>
    <m/>
    <s v=" "/>
    <m/>
    <m/>
  </r>
  <r>
    <x v="261"/>
    <d v="2023-09-19T00:00:00"/>
    <x v="18"/>
    <x v="8"/>
    <x v="0"/>
    <x v="0"/>
    <x v="0"/>
    <x v="0"/>
    <s v=""/>
    <s v=""/>
    <s v=""/>
    <s v=""/>
    <s v=""/>
    <s v=""/>
    <s v=""/>
    <s v=""/>
    <s v=""/>
    <s v=""/>
    <m/>
    <m/>
    <m/>
    <m/>
    <m/>
    <m/>
    <m/>
    <m/>
    <m/>
    <m/>
    <m/>
    <m/>
    <m/>
    <m/>
    <m/>
    <s v=" "/>
    <m/>
    <s v=" "/>
    <m/>
    <m/>
  </r>
  <r>
    <x v="262"/>
    <d v="2023-09-20T00:00:00"/>
    <x v="19"/>
    <x v="8"/>
    <x v="0"/>
    <x v="0"/>
    <x v="0"/>
    <x v="0"/>
    <s v=""/>
    <s v=""/>
    <s v=""/>
    <s v=""/>
    <s v=""/>
    <s v=""/>
    <s v=""/>
    <s v=""/>
    <s v=""/>
    <s v=""/>
    <m/>
    <m/>
    <m/>
    <m/>
    <m/>
    <m/>
    <m/>
    <m/>
    <m/>
    <m/>
    <m/>
    <m/>
    <m/>
    <m/>
    <m/>
    <s v=" "/>
    <m/>
    <s v=" "/>
    <m/>
    <m/>
  </r>
  <r>
    <x v="263"/>
    <d v="2023-09-21T00:00:00"/>
    <x v="20"/>
    <x v="8"/>
    <x v="0"/>
    <x v="0"/>
    <x v="0"/>
    <x v="0"/>
    <s v=""/>
    <s v=""/>
    <s v=""/>
    <s v=""/>
    <s v=""/>
    <s v=""/>
    <s v=""/>
    <s v=""/>
    <s v=""/>
    <s v=""/>
    <m/>
    <m/>
    <m/>
    <m/>
    <m/>
    <m/>
    <m/>
    <m/>
    <m/>
    <m/>
    <m/>
    <m/>
    <m/>
    <m/>
    <m/>
    <s v=" "/>
    <m/>
    <s v=" "/>
    <m/>
    <m/>
  </r>
  <r>
    <x v="264"/>
    <d v="2023-09-22T00:00:00"/>
    <x v="21"/>
    <x v="8"/>
    <x v="0"/>
    <x v="0"/>
    <x v="0"/>
    <x v="0"/>
    <s v=""/>
    <s v=""/>
    <s v=""/>
    <s v=""/>
    <s v=""/>
    <s v=""/>
    <s v=""/>
    <s v=""/>
    <s v=""/>
    <s v=""/>
    <m/>
    <m/>
    <m/>
    <m/>
    <m/>
    <m/>
    <m/>
    <m/>
    <m/>
    <m/>
    <m/>
    <m/>
    <m/>
    <m/>
    <m/>
    <s v=" "/>
    <m/>
    <s v=" "/>
    <m/>
    <m/>
  </r>
  <r>
    <x v="265"/>
    <d v="2023-09-23T00:00:00"/>
    <x v="22"/>
    <x v="8"/>
    <x v="0"/>
    <x v="0"/>
    <x v="0"/>
    <x v="0"/>
    <s v=""/>
    <s v=""/>
    <s v=""/>
    <s v=""/>
    <s v=""/>
    <s v=""/>
    <s v=""/>
    <s v=""/>
    <s v=""/>
    <s v=""/>
    <m/>
    <m/>
    <m/>
    <m/>
    <m/>
    <m/>
    <m/>
    <m/>
    <m/>
    <m/>
    <m/>
    <m/>
    <m/>
    <m/>
    <m/>
    <s v=" "/>
    <m/>
    <s v=" "/>
    <m/>
    <m/>
  </r>
  <r>
    <x v="266"/>
    <d v="2023-09-24T00:00:00"/>
    <x v="23"/>
    <x v="8"/>
    <x v="0"/>
    <x v="0"/>
    <x v="0"/>
    <x v="0"/>
    <s v=""/>
    <s v=""/>
    <s v=""/>
    <s v=""/>
    <s v=""/>
    <s v=""/>
    <s v=""/>
    <s v=""/>
    <s v=""/>
    <s v=""/>
    <m/>
    <m/>
    <m/>
    <m/>
    <m/>
    <m/>
    <m/>
    <m/>
    <m/>
    <m/>
    <m/>
    <m/>
    <m/>
    <m/>
    <m/>
    <s v=" "/>
    <m/>
    <s v=" "/>
    <m/>
    <m/>
  </r>
  <r>
    <x v="267"/>
    <d v="2023-09-25T00:00:00"/>
    <x v="24"/>
    <x v="8"/>
    <x v="0"/>
    <x v="0"/>
    <x v="0"/>
    <x v="0"/>
    <s v=""/>
    <s v=""/>
    <s v=""/>
    <s v=""/>
    <s v=""/>
    <s v=""/>
    <s v=""/>
    <s v=""/>
    <s v=""/>
    <s v=""/>
    <m/>
    <m/>
    <m/>
    <m/>
    <m/>
    <m/>
    <m/>
    <m/>
    <m/>
    <m/>
    <m/>
    <m/>
    <m/>
    <m/>
    <m/>
    <s v=" "/>
    <m/>
    <s v=" "/>
    <m/>
    <m/>
  </r>
  <r>
    <x v="268"/>
    <d v="2023-09-26T00:00:00"/>
    <x v="25"/>
    <x v="8"/>
    <x v="0"/>
    <x v="0"/>
    <x v="0"/>
    <x v="0"/>
    <s v=""/>
    <s v=""/>
    <s v=""/>
    <s v=""/>
    <s v=""/>
    <s v=""/>
    <s v=""/>
    <s v=""/>
    <s v=""/>
    <s v=""/>
    <m/>
    <m/>
    <m/>
    <m/>
    <m/>
    <m/>
    <m/>
    <m/>
    <m/>
    <m/>
    <m/>
    <m/>
    <m/>
    <m/>
    <m/>
    <s v=" "/>
    <m/>
    <s v=" "/>
    <m/>
    <m/>
  </r>
  <r>
    <x v="269"/>
    <d v="2023-09-27T00:00:00"/>
    <x v="26"/>
    <x v="8"/>
    <x v="0"/>
    <x v="0"/>
    <x v="0"/>
    <x v="0"/>
    <s v=""/>
    <s v=""/>
    <s v=""/>
    <s v=""/>
    <s v=""/>
    <s v=""/>
    <s v=""/>
    <s v=""/>
    <s v=""/>
    <s v=""/>
    <m/>
    <m/>
    <m/>
    <m/>
    <m/>
    <m/>
    <m/>
    <m/>
    <m/>
    <m/>
    <m/>
    <m/>
    <m/>
    <m/>
    <m/>
    <s v=" "/>
    <m/>
    <s v=" "/>
    <m/>
    <m/>
  </r>
  <r>
    <x v="270"/>
    <d v="2023-09-28T00:00:00"/>
    <x v="27"/>
    <x v="8"/>
    <x v="0"/>
    <x v="0"/>
    <x v="0"/>
    <x v="0"/>
    <s v=""/>
    <s v=""/>
    <s v=""/>
    <s v=""/>
    <s v=""/>
    <s v=""/>
    <s v=""/>
    <s v=""/>
    <s v=""/>
    <s v=""/>
    <m/>
    <m/>
    <m/>
    <m/>
    <m/>
    <m/>
    <m/>
    <m/>
    <m/>
    <m/>
    <m/>
    <m/>
    <m/>
    <m/>
    <m/>
    <s v=" "/>
    <m/>
    <s v=" "/>
    <m/>
    <m/>
  </r>
  <r>
    <x v="271"/>
    <d v="2023-09-29T00:00:00"/>
    <x v="28"/>
    <x v="8"/>
    <x v="0"/>
    <x v="0"/>
    <x v="0"/>
    <x v="0"/>
    <s v=""/>
    <s v=""/>
    <s v=""/>
    <s v=""/>
    <s v=""/>
    <s v=""/>
    <s v=""/>
    <s v=""/>
    <s v=""/>
    <s v=""/>
    <m/>
    <m/>
    <m/>
    <m/>
    <m/>
    <m/>
    <m/>
    <m/>
    <m/>
    <m/>
    <m/>
    <m/>
    <m/>
    <m/>
    <m/>
    <s v=" "/>
    <m/>
    <s v=" "/>
    <m/>
    <m/>
  </r>
  <r>
    <x v="272"/>
    <d v="2023-09-30T00:00:00"/>
    <x v="29"/>
    <x v="8"/>
    <x v="0"/>
    <x v="0"/>
    <x v="0"/>
    <x v="0"/>
    <s v=""/>
    <s v=""/>
    <s v=""/>
    <s v=""/>
    <s v=""/>
    <s v=""/>
    <s v=""/>
    <s v=""/>
    <n v="7298.85"/>
    <s v=""/>
    <m/>
    <m/>
    <m/>
    <m/>
    <m/>
    <m/>
    <m/>
    <m/>
    <m/>
    <m/>
    <m/>
    <m/>
    <m/>
    <m/>
    <m/>
    <s v=" "/>
    <m/>
    <s v=" "/>
    <m/>
    <m/>
  </r>
  <r>
    <x v="273"/>
    <d v="2023-10-01T00:00:00"/>
    <x v="0"/>
    <x v="9"/>
    <x v="0"/>
    <x v="1"/>
    <x v="1"/>
    <x v="1"/>
    <s v="Carta"/>
    <s v=""/>
    <n v="2"/>
    <s v=""/>
    <s v=""/>
    <s v=""/>
    <s v=""/>
    <s v=""/>
    <n v="7296.85"/>
    <s v=""/>
    <m/>
    <m/>
    <m/>
    <m/>
    <m/>
    <m/>
    <m/>
    <m/>
    <m/>
    <m/>
    <m/>
    <m/>
    <m/>
    <m/>
    <m/>
    <s v=" "/>
    <m/>
    <s v=" "/>
    <m/>
    <m/>
  </r>
  <r>
    <x v="274"/>
    <d v="2023-10-01T00:00:00"/>
    <x v="0"/>
    <x v="9"/>
    <x v="0"/>
    <x v="2"/>
    <x v="1"/>
    <x v="1"/>
    <s v="Carta"/>
    <s v=""/>
    <n v="4.9800000000000004"/>
    <s v=""/>
    <s v=""/>
    <s v=""/>
    <s v=""/>
    <s v=""/>
    <n v="7291.8700000000008"/>
    <s v=""/>
    <m/>
    <m/>
    <m/>
    <m/>
    <m/>
    <m/>
    <m/>
    <m/>
    <m/>
    <m/>
    <m/>
    <m/>
    <m/>
    <m/>
    <m/>
    <s v=" "/>
    <m/>
    <s v=" "/>
    <m/>
    <m/>
  </r>
  <r>
    <x v="275"/>
    <d v="2023-10-02T00:00:00"/>
    <x v="1"/>
    <x v="9"/>
    <x v="0"/>
    <x v="0"/>
    <x v="0"/>
    <x v="0"/>
    <s v=""/>
    <s v=""/>
    <s v=""/>
    <s v=""/>
    <s v=""/>
    <s v=""/>
    <s v=""/>
    <s v=""/>
    <s v=""/>
    <s v=""/>
    <m/>
    <m/>
    <m/>
    <m/>
    <m/>
    <m/>
    <m/>
    <m/>
    <m/>
    <m/>
    <m/>
    <m/>
    <m/>
    <m/>
    <m/>
    <s v=" "/>
    <m/>
    <s v=" "/>
    <m/>
    <m/>
  </r>
  <r>
    <x v="276"/>
    <d v="2023-10-03T00:00:00"/>
    <x v="2"/>
    <x v="9"/>
    <x v="0"/>
    <x v="0"/>
    <x v="0"/>
    <x v="0"/>
    <s v=""/>
    <s v=""/>
    <s v=""/>
    <s v=""/>
    <s v=""/>
    <s v=""/>
    <s v=""/>
    <s v=""/>
    <s v=""/>
    <s v=""/>
    <m/>
    <m/>
    <m/>
    <m/>
    <m/>
    <m/>
    <m/>
    <m/>
    <m/>
    <m/>
    <m/>
    <m/>
    <m/>
    <m/>
    <m/>
    <s v=" "/>
    <m/>
    <s v=" "/>
    <m/>
    <m/>
  </r>
  <r>
    <x v="277"/>
    <d v="2023-10-04T00:00:00"/>
    <x v="3"/>
    <x v="9"/>
    <x v="0"/>
    <x v="0"/>
    <x v="0"/>
    <x v="0"/>
    <s v=""/>
    <s v=""/>
    <s v=""/>
    <s v=""/>
    <s v=""/>
    <s v=""/>
    <s v=""/>
    <s v=""/>
    <s v=""/>
    <s v=""/>
    <m/>
    <m/>
    <m/>
    <m/>
    <m/>
    <m/>
    <m/>
    <m/>
    <m/>
    <m/>
    <m/>
    <m/>
    <m/>
    <m/>
    <m/>
    <s v=" "/>
    <m/>
    <s v=" "/>
    <m/>
    <m/>
  </r>
  <r>
    <x v="278"/>
    <d v="2023-10-05T00:00:00"/>
    <x v="4"/>
    <x v="9"/>
    <x v="0"/>
    <x v="0"/>
    <x v="0"/>
    <x v="0"/>
    <s v=""/>
    <s v=""/>
    <s v=""/>
    <s v=""/>
    <s v=""/>
    <s v=""/>
    <s v=""/>
    <s v=""/>
    <s v=""/>
    <s v=""/>
    <m/>
    <m/>
    <m/>
    <m/>
    <m/>
    <m/>
    <m/>
    <m/>
    <m/>
    <m/>
    <m/>
    <m/>
    <m/>
    <m/>
    <m/>
    <s v=" "/>
    <m/>
    <s v=" "/>
    <m/>
    <m/>
  </r>
  <r>
    <x v="279"/>
    <d v="2023-10-06T00:00:00"/>
    <x v="5"/>
    <x v="9"/>
    <x v="0"/>
    <x v="0"/>
    <x v="0"/>
    <x v="0"/>
    <s v=""/>
    <s v=""/>
    <s v=""/>
    <s v=""/>
    <s v=""/>
    <s v=""/>
    <s v=""/>
    <s v=""/>
    <s v=""/>
    <s v=""/>
    <m/>
    <m/>
    <m/>
    <m/>
    <m/>
    <m/>
    <m/>
    <m/>
    <m/>
    <m/>
    <m/>
    <m/>
    <m/>
    <m/>
    <m/>
    <s v=" "/>
    <m/>
    <s v=" "/>
    <m/>
    <m/>
  </r>
  <r>
    <x v="280"/>
    <d v="2023-10-07T00:00:00"/>
    <x v="6"/>
    <x v="9"/>
    <x v="0"/>
    <x v="0"/>
    <x v="0"/>
    <x v="0"/>
    <s v=""/>
    <s v=""/>
    <s v=""/>
    <s v=""/>
    <s v=""/>
    <s v=""/>
    <s v=""/>
    <s v=""/>
    <s v=""/>
    <s v=""/>
    <m/>
    <m/>
    <m/>
    <m/>
    <m/>
    <m/>
    <m/>
    <m/>
    <m/>
    <m/>
    <m/>
    <m/>
    <m/>
    <m/>
    <m/>
    <s v=" "/>
    <m/>
    <s v=" "/>
    <m/>
    <m/>
  </r>
  <r>
    <x v="281"/>
    <d v="2023-10-08T00:00:00"/>
    <x v="7"/>
    <x v="9"/>
    <x v="0"/>
    <x v="0"/>
    <x v="0"/>
    <x v="0"/>
    <s v=""/>
    <s v=""/>
    <s v=""/>
    <s v=""/>
    <s v=""/>
    <s v=""/>
    <s v=""/>
    <s v=""/>
    <s v=""/>
    <s v=""/>
    <m/>
    <m/>
    <m/>
    <m/>
    <m/>
    <m/>
    <m/>
    <m/>
    <m/>
    <m/>
    <m/>
    <m/>
    <m/>
    <m/>
    <m/>
    <s v=" "/>
    <m/>
    <s v=" "/>
    <m/>
    <m/>
  </r>
  <r>
    <x v="282"/>
    <d v="2023-10-09T00:00:00"/>
    <x v="8"/>
    <x v="9"/>
    <x v="0"/>
    <x v="0"/>
    <x v="0"/>
    <x v="0"/>
    <s v=""/>
    <s v=""/>
    <s v=""/>
    <s v=""/>
    <s v=""/>
    <s v=""/>
    <s v=""/>
    <s v=""/>
    <s v=""/>
    <s v=""/>
    <m/>
    <m/>
    <m/>
    <m/>
    <m/>
    <m/>
    <m/>
    <m/>
    <m/>
    <m/>
    <m/>
    <m/>
    <m/>
    <m/>
    <m/>
    <s v=" "/>
    <m/>
    <s v=" "/>
    <m/>
    <m/>
  </r>
  <r>
    <x v="283"/>
    <d v="2023-10-10T00:00:00"/>
    <x v="9"/>
    <x v="9"/>
    <x v="0"/>
    <x v="0"/>
    <x v="0"/>
    <x v="0"/>
    <s v=""/>
    <s v=""/>
    <s v=""/>
    <s v=""/>
    <s v=""/>
    <s v=""/>
    <s v=""/>
    <s v=""/>
    <s v=""/>
    <s v=""/>
    <m/>
    <m/>
    <m/>
    <m/>
    <m/>
    <m/>
    <m/>
    <m/>
    <m/>
    <m/>
    <m/>
    <m/>
    <m/>
    <m/>
    <m/>
    <s v=" "/>
    <m/>
    <s v=" "/>
    <m/>
    <m/>
  </r>
  <r>
    <x v="284"/>
    <d v="2023-10-11T00:00:00"/>
    <x v="10"/>
    <x v="9"/>
    <x v="0"/>
    <x v="0"/>
    <x v="0"/>
    <x v="0"/>
    <s v=""/>
    <s v=""/>
    <s v=""/>
    <s v=""/>
    <s v=""/>
    <s v=""/>
    <s v=""/>
    <s v=""/>
    <s v=""/>
    <s v=""/>
    <m/>
    <m/>
    <m/>
    <m/>
    <m/>
    <m/>
    <m/>
    <m/>
    <m/>
    <m/>
    <m/>
    <m/>
    <m/>
    <m/>
    <m/>
    <s v=" "/>
    <m/>
    <s v=" "/>
    <m/>
    <m/>
  </r>
  <r>
    <x v="285"/>
    <d v="2023-10-12T00:00:00"/>
    <x v="11"/>
    <x v="9"/>
    <x v="0"/>
    <x v="3"/>
    <x v="2"/>
    <x v="2"/>
    <s v="Cash"/>
    <n v="123"/>
    <s v=""/>
    <s v=""/>
    <s v=""/>
    <s v=""/>
    <s v=""/>
    <s v=""/>
    <n v="7168.8700000000008"/>
    <s v=""/>
    <m/>
    <m/>
    <m/>
    <m/>
    <m/>
    <m/>
    <m/>
    <m/>
    <m/>
    <m/>
    <m/>
    <m/>
    <m/>
    <m/>
    <m/>
    <s v=" "/>
    <m/>
    <s v=" "/>
    <m/>
    <m/>
  </r>
  <r>
    <x v="286"/>
    <d v="2023-10-12T00:00:00"/>
    <x v="11"/>
    <x v="9"/>
    <x v="0"/>
    <x v="4"/>
    <x v="2"/>
    <x v="2"/>
    <s v="Cash"/>
    <n v="10"/>
    <s v=""/>
    <s v=""/>
    <s v=""/>
    <s v=""/>
    <s v=""/>
    <s v=""/>
    <n v="7158.8700000000008"/>
    <s v=""/>
    <m/>
    <m/>
    <m/>
    <m/>
    <m/>
    <m/>
    <m/>
    <m/>
    <m/>
    <m/>
    <m/>
    <m/>
    <m/>
    <m/>
    <m/>
    <s v=" "/>
    <m/>
    <s v=" "/>
    <m/>
    <m/>
  </r>
  <r>
    <x v="287"/>
    <d v="2023-10-12T00:00:00"/>
    <x v="11"/>
    <x v="9"/>
    <x v="0"/>
    <x v="5"/>
    <x v="3"/>
    <x v="3"/>
    <s v="Cash"/>
    <s v=""/>
    <n v="26"/>
    <s v=""/>
    <s v=""/>
    <s v=""/>
    <s v=""/>
    <s v=""/>
    <n v="7132.8700000000008"/>
    <s v=""/>
    <m/>
    <m/>
    <m/>
    <m/>
    <m/>
    <m/>
    <m/>
    <m/>
    <m/>
    <m/>
    <m/>
    <m/>
    <m/>
    <m/>
    <m/>
    <s v=" "/>
    <m/>
    <s v=" "/>
    <m/>
    <m/>
  </r>
  <r>
    <x v="288"/>
    <d v="2023-10-13T00:00:00"/>
    <x v="12"/>
    <x v="9"/>
    <x v="0"/>
    <x v="6"/>
    <x v="4"/>
    <x v="4"/>
    <s v="Cash"/>
    <n v="50"/>
    <s v=""/>
    <s v=""/>
    <s v=""/>
    <s v=""/>
    <s v=""/>
    <s v=""/>
    <n v="7082.8700000000008"/>
    <s v=""/>
    <m/>
    <m/>
    <m/>
    <m/>
    <m/>
    <m/>
    <m/>
    <m/>
    <m/>
    <m/>
    <m/>
    <m/>
    <m/>
    <m/>
    <m/>
    <s v=" "/>
    <m/>
    <s v=" "/>
    <m/>
    <m/>
  </r>
  <r>
    <x v="289"/>
    <d v="2023-10-13T00:00:00"/>
    <x v="12"/>
    <x v="9"/>
    <x v="0"/>
    <x v="7"/>
    <x v="5"/>
    <x v="4"/>
    <s v="Cash"/>
    <n v="25"/>
    <s v=""/>
    <s v=""/>
    <s v=""/>
    <s v=""/>
    <s v=""/>
    <s v=""/>
    <n v="7057.8700000000008"/>
    <s v=""/>
    <m/>
    <m/>
    <m/>
    <m/>
    <m/>
    <m/>
    <m/>
    <m/>
    <m/>
    <m/>
    <m/>
    <m/>
    <m/>
    <m/>
    <m/>
    <s v=" "/>
    <m/>
    <s v=" "/>
    <m/>
    <m/>
  </r>
  <r>
    <x v="290"/>
    <d v="2023-10-13T00:00:00"/>
    <x v="12"/>
    <x v="9"/>
    <x v="0"/>
    <x v="5"/>
    <x v="3"/>
    <x v="3"/>
    <s v="Cash"/>
    <s v=""/>
    <n v="27"/>
    <s v=""/>
    <s v=""/>
    <s v=""/>
    <s v=""/>
    <s v=""/>
    <n v="7030.8700000000008"/>
    <s v=""/>
    <m/>
    <m/>
    <m/>
    <m/>
    <m/>
    <m/>
    <m/>
    <m/>
    <m/>
    <m/>
    <m/>
    <m/>
    <m/>
    <m/>
    <m/>
    <s v=" "/>
    <m/>
    <s v=" "/>
    <m/>
    <m/>
  </r>
  <r>
    <x v="291"/>
    <d v="2023-10-13T00:00:00"/>
    <x v="12"/>
    <x v="9"/>
    <x v="0"/>
    <x v="5"/>
    <x v="6"/>
    <x v="3"/>
    <s v="Cash"/>
    <s v=""/>
    <n v="15"/>
    <s v=""/>
    <s v=""/>
    <s v=""/>
    <s v=""/>
    <s v=""/>
    <n v="7015.8700000000008"/>
    <s v=""/>
    <m/>
    <m/>
    <m/>
    <m/>
    <m/>
    <m/>
    <m/>
    <m/>
    <m/>
    <m/>
    <m/>
    <m/>
    <m/>
    <m/>
    <m/>
    <s v=" "/>
    <m/>
    <s v=" "/>
    <m/>
    <m/>
  </r>
  <r>
    <x v="292"/>
    <d v="2023-10-14T00:00:00"/>
    <x v="13"/>
    <x v="9"/>
    <x v="0"/>
    <x v="8"/>
    <x v="7"/>
    <x v="2"/>
    <s v="Cash"/>
    <n v="45"/>
    <s v=""/>
    <s v=""/>
    <s v=""/>
    <s v=""/>
    <s v=""/>
    <s v=""/>
    <n v="6970.8700000000008"/>
    <s v=""/>
    <m/>
    <m/>
    <m/>
    <m/>
    <m/>
    <m/>
    <m/>
    <m/>
    <m/>
    <m/>
    <m/>
    <m/>
    <m/>
    <m/>
    <m/>
    <s v=" "/>
    <m/>
    <s v=" "/>
    <m/>
    <m/>
  </r>
  <r>
    <x v="293"/>
    <d v="2023-10-15T00:00:00"/>
    <x v="14"/>
    <x v="9"/>
    <x v="0"/>
    <x v="0"/>
    <x v="0"/>
    <x v="0"/>
    <s v=""/>
    <s v=""/>
    <s v=""/>
    <s v=""/>
    <s v=""/>
    <s v=""/>
    <s v=""/>
    <s v=""/>
    <s v=""/>
    <s v=""/>
    <m/>
    <m/>
    <m/>
    <m/>
    <m/>
    <m/>
    <m/>
    <m/>
    <m/>
    <m/>
    <m/>
    <m/>
    <m/>
    <m/>
    <m/>
    <s v=" "/>
    <m/>
    <s v=" "/>
    <m/>
    <m/>
  </r>
  <r>
    <x v="294"/>
    <d v="2023-10-16T00:00:00"/>
    <x v="15"/>
    <x v="9"/>
    <x v="0"/>
    <x v="9"/>
    <x v="8"/>
    <x v="4"/>
    <s v="Cash"/>
    <n v="90"/>
    <s v=""/>
    <s v=""/>
    <s v=""/>
    <s v=""/>
    <s v=""/>
    <s v=""/>
    <n v="6880.8700000000008"/>
    <s v=""/>
    <m/>
    <m/>
    <m/>
    <m/>
    <m/>
    <m/>
    <m/>
    <m/>
    <m/>
    <m/>
    <m/>
    <m/>
    <m/>
    <m/>
    <m/>
    <s v=" "/>
    <m/>
    <s v=" "/>
    <m/>
    <m/>
  </r>
  <r>
    <x v="295"/>
    <d v="2023-10-16T00:00:00"/>
    <x v="15"/>
    <x v="9"/>
    <x v="0"/>
    <x v="10"/>
    <x v="8"/>
    <x v="4"/>
    <s v="Cash"/>
    <n v="23.5"/>
    <s v=""/>
    <s v=""/>
    <s v=""/>
    <s v=""/>
    <s v=""/>
    <s v=""/>
    <n v="6857.3700000000008"/>
    <s v=""/>
    <m/>
    <m/>
    <m/>
    <m/>
    <m/>
    <m/>
    <m/>
    <m/>
    <m/>
    <m/>
    <m/>
    <m/>
    <m/>
    <m/>
    <m/>
    <s v=" "/>
    <m/>
    <s v=" "/>
    <m/>
    <m/>
  </r>
  <r>
    <x v="296"/>
    <d v="2023-10-16T00:00:00"/>
    <x v="15"/>
    <x v="9"/>
    <x v="0"/>
    <x v="11"/>
    <x v="9"/>
    <x v="2"/>
    <s v="Cash"/>
    <n v="2"/>
    <s v=""/>
    <s v=""/>
    <s v=""/>
    <s v=""/>
    <s v=""/>
    <s v=""/>
    <n v="6855.3700000000008"/>
    <s v=""/>
    <m/>
    <m/>
    <m/>
    <m/>
    <m/>
    <m/>
    <m/>
    <m/>
    <m/>
    <m/>
    <m/>
    <m/>
    <m/>
    <m/>
    <m/>
    <s v=" "/>
    <m/>
    <s v=" "/>
    <m/>
    <m/>
  </r>
  <r>
    <x v="297"/>
    <d v="2023-10-16T00:00:00"/>
    <x v="15"/>
    <x v="9"/>
    <x v="0"/>
    <x v="5"/>
    <x v="3"/>
    <x v="3"/>
    <s v="Cash"/>
    <s v=""/>
    <n v="58"/>
    <s v=""/>
    <s v=""/>
    <s v=""/>
    <s v=""/>
    <s v=""/>
    <n v="6797.3700000000008"/>
    <s v=""/>
    <m/>
    <m/>
    <m/>
    <m/>
    <m/>
    <m/>
    <m/>
    <m/>
    <m/>
    <m/>
    <m/>
    <m/>
    <m/>
    <m/>
    <m/>
    <s v=" "/>
    <m/>
    <s v=" "/>
    <m/>
    <m/>
  </r>
  <r>
    <x v="298"/>
    <d v="2023-10-16T00:00:00"/>
    <x v="15"/>
    <x v="9"/>
    <x v="0"/>
    <x v="12"/>
    <x v="2"/>
    <x v="2"/>
    <s v="Cash"/>
    <n v="4.4000000000000004"/>
    <s v=""/>
    <s v=""/>
    <s v=""/>
    <s v=""/>
    <s v=""/>
    <s v=""/>
    <n v="6792.9700000000012"/>
    <s v=""/>
    <m/>
    <m/>
    <m/>
    <m/>
    <m/>
    <m/>
    <m/>
    <m/>
    <m/>
    <m/>
    <m/>
    <m/>
    <m/>
    <m/>
    <m/>
    <s v=" "/>
    <m/>
    <s v=" "/>
    <m/>
    <m/>
  </r>
  <r>
    <x v="299"/>
    <d v="2023-10-17T00:00:00"/>
    <x v="16"/>
    <x v="9"/>
    <x v="0"/>
    <x v="11"/>
    <x v="9"/>
    <x v="2"/>
    <s v="Cash"/>
    <n v="112"/>
    <s v=""/>
    <s v=""/>
    <s v=""/>
    <s v=""/>
    <s v=""/>
    <s v=""/>
    <n v="6680.9700000000012"/>
    <s v=""/>
    <m/>
    <m/>
    <m/>
    <m/>
    <m/>
    <m/>
    <m/>
    <m/>
    <m/>
    <m/>
    <m/>
    <m/>
    <m/>
    <m/>
    <m/>
    <s v=" "/>
    <m/>
    <s v=" "/>
    <m/>
    <m/>
  </r>
  <r>
    <x v="300"/>
    <d v="2023-10-17T00:00:00"/>
    <x v="16"/>
    <x v="9"/>
    <x v="0"/>
    <x v="5"/>
    <x v="3"/>
    <x v="3"/>
    <s v="Cash"/>
    <s v=""/>
    <n v="46"/>
    <s v=""/>
    <s v=""/>
    <s v=""/>
    <s v=""/>
    <s v=""/>
    <n v="6634.9700000000012"/>
    <s v=""/>
    <m/>
    <m/>
    <m/>
    <m/>
    <m/>
    <m/>
    <m/>
    <m/>
    <m/>
    <m/>
    <m/>
    <m/>
    <m/>
    <m/>
    <m/>
    <s v=" "/>
    <m/>
    <s v=" "/>
    <m/>
    <m/>
  </r>
  <r>
    <x v="301"/>
    <d v="2023-10-17T00:00:00"/>
    <x v="16"/>
    <x v="9"/>
    <x v="0"/>
    <x v="12"/>
    <x v="2"/>
    <x v="2"/>
    <s v="Cash"/>
    <n v="2.2000000000000002"/>
    <s v=""/>
    <s v=""/>
    <s v=""/>
    <s v=""/>
    <s v=""/>
    <s v=""/>
    <n v="6632.7700000000013"/>
    <s v=""/>
    <m/>
    <m/>
    <m/>
    <m/>
    <m/>
    <m/>
    <m/>
    <m/>
    <m/>
    <m/>
    <m/>
    <m/>
    <m/>
    <m/>
    <m/>
    <s v=" "/>
    <m/>
    <s v=" "/>
    <m/>
    <m/>
  </r>
  <r>
    <x v="302"/>
    <d v="2023-10-18T00:00:00"/>
    <x v="17"/>
    <x v="9"/>
    <x v="0"/>
    <x v="13"/>
    <x v="10"/>
    <x v="2"/>
    <s v="Cash"/>
    <n v="15"/>
    <s v=""/>
    <s v=""/>
    <s v=""/>
    <s v=""/>
    <s v=""/>
    <s v=""/>
    <n v="6617.7700000000013"/>
    <s v=""/>
    <m/>
    <m/>
    <m/>
    <m/>
    <m/>
    <m/>
    <m/>
    <m/>
    <m/>
    <m/>
    <m/>
    <m/>
    <m/>
    <m/>
    <m/>
    <s v=" "/>
    <m/>
    <s v=" "/>
    <m/>
    <m/>
  </r>
  <r>
    <x v="303"/>
    <d v="2023-10-18T00:00:00"/>
    <x v="17"/>
    <x v="9"/>
    <x v="0"/>
    <x v="5"/>
    <x v="3"/>
    <x v="3"/>
    <s v="Cash"/>
    <s v=""/>
    <n v="5"/>
    <s v=""/>
    <s v=""/>
    <s v=""/>
    <s v=""/>
    <s v=""/>
    <n v="6612.7700000000013"/>
    <s v=""/>
    <m/>
    <m/>
    <m/>
    <m/>
    <m/>
    <m/>
    <m/>
    <m/>
    <m/>
    <m/>
    <m/>
    <m/>
    <m/>
    <m/>
    <m/>
    <s v=" "/>
    <m/>
    <s v=" "/>
    <m/>
    <m/>
  </r>
  <r>
    <x v="304"/>
    <d v="2023-10-18T00:00:00"/>
    <x v="17"/>
    <x v="9"/>
    <x v="0"/>
    <x v="11"/>
    <x v="9"/>
    <x v="2"/>
    <s v="Cash"/>
    <n v="21"/>
    <s v=""/>
    <s v=""/>
    <s v=""/>
    <s v=""/>
    <s v=""/>
    <s v=""/>
    <n v="6591.7700000000013"/>
    <s v=""/>
    <m/>
    <m/>
    <m/>
    <m/>
    <m/>
    <m/>
    <m/>
    <m/>
    <m/>
    <m/>
    <m/>
    <m/>
    <m/>
    <m/>
    <m/>
    <s v=" "/>
    <m/>
    <s v=" "/>
    <m/>
    <m/>
  </r>
  <r>
    <x v="305"/>
    <d v="2023-10-18T00:00:00"/>
    <x v="17"/>
    <x v="9"/>
    <x v="0"/>
    <x v="14"/>
    <x v="7"/>
    <x v="2"/>
    <s v="Cash"/>
    <n v="2"/>
    <s v=""/>
    <s v=""/>
    <s v=""/>
    <s v=""/>
    <s v=""/>
    <s v=""/>
    <n v="6589.7700000000013"/>
    <s v=""/>
    <m/>
    <m/>
    <m/>
    <m/>
    <m/>
    <m/>
    <m/>
    <m/>
    <m/>
    <m/>
    <m/>
    <m/>
    <m/>
    <m/>
    <m/>
    <s v=" "/>
    <m/>
    <s v=" "/>
    <m/>
    <m/>
  </r>
  <r>
    <x v="306"/>
    <d v="2023-10-19T00:00:00"/>
    <x v="18"/>
    <x v="9"/>
    <x v="0"/>
    <x v="15"/>
    <x v="3"/>
    <x v="3"/>
    <s v="Cash"/>
    <s v=""/>
    <n v="13"/>
    <s v=""/>
    <s v=""/>
    <s v=""/>
    <s v=""/>
    <s v=""/>
    <n v="6576.7700000000013"/>
    <s v=""/>
    <m/>
    <m/>
    <m/>
    <m/>
    <m/>
    <m/>
    <m/>
    <m/>
    <m/>
    <m/>
    <m/>
    <m/>
    <m/>
    <m/>
    <m/>
    <s v=" "/>
    <m/>
    <s v=" "/>
    <m/>
    <m/>
  </r>
  <r>
    <x v="307"/>
    <d v="2023-10-19T00:00:00"/>
    <x v="18"/>
    <x v="9"/>
    <x v="0"/>
    <x v="5"/>
    <x v="3"/>
    <x v="3"/>
    <s v="Cash"/>
    <s v=""/>
    <n v="4"/>
    <s v=""/>
    <s v=""/>
    <s v=""/>
    <s v=""/>
    <s v=""/>
    <n v="6572.7700000000013"/>
    <s v=""/>
    <m/>
    <m/>
    <m/>
    <m/>
    <m/>
    <m/>
    <m/>
    <m/>
    <m/>
    <m/>
    <m/>
    <m/>
    <m/>
    <m/>
    <m/>
    <s v=" "/>
    <m/>
    <s v=" "/>
    <m/>
    <m/>
  </r>
  <r>
    <x v="308"/>
    <d v="2023-10-19T00:00:00"/>
    <x v="18"/>
    <x v="9"/>
    <x v="0"/>
    <x v="5"/>
    <x v="6"/>
    <x v="3"/>
    <s v="Cash"/>
    <s v=""/>
    <n v="35"/>
    <s v=""/>
    <s v=""/>
    <s v=""/>
    <s v=""/>
    <s v=""/>
    <n v="6537.7700000000013"/>
    <s v=""/>
    <m/>
    <m/>
    <m/>
    <m/>
    <m/>
    <m/>
    <m/>
    <m/>
    <m/>
    <m/>
    <m/>
    <m/>
    <m/>
    <m/>
    <m/>
    <s v=" "/>
    <m/>
    <s v=" "/>
    <m/>
    <m/>
  </r>
  <r>
    <x v="309"/>
    <d v="2023-10-19T00:00:00"/>
    <x v="18"/>
    <x v="9"/>
    <x v="0"/>
    <x v="16"/>
    <x v="3"/>
    <x v="3"/>
    <s v="Cash"/>
    <s v=""/>
    <n v="3.6"/>
    <s v=""/>
    <s v=""/>
    <s v=""/>
    <s v=""/>
    <s v=""/>
    <n v="6534.170000000001"/>
    <s v=""/>
    <m/>
    <m/>
    <m/>
    <m/>
    <m/>
    <m/>
    <m/>
    <m/>
    <m/>
    <m/>
    <m/>
    <m/>
    <m/>
    <m/>
    <m/>
    <s v=" "/>
    <m/>
    <s v=" "/>
    <m/>
    <m/>
  </r>
  <r>
    <x v="310"/>
    <d v="2023-10-20T00:00:00"/>
    <x v="19"/>
    <x v="9"/>
    <x v="0"/>
    <x v="5"/>
    <x v="3"/>
    <x v="3"/>
    <s v="Cash"/>
    <s v=""/>
    <n v="27.5"/>
    <s v=""/>
    <s v=""/>
    <s v=""/>
    <s v=""/>
    <s v=""/>
    <n v="6506.670000000001"/>
    <s v=""/>
    <m/>
    <m/>
    <m/>
    <m/>
    <m/>
    <m/>
    <m/>
    <m/>
    <m/>
    <m/>
    <m/>
    <m/>
    <m/>
    <m/>
    <m/>
    <s v=" "/>
    <m/>
    <s v=" "/>
    <m/>
    <m/>
  </r>
  <r>
    <x v="311"/>
    <d v="2023-10-20T00:00:00"/>
    <x v="19"/>
    <x v="9"/>
    <x v="0"/>
    <x v="11"/>
    <x v="9"/>
    <x v="2"/>
    <s v="Cash"/>
    <n v="19.8"/>
    <s v=""/>
    <s v=""/>
    <s v=""/>
    <s v=""/>
    <s v=""/>
    <s v=""/>
    <n v="6486.8700000000008"/>
    <s v=""/>
    <m/>
    <m/>
    <m/>
    <m/>
    <m/>
    <m/>
    <m/>
    <m/>
    <m/>
    <m/>
    <m/>
    <m/>
    <m/>
    <m/>
    <m/>
    <s v=" "/>
    <m/>
    <s v=" "/>
    <m/>
    <m/>
  </r>
  <r>
    <x v="312"/>
    <d v="2023-10-20T00:00:00"/>
    <x v="19"/>
    <x v="9"/>
    <x v="0"/>
    <x v="17"/>
    <x v="11"/>
    <x v="5"/>
    <s v="Carta"/>
    <s v=""/>
    <s v=""/>
    <s v=""/>
    <s v=""/>
    <n v="4000"/>
    <s v=""/>
    <s v=""/>
    <n v="10486.87"/>
    <s v=""/>
    <m/>
    <m/>
    <m/>
    <m/>
    <m/>
    <m/>
    <m/>
    <m/>
    <m/>
    <m/>
    <m/>
    <m/>
    <m/>
    <m/>
    <m/>
    <s v=" "/>
    <m/>
    <s v=" "/>
    <m/>
    <m/>
  </r>
  <r>
    <x v="313"/>
    <d v="2023-10-20T00:00:00"/>
    <x v="19"/>
    <x v="9"/>
    <x v="0"/>
    <x v="18"/>
    <x v="11"/>
    <x v="5"/>
    <s v="Carta"/>
    <s v=""/>
    <s v=""/>
    <s v=""/>
    <n v="1000"/>
    <s v="$ -"/>
    <s v=""/>
    <s v=""/>
    <n v="11486.87"/>
    <s v=""/>
    <m/>
    <m/>
    <m/>
    <m/>
    <m/>
    <m/>
    <m/>
    <m/>
    <m/>
    <m/>
    <m/>
    <m/>
    <m/>
    <m/>
    <m/>
    <s v=" "/>
    <m/>
    <s v=" "/>
    <m/>
    <m/>
  </r>
  <r>
    <x v="314"/>
    <d v="2023-10-20T00:00:00"/>
    <x v="19"/>
    <x v="9"/>
    <x v="0"/>
    <x v="0"/>
    <x v="0"/>
    <x v="0"/>
    <s v=""/>
    <s v=""/>
    <s v=""/>
    <s v=""/>
    <s v=""/>
    <s v=""/>
    <s v=""/>
    <s v=""/>
    <s v=""/>
    <s v=""/>
    <m/>
    <m/>
    <m/>
    <m/>
    <m/>
    <m/>
    <m/>
    <m/>
    <m/>
    <m/>
    <m/>
    <m/>
    <m/>
    <m/>
    <m/>
    <s v=" "/>
    <m/>
    <s v=" "/>
    <m/>
    <m/>
  </r>
  <r>
    <x v="315"/>
    <d v="2023-10-21T00:00:00"/>
    <x v="20"/>
    <x v="9"/>
    <x v="0"/>
    <x v="0"/>
    <x v="0"/>
    <x v="0"/>
    <s v=""/>
    <s v=""/>
    <s v=""/>
    <s v=""/>
    <s v=""/>
    <s v=""/>
    <s v=""/>
    <s v=""/>
    <s v=""/>
    <s v=""/>
    <m/>
    <m/>
    <m/>
    <m/>
    <m/>
    <m/>
    <m/>
    <m/>
    <m/>
    <m/>
    <m/>
    <m/>
    <m/>
    <m/>
    <m/>
    <s v=" "/>
    <m/>
    <s v=" "/>
    <m/>
    <m/>
  </r>
  <r>
    <x v="316"/>
    <d v="2023-10-22T00:00:00"/>
    <x v="21"/>
    <x v="9"/>
    <x v="0"/>
    <x v="0"/>
    <x v="0"/>
    <x v="0"/>
    <s v=""/>
    <s v=""/>
    <s v=""/>
    <s v=""/>
    <s v=""/>
    <s v=""/>
    <s v=""/>
    <s v=""/>
    <s v=""/>
    <s v=""/>
    <m/>
    <m/>
    <m/>
    <m/>
    <m/>
    <m/>
    <m/>
    <m/>
    <m/>
    <m/>
    <m/>
    <m/>
    <m/>
    <m/>
    <m/>
    <s v=" "/>
    <m/>
    <s v=" "/>
    <m/>
    <m/>
  </r>
  <r>
    <x v="317"/>
    <d v="2023-10-23T00:00:00"/>
    <x v="22"/>
    <x v="9"/>
    <x v="0"/>
    <x v="0"/>
    <x v="0"/>
    <x v="0"/>
    <s v=""/>
    <s v=""/>
    <s v=""/>
    <s v=""/>
    <s v=""/>
    <s v=""/>
    <s v=""/>
    <s v=""/>
    <s v=""/>
    <s v=""/>
    <m/>
    <m/>
    <m/>
    <m/>
    <m/>
    <m/>
    <m/>
    <m/>
    <m/>
    <m/>
    <m/>
    <m/>
    <m/>
    <m/>
    <m/>
    <s v=" "/>
    <m/>
    <s v=" "/>
    <m/>
    <m/>
  </r>
  <r>
    <x v="318"/>
    <d v="2023-10-24T00:00:00"/>
    <x v="23"/>
    <x v="9"/>
    <x v="0"/>
    <x v="0"/>
    <x v="0"/>
    <x v="0"/>
    <s v=""/>
    <s v=""/>
    <s v=""/>
    <s v=""/>
    <s v=""/>
    <s v=""/>
    <s v=""/>
    <s v=""/>
    <s v=""/>
    <s v=""/>
    <m/>
    <m/>
    <m/>
    <m/>
    <m/>
    <m/>
    <m/>
    <m/>
    <m/>
    <m/>
    <m/>
    <m/>
    <m/>
    <m/>
    <m/>
    <s v=" "/>
    <m/>
    <s v=" "/>
    <m/>
    <m/>
  </r>
  <r>
    <x v="319"/>
    <d v="2023-10-25T00:00:00"/>
    <x v="24"/>
    <x v="9"/>
    <x v="0"/>
    <x v="0"/>
    <x v="0"/>
    <x v="0"/>
    <s v=""/>
    <s v=""/>
    <s v=""/>
    <s v=""/>
    <s v=""/>
    <s v=""/>
    <s v=""/>
    <s v=""/>
    <s v=""/>
    <s v=""/>
    <m/>
    <m/>
    <m/>
    <m/>
    <m/>
    <m/>
    <m/>
    <m/>
    <m/>
    <m/>
    <m/>
    <m/>
    <m/>
    <m/>
    <m/>
    <s v=" "/>
    <m/>
    <s v=" "/>
    <m/>
    <m/>
  </r>
  <r>
    <x v="320"/>
    <d v="2023-10-26T00:00:00"/>
    <x v="25"/>
    <x v="9"/>
    <x v="0"/>
    <x v="0"/>
    <x v="0"/>
    <x v="0"/>
    <s v=""/>
    <s v=""/>
    <s v=""/>
    <s v=""/>
    <s v=""/>
    <s v=""/>
    <s v=""/>
    <s v=""/>
    <s v=""/>
    <s v=""/>
    <m/>
    <m/>
    <m/>
    <m/>
    <m/>
    <m/>
    <m/>
    <m/>
    <m/>
    <m/>
    <m/>
    <m/>
    <m/>
    <m/>
    <m/>
    <s v=" "/>
    <m/>
    <s v=" "/>
    <m/>
    <m/>
  </r>
  <r>
    <x v="321"/>
    <d v="2023-10-27T00:00:00"/>
    <x v="26"/>
    <x v="9"/>
    <x v="0"/>
    <x v="5"/>
    <x v="6"/>
    <x v="3"/>
    <s v="Cash"/>
    <s v=""/>
    <n v="26.98"/>
    <s v=""/>
    <s v=""/>
    <s v=""/>
    <s v=""/>
    <s v=""/>
    <n v="11459.890000000001"/>
    <s v=""/>
    <m/>
    <m/>
    <m/>
    <m/>
    <m/>
    <m/>
    <m/>
    <m/>
    <m/>
    <m/>
    <m/>
    <m/>
    <m/>
    <m/>
    <m/>
    <s v=" "/>
    <m/>
    <s v=" "/>
    <m/>
    <m/>
  </r>
  <r>
    <x v="322"/>
    <d v="2023-10-28T00:00:00"/>
    <x v="27"/>
    <x v="9"/>
    <x v="0"/>
    <x v="5"/>
    <x v="3"/>
    <x v="3"/>
    <s v="Cash"/>
    <s v=""/>
    <n v="61.12"/>
    <s v=""/>
    <s v=""/>
    <s v=""/>
    <s v=""/>
    <s v=""/>
    <n v="11398.77"/>
    <s v=""/>
    <m/>
    <m/>
    <m/>
    <m/>
    <m/>
    <m/>
    <m/>
    <m/>
    <m/>
    <m/>
    <m/>
    <m/>
    <m/>
    <m/>
    <m/>
    <s v=" "/>
    <m/>
    <s v=" "/>
    <m/>
    <m/>
  </r>
  <r>
    <x v="323"/>
    <d v="2023-10-28T00:00:00"/>
    <x v="27"/>
    <x v="9"/>
    <x v="0"/>
    <x v="0"/>
    <x v="0"/>
    <x v="0"/>
    <s v=""/>
    <s v=""/>
    <s v=""/>
    <s v=""/>
    <s v=""/>
    <s v=""/>
    <s v=""/>
    <s v=""/>
    <s v=""/>
    <s v=""/>
    <m/>
    <m/>
    <m/>
    <m/>
    <m/>
    <m/>
    <m/>
    <m/>
    <m/>
    <m/>
    <m/>
    <m/>
    <m/>
    <m/>
    <m/>
    <s v=" "/>
    <m/>
    <s v=" "/>
    <m/>
    <m/>
  </r>
  <r>
    <x v="324"/>
    <d v="2023-10-29T00:00:00"/>
    <x v="28"/>
    <x v="9"/>
    <x v="0"/>
    <x v="19"/>
    <x v="12"/>
    <x v="6"/>
    <s v="Carta"/>
    <s v=""/>
    <n v="26"/>
    <s v=""/>
    <s v=""/>
    <s v=""/>
    <s v=""/>
    <s v=""/>
    <n v="11372.77"/>
    <s v=""/>
    <m/>
    <m/>
    <m/>
    <m/>
    <m/>
    <m/>
    <m/>
    <m/>
    <m/>
    <m/>
    <m/>
    <m/>
    <m/>
    <m/>
    <m/>
    <s v=" "/>
    <m/>
    <s v=" "/>
    <m/>
    <m/>
  </r>
  <r>
    <x v="325"/>
    <d v="2023-10-30T00:00:00"/>
    <x v="29"/>
    <x v="9"/>
    <x v="0"/>
    <x v="0"/>
    <x v="0"/>
    <x v="0"/>
    <s v=""/>
    <s v=""/>
    <s v=""/>
    <s v=""/>
    <s v=""/>
    <s v=""/>
    <s v=""/>
    <s v=""/>
    <s v=""/>
    <s v=""/>
    <m/>
    <m/>
    <m/>
    <m/>
    <m/>
    <m/>
    <m/>
    <m/>
    <m/>
    <m/>
    <m/>
    <m/>
    <m/>
    <m/>
    <m/>
    <s v=" "/>
    <m/>
    <s v=" "/>
    <m/>
    <m/>
  </r>
  <r>
    <x v="326"/>
    <d v="2023-10-31T00:00:00"/>
    <x v="30"/>
    <x v="9"/>
    <x v="0"/>
    <x v="0"/>
    <x v="0"/>
    <x v="0"/>
    <s v=""/>
    <s v=""/>
    <s v=""/>
    <s v=""/>
    <s v=""/>
    <s v=""/>
    <s v=""/>
    <s v=""/>
    <s v=""/>
    <s v=""/>
    <m/>
    <m/>
    <m/>
    <m/>
    <m/>
    <m/>
    <m/>
    <m/>
    <m/>
    <m/>
    <m/>
    <m/>
    <m/>
    <m/>
    <m/>
    <s v=" "/>
    <m/>
    <s v=" "/>
    <m/>
    <m/>
  </r>
  <r>
    <x v="327"/>
    <d v="2023-11-01T00:00:00"/>
    <x v="0"/>
    <x v="10"/>
    <x v="0"/>
    <x v="1"/>
    <x v="1"/>
    <x v="1"/>
    <s v="Carta"/>
    <s v=""/>
    <n v="2"/>
    <s v=""/>
    <s v=""/>
    <s v=""/>
    <s v=""/>
    <s v=""/>
    <n v="11370.77"/>
    <s v=""/>
    <m/>
    <m/>
    <m/>
    <m/>
    <m/>
    <m/>
    <m/>
    <m/>
    <m/>
    <m/>
    <m/>
    <m/>
    <m/>
    <m/>
    <m/>
    <s v=" "/>
    <m/>
    <s v=" "/>
    <m/>
    <m/>
  </r>
  <r>
    <x v="328"/>
    <d v="2023-11-01T00:00:00"/>
    <x v="0"/>
    <x v="10"/>
    <x v="0"/>
    <x v="2"/>
    <x v="1"/>
    <x v="1"/>
    <s v="Carta"/>
    <s v=""/>
    <n v="4.9800000000000004"/>
    <s v=""/>
    <s v=""/>
    <s v=""/>
    <s v=""/>
    <s v=""/>
    <n v="11365.79"/>
    <s v=""/>
    <m/>
    <m/>
    <m/>
    <m/>
    <m/>
    <m/>
    <m/>
    <m/>
    <m/>
    <m/>
    <m/>
    <m/>
    <m/>
    <m/>
    <m/>
    <s v=" "/>
    <m/>
    <s v=" "/>
    <m/>
    <m/>
  </r>
  <r>
    <x v="329"/>
    <d v="2023-11-02T00:00:00"/>
    <x v="1"/>
    <x v="10"/>
    <x v="0"/>
    <x v="0"/>
    <x v="0"/>
    <x v="0"/>
    <s v=""/>
    <s v=""/>
    <s v=""/>
    <s v=""/>
    <s v=""/>
    <s v=""/>
    <s v=""/>
    <s v=""/>
    <s v=""/>
    <s v=""/>
    <m/>
    <m/>
    <m/>
    <m/>
    <m/>
    <m/>
    <m/>
    <m/>
    <m/>
    <m/>
    <m/>
    <m/>
    <m/>
    <m/>
    <m/>
    <s v=" "/>
    <m/>
    <s v=" "/>
    <m/>
    <m/>
  </r>
  <r>
    <x v="330"/>
    <d v="2023-11-03T00:00:00"/>
    <x v="2"/>
    <x v="10"/>
    <x v="0"/>
    <x v="5"/>
    <x v="3"/>
    <x v="3"/>
    <s v="Cash"/>
    <s v=""/>
    <n v="21.1"/>
    <s v=""/>
    <s v=""/>
    <s v=""/>
    <s v=""/>
    <s v=""/>
    <n v="11344.69"/>
    <s v=""/>
    <m/>
    <m/>
    <m/>
    <m/>
    <m/>
    <m/>
    <m/>
    <m/>
    <m/>
    <m/>
    <m/>
    <m/>
    <m/>
    <m/>
    <m/>
    <s v=" "/>
    <m/>
    <s v=" "/>
    <m/>
    <m/>
  </r>
  <r>
    <x v="331"/>
    <d v="2023-11-03T00:00:00"/>
    <x v="2"/>
    <x v="10"/>
    <x v="0"/>
    <x v="5"/>
    <x v="6"/>
    <x v="3"/>
    <s v="Cash"/>
    <s v=""/>
    <n v="4.5"/>
    <s v=""/>
    <s v=""/>
    <s v=""/>
    <s v=""/>
    <s v=""/>
    <n v="11340.19"/>
    <s v=""/>
    <m/>
    <m/>
    <m/>
    <m/>
    <m/>
    <m/>
    <m/>
    <m/>
    <m/>
    <m/>
    <m/>
    <m/>
    <m/>
    <m/>
    <m/>
    <s v=" "/>
    <m/>
    <s v=" "/>
    <m/>
    <m/>
  </r>
  <r>
    <x v="332"/>
    <d v="2023-11-04T00:00:00"/>
    <x v="3"/>
    <x v="10"/>
    <x v="0"/>
    <x v="5"/>
    <x v="3"/>
    <x v="3"/>
    <s v="Cash"/>
    <s v=""/>
    <n v="34.1"/>
    <s v=""/>
    <s v=""/>
    <s v=""/>
    <s v=""/>
    <s v=""/>
    <n v="11306.09"/>
    <s v=""/>
    <m/>
    <m/>
    <m/>
    <m/>
    <m/>
    <m/>
    <m/>
    <m/>
    <m/>
    <m/>
    <m/>
    <m/>
    <m/>
    <m/>
    <m/>
    <s v=" "/>
    <m/>
    <s v=" "/>
    <m/>
    <m/>
  </r>
  <r>
    <x v="333"/>
    <d v="2023-11-04T00:00:00"/>
    <x v="3"/>
    <x v="10"/>
    <x v="0"/>
    <x v="20"/>
    <x v="13"/>
    <x v="4"/>
    <s v="Cash"/>
    <n v="20"/>
    <s v=""/>
    <s v=""/>
    <s v=""/>
    <s v=""/>
    <s v=""/>
    <s v=""/>
    <n v="11286.09"/>
    <s v=""/>
    <m/>
    <m/>
    <m/>
    <m/>
    <m/>
    <m/>
    <m/>
    <m/>
    <m/>
    <m/>
    <m/>
    <m/>
    <m/>
    <m/>
    <m/>
    <s v=" "/>
    <m/>
    <s v=" "/>
    <m/>
    <m/>
  </r>
  <r>
    <x v="334"/>
    <d v="2023-11-04T00:00:00"/>
    <x v="3"/>
    <x v="10"/>
    <x v="0"/>
    <x v="21"/>
    <x v="13"/>
    <x v="4"/>
    <s v="Cash"/>
    <n v="7"/>
    <s v=""/>
    <s v=""/>
    <s v=""/>
    <s v=""/>
    <s v=""/>
    <s v=""/>
    <n v="11279.09"/>
    <s v=""/>
    <m/>
    <m/>
    <m/>
    <m/>
    <m/>
    <m/>
    <m/>
    <m/>
    <m/>
    <m/>
    <m/>
    <m/>
    <m/>
    <m/>
    <m/>
    <s v=" "/>
    <m/>
    <s v=" "/>
    <m/>
    <m/>
  </r>
  <r>
    <x v="335"/>
    <d v="2023-11-04T00:00:00"/>
    <x v="3"/>
    <x v="10"/>
    <x v="0"/>
    <x v="22"/>
    <x v="14"/>
    <x v="0"/>
    <s v="Carta"/>
    <s v=""/>
    <s v=""/>
    <s v=""/>
    <s v=""/>
    <s v=""/>
    <s v=""/>
    <n v="300"/>
    <s v=""/>
    <s v=""/>
    <m/>
    <m/>
    <m/>
    <m/>
    <m/>
    <m/>
    <m/>
    <m/>
    <m/>
    <m/>
    <m/>
    <m/>
    <m/>
    <m/>
    <m/>
    <s v=" "/>
    <m/>
    <s v=" "/>
    <m/>
    <m/>
  </r>
  <r>
    <x v="336"/>
    <d v="2023-11-04T00:00:00"/>
    <x v="3"/>
    <x v="10"/>
    <x v="0"/>
    <x v="23"/>
    <x v="8"/>
    <x v="4"/>
    <s v="Cash"/>
    <n v="23"/>
    <s v=""/>
    <s v=""/>
    <s v=""/>
    <s v=""/>
    <s v=""/>
    <s v=""/>
    <n v="11256.09"/>
    <s v=""/>
    <m/>
    <m/>
    <m/>
    <m/>
    <m/>
    <m/>
    <m/>
    <m/>
    <m/>
    <m/>
    <m/>
    <m/>
    <m/>
    <m/>
    <m/>
    <s v=" "/>
    <m/>
    <s v=" "/>
    <m/>
    <m/>
  </r>
  <r>
    <x v="337"/>
    <d v="2023-11-05T00:00:00"/>
    <x v="4"/>
    <x v="10"/>
    <x v="0"/>
    <x v="0"/>
    <x v="0"/>
    <x v="0"/>
    <s v=""/>
    <s v=""/>
    <s v=""/>
    <s v=""/>
    <s v=""/>
    <s v=""/>
    <s v=""/>
    <s v=""/>
    <s v=""/>
    <s v=""/>
    <m/>
    <m/>
    <m/>
    <m/>
    <m/>
    <m/>
    <m/>
    <m/>
    <m/>
    <m/>
    <m/>
    <m/>
    <m/>
    <m/>
    <m/>
    <s v=" "/>
    <m/>
    <s v=" "/>
    <m/>
    <m/>
  </r>
  <r>
    <x v="338"/>
    <d v="2023-11-06T00:00:00"/>
    <x v="5"/>
    <x v="10"/>
    <x v="0"/>
    <x v="19"/>
    <x v="12"/>
    <x v="6"/>
    <s v="Carta"/>
    <s v=""/>
    <n v="26"/>
    <s v=""/>
    <s v=""/>
    <s v=""/>
    <s v=""/>
    <s v=""/>
    <n v="11230.09"/>
    <s v=""/>
    <m/>
    <m/>
    <m/>
    <m/>
    <m/>
    <m/>
    <m/>
    <m/>
    <m/>
    <m/>
    <m/>
    <m/>
    <m/>
    <m/>
    <m/>
    <s v=" "/>
    <m/>
    <s v=" "/>
    <m/>
    <m/>
  </r>
  <r>
    <x v="339"/>
    <d v="2023-11-07T00:00:00"/>
    <x v="6"/>
    <x v="10"/>
    <x v="0"/>
    <x v="0"/>
    <x v="0"/>
    <x v="0"/>
    <s v=""/>
    <s v=""/>
    <s v=""/>
    <s v=""/>
    <s v=""/>
    <s v=""/>
    <s v=""/>
    <s v=""/>
    <s v=""/>
    <s v=""/>
    <m/>
    <m/>
    <m/>
    <m/>
    <m/>
    <m/>
    <m/>
    <m/>
    <m/>
    <m/>
    <m/>
    <m/>
    <m/>
    <m/>
    <m/>
    <s v=" "/>
    <m/>
    <s v=" "/>
    <m/>
    <m/>
  </r>
  <r>
    <x v="340"/>
    <d v="2023-11-08T00:00:00"/>
    <x v="7"/>
    <x v="10"/>
    <x v="0"/>
    <x v="0"/>
    <x v="0"/>
    <x v="0"/>
    <s v=""/>
    <s v=""/>
    <s v=""/>
    <s v=""/>
    <s v=""/>
    <s v=""/>
    <s v=""/>
    <s v=""/>
    <s v=""/>
    <s v=""/>
    <m/>
    <m/>
    <m/>
    <m/>
    <m/>
    <m/>
    <m/>
    <m/>
    <m/>
    <m/>
    <m/>
    <m/>
    <m/>
    <m/>
    <m/>
    <s v=" "/>
    <m/>
    <s v=" "/>
    <m/>
    <m/>
  </r>
  <r>
    <x v="341"/>
    <d v="2023-11-09T00:00:00"/>
    <x v="8"/>
    <x v="10"/>
    <x v="0"/>
    <x v="0"/>
    <x v="0"/>
    <x v="0"/>
    <s v=""/>
    <s v=""/>
    <s v=""/>
    <s v=""/>
    <s v=""/>
    <s v=""/>
    <s v=""/>
    <s v=""/>
    <s v=""/>
    <s v=""/>
    <m/>
    <m/>
    <m/>
    <m/>
    <m/>
    <m/>
    <m/>
    <m/>
    <m/>
    <m/>
    <m/>
    <m/>
    <m/>
    <m/>
    <m/>
    <s v=" "/>
    <m/>
    <s v=" "/>
    <m/>
    <m/>
  </r>
  <r>
    <x v="342"/>
    <d v="2023-11-10T00:00:00"/>
    <x v="9"/>
    <x v="10"/>
    <x v="0"/>
    <x v="0"/>
    <x v="0"/>
    <x v="0"/>
    <s v=""/>
    <s v=""/>
    <s v=""/>
    <s v=""/>
    <s v=""/>
    <s v=""/>
    <s v=""/>
    <s v=""/>
    <s v=""/>
    <s v=""/>
    <m/>
    <m/>
    <m/>
    <m/>
    <m/>
    <m/>
    <m/>
    <m/>
    <m/>
    <m/>
    <m/>
    <m/>
    <m/>
    <m/>
    <m/>
    <s v=" "/>
    <m/>
    <s v=" "/>
    <m/>
    <m/>
  </r>
  <r>
    <x v="343"/>
    <d v="2023-11-11T00:00:00"/>
    <x v="10"/>
    <x v="10"/>
    <x v="0"/>
    <x v="5"/>
    <x v="3"/>
    <x v="3"/>
    <s v="Cash"/>
    <s v=""/>
    <n v="52.05"/>
    <s v=""/>
    <s v=""/>
    <s v=""/>
    <s v=""/>
    <s v=""/>
    <n v="11178.04"/>
    <s v=""/>
    <m/>
    <m/>
    <m/>
    <m/>
    <m/>
    <m/>
    <m/>
    <m/>
    <m/>
    <m/>
    <m/>
    <m/>
    <m/>
    <m/>
    <m/>
    <s v=" "/>
    <m/>
    <s v=" "/>
    <m/>
    <m/>
  </r>
  <r>
    <x v="344"/>
    <d v="2023-11-11T00:00:00"/>
    <x v="10"/>
    <x v="10"/>
    <x v="0"/>
    <x v="24"/>
    <x v="15"/>
    <x v="7"/>
    <s v="Cash"/>
    <n v="7.5"/>
    <s v=""/>
    <s v=""/>
    <s v=""/>
    <s v=""/>
    <s v=""/>
    <s v=""/>
    <n v="11170.54"/>
    <s v=""/>
    <m/>
    <m/>
    <m/>
    <m/>
    <m/>
    <m/>
    <m/>
    <m/>
    <m/>
    <m/>
    <m/>
    <m/>
    <m/>
    <m/>
    <m/>
    <s v=" "/>
    <m/>
    <s v=" "/>
    <m/>
    <m/>
  </r>
  <r>
    <x v="345"/>
    <d v="2023-11-11T00:00:00"/>
    <x v="10"/>
    <x v="10"/>
    <x v="0"/>
    <x v="25"/>
    <x v="3"/>
    <x v="3"/>
    <s v="Cash"/>
    <s v=""/>
    <n v="15"/>
    <s v=""/>
    <s v=""/>
    <s v=""/>
    <s v=""/>
    <s v=""/>
    <n v="11155.54"/>
    <s v=""/>
    <m/>
    <m/>
    <m/>
    <m/>
    <m/>
    <m/>
    <m/>
    <m/>
    <m/>
    <m/>
    <m/>
    <m/>
    <m/>
    <m/>
    <m/>
    <s v=" "/>
    <m/>
    <s v=" "/>
    <m/>
    <m/>
  </r>
  <r>
    <x v="346"/>
    <d v="2023-11-11T00:00:00"/>
    <x v="10"/>
    <x v="10"/>
    <x v="0"/>
    <x v="26"/>
    <x v="16"/>
    <x v="6"/>
    <s v="Cash"/>
    <s v=""/>
    <n v="142.5"/>
    <s v=""/>
    <s v=""/>
    <s v=""/>
    <s v=""/>
    <s v=""/>
    <n v="11013.04"/>
    <s v=""/>
    <m/>
    <m/>
    <m/>
    <m/>
    <m/>
    <m/>
    <m/>
    <m/>
    <m/>
    <m/>
    <m/>
    <m/>
    <m/>
    <m/>
    <m/>
    <s v=" "/>
    <m/>
    <s v=" "/>
    <m/>
    <m/>
  </r>
  <r>
    <x v="347"/>
    <d v="2023-11-11T00:00:00"/>
    <x v="10"/>
    <x v="10"/>
    <x v="0"/>
    <x v="27"/>
    <x v="9"/>
    <x v="2"/>
    <s v="Cash"/>
    <n v="8.65"/>
    <s v=""/>
    <s v=""/>
    <s v=""/>
    <s v=""/>
    <s v=""/>
    <s v=""/>
    <n v="11004.390000000001"/>
    <s v=""/>
    <m/>
    <m/>
    <m/>
    <m/>
    <m/>
    <m/>
    <m/>
    <m/>
    <m/>
    <m/>
    <m/>
    <m/>
    <m/>
    <m/>
    <m/>
    <s v=" "/>
    <m/>
    <s v=" "/>
    <m/>
    <m/>
  </r>
  <r>
    <x v="348"/>
    <d v="2023-11-12T00:00:00"/>
    <x v="11"/>
    <x v="10"/>
    <x v="0"/>
    <x v="28"/>
    <x v="13"/>
    <x v="4"/>
    <s v="Cash"/>
    <n v="28"/>
    <s v=""/>
    <s v=""/>
    <s v=""/>
    <s v=""/>
    <s v=""/>
    <s v=""/>
    <n v="10976.390000000001"/>
    <s v=""/>
    <m/>
    <m/>
    <m/>
    <m/>
    <m/>
    <m/>
    <m/>
    <m/>
    <m/>
    <m/>
    <m/>
    <m/>
    <m/>
    <m/>
    <m/>
    <s v=" "/>
    <m/>
    <s v=" "/>
    <m/>
    <m/>
  </r>
  <r>
    <x v="349"/>
    <d v="2023-11-12T00:00:00"/>
    <x v="11"/>
    <x v="10"/>
    <x v="0"/>
    <x v="29"/>
    <x v="13"/>
    <x v="4"/>
    <s v="Cash"/>
    <n v="7.99"/>
    <s v=""/>
    <s v=""/>
    <s v=""/>
    <s v=""/>
    <s v=""/>
    <s v=""/>
    <n v="10968.400000000001"/>
    <s v=""/>
    <m/>
    <m/>
    <m/>
    <m/>
    <m/>
    <m/>
    <m/>
    <m/>
    <m/>
    <m/>
    <m/>
    <m/>
    <m/>
    <m/>
    <m/>
    <s v=" "/>
    <m/>
    <s v=" "/>
    <m/>
    <m/>
  </r>
  <r>
    <x v="350"/>
    <d v="2023-11-12T00:00:00"/>
    <x v="11"/>
    <x v="10"/>
    <x v="0"/>
    <x v="30"/>
    <x v="3"/>
    <x v="3"/>
    <s v="Cash"/>
    <s v=""/>
    <n v="7.5"/>
    <s v=""/>
    <s v=""/>
    <s v=""/>
    <s v=""/>
    <s v=""/>
    <n v="10960.900000000001"/>
    <s v=""/>
    <m/>
    <m/>
    <m/>
    <m/>
    <m/>
    <m/>
    <m/>
    <m/>
    <m/>
    <m/>
    <m/>
    <m/>
    <m/>
    <m/>
    <m/>
    <s v=" "/>
    <m/>
    <s v=" "/>
    <m/>
    <m/>
  </r>
  <r>
    <x v="351"/>
    <d v="2023-11-12T00:00:00"/>
    <x v="11"/>
    <x v="10"/>
    <x v="0"/>
    <x v="27"/>
    <x v="9"/>
    <x v="2"/>
    <s v="Cash"/>
    <n v="20.6"/>
    <s v=""/>
    <s v=""/>
    <s v=""/>
    <s v=""/>
    <s v=""/>
    <s v=""/>
    <n v="10940.300000000001"/>
    <s v=""/>
    <m/>
    <m/>
    <m/>
    <m/>
    <m/>
    <m/>
    <m/>
    <m/>
    <m/>
    <m/>
    <m/>
    <m/>
    <m/>
    <m/>
    <m/>
    <s v=" "/>
    <m/>
    <s v=" "/>
    <m/>
    <m/>
  </r>
  <r>
    <x v="352"/>
    <d v="2023-11-12T00:00:00"/>
    <x v="11"/>
    <x v="10"/>
    <x v="0"/>
    <x v="31"/>
    <x v="6"/>
    <x v="3"/>
    <s v="Cash"/>
    <s v=""/>
    <n v="6.5"/>
    <s v=""/>
    <s v=""/>
    <s v=""/>
    <s v=""/>
    <s v=""/>
    <n v="10933.800000000001"/>
    <s v=""/>
    <m/>
    <m/>
    <m/>
    <m/>
    <m/>
    <m/>
    <m/>
    <m/>
    <m/>
    <m/>
    <m/>
    <m/>
    <m/>
    <m/>
    <m/>
    <s v=" "/>
    <m/>
    <s v=" "/>
    <m/>
    <m/>
  </r>
  <r>
    <x v="353"/>
    <d v="2023-11-12T00:00:00"/>
    <x v="11"/>
    <x v="10"/>
    <x v="0"/>
    <x v="32"/>
    <x v="6"/>
    <x v="3"/>
    <s v="Cash"/>
    <s v=""/>
    <n v="2.69"/>
    <s v=""/>
    <s v=""/>
    <s v=""/>
    <s v=""/>
    <s v=""/>
    <n v="10931.11"/>
    <s v=""/>
    <m/>
    <m/>
    <m/>
    <m/>
    <m/>
    <m/>
    <m/>
    <m/>
    <m/>
    <m/>
    <m/>
    <m/>
    <m/>
    <m/>
    <m/>
    <s v=" "/>
    <m/>
    <s v=" "/>
    <m/>
    <m/>
  </r>
  <r>
    <x v="354"/>
    <d v="2023-11-12T00:00:00"/>
    <x v="11"/>
    <x v="10"/>
    <x v="0"/>
    <x v="25"/>
    <x v="3"/>
    <x v="3"/>
    <s v="Cash"/>
    <s v=""/>
    <n v="2.99"/>
    <s v=""/>
    <s v=""/>
    <s v=""/>
    <s v=""/>
    <s v=""/>
    <n v="10928.12"/>
    <s v=""/>
    <m/>
    <m/>
    <m/>
    <m/>
    <m/>
    <m/>
    <m/>
    <m/>
    <m/>
    <m/>
    <m/>
    <m/>
    <m/>
    <m/>
    <m/>
    <s v=" "/>
    <m/>
    <s v=" "/>
    <m/>
    <m/>
  </r>
  <r>
    <x v="355"/>
    <d v="2023-11-12T00:00:00"/>
    <x v="11"/>
    <x v="10"/>
    <x v="0"/>
    <x v="5"/>
    <x v="3"/>
    <x v="3"/>
    <s v="Cash"/>
    <s v=""/>
    <n v="14.25"/>
    <s v=""/>
    <s v=""/>
    <s v=""/>
    <s v=""/>
    <s v=""/>
    <n v="10913.87"/>
    <s v=""/>
    <m/>
    <m/>
    <m/>
    <m/>
    <m/>
    <m/>
    <m/>
    <m/>
    <m/>
    <m/>
    <m/>
    <m/>
    <m/>
    <m/>
    <m/>
    <s v=" "/>
    <m/>
    <s v=" "/>
    <m/>
    <m/>
  </r>
  <r>
    <x v="356"/>
    <d v="2023-11-13T00:00:00"/>
    <x v="12"/>
    <x v="10"/>
    <x v="0"/>
    <x v="0"/>
    <x v="0"/>
    <x v="0"/>
    <s v=""/>
    <s v=""/>
    <s v=""/>
    <s v=""/>
    <s v=""/>
    <s v=""/>
    <s v=""/>
    <s v=""/>
    <s v=""/>
    <s v=""/>
    <m/>
    <m/>
    <m/>
    <m/>
    <m/>
    <m/>
    <m/>
    <m/>
    <m/>
    <m/>
    <m/>
    <m/>
    <m/>
    <m/>
    <m/>
    <s v=" "/>
    <m/>
    <s v=" "/>
    <m/>
    <m/>
  </r>
  <r>
    <x v="357"/>
    <d v="2023-11-14T00:00:00"/>
    <x v="13"/>
    <x v="10"/>
    <x v="0"/>
    <x v="0"/>
    <x v="0"/>
    <x v="0"/>
    <s v=""/>
    <s v=""/>
    <s v=""/>
    <s v=""/>
    <s v=""/>
    <s v=""/>
    <s v=""/>
    <s v=""/>
    <s v=""/>
    <s v=""/>
    <m/>
    <m/>
    <m/>
    <m/>
    <m/>
    <m/>
    <m/>
    <m/>
    <m/>
    <m/>
    <m/>
    <m/>
    <m/>
    <m/>
    <m/>
    <s v=" "/>
    <m/>
    <s v=" "/>
    <m/>
    <m/>
  </r>
  <r>
    <x v="358"/>
    <d v="2023-11-15T00:00:00"/>
    <x v="14"/>
    <x v="10"/>
    <x v="0"/>
    <x v="0"/>
    <x v="0"/>
    <x v="0"/>
    <s v=""/>
    <s v=""/>
    <s v=""/>
    <s v=""/>
    <s v=""/>
    <s v=""/>
    <s v=""/>
    <s v=""/>
    <s v=""/>
    <s v=""/>
    <m/>
    <m/>
    <m/>
    <m/>
    <m/>
    <m/>
    <m/>
    <m/>
    <m/>
    <m/>
    <m/>
    <m/>
    <m/>
    <m/>
    <m/>
    <s v=" "/>
    <m/>
    <s v=" "/>
    <m/>
    <m/>
  </r>
  <r>
    <x v="359"/>
    <d v="2023-11-16T00:00:00"/>
    <x v="15"/>
    <x v="10"/>
    <x v="0"/>
    <x v="0"/>
    <x v="0"/>
    <x v="0"/>
    <s v=""/>
    <s v=""/>
    <s v=""/>
    <s v=""/>
    <s v=""/>
    <s v=""/>
    <s v=""/>
    <s v=""/>
    <s v=""/>
    <s v=""/>
    <m/>
    <m/>
    <m/>
    <m/>
    <m/>
    <m/>
    <m/>
    <m/>
    <m/>
    <m/>
    <m/>
    <m/>
    <m/>
    <m/>
    <m/>
    <s v=" "/>
    <m/>
    <s v=" "/>
    <m/>
    <m/>
  </r>
  <r>
    <x v="360"/>
    <d v="2023-11-17T00:00:00"/>
    <x v="16"/>
    <x v="10"/>
    <x v="0"/>
    <x v="0"/>
    <x v="0"/>
    <x v="0"/>
    <s v=""/>
    <s v=""/>
    <s v=""/>
    <s v=""/>
    <s v=""/>
    <s v=""/>
    <s v=""/>
    <s v=""/>
    <s v=""/>
    <s v=""/>
    <m/>
    <m/>
    <m/>
    <m/>
    <m/>
    <m/>
    <m/>
    <m/>
    <m/>
    <m/>
    <m/>
    <m/>
    <m/>
    <m/>
    <m/>
    <s v=" "/>
    <m/>
    <s v=" "/>
    <m/>
    <m/>
  </r>
  <r>
    <x v="361"/>
    <d v="2023-11-18T00:00:00"/>
    <x v="17"/>
    <x v="10"/>
    <x v="0"/>
    <x v="33"/>
    <x v="15"/>
    <x v="7"/>
    <s v="Cash"/>
    <n v="4"/>
    <s v=""/>
    <s v=""/>
    <s v=""/>
    <s v=""/>
    <s v=""/>
    <s v=""/>
    <n v="10909.87"/>
    <s v=""/>
    <m/>
    <m/>
    <m/>
    <m/>
    <m/>
    <m/>
    <m/>
    <m/>
    <m/>
    <m/>
    <m/>
    <m/>
    <m/>
    <m/>
    <m/>
    <s v=" "/>
    <m/>
    <s v=" "/>
    <m/>
    <m/>
  </r>
  <r>
    <x v="362"/>
    <d v="2023-11-18T00:00:00"/>
    <x v="17"/>
    <x v="10"/>
    <x v="0"/>
    <x v="34"/>
    <x v="5"/>
    <x v="4"/>
    <s v="Cash"/>
    <n v="4"/>
    <s v=""/>
    <s v=""/>
    <s v=""/>
    <s v=""/>
    <s v=""/>
    <s v=""/>
    <n v="10905.87"/>
    <s v=""/>
    <m/>
    <m/>
    <m/>
    <m/>
    <m/>
    <m/>
    <m/>
    <m/>
    <m/>
    <m/>
    <m/>
    <m/>
    <m/>
    <m/>
    <m/>
    <s v=" "/>
    <m/>
    <s v=" "/>
    <m/>
    <m/>
  </r>
  <r>
    <x v="363"/>
    <d v="2023-11-18T00:00:00"/>
    <x v="17"/>
    <x v="10"/>
    <x v="0"/>
    <x v="5"/>
    <x v="3"/>
    <x v="3"/>
    <s v="Cash"/>
    <s v=""/>
    <n v="34"/>
    <s v=""/>
    <s v=""/>
    <s v=""/>
    <s v=""/>
    <s v=""/>
    <n v="10871.87"/>
    <s v=""/>
    <m/>
    <m/>
    <m/>
    <m/>
    <m/>
    <m/>
    <m/>
    <m/>
    <m/>
    <m/>
    <m/>
    <m/>
    <m/>
    <m/>
    <m/>
    <s v=" "/>
    <m/>
    <s v=" "/>
    <m/>
    <m/>
  </r>
  <r>
    <x v="364"/>
    <d v="2023-11-18T00:00:00"/>
    <x v="17"/>
    <x v="10"/>
    <x v="0"/>
    <x v="11"/>
    <x v="9"/>
    <x v="2"/>
    <s v="Cash"/>
    <n v="88"/>
    <s v=""/>
    <s v=""/>
    <s v=""/>
    <s v=""/>
    <s v=""/>
    <s v=""/>
    <n v="10783.87"/>
    <s v=""/>
    <m/>
    <m/>
    <m/>
    <m/>
    <m/>
    <m/>
    <m/>
    <m/>
    <m/>
    <m/>
    <m/>
    <m/>
    <m/>
    <m/>
    <m/>
    <s v=" "/>
    <m/>
    <s v=" "/>
    <m/>
    <m/>
  </r>
  <r>
    <x v="365"/>
    <d v="2023-11-18T00:00:00"/>
    <x v="17"/>
    <x v="10"/>
    <x v="0"/>
    <x v="35"/>
    <x v="16"/>
    <x v="6"/>
    <s v="Cash"/>
    <s v=""/>
    <n v="114"/>
    <s v=""/>
    <s v=""/>
    <s v=""/>
    <s v=""/>
    <s v=""/>
    <n v="10669.87"/>
    <s v=""/>
    <m/>
    <m/>
    <m/>
    <m/>
    <m/>
    <m/>
    <m/>
    <m/>
    <m/>
    <m/>
    <m/>
    <m/>
    <m/>
    <m/>
    <m/>
    <s v=" "/>
    <m/>
    <s v=" "/>
    <m/>
    <m/>
  </r>
  <r>
    <x v="366"/>
    <d v="2023-11-18T00:00:00"/>
    <x v="17"/>
    <x v="10"/>
    <x v="0"/>
    <x v="36"/>
    <x v="10"/>
    <x v="2"/>
    <s v="Cash"/>
    <n v="1"/>
    <s v=""/>
    <s v=""/>
    <s v=""/>
    <s v=""/>
    <s v=""/>
    <s v=""/>
    <n v="10668.87"/>
    <s v=""/>
    <m/>
    <m/>
    <m/>
    <m/>
    <m/>
    <m/>
    <m/>
    <m/>
    <m/>
    <m/>
    <m/>
    <m/>
    <m/>
    <m/>
    <m/>
    <s v=" "/>
    <m/>
    <s v=" "/>
    <m/>
    <m/>
  </r>
  <r>
    <x v="367"/>
    <d v="2023-11-18T00:00:00"/>
    <x v="17"/>
    <x v="10"/>
    <x v="0"/>
    <x v="37"/>
    <x v="17"/>
    <x v="6"/>
    <s v="Cash"/>
    <s v=""/>
    <n v="10"/>
    <s v=""/>
    <s v=""/>
    <s v=""/>
    <s v=""/>
    <s v=""/>
    <n v="10658.87"/>
    <s v=""/>
    <m/>
    <m/>
    <m/>
    <m/>
    <m/>
    <m/>
    <m/>
    <m/>
    <m/>
    <m/>
    <m/>
    <m/>
    <m/>
    <m/>
    <m/>
    <s v=" "/>
    <m/>
    <s v=" "/>
    <m/>
    <m/>
  </r>
  <r>
    <x v="368"/>
    <d v="2023-11-18T00:00:00"/>
    <x v="17"/>
    <x v="10"/>
    <x v="0"/>
    <x v="37"/>
    <x v="18"/>
    <x v="8"/>
    <s v="Cash"/>
    <s v=""/>
    <n v="10"/>
    <s v=""/>
    <s v=""/>
    <s v=""/>
    <s v=""/>
    <s v=""/>
    <n v="10648.87"/>
    <s v=""/>
    <m/>
    <m/>
    <m/>
    <m/>
    <m/>
    <m/>
    <m/>
    <m/>
    <m/>
    <m/>
    <m/>
    <m/>
    <m/>
    <m/>
    <m/>
    <s v=" "/>
    <m/>
    <s v=" "/>
    <m/>
    <m/>
  </r>
  <r>
    <x v="369"/>
    <d v="2023-11-19T00:00:00"/>
    <x v="18"/>
    <x v="10"/>
    <x v="0"/>
    <x v="0"/>
    <x v="0"/>
    <x v="0"/>
    <s v=""/>
    <s v=""/>
    <s v=""/>
    <s v=""/>
    <s v=""/>
    <s v=""/>
    <s v=""/>
    <s v=""/>
    <s v=""/>
    <s v=""/>
    <m/>
    <m/>
    <m/>
    <m/>
    <m/>
    <m/>
    <m/>
    <m/>
    <m/>
    <m/>
    <m/>
    <m/>
    <m/>
    <m/>
    <m/>
    <s v=" "/>
    <m/>
    <s v=" "/>
    <m/>
    <m/>
  </r>
  <r>
    <x v="370"/>
    <d v="2023-11-20T00:00:00"/>
    <x v="19"/>
    <x v="10"/>
    <x v="0"/>
    <x v="0"/>
    <x v="0"/>
    <x v="0"/>
    <s v=""/>
    <s v=""/>
    <s v=""/>
    <s v=""/>
    <s v=""/>
    <s v=""/>
    <s v=""/>
    <s v=""/>
    <s v=""/>
    <s v=""/>
    <m/>
    <m/>
    <m/>
    <m/>
    <m/>
    <m/>
    <m/>
    <m/>
    <m/>
    <m/>
    <m/>
    <m/>
    <m/>
    <m/>
    <m/>
    <s v=" "/>
    <m/>
    <s v=" "/>
    <m/>
    <m/>
  </r>
  <r>
    <x v="371"/>
    <d v="2023-11-21T00:00:00"/>
    <x v="20"/>
    <x v="10"/>
    <x v="0"/>
    <x v="0"/>
    <x v="0"/>
    <x v="0"/>
    <s v=""/>
    <s v=""/>
    <s v=""/>
    <s v=""/>
    <s v=""/>
    <s v=""/>
    <s v=""/>
    <s v=""/>
    <s v=""/>
    <s v=""/>
    <m/>
    <m/>
    <m/>
    <m/>
    <m/>
    <m/>
    <m/>
    <m/>
    <m/>
    <m/>
    <m/>
    <m/>
    <m/>
    <m/>
    <m/>
    <s v=" "/>
    <m/>
    <s v=" "/>
    <m/>
    <m/>
  </r>
  <r>
    <x v="372"/>
    <d v="2023-11-22T00:00:00"/>
    <x v="21"/>
    <x v="10"/>
    <x v="0"/>
    <x v="0"/>
    <x v="0"/>
    <x v="0"/>
    <s v=""/>
    <s v=""/>
    <s v=""/>
    <s v=""/>
    <s v=""/>
    <s v=""/>
    <s v=""/>
    <s v=""/>
    <s v=""/>
    <s v=""/>
    <m/>
    <m/>
    <m/>
    <m/>
    <m/>
    <m/>
    <m/>
    <m/>
    <m/>
    <m/>
    <m/>
    <m/>
    <m/>
    <m/>
    <m/>
    <s v=" "/>
    <m/>
    <s v=" "/>
    <m/>
    <m/>
  </r>
  <r>
    <x v="373"/>
    <d v="2023-11-23T00:00:00"/>
    <x v="22"/>
    <x v="10"/>
    <x v="0"/>
    <x v="22"/>
    <x v="14"/>
    <x v="0"/>
    <s v="Carta"/>
    <s v=""/>
    <s v=""/>
    <s v=""/>
    <s v=""/>
    <s v=""/>
    <s v=""/>
    <n v="500"/>
    <s v=""/>
    <s v=""/>
    <m/>
    <m/>
    <m/>
    <m/>
    <m/>
    <m/>
    <m/>
    <m/>
    <m/>
    <m/>
    <m/>
    <m/>
    <m/>
    <m/>
    <m/>
    <s v=" "/>
    <m/>
    <s v=" "/>
    <m/>
    <m/>
  </r>
  <r>
    <x v="374"/>
    <d v="2023-11-23T00:00:00"/>
    <x v="22"/>
    <x v="10"/>
    <x v="0"/>
    <x v="38"/>
    <x v="9"/>
    <x v="2"/>
    <s v="Cash"/>
    <n v="8"/>
    <s v=""/>
    <s v=""/>
    <s v=""/>
    <s v=""/>
    <s v=""/>
    <s v=""/>
    <n v="10640.87"/>
    <s v=""/>
    <m/>
    <m/>
    <m/>
    <m/>
    <m/>
    <m/>
    <m/>
    <m/>
    <m/>
    <m/>
    <m/>
    <m/>
    <m/>
    <m/>
    <m/>
    <s v=" "/>
    <m/>
    <s v=" "/>
    <m/>
    <m/>
  </r>
  <r>
    <x v="375"/>
    <d v="2023-11-23T00:00:00"/>
    <x v="22"/>
    <x v="10"/>
    <x v="0"/>
    <x v="27"/>
    <x v="9"/>
    <x v="2"/>
    <s v="Cash"/>
    <n v="23.9"/>
    <s v=""/>
    <s v=""/>
    <s v=""/>
    <s v=""/>
    <s v=""/>
    <s v=""/>
    <n v="10616.970000000001"/>
    <s v=""/>
    <m/>
    <m/>
    <m/>
    <m/>
    <m/>
    <m/>
    <m/>
    <m/>
    <m/>
    <m/>
    <m/>
    <m/>
    <m/>
    <m/>
    <m/>
    <s v=" "/>
    <m/>
    <s v=" "/>
    <m/>
    <m/>
  </r>
  <r>
    <x v="376"/>
    <d v="2023-11-23T00:00:00"/>
    <x v="22"/>
    <x v="10"/>
    <x v="0"/>
    <x v="5"/>
    <x v="6"/>
    <x v="3"/>
    <s v="Cash"/>
    <s v=""/>
    <n v="25.02"/>
    <s v=""/>
    <s v=""/>
    <s v=""/>
    <s v=""/>
    <s v=""/>
    <n v="10591.95"/>
    <s v=""/>
    <m/>
    <m/>
    <m/>
    <m/>
    <m/>
    <m/>
    <m/>
    <m/>
    <m/>
    <m/>
    <m/>
    <m/>
    <m/>
    <m/>
    <m/>
    <s v=" "/>
    <m/>
    <s v=" "/>
    <m/>
    <m/>
  </r>
  <r>
    <x v="377"/>
    <d v="2023-11-23T00:00:00"/>
    <x v="22"/>
    <x v="10"/>
    <x v="0"/>
    <x v="5"/>
    <x v="3"/>
    <x v="3"/>
    <s v="Cash"/>
    <s v=""/>
    <n v="53.37"/>
    <s v=""/>
    <s v=""/>
    <s v=""/>
    <s v=""/>
    <s v=""/>
    <n v="10538.58"/>
    <s v=""/>
    <m/>
    <m/>
    <m/>
    <m/>
    <m/>
    <m/>
    <m/>
    <m/>
    <m/>
    <m/>
    <m/>
    <m/>
    <m/>
    <m/>
    <m/>
    <s v=" "/>
    <m/>
    <s v=" "/>
    <m/>
    <m/>
  </r>
  <r>
    <x v="378"/>
    <d v="2023-11-24T00:00:00"/>
    <x v="23"/>
    <x v="10"/>
    <x v="0"/>
    <x v="28"/>
    <x v="13"/>
    <x v="4"/>
    <s v="Cash"/>
    <n v="5.5"/>
    <s v=""/>
    <s v=""/>
    <s v=""/>
    <s v=""/>
    <s v=""/>
    <s v=""/>
    <n v="10533.08"/>
    <s v=""/>
    <m/>
    <m/>
    <m/>
    <m/>
    <m/>
    <m/>
    <m/>
    <m/>
    <m/>
    <m/>
    <m/>
    <m/>
    <m/>
    <m/>
    <m/>
    <s v=" "/>
    <m/>
    <s v=" "/>
    <m/>
    <m/>
  </r>
  <r>
    <x v="379"/>
    <d v="2023-11-24T00:00:00"/>
    <x v="23"/>
    <x v="10"/>
    <x v="0"/>
    <x v="5"/>
    <x v="3"/>
    <x v="3"/>
    <s v="Cash"/>
    <s v=""/>
    <n v="40.11"/>
    <s v=""/>
    <s v=""/>
    <s v=""/>
    <s v=""/>
    <s v=""/>
    <n v="10492.97"/>
    <s v=""/>
    <m/>
    <m/>
    <m/>
    <m/>
    <m/>
    <m/>
    <m/>
    <m/>
    <m/>
    <m/>
    <m/>
    <m/>
    <m/>
    <m/>
    <m/>
    <s v=" "/>
    <m/>
    <s v=" "/>
    <m/>
    <m/>
  </r>
  <r>
    <x v="380"/>
    <d v="2023-11-25T00:00:00"/>
    <x v="24"/>
    <x v="10"/>
    <x v="0"/>
    <x v="0"/>
    <x v="0"/>
    <x v="0"/>
    <s v=""/>
    <s v=""/>
    <s v=""/>
    <s v=""/>
    <s v=""/>
    <s v=""/>
    <s v=""/>
    <s v=""/>
    <s v=""/>
    <s v=""/>
    <m/>
    <m/>
    <m/>
    <m/>
    <m/>
    <m/>
    <m/>
    <m/>
    <m/>
    <m/>
    <m/>
    <m/>
    <m/>
    <m/>
    <m/>
    <s v=" "/>
    <m/>
    <s v=" "/>
    <m/>
    <m/>
  </r>
  <r>
    <x v="381"/>
    <d v="2023-11-26T00:00:00"/>
    <x v="25"/>
    <x v="10"/>
    <x v="0"/>
    <x v="0"/>
    <x v="0"/>
    <x v="0"/>
    <s v=""/>
    <s v=""/>
    <s v=""/>
    <s v=""/>
    <s v=""/>
    <s v=""/>
    <s v=""/>
    <s v=""/>
    <s v=""/>
    <s v=""/>
    <m/>
    <m/>
    <m/>
    <m/>
    <m/>
    <m/>
    <m/>
    <m/>
    <m/>
    <m/>
    <m/>
    <m/>
    <m/>
    <m/>
    <m/>
    <s v=" "/>
    <m/>
    <s v=" "/>
    <m/>
    <m/>
  </r>
  <r>
    <x v="382"/>
    <d v="2023-11-27T00:00:00"/>
    <x v="26"/>
    <x v="10"/>
    <x v="0"/>
    <x v="16"/>
    <x v="3"/>
    <x v="3"/>
    <s v="Cash"/>
    <s v=""/>
    <n v="2.1"/>
    <s v=""/>
    <s v=""/>
    <s v=""/>
    <s v=""/>
    <s v=""/>
    <n v="10490.869999999999"/>
    <s v=""/>
    <m/>
    <m/>
    <m/>
    <m/>
    <m/>
    <m/>
    <m/>
    <m/>
    <m/>
    <m/>
    <m/>
    <m/>
    <m/>
    <m/>
    <m/>
    <s v=" "/>
    <m/>
    <s v=" "/>
    <m/>
    <m/>
  </r>
  <r>
    <x v="383"/>
    <d v="2023-11-27T00:00:00"/>
    <x v="26"/>
    <x v="10"/>
    <x v="0"/>
    <x v="39"/>
    <x v="19"/>
    <x v="9"/>
    <s v="Cash"/>
    <n v="113.95"/>
    <s v=""/>
    <s v=""/>
    <s v=""/>
    <s v=""/>
    <s v=""/>
    <s v=""/>
    <n v="10376.919999999998"/>
    <s v=""/>
    <m/>
    <m/>
    <m/>
    <m/>
    <m/>
    <m/>
    <m/>
    <m/>
    <m/>
    <m/>
    <m/>
    <m/>
    <m/>
    <m/>
    <m/>
    <s v=" "/>
    <m/>
    <s v=" "/>
    <m/>
    <m/>
  </r>
  <r>
    <x v="384"/>
    <d v="2023-11-28T00:00:00"/>
    <x v="27"/>
    <x v="10"/>
    <x v="0"/>
    <x v="0"/>
    <x v="0"/>
    <x v="0"/>
    <s v=""/>
    <s v=""/>
    <s v=""/>
    <s v=""/>
    <s v=""/>
    <s v=""/>
    <s v=""/>
    <s v=""/>
    <s v=""/>
    <s v=""/>
    <m/>
    <m/>
    <m/>
    <m/>
    <m/>
    <m/>
    <m/>
    <m/>
    <m/>
    <m/>
    <m/>
    <m/>
    <m/>
    <m/>
    <m/>
    <s v=" "/>
    <m/>
    <s v=" "/>
    <m/>
    <m/>
  </r>
  <r>
    <x v="385"/>
    <d v="2023-11-29T00:00:00"/>
    <x v="28"/>
    <x v="10"/>
    <x v="0"/>
    <x v="5"/>
    <x v="3"/>
    <x v="3"/>
    <s v="Cash"/>
    <s v=""/>
    <n v="7.05"/>
    <s v=""/>
    <s v=""/>
    <s v=""/>
    <s v=""/>
    <s v=""/>
    <n v="10369.869999999999"/>
    <s v=""/>
    <m/>
    <m/>
    <m/>
    <m/>
    <m/>
    <m/>
    <m/>
    <m/>
    <m/>
    <m/>
    <m/>
    <m/>
    <m/>
    <m/>
    <m/>
    <s v=" "/>
    <m/>
    <s v=" "/>
    <m/>
    <m/>
  </r>
  <r>
    <x v="386"/>
    <d v="2023-11-29T00:00:00"/>
    <x v="28"/>
    <x v="10"/>
    <x v="0"/>
    <x v="40"/>
    <x v="9"/>
    <x v="2"/>
    <s v="Cash"/>
    <n v="129.94999999999999"/>
    <s v=""/>
    <s v=""/>
    <s v=""/>
    <s v=""/>
    <s v=""/>
    <s v=""/>
    <n v="10239.919999999998"/>
    <s v=""/>
    <m/>
    <m/>
    <m/>
    <m/>
    <m/>
    <m/>
    <m/>
    <m/>
    <m/>
    <m/>
    <m/>
    <m/>
    <m/>
    <m/>
    <m/>
    <s v=" "/>
    <m/>
    <s v=" "/>
    <m/>
    <m/>
  </r>
  <r>
    <x v="387"/>
    <d v="2023-11-29T00:00:00"/>
    <x v="28"/>
    <x v="10"/>
    <x v="0"/>
    <x v="41"/>
    <x v="19"/>
    <x v="9"/>
    <s v="Cash"/>
    <n v="13"/>
    <s v=""/>
    <s v=""/>
    <s v=""/>
    <s v=""/>
    <s v=""/>
    <s v=""/>
    <n v="10226.919999999998"/>
    <s v=""/>
    <m/>
    <m/>
    <m/>
    <m/>
    <m/>
    <m/>
    <m/>
    <m/>
    <m/>
    <m/>
    <m/>
    <m/>
    <m/>
    <m/>
    <m/>
    <s v=" "/>
    <m/>
    <s v=" "/>
    <m/>
    <m/>
  </r>
  <r>
    <x v="388"/>
    <d v="2023-11-30T00:00:00"/>
    <x v="29"/>
    <x v="10"/>
    <x v="0"/>
    <x v="0"/>
    <x v="0"/>
    <x v="0"/>
    <s v=""/>
    <s v=""/>
    <s v=""/>
    <s v=""/>
    <s v=""/>
    <s v=""/>
    <s v=""/>
    <s v=""/>
    <s v=""/>
    <s v=""/>
    <m/>
    <m/>
    <m/>
    <m/>
    <m/>
    <m/>
    <m/>
    <m/>
    <m/>
    <m/>
    <m/>
    <m/>
    <m/>
    <m/>
    <m/>
    <s v=" "/>
    <m/>
    <s v=" "/>
    <m/>
    <m/>
  </r>
  <r>
    <x v="389"/>
    <d v="2023-12-01T00:00:00"/>
    <x v="0"/>
    <x v="11"/>
    <x v="0"/>
    <x v="1"/>
    <x v="1"/>
    <x v="1"/>
    <s v="Carta"/>
    <s v=""/>
    <n v="2"/>
    <s v=""/>
    <s v=""/>
    <s v=""/>
    <s v=""/>
    <s v=""/>
    <n v="10224.919999999998"/>
    <s v=""/>
    <m/>
    <m/>
    <m/>
    <m/>
    <m/>
    <m/>
    <m/>
    <m/>
    <m/>
    <m/>
    <m/>
    <m/>
    <m/>
    <m/>
    <m/>
    <s v=" "/>
    <m/>
    <s v=" "/>
    <m/>
    <m/>
  </r>
  <r>
    <x v="390"/>
    <d v="2023-12-01T00:00:00"/>
    <x v="0"/>
    <x v="11"/>
    <x v="0"/>
    <x v="2"/>
    <x v="1"/>
    <x v="1"/>
    <s v="Carta"/>
    <s v=""/>
    <n v="4.9800000000000004"/>
    <s v=""/>
    <s v=""/>
    <s v=""/>
    <s v=""/>
    <s v=""/>
    <n v="10219.939999999999"/>
    <s v=""/>
    <m/>
    <m/>
    <m/>
    <m/>
    <m/>
    <m/>
    <m/>
    <m/>
    <m/>
    <m/>
    <m/>
    <m/>
    <m/>
    <m/>
    <m/>
    <s v=" "/>
    <m/>
    <s v=" "/>
    <m/>
    <m/>
  </r>
  <r>
    <x v="391"/>
    <d v="2023-12-02T00:00:00"/>
    <x v="1"/>
    <x v="11"/>
    <x v="0"/>
    <x v="0"/>
    <x v="0"/>
    <x v="0"/>
    <s v=""/>
    <s v=""/>
    <s v=""/>
    <s v=""/>
    <s v=""/>
    <s v=""/>
    <s v=""/>
    <s v=""/>
    <s v=""/>
    <s v=""/>
    <m/>
    <m/>
    <m/>
    <m/>
    <m/>
    <m/>
    <m/>
    <m/>
    <m/>
    <m/>
    <m/>
    <m/>
    <m/>
    <m/>
    <m/>
    <s v=" "/>
    <m/>
    <s v=" "/>
    <m/>
    <m/>
  </r>
  <r>
    <x v="392"/>
    <d v="2023-12-03T00:00:00"/>
    <x v="2"/>
    <x v="11"/>
    <x v="0"/>
    <x v="0"/>
    <x v="0"/>
    <x v="0"/>
    <s v=""/>
    <s v=""/>
    <s v=""/>
    <s v=""/>
    <s v=""/>
    <s v=""/>
    <s v=""/>
    <s v=""/>
    <s v=""/>
    <s v=""/>
    <m/>
    <m/>
    <m/>
    <m/>
    <m/>
    <m/>
    <m/>
    <m/>
    <m/>
    <m/>
    <m/>
    <m/>
    <m/>
    <m/>
    <m/>
    <s v=" "/>
    <m/>
    <s v=" "/>
    <m/>
    <m/>
  </r>
  <r>
    <x v="393"/>
    <d v="2023-12-04T00:00:00"/>
    <x v="3"/>
    <x v="11"/>
    <x v="0"/>
    <x v="0"/>
    <x v="0"/>
    <x v="0"/>
    <s v=""/>
    <s v=""/>
    <s v=""/>
    <s v=""/>
    <s v=""/>
    <s v=""/>
    <s v=""/>
    <s v=""/>
    <s v=""/>
    <s v=""/>
    <m/>
    <m/>
    <m/>
    <m/>
    <m/>
    <m/>
    <m/>
    <m/>
    <m/>
    <m/>
    <m/>
    <m/>
    <m/>
    <m/>
    <m/>
    <s v=" "/>
    <m/>
    <s v=" "/>
    <m/>
    <m/>
  </r>
  <r>
    <x v="394"/>
    <d v="2023-12-05T00:00:00"/>
    <x v="4"/>
    <x v="11"/>
    <x v="0"/>
    <x v="5"/>
    <x v="3"/>
    <x v="3"/>
    <s v="Cash"/>
    <s v=""/>
    <n v="28.18"/>
    <s v=""/>
    <s v=""/>
    <s v=""/>
    <s v=""/>
    <s v=""/>
    <n v="10191.759999999998"/>
    <s v=""/>
    <m/>
    <m/>
    <m/>
    <m/>
    <m/>
    <m/>
    <m/>
    <m/>
    <m/>
    <m/>
    <m/>
    <m/>
    <m/>
    <m/>
    <m/>
    <s v=" "/>
    <m/>
    <s v=" "/>
    <m/>
    <m/>
  </r>
  <r>
    <x v="395"/>
    <d v="2023-12-05T00:00:00"/>
    <x v="4"/>
    <x v="11"/>
    <x v="0"/>
    <x v="27"/>
    <x v="9"/>
    <x v="2"/>
    <s v="Cash"/>
    <n v="61.55"/>
    <s v=""/>
    <s v=""/>
    <s v=""/>
    <s v=""/>
    <s v=""/>
    <s v=""/>
    <n v="10130.209999999999"/>
    <s v=""/>
    <m/>
    <m/>
    <m/>
    <m/>
    <m/>
    <m/>
    <m/>
    <m/>
    <m/>
    <m/>
    <m/>
    <m/>
    <m/>
    <m/>
    <m/>
    <s v=" "/>
    <m/>
    <s v=" "/>
    <m/>
    <m/>
  </r>
  <r>
    <x v="396"/>
    <d v="2023-12-06T00:00:00"/>
    <x v="5"/>
    <x v="11"/>
    <x v="0"/>
    <x v="0"/>
    <x v="0"/>
    <x v="0"/>
    <s v=""/>
    <s v=""/>
    <s v=""/>
    <s v=""/>
    <s v=""/>
    <s v=""/>
    <s v=""/>
    <s v=""/>
    <s v=""/>
    <s v=""/>
    <m/>
    <m/>
    <m/>
    <m/>
    <m/>
    <m/>
    <m/>
    <m/>
    <m/>
    <m/>
    <m/>
    <m/>
    <m/>
    <m/>
    <m/>
    <s v=" "/>
    <m/>
    <s v=" "/>
    <m/>
    <m/>
  </r>
  <r>
    <x v="397"/>
    <d v="2023-12-07T00:00:00"/>
    <x v="6"/>
    <x v="11"/>
    <x v="0"/>
    <x v="5"/>
    <x v="3"/>
    <x v="3"/>
    <s v="Cash"/>
    <s v=""/>
    <n v="23.6"/>
    <s v=""/>
    <s v=""/>
    <s v=""/>
    <s v=""/>
    <s v=""/>
    <n v="10106.609999999999"/>
    <s v=""/>
    <m/>
    <m/>
    <m/>
    <m/>
    <m/>
    <m/>
    <m/>
    <m/>
    <m/>
    <m/>
    <m/>
    <m/>
    <m/>
    <m/>
    <m/>
    <s v=" "/>
    <m/>
    <s v=" "/>
    <m/>
    <m/>
  </r>
  <r>
    <x v="398"/>
    <d v="2023-12-07T00:00:00"/>
    <x v="6"/>
    <x v="11"/>
    <x v="0"/>
    <x v="27"/>
    <x v="9"/>
    <x v="2"/>
    <s v="Cash"/>
    <n v="44.38"/>
    <s v=""/>
    <s v=""/>
    <s v=""/>
    <s v=""/>
    <s v=""/>
    <s v=""/>
    <n v="10062.23"/>
    <s v=""/>
    <m/>
    <m/>
    <m/>
    <m/>
    <m/>
    <m/>
    <m/>
    <m/>
    <m/>
    <m/>
    <m/>
    <m/>
    <m/>
    <m/>
    <m/>
    <s v=" "/>
    <m/>
    <s v=" "/>
    <m/>
    <m/>
  </r>
  <r>
    <x v="399"/>
    <d v="2023-12-08T00:00:00"/>
    <x v="7"/>
    <x v="11"/>
    <x v="0"/>
    <x v="25"/>
    <x v="3"/>
    <x v="3"/>
    <s v="Cash"/>
    <s v=""/>
    <n v="3.55"/>
    <s v=""/>
    <s v=""/>
    <s v=""/>
    <s v=""/>
    <s v=""/>
    <n v="10058.68"/>
    <s v=""/>
    <m/>
    <m/>
    <m/>
    <m/>
    <m/>
    <m/>
    <m/>
    <m/>
    <m/>
    <m/>
    <m/>
    <m/>
    <m/>
    <m/>
    <m/>
    <s v=" "/>
    <m/>
    <s v=" "/>
    <m/>
    <m/>
  </r>
  <r>
    <x v="400"/>
    <d v="2023-12-08T00:00:00"/>
    <x v="7"/>
    <x v="11"/>
    <x v="0"/>
    <x v="5"/>
    <x v="6"/>
    <x v="3"/>
    <s v="Cash"/>
    <s v=""/>
    <n v="6.45"/>
    <s v=""/>
    <s v=""/>
    <s v=""/>
    <s v=""/>
    <s v=""/>
    <n v="10052.23"/>
    <s v=""/>
    <m/>
    <m/>
    <m/>
    <m/>
    <m/>
    <m/>
    <m/>
    <m/>
    <m/>
    <m/>
    <m/>
    <m/>
    <m/>
    <m/>
    <m/>
    <s v=" "/>
    <m/>
    <s v=" "/>
    <m/>
    <m/>
  </r>
  <r>
    <x v="401"/>
    <d v="2023-12-08T00:00:00"/>
    <x v="7"/>
    <x v="11"/>
    <x v="0"/>
    <x v="42"/>
    <x v="9"/>
    <x v="2"/>
    <s v="Cash"/>
    <n v="3.25"/>
    <s v=""/>
    <s v=""/>
    <s v=""/>
    <s v=""/>
    <s v=""/>
    <s v=""/>
    <n v="10048.98"/>
    <s v=""/>
    <m/>
    <m/>
    <m/>
    <m/>
    <m/>
    <m/>
    <m/>
    <m/>
    <m/>
    <m/>
    <m/>
    <m/>
    <m/>
    <m/>
    <m/>
    <s v=" "/>
    <m/>
    <s v=" "/>
    <m/>
    <m/>
  </r>
  <r>
    <x v="402"/>
    <d v="2023-12-09T00:00:00"/>
    <x v="8"/>
    <x v="11"/>
    <x v="0"/>
    <x v="0"/>
    <x v="0"/>
    <x v="0"/>
    <s v=""/>
    <s v=""/>
    <s v=""/>
    <s v=""/>
    <s v=""/>
    <s v=""/>
    <s v=""/>
    <s v=""/>
    <s v=""/>
    <s v=""/>
    <m/>
    <m/>
    <m/>
    <m/>
    <m/>
    <m/>
    <m/>
    <m/>
    <m/>
    <m/>
    <m/>
    <m/>
    <m/>
    <m/>
    <m/>
    <s v=" "/>
    <m/>
    <s v=" "/>
    <m/>
    <m/>
  </r>
  <r>
    <x v="403"/>
    <d v="2023-12-10T00:00:00"/>
    <x v="9"/>
    <x v="11"/>
    <x v="0"/>
    <x v="0"/>
    <x v="0"/>
    <x v="0"/>
    <s v=""/>
    <s v=""/>
    <s v=""/>
    <s v=""/>
    <s v=""/>
    <s v=""/>
    <s v=""/>
    <s v=""/>
    <s v=""/>
    <s v=""/>
    <m/>
    <m/>
    <m/>
    <m/>
    <m/>
    <m/>
    <m/>
    <m/>
    <m/>
    <m/>
    <m/>
    <m/>
    <m/>
    <m/>
    <m/>
    <s v=" "/>
    <m/>
    <s v=" "/>
    <m/>
    <m/>
  </r>
  <r>
    <x v="404"/>
    <d v="2023-12-11T00:00:00"/>
    <x v="10"/>
    <x v="11"/>
    <x v="0"/>
    <x v="5"/>
    <x v="3"/>
    <x v="3"/>
    <s v="Cash"/>
    <s v=""/>
    <n v="7.4"/>
    <s v=""/>
    <s v=""/>
    <s v=""/>
    <s v=""/>
    <s v=""/>
    <n v="10041.58"/>
    <s v=""/>
    <m/>
    <m/>
    <m/>
    <m/>
    <m/>
    <m/>
    <m/>
    <m/>
    <m/>
    <m/>
    <m/>
    <m/>
    <m/>
    <m/>
    <m/>
    <s v=" "/>
    <m/>
    <s v=" "/>
    <m/>
    <m/>
  </r>
  <r>
    <x v="405"/>
    <d v="2023-12-12T00:00:00"/>
    <x v="11"/>
    <x v="11"/>
    <x v="0"/>
    <x v="0"/>
    <x v="0"/>
    <x v="0"/>
    <s v=""/>
    <s v=""/>
    <s v=""/>
    <s v=""/>
    <s v=""/>
    <s v=""/>
    <s v=""/>
    <s v=""/>
    <s v=""/>
    <s v=""/>
    <m/>
    <m/>
    <m/>
    <m/>
    <m/>
    <m/>
    <m/>
    <m/>
    <m/>
    <m/>
    <m/>
    <m/>
    <m/>
    <m/>
    <m/>
    <s v=" "/>
    <m/>
    <s v=" "/>
    <m/>
    <m/>
  </r>
  <r>
    <x v="406"/>
    <d v="2023-12-13T00:00:00"/>
    <x v="12"/>
    <x v="11"/>
    <x v="0"/>
    <x v="0"/>
    <x v="0"/>
    <x v="0"/>
    <s v=""/>
    <s v=""/>
    <s v=""/>
    <s v=""/>
    <s v=""/>
    <s v=""/>
    <s v=""/>
    <s v=""/>
    <s v=""/>
    <s v=""/>
    <m/>
    <m/>
    <m/>
    <m/>
    <m/>
    <m/>
    <m/>
    <m/>
    <m/>
    <m/>
    <m/>
    <m/>
    <m/>
    <m/>
    <m/>
    <s v=" "/>
    <m/>
    <s v=" "/>
    <m/>
    <m/>
  </r>
  <r>
    <x v="407"/>
    <d v="2023-12-14T00:00:00"/>
    <x v="13"/>
    <x v="11"/>
    <x v="0"/>
    <x v="5"/>
    <x v="3"/>
    <x v="3"/>
    <s v="Cash"/>
    <s v=""/>
    <n v="77.33"/>
    <s v=""/>
    <s v=""/>
    <s v=""/>
    <s v=""/>
    <s v=""/>
    <n v="9964.25"/>
    <s v=""/>
    <m/>
    <m/>
    <m/>
    <m/>
    <m/>
    <m/>
    <m/>
    <m/>
    <m/>
    <m/>
    <m/>
    <m/>
    <m/>
    <m/>
    <m/>
    <s v=" "/>
    <m/>
    <s v=" "/>
    <m/>
    <m/>
  </r>
  <r>
    <x v="408"/>
    <d v="2023-12-14T00:00:00"/>
    <x v="13"/>
    <x v="11"/>
    <x v="0"/>
    <x v="43"/>
    <x v="3"/>
    <x v="3"/>
    <s v="Cash"/>
    <s v=""/>
    <n v="20.5"/>
    <s v=""/>
    <s v=""/>
    <s v=""/>
    <s v=""/>
    <s v=""/>
    <n v="9943.75"/>
    <s v=""/>
    <m/>
    <m/>
    <m/>
    <m/>
    <m/>
    <m/>
    <m/>
    <m/>
    <m/>
    <m/>
    <m/>
    <m/>
    <m/>
    <m/>
    <m/>
    <s v=" "/>
    <m/>
    <s v=" "/>
    <m/>
    <m/>
  </r>
  <r>
    <x v="409"/>
    <d v="2023-12-14T00:00:00"/>
    <x v="13"/>
    <x v="11"/>
    <x v="0"/>
    <x v="27"/>
    <x v="9"/>
    <x v="2"/>
    <s v="Cash"/>
    <n v="6.55"/>
    <s v=""/>
    <s v=""/>
    <s v=""/>
    <s v=""/>
    <s v=""/>
    <s v=""/>
    <n v="9937.2000000000007"/>
    <s v=""/>
    <m/>
    <m/>
    <m/>
    <m/>
    <m/>
    <m/>
    <m/>
    <m/>
    <m/>
    <m/>
    <m/>
    <m/>
    <m/>
    <m/>
    <m/>
    <s v=" "/>
    <m/>
    <s v=" "/>
    <m/>
    <m/>
  </r>
  <r>
    <x v="410"/>
    <d v="2023-12-14T00:00:00"/>
    <x v="13"/>
    <x v="11"/>
    <x v="0"/>
    <x v="5"/>
    <x v="6"/>
    <x v="3"/>
    <s v="Cash"/>
    <s v=""/>
    <n v="0.8"/>
    <s v=""/>
    <s v=""/>
    <s v=""/>
    <s v=""/>
    <s v=""/>
    <n v="9936.4000000000015"/>
    <s v=""/>
    <m/>
    <m/>
    <m/>
    <m/>
    <m/>
    <m/>
    <m/>
    <m/>
    <m/>
    <m/>
    <m/>
    <m/>
    <m/>
    <m/>
    <m/>
    <s v=" "/>
    <m/>
    <s v=" "/>
    <m/>
    <m/>
  </r>
  <r>
    <x v="411"/>
    <d v="2023-12-14T00:00:00"/>
    <x v="13"/>
    <x v="11"/>
    <x v="0"/>
    <x v="44"/>
    <x v="8"/>
    <x v="4"/>
    <s v="Cash"/>
    <n v="5.9"/>
    <s v=""/>
    <s v=""/>
    <s v=""/>
    <s v=""/>
    <s v=""/>
    <s v=""/>
    <n v="9930.5000000000018"/>
    <s v=""/>
    <m/>
    <m/>
    <m/>
    <m/>
    <m/>
    <m/>
    <m/>
    <m/>
    <m/>
    <m/>
    <m/>
    <m/>
    <m/>
    <m/>
    <m/>
    <s v=" "/>
    <m/>
    <s v=" "/>
    <m/>
    <m/>
  </r>
  <r>
    <x v="412"/>
    <d v="2023-12-15T00:00:00"/>
    <x v="14"/>
    <x v="11"/>
    <x v="0"/>
    <x v="0"/>
    <x v="0"/>
    <x v="0"/>
    <s v=""/>
    <s v=""/>
    <s v=""/>
    <s v=""/>
    <s v=""/>
    <s v=""/>
    <s v=""/>
    <s v=""/>
    <s v=""/>
    <s v=""/>
    <m/>
    <m/>
    <m/>
    <m/>
    <m/>
    <m/>
    <m/>
    <m/>
    <m/>
    <m/>
    <m/>
    <m/>
    <m/>
    <m/>
    <m/>
    <s v=" "/>
    <m/>
    <s v=" "/>
    <m/>
    <m/>
  </r>
  <r>
    <x v="413"/>
    <d v="2023-12-16T00:00:00"/>
    <x v="15"/>
    <x v="11"/>
    <x v="0"/>
    <x v="27"/>
    <x v="9"/>
    <x v="2"/>
    <s v="Cash"/>
    <n v="9.83"/>
    <s v=""/>
    <s v=""/>
    <s v=""/>
    <s v=""/>
    <s v=""/>
    <s v=""/>
    <n v="9920.6700000000019"/>
    <s v=""/>
    <m/>
    <m/>
    <m/>
    <m/>
    <m/>
    <m/>
    <m/>
    <m/>
    <m/>
    <m/>
    <m/>
    <m/>
    <m/>
    <m/>
    <m/>
    <s v=" "/>
    <m/>
    <s v=" "/>
    <m/>
    <m/>
  </r>
  <r>
    <x v="414"/>
    <d v="2023-12-16T00:00:00"/>
    <x v="15"/>
    <x v="11"/>
    <x v="0"/>
    <x v="5"/>
    <x v="3"/>
    <x v="3"/>
    <s v="Cash"/>
    <s v=""/>
    <n v="33.299999999999997"/>
    <s v=""/>
    <s v=""/>
    <s v=""/>
    <s v=""/>
    <s v=""/>
    <n v="9887.3700000000026"/>
    <s v=""/>
    <m/>
    <m/>
    <m/>
    <m/>
    <m/>
    <m/>
    <m/>
    <m/>
    <m/>
    <m/>
    <m/>
    <m/>
    <m/>
    <m/>
    <m/>
    <s v=" "/>
    <m/>
    <s v=" "/>
    <m/>
    <m/>
  </r>
  <r>
    <x v="415"/>
    <d v="2023-12-16T00:00:00"/>
    <x v="15"/>
    <x v="11"/>
    <x v="0"/>
    <x v="22"/>
    <x v="14"/>
    <x v="0"/>
    <s v="Carta"/>
    <s v=""/>
    <s v=""/>
    <s v=""/>
    <s v=""/>
    <s v=""/>
    <s v=""/>
    <n v="500"/>
    <s v=""/>
    <s v=""/>
    <m/>
    <m/>
    <m/>
    <m/>
    <m/>
    <m/>
    <m/>
    <m/>
    <m/>
    <m/>
    <m/>
    <m/>
    <m/>
    <m/>
    <m/>
    <s v=" "/>
    <m/>
    <s v=" "/>
    <m/>
    <m/>
  </r>
  <r>
    <x v="416"/>
    <d v="2023-12-17T00:00:00"/>
    <x v="16"/>
    <x v="11"/>
    <x v="0"/>
    <x v="0"/>
    <x v="0"/>
    <x v="0"/>
    <s v=""/>
    <s v=""/>
    <s v=""/>
    <s v=""/>
    <s v=""/>
    <s v=""/>
    <s v=""/>
    <s v=""/>
    <s v=""/>
    <s v=""/>
    <m/>
    <m/>
    <m/>
    <m/>
    <m/>
    <m/>
    <m/>
    <m/>
    <m/>
    <m/>
    <m/>
    <m/>
    <m/>
    <m/>
    <m/>
    <s v=" "/>
    <m/>
    <s v=" "/>
    <m/>
    <m/>
  </r>
  <r>
    <x v="417"/>
    <d v="2023-12-18T00:00:00"/>
    <x v="17"/>
    <x v="11"/>
    <x v="0"/>
    <x v="5"/>
    <x v="3"/>
    <x v="3"/>
    <s v="Cash"/>
    <s v=""/>
    <n v="17.45"/>
    <s v=""/>
    <s v=""/>
    <s v=""/>
    <s v=""/>
    <s v=""/>
    <n v="9869.9200000000019"/>
    <s v=""/>
    <m/>
    <m/>
    <m/>
    <m/>
    <m/>
    <m/>
    <m/>
    <m/>
    <m/>
    <m/>
    <m/>
    <m/>
    <m/>
    <m/>
    <m/>
    <s v=" "/>
    <m/>
    <s v=" "/>
    <m/>
    <m/>
  </r>
  <r>
    <x v="418"/>
    <d v="2023-12-18T00:00:00"/>
    <x v="17"/>
    <x v="11"/>
    <x v="0"/>
    <x v="27"/>
    <x v="9"/>
    <x v="2"/>
    <s v="Cash"/>
    <n v="16.05"/>
    <s v=""/>
    <s v=""/>
    <s v=""/>
    <s v=""/>
    <s v=""/>
    <s v=""/>
    <n v="9853.8700000000026"/>
    <s v=""/>
    <m/>
    <m/>
    <m/>
    <m/>
    <m/>
    <m/>
    <m/>
    <m/>
    <m/>
    <m/>
    <m/>
    <m/>
    <m/>
    <m/>
    <m/>
    <s v=" "/>
    <m/>
    <s v=" "/>
    <m/>
    <m/>
  </r>
  <r>
    <x v="419"/>
    <d v="2023-12-18T00:00:00"/>
    <x v="17"/>
    <x v="11"/>
    <x v="0"/>
    <x v="45"/>
    <x v="10"/>
    <x v="2"/>
    <s v="Cash"/>
    <n v="2"/>
    <s v=""/>
    <s v=""/>
    <s v=""/>
    <s v=""/>
    <s v=""/>
    <s v=""/>
    <n v="9851.8700000000026"/>
    <s v=""/>
    <m/>
    <m/>
    <m/>
    <m/>
    <m/>
    <m/>
    <m/>
    <m/>
    <m/>
    <m/>
    <m/>
    <m/>
    <m/>
    <m/>
    <m/>
    <s v=" "/>
    <m/>
    <s v=" "/>
    <m/>
    <m/>
  </r>
  <r>
    <x v="420"/>
    <d v="2023-12-19T00:00:00"/>
    <x v="18"/>
    <x v="11"/>
    <x v="0"/>
    <x v="0"/>
    <x v="0"/>
    <x v="0"/>
    <s v=""/>
    <s v=""/>
    <s v=""/>
    <s v=""/>
    <s v=""/>
    <s v=""/>
    <s v=""/>
    <s v=""/>
    <s v=""/>
    <s v=""/>
    <m/>
    <m/>
    <m/>
    <m/>
    <m/>
    <m/>
    <m/>
    <m/>
    <m/>
    <m/>
    <m/>
    <m/>
    <m/>
    <m/>
    <m/>
    <s v=" "/>
    <m/>
    <s v=" "/>
    <m/>
    <m/>
  </r>
  <r>
    <x v="421"/>
    <d v="2023-12-20T00:00:00"/>
    <x v="19"/>
    <x v="11"/>
    <x v="0"/>
    <x v="0"/>
    <x v="0"/>
    <x v="0"/>
    <s v=""/>
    <s v=""/>
    <s v=""/>
    <s v=""/>
    <s v=""/>
    <s v=""/>
    <s v=""/>
    <s v=""/>
    <s v=""/>
    <s v=""/>
    <m/>
    <m/>
    <m/>
    <m/>
    <m/>
    <m/>
    <m/>
    <m/>
    <m/>
    <m/>
    <m/>
    <m/>
    <m/>
    <m/>
    <m/>
    <s v=" "/>
    <m/>
    <s v=" "/>
    <m/>
    <m/>
  </r>
  <r>
    <x v="422"/>
    <d v="2023-12-21T00:00:00"/>
    <x v="20"/>
    <x v="11"/>
    <x v="0"/>
    <x v="5"/>
    <x v="3"/>
    <x v="3"/>
    <s v="Cash"/>
    <s v=""/>
    <n v="44"/>
    <s v=""/>
    <s v=""/>
    <s v=""/>
    <s v=""/>
    <s v=""/>
    <n v="9807.8700000000026"/>
    <s v=""/>
    <m/>
    <m/>
    <m/>
    <m/>
    <m/>
    <m/>
    <m/>
    <m/>
    <m/>
    <m/>
    <m/>
    <m/>
    <m/>
    <m/>
    <m/>
    <s v=" "/>
    <m/>
    <s v=" "/>
    <m/>
    <m/>
  </r>
  <r>
    <x v="423"/>
    <d v="2023-12-21T00:00:00"/>
    <x v="20"/>
    <x v="11"/>
    <x v="0"/>
    <x v="5"/>
    <x v="6"/>
    <x v="3"/>
    <s v="Cash"/>
    <s v=""/>
    <n v="6.64"/>
    <s v=""/>
    <s v=""/>
    <s v=""/>
    <s v=""/>
    <s v=""/>
    <n v="9801.2300000000032"/>
    <s v=""/>
    <m/>
    <m/>
    <m/>
    <m/>
    <m/>
    <m/>
    <m/>
    <m/>
    <m/>
    <m/>
    <m/>
    <m/>
    <m/>
    <m/>
    <m/>
    <s v=" "/>
    <m/>
    <s v=" "/>
    <m/>
    <m/>
  </r>
  <r>
    <x v="424"/>
    <d v="2023-12-22T00:00:00"/>
    <x v="21"/>
    <x v="11"/>
    <x v="0"/>
    <x v="5"/>
    <x v="3"/>
    <x v="3"/>
    <s v="Cash"/>
    <s v=""/>
    <n v="55.25"/>
    <s v=""/>
    <s v=""/>
    <s v=""/>
    <s v=""/>
    <s v=""/>
    <n v="9745.9800000000032"/>
    <s v=""/>
    <m/>
    <m/>
    <m/>
    <m/>
    <m/>
    <m/>
    <m/>
    <m/>
    <m/>
    <m/>
    <m/>
    <m/>
    <m/>
    <m/>
    <m/>
    <s v=" "/>
    <m/>
    <s v=" "/>
    <m/>
    <m/>
  </r>
  <r>
    <x v="425"/>
    <d v="2023-12-22T00:00:00"/>
    <x v="21"/>
    <x v="11"/>
    <x v="0"/>
    <x v="5"/>
    <x v="6"/>
    <x v="3"/>
    <s v="Cash"/>
    <s v=""/>
    <n v="2.54"/>
    <s v=""/>
    <s v=""/>
    <s v=""/>
    <s v=""/>
    <s v=""/>
    <n v="9743.4400000000023"/>
    <s v=""/>
    <m/>
    <m/>
    <m/>
    <m/>
    <m/>
    <m/>
    <m/>
    <m/>
    <m/>
    <m/>
    <m/>
    <m/>
    <m/>
    <m/>
    <m/>
    <s v=" "/>
    <m/>
    <s v=" "/>
    <m/>
    <m/>
  </r>
  <r>
    <x v="426"/>
    <d v="2023-12-22T00:00:00"/>
    <x v="21"/>
    <x v="11"/>
    <x v="0"/>
    <x v="46"/>
    <x v="10"/>
    <x v="2"/>
    <s v="Cash"/>
    <n v="7"/>
    <s v=""/>
    <s v=""/>
    <s v=""/>
    <s v=""/>
    <s v=""/>
    <s v=""/>
    <n v="9736.4400000000023"/>
    <s v=""/>
    <m/>
    <m/>
    <m/>
    <m/>
    <m/>
    <m/>
    <m/>
    <m/>
    <m/>
    <m/>
    <m/>
    <m/>
    <m/>
    <m/>
    <m/>
    <s v=" "/>
    <m/>
    <s v=" "/>
    <m/>
    <m/>
  </r>
  <r>
    <x v="427"/>
    <d v="2023-12-22T00:00:00"/>
    <x v="21"/>
    <x v="11"/>
    <x v="0"/>
    <x v="47"/>
    <x v="10"/>
    <x v="2"/>
    <s v="Cash"/>
    <n v="5"/>
    <s v=""/>
    <s v=""/>
    <s v=""/>
    <s v=""/>
    <s v=""/>
    <s v=""/>
    <n v="9731.4400000000023"/>
    <s v=""/>
    <m/>
    <m/>
    <m/>
    <m/>
    <m/>
    <m/>
    <m/>
    <m/>
    <m/>
    <m/>
    <m/>
    <m/>
    <m/>
    <m/>
    <m/>
    <s v=" "/>
    <m/>
    <s v=" "/>
    <m/>
    <m/>
  </r>
  <r>
    <x v="428"/>
    <d v="2023-12-23T00:00:00"/>
    <x v="22"/>
    <x v="11"/>
    <x v="0"/>
    <x v="0"/>
    <x v="0"/>
    <x v="0"/>
    <s v=""/>
    <s v=""/>
    <s v=""/>
    <s v=""/>
    <s v=""/>
    <s v=""/>
    <s v=""/>
    <s v=""/>
    <s v=""/>
    <s v=""/>
    <m/>
    <m/>
    <m/>
    <m/>
    <m/>
    <m/>
    <m/>
    <m/>
    <m/>
    <m/>
    <m/>
    <m/>
    <m/>
    <m/>
    <m/>
    <s v=" "/>
    <m/>
    <s v=" "/>
    <m/>
    <m/>
  </r>
  <r>
    <x v="429"/>
    <d v="2023-12-24T00:00:00"/>
    <x v="23"/>
    <x v="11"/>
    <x v="0"/>
    <x v="0"/>
    <x v="0"/>
    <x v="0"/>
    <s v=""/>
    <s v=""/>
    <s v=""/>
    <s v=""/>
    <s v=""/>
    <s v=""/>
    <s v=""/>
    <s v=""/>
    <s v=""/>
    <s v=""/>
    <m/>
    <m/>
    <m/>
    <m/>
    <m/>
    <m/>
    <m/>
    <m/>
    <m/>
    <m/>
    <m/>
    <m/>
    <m/>
    <m/>
    <m/>
    <s v=" "/>
    <m/>
    <s v=" "/>
    <m/>
    <m/>
  </r>
  <r>
    <x v="430"/>
    <d v="2023-12-25T00:00:00"/>
    <x v="24"/>
    <x v="11"/>
    <x v="0"/>
    <x v="0"/>
    <x v="0"/>
    <x v="0"/>
    <s v=""/>
    <s v=""/>
    <s v=""/>
    <s v=""/>
    <s v=""/>
    <s v=""/>
    <s v=""/>
    <s v=""/>
    <s v=""/>
    <s v=""/>
    <m/>
    <m/>
    <m/>
    <m/>
    <m/>
    <m/>
    <m/>
    <m/>
    <m/>
    <m/>
    <m/>
    <m/>
    <m/>
    <m/>
    <m/>
    <s v=" "/>
    <m/>
    <s v=" "/>
    <m/>
    <m/>
  </r>
  <r>
    <x v="431"/>
    <d v="2023-12-26T00:00:00"/>
    <x v="25"/>
    <x v="11"/>
    <x v="0"/>
    <x v="0"/>
    <x v="0"/>
    <x v="0"/>
    <s v=""/>
    <s v=""/>
    <s v=""/>
    <s v=""/>
    <s v=""/>
    <s v=""/>
    <s v=""/>
    <s v=""/>
    <s v=""/>
    <s v=""/>
    <m/>
    <m/>
    <m/>
    <m/>
    <m/>
    <m/>
    <m/>
    <m/>
    <m/>
    <m/>
    <m/>
    <m/>
    <m/>
    <m/>
    <m/>
    <s v=" "/>
    <m/>
    <s v=" "/>
    <m/>
    <m/>
  </r>
  <r>
    <x v="432"/>
    <d v="2023-12-27T00:00:00"/>
    <x v="26"/>
    <x v="11"/>
    <x v="0"/>
    <x v="0"/>
    <x v="0"/>
    <x v="0"/>
    <s v=""/>
    <s v=""/>
    <s v=""/>
    <s v=""/>
    <s v=""/>
    <s v=""/>
    <s v=""/>
    <s v=""/>
    <s v=""/>
    <s v=""/>
    <m/>
    <m/>
    <m/>
    <m/>
    <m/>
    <m/>
    <m/>
    <m/>
    <m/>
    <m/>
    <m/>
    <m/>
    <m/>
    <m/>
    <m/>
    <s v=" "/>
    <m/>
    <s v=" "/>
    <m/>
    <m/>
  </r>
  <r>
    <x v="433"/>
    <d v="2023-12-28T00:00:00"/>
    <x v="27"/>
    <x v="11"/>
    <x v="0"/>
    <x v="0"/>
    <x v="0"/>
    <x v="0"/>
    <s v=""/>
    <s v=""/>
    <s v=""/>
    <s v=""/>
    <s v=""/>
    <s v=""/>
    <s v=""/>
    <s v=""/>
    <s v=""/>
    <s v=""/>
    <m/>
    <m/>
    <m/>
    <m/>
    <m/>
    <m/>
    <m/>
    <m/>
    <m/>
    <m/>
    <m/>
    <m/>
    <m/>
    <m/>
    <m/>
    <s v=" "/>
    <m/>
    <s v=" "/>
    <m/>
    <m/>
  </r>
  <r>
    <x v="434"/>
    <d v="2023-12-29T00:00:00"/>
    <x v="28"/>
    <x v="11"/>
    <x v="0"/>
    <x v="0"/>
    <x v="0"/>
    <x v="0"/>
    <s v=""/>
    <s v=""/>
    <s v=""/>
    <s v=""/>
    <s v=""/>
    <s v=""/>
    <s v=""/>
    <s v=""/>
    <s v=""/>
    <s v=""/>
    <m/>
    <m/>
    <m/>
    <m/>
    <m/>
    <m/>
    <m/>
    <m/>
    <m/>
    <m/>
    <m/>
    <m/>
    <m/>
    <m/>
    <m/>
    <s v=" "/>
    <m/>
    <s v=" "/>
    <m/>
    <m/>
  </r>
  <r>
    <x v="435"/>
    <d v="2023-12-30T00:00:00"/>
    <x v="29"/>
    <x v="11"/>
    <x v="0"/>
    <x v="5"/>
    <x v="3"/>
    <x v="3"/>
    <s v="Cash"/>
    <s v=""/>
    <n v="49.25"/>
    <s v=""/>
    <s v=""/>
    <s v=""/>
    <s v=""/>
    <s v=""/>
    <n v="9682.1900000000023"/>
    <s v=""/>
    <m/>
    <m/>
    <m/>
    <m/>
    <m/>
    <m/>
    <m/>
    <m/>
    <m/>
    <m/>
    <m/>
    <m/>
    <m/>
    <m/>
    <m/>
    <s v=" "/>
    <m/>
    <s v=" "/>
    <m/>
    <m/>
  </r>
  <r>
    <x v="436"/>
    <d v="2023-12-31T00:00:00"/>
    <x v="30"/>
    <x v="11"/>
    <x v="0"/>
    <x v="0"/>
    <x v="0"/>
    <x v="0"/>
    <s v=""/>
    <s v=""/>
    <s v=""/>
    <s v=""/>
    <s v=""/>
    <s v=""/>
    <s v=""/>
    <s v=""/>
    <s v=""/>
    <s v=""/>
    <m/>
    <m/>
    <m/>
    <m/>
    <m/>
    <m/>
    <m/>
    <m/>
    <m/>
    <m/>
    <m/>
    <m/>
    <m/>
    <m/>
    <m/>
    <s v=" "/>
    <m/>
    <s v=" "/>
    <m/>
    <m/>
  </r>
  <r>
    <x v="437"/>
    <d v="2024-01-01T00:00:00"/>
    <x v="0"/>
    <x v="0"/>
    <x v="1"/>
    <x v="1"/>
    <x v="1"/>
    <x v="1"/>
    <s v="Carta"/>
    <s v=""/>
    <n v="2"/>
    <s v=""/>
    <s v=""/>
    <s v=""/>
    <s v=""/>
    <s v=""/>
    <n v="9680.1900000000023"/>
    <s v=""/>
    <m/>
    <m/>
    <m/>
    <m/>
    <m/>
    <m/>
    <m/>
    <m/>
    <m/>
    <m/>
    <m/>
    <m/>
    <m/>
    <m/>
    <m/>
    <s v=" "/>
    <m/>
    <s v=" "/>
    <m/>
    <m/>
  </r>
  <r>
    <x v="438"/>
    <d v="2024-01-01T00:00:00"/>
    <x v="0"/>
    <x v="0"/>
    <x v="1"/>
    <x v="2"/>
    <x v="1"/>
    <x v="1"/>
    <s v="Carta"/>
    <s v=""/>
    <n v="4.9800000000000004"/>
    <s v=""/>
    <s v=""/>
    <s v=""/>
    <s v=""/>
    <s v=""/>
    <n v="9675.2100000000028"/>
    <s v=""/>
    <m/>
    <m/>
    <m/>
    <m/>
    <m/>
    <m/>
    <m/>
    <m/>
    <m/>
    <m/>
    <m/>
    <m/>
    <m/>
    <m/>
    <m/>
    <s v=" "/>
    <m/>
    <s v=" "/>
    <m/>
    <m/>
  </r>
  <r>
    <x v="439"/>
    <d v="2024-01-02T00:00:00"/>
    <x v="1"/>
    <x v="0"/>
    <x v="1"/>
    <x v="22"/>
    <x v="14"/>
    <x v="0"/>
    <s v="Carta"/>
    <s v=""/>
    <s v=""/>
    <s v=""/>
    <s v=""/>
    <s v=""/>
    <s v=""/>
    <n v="500"/>
    <s v=""/>
    <s v=""/>
    <m/>
    <m/>
    <m/>
    <m/>
    <m/>
    <m/>
    <m/>
    <m/>
    <m/>
    <m/>
    <m/>
    <m/>
    <m/>
    <m/>
    <m/>
    <s v=" "/>
    <m/>
    <s v=" "/>
    <m/>
    <m/>
  </r>
  <r>
    <x v="440"/>
    <d v="2024-01-02T00:00:00"/>
    <x v="1"/>
    <x v="0"/>
    <x v="1"/>
    <x v="48"/>
    <x v="19"/>
    <x v="9"/>
    <s v="Cash"/>
    <n v="233"/>
    <s v=""/>
    <s v=""/>
    <s v=""/>
    <s v=""/>
    <s v=""/>
    <s v=""/>
    <n v="9442.2100000000028"/>
    <s v=""/>
    <m/>
    <m/>
    <m/>
    <m/>
    <m/>
    <m/>
    <m/>
    <m/>
    <m/>
    <m/>
    <m/>
    <m/>
    <m/>
    <m/>
    <m/>
    <s v=" "/>
    <m/>
    <s v=" "/>
    <m/>
    <m/>
  </r>
  <r>
    <x v="441"/>
    <d v="2024-01-02T00:00:00"/>
    <x v="1"/>
    <x v="0"/>
    <x v="1"/>
    <x v="5"/>
    <x v="3"/>
    <x v="3"/>
    <s v="Cash"/>
    <s v=""/>
    <n v="37.729999999999997"/>
    <s v=""/>
    <s v=""/>
    <s v=""/>
    <s v=""/>
    <s v=""/>
    <n v="9404.4800000000032"/>
    <s v=""/>
    <m/>
    <m/>
    <m/>
    <m/>
    <m/>
    <m/>
    <m/>
    <m/>
    <m/>
    <m/>
    <m/>
    <m/>
    <m/>
    <m/>
    <m/>
    <s v=" "/>
    <m/>
    <s v=" "/>
    <m/>
    <m/>
  </r>
  <r>
    <x v="442"/>
    <d v="2024-01-02T00:00:00"/>
    <x v="1"/>
    <x v="0"/>
    <x v="1"/>
    <x v="49"/>
    <x v="20"/>
    <x v="10"/>
    <s v="Carta"/>
    <s v=""/>
    <s v=""/>
    <s v=""/>
    <n v="0.28000000000000003"/>
    <s v=""/>
    <s v=""/>
    <s v=""/>
    <n v="9404.7600000000039"/>
    <s v=""/>
    <m/>
    <m/>
    <m/>
    <m/>
    <m/>
    <m/>
    <m/>
    <m/>
    <m/>
    <m/>
    <m/>
    <m/>
    <m/>
    <m/>
    <m/>
    <s v=" "/>
    <m/>
    <s v=" "/>
    <m/>
    <m/>
  </r>
  <r>
    <x v="443"/>
    <d v="2024-01-02T00:00:00"/>
    <x v="1"/>
    <x v="0"/>
    <x v="1"/>
    <x v="50"/>
    <x v="1"/>
    <x v="1"/>
    <s v="Carta"/>
    <s v=""/>
    <n v="8.61"/>
    <s v=""/>
    <s v=""/>
    <s v=""/>
    <s v=""/>
    <s v=""/>
    <n v="9396.1500000000033"/>
    <s v=""/>
    <m/>
    <m/>
    <m/>
    <m/>
    <m/>
    <m/>
    <m/>
    <m/>
    <m/>
    <m/>
    <m/>
    <m/>
    <m/>
    <m/>
    <m/>
    <s v=" "/>
    <m/>
    <s v=" "/>
    <m/>
    <m/>
  </r>
  <r>
    <x v="444"/>
    <d v="2024-01-03T00:00:00"/>
    <x v="2"/>
    <x v="0"/>
    <x v="1"/>
    <x v="5"/>
    <x v="3"/>
    <x v="3"/>
    <s v="Cash"/>
    <s v=""/>
    <n v="30.67"/>
    <s v=""/>
    <s v=""/>
    <s v=""/>
    <s v=""/>
    <s v=""/>
    <n v="9365.4800000000032"/>
    <s v=""/>
    <m/>
    <m/>
    <m/>
    <m/>
    <m/>
    <m/>
    <m/>
    <m/>
    <m/>
    <m/>
    <m/>
    <m/>
    <m/>
    <m/>
    <m/>
    <s v=" "/>
    <m/>
    <s v=" "/>
    <m/>
    <m/>
  </r>
  <r>
    <x v="445"/>
    <d v="2024-01-03T00:00:00"/>
    <x v="2"/>
    <x v="0"/>
    <x v="1"/>
    <x v="51"/>
    <x v="19"/>
    <x v="9"/>
    <s v="Cash"/>
    <n v="70.86"/>
    <s v=""/>
    <s v=""/>
    <s v=""/>
    <s v=""/>
    <s v=""/>
    <s v=""/>
    <n v="9294.6200000000026"/>
    <s v=""/>
    <m/>
    <m/>
    <m/>
    <m/>
    <m/>
    <m/>
    <m/>
    <m/>
    <m/>
    <m/>
    <m/>
    <m/>
    <m/>
    <m/>
    <m/>
    <s v=" "/>
    <m/>
    <s v=" "/>
    <m/>
    <m/>
  </r>
  <r>
    <x v="446"/>
    <d v="2024-01-03T00:00:00"/>
    <x v="2"/>
    <x v="0"/>
    <x v="1"/>
    <x v="44"/>
    <x v="8"/>
    <x v="4"/>
    <s v="Cash"/>
    <n v="1.98"/>
    <s v=""/>
    <s v=""/>
    <s v=""/>
    <s v=""/>
    <s v=""/>
    <s v=""/>
    <n v="9292.6400000000031"/>
    <s v=""/>
    <m/>
    <m/>
    <m/>
    <m/>
    <m/>
    <m/>
    <m/>
    <m/>
    <m/>
    <m/>
    <m/>
    <m/>
    <m/>
    <m/>
    <m/>
    <s v=" "/>
    <m/>
    <s v=" "/>
    <m/>
    <m/>
  </r>
  <r>
    <x v="447"/>
    <d v="2024-01-03T00:00:00"/>
    <x v="2"/>
    <x v="0"/>
    <x v="1"/>
    <x v="31"/>
    <x v="5"/>
    <x v="4"/>
    <s v="Cash"/>
    <n v="3.43"/>
    <s v=""/>
    <s v=""/>
    <s v=""/>
    <s v=""/>
    <s v=""/>
    <s v=""/>
    <n v="9289.2100000000028"/>
    <s v=""/>
    <m/>
    <m/>
    <m/>
    <m/>
    <m/>
    <m/>
    <m/>
    <m/>
    <m/>
    <m/>
    <m/>
    <m/>
    <m/>
    <m/>
    <m/>
    <s v=" "/>
    <m/>
    <s v=" "/>
    <m/>
    <m/>
  </r>
  <r>
    <x v="448"/>
    <d v="2024-01-04T00:00:00"/>
    <x v="3"/>
    <x v="0"/>
    <x v="1"/>
    <x v="0"/>
    <x v="0"/>
    <x v="0"/>
    <s v=""/>
    <s v=""/>
    <s v=""/>
    <s v=""/>
    <s v=""/>
    <s v=""/>
    <s v=""/>
    <s v=""/>
    <s v=""/>
    <s v=""/>
    <m/>
    <m/>
    <m/>
    <m/>
    <m/>
    <m/>
    <m/>
    <m/>
    <m/>
    <m/>
    <m/>
    <m/>
    <m/>
    <m/>
    <m/>
    <s v=" "/>
    <m/>
    <s v=" "/>
    <m/>
    <m/>
  </r>
  <r>
    <x v="449"/>
    <d v="2024-01-05T00:00:00"/>
    <x v="4"/>
    <x v="0"/>
    <x v="1"/>
    <x v="0"/>
    <x v="0"/>
    <x v="0"/>
    <s v=""/>
    <s v=""/>
    <s v=""/>
    <s v=""/>
    <s v=""/>
    <s v=""/>
    <s v=""/>
    <s v=""/>
    <s v=""/>
    <s v=""/>
    <m/>
    <m/>
    <m/>
    <m/>
    <m/>
    <m/>
    <m/>
    <m/>
    <m/>
    <m/>
    <m/>
    <m/>
    <m/>
    <m/>
    <m/>
    <s v=" "/>
    <m/>
    <s v=" "/>
    <m/>
    <m/>
  </r>
  <r>
    <x v="450"/>
    <d v="2024-01-06T00:00:00"/>
    <x v="5"/>
    <x v="0"/>
    <x v="1"/>
    <x v="0"/>
    <x v="0"/>
    <x v="0"/>
    <s v=""/>
    <s v=""/>
    <s v=""/>
    <s v=""/>
    <s v=""/>
    <s v=""/>
    <s v=""/>
    <s v=""/>
    <s v=""/>
    <s v=""/>
    <m/>
    <m/>
    <m/>
    <m/>
    <m/>
    <m/>
    <m/>
    <m/>
    <m/>
    <m/>
    <m/>
    <m/>
    <m/>
    <m/>
    <m/>
    <s v=" "/>
    <m/>
    <s v=" "/>
    <m/>
    <m/>
  </r>
  <r>
    <x v="451"/>
    <d v="2024-01-07T00:00:00"/>
    <x v="6"/>
    <x v="0"/>
    <x v="1"/>
    <x v="0"/>
    <x v="0"/>
    <x v="0"/>
    <s v=""/>
    <s v=""/>
    <s v=""/>
    <s v=""/>
    <s v=""/>
    <s v=""/>
    <s v=""/>
    <s v=""/>
    <s v=""/>
    <s v=""/>
    <m/>
    <m/>
    <m/>
    <m/>
    <m/>
    <m/>
    <m/>
    <m/>
    <m/>
    <m/>
    <m/>
    <m/>
    <m/>
    <m/>
    <m/>
    <s v=" "/>
    <m/>
    <s v=" "/>
    <m/>
    <m/>
  </r>
  <r>
    <x v="452"/>
    <d v="2024-01-08T00:00:00"/>
    <x v="7"/>
    <x v="0"/>
    <x v="1"/>
    <x v="19"/>
    <x v="12"/>
    <x v="6"/>
    <s v="Carta"/>
    <s v=""/>
    <n v="47"/>
    <s v=""/>
    <s v=""/>
    <s v=""/>
    <s v=""/>
    <s v=""/>
    <n v="9242.2100000000028"/>
    <s v=""/>
    <m/>
    <m/>
    <m/>
    <m/>
    <m/>
    <m/>
    <m/>
    <m/>
    <m/>
    <m/>
    <m/>
    <m/>
    <m/>
    <m/>
    <m/>
    <s v=" "/>
    <m/>
    <s v=" "/>
    <m/>
    <m/>
  </r>
  <r>
    <x v="453"/>
    <d v="2024-01-09T00:00:00"/>
    <x v="8"/>
    <x v="0"/>
    <x v="1"/>
    <x v="5"/>
    <x v="3"/>
    <x v="3"/>
    <s v="Cash"/>
    <s v=""/>
    <n v="56.08"/>
    <s v=""/>
    <s v=""/>
    <s v=""/>
    <s v=""/>
    <s v=""/>
    <n v="9186.1300000000028"/>
    <s v=""/>
    <m/>
    <m/>
    <m/>
    <m/>
    <m/>
    <m/>
    <m/>
    <m/>
    <m/>
    <m/>
    <m/>
    <m/>
    <m/>
    <m/>
    <m/>
    <s v=" "/>
    <m/>
    <s v=" "/>
    <m/>
    <m/>
  </r>
  <r>
    <x v="454"/>
    <d v="2024-01-09T00:00:00"/>
    <x v="8"/>
    <x v="0"/>
    <x v="1"/>
    <x v="5"/>
    <x v="6"/>
    <x v="3"/>
    <s v="Cash"/>
    <s v=""/>
    <n v="7.25"/>
    <s v=""/>
    <s v=""/>
    <s v=""/>
    <s v=""/>
    <s v=""/>
    <n v="9178.8800000000028"/>
    <s v=""/>
    <m/>
    <m/>
    <m/>
    <m/>
    <m/>
    <m/>
    <m/>
    <m/>
    <m/>
    <m/>
    <m/>
    <m/>
    <m/>
    <m/>
    <m/>
    <s v=" "/>
    <m/>
    <s v=" "/>
    <m/>
    <m/>
  </r>
  <r>
    <x v="455"/>
    <d v="2024-01-09T00:00:00"/>
    <x v="8"/>
    <x v="0"/>
    <x v="1"/>
    <x v="52"/>
    <x v="4"/>
    <x v="4"/>
    <s v="Cash"/>
    <n v="40"/>
    <s v=""/>
    <s v=""/>
    <s v=""/>
    <s v=""/>
    <s v=""/>
    <s v=""/>
    <n v="9138.8800000000028"/>
    <s v=""/>
    <m/>
    <m/>
    <m/>
    <m/>
    <m/>
    <m/>
    <m/>
    <m/>
    <m/>
    <m/>
    <m/>
    <m/>
    <m/>
    <m/>
    <m/>
    <s v=" "/>
    <m/>
    <s v=" "/>
    <m/>
    <m/>
  </r>
  <r>
    <x v="456"/>
    <d v="2024-01-09T00:00:00"/>
    <x v="8"/>
    <x v="0"/>
    <x v="1"/>
    <x v="44"/>
    <x v="8"/>
    <x v="4"/>
    <s v="Cash"/>
    <n v="2.97"/>
    <s v=""/>
    <s v=""/>
    <s v=""/>
    <s v=""/>
    <s v=""/>
    <s v=""/>
    <n v="9135.9100000000035"/>
    <s v=""/>
    <m/>
    <m/>
    <m/>
    <m/>
    <m/>
    <m/>
    <m/>
    <m/>
    <m/>
    <m/>
    <m/>
    <m/>
    <m/>
    <m/>
    <m/>
    <s v=" "/>
    <m/>
    <s v=" "/>
    <m/>
    <m/>
  </r>
  <r>
    <x v="457"/>
    <d v="2024-01-10T00:00:00"/>
    <x v="9"/>
    <x v="0"/>
    <x v="1"/>
    <x v="53"/>
    <x v="3"/>
    <x v="3"/>
    <s v="Cash"/>
    <s v=""/>
    <n v="7.98"/>
    <s v=""/>
    <s v=""/>
    <s v=""/>
    <s v=""/>
    <s v=""/>
    <n v="9127.9300000000039"/>
    <s v=""/>
    <m/>
    <m/>
    <m/>
    <m/>
    <m/>
    <m/>
    <m/>
    <m/>
    <m/>
    <m/>
    <m/>
    <m/>
    <m/>
    <m/>
    <m/>
    <s v=" "/>
    <m/>
    <s v=" "/>
    <m/>
    <m/>
  </r>
  <r>
    <x v="458"/>
    <d v="2024-01-10T00:00:00"/>
    <x v="9"/>
    <x v="0"/>
    <x v="1"/>
    <x v="54"/>
    <x v="3"/>
    <x v="3"/>
    <s v="Cash"/>
    <s v=""/>
    <n v="3.5"/>
    <s v=""/>
    <s v=""/>
    <s v=""/>
    <s v=""/>
    <s v=""/>
    <n v="9124.4300000000039"/>
    <s v=""/>
    <m/>
    <m/>
    <m/>
    <m/>
    <m/>
    <m/>
    <m/>
    <m/>
    <m/>
    <m/>
    <m/>
    <m/>
    <m/>
    <m/>
    <m/>
    <s v=" "/>
    <m/>
    <s v=" "/>
    <m/>
    <m/>
  </r>
  <r>
    <x v="459"/>
    <d v="2024-01-10T00:00:00"/>
    <x v="9"/>
    <x v="0"/>
    <x v="1"/>
    <x v="55"/>
    <x v="13"/>
    <x v="4"/>
    <s v="Cash"/>
    <n v="12.5"/>
    <s v=""/>
    <s v=""/>
    <s v=""/>
    <s v=""/>
    <s v=""/>
    <s v=""/>
    <n v="9111.9300000000039"/>
    <s v=""/>
    <m/>
    <m/>
    <m/>
    <m/>
    <m/>
    <m/>
    <m/>
    <m/>
    <m/>
    <m/>
    <m/>
    <m/>
    <m/>
    <m/>
    <m/>
    <s v=" "/>
    <m/>
    <s v=" "/>
    <m/>
    <m/>
  </r>
  <r>
    <x v="460"/>
    <d v="2024-01-11T00:00:00"/>
    <x v="10"/>
    <x v="0"/>
    <x v="1"/>
    <x v="0"/>
    <x v="0"/>
    <x v="0"/>
    <s v=""/>
    <s v=""/>
    <s v=""/>
    <s v=""/>
    <s v=""/>
    <s v=""/>
    <s v=""/>
    <s v=""/>
    <s v=""/>
    <s v=""/>
    <m/>
    <m/>
    <m/>
    <m/>
    <m/>
    <m/>
    <m/>
    <m/>
    <m/>
    <m/>
    <m/>
    <m/>
    <m/>
    <m/>
    <m/>
    <s v=" "/>
    <m/>
    <s v=" "/>
    <m/>
    <m/>
  </r>
  <r>
    <x v="461"/>
    <d v="2024-01-12T00:00:00"/>
    <x v="11"/>
    <x v="0"/>
    <x v="1"/>
    <x v="0"/>
    <x v="0"/>
    <x v="0"/>
    <s v=""/>
    <s v=""/>
    <s v=""/>
    <s v=""/>
    <s v=""/>
    <s v=""/>
    <s v=""/>
    <s v=""/>
    <s v=""/>
    <s v=""/>
    <m/>
    <m/>
    <m/>
    <m/>
    <m/>
    <m/>
    <m/>
    <m/>
    <m/>
    <m/>
    <m/>
    <m/>
    <m/>
    <m/>
    <m/>
    <s v=" "/>
    <m/>
    <s v=" "/>
    <m/>
    <m/>
  </r>
  <r>
    <x v="462"/>
    <d v="2024-01-13T00:00:00"/>
    <x v="12"/>
    <x v="0"/>
    <x v="1"/>
    <x v="5"/>
    <x v="3"/>
    <x v="3"/>
    <s v="Cash"/>
    <s v=""/>
    <n v="25.66"/>
    <s v=""/>
    <s v=""/>
    <s v=""/>
    <s v=""/>
    <s v=""/>
    <n v="9086.2700000000041"/>
    <s v=""/>
    <m/>
    <m/>
    <m/>
    <m/>
    <m/>
    <m/>
    <m/>
    <m/>
    <m/>
    <m/>
    <m/>
    <m/>
    <m/>
    <m/>
    <m/>
    <s v=" "/>
    <m/>
    <s v=" "/>
    <m/>
    <m/>
  </r>
  <r>
    <x v="463"/>
    <d v="2024-01-13T00:00:00"/>
    <x v="12"/>
    <x v="0"/>
    <x v="1"/>
    <x v="5"/>
    <x v="6"/>
    <x v="3"/>
    <s v="Cash"/>
    <s v=""/>
    <n v="3.69"/>
    <s v=""/>
    <s v=""/>
    <s v=""/>
    <s v=""/>
    <s v=""/>
    <n v="9082.5800000000036"/>
    <s v=""/>
    <m/>
    <m/>
    <m/>
    <m/>
    <m/>
    <m/>
    <m/>
    <m/>
    <m/>
    <m/>
    <m/>
    <m/>
    <m/>
    <m/>
    <m/>
    <s v=" "/>
    <m/>
    <s v=" "/>
    <m/>
    <m/>
  </r>
  <r>
    <x v="464"/>
    <d v="2024-01-13T00:00:00"/>
    <x v="12"/>
    <x v="0"/>
    <x v="1"/>
    <x v="25"/>
    <x v="3"/>
    <x v="3"/>
    <s v="Cash"/>
    <s v=""/>
    <n v="11"/>
    <s v=""/>
    <s v=""/>
    <s v=""/>
    <s v=""/>
    <s v=""/>
    <n v="9071.5800000000036"/>
    <s v=""/>
    <m/>
    <m/>
    <m/>
    <m/>
    <m/>
    <m/>
    <m/>
    <m/>
    <m/>
    <m/>
    <m/>
    <m/>
    <m/>
    <m/>
    <m/>
    <s v=" "/>
    <m/>
    <s v=" "/>
    <m/>
    <m/>
  </r>
  <r>
    <x v="465"/>
    <d v="2024-01-13T00:00:00"/>
    <x v="12"/>
    <x v="0"/>
    <x v="1"/>
    <x v="30"/>
    <x v="3"/>
    <x v="3"/>
    <s v="Cash"/>
    <s v=""/>
    <n v="3.15"/>
    <s v=""/>
    <s v=""/>
    <s v=""/>
    <s v=""/>
    <s v=""/>
    <n v="9068.4300000000039"/>
    <s v=""/>
    <m/>
    <m/>
    <m/>
    <m/>
    <m/>
    <m/>
    <m/>
    <m/>
    <m/>
    <m/>
    <m/>
    <m/>
    <m/>
    <m/>
    <m/>
    <s v=" "/>
    <m/>
    <s v=" "/>
    <m/>
    <m/>
  </r>
  <r>
    <x v="466"/>
    <d v="2024-01-14T00:00:00"/>
    <x v="13"/>
    <x v="0"/>
    <x v="1"/>
    <x v="5"/>
    <x v="3"/>
    <x v="3"/>
    <s v="Cash"/>
    <s v=""/>
    <n v="9"/>
    <s v=""/>
    <s v=""/>
    <s v=""/>
    <s v=""/>
    <s v=""/>
    <n v="9059.4300000000039"/>
    <s v=""/>
    <m/>
    <m/>
    <m/>
    <m/>
    <m/>
    <m/>
    <m/>
    <m/>
    <m/>
    <m/>
    <m/>
    <m/>
    <m/>
    <m/>
    <m/>
    <s v=" "/>
    <m/>
    <s v=" "/>
    <m/>
    <m/>
  </r>
  <r>
    <x v="467"/>
    <d v="2024-01-14T00:00:00"/>
    <x v="13"/>
    <x v="0"/>
    <x v="1"/>
    <x v="56"/>
    <x v="19"/>
    <x v="9"/>
    <s v="Cash"/>
    <n v="298.95"/>
    <s v=""/>
    <s v=""/>
    <s v=""/>
    <s v=""/>
    <s v=""/>
    <s v=""/>
    <n v="8760.4800000000032"/>
    <s v=""/>
    <m/>
    <m/>
    <m/>
    <m/>
    <m/>
    <m/>
    <m/>
    <m/>
    <m/>
    <m/>
    <m/>
    <m/>
    <m/>
    <m/>
    <m/>
    <s v=" "/>
    <m/>
    <s v=" "/>
    <m/>
    <m/>
  </r>
  <r>
    <x v="468"/>
    <d v="2024-01-15T00:00:00"/>
    <x v="14"/>
    <x v="0"/>
    <x v="1"/>
    <x v="57"/>
    <x v="3"/>
    <x v="3"/>
    <s v="Cash"/>
    <s v=""/>
    <n v="3.7"/>
    <s v=""/>
    <s v=""/>
    <s v=""/>
    <s v=""/>
    <s v=""/>
    <n v="8756.7800000000025"/>
    <s v=""/>
    <m/>
    <m/>
    <m/>
    <m/>
    <m/>
    <m/>
    <m/>
    <m/>
    <m/>
    <m/>
    <m/>
    <m/>
    <m/>
    <m/>
    <m/>
    <s v=" "/>
    <m/>
    <s v=" "/>
    <m/>
    <m/>
  </r>
  <r>
    <x v="469"/>
    <d v="2024-01-16T00:00:00"/>
    <x v="15"/>
    <x v="0"/>
    <x v="1"/>
    <x v="58"/>
    <x v="3"/>
    <x v="3"/>
    <s v="Cash"/>
    <s v=""/>
    <n v="3.7"/>
    <s v=""/>
    <s v=""/>
    <s v=""/>
    <s v=""/>
    <s v=""/>
    <n v="8753.0800000000017"/>
    <s v=""/>
    <m/>
    <m/>
    <m/>
    <m/>
    <m/>
    <m/>
    <m/>
    <m/>
    <m/>
    <m/>
    <m/>
    <m/>
    <m/>
    <m/>
    <m/>
    <s v=" "/>
    <m/>
    <s v=" "/>
    <m/>
    <m/>
  </r>
  <r>
    <x v="470"/>
    <d v="2024-01-16T00:00:00"/>
    <x v="15"/>
    <x v="0"/>
    <x v="1"/>
    <x v="59"/>
    <x v="10"/>
    <x v="2"/>
    <s v="Cash"/>
    <n v="7.4"/>
    <s v=""/>
    <s v=""/>
    <s v=""/>
    <s v=""/>
    <s v=""/>
    <s v=""/>
    <n v="8745.6800000000021"/>
    <s v=""/>
    <m/>
    <m/>
    <m/>
    <m/>
    <m/>
    <m/>
    <m/>
    <m/>
    <m/>
    <m/>
    <m/>
    <m/>
    <m/>
    <m/>
    <m/>
    <s v=" "/>
    <m/>
    <s v=" "/>
    <m/>
    <m/>
  </r>
  <r>
    <x v="471"/>
    <d v="2024-01-16T00:00:00"/>
    <x v="15"/>
    <x v="0"/>
    <x v="1"/>
    <x v="60"/>
    <x v="9"/>
    <x v="2"/>
    <s v="Cash"/>
    <n v="1.75"/>
    <s v=""/>
    <s v=""/>
    <s v=""/>
    <s v=""/>
    <s v=""/>
    <s v=""/>
    <n v="8743.9300000000021"/>
    <s v=""/>
    <m/>
    <m/>
    <m/>
    <m/>
    <m/>
    <m/>
    <m/>
    <m/>
    <m/>
    <m/>
    <m/>
    <m/>
    <m/>
    <m/>
    <m/>
    <s v=" "/>
    <m/>
    <s v=" "/>
    <m/>
    <m/>
  </r>
  <r>
    <x v="472"/>
    <d v="2024-01-16T00:00:00"/>
    <x v="15"/>
    <x v="0"/>
    <x v="1"/>
    <x v="61"/>
    <x v="15"/>
    <x v="7"/>
    <s v="Cash"/>
    <n v="3.6"/>
    <s v=""/>
    <s v=""/>
    <s v=""/>
    <s v=""/>
    <s v=""/>
    <s v=""/>
    <n v="8740.3300000000017"/>
    <s v=""/>
    <m/>
    <m/>
    <m/>
    <m/>
    <m/>
    <m/>
    <m/>
    <m/>
    <m/>
    <m/>
    <m/>
    <m/>
    <m/>
    <m/>
    <m/>
    <s v=" "/>
    <m/>
    <s v=" "/>
    <m/>
    <m/>
  </r>
  <r>
    <x v="473"/>
    <d v="2024-01-17T00:00:00"/>
    <x v="16"/>
    <x v="0"/>
    <x v="1"/>
    <x v="0"/>
    <x v="0"/>
    <x v="0"/>
    <s v=""/>
    <s v=""/>
    <s v=""/>
    <s v=""/>
    <s v=""/>
    <s v=""/>
    <s v=""/>
    <s v=""/>
    <s v=""/>
    <s v=""/>
    <m/>
    <m/>
    <m/>
    <m/>
    <m/>
    <m/>
    <m/>
    <m/>
    <m/>
    <m/>
    <m/>
    <m/>
    <m/>
    <m/>
    <m/>
    <s v=" "/>
    <m/>
    <s v=" "/>
    <m/>
    <m/>
  </r>
  <r>
    <x v="474"/>
    <d v="2024-01-18T00:00:00"/>
    <x v="17"/>
    <x v="0"/>
    <x v="1"/>
    <x v="0"/>
    <x v="0"/>
    <x v="0"/>
    <s v=""/>
    <s v=""/>
    <s v=""/>
    <s v=""/>
    <s v=""/>
    <s v=""/>
    <s v=""/>
    <s v=""/>
    <s v=""/>
    <s v=""/>
    <m/>
    <m/>
    <m/>
    <m/>
    <m/>
    <m/>
    <m/>
    <m/>
    <m/>
    <m/>
    <m/>
    <m/>
    <m/>
    <m/>
    <m/>
    <s v=" "/>
    <m/>
    <s v=" "/>
    <m/>
    <m/>
  </r>
  <r>
    <x v="475"/>
    <d v="2024-01-19T00:00:00"/>
    <x v="18"/>
    <x v="0"/>
    <x v="1"/>
    <x v="0"/>
    <x v="0"/>
    <x v="0"/>
    <s v=""/>
    <s v=""/>
    <s v=""/>
    <s v=""/>
    <s v=""/>
    <s v=""/>
    <s v=""/>
    <s v=""/>
    <s v=""/>
    <s v=""/>
    <m/>
    <m/>
    <m/>
    <m/>
    <m/>
    <m/>
    <m/>
    <m/>
    <m/>
    <m/>
    <m/>
    <m/>
    <m/>
    <m/>
    <m/>
    <s v=" "/>
    <m/>
    <s v=" "/>
    <m/>
    <m/>
  </r>
  <r>
    <x v="476"/>
    <d v="2024-01-20T00:00:00"/>
    <x v="19"/>
    <x v="0"/>
    <x v="1"/>
    <x v="5"/>
    <x v="3"/>
    <x v="3"/>
    <s v="Cash"/>
    <s v=""/>
    <n v="5.69"/>
    <s v=""/>
    <s v=""/>
    <s v=""/>
    <s v=""/>
    <s v=""/>
    <n v="8734.6400000000012"/>
    <s v=""/>
    <m/>
    <m/>
    <m/>
    <m/>
    <m/>
    <m/>
    <m/>
    <m/>
    <m/>
    <m/>
    <m/>
    <m/>
    <m/>
    <m/>
    <m/>
    <s v=" "/>
    <m/>
    <s v=" "/>
    <m/>
    <m/>
  </r>
  <r>
    <x v="477"/>
    <d v="2024-01-20T00:00:00"/>
    <x v="19"/>
    <x v="0"/>
    <x v="1"/>
    <x v="5"/>
    <x v="6"/>
    <x v="3"/>
    <s v="Cash"/>
    <s v=""/>
    <n v="8.94"/>
    <s v=""/>
    <s v=""/>
    <s v=""/>
    <s v=""/>
    <s v=""/>
    <n v="8725.7000000000007"/>
    <s v=""/>
    <m/>
    <m/>
    <m/>
    <m/>
    <m/>
    <m/>
    <m/>
    <m/>
    <m/>
    <m/>
    <m/>
    <m/>
    <m/>
    <m/>
    <m/>
    <s v=" "/>
    <m/>
    <s v=" "/>
    <m/>
    <m/>
  </r>
  <r>
    <x v="478"/>
    <d v="2024-01-20T00:00:00"/>
    <x v="19"/>
    <x v="0"/>
    <x v="1"/>
    <x v="62"/>
    <x v="9"/>
    <x v="2"/>
    <s v="Cash"/>
    <n v="15.83"/>
    <s v=""/>
    <s v=""/>
    <s v=""/>
    <s v=""/>
    <s v=""/>
    <s v=""/>
    <n v="8709.8700000000008"/>
    <s v=""/>
    <m/>
    <m/>
    <m/>
    <m/>
    <m/>
    <m/>
    <m/>
    <m/>
    <m/>
    <m/>
    <m/>
    <m/>
    <m/>
    <m/>
    <m/>
    <s v=" "/>
    <m/>
    <s v=" "/>
    <m/>
    <m/>
  </r>
  <r>
    <x v="479"/>
    <d v="2024-01-20T00:00:00"/>
    <x v="19"/>
    <x v="0"/>
    <x v="1"/>
    <x v="63"/>
    <x v="13"/>
    <x v="4"/>
    <s v="Cash"/>
    <n v="5.99"/>
    <s v=""/>
    <s v=""/>
    <s v=""/>
    <s v=""/>
    <s v=""/>
    <s v=""/>
    <n v="8703.880000000001"/>
    <s v=""/>
    <m/>
    <m/>
    <m/>
    <m/>
    <m/>
    <m/>
    <m/>
    <m/>
    <m/>
    <m/>
    <m/>
    <m/>
    <m/>
    <m/>
    <m/>
    <s v=" "/>
    <m/>
    <s v=" "/>
    <m/>
    <m/>
  </r>
  <r>
    <x v="480"/>
    <d v="2024-01-20T00:00:00"/>
    <x v="19"/>
    <x v="0"/>
    <x v="1"/>
    <x v="64"/>
    <x v="13"/>
    <x v="4"/>
    <s v="Cash"/>
    <n v="9.99"/>
    <s v=""/>
    <s v=""/>
    <s v=""/>
    <s v=""/>
    <s v=""/>
    <s v=""/>
    <n v="8693.8900000000012"/>
    <s v=""/>
    <m/>
    <m/>
    <m/>
    <m/>
    <m/>
    <m/>
    <m/>
    <m/>
    <m/>
    <m/>
    <m/>
    <m/>
    <m/>
    <m/>
    <m/>
    <s v=" "/>
    <m/>
    <s v=" "/>
    <m/>
    <m/>
  </r>
  <r>
    <x v="481"/>
    <d v="2024-01-20T00:00:00"/>
    <x v="19"/>
    <x v="0"/>
    <x v="1"/>
    <x v="65"/>
    <x v="8"/>
    <x v="4"/>
    <s v="Cash"/>
    <n v="55"/>
    <s v=""/>
    <s v=""/>
    <s v=""/>
    <s v=""/>
    <s v=""/>
    <s v=""/>
    <n v="8638.8900000000012"/>
    <s v=""/>
    <m/>
    <m/>
    <m/>
    <m/>
    <m/>
    <m/>
    <m/>
    <m/>
    <m/>
    <m/>
    <m/>
    <m/>
    <m/>
    <m/>
    <m/>
    <s v=" "/>
    <m/>
    <s v=" "/>
    <m/>
    <m/>
  </r>
  <r>
    <x v="482"/>
    <d v="2024-01-21T00:00:00"/>
    <x v="20"/>
    <x v="0"/>
    <x v="1"/>
    <x v="0"/>
    <x v="0"/>
    <x v="0"/>
    <s v=""/>
    <s v=""/>
    <s v=""/>
    <s v=""/>
    <s v=""/>
    <s v=""/>
    <s v=""/>
    <s v=""/>
    <s v=""/>
    <s v=""/>
    <m/>
    <m/>
    <m/>
    <m/>
    <m/>
    <m/>
    <m/>
    <m/>
    <m/>
    <m/>
    <m/>
    <m/>
    <m/>
    <m/>
    <m/>
    <s v=" "/>
    <m/>
    <s v=" "/>
    <m/>
    <m/>
  </r>
  <r>
    <x v="483"/>
    <d v="2024-01-22T00:00:00"/>
    <x v="21"/>
    <x v="0"/>
    <x v="1"/>
    <x v="0"/>
    <x v="0"/>
    <x v="0"/>
    <s v=""/>
    <s v=""/>
    <s v=""/>
    <s v=""/>
    <s v=""/>
    <s v=""/>
    <s v=""/>
    <s v=""/>
    <s v=""/>
    <s v=""/>
    <m/>
    <m/>
    <m/>
    <m/>
    <m/>
    <m/>
    <m/>
    <m/>
    <m/>
    <m/>
    <m/>
    <m/>
    <m/>
    <m/>
    <m/>
    <s v=" "/>
    <m/>
    <s v=" "/>
    <m/>
    <m/>
  </r>
  <r>
    <x v="484"/>
    <d v="2024-01-23T00:00:00"/>
    <x v="22"/>
    <x v="0"/>
    <x v="1"/>
    <x v="16"/>
    <x v="3"/>
    <x v="3"/>
    <s v="Cash"/>
    <s v=""/>
    <n v="2.1"/>
    <s v=""/>
    <s v=""/>
    <s v=""/>
    <s v=""/>
    <s v=""/>
    <n v="8636.7900000000009"/>
    <s v=""/>
    <m/>
    <m/>
    <m/>
    <m/>
    <m/>
    <m/>
    <m/>
    <m/>
    <m/>
    <m/>
    <m/>
    <m/>
    <m/>
    <m/>
    <m/>
    <s v=" "/>
    <m/>
    <s v=" "/>
    <m/>
    <m/>
  </r>
  <r>
    <x v="485"/>
    <d v="2024-01-23T00:00:00"/>
    <x v="22"/>
    <x v="0"/>
    <x v="1"/>
    <x v="5"/>
    <x v="3"/>
    <x v="3"/>
    <s v="Cash"/>
    <s v=""/>
    <n v="34.71"/>
    <s v=""/>
    <s v=""/>
    <s v=""/>
    <s v=""/>
    <s v=""/>
    <n v="8602.0800000000017"/>
    <s v=""/>
    <m/>
    <m/>
    <m/>
    <m/>
    <m/>
    <m/>
    <m/>
    <m/>
    <m/>
    <m/>
    <m/>
    <m/>
    <m/>
    <m/>
    <m/>
    <s v=" "/>
    <m/>
    <s v=" "/>
    <m/>
    <m/>
  </r>
  <r>
    <x v="486"/>
    <d v="2024-01-23T00:00:00"/>
    <x v="22"/>
    <x v="0"/>
    <x v="1"/>
    <x v="66"/>
    <x v="10"/>
    <x v="2"/>
    <s v="Cash"/>
    <n v="3.9"/>
    <s v=""/>
    <s v=""/>
    <s v=""/>
    <s v=""/>
    <s v=""/>
    <s v=""/>
    <n v="8598.1800000000021"/>
    <s v=""/>
    <m/>
    <m/>
    <m/>
    <m/>
    <m/>
    <m/>
    <m/>
    <m/>
    <m/>
    <m/>
    <m/>
    <m/>
    <m/>
    <m/>
    <m/>
    <s v=" "/>
    <m/>
    <s v=" "/>
    <m/>
    <m/>
  </r>
  <r>
    <x v="487"/>
    <d v="2024-01-24T00:00:00"/>
    <x v="23"/>
    <x v="0"/>
    <x v="1"/>
    <x v="0"/>
    <x v="0"/>
    <x v="0"/>
    <s v=""/>
    <s v=""/>
    <s v=""/>
    <s v=""/>
    <s v=""/>
    <s v=""/>
    <s v=""/>
    <s v=""/>
    <s v=""/>
    <s v=""/>
    <m/>
    <m/>
    <m/>
    <m/>
    <m/>
    <m/>
    <m/>
    <m/>
    <m/>
    <m/>
    <m/>
    <m/>
    <m/>
    <m/>
    <m/>
    <s v=" "/>
    <m/>
    <s v=" "/>
    <m/>
    <m/>
  </r>
  <r>
    <x v="488"/>
    <d v="2024-01-25T00:00:00"/>
    <x v="24"/>
    <x v="0"/>
    <x v="1"/>
    <x v="0"/>
    <x v="0"/>
    <x v="0"/>
    <s v=""/>
    <s v=""/>
    <s v=""/>
    <s v=""/>
    <s v=""/>
    <s v=""/>
    <s v=""/>
    <s v=""/>
    <s v=""/>
    <s v=""/>
    <m/>
    <m/>
    <m/>
    <m/>
    <m/>
    <m/>
    <m/>
    <m/>
    <m/>
    <m/>
    <m/>
    <m/>
    <m/>
    <m/>
    <m/>
    <s v=" "/>
    <m/>
    <s v=" "/>
    <m/>
    <m/>
  </r>
  <r>
    <x v="489"/>
    <d v="2024-01-26T00:00:00"/>
    <x v="25"/>
    <x v="0"/>
    <x v="1"/>
    <x v="0"/>
    <x v="0"/>
    <x v="0"/>
    <s v=""/>
    <s v=""/>
    <s v=""/>
    <s v=""/>
    <s v=""/>
    <s v=""/>
    <s v=""/>
    <s v=""/>
    <s v=""/>
    <s v=""/>
    <m/>
    <m/>
    <m/>
    <m/>
    <m/>
    <m/>
    <m/>
    <m/>
    <m/>
    <m/>
    <m/>
    <m/>
    <m/>
    <m/>
    <m/>
    <s v=" "/>
    <m/>
    <s v=" "/>
    <m/>
    <m/>
  </r>
  <r>
    <x v="490"/>
    <d v="2024-01-27T00:00:00"/>
    <x v="26"/>
    <x v="0"/>
    <x v="1"/>
    <x v="5"/>
    <x v="3"/>
    <x v="3"/>
    <s v="Cash"/>
    <s v=""/>
    <n v="68.94"/>
    <s v=""/>
    <s v=""/>
    <s v=""/>
    <s v=""/>
    <s v=""/>
    <n v="8529.2400000000016"/>
    <s v=""/>
    <m/>
    <m/>
    <m/>
    <m/>
    <m/>
    <m/>
    <m/>
    <m/>
    <m/>
    <m/>
    <m/>
    <m/>
    <m/>
    <m/>
    <m/>
    <s v=" "/>
    <m/>
    <s v=" "/>
    <m/>
    <m/>
  </r>
  <r>
    <x v="491"/>
    <d v="2024-01-27T00:00:00"/>
    <x v="26"/>
    <x v="0"/>
    <x v="1"/>
    <x v="5"/>
    <x v="6"/>
    <x v="3"/>
    <s v="Cash"/>
    <s v=""/>
    <n v="1.99"/>
    <s v=""/>
    <s v=""/>
    <s v=""/>
    <s v=""/>
    <s v=""/>
    <n v="8527.2500000000018"/>
    <s v=""/>
    <m/>
    <m/>
    <m/>
    <m/>
    <m/>
    <m/>
    <m/>
    <m/>
    <m/>
    <m/>
    <m/>
    <m/>
    <m/>
    <m/>
    <m/>
    <s v=" "/>
    <m/>
    <s v=" "/>
    <m/>
    <m/>
  </r>
  <r>
    <x v="492"/>
    <d v="2024-01-28T00:00:00"/>
    <x v="27"/>
    <x v="0"/>
    <x v="1"/>
    <x v="0"/>
    <x v="0"/>
    <x v="0"/>
    <s v=""/>
    <s v=""/>
    <s v=""/>
    <s v=""/>
    <s v=""/>
    <s v=""/>
    <s v=""/>
    <s v=""/>
    <s v=""/>
    <s v=""/>
    <m/>
    <m/>
    <m/>
    <m/>
    <m/>
    <m/>
    <m/>
    <m/>
    <m/>
    <m/>
    <m/>
    <m/>
    <m/>
    <m/>
    <m/>
    <s v=" "/>
    <m/>
    <s v=" "/>
    <m/>
    <m/>
  </r>
  <r>
    <x v="493"/>
    <d v="2024-01-29T00:00:00"/>
    <x v="28"/>
    <x v="0"/>
    <x v="1"/>
    <x v="16"/>
    <x v="3"/>
    <x v="3"/>
    <s v="Cash"/>
    <s v=""/>
    <n v="4.2"/>
    <s v=""/>
    <s v=""/>
    <s v=""/>
    <s v=""/>
    <s v=""/>
    <n v="8523.0500000000011"/>
    <s v=""/>
    <m/>
    <m/>
    <m/>
    <m/>
    <m/>
    <m/>
    <m/>
    <m/>
    <m/>
    <m/>
    <m/>
    <m/>
    <m/>
    <m/>
    <m/>
    <s v=" "/>
    <m/>
    <s v=" "/>
    <m/>
    <m/>
  </r>
  <r>
    <x v="494"/>
    <d v="2024-01-30T00:00:00"/>
    <x v="29"/>
    <x v="0"/>
    <x v="1"/>
    <x v="67"/>
    <x v="3"/>
    <x v="3"/>
    <s v="Cash"/>
    <s v=""/>
    <n v="3"/>
    <s v=""/>
    <s v=""/>
    <s v=""/>
    <s v=""/>
    <s v=""/>
    <n v="8520.0500000000011"/>
    <s v=""/>
    <m/>
    <m/>
    <m/>
    <m/>
    <m/>
    <m/>
    <m/>
    <m/>
    <m/>
    <m/>
    <m/>
    <m/>
    <m/>
    <m/>
    <m/>
    <s v=" "/>
    <m/>
    <s v=" "/>
    <m/>
    <m/>
  </r>
  <r>
    <x v="495"/>
    <d v="2024-01-31T00:00:00"/>
    <x v="30"/>
    <x v="0"/>
    <x v="1"/>
    <x v="0"/>
    <x v="0"/>
    <x v="0"/>
    <s v=""/>
    <s v=""/>
    <s v=""/>
    <s v=""/>
    <s v=""/>
    <s v=""/>
    <s v=""/>
    <s v=""/>
    <s v=""/>
    <s v=""/>
    <m/>
    <m/>
    <m/>
    <m/>
    <m/>
    <m/>
    <m/>
    <m/>
    <m/>
    <m/>
    <m/>
    <m/>
    <m/>
    <m/>
    <m/>
    <s v=" "/>
    <m/>
    <s v=" "/>
    <m/>
    <m/>
  </r>
  <r>
    <x v="496"/>
    <d v="2024-02-01T00:00:00"/>
    <x v="0"/>
    <x v="1"/>
    <x v="1"/>
    <x v="1"/>
    <x v="1"/>
    <x v="1"/>
    <s v="Carta"/>
    <s v=""/>
    <n v="2"/>
    <s v=""/>
    <s v=""/>
    <s v=""/>
    <s v=""/>
    <s v=""/>
    <n v="8518.0500000000011"/>
    <s v=""/>
    <m/>
    <m/>
    <m/>
    <m/>
    <m/>
    <m/>
    <m/>
    <m/>
    <m/>
    <m/>
    <m/>
    <m/>
    <m/>
    <m/>
    <m/>
    <s v=" "/>
    <m/>
    <s v=" "/>
    <m/>
    <m/>
  </r>
  <r>
    <x v="497"/>
    <d v="2024-02-01T00:00:00"/>
    <x v="0"/>
    <x v="1"/>
    <x v="1"/>
    <x v="2"/>
    <x v="1"/>
    <x v="1"/>
    <s v="Carta"/>
    <s v=""/>
    <n v="4.9800000000000004"/>
    <s v=""/>
    <s v=""/>
    <s v=""/>
    <s v=""/>
    <s v=""/>
    <n v="8513.0700000000015"/>
    <s v=""/>
    <m/>
    <m/>
    <m/>
    <m/>
    <m/>
    <m/>
    <m/>
    <m/>
    <m/>
    <m/>
    <m/>
    <m/>
    <m/>
    <m/>
    <m/>
    <s v=" "/>
    <m/>
    <s v=" "/>
    <m/>
    <m/>
  </r>
  <r>
    <x v="498"/>
    <d v="2024-02-02T00:00:00"/>
    <x v="1"/>
    <x v="1"/>
    <x v="1"/>
    <x v="0"/>
    <x v="0"/>
    <x v="0"/>
    <s v=""/>
    <s v=""/>
    <s v=""/>
    <s v=""/>
    <s v=""/>
    <s v=""/>
    <s v=""/>
    <s v=""/>
    <s v=""/>
    <s v=""/>
    <m/>
    <m/>
    <m/>
    <m/>
    <m/>
    <m/>
    <m/>
    <m/>
    <m/>
    <m/>
    <m/>
    <m/>
    <m/>
    <m/>
    <m/>
    <s v=" "/>
    <m/>
    <s v=" "/>
    <m/>
    <m/>
  </r>
  <r>
    <x v="499"/>
    <d v="2024-02-03T00:00:00"/>
    <x v="2"/>
    <x v="1"/>
    <x v="1"/>
    <x v="22"/>
    <x v="14"/>
    <x v="0"/>
    <s v="Carta"/>
    <s v=""/>
    <s v=""/>
    <s v=""/>
    <s v=""/>
    <s v=""/>
    <s v=""/>
    <n v="500"/>
    <s v=""/>
    <s v=""/>
    <m/>
    <m/>
    <m/>
    <m/>
    <m/>
    <m/>
    <m/>
    <m/>
    <m/>
    <m/>
    <m/>
    <m/>
    <m/>
    <m/>
    <m/>
    <s v=" "/>
    <m/>
    <s v=" "/>
    <m/>
    <m/>
  </r>
  <r>
    <x v="500"/>
    <d v="2024-02-03T00:00:00"/>
    <x v="2"/>
    <x v="1"/>
    <x v="1"/>
    <x v="68"/>
    <x v="13"/>
    <x v="4"/>
    <s v="Cash"/>
    <n v="185.05"/>
    <s v=""/>
    <s v=""/>
    <s v=""/>
    <s v=""/>
    <s v=""/>
    <s v=""/>
    <n v="8328.0200000000023"/>
    <s v=""/>
    <m/>
    <m/>
    <m/>
    <m/>
    <m/>
    <m/>
    <m/>
    <m/>
    <m/>
    <m/>
    <m/>
    <m/>
    <m/>
    <m/>
    <m/>
    <s v=" "/>
    <m/>
    <s v=" "/>
    <m/>
    <m/>
  </r>
  <r>
    <x v="501"/>
    <d v="2024-02-03T00:00:00"/>
    <x v="2"/>
    <x v="1"/>
    <x v="1"/>
    <x v="5"/>
    <x v="3"/>
    <x v="3"/>
    <s v="Cash"/>
    <s v=""/>
    <n v="88.74"/>
    <s v=""/>
    <s v=""/>
    <s v=""/>
    <s v=""/>
    <s v=""/>
    <n v="8239.2800000000025"/>
    <s v=""/>
    <m/>
    <m/>
    <m/>
    <m/>
    <m/>
    <m/>
    <m/>
    <m/>
    <m/>
    <m/>
    <m/>
    <m/>
    <m/>
    <m/>
    <m/>
    <s v=" "/>
    <m/>
    <s v=" "/>
    <m/>
    <m/>
  </r>
  <r>
    <x v="502"/>
    <d v="2024-02-03T00:00:00"/>
    <x v="2"/>
    <x v="1"/>
    <x v="1"/>
    <x v="5"/>
    <x v="6"/>
    <x v="3"/>
    <s v="Cash"/>
    <s v=""/>
    <n v="9.98"/>
    <s v=""/>
    <s v=""/>
    <s v=""/>
    <s v=""/>
    <s v=""/>
    <n v="8229.3000000000029"/>
    <s v=""/>
    <m/>
    <m/>
    <m/>
    <m/>
    <m/>
    <m/>
    <m/>
    <m/>
    <m/>
    <m/>
    <m/>
    <m/>
    <m/>
    <m/>
    <m/>
    <s v=" "/>
    <m/>
    <s v=" "/>
    <m/>
    <m/>
  </r>
  <r>
    <x v="503"/>
    <d v="2024-02-04T00:00:00"/>
    <x v="3"/>
    <x v="1"/>
    <x v="1"/>
    <x v="0"/>
    <x v="0"/>
    <x v="0"/>
    <s v=""/>
    <s v=""/>
    <s v=""/>
    <s v=""/>
    <s v=""/>
    <s v=""/>
    <s v=""/>
    <s v=""/>
    <s v=""/>
    <s v=""/>
    <m/>
    <m/>
    <m/>
    <m/>
    <m/>
    <m/>
    <m/>
    <m/>
    <m/>
    <m/>
    <m/>
    <m/>
    <m/>
    <m/>
    <m/>
    <s v=" "/>
    <m/>
    <s v=" "/>
    <m/>
    <m/>
  </r>
  <r>
    <x v="504"/>
    <d v="2024-02-05T00:00:00"/>
    <x v="4"/>
    <x v="1"/>
    <x v="1"/>
    <x v="5"/>
    <x v="3"/>
    <x v="3"/>
    <s v="Cash"/>
    <s v=""/>
    <n v="6.03"/>
    <s v=""/>
    <s v=""/>
    <s v=""/>
    <s v=""/>
    <s v=""/>
    <n v="8223.2700000000023"/>
    <s v=""/>
    <m/>
    <m/>
    <m/>
    <m/>
    <m/>
    <m/>
    <m/>
    <m/>
    <m/>
    <m/>
    <m/>
    <m/>
    <m/>
    <m/>
    <m/>
    <s v=" "/>
    <m/>
    <s v=" "/>
    <m/>
    <m/>
  </r>
  <r>
    <x v="505"/>
    <d v="2024-02-05T00:00:00"/>
    <x v="4"/>
    <x v="1"/>
    <x v="1"/>
    <x v="5"/>
    <x v="6"/>
    <x v="3"/>
    <s v="Cash"/>
    <s v=""/>
    <n v="3.5"/>
    <s v=""/>
    <s v=""/>
    <s v=""/>
    <s v=""/>
    <s v=""/>
    <n v="8219.7700000000023"/>
    <s v=""/>
    <m/>
    <m/>
    <m/>
    <m/>
    <m/>
    <m/>
    <m/>
    <m/>
    <m/>
    <m/>
    <m/>
    <m/>
    <m/>
    <m/>
    <m/>
    <s v=" "/>
    <m/>
    <s v=" "/>
    <m/>
    <m/>
  </r>
  <r>
    <x v="506"/>
    <d v="2024-02-05T00:00:00"/>
    <x v="4"/>
    <x v="1"/>
    <x v="1"/>
    <x v="69"/>
    <x v="9"/>
    <x v="2"/>
    <s v="Cash"/>
    <n v="7.4"/>
    <s v=""/>
    <s v=""/>
    <s v=""/>
    <s v=""/>
    <s v=""/>
    <s v=""/>
    <n v="8212.3700000000026"/>
    <s v=""/>
    <m/>
    <m/>
    <m/>
    <m/>
    <m/>
    <m/>
    <m/>
    <m/>
    <m/>
    <m/>
    <m/>
    <m/>
    <m/>
    <m/>
    <m/>
    <s v=" "/>
    <m/>
    <s v=" "/>
    <m/>
    <m/>
  </r>
  <r>
    <x v="507"/>
    <d v="2024-02-05T00:00:00"/>
    <x v="4"/>
    <x v="1"/>
    <x v="1"/>
    <x v="70"/>
    <x v="12"/>
    <x v="6"/>
    <s v="Carta"/>
    <s v=""/>
    <n v="87"/>
    <s v=""/>
    <s v=""/>
    <s v=""/>
    <s v=""/>
    <s v=""/>
    <n v="8125.3700000000026"/>
    <s v=""/>
    <m/>
    <m/>
    <m/>
    <m/>
    <m/>
    <m/>
    <m/>
    <m/>
    <m/>
    <m/>
    <m/>
    <m/>
    <m/>
    <m/>
    <m/>
    <s v=" "/>
    <m/>
    <s v=" "/>
    <m/>
    <m/>
  </r>
  <r>
    <x v="508"/>
    <d v="2024-02-06T00:00:00"/>
    <x v="5"/>
    <x v="1"/>
    <x v="1"/>
    <x v="0"/>
    <x v="0"/>
    <x v="0"/>
    <s v=""/>
    <s v=""/>
    <s v=""/>
    <s v=""/>
    <s v=""/>
    <s v=""/>
    <s v=""/>
    <s v=""/>
    <s v=""/>
    <s v=""/>
    <m/>
    <m/>
    <m/>
    <m/>
    <m/>
    <m/>
    <m/>
    <m/>
    <m/>
    <m/>
    <m/>
    <m/>
    <m/>
    <m/>
    <m/>
    <s v=" "/>
    <m/>
    <s v=" "/>
    <m/>
    <m/>
  </r>
  <r>
    <x v="509"/>
    <d v="2024-02-07T00:00:00"/>
    <x v="6"/>
    <x v="1"/>
    <x v="1"/>
    <x v="0"/>
    <x v="0"/>
    <x v="0"/>
    <s v=""/>
    <s v=""/>
    <s v=""/>
    <s v=""/>
    <s v=""/>
    <s v=""/>
    <s v=""/>
    <s v=""/>
    <s v=""/>
    <s v=""/>
    <m/>
    <m/>
    <m/>
    <m/>
    <m/>
    <m/>
    <m/>
    <m/>
    <m/>
    <m/>
    <m/>
    <m/>
    <m/>
    <m/>
    <m/>
    <s v=" "/>
    <m/>
    <s v=" "/>
    <m/>
    <m/>
  </r>
  <r>
    <x v="510"/>
    <d v="2024-02-08T00:00:00"/>
    <x v="7"/>
    <x v="1"/>
    <x v="1"/>
    <x v="0"/>
    <x v="0"/>
    <x v="0"/>
    <s v=""/>
    <s v=""/>
    <s v=""/>
    <s v=""/>
    <s v=""/>
    <s v=""/>
    <s v=""/>
    <s v=""/>
    <s v=""/>
    <s v=""/>
    <m/>
    <m/>
    <m/>
    <m/>
    <m/>
    <m/>
    <m/>
    <m/>
    <m/>
    <m/>
    <m/>
    <m/>
    <m/>
    <m/>
    <m/>
    <s v=" "/>
    <m/>
    <s v=" "/>
    <m/>
    <m/>
  </r>
  <r>
    <x v="511"/>
    <d v="2024-02-09T00:00:00"/>
    <x v="8"/>
    <x v="1"/>
    <x v="1"/>
    <x v="71"/>
    <x v="18"/>
    <x v="8"/>
    <s v="Cash"/>
    <s v=""/>
    <n v="10"/>
    <s v=""/>
    <s v=""/>
    <s v=""/>
    <s v=""/>
    <s v=""/>
    <n v="8115.3700000000026"/>
    <s v=""/>
    <m/>
    <m/>
    <m/>
    <m/>
    <m/>
    <m/>
    <m/>
    <m/>
    <m/>
    <m/>
    <m/>
    <m/>
    <m/>
    <m/>
    <m/>
    <s v=" "/>
    <m/>
    <s v=" "/>
    <m/>
    <m/>
  </r>
  <r>
    <x v="512"/>
    <d v="2024-02-09T00:00:00"/>
    <x v="8"/>
    <x v="1"/>
    <x v="1"/>
    <x v="5"/>
    <x v="3"/>
    <x v="3"/>
    <s v="Cash"/>
    <s v=""/>
    <n v="21.45"/>
    <s v=""/>
    <s v=""/>
    <s v=""/>
    <s v=""/>
    <s v=""/>
    <n v="8093.9200000000028"/>
    <s v=""/>
    <m/>
    <m/>
    <m/>
    <m/>
    <m/>
    <m/>
    <m/>
    <m/>
    <m/>
    <m/>
    <m/>
    <m/>
    <m/>
    <m/>
    <m/>
    <s v=" "/>
    <m/>
    <s v=" "/>
    <m/>
    <m/>
  </r>
  <r>
    <x v="513"/>
    <d v="2024-02-09T00:00:00"/>
    <x v="8"/>
    <x v="1"/>
    <x v="1"/>
    <x v="5"/>
    <x v="6"/>
    <x v="3"/>
    <s v="Cash"/>
    <s v=""/>
    <n v="7.15"/>
    <s v=""/>
    <s v=""/>
    <s v=""/>
    <s v=""/>
    <s v=""/>
    <n v="8086.7700000000032"/>
    <s v=""/>
    <m/>
    <m/>
    <m/>
    <m/>
    <m/>
    <m/>
    <m/>
    <m/>
    <m/>
    <m/>
    <m/>
    <m/>
    <m/>
    <m/>
    <m/>
    <s v=" "/>
    <m/>
    <s v=" "/>
    <m/>
    <m/>
  </r>
  <r>
    <x v="514"/>
    <d v="2024-02-10T00:00:00"/>
    <x v="9"/>
    <x v="1"/>
    <x v="1"/>
    <x v="0"/>
    <x v="0"/>
    <x v="0"/>
    <s v=""/>
    <s v=""/>
    <s v=""/>
    <s v=""/>
    <s v=""/>
    <s v=""/>
    <s v=""/>
    <s v=""/>
    <s v=""/>
    <s v=""/>
    <m/>
    <m/>
    <m/>
    <m/>
    <m/>
    <m/>
    <m/>
    <m/>
    <m/>
    <m/>
    <m/>
    <m/>
    <m/>
    <m/>
    <m/>
    <s v=" "/>
    <m/>
    <s v=" "/>
    <m/>
    <m/>
  </r>
  <r>
    <x v="515"/>
    <d v="2024-02-11T00:00:00"/>
    <x v="10"/>
    <x v="1"/>
    <x v="1"/>
    <x v="5"/>
    <x v="3"/>
    <x v="3"/>
    <s v="Cash"/>
    <s v=""/>
    <n v="15.45"/>
    <s v=""/>
    <s v=""/>
    <s v=""/>
    <s v=""/>
    <s v=""/>
    <n v="8071.3200000000033"/>
    <s v=""/>
    <m/>
    <m/>
    <m/>
    <m/>
    <m/>
    <m/>
    <m/>
    <m/>
    <m/>
    <m/>
    <m/>
    <m/>
    <m/>
    <m/>
    <m/>
    <s v=" "/>
    <m/>
    <s v=" "/>
    <m/>
    <m/>
  </r>
  <r>
    <x v="516"/>
    <d v="2024-02-12T00:00:00"/>
    <x v="11"/>
    <x v="1"/>
    <x v="1"/>
    <x v="0"/>
    <x v="0"/>
    <x v="0"/>
    <s v=""/>
    <s v=""/>
    <s v=""/>
    <s v=""/>
    <s v=""/>
    <s v=""/>
    <s v=""/>
    <s v=""/>
    <s v=""/>
    <s v=""/>
    <m/>
    <m/>
    <m/>
    <m/>
    <m/>
    <m/>
    <m/>
    <m/>
    <m/>
    <m/>
    <m/>
    <m/>
    <m/>
    <m/>
    <m/>
    <s v=" "/>
    <m/>
    <s v=" "/>
    <m/>
    <m/>
  </r>
  <r>
    <x v="517"/>
    <d v="2024-02-13T00:00:00"/>
    <x v="12"/>
    <x v="1"/>
    <x v="1"/>
    <x v="0"/>
    <x v="0"/>
    <x v="0"/>
    <s v=""/>
    <s v=""/>
    <s v=""/>
    <s v=""/>
    <s v=""/>
    <s v=""/>
    <s v=""/>
    <s v=""/>
    <s v=""/>
    <s v=""/>
    <m/>
    <m/>
    <m/>
    <m/>
    <m/>
    <m/>
    <m/>
    <m/>
    <m/>
    <m/>
    <m/>
    <m/>
    <m/>
    <m/>
    <m/>
    <s v=" "/>
    <m/>
    <s v=" "/>
    <m/>
    <m/>
  </r>
  <r>
    <x v="518"/>
    <d v="2024-02-14T00:00:00"/>
    <x v="13"/>
    <x v="1"/>
    <x v="1"/>
    <x v="0"/>
    <x v="0"/>
    <x v="0"/>
    <s v=""/>
    <s v=""/>
    <s v=""/>
    <s v=""/>
    <s v=""/>
    <s v=""/>
    <s v=""/>
    <s v=""/>
    <s v=""/>
    <s v=""/>
    <m/>
    <m/>
    <m/>
    <m/>
    <m/>
    <m/>
    <m/>
    <m/>
    <m/>
    <m/>
    <m/>
    <m/>
    <m/>
    <m/>
    <m/>
    <s v=" "/>
    <m/>
    <s v=" "/>
    <m/>
    <m/>
  </r>
  <r>
    <x v="519"/>
    <d v="2024-02-15T00:00:00"/>
    <x v="14"/>
    <x v="1"/>
    <x v="1"/>
    <x v="0"/>
    <x v="0"/>
    <x v="0"/>
    <s v=""/>
    <s v=""/>
    <s v=""/>
    <s v=""/>
    <s v=""/>
    <s v=""/>
    <s v=""/>
    <s v=""/>
    <s v=""/>
    <s v=""/>
    <m/>
    <m/>
    <m/>
    <m/>
    <m/>
    <m/>
    <m/>
    <m/>
    <m/>
    <m/>
    <m/>
    <m/>
    <m/>
    <m/>
    <m/>
    <s v=" "/>
    <m/>
    <s v=" "/>
    <m/>
    <m/>
  </r>
  <r>
    <x v="520"/>
    <d v="2024-02-16T00:00:00"/>
    <x v="15"/>
    <x v="1"/>
    <x v="1"/>
    <x v="0"/>
    <x v="0"/>
    <x v="0"/>
    <s v=""/>
    <s v=""/>
    <s v=""/>
    <s v=""/>
    <s v=""/>
    <s v=""/>
    <s v=""/>
    <s v=""/>
    <s v=""/>
    <s v=""/>
    <m/>
    <m/>
    <m/>
    <m/>
    <m/>
    <m/>
    <m/>
    <m/>
    <m/>
    <m/>
    <m/>
    <m/>
    <m/>
    <m/>
    <m/>
    <s v=" "/>
    <m/>
    <s v=" "/>
    <m/>
    <m/>
  </r>
  <r>
    <x v="521"/>
    <d v="2024-02-17T00:00:00"/>
    <x v="16"/>
    <x v="1"/>
    <x v="1"/>
    <x v="0"/>
    <x v="0"/>
    <x v="0"/>
    <s v=""/>
    <s v=""/>
    <s v=""/>
    <s v=""/>
    <s v=""/>
    <s v=""/>
    <s v=""/>
    <s v=""/>
    <s v=""/>
    <s v=""/>
    <m/>
    <m/>
    <m/>
    <m/>
    <m/>
    <m/>
    <m/>
    <m/>
    <m/>
    <m/>
    <m/>
    <m/>
    <m/>
    <m/>
    <m/>
    <s v=" "/>
    <m/>
    <s v=" "/>
    <m/>
    <m/>
  </r>
  <r>
    <x v="522"/>
    <d v="2024-02-18T00:00:00"/>
    <x v="17"/>
    <x v="1"/>
    <x v="1"/>
    <x v="0"/>
    <x v="0"/>
    <x v="0"/>
    <s v=""/>
    <s v=""/>
    <s v=""/>
    <s v=""/>
    <s v=""/>
    <s v=""/>
    <s v=""/>
    <s v=""/>
    <s v=""/>
    <s v=""/>
    <m/>
    <m/>
    <m/>
    <m/>
    <m/>
    <m/>
    <m/>
    <m/>
    <m/>
    <m/>
    <m/>
    <m/>
    <m/>
    <m/>
    <m/>
    <s v=" "/>
    <m/>
    <s v=" "/>
    <m/>
    <m/>
  </r>
  <r>
    <x v="523"/>
    <d v="2024-02-19T00:00:00"/>
    <x v="18"/>
    <x v="1"/>
    <x v="1"/>
    <x v="0"/>
    <x v="0"/>
    <x v="0"/>
    <s v=""/>
    <s v=""/>
    <s v=""/>
    <s v=""/>
    <s v=""/>
    <s v=""/>
    <s v=""/>
    <s v=""/>
    <s v=""/>
    <s v=""/>
    <m/>
    <m/>
    <m/>
    <m/>
    <m/>
    <m/>
    <m/>
    <m/>
    <m/>
    <m/>
    <m/>
    <m/>
    <m/>
    <m/>
    <m/>
    <s v=" "/>
    <m/>
    <s v=" "/>
    <m/>
    <m/>
  </r>
  <r>
    <x v="524"/>
    <d v="2024-02-20T00:00:00"/>
    <x v="19"/>
    <x v="1"/>
    <x v="1"/>
    <x v="0"/>
    <x v="0"/>
    <x v="0"/>
    <s v=""/>
    <s v=""/>
    <s v=""/>
    <s v=""/>
    <s v=""/>
    <s v=""/>
    <s v=""/>
    <s v=""/>
    <s v=""/>
    <s v=""/>
    <m/>
    <m/>
    <m/>
    <m/>
    <m/>
    <m/>
    <m/>
    <m/>
    <m/>
    <m/>
    <m/>
    <m/>
    <m/>
    <m/>
    <m/>
    <s v=" "/>
    <m/>
    <s v=" "/>
    <m/>
    <m/>
  </r>
  <r>
    <x v="525"/>
    <d v="2024-02-21T00:00:00"/>
    <x v="20"/>
    <x v="1"/>
    <x v="1"/>
    <x v="0"/>
    <x v="0"/>
    <x v="0"/>
    <s v=""/>
    <s v=""/>
    <s v=""/>
    <s v=""/>
    <s v=""/>
    <s v=""/>
    <s v=""/>
    <s v=""/>
    <s v=""/>
    <s v=""/>
    <m/>
    <m/>
    <m/>
    <m/>
    <m/>
    <m/>
    <m/>
    <m/>
    <m/>
    <m/>
    <m/>
    <m/>
    <m/>
    <m/>
    <m/>
    <s v=" "/>
    <m/>
    <s v=" "/>
    <m/>
    <m/>
  </r>
  <r>
    <x v="526"/>
    <d v="2024-02-22T00:00:00"/>
    <x v="21"/>
    <x v="1"/>
    <x v="1"/>
    <x v="0"/>
    <x v="0"/>
    <x v="0"/>
    <s v=""/>
    <s v=""/>
    <s v=""/>
    <s v=""/>
    <s v=""/>
    <s v=""/>
    <s v=""/>
    <s v=""/>
    <s v=""/>
    <s v=""/>
    <m/>
    <m/>
    <m/>
    <m/>
    <m/>
    <m/>
    <m/>
    <m/>
    <m/>
    <m/>
    <m/>
    <m/>
    <m/>
    <m/>
    <m/>
    <s v=" "/>
    <m/>
    <s v=" "/>
    <m/>
    <m/>
  </r>
  <r>
    <x v="527"/>
    <d v="2024-02-23T00:00:00"/>
    <x v="22"/>
    <x v="1"/>
    <x v="1"/>
    <x v="0"/>
    <x v="0"/>
    <x v="0"/>
    <s v=""/>
    <s v=""/>
    <s v=""/>
    <s v=""/>
    <s v=""/>
    <s v=""/>
    <s v=""/>
    <s v=""/>
    <s v=""/>
    <s v=""/>
    <m/>
    <m/>
    <m/>
    <m/>
    <m/>
    <m/>
    <m/>
    <m/>
    <m/>
    <m/>
    <m/>
    <m/>
    <m/>
    <m/>
    <m/>
    <s v=" "/>
    <m/>
    <s v=" "/>
    <m/>
    <m/>
  </r>
  <r>
    <x v="528"/>
    <d v="2024-02-24T00:00:00"/>
    <x v="23"/>
    <x v="1"/>
    <x v="1"/>
    <x v="5"/>
    <x v="3"/>
    <x v="3"/>
    <s v="Cash"/>
    <s v=""/>
    <n v="72.099999999999994"/>
    <s v=""/>
    <s v=""/>
    <s v=""/>
    <s v=""/>
    <s v=""/>
    <n v="7999.220000000003"/>
    <s v=""/>
    <m/>
    <m/>
    <m/>
    <m/>
    <m/>
    <m/>
    <m/>
    <m/>
    <m/>
    <m/>
    <m/>
    <m/>
    <m/>
    <m/>
    <m/>
    <s v=" "/>
    <m/>
    <s v=" "/>
    <m/>
    <m/>
  </r>
  <r>
    <x v="529"/>
    <d v="2024-02-24T00:00:00"/>
    <x v="23"/>
    <x v="1"/>
    <x v="1"/>
    <x v="5"/>
    <x v="6"/>
    <x v="3"/>
    <s v="Cash"/>
    <s v=""/>
    <n v="11.31"/>
    <s v=""/>
    <s v=""/>
    <s v=""/>
    <s v=""/>
    <s v=""/>
    <n v="7987.9100000000026"/>
    <s v=""/>
    <m/>
    <m/>
    <m/>
    <m/>
    <m/>
    <m/>
    <m/>
    <m/>
    <m/>
    <m/>
    <m/>
    <m/>
    <m/>
    <m/>
    <m/>
    <s v=" "/>
    <m/>
    <s v=" "/>
    <m/>
    <m/>
  </r>
  <r>
    <x v="530"/>
    <d v="2024-02-24T00:00:00"/>
    <x v="23"/>
    <x v="1"/>
    <x v="1"/>
    <x v="72"/>
    <x v="9"/>
    <x v="2"/>
    <s v="Cash"/>
    <n v="2.99"/>
    <s v=""/>
    <s v=""/>
    <s v=""/>
    <s v=""/>
    <s v=""/>
    <s v=""/>
    <n v="7984.9200000000028"/>
    <s v=""/>
    <m/>
    <m/>
    <m/>
    <m/>
    <m/>
    <m/>
    <m/>
    <m/>
    <m/>
    <m/>
    <m/>
    <m/>
    <m/>
    <m/>
    <m/>
    <s v=" "/>
    <m/>
    <s v=" "/>
    <m/>
    <m/>
  </r>
  <r>
    <x v="531"/>
    <d v="2024-02-25T00:00:00"/>
    <x v="24"/>
    <x v="1"/>
    <x v="1"/>
    <x v="0"/>
    <x v="0"/>
    <x v="0"/>
    <s v=""/>
    <s v=""/>
    <s v=""/>
    <s v=""/>
    <s v=""/>
    <s v=""/>
    <s v=""/>
    <s v=""/>
    <s v=""/>
    <s v=""/>
    <m/>
    <m/>
    <m/>
    <m/>
    <m/>
    <m/>
    <m/>
    <m/>
    <m/>
    <m/>
    <m/>
    <m/>
    <m/>
    <m/>
    <m/>
    <s v=" "/>
    <m/>
    <s v=" "/>
    <m/>
    <m/>
  </r>
  <r>
    <x v="532"/>
    <d v="2024-02-26T00:00:00"/>
    <x v="25"/>
    <x v="1"/>
    <x v="1"/>
    <x v="0"/>
    <x v="0"/>
    <x v="0"/>
    <s v=""/>
    <s v=""/>
    <s v=""/>
    <s v=""/>
    <s v=""/>
    <s v=""/>
    <s v=""/>
    <s v=""/>
    <s v=""/>
    <s v=""/>
    <m/>
    <m/>
    <m/>
    <m/>
    <m/>
    <m/>
    <m/>
    <m/>
    <m/>
    <m/>
    <m/>
    <m/>
    <m/>
    <m/>
    <m/>
    <s v=" "/>
    <m/>
    <s v=" "/>
    <m/>
    <m/>
  </r>
  <r>
    <x v="533"/>
    <d v="2024-02-27T00:00:00"/>
    <x v="26"/>
    <x v="1"/>
    <x v="1"/>
    <x v="0"/>
    <x v="0"/>
    <x v="0"/>
    <s v=""/>
    <s v=""/>
    <s v=""/>
    <s v=""/>
    <s v=""/>
    <s v=""/>
    <s v=""/>
    <s v=""/>
    <s v=""/>
    <s v=""/>
    <m/>
    <m/>
    <m/>
    <m/>
    <m/>
    <m/>
    <m/>
    <m/>
    <m/>
    <m/>
    <m/>
    <m/>
    <m/>
    <m/>
    <m/>
    <s v=" "/>
    <m/>
    <s v=" "/>
    <m/>
    <m/>
  </r>
  <r>
    <x v="534"/>
    <d v="2024-02-28T00:00:00"/>
    <x v="27"/>
    <x v="1"/>
    <x v="1"/>
    <x v="5"/>
    <x v="3"/>
    <x v="3"/>
    <s v="Cash"/>
    <s v=""/>
    <n v="43.95"/>
    <s v=""/>
    <s v=""/>
    <s v=""/>
    <s v=""/>
    <s v=""/>
    <n v="7940.970000000003"/>
    <s v=""/>
    <m/>
    <m/>
    <m/>
    <m/>
    <m/>
    <m/>
    <m/>
    <m/>
    <m/>
    <m/>
    <m/>
    <m/>
    <m/>
    <m/>
    <m/>
    <s v=" "/>
    <m/>
    <s v=" "/>
    <m/>
    <m/>
  </r>
  <r>
    <x v="535"/>
    <d v="2024-02-29T00:00:00"/>
    <x v="28"/>
    <x v="1"/>
    <x v="1"/>
    <x v="0"/>
    <x v="0"/>
    <x v="0"/>
    <s v=""/>
    <s v=""/>
    <s v=""/>
    <s v=""/>
    <s v=""/>
    <s v=""/>
    <s v=""/>
    <s v=""/>
    <s v=""/>
    <s v=""/>
    <m/>
    <m/>
    <m/>
    <m/>
    <m/>
    <m/>
    <m/>
    <m/>
    <m/>
    <m/>
    <m/>
    <m/>
    <m/>
    <m/>
    <m/>
    <s v=" "/>
    <m/>
    <s v=" "/>
    <m/>
    <m/>
  </r>
  <r>
    <x v="536"/>
    <d v="2024-03-01T00:00:00"/>
    <x v="0"/>
    <x v="2"/>
    <x v="1"/>
    <x v="5"/>
    <x v="3"/>
    <x v="3"/>
    <s v="Cash"/>
    <s v=""/>
    <n v="50.58"/>
    <s v=""/>
    <s v=""/>
    <s v=""/>
    <s v=""/>
    <s v=""/>
    <n v="7890.3900000000031"/>
    <s v=""/>
    <m/>
    <m/>
    <m/>
    <m/>
    <m/>
    <m/>
    <m/>
    <m/>
    <m/>
    <m/>
    <m/>
    <m/>
    <m/>
    <m/>
    <m/>
    <s v=" "/>
    <m/>
    <s v=" "/>
    <m/>
    <m/>
  </r>
  <r>
    <x v="537"/>
    <d v="2024-03-02T00:00:00"/>
    <x v="1"/>
    <x v="2"/>
    <x v="1"/>
    <x v="1"/>
    <x v="1"/>
    <x v="1"/>
    <s v="Carta"/>
    <s v=""/>
    <n v="2"/>
    <s v=""/>
    <s v=""/>
    <s v=""/>
    <s v=""/>
    <s v=""/>
    <n v="7888.3900000000031"/>
    <s v=""/>
    <m/>
    <m/>
    <m/>
    <m/>
    <m/>
    <m/>
    <m/>
    <m/>
    <m/>
    <m/>
    <m/>
    <m/>
    <m/>
    <m/>
    <m/>
    <s v=" "/>
    <m/>
    <s v=" "/>
    <m/>
    <m/>
  </r>
  <r>
    <x v="538"/>
    <d v="2024-03-02T00:00:00"/>
    <x v="1"/>
    <x v="2"/>
    <x v="1"/>
    <x v="2"/>
    <x v="1"/>
    <x v="1"/>
    <s v="Carta"/>
    <s v=""/>
    <n v="4.9800000000000004"/>
    <s v=""/>
    <s v=""/>
    <s v=""/>
    <s v=""/>
    <s v=""/>
    <n v="7883.4100000000035"/>
    <s v=""/>
    <m/>
    <m/>
    <m/>
    <m/>
    <m/>
    <m/>
    <m/>
    <m/>
    <m/>
    <m/>
    <m/>
    <m/>
    <m/>
    <m/>
    <m/>
    <s v=" "/>
    <m/>
    <s v=" "/>
    <m/>
    <m/>
  </r>
  <r>
    <x v="539"/>
    <d v="2024-03-03T00:00:00"/>
    <x v="2"/>
    <x v="2"/>
    <x v="1"/>
    <x v="0"/>
    <x v="0"/>
    <x v="0"/>
    <s v=""/>
    <s v=""/>
    <s v=""/>
    <s v=""/>
    <s v=""/>
    <s v=""/>
    <s v=""/>
    <s v=""/>
    <s v=""/>
    <s v=""/>
    <m/>
    <m/>
    <m/>
    <m/>
    <m/>
    <m/>
    <m/>
    <m/>
    <m/>
    <m/>
    <m/>
    <m/>
    <m/>
    <m/>
    <m/>
    <s v=" "/>
    <m/>
    <s v=" "/>
    <m/>
    <m/>
  </r>
  <r>
    <x v="540"/>
    <d v="2024-03-04T00:00:00"/>
    <x v="3"/>
    <x v="2"/>
    <x v="1"/>
    <x v="73"/>
    <x v="13"/>
    <x v="4"/>
    <s v="Cash"/>
    <n v="39.5"/>
    <s v=""/>
    <s v=""/>
    <s v=""/>
    <s v=""/>
    <s v=""/>
    <s v=""/>
    <n v="7843.9100000000035"/>
    <s v=""/>
    <m/>
    <m/>
    <m/>
    <m/>
    <m/>
    <m/>
    <m/>
    <m/>
    <m/>
    <m/>
    <m/>
    <m/>
    <m/>
    <m/>
    <m/>
    <s v=" "/>
    <m/>
    <s v=" "/>
    <m/>
    <m/>
  </r>
  <r>
    <x v="541"/>
    <d v="2024-03-05T00:00:00"/>
    <x v="4"/>
    <x v="2"/>
    <x v="1"/>
    <x v="0"/>
    <x v="0"/>
    <x v="0"/>
    <s v=""/>
    <s v=""/>
    <s v=""/>
    <s v=""/>
    <s v=""/>
    <s v=""/>
    <s v=""/>
    <s v=""/>
    <s v=""/>
    <s v=""/>
    <m/>
    <m/>
    <m/>
    <m/>
    <m/>
    <m/>
    <m/>
    <m/>
    <m/>
    <m/>
    <m/>
    <m/>
    <m/>
    <m/>
    <m/>
    <s v=" "/>
    <m/>
    <s v=" "/>
    <m/>
    <m/>
  </r>
  <r>
    <x v="542"/>
    <d v="2024-03-06T00:00:00"/>
    <x v="5"/>
    <x v="2"/>
    <x v="1"/>
    <x v="74"/>
    <x v="12"/>
    <x v="6"/>
    <s v="Carta"/>
    <s v=""/>
    <n v="53"/>
    <s v=""/>
    <s v=""/>
    <s v=""/>
    <s v=""/>
    <s v=""/>
    <n v="7790.9100000000035"/>
    <s v=""/>
    <m/>
    <m/>
    <m/>
    <m/>
    <m/>
    <m/>
    <m/>
    <m/>
    <m/>
    <m/>
    <m/>
    <m/>
    <m/>
    <m/>
    <m/>
    <s v=" "/>
    <m/>
    <s v=" "/>
    <m/>
    <m/>
  </r>
  <r>
    <x v="543"/>
    <d v="2024-03-07T00:00:00"/>
    <x v="6"/>
    <x v="2"/>
    <x v="1"/>
    <x v="5"/>
    <x v="6"/>
    <x v="3"/>
    <s v="Cash"/>
    <s v=""/>
    <n v="13.78"/>
    <s v=""/>
    <s v=""/>
    <s v=""/>
    <s v=""/>
    <s v=""/>
    <n v="7777.1300000000037"/>
    <s v=""/>
    <m/>
    <m/>
    <m/>
    <m/>
    <m/>
    <m/>
    <m/>
    <m/>
    <m/>
    <m/>
    <m/>
    <m/>
    <m/>
    <m/>
    <m/>
    <s v=" "/>
    <m/>
    <s v=" "/>
    <m/>
    <m/>
  </r>
  <r>
    <x v="544"/>
    <d v="2024-03-07T00:00:00"/>
    <x v="6"/>
    <x v="2"/>
    <x v="1"/>
    <x v="75"/>
    <x v="9"/>
    <x v="2"/>
    <s v="Cash"/>
    <n v="2.4500000000000002"/>
    <s v=""/>
    <s v=""/>
    <s v=""/>
    <s v=""/>
    <s v=""/>
    <s v=""/>
    <n v="7774.6800000000039"/>
    <s v=""/>
    <m/>
    <m/>
    <m/>
    <m/>
    <m/>
    <m/>
    <m/>
    <m/>
    <m/>
    <m/>
    <m/>
    <m/>
    <m/>
    <m/>
    <m/>
    <s v=" "/>
    <m/>
    <s v=" "/>
    <m/>
    <m/>
  </r>
  <r>
    <x v="545"/>
    <d v="2024-03-07T00:00:00"/>
    <x v="6"/>
    <x v="2"/>
    <x v="1"/>
    <x v="76"/>
    <x v="10"/>
    <x v="2"/>
    <s v="Cash"/>
    <n v="0.8"/>
    <s v=""/>
    <s v=""/>
    <s v=""/>
    <s v=""/>
    <s v=""/>
    <s v=""/>
    <n v="7773.8800000000037"/>
    <s v=""/>
    <m/>
    <m/>
    <m/>
    <m/>
    <m/>
    <m/>
    <m/>
    <m/>
    <m/>
    <m/>
    <m/>
    <m/>
    <m/>
    <m/>
    <m/>
    <s v=" "/>
    <m/>
    <s v=" "/>
    <m/>
    <m/>
  </r>
  <r>
    <x v="546"/>
    <d v="2024-03-08T00:00:00"/>
    <x v="7"/>
    <x v="2"/>
    <x v="1"/>
    <x v="0"/>
    <x v="0"/>
    <x v="0"/>
    <s v=""/>
    <s v=""/>
    <s v=""/>
    <s v=""/>
    <s v=""/>
    <s v=""/>
    <s v=""/>
    <s v=""/>
    <s v=""/>
    <s v=""/>
    <m/>
    <m/>
    <m/>
    <m/>
    <m/>
    <m/>
    <m/>
    <m/>
    <m/>
    <m/>
    <m/>
    <m/>
    <m/>
    <m/>
    <m/>
    <s v=" "/>
    <m/>
    <s v=" "/>
    <m/>
    <m/>
  </r>
  <r>
    <x v="547"/>
    <d v="2024-03-09T00:00:00"/>
    <x v="8"/>
    <x v="2"/>
    <x v="1"/>
    <x v="0"/>
    <x v="0"/>
    <x v="0"/>
    <s v=""/>
    <s v=""/>
    <s v=""/>
    <s v=""/>
    <s v=""/>
    <s v=""/>
    <s v=""/>
    <s v=""/>
    <s v=""/>
    <s v=""/>
    <m/>
    <m/>
    <m/>
    <m/>
    <m/>
    <m/>
    <m/>
    <m/>
    <m/>
    <m/>
    <m/>
    <m/>
    <m/>
    <m/>
    <m/>
    <s v=" "/>
    <m/>
    <s v=" "/>
    <m/>
    <m/>
  </r>
  <r>
    <x v="548"/>
    <d v="2024-03-10T00:00:00"/>
    <x v="9"/>
    <x v="2"/>
    <x v="1"/>
    <x v="0"/>
    <x v="0"/>
    <x v="0"/>
    <s v=""/>
    <s v=""/>
    <s v=""/>
    <s v=""/>
    <s v=""/>
    <s v=""/>
    <s v=""/>
    <s v=""/>
    <s v=""/>
    <s v=""/>
    <m/>
    <m/>
    <m/>
    <m/>
    <m/>
    <m/>
    <m/>
    <m/>
    <m/>
    <m/>
    <m/>
    <m/>
    <m/>
    <m/>
    <m/>
    <s v=" "/>
    <m/>
    <s v=" "/>
    <m/>
    <m/>
  </r>
  <r>
    <x v="549"/>
    <d v="2024-03-11T00:00:00"/>
    <x v="10"/>
    <x v="2"/>
    <x v="1"/>
    <x v="5"/>
    <x v="3"/>
    <x v="3"/>
    <s v="Cash"/>
    <s v=""/>
    <n v="20.85"/>
    <s v=""/>
    <s v=""/>
    <s v=""/>
    <s v=""/>
    <s v=""/>
    <n v="7753.0300000000034"/>
    <s v=""/>
    <m/>
    <m/>
    <m/>
    <m/>
    <m/>
    <m/>
    <m/>
    <m/>
    <m/>
    <m/>
    <m/>
    <m/>
    <m/>
    <m/>
    <m/>
    <s v=" "/>
    <m/>
    <s v=" "/>
    <m/>
    <m/>
  </r>
  <r>
    <x v="550"/>
    <d v="2024-03-12T00:00:00"/>
    <x v="11"/>
    <x v="2"/>
    <x v="1"/>
    <x v="5"/>
    <x v="3"/>
    <x v="3"/>
    <s v="Cash"/>
    <s v=""/>
    <n v="36.26"/>
    <s v=""/>
    <s v=""/>
    <s v=""/>
    <s v=""/>
    <s v=""/>
    <n v="7716.7700000000032"/>
    <s v=""/>
    <m/>
    <m/>
    <m/>
    <m/>
    <m/>
    <m/>
    <m/>
    <m/>
    <m/>
    <m/>
    <m/>
    <m/>
    <m/>
    <m/>
    <m/>
    <s v=" "/>
    <m/>
    <s v=" "/>
    <m/>
    <m/>
  </r>
  <r>
    <x v="551"/>
    <d v="2024-03-12T00:00:00"/>
    <x v="11"/>
    <x v="2"/>
    <x v="1"/>
    <x v="5"/>
    <x v="6"/>
    <x v="3"/>
    <s v="Cash"/>
    <s v=""/>
    <n v="2.5"/>
    <s v=""/>
    <s v=""/>
    <s v=""/>
    <s v=""/>
    <s v=""/>
    <n v="7714.2700000000032"/>
    <s v=""/>
    <m/>
    <m/>
    <m/>
    <m/>
    <m/>
    <m/>
    <m/>
    <m/>
    <m/>
    <m/>
    <m/>
    <m/>
    <m/>
    <m/>
    <m/>
    <s v=" "/>
    <m/>
    <s v=" "/>
    <m/>
    <m/>
  </r>
  <r>
    <x v="552"/>
    <d v="2024-03-12T00:00:00"/>
    <x v="11"/>
    <x v="2"/>
    <x v="1"/>
    <x v="77"/>
    <x v="9"/>
    <x v="2"/>
    <s v="Cash"/>
    <n v="2.5"/>
    <s v=""/>
    <s v=""/>
    <s v=""/>
    <s v=""/>
    <s v=""/>
    <s v=""/>
    <n v="7711.7700000000032"/>
    <s v=""/>
    <m/>
    <m/>
    <m/>
    <m/>
    <m/>
    <m/>
    <m/>
    <m/>
    <m/>
    <m/>
    <m/>
    <m/>
    <m/>
    <m/>
    <m/>
    <s v=" "/>
    <m/>
    <s v=" "/>
    <m/>
    <m/>
  </r>
  <r>
    <x v="553"/>
    <d v="2024-03-12T00:00:00"/>
    <x v="11"/>
    <x v="2"/>
    <x v="1"/>
    <x v="76"/>
    <x v="10"/>
    <x v="2"/>
    <s v="Cash"/>
    <n v="1.49"/>
    <s v=""/>
    <s v=""/>
    <s v=""/>
    <s v=""/>
    <s v=""/>
    <s v=""/>
    <n v="7710.2800000000034"/>
    <s v=""/>
    <m/>
    <m/>
    <m/>
    <m/>
    <m/>
    <m/>
    <m/>
    <m/>
    <m/>
    <m/>
    <m/>
    <m/>
    <m/>
    <m/>
    <m/>
    <s v=" "/>
    <m/>
    <s v=" "/>
    <m/>
    <m/>
  </r>
  <r>
    <x v="554"/>
    <d v="2024-03-13T00:00:00"/>
    <x v="12"/>
    <x v="2"/>
    <x v="1"/>
    <x v="78"/>
    <x v="5"/>
    <x v="4"/>
    <s v="Cash"/>
    <n v="25"/>
    <s v=""/>
    <s v=""/>
    <s v=""/>
    <s v=""/>
    <s v=""/>
    <s v=""/>
    <n v="7685.2800000000034"/>
    <s v=""/>
    <m/>
    <m/>
    <m/>
    <m/>
    <m/>
    <m/>
    <m/>
    <m/>
    <m/>
    <m/>
    <m/>
    <m/>
    <m/>
    <m/>
    <m/>
    <s v=" "/>
    <m/>
    <s v=" "/>
    <m/>
    <m/>
  </r>
  <r>
    <x v="555"/>
    <d v="2024-03-13T00:00:00"/>
    <x v="12"/>
    <x v="2"/>
    <x v="1"/>
    <x v="5"/>
    <x v="3"/>
    <x v="3"/>
    <s v="Cash"/>
    <s v=""/>
    <n v="18.5"/>
    <s v=""/>
    <s v=""/>
    <s v=""/>
    <s v=""/>
    <s v=""/>
    <n v="7666.7800000000034"/>
    <s v=""/>
    <m/>
    <m/>
    <m/>
    <m/>
    <m/>
    <m/>
    <m/>
    <m/>
    <m/>
    <m/>
    <m/>
    <m/>
    <m/>
    <m/>
    <m/>
    <s v=" "/>
    <m/>
    <s v=" "/>
    <m/>
    <m/>
  </r>
  <r>
    <x v="556"/>
    <d v="2024-03-13T00:00:00"/>
    <x v="12"/>
    <x v="2"/>
    <x v="1"/>
    <x v="79"/>
    <x v="2"/>
    <x v="2"/>
    <s v="Cash"/>
    <n v="2.2000000000000002"/>
    <s v=""/>
    <s v=""/>
    <s v=""/>
    <s v=""/>
    <s v=""/>
    <s v=""/>
    <n v="7664.5800000000036"/>
    <s v=""/>
    <m/>
    <m/>
    <m/>
    <m/>
    <m/>
    <m/>
    <m/>
    <m/>
    <m/>
    <m/>
    <m/>
    <m/>
    <m/>
    <m/>
    <m/>
    <s v=" "/>
    <m/>
    <s v=" "/>
    <m/>
    <m/>
  </r>
  <r>
    <x v="557"/>
    <d v="2024-03-14T00:00:00"/>
    <x v="13"/>
    <x v="2"/>
    <x v="1"/>
    <x v="5"/>
    <x v="3"/>
    <x v="3"/>
    <s v="Cash"/>
    <s v=""/>
    <n v="25.47"/>
    <s v=""/>
    <s v=""/>
    <s v=""/>
    <s v=""/>
    <s v=""/>
    <n v="7639.1100000000033"/>
    <s v=""/>
    <m/>
    <m/>
    <m/>
    <m/>
    <m/>
    <m/>
    <m/>
    <m/>
    <m/>
    <m/>
    <m/>
    <m/>
    <m/>
    <m/>
    <m/>
    <s v=" "/>
    <m/>
    <s v=" "/>
    <m/>
    <m/>
  </r>
  <r>
    <x v="558"/>
    <d v="2024-03-14T00:00:00"/>
    <x v="13"/>
    <x v="2"/>
    <x v="1"/>
    <x v="80"/>
    <x v="21"/>
    <x v="2"/>
    <s v="Cash"/>
    <n v="119.05"/>
    <s v=""/>
    <s v=""/>
    <s v=""/>
    <s v=""/>
    <s v=""/>
    <s v=""/>
    <n v="7520.0600000000031"/>
    <s v=""/>
    <m/>
    <m/>
    <m/>
    <m/>
    <m/>
    <m/>
    <m/>
    <m/>
    <m/>
    <m/>
    <m/>
    <m/>
    <m/>
    <m/>
    <m/>
    <s v=" "/>
    <m/>
    <s v=" "/>
    <m/>
    <m/>
  </r>
  <r>
    <x v="559"/>
    <d v="2024-03-14T00:00:00"/>
    <x v="13"/>
    <x v="2"/>
    <x v="1"/>
    <x v="81"/>
    <x v="10"/>
    <x v="2"/>
    <s v="Cash"/>
    <n v="10"/>
    <s v=""/>
    <s v=""/>
    <s v=""/>
    <s v=""/>
    <s v=""/>
    <s v=""/>
    <n v="7510.0600000000031"/>
    <s v=""/>
    <m/>
    <m/>
    <m/>
    <m/>
    <m/>
    <m/>
    <m/>
    <m/>
    <m/>
    <m/>
    <m/>
    <m/>
    <m/>
    <m/>
    <m/>
    <s v=" "/>
    <m/>
    <s v=" "/>
    <m/>
    <m/>
  </r>
  <r>
    <x v="560"/>
    <d v="2024-03-15T00:00:00"/>
    <x v="14"/>
    <x v="2"/>
    <x v="1"/>
    <x v="22"/>
    <x v="14"/>
    <x v="0"/>
    <s v="Carta"/>
    <s v=""/>
    <s v=""/>
    <s v=""/>
    <s v=""/>
    <s v=""/>
    <s v=""/>
    <n v="500"/>
    <s v=""/>
    <s v=""/>
    <m/>
    <m/>
    <m/>
    <m/>
    <m/>
    <m/>
    <m/>
    <m/>
    <m/>
    <m/>
    <m/>
    <m/>
    <m/>
    <m/>
    <m/>
    <s v=" "/>
    <m/>
    <s v=" "/>
    <m/>
    <m/>
  </r>
  <r>
    <x v="561"/>
    <d v="2024-03-15T00:00:00"/>
    <x v="14"/>
    <x v="2"/>
    <x v="1"/>
    <x v="5"/>
    <x v="6"/>
    <x v="3"/>
    <s v="Cash"/>
    <s v=""/>
    <n v="10.35"/>
    <s v=""/>
    <s v=""/>
    <s v=""/>
    <s v=""/>
    <s v=""/>
    <n v="7499.7100000000028"/>
    <s v=""/>
    <m/>
    <m/>
    <m/>
    <m/>
    <m/>
    <m/>
    <m/>
    <m/>
    <m/>
    <m/>
    <m/>
    <m/>
    <m/>
    <m/>
    <m/>
    <s v=" "/>
    <m/>
    <s v=" "/>
    <m/>
    <m/>
  </r>
  <r>
    <x v="562"/>
    <d v="2024-03-15T00:00:00"/>
    <x v="14"/>
    <x v="2"/>
    <x v="1"/>
    <x v="16"/>
    <x v="3"/>
    <x v="3"/>
    <s v="Cash"/>
    <s v=""/>
    <n v="4"/>
    <s v=""/>
    <s v=""/>
    <s v=""/>
    <s v=""/>
    <s v=""/>
    <n v="7495.7100000000028"/>
    <s v=""/>
    <m/>
    <m/>
    <m/>
    <m/>
    <m/>
    <m/>
    <m/>
    <m/>
    <m/>
    <m/>
    <m/>
    <m/>
    <m/>
    <m/>
    <m/>
    <s v=" "/>
    <m/>
    <s v=" "/>
    <m/>
    <m/>
  </r>
  <r>
    <x v="563"/>
    <d v="2024-03-15T00:00:00"/>
    <x v="14"/>
    <x v="2"/>
    <x v="1"/>
    <x v="16"/>
    <x v="15"/>
    <x v="7"/>
    <s v="Cash"/>
    <n v="1"/>
    <s v=""/>
    <s v=""/>
    <s v=""/>
    <s v=""/>
    <s v=""/>
    <s v=""/>
    <n v="7494.7100000000028"/>
    <s v=""/>
    <m/>
    <m/>
    <m/>
    <m/>
    <m/>
    <m/>
    <m/>
    <m/>
    <m/>
    <m/>
    <m/>
    <m/>
    <m/>
    <m/>
    <m/>
    <s v=" "/>
    <m/>
    <s v=" "/>
    <m/>
    <m/>
  </r>
  <r>
    <x v="564"/>
    <d v="2024-03-15T00:00:00"/>
    <x v="14"/>
    <x v="2"/>
    <x v="1"/>
    <x v="82"/>
    <x v="2"/>
    <x v="2"/>
    <s v="Cash"/>
    <n v="2.2000000000000002"/>
    <s v=""/>
    <s v=""/>
    <s v=""/>
    <s v=""/>
    <s v=""/>
    <s v=""/>
    <n v="7492.5100000000029"/>
    <s v=""/>
    <m/>
    <m/>
    <m/>
    <m/>
    <m/>
    <m/>
    <m/>
    <m/>
    <m/>
    <m/>
    <m/>
    <m/>
    <m/>
    <m/>
    <m/>
    <s v=" "/>
    <m/>
    <s v=" "/>
    <m/>
    <m/>
  </r>
  <r>
    <x v="565"/>
    <d v="2024-03-16T00:00:00"/>
    <x v="15"/>
    <x v="2"/>
    <x v="1"/>
    <x v="83"/>
    <x v="3"/>
    <x v="3"/>
    <s v="Cash"/>
    <s v=""/>
    <n v="16.77"/>
    <s v=""/>
    <s v=""/>
    <s v=""/>
    <s v=""/>
    <s v=""/>
    <n v="7475.7400000000025"/>
    <s v=""/>
    <m/>
    <m/>
    <m/>
    <m/>
    <m/>
    <m/>
    <m/>
    <m/>
    <m/>
    <m/>
    <m/>
    <m/>
    <m/>
    <m/>
    <m/>
    <s v=" "/>
    <m/>
    <s v=" "/>
    <m/>
    <m/>
  </r>
  <r>
    <x v="566"/>
    <d v="2024-03-17T00:00:00"/>
    <x v="16"/>
    <x v="2"/>
    <x v="1"/>
    <x v="16"/>
    <x v="15"/>
    <x v="7"/>
    <s v="Cash"/>
    <n v="3"/>
    <s v=""/>
    <s v=""/>
    <s v=""/>
    <s v=""/>
    <s v=""/>
    <s v=""/>
    <n v="7472.7400000000025"/>
    <s v=""/>
    <m/>
    <m/>
    <m/>
    <m/>
    <m/>
    <m/>
    <m/>
    <m/>
    <m/>
    <m/>
    <m/>
    <m/>
    <m/>
    <m/>
    <m/>
    <s v=" "/>
    <m/>
    <s v=" "/>
    <m/>
    <m/>
  </r>
  <r>
    <x v="567"/>
    <d v="2024-03-17T00:00:00"/>
    <x v="16"/>
    <x v="2"/>
    <x v="1"/>
    <x v="82"/>
    <x v="2"/>
    <x v="2"/>
    <s v="Cash"/>
    <n v="2.6"/>
    <s v=""/>
    <s v=""/>
    <s v=""/>
    <s v=""/>
    <s v=""/>
    <s v=""/>
    <n v="7470.1400000000021"/>
    <s v=""/>
    <m/>
    <m/>
    <m/>
    <m/>
    <m/>
    <m/>
    <m/>
    <m/>
    <m/>
    <m/>
    <m/>
    <m/>
    <m/>
    <m/>
    <m/>
    <s v=" "/>
    <m/>
    <s v=" "/>
    <m/>
    <m/>
  </r>
  <r>
    <x v="568"/>
    <d v="2024-03-18T00:00:00"/>
    <x v="17"/>
    <x v="2"/>
    <x v="1"/>
    <x v="5"/>
    <x v="3"/>
    <x v="3"/>
    <s v="Cash"/>
    <s v=""/>
    <n v="31.77"/>
    <s v=""/>
    <s v=""/>
    <s v=""/>
    <s v=""/>
    <s v=""/>
    <n v="7438.3700000000017"/>
    <s v=""/>
    <m/>
    <m/>
    <m/>
    <m/>
    <m/>
    <m/>
    <m/>
    <m/>
    <m/>
    <m/>
    <m/>
    <m/>
    <m/>
    <m/>
    <m/>
    <s v=" "/>
    <m/>
    <s v=" "/>
    <m/>
    <m/>
  </r>
  <r>
    <x v="569"/>
    <d v="2024-03-18T00:00:00"/>
    <x v="17"/>
    <x v="2"/>
    <x v="1"/>
    <x v="5"/>
    <x v="6"/>
    <x v="3"/>
    <s v="Cash"/>
    <s v=""/>
    <n v="5.95"/>
    <s v=""/>
    <s v=""/>
    <s v=""/>
    <s v=""/>
    <s v=""/>
    <n v="7432.4200000000019"/>
    <s v=""/>
    <m/>
    <m/>
    <m/>
    <m/>
    <m/>
    <m/>
    <m/>
    <m/>
    <m/>
    <m/>
    <m/>
    <m/>
    <m/>
    <m/>
    <m/>
    <s v=" "/>
    <m/>
    <s v=" "/>
    <m/>
    <m/>
  </r>
  <r>
    <x v="570"/>
    <d v="2024-03-18T00:00:00"/>
    <x v="17"/>
    <x v="2"/>
    <x v="1"/>
    <x v="84"/>
    <x v="9"/>
    <x v="2"/>
    <s v="Cash"/>
    <n v="32.29"/>
    <s v=""/>
    <s v=""/>
    <s v=""/>
    <s v=""/>
    <s v=""/>
    <s v=""/>
    <n v="7400.1300000000019"/>
    <s v=""/>
    <m/>
    <m/>
    <m/>
    <m/>
    <m/>
    <m/>
    <m/>
    <m/>
    <m/>
    <m/>
    <m/>
    <m/>
    <m/>
    <m/>
    <m/>
    <s v=" "/>
    <m/>
    <s v=" "/>
    <m/>
    <m/>
  </r>
  <r>
    <x v="571"/>
    <d v="2024-03-18T00:00:00"/>
    <x v="17"/>
    <x v="2"/>
    <x v="1"/>
    <x v="85"/>
    <x v="9"/>
    <x v="2"/>
    <s v="Cash"/>
    <n v="18.98"/>
    <s v=""/>
    <s v=""/>
    <s v=""/>
    <s v=""/>
    <s v=""/>
    <s v=""/>
    <n v="7381.1500000000024"/>
    <s v=""/>
    <m/>
    <m/>
    <m/>
    <m/>
    <m/>
    <m/>
    <m/>
    <m/>
    <m/>
    <m/>
    <m/>
    <m/>
    <m/>
    <m/>
    <m/>
    <s v=" "/>
    <m/>
    <s v=" "/>
    <m/>
    <m/>
  </r>
  <r>
    <x v="572"/>
    <d v="2024-03-19T00:00:00"/>
    <x v="18"/>
    <x v="2"/>
    <x v="1"/>
    <x v="82"/>
    <x v="2"/>
    <x v="2"/>
    <s v="Cash"/>
    <n v="4.4000000000000004"/>
    <s v=""/>
    <s v=""/>
    <s v=""/>
    <s v=""/>
    <s v=""/>
    <s v=""/>
    <n v="7376.7500000000027"/>
    <s v=""/>
    <m/>
    <m/>
    <m/>
    <m/>
    <m/>
    <m/>
    <m/>
    <m/>
    <m/>
    <m/>
    <m/>
    <m/>
    <m/>
    <m/>
    <m/>
    <s v=" "/>
    <m/>
    <s v=" "/>
    <m/>
    <m/>
  </r>
  <r>
    <x v="573"/>
    <d v="2024-03-19T00:00:00"/>
    <x v="18"/>
    <x v="2"/>
    <x v="1"/>
    <x v="52"/>
    <x v="4"/>
    <x v="4"/>
    <s v="Cash"/>
    <n v="40"/>
    <s v=""/>
    <s v=""/>
    <s v=""/>
    <s v=""/>
    <s v=""/>
    <s v=""/>
    <n v="7336.7500000000027"/>
    <s v=""/>
    <m/>
    <m/>
    <m/>
    <m/>
    <m/>
    <m/>
    <m/>
    <m/>
    <m/>
    <m/>
    <m/>
    <m/>
    <m/>
    <m/>
    <m/>
    <s v=" "/>
    <m/>
    <s v=" "/>
    <m/>
    <m/>
  </r>
  <r>
    <x v="574"/>
    <d v="2024-03-19T00:00:00"/>
    <x v="18"/>
    <x v="2"/>
    <x v="1"/>
    <x v="86"/>
    <x v="3"/>
    <x v="3"/>
    <s v="Cash"/>
    <s v=""/>
    <n v="8.4"/>
    <s v=""/>
    <s v=""/>
    <s v=""/>
    <s v=""/>
    <s v=""/>
    <n v="7328.3500000000031"/>
    <s v=""/>
    <m/>
    <m/>
    <m/>
    <m/>
    <m/>
    <m/>
    <m/>
    <m/>
    <m/>
    <m/>
    <m/>
    <m/>
    <m/>
    <m/>
    <m/>
    <s v=" "/>
    <m/>
    <s v=" "/>
    <m/>
    <m/>
  </r>
  <r>
    <x v="575"/>
    <d v="2024-03-19T00:00:00"/>
    <x v="18"/>
    <x v="2"/>
    <x v="1"/>
    <x v="87"/>
    <x v="13"/>
    <x v="4"/>
    <s v="Cash"/>
    <n v="85"/>
    <s v=""/>
    <s v=""/>
    <s v=""/>
    <s v=""/>
    <s v=""/>
    <s v=""/>
    <n v="7243.3500000000031"/>
    <s v=""/>
    <m/>
    <m/>
    <m/>
    <m/>
    <m/>
    <m/>
    <m/>
    <m/>
    <m/>
    <m/>
    <m/>
    <m/>
    <m/>
    <m/>
    <m/>
    <s v=" "/>
    <m/>
    <s v=" "/>
    <m/>
    <m/>
  </r>
  <r>
    <x v="576"/>
    <d v="2024-03-20T00:00:00"/>
    <x v="19"/>
    <x v="2"/>
    <x v="1"/>
    <x v="0"/>
    <x v="0"/>
    <x v="0"/>
    <s v=""/>
    <s v=""/>
    <s v=""/>
    <s v=""/>
    <s v=""/>
    <s v=""/>
    <s v=""/>
    <s v=""/>
    <s v=""/>
    <s v=""/>
    <m/>
    <m/>
    <m/>
    <m/>
    <m/>
    <m/>
    <m/>
    <m/>
    <m/>
    <m/>
    <m/>
    <m/>
    <m/>
    <m/>
    <m/>
    <s v=" "/>
    <m/>
    <s v=" "/>
    <m/>
    <m/>
  </r>
  <r>
    <x v="577"/>
    <d v="2024-03-21T00:00:00"/>
    <x v="20"/>
    <x v="2"/>
    <x v="1"/>
    <x v="0"/>
    <x v="0"/>
    <x v="0"/>
    <s v=""/>
    <s v=""/>
    <s v=""/>
    <s v=""/>
    <s v=""/>
    <s v=""/>
    <s v=""/>
    <s v=""/>
    <s v=""/>
    <s v=""/>
    <m/>
    <m/>
    <m/>
    <m/>
    <m/>
    <m/>
    <m/>
    <m/>
    <m/>
    <m/>
    <m/>
    <m/>
    <m/>
    <m/>
    <m/>
    <s v=" "/>
    <m/>
    <s v=" "/>
    <m/>
    <m/>
  </r>
  <r>
    <x v="578"/>
    <d v="2024-03-22T00:00:00"/>
    <x v="21"/>
    <x v="2"/>
    <x v="1"/>
    <x v="5"/>
    <x v="3"/>
    <x v="3"/>
    <s v="Cash"/>
    <s v=""/>
    <n v="30.6"/>
    <s v=""/>
    <s v=""/>
    <s v=""/>
    <s v=""/>
    <s v=""/>
    <n v="7212.7500000000027"/>
    <s v=""/>
    <m/>
    <m/>
    <m/>
    <m/>
    <m/>
    <m/>
    <m/>
    <m/>
    <m/>
    <m/>
    <m/>
    <m/>
    <m/>
    <m/>
    <m/>
    <s v=" "/>
    <m/>
    <s v=" "/>
    <m/>
    <m/>
  </r>
  <r>
    <x v="579"/>
    <d v="2024-03-23T00:00:00"/>
    <x v="22"/>
    <x v="2"/>
    <x v="1"/>
    <x v="5"/>
    <x v="3"/>
    <x v="3"/>
    <s v="Cash"/>
    <s v=""/>
    <n v="7.9"/>
    <s v=""/>
    <s v=""/>
    <s v=""/>
    <s v=""/>
    <s v=""/>
    <n v="7204.8500000000031"/>
    <s v=""/>
    <m/>
    <m/>
    <m/>
    <m/>
    <m/>
    <m/>
    <m/>
    <m/>
    <m/>
    <m/>
    <m/>
    <m/>
    <m/>
    <m/>
    <m/>
    <s v=" "/>
    <m/>
    <s v=" "/>
    <m/>
    <m/>
  </r>
  <r>
    <x v="580"/>
    <d v="2024-03-23T00:00:00"/>
    <x v="22"/>
    <x v="2"/>
    <x v="1"/>
    <x v="88"/>
    <x v="9"/>
    <x v="2"/>
    <s v="Cash"/>
    <n v="17.2"/>
    <s v=""/>
    <s v=""/>
    <s v=""/>
    <s v=""/>
    <s v=""/>
    <s v=""/>
    <n v="7187.6500000000033"/>
    <s v=""/>
    <m/>
    <m/>
    <m/>
    <m/>
    <m/>
    <m/>
    <m/>
    <m/>
    <m/>
    <m/>
    <m/>
    <m/>
    <m/>
    <m/>
    <m/>
    <s v=" "/>
    <m/>
    <s v=" "/>
    <m/>
    <m/>
  </r>
  <r>
    <x v="581"/>
    <d v="2024-03-23T00:00:00"/>
    <x v="22"/>
    <x v="2"/>
    <x v="1"/>
    <x v="89"/>
    <x v="13"/>
    <x v="4"/>
    <s v="Cash"/>
    <n v="2.5"/>
    <s v=""/>
    <s v=""/>
    <s v=""/>
    <s v=""/>
    <s v=""/>
    <s v=""/>
    <n v="7185.1500000000033"/>
    <s v=""/>
    <m/>
    <m/>
    <m/>
    <m/>
    <m/>
    <m/>
    <m/>
    <m/>
    <m/>
    <m/>
    <m/>
    <m/>
    <m/>
    <m/>
    <m/>
    <s v=" "/>
    <m/>
    <s v=" "/>
    <m/>
    <m/>
  </r>
  <r>
    <x v="582"/>
    <d v="2024-03-24T00:00:00"/>
    <x v="23"/>
    <x v="2"/>
    <x v="1"/>
    <x v="0"/>
    <x v="0"/>
    <x v="0"/>
    <s v=""/>
    <s v=""/>
    <s v=""/>
    <s v=""/>
    <s v=""/>
    <s v=""/>
    <s v=""/>
    <s v=""/>
    <s v=""/>
    <s v=""/>
    <m/>
    <m/>
    <m/>
    <m/>
    <m/>
    <m/>
    <m/>
    <m/>
    <m/>
    <m/>
    <m/>
    <m/>
    <m/>
    <m/>
    <m/>
    <s v=" "/>
    <m/>
    <s v=" "/>
    <m/>
    <m/>
  </r>
  <r>
    <x v="583"/>
    <d v="2024-03-25T00:00:00"/>
    <x v="24"/>
    <x v="2"/>
    <x v="1"/>
    <x v="0"/>
    <x v="0"/>
    <x v="0"/>
    <s v=""/>
    <s v=""/>
    <s v=""/>
    <s v=""/>
    <s v=""/>
    <s v=""/>
    <s v=""/>
    <s v=""/>
    <s v=""/>
    <s v=""/>
    <m/>
    <m/>
    <m/>
    <m/>
    <m/>
    <m/>
    <m/>
    <m/>
    <m/>
    <m/>
    <m/>
    <m/>
    <m/>
    <m/>
    <m/>
    <s v=" "/>
    <m/>
    <s v=" "/>
    <m/>
    <m/>
  </r>
  <r>
    <x v="584"/>
    <d v="2024-03-26T00:00:00"/>
    <x v="25"/>
    <x v="2"/>
    <x v="1"/>
    <x v="0"/>
    <x v="0"/>
    <x v="0"/>
    <s v=""/>
    <s v=""/>
    <s v=""/>
    <s v=""/>
    <s v=""/>
    <s v=""/>
    <s v=""/>
    <s v=""/>
    <s v=""/>
    <s v=""/>
    <m/>
    <m/>
    <m/>
    <m/>
    <m/>
    <m/>
    <m/>
    <m/>
    <m/>
    <m/>
    <m/>
    <m/>
    <m/>
    <m/>
    <m/>
    <s v=" "/>
    <m/>
    <s v=" "/>
    <m/>
    <m/>
  </r>
  <r>
    <x v="585"/>
    <d v="2024-03-27T00:00:00"/>
    <x v="26"/>
    <x v="2"/>
    <x v="1"/>
    <x v="5"/>
    <x v="3"/>
    <x v="3"/>
    <s v="Cash"/>
    <s v=""/>
    <n v="41.18"/>
    <s v=""/>
    <s v=""/>
    <s v=""/>
    <s v=""/>
    <s v=""/>
    <n v="7143.970000000003"/>
    <s v=""/>
    <m/>
    <m/>
    <m/>
    <m/>
    <m/>
    <m/>
    <m/>
    <m/>
    <m/>
    <m/>
    <m/>
    <m/>
    <m/>
    <m/>
    <m/>
    <s v=" "/>
    <m/>
    <s v=" "/>
    <m/>
    <m/>
  </r>
  <r>
    <x v="586"/>
    <d v="2024-03-27T00:00:00"/>
    <x v="26"/>
    <x v="2"/>
    <x v="1"/>
    <x v="5"/>
    <x v="6"/>
    <x v="3"/>
    <s v="Cash"/>
    <s v=""/>
    <n v="19.149999999999999"/>
    <s v=""/>
    <s v=""/>
    <s v=""/>
    <s v=""/>
    <s v=""/>
    <n v="7124.8200000000033"/>
    <s v=""/>
    <m/>
    <m/>
    <m/>
    <m/>
    <m/>
    <m/>
    <m/>
    <m/>
    <m/>
    <m/>
    <m/>
    <m/>
    <m/>
    <m/>
    <m/>
    <s v=" "/>
    <m/>
    <s v=" "/>
    <m/>
    <m/>
  </r>
  <r>
    <x v="587"/>
    <d v="2024-03-27T00:00:00"/>
    <x v="26"/>
    <x v="2"/>
    <x v="1"/>
    <x v="1"/>
    <x v="1"/>
    <x v="1"/>
    <s v="Carta"/>
    <s v=""/>
    <n v="2"/>
    <s v=""/>
    <s v=""/>
    <s v=""/>
    <s v=""/>
    <s v=""/>
    <n v="7122.8200000000033"/>
    <s v=""/>
    <m/>
    <m/>
    <m/>
    <m/>
    <m/>
    <m/>
    <m/>
    <m/>
    <m/>
    <m/>
    <m/>
    <m/>
    <m/>
    <m/>
    <m/>
    <s v=" "/>
    <m/>
    <s v=" "/>
    <m/>
    <m/>
  </r>
  <r>
    <x v="588"/>
    <d v="2024-03-28T00:00:00"/>
    <x v="27"/>
    <x v="2"/>
    <x v="1"/>
    <x v="5"/>
    <x v="3"/>
    <x v="3"/>
    <s v="Cash"/>
    <s v=""/>
    <n v="21.73"/>
    <s v=""/>
    <s v=""/>
    <s v=""/>
    <s v=""/>
    <s v=""/>
    <n v="7101.0900000000038"/>
    <s v=""/>
    <m/>
    <m/>
    <m/>
    <m/>
    <m/>
    <m/>
    <m/>
    <m/>
    <m/>
    <m/>
    <m/>
    <m/>
    <m/>
    <m/>
    <m/>
    <s v=" "/>
    <m/>
    <s v=" "/>
    <m/>
    <m/>
  </r>
  <r>
    <x v="589"/>
    <d v="2024-03-28T00:00:00"/>
    <x v="27"/>
    <x v="2"/>
    <x v="1"/>
    <x v="5"/>
    <x v="6"/>
    <x v="3"/>
    <s v="Cash"/>
    <s v=""/>
    <n v="1.99"/>
    <s v=""/>
    <s v=""/>
    <s v=""/>
    <s v=""/>
    <s v=""/>
    <n v="7099.100000000004"/>
    <s v=""/>
    <m/>
    <m/>
    <m/>
    <m/>
    <m/>
    <m/>
    <m/>
    <m/>
    <m/>
    <m/>
    <m/>
    <m/>
    <m/>
    <m/>
    <m/>
    <s v=" "/>
    <m/>
    <s v=" "/>
    <m/>
    <m/>
  </r>
  <r>
    <x v="590"/>
    <d v="2024-03-29T00:00:00"/>
    <x v="28"/>
    <x v="2"/>
    <x v="1"/>
    <x v="82"/>
    <x v="2"/>
    <x v="2"/>
    <s v="Cash"/>
    <n v="4.4000000000000004"/>
    <s v=""/>
    <s v=""/>
    <s v=""/>
    <s v=""/>
    <s v=""/>
    <s v=""/>
    <n v="7094.7000000000044"/>
    <s v=""/>
    <m/>
    <m/>
    <m/>
    <m/>
    <m/>
    <m/>
    <m/>
    <m/>
    <m/>
    <m/>
    <m/>
    <m/>
    <m/>
    <m/>
    <m/>
    <s v=" "/>
    <m/>
    <s v=" "/>
    <m/>
    <m/>
  </r>
  <r>
    <x v="591"/>
    <d v="2024-03-29T00:00:00"/>
    <x v="28"/>
    <x v="2"/>
    <x v="1"/>
    <x v="90"/>
    <x v="21"/>
    <x v="2"/>
    <s v="Cash"/>
    <n v="3"/>
    <s v=""/>
    <s v=""/>
    <s v=""/>
    <s v=""/>
    <s v=""/>
    <s v=""/>
    <n v="7091.7000000000044"/>
    <s v=""/>
    <m/>
    <m/>
    <m/>
    <m/>
    <m/>
    <m/>
    <m/>
    <m/>
    <m/>
    <m/>
    <m/>
    <m/>
    <m/>
    <m/>
    <m/>
    <s v=" "/>
    <m/>
    <s v=" "/>
    <m/>
    <m/>
  </r>
  <r>
    <x v="592"/>
    <d v="2024-03-30T00:00:00"/>
    <x v="29"/>
    <x v="2"/>
    <x v="1"/>
    <x v="25"/>
    <x v="3"/>
    <x v="3"/>
    <s v="Cash"/>
    <s v=""/>
    <n v="22"/>
    <s v=""/>
    <s v=""/>
    <s v=""/>
    <s v=""/>
    <s v=""/>
    <n v="7069.7000000000044"/>
    <s v=""/>
    <m/>
    <m/>
    <m/>
    <m/>
    <m/>
    <m/>
    <m/>
    <m/>
    <m/>
    <m/>
    <m/>
    <m/>
    <m/>
    <m/>
    <m/>
    <s v=" "/>
    <m/>
    <s v=" "/>
    <m/>
    <m/>
  </r>
  <r>
    <x v="593"/>
    <d v="2024-03-30T00:00:00"/>
    <x v="29"/>
    <x v="2"/>
    <x v="1"/>
    <x v="5"/>
    <x v="3"/>
    <x v="3"/>
    <s v="Cash"/>
    <s v=""/>
    <n v="19.489999999999998"/>
    <s v=""/>
    <s v=""/>
    <s v=""/>
    <s v=""/>
    <s v=""/>
    <n v="7050.2100000000046"/>
    <s v=""/>
    <m/>
    <m/>
    <m/>
    <m/>
    <m/>
    <m/>
    <m/>
    <m/>
    <m/>
    <m/>
    <m/>
    <m/>
    <m/>
    <m/>
    <m/>
    <s v=" "/>
    <m/>
    <s v=" "/>
    <m/>
    <m/>
  </r>
  <r>
    <x v="594"/>
    <d v="2024-03-30T00:00:00"/>
    <x v="29"/>
    <x v="2"/>
    <x v="1"/>
    <x v="5"/>
    <x v="6"/>
    <x v="3"/>
    <s v="Cash"/>
    <s v=""/>
    <n v="6.19"/>
    <s v=""/>
    <s v=""/>
    <s v=""/>
    <s v=""/>
    <s v=""/>
    <n v="7044.020000000005"/>
    <s v=""/>
    <m/>
    <m/>
    <m/>
    <m/>
    <m/>
    <m/>
    <m/>
    <m/>
    <m/>
    <m/>
    <m/>
    <m/>
    <m/>
    <m/>
    <m/>
    <s v=" "/>
    <m/>
    <s v=" "/>
    <m/>
    <m/>
  </r>
  <r>
    <x v="595"/>
    <d v="2024-03-30T00:00:00"/>
    <x v="29"/>
    <x v="2"/>
    <x v="1"/>
    <x v="76"/>
    <x v="21"/>
    <x v="2"/>
    <s v="Cash"/>
    <n v="1.7"/>
    <s v=""/>
    <s v=""/>
    <s v=""/>
    <s v=""/>
    <s v=""/>
    <s v=""/>
    <n v="7042.3200000000052"/>
    <s v=""/>
    <m/>
    <m/>
    <m/>
    <m/>
    <m/>
    <m/>
    <m/>
    <m/>
    <m/>
    <m/>
    <m/>
    <m/>
    <m/>
    <m/>
    <m/>
    <s v=" "/>
    <m/>
    <s v=" "/>
    <m/>
    <m/>
  </r>
  <r>
    <x v="596"/>
    <d v="2024-03-31T00:00:00"/>
    <x v="30"/>
    <x v="2"/>
    <x v="1"/>
    <x v="0"/>
    <x v="0"/>
    <x v="0"/>
    <s v=""/>
    <s v=""/>
    <s v=""/>
    <s v=""/>
    <s v=""/>
    <s v=""/>
    <s v=""/>
    <s v=""/>
    <s v=""/>
    <s v=""/>
    <m/>
    <m/>
    <m/>
    <m/>
    <m/>
    <m/>
    <m/>
    <m/>
    <m/>
    <m/>
    <m/>
    <m/>
    <m/>
    <m/>
    <m/>
    <s v=" "/>
    <m/>
    <s v=" "/>
    <m/>
    <m/>
  </r>
  <r>
    <x v="597"/>
    <d v="2024-04-01T00:00:00"/>
    <x v="0"/>
    <x v="3"/>
    <x v="1"/>
    <x v="91"/>
    <x v="21"/>
    <x v="2"/>
    <s v="Cash"/>
    <n v="3"/>
    <s v=""/>
    <s v=""/>
    <s v=""/>
    <s v=""/>
    <s v=""/>
    <s v=""/>
    <n v="7039.3200000000052"/>
    <s v=""/>
    <m/>
    <m/>
    <m/>
    <m/>
    <m/>
    <m/>
    <m/>
    <m/>
    <m/>
    <m/>
    <m/>
    <m/>
    <m/>
    <m/>
    <m/>
    <s v=" "/>
    <m/>
    <s v=" "/>
    <m/>
    <m/>
  </r>
  <r>
    <x v="598"/>
    <d v="2024-04-02T00:00:00"/>
    <x v="1"/>
    <x v="3"/>
    <x v="1"/>
    <x v="92"/>
    <x v="13"/>
    <x v="4"/>
    <s v="Cash"/>
    <n v="15"/>
    <s v=""/>
    <s v=""/>
    <s v=""/>
    <s v=""/>
    <s v=""/>
    <s v=""/>
    <n v="7024.3200000000052"/>
    <s v=""/>
    <m/>
    <m/>
    <m/>
    <m/>
    <m/>
    <m/>
    <m/>
    <m/>
    <m/>
    <m/>
    <m/>
    <m/>
    <m/>
    <m/>
    <m/>
    <s v=" "/>
    <m/>
    <s v=" "/>
    <m/>
    <m/>
  </r>
  <r>
    <x v="599"/>
    <d v="2024-04-02T00:00:00"/>
    <x v="1"/>
    <x v="3"/>
    <x v="1"/>
    <x v="2"/>
    <x v="1"/>
    <x v="1"/>
    <s v="Carta"/>
    <s v=""/>
    <n v="4.9800000000000004"/>
    <s v=""/>
    <s v=""/>
    <s v=""/>
    <s v=""/>
    <s v=""/>
    <n v="7019.3400000000056"/>
    <s v=""/>
    <m/>
    <m/>
    <m/>
    <m/>
    <m/>
    <m/>
    <m/>
    <m/>
    <m/>
    <m/>
    <m/>
    <m/>
    <m/>
    <m/>
    <m/>
    <s v=" "/>
    <m/>
    <s v=" "/>
    <m/>
    <m/>
  </r>
  <r>
    <x v="600"/>
    <d v="2024-04-02T00:00:00"/>
    <x v="1"/>
    <x v="3"/>
    <x v="1"/>
    <x v="93"/>
    <x v="11"/>
    <x v="5"/>
    <s v="Carta"/>
    <s v=""/>
    <s v=""/>
    <s v=""/>
    <s v=""/>
    <n v="2171"/>
    <s v=""/>
    <s v=""/>
    <n v="9190.3400000000056"/>
    <s v=""/>
    <m/>
    <m/>
    <m/>
    <m/>
    <m/>
    <m/>
    <m/>
    <m/>
    <m/>
    <m/>
    <m/>
    <m/>
    <m/>
    <m/>
    <m/>
    <s v=" "/>
    <m/>
    <s v=" "/>
    <m/>
    <m/>
  </r>
  <r>
    <x v="601"/>
    <d v="2024-04-02T00:00:00"/>
    <x v="1"/>
    <x v="3"/>
    <x v="1"/>
    <x v="50"/>
    <x v="1"/>
    <x v="1"/>
    <s v="Carta"/>
    <s v=""/>
    <n v="8.51"/>
    <s v=""/>
    <s v=""/>
    <s v=""/>
    <s v=""/>
    <s v=""/>
    <n v="9181.8300000000054"/>
    <s v=""/>
    <m/>
    <m/>
    <m/>
    <m/>
    <m/>
    <m/>
    <m/>
    <m/>
    <m/>
    <m/>
    <m/>
    <m/>
    <m/>
    <m/>
    <m/>
    <s v=" "/>
    <m/>
    <s v=" "/>
    <m/>
    <m/>
  </r>
  <r>
    <x v="602"/>
    <d v="2024-04-03T00:00:00"/>
    <x v="2"/>
    <x v="3"/>
    <x v="1"/>
    <x v="0"/>
    <x v="0"/>
    <x v="0"/>
    <s v=""/>
    <s v=""/>
    <s v=""/>
    <s v=""/>
    <s v=""/>
    <s v=""/>
    <s v=""/>
    <s v=""/>
    <s v=""/>
    <s v=""/>
    <m/>
    <m/>
    <m/>
    <m/>
    <m/>
    <m/>
    <m/>
    <m/>
    <m/>
    <m/>
    <m/>
    <m/>
    <m/>
    <m/>
    <m/>
    <s v=" "/>
    <m/>
    <s v=" "/>
    <m/>
    <m/>
  </r>
  <r>
    <x v="603"/>
    <d v="2024-04-04T00:00:00"/>
    <x v="3"/>
    <x v="3"/>
    <x v="1"/>
    <x v="0"/>
    <x v="0"/>
    <x v="0"/>
    <s v=""/>
    <s v=""/>
    <s v=""/>
    <s v=""/>
    <s v=""/>
    <s v=""/>
    <s v=""/>
    <s v=""/>
    <s v=""/>
    <s v=""/>
    <m/>
    <m/>
    <m/>
    <m/>
    <m/>
    <m/>
    <m/>
    <m/>
    <m/>
    <m/>
    <m/>
    <m/>
    <m/>
    <m/>
    <m/>
    <s v=" "/>
    <m/>
    <s v=" "/>
    <m/>
    <m/>
  </r>
  <r>
    <x v="604"/>
    <d v="2024-04-05T00:00:00"/>
    <x v="4"/>
    <x v="3"/>
    <x v="1"/>
    <x v="0"/>
    <x v="0"/>
    <x v="0"/>
    <s v=""/>
    <s v=""/>
    <s v=""/>
    <s v=""/>
    <s v=""/>
    <s v=""/>
    <s v=""/>
    <s v=""/>
    <s v=""/>
    <s v=""/>
    <m/>
    <m/>
    <m/>
    <m/>
    <m/>
    <m/>
    <m/>
    <m/>
    <m/>
    <m/>
    <m/>
    <m/>
    <m/>
    <m/>
    <m/>
    <s v=" "/>
    <m/>
    <s v=" "/>
    <m/>
    <m/>
  </r>
  <r>
    <x v="605"/>
    <d v="2024-04-06T00:00:00"/>
    <x v="5"/>
    <x v="3"/>
    <x v="1"/>
    <x v="0"/>
    <x v="0"/>
    <x v="0"/>
    <s v=""/>
    <s v=""/>
    <s v=""/>
    <s v=""/>
    <s v=""/>
    <s v=""/>
    <s v=""/>
    <s v=""/>
    <s v=""/>
    <s v=""/>
    <m/>
    <m/>
    <m/>
    <m/>
    <m/>
    <m/>
    <m/>
    <m/>
    <m/>
    <m/>
    <m/>
    <m/>
    <m/>
    <m/>
    <m/>
    <s v=" "/>
    <m/>
    <s v=" "/>
    <m/>
    <m/>
  </r>
  <r>
    <x v="606"/>
    <d v="2024-04-07T00:00:00"/>
    <x v="6"/>
    <x v="3"/>
    <x v="1"/>
    <x v="82"/>
    <x v="2"/>
    <x v="2"/>
    <s v="Cash"/>
    <n v="4.4000000000000004"/>
    <s v=""/>
    <s v=""/>
    <s v=""/>
    <s v=""/>
    <s v=""/>
    <s v=""/>
    <n v="9177.4300000000057"/>
    <s v=""/>
    <m/>
    <m/>
    <m/>
    <m/>
    <m/>
    <m/>
    <m/>
    <m/>
    <m/>
    <m/>
    <m/>
    <m/>
    <m/>
    <m/>
    <m/>
    <s v=" "/>
    <m/>
    <m/>
    <m/>
    <m/>
  </r>
  <r>
    <x v="607"/>
    <d v="2024-04-07T00:00:00"/>
    <x v="6"/>
    <x v="3"/>
    <x v="1"/>
    <x v="5"/>
    <x v="3"/>
    <x v="3"/>
    <s v="Cash"/>
    <s v=""/>
    <n v="32.35"/>
    <s v=""/>
    <s v=""/>
    <s v=""/>
    <s v=""/>
    <s v=""/>
    <n v="9145.0800000000054"/>
    <s v=""/>
    <m/>
    <m/>
    <m/>
    <m/>
    <m/>
    <m/>
    <m/>
    <m/>
    <m/>
    <m/>
    <m/>
    <m/>
    <m/>
    <m/>
    <m/>
    <s v=" "/>
    <m/>
    <m/>
    <m/>
    <m/>
  </r>
  <r>
    <x v="608"/>
    <d v="2024-04-08T00:00:00"/>
    <x v="7"/>
    <x v="3"/>
    <x v="1"/>
    <x v="0"/>
    <x v="0"/>
    <x v="0"/>
    <s v=""/>
    <s v=""/>
    <s v=""/>
    <s v=""/>
    <s v=""/>
    <s v=""/>
    <s v=""/>
    <s v=""/>
    <s v=""/>
    <s v=""/>
    <m/>
    <m/>
    <m/>
    <m/>
    <m/>
    <m/>
    <m/>
    <m/>
    <m/>
    <m/>
    <m/>
    <m/>
    <m/>
    <m/>
    <m/>
    <s v=" "/>
    <m/>
    <m/>
    <m/>
    <m/>
  </r>
  <r>
    <x v="609"/>
    <d v="2024-04-09T00:00:00"/>
    <x v="8"/>
    <x v="3"/>
    <x v="1"/>
    <x v="0"/>
    <x v="0"/>
    <x v="0"/>
    <s v=""/>
    <s v=""/>
    <s v=""/>
    <s v=""/>
    <s v=""/>
    <s v=""/>
    <s v=""/>
    <s v=""/>
    <s v=""/>
    <s v=""/>
    <m/>
    <m/>
    <m/>
    <m/>
    <m/>
    <m/>
    <m/>
    <m/>
    <m/>
    <m/>
    <m/>
    <m/>
    <m/>
    <m/>
    <m/>
    <s v=" "/>
    <m/>
    <m/>
    <m/>
    <m/>
  </r>
  <r>
    <x v="610"/>
    <d v="2024-04-10T00:00:00"/>
    <x v="9"/>
    <x v="3"/>
    <x v="1"/>
    <x v="94"/>
    <x v="14"/>
    <x v="0"/>
    <s v="Carta"/>
    <s v=""/>
    <s v=""/>
    <s v=""/>
    <s v=""/>
    <s v=""/>
    <s v=""/>
    <n v="500"/>
    <s v=""/>
    <s v=""/>
    <m/>
    <m/>
    <m/>
    <m/>
    <m/>
    <m/>
    <m/>
    <m/>
    <m/>
    <m/>
    <m/>
    <m/>
    <m/>
    <m/>
    <m/>
    <s v=" "/>
    <m/>
    <m/>
    <m/>
    <m/>
  </r>
  <r>
    <x v="611"/>
    <d v="2024-04-10T00:00:00"/>
    <x v="9"/>
    <x v="3"/>
    <x v="1"/>
    <x v="5"/>
    <x v="3"/>
    <x v="3"/>
    <s v="Cash"/>
    <s v=""/>
    <n v="33.5"/>
    <s v=""/>
    <s v=""/>
    <s v=""/>
    <s v=""/>
    <s v=""/>
    <n v="9111.5800000000054"/>
    <s v=""/>
    <m/>
    <m/>
    <m/>
    <m/>
    <m/>
    <m/>
    <m/>
    <m/>
    <m/>
    <m/>
    <m/>
    <m/>
    <m/>
    <m/>
    <m/>
    <s v=" "/>
    <m/>
    <m/>
    <m/>
    <m/>
  </r>
  <r>
    <x v="612"/>
    <d v="2024-04-10T00:00:00"/>
    <x v="9"/>
    <x v="3"/>
    <x v="1"/>
    <x v="5"/>
    <x v="6"/>
    <x v="3"/>
    <s v="Cash"/>
    <s v=""/>
    <n v="2.99"/>
    <s v=""/>
    <s v=""/>
    <s v=""/>
    <s v=""/>
    <s v=""/>
    <n v="9108.5900000000056"/>
    <s v=""/>
    <m/>
    <m/>
    <m/>
    <m/>
    <m/>
    <m/>
    <m/>
    <m/>
    <m/>
    <m/>
    <m/>
    <m/>
    <m/>
    <m/>
    <m/>
    <s v=" "/>
    <m/>
    <m/>
    <m/>
    <m/>
  </r>
  <r>
    <x v="613"/>
    <d v="2024-04-10T00:00:00"/>
    <x v="9"/>
    <x v="3"/>
    <x v="1"/>
    <x v="95"/>
    <x v="9"/>
    <x v="2"/>
    <s v="Cash"/>
    <n v="4.96"/>
    <s v=""/>
    <s v=""/>
    <s v=""/>
    <s v=""/>
    <s v=""/>
    <s v=""/>
    <n v="9103.6300000000065"/>
    <s v=""/>
    <m/>
    <m/>
    <m/>
    <m/>
    <m/>
    <m/>
    <m/>
    <m/>
    <m/>
    <m/>
    <m/>
    <m/>
    <m/>
    <m/>
    <m/>
    <s v=" "/>
    <m/>
    <m/>
    <m/>
    <m/>
  </r>
  <r>
    <x v="614"/>
    <d v="2024-04-11T00:00:00"/>
    <x v="10"/>
    <x v="3"/>
    <x v="1"/>
    <x v="5"/>
    <x v="3"/>
    <x v="3"/>
    <s v="Cash"/>
    <s v=""/>
    <n v="31.48"/>
    <s v=""/>
    <s v=""/>
    <s v=""/>
    <s v=""/>
    <s v=""/>
    <n v="9072.1500000000069"/>
    <s v=""/>
    <m/>
    <m/>
    <m/>
    <m/>
    <m/>
    <m/>
    <m/>
    <m/>
    <m/>
    <m/>
    <m/>
    <m/>
    <m/>
    <m/>
    <m/>
    <s v=" "/>
    <m/>
    <m/>
    <m/>
    <m/>
  </r>
  <r>
    <x v="615"/>
    <d v="2024-04-11T00:00:00"/>
    <x v="10"/>
    <x v="3"/>
    <x v="1"/>
    <x v="5"/>
    <x v="6"/>
    <x v="3"/>
    <s v="Cash"/>
    <s v=""/>
    <n v="5.9"/>
    <s v=""/>
    <s v=""/>
    <s v=""/>
    <s v=""/>
    <s v=""/>
    <n v="9066.2500000000073"/>
    <s v=""/>
    <m/>
    <m/>
    <m/>
    <m/>
    <m/>
    <m/>
    <m/>
    <m/>
    <m/>
    <m/>
    <m/>
    <m/>
    <m/>
    <m/>
    <m/>
    <s v=" "/>
    <m/>
    <m/>
    <m/>
    <m/>
  </r>
  <r>
    <x v="616"/>
    <d v="2024-04-11T00:00:00"/>
    <x v="10"/>
    <x v="3"/>
    <x v="1"/>
    <x v="96"/>
    <x v="9"/>
    <x v="2"/>
    <s v="Cash"/>
    <n v="32.89"/>
    <s v=""/>
    <s v=""/>
    <s v=""/>
    <s v=""/>
    <s v=""/>
    <s v=""/>
    <n v="9033.3600000000079"/>
    <s v=""/>
    <m/>
    <m/>
    <m/>
    <m/>
    <m/>
    <m/>
    <m/>
    <m/>
    <m/>
    <m/>
    <m/>
    <m/>
    <m/>
    <m/>
    <m/>
    <s v=" "/>
    <m/>
    <m/>
    <m/>
    <m/>
  </r>
  <r>
    <x v="617"/>
    <d v="2024-04-11T00:00:00"/>
    <x v="10"/>
    <x v="3"/>
    <x v="1"/>
    <x v="97"/>
    <x v="13"/>
    <x v="4"/>
    <s v="Cash"/>
    <n v="17.399999999999999"/>
    <s v=""/>
    <s v=""/>
    <s v=""/>
    <s v=""/>
    <s v=""/>
    <s v=""/>
    <n v="9015.9600000000082"/>
    <s v=""/>
    <m/>
    <m/>
    <m/>
    <m/>
    <m/>
    <m/>
    <m/>
    <m/>
    <m/>
    <m/>
    <m/>
    <m/>
    <m/>
    <m/>
    <m/>
    <s v=" "/>
    <m/>
    <m/>
    <m/>
    <m/>
  </r>
  <r>
    <x v="618"/>
    <d v="2024-04-12T00:00:00"/>
    <x v="11"/>
    <x v="3"/>
    <x v="1"/>
    <x v="0"/>
    <x v="0"/>
    <x v="0"/>
    <s v=""/>
    <s v=""/>
    <s v=""/>
    <s v=""/>
    <s v=""/>
    <s v=""/>
    <s v=""/>
    <s v=""/>
    <s v=""/>
    <s v=""/>
    <m/>
    <m/>
    <m/>
    <m/>
    <m/>
    <m/>
    <m/>
    <m/>
    <m/>
    <m/>
    <m/>
    <m/>
    <m/>
    <m/>
    <m/>
    <s v=" "/>
    <m/>
    <m/>
    <m/>
    <m/>
  </r>
  <r>
    <x v="619"/>
    <d v="2024-04-13T00:00:00"/>
    <x v="12"/>
    <x v="3"/>
    <x v="1"/>
    <x v="0"/>
    <x v="0"/>
    <x v="0"/>
    <s v=""/>
    <s v=""/>
    <s v=""/>
    <s v=""/>
    <s v=""/>
    <s v=""/>
    <s v=""/>
    <s v=""/>
    <s v=""/>
    <s v=""/>
    <m/>
    <m/>
    <m/>
    <m/>
    <m/>
    <m/>
    <m/>
    <m/>
    <m/>
    <m/>
    <m/>
    <m/>
    <m/>
    <m/>
    <m/>
    <s v=" "/>
    <m/>
    <m/>
    <m/>
    <m/>
  </r>
  <r>
    <x v="620"/>
    <d v="2024-04-14T00:00:00"/>
    <x v="13"/>
    <x v="3"/>
    <x v="1"/>
    <x v="0"/>
    <x v="0"/>
    <x v="0"/>
    <s v=""/>
    <s v=""/>
    <s v=""/>
    <s v=""/>
    <s v=""/>
    <s v=""/>
    <s v=""/>
    <s v=""/>
    <s v=""/>
    <s v=""/>
    <m/>
    <m/>
    <m/>
    <m/>
    <m/>
    <m/>
    <m/>
    <m/>
    <m/>
    <m/>
    <m/>
    <m/>
    <m/>
    <m/>
    <m/>
    <s v=" "/>
    <m/>
    <m/>
    <m/>
    <m/>
  </r>
  <r>
    <x v="621"/>
    <d v="2024-04-15T00:00:00"/>
    <x v="14"/>
    <x v="3"/>
    <x v="1"/>
    <x v="0"/>
    <x v="0"/>
    <x v="0"/>
    <s v=""/>
    <s v=""/>
    <s v=""/>
    <s v=""/>
    <s v=""/>
    <s v=""/>
    <s v=""/>
    <s v=""/>
    <s v=""/>
    <s v=""/>
    <m/>
    <m/>
    <m/>
    <m/>
    <m/>
    <m/>
    <m/>
    <m/>
    <m/>
    <m/>
    <m/>
    <m/>
    <m/>
    <m/>
    <m/>
    <s v=" "/>
    <m/>
    <m/>
    <m/>
    <m/>
  </r>
  <r>
    <x v="622"/>
    <d v="2024-04-16T00:00:00"/>
    <x v="15"/>
    <x v="3"/>
    <x v="1"/>
    <x v="5"/>
    <x v="3"/>
    <x v="3"/>
    <s v="Cash"/>
    <s v=""/>
    <n v="57.24"/>
    <s v=""/>
    <s v=""/>
    <s v=""/>
    <s v=""/>
    <s v=""/>
    <n v="8958.7200000000084"/>
    <s v=""/>
    <m/>
    <m/>
    <m/>
    <m/>
    <m/>
    <m/>
    <m/>
    <m/>
    <m/>
    <m/>
    <m/>
    <m/>
    <m/>
    <m/>
    <m/>
    <s v=" "/>
    <m/>
    <m/>
    <m/>
    <m/>
  </r>
  <r>
    <x v="623"/>
    <d v="2024-04-16T00:00:00"/>
    <x v="15"/>
    <x v="3"/>
    <x v="1"/>
    <x v="5"/>
    <x v="6"/>
    <x v="3"/>
    <s v="Cash"/>
    <s v=""/>
    <n v="2.79"/>
    <s v=""/>
    <s v=""/>
    <s v=""/>
    <s v=""/>
    <s v=""/>
    <n v="8955.9300000000076"/>
    <s v=""/>
    <m/>
    <m/>
    <m/>
    <m/>
    <m/>
    <m/>
    <m/>
    <m/>
    <m/>
    <m/>
    <m/>
    <m/>
    <m/>
    <m/>
    <m/>
    <s v=" "/>
    <m/>
    <m/>
    <m/>
    <m/>
  </r>
  <r>
    <x v="624"/>
    <d v="2024-04-16T00:00:00"/>
    <x v="15"/>
    <x v="3"/>
    <x v="1"/>
    <x v="98"/>
    <x v="21"/>
    <x v="2"/>
    <s v="Cash"/>
    <n v="18.8"/>
    <s v=""/>
    <s v=""/>
    <s v=""/>
    <s v=""/>
    <s v=""/>
    <s v=""/>
    <n v="8937.1300000000083"/>
    <s v=""/>
    <m/>
    <m/>
    <m/>
    <m/>
    <m/>
    <m/>
    <m/>
    <m/>
    <m/>
    <m/>
    <m/>
    <m/>
    <m/>
    <m/>
    <m/>
    <s v=" "/>
    <m/>
    <m/>
    <m/>
    <m/>
  </r>
  <r>
    <x v="625"/>
    <d v="2024-04-17T00:00:00"/>
    <x v="16"/>
    <x v="3"/>
    <x v="1"/>
    <x v="0"/>
    <x v="0"/>
    <x v="0"/>
    <s v=""/>
    <s v=""/>
    <s v=""/>
    <s v=""/>
    <s v=""/>
    <s v=""/>
    <s v=""/>
    <s v=""/>
    <s v=""/>
    <s v=""/>
    <m/>
    <m/>
    <m/>
    <m/>
    <m/>
    <m/>
    <m/>
    <m/>
    <m/>
    <m/>
    <m/>
    <m/>
    <m/>
    <m/>
    <m/>
    <s v=" "/>
    <m/>
    <m/>
    <m/>
    <m/>
  </r>
  <r>
    <x v="626"/>
    <d v="2024-04-18T00:00:00"/>
    <x v="17"/>
    <x v="3"/>
    <x v="1"/>
    <x v="5"/>
    <x v="3"/>
    <x v="3"/>
    <s v="Cash"/>
    <s v=""/>
    <n v="10"/>
    <s v=""/>
    <s v=""/>
    <s v=""/>
    <s v=""/>
    <s v=""/>
    <n v="8927.1300000000083"/>
    <s v=""/>
    <m/>
    <m/>
    <m/>
    <m/>
    <m/>
    <m/>
    <m/>
    <m/>
    <m/>
    <m/>
    <m/>
    <m/>
    <m/>
    <m/>
    <m/>
    <s v=" "/>
    <m/>
    <m/>
    <m/>
    <m/>
  </r>
  <r>
    <x v="627"/>
    <d v="2024-04-18T00:00:00"/>
    <x v="17"/>
    <x v="3"/>
    <x v="1"/>
    <x v="99"/>
    <x v="21"/>
    <x v="2"/>
    <s v="Cash"/>
    <n v="12"/>
    <s v=""/>
    <s v=""/>
    <s v=""/>
    <s v=""/>
    <s v=""/>
    <s v=""/>
    <n v="8915.1300000000083"/>
    <s v=""/>
    <m/>
    <m/>
    <m/>
    <m/>
    <m/>
    <m/>
    <m/>
    <m/>
    <m/>
    <m/>
    <m/>
    <m/>
    <m/>
    <m/>
    <m/>
    <s v=" "/>
    <m/>
    <m/>
    <m/>
    <m/>
  </r>
  <r>
    <x v="628"/>
    <d v="2024-04-19T00:00:00"/>
    <x v="18"/>
    <x v="3"/>
    <x v="1"/>
    <x v="5"/>
    <x v="3"/>
    <x v="3"/>
    <s v="Cash"/>
    <s v=""/>
    <n v="26.5"/>
    <s v=""/>
    <s v=""/>
    <s v=""/>
    <s v=""/>
    <s v=""/>
    <n v="8888.6300000000083"/>
    <s v=""/>
    <m/>
    <m/>
    <m/>
    <m/>
    <m/>
    <m/>
    <m/>
    <m/>
    <m/>
    <m/>
    <m/>
    <m/>
    <m/>
    <m/>
    <m/>
    <s v=" "/>
    <m/>
    <m/>
    <m/>
    <m/>
  </r>
  <r>
    <x v="629"/>
    <d v="2024-04-19T00:00:00"/>
    <x v="18"/>
    <x v="3"/>
    <x v="1"/>
    <x v="5"/>
    <x v="6"/>
    <x v="3"/>
    <s v="Cash"/>
    <s v=""/>
    <n v="17.850000000000001"/>
    <s v=""/>
    <s v=""/>
    <s v=""/>
    <s v=""/>
    <s v=""/>
    <n v="8870.7800000000079"/>
    <s v=""/>
    <m/>
    <m/>
    <m/>
    <m/>
    <m/>
    <m/>
    <m/>
    <m/>
    <m/>
    <m/>
    <m/>
    <m/>
    <m/>
    <m/>
    <m/>
    <s v=" "/>
    <m/>
    <m/>
    <m/>
    <m/>
  </r>
  <r>
    <x v="630"/>
    <d v="2024-04-19T00:00:00"/>
    <x v="18"/>
    <x v="3"/>
    <x v="1"/>
    <x v="100"/>
    <x v="21"/>
    <x v="2"/>
    <s v="Cash"/>
    <n v="1.6"/>
    <s v=""/>
    <s v=""/>
    <s v=""/>
    <s v=""/>
    <s v=""/>
    <s v=""/>
    <n v="8869.1800000000076"/>
    <s v=""/>
    <m/>
    <m/>
    <m/>
    <m/>
    <m/>
    <m/>
    <m/>
    <m/>
    <m/>
    <m/>
    <m/>
    <m/>
    <m/>
    <m/>
    <m/>
    <s v=" "/>
    <m/>
    <m/>
    <m/>
    <m/>
  </r>
  <r>
    <x v="631"/>
    <d v="2024-04-20T00:00:00"/>
    <x v="19"/>
    <x v="3"/>
    <x v="1"/>
    <x v="0"/>
    <x v="0"/>
    <x v="0"/>
    <s v=""/>
    <s v=""/>
    <s v=""/>
    <s v=""/>
    <s v=""/>
    <s v=""/>
    <s v=""/>
    <s v=""/>
    <s v=""/>
    <s v=""/>
    <m/>
    <m/>
    <m/>
    <m/>
    <m/>
    <m/>
    <m/>
    <m/>
    <m/>
    <m/>
    <m/>
    <m/>
    <m/>
    <m/>
    <m/>
    <s v=" "/>
    <m/>
    <m/>
    <m/>
    <m/>
  </r>
  <r>
    <x v="632"/>
    <d v="2024-04-21T00:00:00"/>
    <x v="20"/>
    <x v="3"/>
    <x v="1"/>
    <x v="0"/>
    <x v="0"/>
    <x v="0"/>
    <s v=""/>
    <s v=""/>
    <s v=""/>
    <s v=""/>
    <s v=""/>
    <s v=""/>
    <s v=""/>
    <s v=""/>
    <s v=""/>
    <s v=""/>
    <m/>
    <m/>
    <m/>
    <m/>
    <m/>
    <m/>
    <m/>
    <m/>
    <m/>
    <m/>
    <m/>
    <m/>
    <m/>
    <m/>
    <m/>
    <s v=" "/>
    <m/>
    <m/>
    <m/>
    <m/>
  </r>
  <r>
    <x v="633"/>
    <d v="2024-04-22T00:00:00"/>
    <x v="21"/>
    <x v="3"/>
    <x v="1"/>
    <x v="0"/>
    <x v="0"/>
    <x v="0"/>
    <s v=""/>
    <s v=""/>
    <s v=""/>
    <s v=""/>
    <s v=""/>
    <s v=""/>
    <s v=""/>
    <s v=""/>
    <s v=""/>
    <s v=""/>
    <m/>
    <m/>
    <m/>
    <m/>
    <m/>
    <m/>
    <m/>
    <m/>
    <m/>
    <m/>
    <m/>
    <m/>
    <m/>
    <m/>
    <m/>
    <s v=" "/>
    <m/>
    <m/>
    <m/>
    <m/>
  </r>
  <r>
    <x v="634"/>
    <d v="2024-04-23T00:00:00"/>
    <x v="22"/>
    <x v="3"/>
    <x v="1"/>
    <x v="0"/>
    <x v="0"/>
    <x v="0"/>
    <s v=""/>
    <s v=""/>
    <s v=""/>
    <s v=""/>
    <s v=""/>
    <s v=""/>
    <s v=""/>
    <s v=""/>
    <s v=""/>
    <s v=""/>
    <m/>
    <m/>
    <m/>
    <m/>
    <m/>
    <m/>
    <m/>
    <m/>
    <m/>
    <m/>
    <m/>
    <m/>
    <m/>
    <m/>
    <m/>
    <s v=" "/>
    <m/>
    <m/>
    <m/>
    <m/>
  </r>
  <r>
    <x v="635"/>
    <d v="2024-04-24T00:00:00"/>
    <x v="23"/>
    <x v="3"/>
    <x v="1"/>
    <x v="5"/>
    <x v="3"/>
    <x v="3"/>
    <s v="Cash"/>
    <s v=""/>
    <n v="68.09"/>
    <s v=""/>
    <s v=""/>
    <s v=""/>
    <s v=""/>
    <s v=""/>
    <n v="8801.0900000000074"/>
    <s v=""/>
    <m/>
    <m/>
    <m/>
    <m/>
    <m/>
    <m/>
    <m/>
    <m/>
    <m/>
    <m/>
    <m/>
    <m/>
    <m/>
    <m/>
    <m/>
    <s v=" "/>
    <m/>
    <m/>
    <m/>
    <m/>
  </r>
  <r>
    <x v="636"/>
    <d v="2024-04-24T00:00:00"/>
    <x v="23"/>
    <x v="3"/>
    <x v="1"/>
    <x v="71"/>
    <x v="17"/>
    <x v="6"/>
    <s v="Cash"/>
    <s v=""/>
    <n v="10"/>
    <s v=""/>
    <s v=""/>
    <s v=""/>
    <s v=""/>
    <s v=""/>
    <n v="8791.0900000000074"/>
    <s v=""/>
    <m/>
    <m/>
    <m/>
    <m/>
    <m/>
    <m/>
    <m/>
    <m/>
    <m/>
    <m/>
    <m/>
    <m/>
    <m/>
    <m/>
    <m/>
    <s v=" "/>
    <m/>
    <m/>
    <m/>
    <m/>
  </r>
  <r>
    <x v="637"/>
    <d v="2024-04-25T00:00:00"/>
    <x v="24"/>
    <x v="3"/>
    <x v="1"/>
    <x v="0"/>
    <x v="0"/>
    <x v="0"/>
    <s v=""/>
    <s v=""/>
    <s v=""/>
    <s v=""/>
    <s v=""/>
    <s v=""/>
    <s v=""/>
    <s v=""/>
    <s v=""/>
    <s v=""/>
    <m/>
    <m/>
    <m/>
    <m/>
    <m/>
    <m/>
    <m/>
    <m/>
    <m/>
    <m/>
    <m/>
    <m/>
    <m/>
    <m/>
    <m/>
    <s v=" "/>
    <m/>
    <m/>
    <m/>
    <m/>
  </r>
  <r>
    <x v="638"/>
    <d v="2024-04-26T00:00:00"/>
    <x v="25"/>
    <x v="3"/>
    <x v="1"/>
    <x v="5"/>
    <x v="3"/>
    <x v="3"/>
    <s v="Cash"/>
    <s v=""/>
    <n v="30.63"/>
    <s v=""/>
    <s v=""/>
    <s v=""/>
    <s v=""/>
    <s v=""/>
    <n v="8760.4600000000082"/>
    <s v=""/>
    <m/>
    <m/>
    <m/>
    <m/>
    <m/>
    <m/>
    <m/>
    <m/>
    <m/>
    <m/>
    <m/>
    <m/>
    <m/>
    <m/>
    <m/>
    <s v=" "/>
    <m/>
    <m/>
    <m/>
    <m/>
  </r>
  <r>
    <x v="638"/>
    <d v="2024-04-26T00:00:00"/>
    <x v="25"/>
    <x v="3"/>
    <x v="1"/>
    <x v="101"/>
    <x v="5"/>
    <x v="4"/>
    <s v="Cash"/>
    <n v="5.5"/>
    <s v=""/>
    <s v=""/>
    <s v=""/>
    <s v=""/>
    <s v=""/>
    <s v=""/>
    <n v="8754.9600000000082"/>
    <s v=""/>
    <m/>
    <m/>
    <m/>
    <m/>
    <m/>
    <m/>
    <m/>
    <m/>
    <m/>
    <m/>
    <m/>
    <m/>
    <m/>
    <m/>
    <m/>
    <s v=" "/>
    <m/>
    <m/>
    <m/>
    <m/>
  </r>
  <r>
    <x v="639"/>
    <d v="2024-04-27T00:00:00"/>
    <x v="26"/>
    <x v="3"/>
    <x v="1"/>
    <x v="1"/>
    <x v="1"/>
    <x v="1"/>
    <s v="Carta"/>
    <s v=""/>
    <n v="2"/>
    <s v=""/>
    <s v=""/>
    <s v=""/>
    <s v=""/>
    <s v=""/>
    <n v="8752.9600000000082"/>
    <s v=""/>
    <m/>
    <m/>
    <m/>
    <m/>
    <m/>
    <m/>
    <m/>
    <m/>
    <m/>
    <m/>
    <m/>
    <m/>
    <m/>
    <m/>
    <m/>
    <s v=" "/>
    <m/>
    <m/>
    <m/>
    <m/>
  </r>
  <r>
    <x v="640"/>
    <d v="2024-04-28T00:00:00"/>
    <x v="27"/>
    <x v="3"/>
    <x v="1"/>
    <x v="0"/>
    <x v="0"/>
    <x v="0"/>
    <s v=""/>
    <s v=""/>
    <s v=""/>
    <s v=""/>
    <s v=""/>
    <s v=""/>
    <s v=""/>
    <s v=""/>
    <s v=""/>
    <s v=""/>
    <m/>
    <m/>
    <m/>
    <m/>
    <m/>
    <m/>
    <m/>
    <m/>
    <m/>
    <m/>
    <m/>
    <m/>
    <m/>
    <m/>
    <m/>
    <s v=" "/>
    <m/>
    <m/>
    <m/>
    <m/>
  </r>
  <r>
    <x v="641"/>
    <d v="2024-04-29T00:00:00"/>
    <x v="28"/>
    <x v="3"/>
    <x v="1"/>
    <x v="70"/>
    <x v="12"/>
    <x v="6"/>
    <s v="Carta"/>
    <s v=""/>
    <n v="178"/>
    <s v=""/>
    <s v=""/>
    <s v=""/>
    <s v=""/>
    <s v=""/>
    <n v="8574.9600000000082"/>
    <s v=""/>
    <m/>
    <m/>
    <m/>
    <m/>
    <m/>
    <m/>
    <m/>
    <m/>
    <m/>
    <m/>
    <m/>
    <m/>
    <m/>
    <m/>
    <m/>
    <s v=" "/>
    <m/>
    <m/>
    <m/>
    <m/>
  </r>
  <r>
    <x v="642"/>
    <d v="2024-04-30T00:00:00"/>
    <x v="29"/>
    <x v="3"/>
    <x v="1"/>
    <x v="2"/>
    <x v="1"/>
    <x v="1"/>
    <s v="Carta"/>
    <s v=""/>
    <n v="4.9800000000000004"/>
    <s v=""/>
    <s v=""/>
    <s v=""/>
    <s v=""/>
    <s v=""/>
    <n v="8569.9800000000087"/>
    <s v=""/>
    <m/>
    <m/>
    <m/>
    <m/>
    <m/>
    <m/>
    <m/>
    <m/>
    <m/>
    <m/>
    <m/>
    <m/>
    <m/>
    <m/>
    <m/>
    <s v=" "/>
    <m/>
    <m/>
    <m/>
    <m/>
  </r>
  <r>
    <x v="643"/>
    <d v="2024-05-01T00:00:00"/>
    <x v="0"/>
    <x v="4"/>
    <x v="1"/>
    <x v="0"/>
    <x v="0"/>
    <x v="0"/>
    <s v=""/>
    <s v=""/>
    <s v=""/>
    <s v=""/>
    <s v=""/>
    <s v=""/>
    <s v=""/>
    <s v=""/>
    <s v=""/>
    <s v=""/>
    <m/>
    <m/>
    <m/>
    <m/>
    <m/>
    <m/>
    <m/>
    <m/>
    <m/>
    <m/>
    <m/>
    <m/>
    <m/>
    <m/>
    <m/>
    <s v=" "/>
    <m/>
    <m/>
    <m/>
    <m/>
  </r>
  <r>
    <x v="644"/>
    <d v="2024-05-02T00:00:00"/>
    <x v="1"/>
    <x v="4"/>
    <x v="1"/>
    <x v="5"/>
    <x v="3"/>
    <x v="3"/>
    <s v="Cash"/>
    <s v=""/>
    <n v="42.4"/>
    <s v=""/>
    <s v=""/>
    <s v=""/>
    <s v=""/>
    <s v=""/>
    <n v="8527.580000000009"/>
    <s v=""/>
    <m/>
    <m/>
    <m/>
    <m/>
    <m/>
    <m/>
    <m/>
    <m/>
    <m/>
    <m/>
    <m/>
    <m/>
    <m/>
    <m/>
    <m/>
    <s v=" "/>
    <m/>
    <m/>
    <m/>
    <m/>
  </r>
  <r>
    <x v="644"/>
    <d v="2024-05-02T00:00:00"/>
    <x v="1"/>
    <x v="4"/>
    <x v="1"/>
    <x v="102"/>
    <x v="21"/>
    <x v="2"/>
    <s v="Cash"/>
    <n v="1.2"/>
    <s v=""/>
    <s v=""/>
    <s v=""/>
    <s v=""/>
    <s v=""/>
    <s v=""/>
    <n v="8526.3800000000083"/>
    <s v=""/>
    <m/>
    <m/>
    <m/>
    <m/>
    <m/>
    <m/>
    <m/>
    <m/>
    <m/>
    <m/>
    <m/>
    <m/>
    <m/>
    <m/>
    <m/>
    <s v=" "/>
    <m/>
    <m/>
    <m/>
    <m/>
  </r>
  <r>
    <x v="645"/>
    <d v="2024-05-03T00:00:00"/>
    <x v="2"/>
    <x v="4"/>
    <x v="1"/>
    <x v="0"/>
    <x v="0"/>
    <x v="0"/>
    <s v=""/>
    <s v=""/>
    <s v=""/>
    <s v=""/>
    <s v=""/>
    <s v=""/>
    <s v=""/>
    <s v=""/>
    <s v=""/>
    <s v=""/>
    <m/>
    <m/>
    <m/>
    <m/>
    <m/>
    <m/>
    <m/>
    <m/>
    <m/>
    <m/>
    <m/>
    <m/>
    <m/>
    <m/>
    <m/>
    <s v=" "/>
    <m/>
    <m/>
    <m/>
    <m/>
  </r>
  <r>
    <x v="646"/>
    <d v="2024-05-04T00:00:00"/>
    <x v="3"/>
    <x v="4"/>
    <x v="1"/>
    <x v="5"/>
    <x v="3"/>
    <x v="3"/>
    <s v="Cash"/>
    <s v=""/>
    <n v="36.700000000000003"/>
    <s v=""/>
    <s v=""/>
    <s v=""/>
    <s v=""/>
    <s v=""/>
    <n v="8489.6800000000076"/>
    <s v=""/>
    <m/>
    <m/>
    <m/>
    <m/>
    <m/>
    <m/>
    <m/>
    <m/>
    <m/>
    <m/>
    <m/>
    <m/>
    <m/>
    <m/>
    <m/>
    <s v=" "/>
    <m/>
    <m/>
    <m/>
    <m/>
  </r>
  <r>
    <x v="646"/>
    <d v="2024-05-04T00:00:00"/>
    <x v="3"/>
    <x v="4"/>
    <x v="1"/>
    <x v="5"/>
    <x v="6"/>
    <x v="3"/>
    <s v="Cash"/>
    <s v=""/>
    <n v="12.2"/>
    <s v=""/>
    <s v=""/>
    <s v=""/>
    <s v=""/>
    <s v=""/>
    <n v="8477.4800000000068"/>
    <s v=""/>
    <m/>
    <m/>
    <m/>
    <m/>
    <m/>
    <m/>
    <m/>
    <m/>
    <m/>
    <m/>
    <m/>
    <m/>
    <m/>
    <m/>
    <m/>
    <s v=" "/>
    <m/>
    <m/>
    <m/>
    <m/>
  </r>
  <r>
    <x v="646"/>
    <d v="2024-05-04T00:00:00"/>
    <x v="3"/>
    <x v="4"/>
    <x v="1"/>
    <x v="87"/>
    <x v="13"/>
    <x v="4"/>
    <s v="Cash"/>
    <n v="80"/>
    <s v=""/>
    <s v=""/>
    <s v=""/>
    <s v=""/>
    <s v=""/>
    <s v=""/>
    <n v="8397.4800000000068"/>
    <s v=""/>
    <m/>
    <m/>
    <m/>
    <m/>
    <m/>
    <m/>
    <m/>
    <m/>
    <m/>
    <m/>
    <m/>
    <m/>
    <m/>
    <m/>
    <m/>
    <s v=" "/>
    <m/>
    <m/>
    <m/>
    <m/>
  </r>
  <r>
    <x v="646"/>
    <d v="2024-05-04T00:00:00"/>
    <x v="3"/>
    <x v="4"/>
    <x v="1"/>
    <x v="22"/>
    <x v="14"/>
    <x v="0"/>
    <s v="Carta"/>
    <s v=""/>
    <s v=""/>
    <s v=""/>
    <s v=""/>
    <s v=""/>
    <s v=""/>
    <n v="500"/>
    <s v=""/>
    <s v=""/>
    <m/>
    <m/>
    <m/>
    <m/>
    <m/>
    <m/>
    <m/>
    <m/>
    <m/>
    <m/>
    <m/>
    <m/>
    <m/>
    <m/>
    <m/>
    <s v=" "/>
    <m/>
    <m/>
    <m/>
    <m/>
  </r>
  <r>
    <x v="647"/>
    <d v="2024-05-05T00:00:00"/>
    <x v="4"/>
    <x v="4"/>
    <x v="1"/>
    <x v="0"/>
    <x v="0"/>
    <x v="0"/>
    <s v=""/>
    <s v=""/>
    <s v=""/>
    <s v=""/>
    <s v=""/>
    <s v=""/>
    <s v=""/>
    <s v=""/>
    <s v=""/>
    <s v=""/>
    <m/>
    <m/>
    <m/>
    <m/>
    <m/>
    <m/>
    <m/>
    <m/>
    <m/>
    <m/>
    <m/>
    <m/>
    <m/>
    <m/>
    <m/>
    <s v=" "/>
    <m/>
    <m/>
    <m/>
    <m/>
  </r>
  <r>
    <x v="648"/>
    <d v="2024-05-06T00:00:00"/>
    <x v="5"/>
    <x v="4"/>
    <x v="1"/>
    <x v="74"/>
    <x v="12"/>
    <x v="6"/>
    <s v="Carta"/>
    <s v=""/>
    <n v="51"/>
    <s v=""/>
    <s v=""/>
    <s v=""/>
    <s v=""/>
    <s v=""/>
    <n v="8346.4800000000068"/>
    <s v=""/>
    <m/>
    <m/>
    <m/>
    <m/>
    <m/>
    <m/>
    <m/>
    <m/>
    <m/>
    <m/>
    <m/>
    <m/>
    <m/>
    <m/>
    <m/>
    <s v=" "/>
    <m/>
    <m/>
    <m/>
    <m/>
  </r>
  <r>
    <x v="649"/>
    <d v="2024-05-07T00:00:00"/>
    <x v="6"/>
    <x v="4"/>
    <x v="1"/>
    <x v="5"/>
    <x v="3"/>
    <x v="3"/>
    <s v="Cash"/>
    <s v=""/>
    <n v="16.5"/>
    <s v=""/>
    <s v=""/>
    <s v=""/>
    <s v=""/>
    <s v=""/>
    <n v="8329.9800000000068"/>
    <s v=""/>
    <m/>
    <m/>
    <m/>
    <m/>
    <m/>
    <m/>
    <m/>
    <m/>
    <m/>
    <m/>
    <m/>
    <m/>
    <m/>
    <m/>
    <m/>
    <s v=" "/>
    <m/>
    <m/>
    <m/>
    <m/>
  </r>
  <r>
    <x v="649"/>
    <d v="2024-05-07T00:00:00"/>
    <x v="6"/>
    <x v="4"/>
    <x v="1"/>
    <x v="5"/>
    <x v="6"/>
    <x v="3"/>
    <s v="Cash"/>
    <s v=""/>
    <n v="4.4800000000000004"/>
    <s v=""/>
    <s v=""/>
    <s v=""/>
    <s v=""/>
    <s v=""/>
    <n v="8325.5000000000073"/>
    <s v=""/>
    <m/>
    <m/>
    <m/>
    <m/>
    <m/>
    <m/>
    <m/>
    <m/>
    <m/>
    <m/>
    <m/>
    <m/>
    <m/>
    <m/>
    <m/>
    <s v=" "/>
    <m/>
    <m/>
    <m/>
    <m/>
  </r>
  <r>
    <x v="649"/>
    <d v="2024-05-07T00:00:00"/>
    <x v="6"/>
    <x v="4"/>
    <x v="1"/>
    <x v="103"/>
    <x v="21"/>
    <x v="2"/>
    <s v="Cash"/>
    <n v="3"/>
    <s v=""/>
    <s v=""/>
    <s v=""/>
    <s v=""/>
    <s v=""/>
    <s v=""/>
    <n v="8322.5000000000073"/>
    <s v=""/>
    <m/>
    <m/>
    <m/>
    <m/>
    <m/>
    <m/>
    <m/>
    <m/>
    <m/>
    <m/>
    <m/>
    <m/>
    <m/>
    <m/>
    <m/>
    <s v=" "/>
    <m/>
    <m/>
    <m/>
    <m/>
  </r>
  <r>
    <x v="650"/>
    <d v="2024-05-08T00:00:00"/>
    <x v="7"/>
    <x v="4"/>
    <x v="1"/>
    <x v="104"/>
    <x v="4"/>
    <x v="4"/>
    <s v="Cash"/>
    <n v="40"/>
    <s v=""/>
    <s v=""/>
    <s v=""/>
    <s v=""/>
    <s v=""/>
    <s v=""/>
    <n v="8282.5000000000073"/>
    <s v=""/>
    <m/>
    <m/>
    <m/>
    <m/>
    <m/>
    <m/>
    <m/>
    <m/>
    <m/>
    <m/>
    <m/>
    <m/>
    <m/>
    <m/>
    <m/>
    <s v=" "/>
    <m/>
    <m/>
    <m/>
    <m/>
  </r>
  <r>
    <x v="650"/>
    <d v="2024-05-08T00:00:00"/>
    <x v="7"/>
    <x v="4"/>
    <x v="1"/>
    <x v="5"/>
    <x v="3"/>
    <x v="3"/>
    <s v="Cash"/>
    <s v=""/>
    <n v="10.56"/>
    <s v=""/>
    <s v=""/>
    <s v=""/>
    <s v=""/>
    <s v=""/>
    <n v="8271.9400000000078"/>
    <s v=""/>
    <m/>
    <m/>
    <m/>
    <m/>
    <m/>
    <m/>
    <m/>
    <m/>
    <m/>
    <m/>
    <m/>
    <m/>
    <m/>
    <m/>
    <m/>
    <s v=" "/>
    <m/>
    <m/>
    <m/>
    <m/>
  </r>
  <r>
    <x v="650"/>
    <d v="2024-05-08T00:00:00"/>
    <x v="7"/>
    <x v="4"/>
    <x v="1"/>
    <x v="5"/>
    <x v="6"/>
    <x v="3"/>
    <s v="Cash"/>
    <s v=""/>
    <n v="4.99"/>
    <s v=""/>
    <s v=""/>
    <s v=""/>
    <s v=""/>
    <s v=""/>
    <n v="8266.950000000008"/>
    <s v=""/>
    <m/>
    <m/>
    <m/>
    <m/>
    <m/>
    <m/>
    <m/>
    <m/>
    <m/>
    <m/>
    <m/>
    <m/>
    <m/>
    <m/>
    <m/>
    <s v=" "/>
    <m/>
    <m/>
    <m/>
    <m/>
  </r>
  <r>
    <x v="650"/>
    <d v="2024-05-08T00:00:00"/>
    <x v="7"/>
    <x v="4"/>
    <x v="1"/>
    <x v="105"/>
    <x v="3"/>
    <x v="3"/>
    <s v="Cash"/>
    <s v=""/>
    <n v="15"/>
    <s v=""/>
    <s v=""/>
    <s v=""/>
    <s v=""/>
    <s v=""/>
    <n v="8251.950000000008"/>
    <s v=""/>
    <m/>
    <m/>
    <m/>
    <m/>
    <m/>
    <m/>
    <m/>
    <m/>
    <m/>
    <m/>
    <m/>
    <m/>
    <m/>
    <m/>
    <m/>
    <s v=" "/>
    <m/>
    <m/>
    <m/>
    <m/>
  </r>
  <r>
    <x v="650"/>
    <d v="2024-05-08T00:00:00"/>
    <x v="7"/>
    <x v="4"/>
    <x v="1"/>
    <x v="106"/>
    <x v="8"/>
    <x v="4"/>
    <s v="Cash"/>
    <n v="19.95"/>
    <s v=""/>
    <s v=""/>
    <s v=""/>
    <s v=""/>
    <s v=""/>
    <s v=""/>
    <n v="8232.0000000000073"/>
    <s v=""/>
    <m/>
    <m/>
    <m/>
    <m/>
    <m/>
    <m/>
    <m/>
    <m/>
    <m/>
    <m/>
    <m/>
    <m/>
    <m/>
    <m/>
    <m/>
    <s v=" "/>
    <m/>
    <m/>
    <m/>
    <m/>
  </r>
  <r>
    <x v="650"/>
    <d v="2024-05-08T00:00:00"/>
    <x v="7"/>
    <x v="4"/>
    <x v="1"/>
    <x v="82"/>
    <x v="2"/>
    <x v="2"/>
    <s v="Cash"/>
    <n v="4.4000000000000004"/>
    <s v=""/>
    <s v=""/>
    <s v=""/>
    <s v=""/>
    <s v=""/>
    <s v=""/>
    <n v="8227.6000000000076"/>
    <s v=""/>
    <m/>
    <m/>
    <m/>
    <m/>
    <m/>
    <m/>
    <m/>
    <m/>
    <m/>
    <m/>
    <m/>
    <m/>
    <m/>
    <m/>
    <m/>
    <s v=" "/>
    <m/>
    <m/>
    <m/>
    <m/>
  </r>
  <r>
    <x v="651"/>
    <d v="2024-05-09T00:00:00"/>
    <x v="8"/>
    <x v="4"/>
    <x v="1"/>
    <x v="0"/>
    <x v="0"/>
    <x v="0"/>
    <s v=""/>
    <s v=""/>
    <s v=""/>
    <s v=""/>
    <s v=""/>
    <s v=""/>
    <s v=""/>
    <s v=""/>
    <s v=""/>
    <s v=""/>
    <m/>
    <m/>
    <m/>
    <m/>
    <m/>
    <m/>
    <m/>
    <m/>
    <m/>
    <m/>
    <m/>
    <m/>
    <m/>
    <m/>
    <m/>
    <s v=" "/>
    <m/>
    <m/>
    <m/>
    <m/>
  </r>
  <r>
    <x v="652"/>
    <d v="2024-05-10T00:00:00"/>
    <x v="9"/>
    <x v="4"/>
    <x v="1"/>
    <x v="5"/>
    <x v="3"/>
    <x v="3"/>
    <s v="Cash"/>
    <s v=""/>
    <n v="21.85"/>
    <s v=""/>
    <s v=""/>
    <s v=""/>
    <s v=""/>
    <s v=""/>
    <n v="8205.7500000000073"/>
    <s v=""/>
    <m/>
    <m/>
    <m/>
    <m/>
    <m/>
    <m/>
    <m/>
    <m/>
    <m/>
    <m/>
    <m/>
    <m/>
    <m/>
    <m/>
    <m/>
    <s v=" "/>
    <m/>
    <m/>
    <m/>
    <m/>
  </r>
  <r>
    <x v="652"/>
    <d v="2024-05-10T00:00:00"/>
    <x v="9"/>
    <x v="4"/>
    <x v="1"/>
    <x v="5"/>
    <x v="6"/>
    <x v="3"/>
    <s v="Cash"/>
    <s v=""/>
    <n v="35.270000000000003"/>
    <s v=""/>
    <s v=""/>
    <s v=""/>
    <s v=""/>
    <s v=""/>
    <n v="8170.4800000000068"/>
    <s v=""/>
    <m/>
    <m/>
    <m/>
    <m/>
    <m/>
    <m/>
    <m/>
    <m/>
    <m/>
    <m/>
    <m/>
    <m/>
    <m/>
    <m/>
    <m/>
    <s v=" "/>
    <m/>
    <m/>
    <m/>
    <m/>
  </r>
  <r>
    <x v="652"/>
    <d v="2024-05-10T00:00:00"/>
    <x v="9"/>
    <x v="4"/>
    <x v="1"/>
    <x v="107"/>
    <x v="21"/>
    <x v="2"/>
    <s v="Cash"/>
    <n v="28"/>
    <s v=""/>
    <s v=""/>
    <s v=""/>
    <s v=""/>
    <s v=""/>
    <s v=""/>
    <n v="8142.4800000000068"/>
    <s v=""/>
    <m/>
    <m/>
    <m/>
    <m/>
    <m/>
    <m/>
    <m/>
    <m/>
    <m/>
    <m/>
    <m/>
    <m/>
    <m/>
    <m/>
    <m/>
    <s v=" "/>
    <m/>
    <m/>
    <m/>
    <m/>
  </r>
  <r>
    <x v="652"/>
    <d v="2024-05-10T00:00:00"/>
    <x v="9"/>
    <x v="4"/>
    <x v="1"/>
    <x v="108"/>
    <x v="21"/>
    <x v="2"/>
    <s v="Cash"/>
    <n v="7.9"/>
    <s v=""/>
    <s v=""/>
    <s v=""/>
    <s v=""/>
    <s v=""/>
    <s v=""/>
    <n v="8134.5800000000072"/>
    <s v=""/>
    <m/>
    <m/>
    <m/>
    <m/>
    <m/>
    <m/>
    <m/>
    <m/>
    <m/>
    <m/>
    <m/>
    <m/>
    <m/>
    <m/>
    <m/>
    <s v=" "/>
    <m/>
    <m/>
    <m/>
    <m/>
  </r>
  <r>
    <x v="652"/>
    <d v="2024-05-10T00:00:00"/>
    <x v="9"/>
    <x v="4"/>
    <x v="1"/>
    <x v="82"/>
    <x v="2"/>
    <x v="2"/>
    <s v="Cash"/>
    <n v="4.4000000000000004"/>
    <s v=""/>
    <s v=""/>
    <s v=""/>
    <s v=""/>
    <s v=""/>
    <s v=""/>
    <n v="8130.1800000000076"/>
    <s v=""/>
    <m/>
    <m/>
    <m/>
    <m/>
    <m/>
    <m/>
    <m/>
    <m/>
    <m/>
    <m/>
    <m/>
    <m/>
    <m/>
    <m/>
    <m/>
    <s v=" "/>
    <m/>
    <m/>
    <m/>
    <m/>
  </r>
  <r>
    <x v="653"/>
    <d v="2024-05-11T00:00:00"/>
    <x v="10"/>
    <x v="4"/>
    <x v="1"/>
    <x v="109"/>
    <x v="2"/>
    <x v="2"/>
    <s v="Cash"/>
    <n v="117.8"/>
    <s v=""/>
    <s v=""/>
    <s v=""/>
    <s v=""/>
    <s v=""/>
    <s v=""/>
    <n v="8012.3800000000074"/>
    <s v=""/>
    <m/>
    <m/>
    <m/>
    <m/>
    <m/>
    <m/>
    <m/>
    <m/>
    <m/>
    <m/>
    <m/>
    <m/>
    <m/>
    <m/>
    <m/>
    <s v=" "/>
    <m/>
    <m/>
    <m/>
    <m/>
  </r>
  <r>
    <x v="654"/>
    <d v="2024-05-12T00:00:00"/>
    <x v="11"/>
    <x v="4"/>
    <x v="1"/>
    <x v="0"/>
    <x v="0"/>
    <x v="0"/>
    <s v=""/>
    <s v=""/>
    <s v=""/>
    <s v=""/>
    <s v=""/>
    <s v=""/>
    <s v=""/>
    <s v=""/>
    <s v=""/>
    <s v=""/>
    <m/>
    <m/>
    <m/>
    <m/>
    <m/>
    <m/>
    <m/>
    <m/>
    <m/>
    <m/>
    <m/>
    <m/>
    <m/>
    <m/>
    <m/>
    <s v=" "/>
    <m/>
    <m/>
    <m/>
    <m/>
  </r>
  <r>
    <x v="655"/>
    <d v="2024-05-13T00:00:00"/>
    <x v="12"/>
    <x v="4"/>
    <x v="1"/>
    <x v="0"/>
    <x v="0"/>
    <x v="0"/>
    <s v=""/>
    <s v=""/>
    <s v=""/>
    <s v=""/>
    <s v=""/>
    <s v=""/>
    <s v=""/>
    <s v=""/>
    <s v=""/>
    <s v=""/>
    <m/>
    <m/>
    <m/>
    <m/>
    <m/>
    <m/>
    <m/>
    <m/>
    <m/>
    <m/>
    <m/>
    <m/>
    <m/>
    <m/>
    <m/>
    <s v=" "/>
    <m/>
    <m/>
    <m/>
    <m/>
  </r>
  <r>
    <x v="656"/>
    <d v="2024-05-14T00:00:00"/>
    <x v="13"/>
    <x v="4"/>
    <x v="1"/>
    <x v="0"/>
    <x v="0"/>
    <x v="0"/>
    <s v=""/>
    <s v=""/>
    <s v=""/>
    <s v=""/>
    <s v=""/>
    <s v=""/>
    <s v=""/>
    <s v=""/>
    <s v=""/>
    <s v=""/>
    <m/>
    <m/>
    <m/>
    <m/>
    <m/>
    <m/>
    <m/>
    <m/>
    <m/>
    <m/>
    <m/>
    <m/>
    <m/>
    <m/>
    <m/>
    <s v=" "/>
    <m/>
    <m/>
    <m/>
    <m/>
  </r>
  <r>
    <x v="657"/>
    <d v="2024-05-15T00:00:00"/>
    <x v="14"/>
    <x v="4"/>
    <x v="1"/>
    <x v="5"/>
    <x v="3"/>
    <x v="3"/>
    <s v="Cash"/>
    <s v=""/>
    <n v="6.35"/>
    <s v=""/>
    <s v=""/>
    <s v=""/>
    <s v=""/>
    <s v=""/>
    <n v="8006.030000000007"/>
    <s v=""/>
    <m/>
    <m/>
    <m/>
    <m/>
    <m/>
    <m/>
    <m/>
    <m/>
    <m/>
    <m/>
    <m/>
    <m/>
    <m/>
    <m/>
    <m/>
    <s v=" "/>
    <m/>
    <m/>
    <m/>
    <m/>
  </r>
  <r>
    <x v="657"/>
    <d v="2024-05-15T00:00:00"/>
    <x v="14"/>
    <x v="4"/>
    <x v="1"/>
    <x v="5"/>
    <x v="6"/>
    <x v="3"/>
    <s v="Cash"/>
    <s v=""/>
    <n v="1.5"/>
    <s v=""/>
    <s v=""/>
    <s v=""/>
    <s v=""/>
    <s v=""/>
    <n v="8004.530000000007"/>
    <s v=""/>
    <m/>
    <m/>
    <m/>
    <m/>
    <m/>
    <m/>
    <m/>
    <m/>
    <m/>
    <m/>
    <m/>
    <m/>
    <m/>
    <m/>
    <m/>
    <s v=" "/>
    <m/>
    <m/>
    <m/>
    <m/>
  </r>
  <r>
    <x v="657"/>
    <d v="2024-05-15T00:00:00"/>
    <x v="14"/>
    <x v="4"/>
    <x v="1"/>
    <x v="110"/>
    <x v="21"/>
    <x v="2"/>
    <s v="Cash"/>
    <n v="27.8"/>
    <s v=""/>
    <s v=""/>
    <s v=""/>
    <s v=""/>
    <s v=""/>
    <s v=""/>
    <n v="7976.7300000000068"/>
    <s v=""/>
    <m/>
    <m/>
    <m/>
    <m/>
    <m/>
    <m/>
    <m/>
    <m/>
    <m/>
    <m/>
    <m/>
    <m/>
    <m/>
    <m/>
    <m/>
    <s v=" "/>
    <m/>
    <m/>
    <m/>
    <m/>
  </r>
  <r>
    <x v="657"/>
    <d v="2024-05-15T00:00:00"/>
    <x v="14"/>
    <x v="4"/>
    <x v="1"/>
    <x v="111"/>
    <x v="21"/>
    <x v="2"/>
    <s v="Cash"/>
    <n v="1.2"/>
    <s v=""/>
    <s v=""/>
    <s v=""/>
    <s v=""/>
    <s v=""/>
    <s v=""/>
    <n v="7975.530000000007"/>
    <s v=""/>
    <m/>
    <m/>
    <m/>
    <m/>
    <m/>
    <m/>
    <m/>
    <m/>
    <m/>
    <m/>
    <m/>
    <m/>
    <m/>
    <m/>
    <m/>
    <s v=" "/>
    <m/>
    <m/>
    <m/>
    <m/>
  </r>
  <r>
    <x v="657"/>
    <d v="2024-05-15T00:00:00"/>
    <x v="14"/>
    <x v="4"/>
    <x v="1"/>
    <x v="112"/>
    <x v="21"/>
    <x v="2"/>
    <s v="Cash"/>
    <n v="50"/>
    <s v=""/>
    <s v=""/>
    <s v=""/>
    <s v=""/>
    <s v=""/>
    <s v=""/>
    <n v="7925.530000000007"/>
    <s v=""/>
    <m/>
    <m/>
    <m/>
    <m/>
    <m/>
    <m/>
    <m/>
    <m/>
    <m/>
    <m/>
    <m/>
    <m/>
    <m/>
    <m/>
    <m/>
    <s v=" "/>
    <m/>
    <m/>
    <m/>
    <m/>
  </r>
  <r>
    <x v="658"/>
    <d v="2024-05-16T00:00:00"/>
    <x v="15"/>
    <x v="4"/>
    <x v="1"/>
    <x v="113"/>
    <x v="2"/>
    <x v="2"/>
    <s v="Cash"/>
    <n v="2"/>
    <s v=""/>
    <s v=""/>
    <s v=""/>
    <s v=""/>
    <s v=""/>
    <s v=""/>
    <n v="7923.530000000007"/>
    <s v=""/>
    <m/>
    <m/>
    <m/>
    <m/>
    <m/>
    <m/>
    <m/>
    <m/>
    <m/>
    <m/>
    <m/>
    <m/>
    <m/>
    <m/>
    <m/>
    <s v=" "/>
    <m/>
    <m/>
    <m/>
    <m/>
  </r>
  <r>
    <x v="659"/>
    <d v="2024-05-17T00:00:00"/>
    <x v="16"/>
    <x v="4"/>
    <x v="1"/>
    <x v="0"/>
    <x v="0"/>
    <x v="0"/>
    <s v=""/>
    <s v=""/>
    <s v=""/>
    <s v=""/>
    <s v=""/>
    <s v=""/>
    <s v=""/>
    <s v=""/>
    <s v=""/>
    <s v=""/>
    <m/>
    <m/>
    <m/>
    <m/>
    <m/>
    <m/>
    <m/>
    <m/>
    <m/>
    <m/>
    <m/>
    <m/>
    <m/>
    <m/>
    <m/>
    <s v=" "/>
    <m/>
    <m/>
    <m/>
    <m/>
  </r>
  <r>
    <x v="660"/>
    <d v="2024-05-18T00:00:00"/>
    <x v="17"/>
    <x v="4"/>
    <x v="1"/>
    <x v="0"/>
    <x v="0"/>
    <x v="0"/>
    <s v=""/>
    <s v=""/>
    <s v=""/>
    <s v=""/>
    <s v=""/>
    <s v=""/>
    <s v=""/>
    <s v=""/>
    <s v=""/>
    <s v=""/>
    <m/>
    <m/>
    <m/>
    <m/>
    <m/>
    <m/>
    <m/>
    <m/>
    <m/>
    <m/>
    <m/>
    <m/>
    <m/>
    <m/>
    <m/>
    <s v=" "/>
    <m/>
    <m/>
    <m/>
    <m/>
  </r>
  <r>
    <x v="661"/>
    <d v="2024-05-19T00:00:00"/>
    <x v="18"/>
    <x v="4"/>
    <x v="1"/>
    <x v="0"/>
    <x v="0"/>
    <x v="0"/>
    <s v=""/>
    <s v=""/>
    <s v=""/>
    <s v=""/>
    <s v=""/>
    <s v=""/>
    <s v=""/>
    <s v=""/>
    <s v=""/>
    <s v=""/>
    <m/>
    <m/>
    <m/>
    <m/>
    <m/>
    <m/>
    <m/>
    <m/>
    <m/>
    <m/>
    <m/>
    <m/>
    <m/>
    <m/>
    <m/>
    <s v=" "/>
    <m/>
    <m/>
    <m/>
    <m/>
  </r>
  <r>
    <x v="662"/>
    <d v="2024-05-20T00:00:00"/>
    <x v="19"/>
    <x v="4"/>
    <x v="1"/>
    <x v="0"/>
    <x v="0"/>
    <x v="0"/>
    <s v=""/>
    <s v=""/>
    <s v=""/>
    <s v=""/>
    <s v=""/>
    <s v=""/>
    <s v=""/>
    <s v=""/>
    <s v=""/>
    <s v=""/>
    <m/>
    <m/>
    <m/>
    <m/>
    <m/>
    <m/>
    <m/>
    <m/>
    <m/>
    <m/>
    <m/>
    <m/>
    <m/>
    <m/>
    <m/>
    <s v=" "/>
    <m/>
    <m/>
    <m/>
    <m/>
  </r>
  <r>
    <x v="663"/>
    <d v="2024-05-21T00:00:00"/>
    <x v="20"/>
    <x v="4"/>
    <x v="1"/>
    <x v="0"/>
    <x v="0"/>
    <x v="0"/>
    <s v=""/>
    <s v=""/>
    <s v=""/>
    <s v=""/>
    <s v=""/>
    <s v=""/>
    <s v=""/>
    <s v=""/>
    <s v=""/>
    <s v=""/>
    <m/>
    <m/>
    <m/>
    <m/>
    <m/>
    <m/>
    <m/>
    <m/>
    <m/>
    <m/>
    <m/>
    <m/>
    <m/>
    <m/>
    <m/>
    <s v=" "/>
    <m/>
    <m/>
    <m/>
    <m/>
  </r>
  <r>
    <x v="664"/>
    <d v="2024-05-22T00:00:00"/>
    <x v="21"/>
    <x v="4"/>
    <x v="1"/>
    <x v="0"/>
    <x v="0"/>
    <x v="0"/>
    <s v=""/>
    <s v=""/>
    <s v=""/>
    <s v=""/>
    <s v=""/>
    <s v=""/>
    <s v=""/>
    <s v=""/>
    <s v=""/>
    <s v=""/>
    <m/>
    <m/>
    <m/>
    <m/>
    <m/>
    <m/>
    <m/>
    <m/>
    <m/>
    <m/>
    <m/>
    <m/>
    <m/>
    <m/>
    <m/>
    <s v=" "/>
    <m/>
    <m/>
    <m/>
    <m/>
  </r>
  <r>
    <x v="665"/>
    <d v="2024-05-23T00:00:00"/>
    <x v="22"/>
    <x v="4"/>
    <x v="1"/>
    <x v="0"/>
    <x v="0"/>
    <x v="0"/>
    <s v=""/>
    <s v=""/>
    <s v=""/>
    <s v=""/>
    <s v=""/>
    <s v=""/>
    <s v=""/>
    <s v=""/>
    <s v=""/>
    <s v=""/>
    <m/>
    <m/>
    <m/>
    <m/>
    <m/>
    <m/>
    <m/>
    <m/>
    <m/>
    <m/>
    <m/>
    <m/>
    <m/>
    <m/>
    <m/>
    <s v=" "/>
    <m/>
    <m/>
    <m/>
    <m/>
  </r>
  <r>
    <x v="666"/>
    <d v="2024-05-24T00:00:00"/>
    <x v="23"/>
    <x v="4"/>
    <x v="1"/>
    <x v="0"/>
    <x v="0"/>
    <x v="0"/>
    <s v=""/>
    <s v=""/>
    <s v=""/>
    <s v=""/>
    <s v=""/>
    <s v=""/>
    <s v=""/>
    <s v=""/>
    <s v=""/>
    <s v=""/>
    <m/>
    <m/>
    <m/>
    <m/>
    <m/>
    <m/>
    <m/>
    <m/>
    <m/>
    <m/>
    <m/>
    <m/>
    <m/>
    <m/>
    <m/>
    <s v=" "/>
    <m/>
    <m/>
    <m/>
    <m/>
  </r>
  <r>
    <x v="667"/>
    <d v="2024-05-25T00:00:00"/>
    <x v="24"/>
    <x v="4"/>
    <x v="1"/>
    <x v="0"/>
    <x v="0"/>
    <x v="0"/>
    <s v=""/>
    <s v=""/>
    <s v=""/>
    <s v=""/>
    <s v=""/>
    <s v=""/>
    <s v=""/>
    <s v=""/>
    <s v=""/>
    <s v=""/>
    <m/>
    <m/>
    <m/>
    <m/>
    <m/>
    <m/>
    <m/>
    <m/>
    <m/>
    <m/>
    <m/>
    <m/>
    <m/>
    <m/>
    <m/>
    <s v=" "/>
    <m/>
    <m/>
    <m/>
    <m/>
  </r>
  <r>
    <x v="668"/>
    <d v="2024-05-26T00:00:00"/>
    <x v="25"/>
    <x v="4"/>
    <x v="1"/>
    <x v="0"/>
    <x v="0"/>
    <x v="0"/>
    <s v=""/>
    <s v=""/>
    <s v=""/>
    <s v=""/>
    <s v=""/>
    <s v=""/>
    <s v=""/>
    <s v=""/>
    <s v=""/>
    <s v=""/>
    <m/>
    <m/>
    <m/>
    <m/>
    <m/>
    <m/>
    <m/>
    <m/>
    <m/>
    <m/>
    <m/>
    <m/>
    <m/>
    <m/>
    <m/>
    <s v=" "/>
    <m/>
    <m/>
    <m/>
    <m/>
  </r>
  <r>
    <x v="669"/>
    <d v="2024-05-27T00:00:00"/>
    <x v="26"/>
    <x v="4"/>
    <x v="1"/>
    <x v="1"/>
    <x v="1"/>
    <x v="1"/>
    <s v="Carta"/>
    <s v=""/>
    <n v="2"/>
    <s v=""/>
    <s v=""/>
    <s v=""/>
    <s v=""/>
    <s v=""/>
    <n v="7921.530000000007"/>
    <s v=""/>
    <m/>
    <m/>
    <m/>
    <m/>
    <m/>
    <m/>
    <m/>
    <m/>
    <m/>
    <m/>
    <m/>
    <m/>
    <m/>
    <m/>
    <m/>
    <s v=" "/>
    <m/>
    <m/>
    <m/>
    <m/>
  </r>
  <r>
    <x v="670"/>
    <d v="2024-05-28T00:00:00"/>
    <x v="27"/>
    <x v="4"/>
    <x v="1"/>
    <x v="0"/>
    <x v="0"/>
    <x v="0"/>
    <s v=""/>
    <s v=""/>
    <s v=""/>
    <s v=""/>
    <s v=""/>
    <s v=""/>
    <s v=""/>
    <s v=""/>
    <s v=""/>
    <s v=""/>
    <m/>
    <m/>
    <m/>
    <m/>
    <m/>
    <m/>
    <m/>
    <m/>
    <m/>
    <m/>
    <m/>
    <m/>
    <m/>
    <m/>
    <m/>
    <s v=" "/>
    <m/>
    <m/>
    <m/>
    <m/>
  </r>
  <r>
    <x v="671"/>
    <d v="2024-05-29T00:00:00"/>
    <x v="28"/>
    <x v="4"/>
    <x v="1"/>
    <x v="0"/>
    <x v="0"/>
    <x v="0"/>
    <s v=""/>
    <s v=""/>
    <s v=""/>
    <s v=""/>
    <s v=""/>
    <s v=""/>
    <s v=""/>
    <s v=""/>
    <s v=""/>
    <s v=""/>
    <m/>
    <m/>
    <m/>
    <m/>
    <m/>
    <m/>
    <m/>
    <m/>
    <m/>
    <m/>
    <m/>
    <m/>
    <m/>
    <m/>
    <m/>
    <s v=" "/>
    <m/>
    <m/>
    <m/>
    <m/>
  </r>
  <r>
    <x v="672"/>
    <d v="2024-05-30T00:00:00"/>
    <x v="29"/>
    <x v="4"/>
    <x v="1"/>
    <x v="0"/>
    <x v="0"/>
    <x v="0"/>
    <s v=""/>
    <s v=""/>
    <s v=""/>
    <s v=""/>
    <s v=""/>
    <s v=""/>
    <s v=""/>
    <s v=""/>
    <s v=""/>
    <s v=""/>
    <m/>
    <m/>
    <m/>
    <m/>
    <m/>
    <m/>
    <m/>
    <m/>
    <m/>
    <m/>
    <m/>
    <m/>
    <m/>
    <m/>
    <m/>
    <s v=" "/>
    <m/>
    <m/>
    <m/>
    <m/>
  </r>
  <r>
    <x v="673"/>
    <d v="2024-05-31T00:00:00"/>
    <x v="30"/>
    <x v="4"/>
    <x v="1"/>
    <x v="2"/>
    <x v="1"/>
    <x v="1"/>
    <s v="Carta"/>
    <s v=""/>
    <n v="4.9800000000000004"/>
    <s v=""/>
    <s v=""/>
    <s v=""/>
    <s v=""/>
    <s v=""/>
    <n v="7916.5500000000075"/>
    <s v=""/>
    <m/>
    <m/>
    <m/>
    <m/>
    <m/>
    <m/>
    <m/>
    <m/>
    <m/>
    <m/>
    <m/>
    <m/>
    <m/>
    <m/>
    <m/>
    <s v=" "/>
    <m/>
    <m/>
    <m/>
    <m/>
  </r>
  <r>
    <x v="674"/>
    <d v="2024-06-01T00:00:00"/>
    <x v="0"/>
    <x v="5"/>
    <x v="1"/>
    <x v="0"/>
    <x v="0"/>
    <x v="0"/>
    <s v=""/>
    <s v=""/>
    <s v=""/>
    <s v=""/>
    <s v=""/>
    <s v=""/>
    <s v=""/>
    <s v=""/>
    <s v=""/>
    <s v=""/>
    <m/>
    <m/>
    <m/>
    <m/>
    <m/>
    <m/>
    <m/>
    <m/>
    <m/>
    <m/>
    <m/>
    <m/>
    <m/>
    <m/>
    <m/>
    <s v=" "/>
    <m/>
    <m/>
    <m/>
    <m/>
  </r>
  <r>
    <x v="675"/>
    <d v="2024-06-02T00:00:00"/>
    <x v="1"/>
    <x v="5"/>
    <x v="1"/>
    <x v="0"/>
    <x v="0"/>
    <x v="0"/>
    <s v=""/>
    <s v=""/>
    <s v=""/>
    <s v=""/>
    <s v=""/>
    <s v=""/>
    <s v=""/>
    <s v=""/>
    <s v=""/>
    <s v=""/>
    <m/>
    <m/>
    <m/>
    <m/>
    <m/>
    <m/>
    <m/>
    <m/>
    <m/>
    <m/>
    <m/>
    <m/>
    <m/>
    <m/>
    <m/>
    <s v=" "/>
    <m/>
    <m/>
    <m/>
    <m/>
  </r>
  <r>
    <x v="676"/>
    <d v="2024-06-03T00:00:00"/>
    <x v="2"/>
    <x v="5"/>
    <x v="1"/>
    <x v="114"/>
    <x v="11"/>
    <x v="5"/>
    <s v="Carta"/>
    <s v=""/>
    <s v=""/>
    <s v=""/>
    <s v=""/>
    <n v="1000"/>
    <s v=""/>
    <s v=""/>
    <n v="8916.5500000000065"/>
    <s v=""/>
    <m/>
    <m/>
    <m/>
    <m/>
    <m/>
    <m/>
    <m/>
    <m/>
    <m/>
    <m/>
    <m/>
    <m/>
    <m/>
    <m/>
    <m/>
    <s v=" "/>
    <m/>
    <m/>
    <m/>
    <m/>
  </r>
  <r>
    <x v="677"/>
    <d v="2024-06-04T00:00:00"/>
    <x v="3"/>
    <x v="5"/>
    <x v="1"/>
    <x v="0"/>
    <x v="0"/>
    <x v="0"/>
    <s v=""/>
    <s v=""/>
    <s v=""/>
    <s v=""/>
    <s v=""/>
    <s v=""/>
    <s v=""/>
    <s v=""/>
    <s v=""/>
    <s v=""/>
    <m/>
    <m/>
    <m/>
    <m/>
    <m/>
    <m/>
    <m/>
    <m/>
    <m/>
    <m/>
    <m/>
    <m/>
    <m/>
    <m/>
    <m/>
    <s v=" "/>
    <m/>
    <m/>
    <m/>
    <m/>
  </r>
  <r>
    <x v="678"/>
    <d v="2024-06-05T00:00:00"/>
    <x v="4"/>
    <x v="5"/>
    <x v="1"/>
    <x v="0"/>
    <x v="0"/>
    <x v="0"/>
    <s v=""/>
    <s v=""/>
    <s v=""/>
    <s v=""/>
    <s v=""/>
    <s v=""/>
    <s v=""/>
    <s v=""/>
    <s v=""/>
    <s v=""/>
    <m/>
    <m/>
    <m/>
    <m/>
    <m/>
    <m/>
    <m/>
    <m/>
    <m/>
    <m/>
    <m/>
    <m/>
    <m/>
    <m/>
    <m/>
    <s v=" "/>
    <m/>
    <m/>
    <m/>
    <m/>
  </r>
  <r>
    <x v="679"/>
    <d v="2024-06-06T00:00:00"/>
    <x v="5"/>
    <x v="5"/>
    <x v="1"/>
    <x v="0"/>
    <x v="0"/>
    <x v="0"/>
    <s v=""/>
    <s v=""/>
    <s v=""/>
    <s v=""/>
    <s v=""/>
    <s v=""/>
    <s v=""/>
    <s v=""/>
    <s v=""/>
    <s v=""/>
    <m/>
    <m/>
    <m/>
    <m/>
    <m/>
    <m/>
    <m/>
    <m/>
    <m/>
    <m/>
    <m/>
    <m/>
    <m/>
    <m/>
    <m/>
    <s v=" "/>
    <m/>
    <m/>
    <m/>
    <m/>
  </r>
  <r>
    <x v="680"/>
    <d v="2024-06-07T00:00:00"/>
    <x v="6"/>
    <x v="5"/>
    <x v="1"/>
    <x v="115"/>
    <x v="11"/>
    <x v="5"/>
    <s v="Carta"/>
    <s v=""/>
    <s v=""/>
    <s v=""/>
    <s v=""/>
    <n v="1000"/>
    <s v=""/>
    <s v=""/>
    <n v="9916.5500000000065"/>
    <s v=""/>
    <m/>
    <m/>
    <m/>
    <m/>
    <m/>
    <m/>
    <m/>
    <m/>
    <m/>
    <m/>
    <m/>
    <m/>
    <m/>
    <m/>
    <m/>
    <s v=" "/>
    <m/>
    <m/>
    <m/>
    <m/>
  </r>
  <r>
    <x v="681"/>
    <d v="2024-06-08T00:00:00"/>
    <x v="7"/>
    <x v="5"/>
    <x v="1"/>
    <x v="0"/>
    <x v="0"/>
    <x v="0"/>
    <s v=""/>
    <s v=""/>
    <s v=""/>
    <s v=""/>
    <s v=""/>
    <s v=""/>
    <s v=""/>
    <s v=""/>
    <s v=""/>
    <s v=""/>
    <m/>
    <m/>
    <m/>
    <m/>
    <m/>
    <m/>
    <m/>
    <m/>
    <m/>
    <m/>
    <m/>
    <m/>
    <m/>
    <m/>
    <m/>
    <s v=" "/>
    <m/>
    <m/>
    <m/>
    <m/>
  </r>
  <r>
    <x v="682"/>
    <d v="2024-06-09T00:00:00"/>
    <x v="8"/>
    <x v="5"/>
    <x v="1"/>
    <x v="0"/>
    <x v="0"/>
    <x v="0"/>
    <s v=""/>
    <s v=""/>
    <s v=""/>
    <s v=""/>
    <s v=""/>
    <s v=""/>
    <s v=""/>
    <s v=""/>
    <s v=""/>
    <s v=""/>
    <m/>
    <m/>
    <m/>
    <m/>
    <m/>
    <m/>
    <m/>
    <m/>
    <m/>
    <m/>
    <m/>
    <m/>
    <m/>
    <m/>
    <m/>
    <s v=" "/>
    <m/>
    <m/>
    <m/>
    <m/>
  </r>
  <r>
    <x v="683"/>
    <d v="2024-06-10T00:00:00"/>
    <x v="9"/>
    <x v="5"/>
    <x v="1"/>
    <x v="0"/>
    <x v="0"/>
    <x v="0"/>
    <s v=""/>
    <s v=""/>
    <s v=""/>
    <s v=""/>
    <s v=""/>
    <s v=""/>
    <s v=""/>
    <s v=""/>
    <s v=""/>
    <s v=""/>
    <m/>
    <m/>
    <m/>
    <m/>
    <m/>
    <m/>
    <m/>
    <m/>
    <m/>
    <m/>
    <m/>
    <m/>
    <m/>
    <m/>
    <m/>
    <s v=" "/>
    <m/>
    <m/>
    <m/>
    <m/>
  </r>
  <r>
    <x v="684"/>
    <d v="2024-06-11T00:00:00"/>
    <x v="10"/>
    <x v="5"/>
    <x v="1"/>
    <x v="0"/>
    <x v="0"/>
    <x v="0"/>
    <s v=""/>
    <s v=""/>
    <s v=""/>
    <s v=""/>
    <s v=""/>
    <s v=""/>
    <s v=""/>
    <s v=""/>
    <s v=""/>
    <s v=""/>
    <m/>
    <m/>
    <m/>
    <m/>
    <m/>
    <m/>
    <m/>
    <m/>
    <m/>
    <m/>
    <m/>
    <m/>
    <m/>
    <m/>
    <m/>
    <s v=" "/>
    <m/>
    <m/>
    <m/>
    <m/>
  </r>
  <r>
    <x v="685"/>
    <d v="2024-06-12T00:00:00"/>
    <x v="11"/>
    <x v="5"/>
    <x v="1"/>
    <x v="0"/>
    <x v="0"/>
    <x v="0"/>
    <s v=""/>
    <s v=""/>
    <s v=""/>
    <s v=""/>
    <s v=""/>
    <s v=""/>
    <s v=""/>
    <s v=""/>
    <s v=""/>
    <s v=""/>
    <m/>
    <m/>
    <m/>
    <m/>
    <m/>
    <m/>
    <m/>
    <m/>
    <m/>
    <m/>
    <m/>
    <m/>
    <m/>
    <m/>
    <m/>
    <s v=" "/>
    <m/>
    <m/>
    <m/>
    <m/>
  </r>
  <r>
    <x v="686"/>
    <d v="2024-06-13T00:00:00"/>
    <x v="12"/>
    <x v="5"/>
    <x v="1"/>
    <x v="0"/>
    <x v="0"/>
    <x v="0"/>
    <s v=""/>
    <s v=""/>
    <s v=""/>
    <s v=""/>
    <s v=""/>
    <s v=""/>
    <s v=""/>
    <s v=""/>
    <s v=""/>
    <s v=""/>
    <m/>
    <m/>
    <m/>
    <m/>
    <m/>
    <m/>
    <m/>
    <m/>
    <m/>
    <m/>
    <m/>
    <m/>
    <m/>
    <m/>
    <m/>
    <s v=" "/>
    <m/>
    <m/>
    <m/>
    <m/>
  </r>
  <r>
    <x v="687"/>
    <d v="2024-06-14T00:00:00"/>
    <x v="13"/>
    <x v="5"/>
    <x v="1"/>
    <x v="0"/>
    <x v="0"/>
    <x v="0"/>
    <s v=""/>
    <s v=""/>
    <s v=""/>
    <s v=""/>
    <s v=""/>
    <s v=""/>
    <s v=""/>
    <s v=""/>
    <s v=""/>
    <s v=""/>
    <m/>
    <m/>
    <m/>
    <m/>
    <m/>
    <m/>
    <m/>
    <m/>
    <m/>
    <m/>
    <m/>
    <m/>
    <m/>
    <m/>
    <m/>
    <s v=" "/>
    <m/>
    <m/>
    <m/>
    <m/>
  </r>
  <r>
    <x v="688"/>
    <d v="2024-06-15T00:00:00"/>
    <x v="14"/>
    <x v="5"/>
    <x v="1"/>
    <x v="0"/>
    <x v="0"/>
    <x v="0"/>
    <s v=""/>
    <s v=""/>
    <s v=""/>
    <s v=""/>
    <s v=""/>
    <s v=""/>
    <s v=""/>
    <s v=""/>
    <s v=""/>
    <s v=""/>
    <m/>
    <m/>
    <m/>
    <m/>
    <m/>
    <m/>
    <m/>
    <m/>
    <m/>
    <m/>
    <m/>
    <m/>
    <m/>
    <m/>
    <m/>
    <s v=" "/>
    <m/>
    <m/>
    <m/>
    <m/>
  </r>
  <r>
    <x v="689"/>
    <d v="2024-06-16T00:00:00"/>
    <x v="15"/>
    <x v="5"/>
    <x v="1"/>
    <x v="0"/>
    <x v="0"/>
    <x v="0"/>
    <s v=""/>
    <s v=""/>
    <s v=""/>
    <s v=""/>
    <s v=""/>
    <s v=""/>
    <s v=""/>
    <s v=""/>
    <s v=""/>
    <s v=""/>
    <m/>
    <m/>
    <m/>
    <m/>
    <m/>
    <m/>
    <m/>
    <m/>
    <m/>
    <m/>
    <m/>
    <m/>
    <m/>
    <m/>
    <m/>
    <s v=" "/>
    <m/>
    <m/>
    <m/>
    <m/>
  </r>
  <r>
    <x v="690"/>
    <d v="2024-06-17T00:00:00"/>
    <x v="16"/>
    <x v="5"/>
    <x v="1"/>
    <x v="0"/>
    <x v="0"/>
    <x v="0"/>
    <s v=""/>
    <s v=""/>
    <s v=""/>
    <s v=""/>
    <s v=""/>
    <s v=""/>
    <s v=""/>
    <s v=""/>
    <s v=""/>
    <s v=""/>
    <m/>
    <m/>
    <m/>
    <m/>
    <m/>
    <m/>
    <m/>
    <m/>
    <m/>
    <m/>
    <m/>
    <m/>
    <m/>
    <m/>
    <m/>
    <s v=" "/>
    <m/>
    <m/>
    <m/>
    <m/>
  </r>
  <r>
    <x v="691"/>
    <d v="2024-06-18T00:00:00"/>
    <x v="17"/>
    <x v="5"/>
    <x v="1"/>
    <x v="0"/>
    <x v="0"/>
    <x v="0"/>
    <s v=""/>
    <s v=""/>
    <s v=""/>
    <s v=""/>
    <s v=""/>
    <s v=""/>
    <s v=""/>
    <s v=""/>
    <s v=""/>
    <s v=""/>
    <m/>
    <m/>
    <m/>
    <m/>
    <m/>
    <m/>
    <m/>
    <m/>
    <m/>
    <m/>
    <m/>
    <m/>
    <m/>
    <m/>
    <m/>
    <s v=" "/>
    <m/>
    <m/>
    <m/>
    <m/>
  </r>
  <r>
    <x v="692"/>
    <d v="2024-06-19T00:00:00"/>
    <x v="18"/>
    <x v="5"/>
    <x v="1"/>
    <x v="0"/>
    <x v="0"/>
    <x v="0"/>
    <s v=""/>
    <s v=""/>
    <s v=""/>
    <s v=""/>
    <s v=""/>
    <s v=""/>
    <s v=""/>
    <s v=""/>
    <s v=""/>
    <s v=""/>
    <m/>
    <m/>
    <m/>
    <m/>
    <m/>
    <m/>
    <m/>
    <m/>
    <m/>
    <m/>
    <m/>
    <m/>
    <m/>
    <m/>
    <m/>
    <s v=" "/>
    <m/>
    <m/>
    <m/>
    <m/>
  </r>
  <r>
    <x v="693"/>
    <d v="2024-06-20T00:00:00"/>
    <x v="19"/>
    <x v="5"/>
    <x v="1"/>
    <x v="0"/>
    <x v="0"/>
    <x v="0"/>
    <s v=""/>
    <s v=""/>
    <s v=""/>
    <s v=""/>
    <s v=""/>
    <s v=""/>
    <s v=""/>
    <s v=""/>
    <s v=""/>
    <s v=""/>
    <m/>
    <m/>
    <m/>
    <m/>
    <m/>
    <m/>
    <m/>
    <m/>
    <m/>
    <m/>
    <m/>
    <m/>
    <m/>
    <m/>
    <m/>
    <s v=" "/>
    <m/>
    <m/>
    <m/>
    <m/>
  </r>
  <r>
    <x v="694"/>
    <d v="2024-06-21T00:00:00"/>
    <x v="20"/>
    <x v="5"/>
    <x v="1"/>
    <x v="0"/>
    <x v="0"/>
    <x v="0"/>
    <s v=""/>
    <s v=""/>
    <s v=""/>
    <s v=""/>
    <s v=""/>
    <s v=""/>
    <s v=""/>
    <s v=""/>
    <s v=""/>
    <s v=""/>
    <m/>
    <m/>
    <m/>
    <m/>
    <m/>
    <m/>
    <m/>
    <m/>
    <m/>
    <m/>
    <m/>
    <m/>
    <m/>
    <m/>
    <m/>
    <s v=" "/>
    <m/>
    <m/>
    <m/>
    <m/>
  </r>
  <r>
    <x v="695"/>
    <d v="2024-06-22T00:00:00"/>
    <x v="21"/>
    <x v="5"/>
    <x v="1"/>
    <x v="0"/>
    <x v="0"/>
    <x v="0"/>
    <s v=""/>
    <s v=""/>
    <s v=""/>
    <s v=""/>
    <s v=""/>
    <s v=""/>
    <s v=""/>
    <s v=""/>
    <s v=""/>
    <s v=""/>
    <m/>
    <m/>
    <m/>
    <m/>
    <m/>
    <m/>
    <m/>
    <m/>
    <m/>
    <m/>
    <m/>
    <m/>
    <m/>
    <m/>
    <m/>
    <s v=" "/>
    <m/>
    <m/>
    <m/>
    <m/>
  </r>
  <r>
    <x v="696"/>
    <d v="2024-06-23T00:00:00"/>
    <x v="22"/>
    <x v="5"/>
    <x v="1"/>
    <x v="0"/>
    <x v="0"/>
    <x v="0"/>
    <s v=""/>
    <s v=""/>
    <s v=""/>
    <s v=""/>
    <s v=""/>
    <s v=""/>
    <s v=""/>
    <s v=""/>
    <s v=""/>
    <s v=""/>
    <m/>
    <m/>
    <m/>
    <m/>
    <m/>
    <m/>
    <m/>
    <m/>
    <m/>
    <m/>
    <m/>
    <m/>
    <m/>
    <m/>
    <m/>
    <s v=" "/>
    <m/>
    <m/>
    <m/>
    <m/>
  </r>
  <r>
    <x v="697"/>
    <d v="2024-06-24T00:00:00"/>
    <x v="23"/>
    <x v="5"/>
    <x v="1"/>
    <x v="0"/>
    <x v="0"/>
    <x v="0"/>
    <s v=""/>
    <s v=""/>
    <s v=""/>
    <s v=""/>
    <s v=""/>
    <s v=""/>
    <s v=""/>
    <s v=""/>
    <s v=""/>
    <s v=""/>
    <m/>
    <m/>
    <m/>
    <m/>
    <m/>
    <m/>
    <m/>
    <m/>
    <m/>
    <m/>
    <m/>
    <m/>
    <m/>
    <m/>
    <m/>
    <s v=" "/>
    <m/>
    <m/>
    <m/>
    <m/>
  </r>
  <r>
    <x v="698"/>
    <d v="2024-06-25T00:00:00"/>
    <x v="24"/>
    <x v="5"/>
    <x v="1"/>
    <x v="0"/>
    <x v="0"/>
    <x v="0"/>
    <s v=""/>
    <s v=""/>
    <s v=""/>
    <s v=""/>
    <s v=""/>
    <s v=""/>
    <s v=""/>
    <s v=""/>
    <s v=""/>
    <s v=""/>
    <m/>
    <m/>
    <m/>
    <m/>
    <m/>
    <m/>
    <m/>
    <m/>
    <m/>
    <m/>
    <m/>
    <m/>
    <m/>
    <m/>
    <m/>
    <s v=" "/>
    <m/>
    <m/>
    <m/>
    <m/>
  </r>
  <r>
    <x v="699"/>
    <d v="2024-06-26T00:00:00"/>
    <x v="25"/>
    <x v="5"/>
    <x v="1"/>
    <x v="0"/>
    <x v="0"/>
    <x v="0"/>
    <s v=""/>
    <s v=""/>
    <s v=""/>
    <s v=""/>
    <s v=""/>
    <s v=""/>
    <s v=""/>
    <s v=""/>
    <s v=""/>
    <s v=""/>
    <m/>
    <m/>
    <m/>
    <m/>
    <m/>
    <m/>
    <m/>
    <m/>
    <m/>
    <m/>
    <m/>
    <m/>
    <m/>
    <m/>
    <m/>
    <s v=" "/>
    <m/>
    <m/>
    <m/>
    <m/>
  </r>
  <r>
    <x v="700"/>
    <d v="2024-06-27T00:00:00"/>
    <x v="26"/>
    <x v="5"/>
    <x v="1"/>
    <x v="1"/>
    <x v="1"/>
    <x v="1"/>
    <s v="Carta"/>
    <s v=""/>
    <n v="2"/>
    <s v=""/>
    <s v=""/>
    <s v=""/>
    <s v=""/>
    <s v=""/>
    <n v="9914.5500000000065"/>
    <s v=""/>
    <m/>
    <m/>
    <m/>
    <m/>
    <m/>
    <m/>
    <m/>
    <m/>
    <m/>
    <m/>
    <m/>
    <m/>
    <m/>
    <m/>
    <m/>
    <s v=" "/>
    <m/>
    <m/>
    <m/>
    <m/>
  </r>
  <r>
    <x v="701"/>
    <d v="2024-06-28T00:00:00"/>
    <x v="27"/>
    <x v="5"/>
    <x v="1"/>
    <x v="2"/>
    <x v="1"/>
    <x v="1"/>
    <s v="Carta"/>
    <s v=""/>
    <n v="4.9800000000000004"/>
    <s v=""/>
    <s v=""/>
    <s v=""/>
    <s v=""/>
    <s v=""/>
    <n v="9909.570000000007"/>
    <s v=""/>
    <m/>
    <m/>
    <m/>
    <m/>
    <m/>
    <m/>
    <m/>
    <m/>
    <m/>
    <m/>
    <m/>
    <m/>
    <m/>
    <m/>
    <m/>
    <s v=" "/>
    <m/>
    <m/>
    <m/>
    <m/>
  </r>
  <r>
    <x v="702"/>
    <d v="2024-06-29T00:00:00"/>
    <x v="28"/>
    <x v="5"/>
    <x v="1"/>
    <x v="0"/>
    <x v="0"/>
    <x v="0"/>
    <s v=""/>
    <s v=""/>
    <s v=""/>
    <s v=""/>
    <s v=""/>
    <s v=""/>
    <s v=""/>
    <s v=""/>
    <s v=""/>
    <s v=""/>
    <m/>
    <m/>
    <m/>
    <m/>
    <m/>
    <m/>
    <m/>
    <m/>
    <m/>
    <m/>
    <m/>
    <m/>
    <m/>
    <m/>
    <m/>
    <s v=" "/>
    <m/>
    <m/>
    <m/>
    <m/>
  </r>
  <r>
    <x v="703"/>
    <d v="2024-06-30T00:00:00"/>
    <x v="29"/>
    <x v="5"/>
    <x v="1"/>
    <x v="50"/>
    <x v="1"/>
    <x v="1"/>
    <s v="Carta"/>
    <s v=""/>
    <n v="8.5"/>
    <s v=""/>
    <s v=""/>
    <s v=""/>
    <s v=""/>
    <s v=""/>
    <n v="9901.070000000007"/>
    <s v=""/>
    <m/>
    <m/>
    <m/>
    <m/>
    <m/>
    <m/>
    <m/>
    <m/>
    <m/>
    <m/>
    <m/>
    <m/>
    <m/>
    <m/>
    <m/>
    <s v=" "/>
    <m/>
    <m/>
    <m/>
    <m/>
  </r>
  <r>
    <x v="704"/>
    <d v="2024-07-01T00:00:00"/>
    <x v="0"/>
    <x v="6"/>
    <x v="1"/>
    <x v="0"/>
    <x v="0"/>
    <x v="0"/>
    <s v=""/>
    <s v=""/>
    <s v=""/>
    <s v=""/>
    <s v=""/>
    <s v=""/>
    <s v=""/>
    <s v=""/>
    <s v=""/>
    <s v=""/>
    <m/>
    <m/>
    <m/>
    <m/>
    <m/>
    <m/>
    <m/>
    <m/>
    <m/>
    <m/>
    <m/>
    <m/>
    <m/>
    <m/>
    <m/>
    <s v=" "/>
    <m/>
    <m/>
    <m/>
    <m/>
  </r>
  <r>
    <x v="705"/>
    <d v="2024-07-02T00:00:00"/>
    <x v="1"/>
    <x v="6"/>
    <x v="1"/>
    <x v="0"/>
    <x v="0"/>
    <x v="0"/>
    <s v=""/>
    <s v=""/>
    <s v=""/>
    <s v=""/>
    <s v=""/>
    <s v=""/>
    <s v=""/>
    <s v=""/>
    <s v=""/>
    <s v=""/>
    <m/>
    <m/>
    <m/>
    <m/>
    <m/>
    <m/>
    <m/>
    <m/>
    <m/>
    <m/>
    <m/>
    <m/>
    <m/>
    <m/>
    <m/>
    <s v=" "/>
    <m/>
    <m/>
    <m/>
    <m/>
  </r>
  <r>
    <x v="706"/>
    <d v="2024-07-03T00:00:00"/>
    <x v="2"/>
    <x v="6"/>
    <x v="1"/>
    <x v="0"/>
    <x v="0"/>
    <x v="0"/>
    <s v=""/>
    <s v=""/>
    <s v=""/>
    <s v=""/>
    <s v=""/>
    <s v=""/>
    <s v=""/>
    <s v=""/>
    <s v=""/>
    <s v=""/>
    <m/>
    <m/>
    <m/>
    <m/>
    <m/>
    <m/>
    <m/>
    <m/>
    <m/>
    <m/>
    <m/>
    <m/>
    <m/>
    <m/>
    <m/>
    <s v=" "/>
    <m/>
    <m/>
    <m/>
    <m/>
  </r>
  <r>
    <x v="707"/>
    <d v="2024-07-04T00:00:00"/>
    <x v="3"/>
    <x v="6"/>
    <x v="1"/>
    <x v="0"/>
    <x v="0"/>
    <x v="0"/>
    <s v=""/>
    <s v=""/>
    <s v=""/>
    <s v=""/>
    <s v=""/>
    <s v=""/>
    <s v=""/>
    <s v=""/>
    <s v=""/>
    <s v=""/>
    <m/>
    <m/>
    <m/>
    <m/>
    <m/>
    <m/>
    <m/>
    <m/>
    <m/>
    <m/>
    <m/>
    <m/>
    <m/>
    <m/>
    <m/>
    <s v=" "/>
    <m/>
    <m/>
    <m/>
    <m/>
  </r>
  <r>
    <x v="708"/>
    <d v="2024-07-05T00:00:00"/>
    <x v="4"/>
    <x v="6"/>
    <x v="1"/>
    <x v="0"/>
    <x v="0"/>
    <x v="0"/>
    <s v=""/>
    <s v=""/>
    <s v=""/>
    <s v=""/>
    <s v=""/>
    <s v=""/>
    <s v=""/>
    <s v=""/>
    <s v=""/>
    <s v=""/>
    <m/>
    <m/>
    <m/>
    <m/>
    <m/>
    <m/>
    <m/>
    <m/>
    <m/>
    <m/>
    <m/>
    <m/>
    <m/>
    <m/>
    <m/>
    <s v=" "/>
    <m/>
    <m/>
    <m/>
    <m/>
  </r>
  <r>
    <x v="709"/>
    <d v="2024-07-06T00:00:00"/>
    <x v="5"/>
    <x v="6"/>
    <x v="1"/>
    <x v="0"/>
    <x v="0"/>
    <x v="0"/>
    <s v=""/>
    <s v=""/>
    <s v=""/>
    <s v=""/>
    <s v=""/>
    <s v=""/>
    <s v=""/>
    <s v=""/>
    <s v=""/>
    <s v=""/>
    <m/>
    <m/>
    <m/>
    <m/>
    <m/>
    <m/>
    <m/>
    <m/>
    <m/>
    <m/>
    <m/>
    <m/>
    <m/>
    <m/>
    <m/>
    <s v=" "/>
    <m/>
    <m/>
    <m/>
    <m/>
  </r>
  <r>
    <x v="710"/>
    <d v="2024-07-07T00:00:00"/>
    <x v="6"/>
    <x v="6"/>
    <x v="1"/>
    <x v="0"/>
    <x v="0"/>
    <x v="0"/>
    <s v=""/>
    <s v=""/>
    <s v=""/>
    <s v=""/>
    <s v=""/>
    <s v=""/>
    <s v=""/>
    <s v=""/>
    <s v=""/>
    <s v=""/>
    <m/>
    <m/>
    <m/>
    <m/>
    <m/>
    <m/>
    <m/>
    <m/>
    <m/>
    <m/>
    <m/>
    <m/>
    <m/>
    <m/>
    <m/>
    <s v=" "/>
    <m/>
    <m/>
    <m/>
    <m/>
  </r>
  <r>
    <x v="711"/>
    <d v="2024-07-08T00:00:00"/>
    <x v="7"/>
    <x v="6"/>
    <x v="1"/>
    <x v="74"/>
    <x v="12"/>
    <x v="6"/>
    <s v="Carta"/>
    <s v=""/>
    <n v="41"/>
    <s v=""/>
    <s v=""/>
    <s v=""/>
    <s v=""/>
    <s v=""/>
    <n v="9860.070000000007"/>
    <s v=""/>
    <m/>
    <m/>
    <m/>
    <m/>
    <m/>
    <m/>
    <m/>
    <m/>
    <m/>
    <m/>
    <m/>
    <m/>
    <m/>
    <m/>
    <m/>
    <s v=" "/>
    <m/>
    <m/>
    <m/>
    <m/>
  </r>
  <r>
    <x v="712"/>
    <d v="2024-07-09T00:00:00"/>
    <x v="8"/>
    <x v="6"/>
    <x v="1"/>
    <x v="0"/>
    <x v="0"/>
    <x v="0"/>
    <s v=""/>
    <s v=""/>
    <s v=""/>
    <s v=""/>
    <s v=""/>
    <s v=""/>
    <s v=""/>
    <s v=""/>
    <s v=""/>
    <s v=""/>
    <m/>
    <m/>
    <m/>
    <m/>
    <m/>
    <m/>
    <m/>
    <m/>
    <m/>
    <m/>
    <m/>
    <m/>
    <m/>
    <m/>
    <m/>
    <s v=" "/>
    <m/>
    <m/>
    <m/>
    <m/>
  </r>
  <r>
    <x v="713"/>
    <d v="2024-07-10T00:00:00"/>
    <x v="9"/>
    <x v="6"/>
    <x v="1"/>
    <x v="0"/>
    <x v="0"/>
    <x v="0"/>
    <s v=""/>
    <s v=""/>
    <s v=""/>
    <s v=""/>
    <s v=""/>
    <s v=""/>
    <s v=""/>
    <s v=""/>
    <s v=""/>
    <s v=""/>
    <m/>
    <m/>
    <m/>
    <m/>
    <m/>
    <m/>
    <m/>
    <m/>
    <m/>
    <m/>
    <m/>
    <m/>
    <m/>
    <m/>
    <m/>
    <s v=" "/>
    <m/>
    <m/>
    <m/>
    <m/>
  </r>
  <r>
    <x v="714"/>
    <d v="2024-07-11T00:00:00"/>
    <x v="10"/>
    <x v="6"/>
    <x v="1"/>
    <x v="0"/>
    <x v="0"/>
    <x v="0"/>
    <s v=""/>
    <s v=""/>
    <s v=""/>
    <s v=""/>
    <s v=""/>
    <s v=""/>
    <s v=""/>
    <s v=""/>
    <s v=""/>
    <s v=""/>
    <m/>
    <m/>
    <m/>
    <m/>
    <m/>
    <m/>
    <m/>
    <m/>
    <m/>
    <m/>
    <m/>
    <m/>
    <m/>
    <m/>
    <m/>
    <s v=" "/>
    <m/>
    <m/>
    <m/>
    <m/>
  </r>
  <r>
    <x v="715"/>
    <d v="2024-07-12T00:00:00"/>
    <x v="11"/>
    <x v="6"/>
    <x v="1"/>
    <x v="0"/>
    <x v="0"/>
    <x v="0"/>
    <s v=""/>
    <s v=""/>
    <s v=""/>
    <s v=""/>
    <s v=""/>
    <s v=""/>
    <s v=""/>
    <s v=""/>
    <s v=""/>
    <s v=""/>
    <m/>
    <m/>
    <m/>
    <m/>
    <m/>
    <m/>
    <m/>
    <m/>
    <m/>
    <m/>
    <m/>
    <m/>
    <m/>
    <m/>
    <m/>
    <s v=" "/>
    <m/>
    <m/>
    <m/>
    <m/>
  </r>
  <r>
    <x v="716"/>
    <d v="2024-07-13T00:00:00"/>
    <x v="12"/>
    <x v="6"/>
    <x v="1"/>
    <x v="0"/>
    <x v="0"/>
    <x v="0"/>
    <s v=""/>
    <s v=""/>
    <s v=""/>
    <s v=""/>
    <s v=""/>
    <s v=""/>
    <s v=""/>
    <s v=""/>
    <s v=""/>
    <s v=""/>
    <m/>
    <m/>
    <m/>
    <m/>
    <m/>
    <m/>
    <m/>
    <m/>
    <m/>
    <m/>
    <m/>
    <m/>
    <m/>
    <m/>
    <m/>
    <s v=" "/>
    <m/>
    <m/>
    <m/>
    <m/>
  </r>
  <r>
    <x v="717"/>
    <d v="2024-07-14T00:00:00"/>
    <x v="13"/>
    <x v="6"/>
    <x v="1"/>
    <x v="0"/>
    <x v="0"/>
    <x v="0"/>
    <s v=""/>
    <s v=""/>
    <s v=""/>
    <s v=""/>
    <s v=""/>
    <s v=""/>
    <s v=""/>
    <s v=""/>
    <s v=""/>
    <s v=""/>
    <m/>
    <m/>
    <m/>
    <m/>
    <m/>
    <m/>
    <m/>
    <m/>
    <m/>
    <m/>
    <m/>
    <m/>
    <m/>
    <m/>
    <m/>
    <s v=" "/>
    <m/>
    <m/>
    <m/>
    <m/>
  </r>
  <r>
    <x v="718"/>
    <d v="2024-07-15T00:00:00"/>
    <x v="14"/>
    <x v="6"/>
    <x v="1"/>
    <x v="0"/>
    <x v="0"/>
    <x v="0"/>
    <s v=""/>
    <s v=""/>
    <s v=""/>
    <s v=""/>
    <s v=""/>
    <s v=""/>
    <s v=""/>
    <s v=""/>
    <s v=""/>
    <s v=""/>
    <m/>
    <m/>
    <m/>
    <m/>
    <m/>
    <m/>
    <m/>
    <m/>
    <m/>
    <m/>
    <m/>
    <m/>
    <m/>
    <m/>
    <m/>
    <s v=" "/>
    <m/>
    <m/>
    <m/>
    <m/>
  </r>
  <r>
    <x v="719"/>
    <d v="2024-07-16T00:00:00"/>
    <x v="15"/>
    <x v="6"/>
    <x v="1"/>
    <x v="0"/>
    <x v="0"/>
    <x v="0"/>
    <s v=""/>
    <s v=""/>
    <s v=""/>
    <s v=""/>
    <s v=""/>
    <s v=""/>
    <s v=""/>
    <s v=""/>
    <s v=""/>
    <s v=""/>
    <m/>
    <m/>
    <m/>
    <m/>
    <m/>
    <m/>
    <m/>
    <m/>
    <m/>
    <m/>
    <m/>
    <m/>
    <m/>
    <m/>
    <m/>
    <s v=" "/>
    <m/>
    <m/>
    <m/>
    <m/>
  </r>
  <r>
    <x v="720"/>
    <d v="2024-07-17T00:00:00"/>
    <x v="16"/>
    <x v="6"/>
    <x v="1"/>
    <x v="0"/>
    <x v="0"/>
    <x v="0"/>
    <s v=""/>
    <s v=""/>
    <s v=""/>
    <s v=""/>
    <s v=""/>
    <s v=""/>
    <s v=""/>
    <s v=""/>
    <s v=""/>
    <s v=""/>
    <m/>
    <m/>
    <m/>
    <m/>
    <m/>
    <m/>
    <m/>
    <m/>
    <m/>
    <m/>
    <m/>
    <m/>
    <m/>
    <m/>
    <m/>
    <s v=" "/>
    <m/>
    <m/>
    <m/>
    <m/>
  </r>
  <r>
    <x v="721"/>
    <d v="2024-07-18T00:00:00"/>
    <x v="17"/>
    <x v="6"/>
    <x v="1"/>
    <x v="0"/>
    <x v="0"/>
    <x v="0"/>
    <s v=""/>
    <s v=""/>
    <s v=""/>
    <s v=""/>
    <s v=""/>
    <s v=""/>
    <s v=""/>
    <s v=""/>
    <s v=""/>
    <s v=""/>
    <m/>
    <m/>
    <m/>
    <m/>
    <m/>
    <m/>
    <m/>
    <m/>
    <m/>
    <m/>
    <m/>
    <m/>
    <m/>
    <m/>
    <m/>
    <s v=" "/>
    <m/>
    <m/>
    <m/>
    <m/>
  </r>
  <r>
    <x v="722"/>
    <d v="2024-07-19T00:00:00"/>
    <x v="18"/>
    <x v="6"/>
    <x v="1"/>
    <x v="0"/>
    <x v="0"/>
    <x v="0"/>
    <s v=""/>
    <s v=""/>
    <s v=""/>
    <s v=""/>
    <s v=""/>
    <s v=""/>
    <s v=""/>
    <s v=""/>
    <s v=""/>
    <s v=""/>
    <m/>
    <m/>
    <m/>
    <m/>
    <m/>
    <m/>
    <m/>
    <m/>
    <m/>
    <m/>
    <m/>
    <m/>
    <m/>
    <m/>
    <m/>
    <s v=" "/>
    <m/>
    <m/>
    <m/>
    <m/>
  </r>
  <r>
    <x v="723"/>
    <d v="2024-07-20T00:00:00"/>
    <x v="19"/>
    <x v="6"/>
    <x v="1"/>
    <x v="0"/>
    <x v="0"/>
    <x v="0"/>
    <s v=""/>
    <s v=""/>
    <s v=""/>
    <s v=""/>
    <s v=""/>
    <s v=""/>
    <s v=""/>
    <s v=""/>
    <s v=""/>
    <s v=""/>
    <m/>
    <m/>
    <m/>
    <m/>
    <m/>
    <m/>
    <m/>
    <m/>
    <m/>
    <m/>
    <m/>
    <m/>
    <m/>
    <m/>
    <m/>
    <s v=" "/>
    <m/>
    <m/>
    <m/>
    <m/>
  </r>
  <r>
    <x v="724"/>
    <d v="2024-07-21T00:00:00"/>
    <x v="20"/>
    <x v="6"/>
    <x v="1"/>
    <x v="0"/>
    <x v="0"/>
    <x v="0"/>
    <s v=""/>
    <s v=""/>
    <s v=""/>
    <s v=""/>
    <s v=""/>
    <s v=""/>
    <s v=""/>
    <s v=""/>
    <s v=""/>
    <s v=""/>
    <m/>
    <m/>
    <m/>
    <m/>
    <m/>
    <m/>
    <m/>
    <m/>
    <m/>
    <m/>
    <m/>
    <m/>
    <m/>
    <m/>
    <m/>
    <s v=" "/>
    <m/>
    <m/>
    <m/>
    <m/>
  </r>
  <r>
    <x v="725"/>
    <d v="2024-07-22T00:00:00"/>
    <x v="21"/>
    <x v="6"/>
    <x v="1"/>
    <x v="0"/>
    <x v="0"/>
    <x v="0"/>
    <s v=""/>
    <s v=""/>
    <s v=""/>
    <s v=""/>
    <s v=""/>
    <s v=""/>
    <s v=""/>
    <s v=""/>
    <s v=""/>
    <s v=""/>
    <m/>
    <m/>
    <m/>
    <m/>
    <m/>
    <m/>
    <m/>
    <m/>
    <m/>
    <m/>
    <m/>
    <m/>
    <m/>
    <m/>
    <m/>
    <s v=" "/>
    <m/>
    <m/>
    <m/>
    <m/>
  </r>
  <r>
    <x v="726"/>
    <d v="2024-07-23T00:00:00"/>
    <x v="22"/>
    <x v="6"/>
    <x v="1"/>
    <x v="0"/>
    <x v="0"/>
    <x v="0"/>
    <s v=""/>
    <s v=""/>
    <s v=""/>
    <s v=""/>
    <s v=""/>
    <s v=""/>
    <s v=""/>
    <s v=""/>
    <s v=""/>
    <s v=""/>
    <m/>
    <m/>
    <m/>
    <m/>
    <m/>
    <m/>
    <m/>
    <m/>
    <m/>
    <m/>
    <m/>
    <m/>
    <m/>
    <m/>
    <m/>
    <s v=" "/>
    <m/>
    <m/>
    <m/>
    <m/>
  </r>
  <r>
    <x v="727"/>
    <d v="2024-07-24T00:00:00"/>
    <x v="23"/>
    <x v="6"/>
    <x v="1"/>
    <x v="116"/>
    <x v="1"/>
    <x v="1"/>
    <s v="Carta"/>
    <s v=""/>
    <n v="1.2"/>
    <s v=""/>
    <s v=""/>
    <s v=""/>
    <s v=""/>
    <s v=""/>
    <n v="9858.8700000000063"/>
    <s v=""/>
    <m/>
    <m/>
    <m/>
    <m/>
    <m/>
    <m/>
    <m/>
    <m/>
    <m/>
    <m/>
    <m/>
    <m/>
    <m/>
    <m/>
    <m/>
    <s v=" "/>
    <m/>
    <m/>
    <m/>
    <m/>
  </r>
  <r>
    <x v="728"/>
    <d v="2024-07-25T00:00:00"/>
    <x v="24"/>
    <x v="6"/>
    <x v="1"/>
    <x v="0"/>
    <x v="0"/>
    <x v="0"/>
    <s v=""/>
    <s v=""/>
    <s v=""/>
    <s v=""/>
    <s v=""/>
    <s v=""/>
    <s v=""/>
    <s v=""/>
    <s v=""/>
    <s v=""/>
    <m/>
    <m/>
    <m/>
    <m/>
    <m/>
    <m/>
    <m/>
    <m/>
    <m/>
    <m/>
    <m/>
    <m/>
    <m/>
    <m/>
    <m/>
    <s v=" "/>
    <m/>
    <m/>
    <m/>
    <m/>
  </r>
  <r>
    <x v="729"/>
    <d v="2024-07-26T00:00:00"/>
    <x v="25"/>
    <x v="6"/>
    <x v="1"/>
    <x v="0"/>
    <x v="0"/>
    <x v="0"/>
    <s v=""/>
    <s v=""/>
    <s v=""/>
    <s v=""/>
    <s v=""/>
    <s v=""/>
    <s v=""/>
    <s v=""/>
    <s v=""/>
    <s v=""/>
    <m/>
    <m/>
    <m/>
    <m/>
    <m/>
    <m/>
    <m/>
    <m/>
    <m/>
    <m/>
    <m/>
    <m/>
    <m/>
    <m/>
    <m/>
    <s v=" "/>
    <m/>
    <m/>
    <m/>
    <m/>
  </r>
  <r>
    <x v="730"/>
    <d v="2024-07-27T00:00:00"/>
    <x v="26"/>
    <x v="6"/>
    <x v="1"/>
    <x v="1"/>
    <x v="1"/>
    <x v="1"/>
    <s v="Carta"/>
    <s v=""/>
    <n v="2"/>
    <s v=""/>
    <s v=""/>
    <s v=""/>
    <s v=""/>
    <s v=""/>
    <n v="9856.8700000000063"/>
    <s v=""/>
    <m/>
    <m/>
    <m/>
    <m/>
    <m/>
    <m/>
    <m/>
    <m/>
    <m/>
    <m/>
    <m/>
    <m/>
    <m/>
    <m/>
    <m/>
    <s v=" "/>
    <m/>
    <m/>
    <m/>
    <m/>
  </r>
  <r>
    <x v="731"/>
    <d v="2024-07-28T00:00:00"/>
    <x v="27"/>
    <x v="6"/>
    <x v="1"/>
    <x v="0"/>
    <x v="0"/>
    <x v="0"/>
    <s v=""/>
    <s v=""/>
    <s v=""/>
    <s v=""/>
    <s v=""/>
    <s v=""/>
    <s v=""/>
    <s v=""/>
    <s v=""/>
    <s v=""/>
    <m/>
    <m/>
    <m/>
    <m/>
    <m/>
    <m/>
    <m/>
    <m/>
    <m/>
    <m/>
    <m/>
    <m/>
    <m/>
    <m/>
    <m/>
    <s v=" "/>
    <m/>
    <m/>
    <m/>
    <m/>
  </r>
  <r>
    <x v="732"/>
    <d v="2024-07-29T00:00:00"/>
    <x v="28"/>
    <x v="6"/>
    <x v="1"/>
    <x v="70"/>
    <x v="12"/>
    <x v="6"/>
    <s v="Carta"/>
    <s v=""/>
    <n v="61"/>
    <s v=""/>
    <s v=""/>
    <s v=""/>
    <s v=""/>
    <s v=""/>
    <n v="9795.8700000000063"/>
    <s v=""/>
    <m/>
    <m/>
    <m/>
    <m/>
    <m/>
    <m/>
    <m/>
    <m/>
    <m/>
    <m/>
    <m/>
    <m/>
    <m/>
    <m/>
    <m/>
    <s v=" "/>
    <m/>
    <m/>
    <m/>
    <m/>
  </r>
  <r>
    <x v="733"/>
    <d v="2024-07-30T00:00:00"/>
    <x v="29"/>
    <x v="6"/>
    <x v="1"/>
    <x v="0"/>
    <x v="0"/>
    <x v="0"/>
    <s v=""/>
    <s v=""/>
    <s v=""/>
    <s v=""/>
    <s v=""/>
    <s v=""/>
    <s v=""/>
    <s v=""/>
    <s v=""/>
    <s v=""/>
    <m/>
    <m/>
    <m/>
    <m/>
    <m/>
    <m/>
    <m/>
    <m/>
    <m/>
    <m/>
    <m/>
    <m/>
    <m/>
    <m/>
    <m/>
    <s v=" "/>
    <m/>
    <m/>
    <m/>
    <m/>
  </r>
  <r>
    <x v="734"/>
    <d v="2024-07-31T00:00:00"/>
    <x v="30"/>
    <x v="6"/>
    <x v="1"/>
    <x v="2"/>
    <x v="1"/>
    <x v="1"/>
    <s v="Carta"/>
    <s v=""/>
    <n v="4.9800000000000004"/>
    <s v=""/>
    <s v=""/>
    <s v=""/>
    <s v=""/>
    <s v=""/>
    <n v="9790.8900000000067"/>
    <s v=""/>
    <m/>
    <m/>
    <m/>
    <m/>
    <m/>
    <m/>
    <m/>
    <m/>
    <m/>
    <m/>
    <m/>
    <m/>
    <m/>
    <m/>
    <m/>
    <s v=" "/>
    <m/>
    <m/>
    <m/>
    <m/>
  </r>
  <r>
    <x v="735"/>
    <d v="2024-08-01T00:00:00"/>
    <x v="0"/>
    <x v="7"/>
    <x v="1"/>
    <x v="0"/>
    <x v="0"/>
    <x v="0"/>
    <s v=""/>
    <s v=""/>
    <s v=""/>
    <s v=""/>
    <s v=""/>
    <s v=""/>
    <s v=""/>
    <s v=""/>
    <s v=""/>
    <s v=""/>
    <m/>
    <m/>
    <m/>
    <m/>
    <m/>
    <m/>
    <m/>
    <m/>
    <m/>
    <m/>
    <m/>
    <m/>
    <m/>
    <m/>
    <m/>
    <s v=" "/>
    <m/>
    <m/>
    <m/>
    <m/>
  </r>
  <r>
    <x v="736"/>
    <d v="2024-08-02T00:00:00"/>
    <x v="1"/>
    <x v="7"/>
    <x v="1"/>
    <x v="0"/>
    <x v="0"/>
    <x v="0"/>
    <s v=""/>
    <s v=""/>
    <s v=""/>
    <s v=""/>
    <s v=""/>
    <s v=""/>
    <s v=""/>
    <s v=""/>
    <s v=""/>
    <s v=""/>
    <m/>
    <m/>
    <m/>
    <m/>
    <m/>
    <m/>
    <m/>
    <m/>
    <m/>
    <m/>
    <m/>
    <m/>
    <m/>
    <m/>
    <m/>
    <s v=" "/>
    <m/>
    <m/>
    <m/>
    <m/>
  </r>
  <r>
    <x v="737"/>
    <d v="2024-08-03T00:00:00"/>
    <x v="2"/>
    <x v="7"/>
    <x v="1"/>
    <x v="0"/>
    <x v="0"/>
    <x v="0"/>
    <s v=""/>
    <s v=""/>
    <s v=""/>
    <s v=""/>
    <s v=""/>
    <s v=""/>
    <s v=""/>
    <s v=""/>
    <s v=""/>
    <s v=""/>
    <m/>
    <m/>
    <m/>
    <m/>
    <m/>
    <m/>
    <m/>
    <m/>
    <m/>
    <m/>
    <m/>
    <m/>
    <m/>
    <m/>
    <m/>
    <s v=" "/>
    <m/>
    <m/>
    <m/>
    <m/>
  </r>
  <r>
    <x v="738"/>
    <d v="2024-08-04T00:00:00"/>
    <x v="3"/>
    <x v="7"/>
    <x v="1"/>
    <x v="0"/>
    <x v="0"/>
    <x v="0"/>
    <s v=""/>
    <s v=""/>
    <s v=""/>
    <s v=""/>
    <s v=""/>
    <s v=""/>
    <s v=""/>
    <s v=""/>
    <s v=""/>
    <s v=""/>
    <m/>
    <m/>
    <m/>
    <m/>
    <m/>
    <m/>
    <m/>
    <m/>
    <m/>
    <m/>
    <m/>
    <m/>
    <m/>
    <m/>
    <m/>
    <s v=" "/>
    <m/>
    <m/>
    <m/>
    <m/>
  </r>
  <r>
    <x v="739"/>
    <d v="2024-08-05T00:00:00"/>
    <x v="4"/>
    <x v="7"/>
    <x v="1"/>
    <x v="0"/>
    <x v="0"/>
    <x v="0"/>
    <s v=""/>
    <s v=""/>
    <s v=""/>
    <s v=""/>
    <s v=""/>
    <s v=""/>
    <s v=""/>
    <s v=""/>
    <s v=""/>
    <s v=""/>
    <m/>
    <m/>
    <m/>
    <m/>
    <m/>
    <m/>
    <m/>
    <m/>
    <m/>
    <m/>
    <m/>
    <m/>
    <m/>
    <m/>
    <m/>
    <s v=" "/>
    <m/>
    <m/>
    <m/>
    <m/>
  </r>
  <r>
    <x v="740"/>
    <d v="2024-08-06T00:00:00"/>
    <x v="5"/>
    <x v="7"/>
    <x v="1"/>
    <x v="0"/>
    <x v="0"/>
    <x v="0"/>
    <s v=""/>
    <s v=""/>
    <s v=""/>
    <s v=""/>
    <s v=""/>
    <s v=""/>
    <s v=""/>
    <s v=""/>
    <s v=""/>
    <s v=""/>
    <m/>
    <m/>
    <m/>
    <m/>
    <m/>
    <m/>
    <m/>
    <m/>
    <m/>
    <m/>
    <m/>
    <m/>
    <m/>
    <m/>
    <m/>
    <s v=" "/>
    <m/>
    <m/>
    <m/>
    <m/>
  </r>
  <r>
    <x v="741"/>
    <d v="2024-08-07T00:00:00"/>
    <x v="6"/>
    <x v="7"/>
    <x v="1"/>
    <x v="0"/>
    <x v="0"/>
    <x v="0"/>
    <s v=""/>
    <s v=""/>
    <s v=""/>
    <s v=""/>
    <s v=""/>
    <s v=""/>
    <s v=""/>
    <s v=""/>
    <s v=""/>
    <s v=""/>
    <m/>
    <m/>
    <m/>
    <m/>
    <m/>
    <m/>
    <m/>
    <m/>
    <m/>
    <m/>
    <m/>
    <m/>
    <m/>
    <m/>
    <m/>
    <s v=" "/>
    <m/>
    <m/>
    <m/>
    <m/>
  </r>
  <r>
    <x v="742"/>
    <d v="2024-08-08T00:00:00"/>
    <x v="7"/>
    <x v="7"/>
    <x v="1"/>
    <x v="0"/>
    <x v="0"/>
    <x v="0"/>
    <s v=""/>
    <s v=""/>
    <s v=""/>
    <s v=""/>
    <s v=""/>
    <s v=""/>
    <s v=""/>
    <s v=""/>
    <s v=""/>
    <s v=""/>
    <m/>
    <m/>
    <m/>
    <m/>
    <m/>
    <m/>
    <m/>
    <m/>
    <m/>
    <m/>
    <m/>
    <m/>
    <m/>
    <m/>
    <m/>
    <s v=" "/>
    <m/>
    <m/>
    <m/>
    <m/>
  </r>
  <r>
    <x v="743"/>
    <d v="2024-08-09T00:00:00"/>
    <x v="8"/>
    <x v="7"/>
    <x v="1"/>
    <x v="0"/>
    <x v="0"/>
    <x v="0"/>
    <s v=""/>
    <s v=""/>
    <s v=""/>
    <s v=""/>
    <s v=""/>
    <s v=""/>
    <s v=""/>
    <s v=""/>
    <s v=""/>
    <s v=""/>
    <m/>
    <m/>
    <m/>
    <m/>
    <m/>
    <m/>
    <m/>
    <m/>
    <m/>
    <m/>
    <m/>
    <m/>
    <m/>
    <m/>
    <m/>
    <s v=" "/>
    <m/>
    <m/>
    <m/>
    <m/>
  </r>
  <r>
    <x v="744"/>
    <d v="2024-08-10T00:00:00"/>
    <x v="9"/>
    <x v="7"/>
    <x v="1"/>
    <x v="0"/>
    <x v="0"/>
    <x v="0"/>
    <s v=""/>
    <s v=""/>
    <s v=""/>
    <s v=""/>
    <s v=""/>
    <s v=""/>
    <s v=""/>
    <s v=""/>
    <s v=""/>
    <s v=""/>
    <m/>
    <m/>
    <m/>
    <m/>
    <m/>
    <m/>
    <m/>
    <m/>
    <m/>
    <m/>
    <m/>
    <m/>
    <m/>
    <m/>
    <m/>
    <s v=" "/>
    <m/>
    <m/>
    <m/>
    <m/>
  </r>
  <r>
    <x v="745"/>
    <d v="2024-08-11T00:00:00"/>
    <x v="10"/>
    <x v="7"/>
    <x v="1"/>
    <x v="0"/>
    <x v="0"/>
    <x v="0"/>
    <s v=""/>
    <s v=""/>
    <s v=""/>
    <s v=""/>
    <s v=""/>
    <s v=""/>
    <s v=""/>
    <s v=""/>
    <s v=""/>
    <s v=""/>
    <m/>
    <m/>
    <m/>
    <m/>
    <m/>
    <m/>
    <m/>
    <m/>
    <m/>
    <m/>
    <m/>
    <m/>
    <m/>
    <m/>
    <m/>
    <s v=" "/>
    <m/>
    <m/>
    <m/>
    <m/>
  </r>
  <r>
    <x v="746"/>
    <d v="2024-08-12T00:00:00"/>
    <x v="11"/>
    <x v="7"/>
    <x v="1"/>
    <x v="117"/>
    <x v="12"/>
    <x v="6"/>
    <s v="Carta"/>
    <s v=""/>
    <n v="16.96"/>
    <s v=""/>
    <s v=""/>
    <s v=""/>
    <s v=""/>
    <s v=""/>
    <n v="9773.9300000000076"/>
    <s v=""/>
    <m/>
    <m/>
    <m/>
    <m/>
    <m/>
    <m/>
    <m/>
    <m/>
    <m/>
    <m/>
    <m/>
    <m/>
    <m/>
    <m/>
    <m/>
    <s v=" "/>
    <m/>
    <m/>
    <m/>
    <m/>
  </r>
  <r>
    <x v="747"/>
    <d v="2024-08-13T00:00:00"/>
    <x v="12"/>
    <x v="7"/>
    <x v="1"/>
    <x v="0"/>
    <x v="0"/>
    <x v="0"/>
    <s v=""/>
    <s v=""/>
    <s v=""/>
    <s v=""/>
    <s v=""/>
    <s v=""/>
    <s v=""/>
    <s v=""/>
    <s v=""/>
    <s v=""/>
    <m/>
    <m/>
    <m/>
    <m/>
    <m/>
    <m/>
    <m/>
    <m/>
    <m/>
    <m/>
    <m/>
    <m/>
    <m/>
    <m/>
    <m/>
    <s v=" "/>
    <m/>
    <m/>
    <m/>
    <m/>
  </r>
  <r>
    <x v="748"/>
    <d v="2024-08-14T00:00:00"/>
    <x v="13"/>
    <x v="7"/>
    <x v="1"/>
    <x v="0"/>
    <x v="0"/>
    <x v="0"/>
    <s v=""/>
    <s v=""/>
    <s v=""/>
    <s v=""/>
    <s v=""/>
    <s v=""/>
    <s v=""/>
    <s v=""/>
    <s v=""/>
    <s v=""/>
    <m/>
    <m/>
    <m/>
    <m/>
    <m/>
    <m/>
    <m/>
    <m/>
    <m/>
    <m/>
    <m/>
    <m/>
    <m/>
    <m/>
    <m/>
    <s v=" "/>
    <m/>
    <m/>
    <m/>
    <m/>
  </r>
  <r>
    <x v="749"/>
    <d v="2024-08-15T00:00:00"/>
    <x v="14"/>
    <x v="7"/>
    <x v="1"/>
    <x v="0"/>
    <x v="0"/>
    <x v="0"/>
    <s v=""/>
    <s v=""/>
    <s v=""/>
    <s v=""/>
    <s v=""/>
    <s v=""/>
    <s v=""/>
    <s v=""/>
    <s v=""/>
    <s v=""/>
    <m/>
    <m/>
    <m/>
    <m/>
    <m/>
    <m/>
    <m/>
    <m/>
    <m/>
    <m/>
    <m/>
    <m/>
    <m/>
    <m/>
    <m/>
    <s v=" "/>
    <m/>
    <m/>
    <m/>
    <m/>
  </r>
  <r>
    <x v="750"/>
    <d v="2024-08-16T00:00:00"/>
    <x v="15"/>
    <x v="7"/>
    <x v="1"/>
    <x v="0"/>
    <x v="0"/>
    <x v="0"/>
    <s v=""/>
    <s v=""/>
    <s v=""/>
    <s v=""/>
    <s v=""/>
    <s v=""/>
    <s v=""/>
    <s v=""/>
    <s v=""/>
    <s v=""/>
    <m/>
    <m/>
    <m/>
    <m/>
    <m/>
    <m/>
    <m/>
    <m/>
    <m/>
    <m/>
    <m/>
    <m/>
    <m/>
    <m/>
    <m/>
    <s v=" "/>
    <m/>
    <m/>
    <m/>
    <m/>
  </r>
  <r>
    <x v="751"/>
    <d v="2024-08-17T00:00:00"/>
    <x v="16"/>
    <x v="7"/>
    <x v="1"/>
    <x v="0"/>
    <x v="0"/>
    <x v="0"/>
    <s v=""/>
    <s v=""/>
    <s v=""/>
    <s v=""/>
    <s v=""/>
    <s v=""/>
    <s v=""/>
    <s v=""/>
    <s v=""/>
    <s v=""/>
    <m/>
    <m/>
    <m/>
    <m/>
    <m/>
    <m/>
    <m/>
    <m/>
    <m/>
    <m/>
    <m/>
    <m/>
    <m/>
    <m/>
    <m/>
    <s v=" "/>
    <m/>
    <m/>
    <m/>
    <m/>
  </r>
  <r>
    <x v="752"/>
    <d v="2024-08-18T00:00:00"/>
    <x v="17"/>
    <x v="7"/>
    <x v="1"/>
    <x v="0"/>
    <x v="0"/>
    <x v="0"/>
    <s v=""/>
    <s v=""/>
    <s v=""/>
    <s v=""/>
    <s v=""/>
    <s v=""/>
    <s v=""/>
    <s v=""/>
    <s v=""/>
    <s v=""/>
    <m/>
    <m/>
    <m/>
    <m/>
    <m/>
    <m/>
    <m/>
    <m/>
    <m/>
    <m/>
    <m/>
    <m/>
    <m/>
    <m/>
    <m/>
    <s v=" "/>
    <m/>
    <m/>
    <m/>
    <m/>
  </r>
  <r>
    <x v="753"/>
    <d v="2024-08-19T00:00:00"/>
    <x v="18"/>
    <x v="7"/>
    <x v="1"/>
    <x v="0"/>
    <x v="0"/>
    <x v="0"/>
    <s v=""/>
    <s v=""/>
    <s v=""/>
    <s v=""/>
    <s v=""/>
    <s v=""/>
    <s v=""/>
    <s v=""/>
    <s v=""/>
    <s v=""/>
    <m/>
    <m/>
    <m/>
    <m/>
    <m/>
    <m/>
    <m/>
    <m/>
    <m/>
    <m/>
    <m/>
    <m/>
    <m/>
    <m/>
    <m/>
    <s v=" "/>
    <m/>
    <m/>
    <m/>
    <m/>
  </r>
  <r>
    <x v="754"/>
    <d v="2024-08-20T00:00:00"/>
    <x v="19"/>
    <x v="7"/>
    <x v="1"/>
    <x v="0"/>
    <x v="0"/>
    <x v="0"/>
    <s v=""/>
    <s v=""/>
    <s v=""/>
    <s v=""/>
    <s v=""/>
    <s v=""/>
    <s v=""/>
    <s v=""/>
    <s v=""/>
    <s v=""/>
    <m/>
    <m/>
    <m/>
    <m/>
    <m/>
    <m/>
    <m/>
    <m/>
    <m/>
    <m/>
    <m/>
    <m/>
    <m/>
    <m/>
    <m/>
    <s v=" "/>
    <m/>
    <m/>
    <m/>
    <m/>
  </r>
  <r>
    <x v="755"/>
    <d v="2024-08-21T00:00:00"/>
    <x v="20"/>
    <x v="7"/>
    <x v="1"/>
    <x v="0"/>
    <x v="0"/>
    <x v="0"/>
    <s v=""/>
    <s v=""/>
    <s v=""/>
    <s v=""/>
    <s v=""/>
    <s v=""/>
    <s v=""/>
    <s v=""/>
    <s v=""/>
    <s v=""/>
    <m/>
    <m/>
    <m/>
    <m/>
    <m/>
    <m/>
    <m/>
    <m/>
    <m/>
    <m/>
    <m/>
    <m/>
    <m/>
    <m/>
    <m/>
    <s v=" "/>
    <m/>
    <m/>
    <m/>
    <m/>
  </r>
  <r>
    <x v="756"/>
    <d v="2024-08-22T00:00:00"/>
    <x v="21"/>
    <x v="7"/>
    <x v="1"/>
    <x v="0"/>
    <x v="0"/>
    <x v="0"/>
    <s v=""/>
    <s v=""/>
    <s v=""/>
    <s v=""/>
    <s v=""/>
    <s v=""/>
    <s v=""/>
    <s v=""/>
    <s v=""/>
    <s v=""/>
    <m/>
    <m/>
    <m/>
    <m/>
    <m/>
    <m/>
    <m/>
    <m/>
    <m/>
    <m/>
    <m/>
    <m/>
    <m/>
    <m/>
    <m/>
    <s v=" "/>
    <m/>
    <m/>
    <m/>
    <m/>
  </r>
  <r>
    <x v="757"/>
    <d v="2024-08-23T00:00:00"/>
    <x v="22"/>
    <x v="7"/>
    <x v="1"/>
    <x v="0"/>
    <x v="0"/>
    <x v="0"/>
    <s v=""/>
    <s v=""/>
    <s v=""/>
    <s v=""/>
    <s v=""/>
    <s v=""/>
    <s v=""/>
    <s v=""/>
    <s v=""/>
    <s v=""/>
    <m/>
    <m/>
    <m/>
    <m/>
    <m/>
    <m/>
    <m/>
    <m/>
    <m/>
    <m/>
    <m/>
    <m/>
    <m/>
    <m/>
    <m/>
    <s v=" "/>
    <m/>
    <m/>
    <m/>
    <m/>
  </r>
  <r>
    <x v="758"/>
    <d v="2024-08-24T00:00:00"/>
    <x v="23"/>
    <x v="7"/>
    <x v="1"/>
    <x v="0"/>
    <x v="0"/>
    <x v="0"/>
    <s v=""/>
    <s v=""/>
    <s v=""/>
    <s v=""/>
    <s v=""/>
    <s v=""/>
    <s v=""/>
    <s v=""/>
    <s v=""/>
    <s v=""/>
    <m/>
    <m/>
    <m/>
    <m/>
    <m/>
    <m/>
    <m/>
    <m/>
    <m/>
    <m/>
    <m/>
    <m/>
    <m/>
    <m/>
    <m/>
    <s v=" "/>
    <m/>
    <m/>
    <m/>
    <m/>
  </r>
  <r>
    <x v="759"/>
    <d v="2024-08-25T00:00:00"/>
    <x v="24"/>
    <x v="7"/>
    <x v="1"/>
    <x v="0"/>
    <x v="0"/>
    <x v="0"/>
    <s v=""/>
    <s v=""/>
    <s v=""/>
    <s v=""/>
    <s v=""/>
    <s v=""/>
    <s v=""/>
    <s v=""/>
    <s v=""/>
    <s v=""/>
    <m/>
    <m/>
    <m/>
    <m/>
    <m/>
    <m/>
    <m/>
    <m/>
    <m/>
    <m/>
    <m/>
    <m/>
    <m/>
    <m/>
    <m/>
    <s v=" "/>
    <m/>
    <m/>
    <m/>
    <m/>
  </r>
  <r>
    <x v="760"/>
    <d v="2024-08-26T00:00:00"/>
    <x v="25"/>
    <x v="7"/>
    <x v="1"/>
    <x v="0"/>
    <x v="0"/>
    <x v="0"/>
    <s v=""/>
    <s v=""/>
    <s v=""/>
    <s v=""/>
    <s v=""/>
    <s v=""/>
    <s v=""/>
    <s v=""/>
    <s v=""/>
    <s v=""/>
    <m/>
    <m/>
    <m/>
    <m/>
    <m/>
    <m/>
    <m/>
    <m/>
    <m/>
    <m/>
    <m/>
    <m/>
    <m/>
    <m/>
    <m/>
    <s v=" "/>
    <m/>
    <m/>
    <m/>
    <m/>
  </r>
  <r>
    <x v="761"/>
    <d v="2024-08-27T00:00:00"/>
    <x v="26"/>
    <x v="7"/>
    <x v="1"/>
    <x v="1"/>
    <x v="1"/>
    <x v="1"/>
    <s v="Carta"/>
    <s v=""/>
    <n v="2"/>
    <s v=""/>
    <s v=""/>
    <s v=""/>
    <s v=""/>
    <s v=""/>
    <n v="9771.9300000000076"/>
    <s v=""/>
    <m/>
    <m/>
    <m/>
    <m/>
    <m/>
    <m/>
    <m/>
    <m/>
    <m/>
    <m/>
    <m/>
    <m/>
    <m/>
    <m/>
    <m/>
    <s v=" "/>
    <m/>
    <m/>
    <m/>
    <m/>
  </r>
  <r>
    <x v="762"/>
    <d v="2024-08-28T00:00:00"/>
    <x v="27"/>
    <x v="7"/>
    <x v="1"/>
    <x v="0"/>
    <x v="0"/>
    <x v="0"/>
    <s v=""/>
    <s v=""/>
    <s v=""/>
    <s v=""/>
    <s v=""/>
    <s v=""/>
    <s v=""/>
    <s v=""/>
    <s v=""/>
    <s v=""/>
    <m/>
    <m/>
    <m/>
    <m/>
    <m/>
    <m/>
    <m/>
    <m/>
    <m/>
    <m/>
    <m/>
    <m/>
    <m/>
    <m/>
    <m/>
    <s v=" "/>
    <m/>
    <m/>
    <m/>
    <m/>
  </r>
  <r>
    <x v="763"/>
    <d v="2024-08-29T00:00:00"/>
    <x v="28"/>
    <x v="7"/>
    <x v="1"/>
    <x v="0"/>
    <x v="0"/>
    <x v="0"/>
    <s v=""/>
    <s v=""/>
    <s v=""/>
    <s v=""/>
    <s v=""/>
    <s v=""/>
    <s v=""/>
    <s v=""/>
    <s v=""/>
    <s v=""/>
    <m/>
    <m/>
    <m/>
    <m/>
    <m/>
    <m/>
    <m/>
    <m/>
    <m/>
    <m/>
    <m/>
    <m/>
    <m/>
    <m/>
    <m/>
    <s v=" "/>
    <m/>
    <m/>
    <m/>
    <m/>
  </r>
  <r>
    <x v="764"/>
    <d v="2024-08-30T00:00:00"/>
    <x v="29"/>
    <x v="7"/>
    <x v="1"/>
    <x v="2"/>
    <x v="1"/>
    <x v="1"/>
    <s v="Carta"/>
    <s v=""/>
    <n v="4.9800000000000004"/>
    <s v=""/>
    <s v=""/>
    <s v=""/>
    <s v=""/>
    <s v=""/>
    <n v="9766.950000000008"/>
    <s v=""/>
    <m/>
    <m/>
    <m/>
    <m/>
    <m/>
    <m/>
    <m/>
    <m/>
    <m/>
    <m/>
    <m/>
    <m/>
    <m/>
    <m/>
    <m/>
    <s v=" "/>
    <m/>
    <m/>
    <m/>
    <m/>
  </r>
  <r>
    <x v="765"/>
    <d v="2024-08-31T00:00:00"/>
    <x v="30"/>
    <x v="7"/>
    <x v="1"/>
    <x v="0"/>
    <x v="0"/>
    <x v="0"/>
    <s v=""/>
    <s v=""/>
    <s v=""/>
    <s v=""/>
    <s v=""/>
    <s v=""/>
    <s v=""/>
    <s v=""/>
    <s v=""/>
    <s v=""/>
    <m/>
    <m/>
    <m/>
    <m/>
    <m/>
    <m/>
    <m/>
    <m/>
    <m/>
    <m/>
    <m/>
    <m/>
    <m/>
    <m/>
    <m/>
    <s v=" "/>
    <m/>
    <m/>
    <m/>
    <m/>
  </r>
  <r>
    <x v="766"/>
    <d v="2024-09-01T00:00:00"/>
    <x v="0"/>
    <x v="8"/>
    <x v="1"/>
    <x v="0"/>
    <x v="0"/>
    <x v="0"/>
    <s v=""/>
    <s v=""/>
    <s v=""/>
    <s v=""/>
    <s v=""/>
    <s v=""/>
    <s v=""/>
    <s v=""/>
    <s v=""/>
    <s v=""/>
    <m/>
    <m/>
    <m/>
    <m/>
    <m/>
    <m/>
    <m/>
    <m/>
    <m/>
    <m/>
    <m/>
    <m/>
    <m/>
    <m/>
    <m/>
    <s v=" "/>
    <m/>
    <m/>
    <m/>
    <m/>
  </r>
  <r>
    <x v="767"/>
    <d v="2024-09-02T00:00:00"/>
    <x v="1"/>
    <x v="8"/>
    <x v="1"/>
    <x v="0"/>
    <x v="0"/>
    <x v="0"/>
    <s v=""/>
    <s v=""/>
    <s v=""/>
    <s v=""/>
    <s v=""/>
    <s v=""/>
    <s v=""/>
    <s v=""/>
    <s v=""/>
    <s v=""/>
    <m/>
    <m/>
    <m/>
    <m/>
    <m/>
    <m/>
    <m/>
    <m/>
    <m/>
    <m/>
    <m/>
    <m/>
    <m/>
    <m/>
    <m/>
    <s v=" "/>
    <m/>
    <m/>
    <m/>
    <m/>
  </r>
  <r>
    <x v="768"/>
    <d v="2024-09-03T00:00:00"/>
    <x v="2"/>
    <x v="8"/>
    <x v="1"/>
    <x v="0"/>
    <x v="0"/>
    <x v="0"/>
    <s v=""/>
    <s v=""/>
    <s v=""/>
    <s v=""/>
    <s v=""/>
    <s v=""/>
    <s v=""/>
    <s v=""/>
    <s v=""/>
    <s v=""/>
    <m/>
    <m/>
    <m/>
    <m/>
    <m/>
    <m/>
    <m/>
    <m/>
    <m/>
    <m/>
    <m/>
    <m/>
    <m/>
    <m/>
    <m/>
    <s v=" "/>
    <m/>
    <m/>
    <m/>
    <m/>
  </r>
  <r>
    <x v="769"/>
    <d v="2024-09-04T00:00:00"/>
    <x v="3"/>
    <x v="8"/>
    <x v="1"/>
    <x v="0"/>
    <x v="0"/>
    <x v="0"/>
    <s v=""/>
    <s v=""/>
    <s v=""/>
    <s v=""/>
    <s v=""/>
    <s v=""/>
    <s v=""/>
    <s v=""/>
    <s v=""/>
    <s v=""/>
    <m/>
    <m/>
    <m/>
    <m/>
    <m/>
    <m/>
    <m/>
    <m/>
    <m/>
    <m/>
    <m/>
    <m/>
    <m/>
    <m/>
    <m/>
    <s v=" "/>
    <m/>
    <m/>
    <m/>
    <m/>
  </r>
  <r>
    <x v="770"/>
    <d v="2024-09-05T00:00:00"/>
    <x v="4"/>
    <x v="8"/>
    <x v="1"/>
    <x v="0"/>
    <x v="0"/>
    <x v="0"/>
    <s v=""/>
    <s v=""/>
    <s v=""/>
    <s v=""/>
    <s v=""/>
    <s v=""/>
    <s v=""/>
    <s v=""/>
    <s v=""/>
    <s v=""/>
    <m/>
    <m/>
    <m/>
    <m/>
    <m/>
    <m/>
    <m/>
    <m/>
    <m/>
    <m/>
    <m/>
    <m/>
    <m/>
    <m/>
    <m/>
    <s v=" "/>
    <m/>
    <m/>
    <m/>
    <m/>
  </r>
  <r>
    <x v="771"/>
    <d v="2024-09-06T00:00:00"/>
    <x v="5"/>
    <x v="8"/>
    <x v="1"/>
    <x v="0"/>
    <x v="0"/>
    <x v="0"/>
    <s v=""/>
    <s v=""/>
    <s v=""/>
    <s v=""/>
    <s v=""/>
    <s v=""/>
    <s v=""/>
    <s v=""/>
    <s v=""/>
    <s v=""/>
    <m/>
    <m/>
    <m/>
    <m/>
    <m/>
    <m/>
    <m/>
    <m/>
    <m/>
    <m/>
    <m/>
    <m/>
    <m/>
    <m/>
    <m/>
    <s v=" "/>
    <m/>
    <m/>
    <m/>
    <m/>
  </r>
  <r>
    <x v="772"/>
    <d v="2024-09-07T00:00:00"/>
    <x v="6"/>
    <x v="8"/>
    <x v="1"/>
    <x v="0"/>
    <x v="0"/>
    <x v="0"/>
    <s v=""/>
    <s v=""/>
    <s v=""/>
    <s v=""/>
    <s v=""/>
    <s v=""/>
    <s v=""/>
    <s v=""/>
    <s v=""/>
    <s v=""/>
    <m/>
    <m/>
    <m/>
    <m/>
    <m/>
    <m/>
    <m/>
    <m/>
    <m/>
    <m/>
    <m/>
    <m/>
    <m/>
    <m/>
    <m/>
    <s v=" "/>
    <m/>
    <m/>
    <m/>
    <m/>
  </r>
  <r>
    <x v="773"/>
    <d v="2024-09-08T00:00:00"/>
    <x v="7"/>
    <x v="8"/>
    <x v="1"/>
    <x v="0"/>
    <x v="0"/>
    <x v="0"/>
    <s v=""/>
    <s v=""/>
    <s v=""/>
    <s v=""/>
    <s v=""/>
    <s v=""/>
    <s v=""/>
    <s v=""/>
    <s v=""/>
    <s v=""/>
    <m/>
    <m/>
    <m/>
    <m/>
    <m/>
    <m/>
    <m/>
    <m/>
    <m/>
    <m/>
    <m/>
    <m/>
    <m/>
    <m/>
    <m/>
    <s v=" "/>
    <m/>
    <m/>
    <m/>
    <m/>
  </r>
  <r>
    <x v="774"/>
    <d v="2024-09-09T00:00:00"/>
    <x v="8"/>
    <x v="8"/>
    <x v="1"/>
    <x v="0"/>
    <x v="0"/>
    <x v="0"/>
    <s v=""/>
    <s v=""/>
    <s v=""/>
    <s v=""/>
    <s v=""/>
    <s v=""/>
    <s v=""/>
    <s v=""/>
    <s v=""/>
    <s v=""/>
    <m/>
    <m/>
    <m/>
    <m/>
    <m/>
    <m/>
    <m/>
    <m/>
    <m/>
    <m/>
    <m/>
    <m/>
    <m/>
    <m/>
    <m/>
    <s v=" "/>
    <m/>
    <m/>
    <m/>
    <m/>
  </r>
  <r>
    <x v="775"/>
    <d v="2024-09-10T00:00:00"/>
    <x v="9"/>
    <x v="8"/>
    <x v="1"/>
    <x v="0"/>
    <x v="0"/>
    <x v="0"/>
    <s v=""/>
    <s v=""/>
    <s v=""/>
    <s v=""/>
    <s v=""/>
    <s v=""/>
    <s v=""/>
    <s v=""/>
    <s v=""/>
    <s v=""/>
    <m/>
    <m/>
    <m/>
    <m/>
    <m/>
    <m/>
    <m/>
    <m/>
    <m/>
    <m/>
    <m/>
    <m/>
    <m/>
    <m/>
    <m/>
    <s v=" "/>
    <m/>
    <m/>
    <m/>
    <m/>
  </r>
  <r>
    <x v="776"/>
    <d v="2024-09-11T00:00:00"/>
    <x v="10"/>
    <x v="8"/>
    <x v="1"/>
    <x v="0"/>
    <x v="0"/>
    <x v="0"/>
    <s v=""/>
    <s v=""/>
    <s v=""/>
    <s v=""/>
    <s v=""/>
    <s v=""/>
    <s v=""/>
    <s v=""/>
    <s v=""/>
    <s v=""/>
    <m/>
    <m/>
    <m/>
    <m/>
    <m/>
    <m/>
    <m/>
    <m/>
    <m/>
    <m/>
    <m/>
    <m/>
    <m/>
    <m/>
    <m/>
    <s v=" "/>
    <m/>
    <m/>
    <m/>
    <m/>
  </r>
  <r>
    <x v="777"/>
    <d v="2024-09-12T00:00:00"/>
    <x v="11"/>
    <x v="8"/>
    <x v="1"/>
    <x v="0"/>
    <x v="0"/>
    <x v="0"/>
    <s v=""/>
    <s v=""/>
    <s v=""/>
    <s v=""/>
    <s v=""/>
    <s v=""/>
    <s v=""/>
    <s v=""/>
    <s v=""/>
    <s v=""/>
    <m/>
    <m/>
    <m/>
    <m/>
    <m/>
    <m/>
    <m/>
    <m/>
    <m/>
    <m/>
    <m/>
    <m/>
    <m/>
    <m/>
    <m/>
    <s v=" "/>
    <m/>
    <m/>
    <m/>
    <m/>
  </r>
  <r>
    <x v="778"/>
    <d v="2024-09-13T00:00:00"/>
    <x v="12"/>
    <x v="8"/>
    <x v="1"/>
    <x v="0"/>
    <x v="0"/>
    <x v="0"/>
    <s v=""/>
    <s v=""/>
    <s v=""/>
    <s v=""/>
    <s v=""/>
    <s v=""/>
    <s v=""/>
    <s v=""/>
    <s v=""/>
    <s v=""/>
    <m/>
    <m/>
    <m/>
    <m/>
    <m/>
    <m/>
    <m/>
    <m/>
    <m/>
    <m/>
    <m/>
    <m/>
    <m/>
    <m/>
    <m/>
    <s v=" "/>
    <m/>
    <m/>
    <m/>
    <m/>
  </r>
  <r>
    <x v="779"/>
    <d v="2024-09-14T00:00:00"/>
    <x v="13"/>
    <x v="8"/>
    <x v="1"/>
    <x v="0"/>
    <x v="0"/>
    <x v="0"/>
    <s v=""/>
    <s v=""/>
    <s v=""/>
    <s v=""/>
    <s v=""/>
    <s v=""/>
    <s v=""/>
    <s v=""/>
    <s v=""/>
    <s v=""/>
    <m/>
    <m/>
    <m/>
    <m/>
    <m/>
    <m/>
    <m/>
    <m/>
    <m/>
    <m/>
    <m/>
    <m/>
    <m/>
    <m/>
    <m/>
    <s v=" "/>
    <m/>
    <m/>
    <m/>
    <m/>
  </r>
  <r>
    <x v="780"/>
    <d v="2024-09-15T00:00:00"/>
    <x v="14"/>
    <x v="8"/>
    <x v="1"/>
    <x v="118"/>
    <x v="22"/>
    <x v="10"/>
    <s v="Cash"/>
    <s v=""/>
    <s v=""/>
    <s v=""/>
    <n v="220"/>
    <s v=""/>
    <s v=""/>
    <s v=""/>
    <n v="9986.950000000008"/>
    <s v=""/>
    <m/>
    <m/>
    <m/>
    <m/>
    <m/>
    <m/>
    <m/>
    <m/>
    <m/>
    <m/>
    <m/>
    <m/>
    <m/>
    <m/>
    <m/>
    <s v=" "/>
    <m/>
    <m/>
    <m/>
    <m/>
  </r>
  <r>
    <x v="781"/>
    <d v="2024-09-16T00:00:00"/>
    <x v="15"/>
    <x v="8"/>
    <x v="1"/>
    <x v="119"/>
    <x v="1"/>
    <x v="1"/>
    <s v="Carta"/>
    <s v=""/>
    <n v="13.2"/>
    <s v=""/>
    <s v=""/>
    <s v=""/>
    <s v=""/>
    <s v=""/>
    <n v="9973.7500000000073"/>
    <s v=""/>
    <m/>
    <m/>
    <m/>
    <m/>
    <m/>
    <m/>
    <m/>
    <m/>
    <m/>
    <m/>
    <m/>
    <m/>
    <m/>
    <m/>
    <m/>
    <s v=" "/>
    <m/>
    <m/>
    <m/>
    <m/>
  </r>
  <r>
    <x v="782"/>
    <d v="2024-09-17T00:00:00"/>
    <x v="16"/>
    <x v="8"/>
    <x v="1"/>
    <x v="0"/>
    <x v="0"/>
    <x v="0"/>
    <s v=""/>
    <s v=""/>
    <s v=""/>
    <s v=""/>
    <s v=""/>
    <s v=""/>
    <s v=""/>
    <s v=""/>
    <s v=""/>
    <s v=""/>
    <m/>
    <m/>
    <m/>
    <m/>
    <m/>
    <m/>
    <m/>
    <m/>
    <m/>
    <m/>
    <m/>
    <m/>
    <m/>
    <m/>
    <m/>
    <s v=" "/>
    <m/>
    <m/>
    <m/>
    <m/>
  </r>
  <r>
    <x v="783"/>
    <d v="2024-09-18T00:00:00"/>
    <x v="17"/>
    <x v="8"/>
    <x v="1"/>
    <x v="0"/>
    <x v="0"/>
    <x v="0"/>
    <s v=""/>
    <s v=""/>
    <s v=""/>
    <s v=""/>
    <s v=""/>
    <s v=""/>
    <s v=""/>
    <s v=""/>
    <s v=""/>
    <s v=""/>
    <m/>
    <m/>
    <m/>
    <m/>
    <m/>
    <m/>
    <m/>
    <m/>
    <m/>
    <m/>
    <m/>
    <m/>
    <m/>
    <m/>
    <m/>
    <s v=" "/>
    <m/>
    <m/>
    <m/>
    <m/>
  </r>
  <r>
    <x v="783"/>
    <d v="2024-09-18T00:00:00"/>
    <x v="17"/>
    <x v="8"/>
    <x v="1"/>
    <x v="120"/>
    <x v="4"/>
    <x v="4"/>
    <s v="Cash"/>
    <n v="45"/>
    <s v=""/>
    <s v=""/>
    <s v=""/>
    <s v=""/>
    <s v=""/>
    <s v=""/>
    <n v="9928.7500000000073"/>
    <s v=""/>
    <m/>
    <m/>
    <m/>
    <m/>
    <m/>
    <m/>
    <m/>
    <m/>
    <m/>
    <m/>
    <m/>
    <m/>
    <m/>
    <m/>
    <m/>
    <s v=" "/>
    <m/>
    <m/>
    <m/>
    <m/>
  </r>
  <r>
    <x v="783"/>
    <d v="2024-09-18T00:00:00"/>
    <x v="17"/>
    <x v="8"/>
    <x v="1"/>
    <x v="23"/>
    <x v="8"/>
    <x v="4"/>
    <s v="Cash"/>
    <n v="23"/>
    <s v=""/>
    <s v=""/>
    <s v=""/>
    <s v=""/>
    <s v=""/>
    <s v=""/>
    <n v="9905.7500000000073"/>
    <s v=""/>
    <m/>
    <m/>
    <m/>
    <m/>
    <m/>
    <m/>
    <m/>
    <m/>
    <m/>
    <m/>
    <m/>
    <m/>
    <m/>
    <m/>
    <m/>
    <s v=" "/>
    <m/>
    <m/>
    <m/>
    <m/>
  </r>
  <r>
    <x v="783"/>
    <d v="2024-09-18T00:00:00"/>
    <x v="17"/>
    <x v="8"/>
    <x v="1"/>
    <x v="5"/>
    <x v="3"/>
    <x v="3"/>
    <s v="Cash"/>
    <s v=""/>
    <n v="40"/>
    <s v=""/>
    <s v=""/>
    <s v=""/>
    <s v=""/>
    <s v=""/>
    <n v="9865.7500000000073"/>
    <s v=""/>
    <m/>
    <m/>
    <m/>
    <m/>
    <m/>
    <m/>
    <m/>
    <m/>
    <m/>
    <m/>
    <m/>
    <m/>
    <m/>
    <m/>
    <m/>
    <s v=" "/>
    <m/>
    <m/>
    <m/>
    <m/>
  </r>
  <r>
    <x v="783"/>
    <d v="2024-09-18T00:00:00"/>
    <x v="17"/>
    <x v="8"/>
    <x v="1"/>
    <x v="5"/>
    <x v="6"/>
    <x v="3"/>
    <s v="Cash"/>
    <s v=""/>
    <n v="17.16"/>
    <s v=""/>
    <s v=""/>
    <s v=""/>
    <s v=""/>
    <s v=""/>
    <n v="9848.5900000000074"/>
    <s v=""/>
    <m/>
    <m/>
    <m/>
    <m/>
    <m/>
    <m/>
    <m/>
    <m/>
    <m/>
    <m/>
    <m/>
    <m/>
    <m/>
    <m/>
    <m/>
    <s v=" "/>
    <m/>
    <m/>
    <m/>
    <m/>
  </r>
  <r>
    <x v="783"/>
    <d v="2024-09-18T00:00:00"/>
    <x v="17"/>
    <x v="8"/>
    <x v="1"/>
    <x v="76"/>
    <x v="21"/>
    <x v="2"/>
    <s v="Cash"/>
    <n v="1.29"/>
    <s v=""/>
    <s v=""/>
    <s v=""/>
    <s v=""/>
    <s v=""/>
    <s v=""/>
    <n v="9847.3000000000065"/>
    <s v=""/>
    <m/>
    <m/>
    <m/>
    <m/>
    <m/>
    <m/>
    <m/>
    <m/>
    <m/>
    <m/>
    <m/>
    <m/>
    <m/>
    <m/>
    <m/>
    <s v=" "/>
    <m/>
    <m/>
    <m/>
    <m/>
  </r>
  <r>
    <x v="783"/>
    <d v="2024-09-18T00:00:00"/>
    <x v="17"/>
    <x v="8"/>
    <x v="1"/>
    <x v="22"/>
    <x v="14"/>
    <x v="0"/>
    <s v="Carta"/>
    <s v=""/>
    <s v=""/>
    <s v=""/>
    <s v=""/>
    <s v=""/>
    <s v=""/>
    <n v="500"/>
    <s v=""/>
    <s v=""/>
    <m/>
    <m/>
    <m/>
    <m/>
    <m/>
    <m/>
    <m/>
    <m/>
    <m/>
    <m/>
    <m/>
    <m/>
    <m/>
    <m/>
    <m/>
    <s v=" "/>
    <m/>
    <m/>
    <m/>
    <m/>
  </r>
  <r>
    <x v="783"/>
    <d v="2024-09-18T00:00:00"/>
    <x v="17"/>
    <x v="8"/>
    <x v="1"/>
    <x v="79"/>
    <x v="2"/>
    <x v="2"/>
    <s v="Cash"/>
    <n v="4.4000000000000004"/>
    <s v=""/>
    <s v=""/>
    <s v=""/>
    <s v=""/>
    <s v=""/>
    <s v=""/>
    <n v="9842.9000000000069"/>
    <s v=""/>
    <m/>
    <m/>
    <m/>
    <m/>
    <m/>
    <m/>
    <m/>
    <m/>
    <m/>
    <m/>
    <m/>
    <m/>
    <m/>
    <m/>
    <m/>
    <s v=" "/>
    <m/>
    <m/>
    <m/>
    <m/>
  </r>
  <r>
    <x v="784"/>
    <d v="2024-09-19T00:00:00"/>
    <x v="18"/>
    <x v="8"/>
    <x v="1"/>
    <x v="79"/>
    <x v="2"/>
    <x v="2"/>
    <s v="Cash"/>
    <n v="4.4000000000000004"/>
    <s v=""/>
    <s v=""/>
    <s v=""/>
    <s v=""/>
    <s v=""/>
    <s v=""/>
    <n v="9838.5000000000073"/>
    <s v=""/>
    <m/>
    <m/>
    <m/>
    <m/>
    <m/>
    <m/>
    <m/>
    <m/>
    <m/>
    <m/>
    <m/>
    <m/>
    <m/>
    <m/>
    <m/>
    <s v=" "/>
    <m/>
    <m/>
    <m/>
    <m/>
  </r>
  <r>
    <x v="784"/>
    <d v="2024-09-19T00:00:00"/>
    <x v="18"/>
    <x v="8"/>
    <x v="1"/>
    <x v="5"/>
    <x v="3"/>
    <x v="3"/>
    <s v="Cash"/>
    <s v=""/>
    <n v="49.38"/>
    <s v=""/>
    <s v=""/>
    <s v=""/>
    <s v=""/>
    <s v=""/>
    <n v="9789.1200000000081"/>
    <s v=""/>
    <m/>
    <m/>
    <m/>
    <m/>
    <m/>
    <m/>
    <m/>
    <m/>
    <m/>
    <m/>
    <m/>
    <m/>
    <m/>
    <m/>
    <m/>
    <s v=" "/>
    <m/>
    <m/>
    <m/>
    <m/>
  </r>
  <r>
    <x v="785"/>
    <d v="2024-09-20T00:00:00"/>
    <x v="19"/>
    <x v="8"/>
    <x v="1"/>
    <x v="0"/>
    <x v="0"/>
    <x v="0"/>
    <s v=""/>
    <s v=""/>
    <s v=""/>
    <s v=""/>
    <s v=""/>
    <s v=""/>
    <s v=""/>
    <s v=""/>
    <s v=""/>
    <s v=""/>
    <m/>
    <m/>
    <m/>
    <m/>
    <m/>
    <m/>
    <m/>
    <m/>
    <m/>
    <m/>
    <m/>
    <m/>
    <m/>
    <m/>
    <m/>
    <s v=" "/>
    <m/>
    <m/>
    <m/>
    <m/>
  </r>
  <r>
    <x v="786"/>
    <d v="2024-09-21T00:00:00"/>
    <x v="20"/>
    <x v="8"/>
    <x v="1"/>
    <x v="0"/>
    <x v="0"/>
    <x v="0"/>
    <s v=""/>
    <s v=""/>
    <s v=""/>
    <s v=""/>
    <s v=""/>
    <s v=""/>
    <s v=""/>
    <s v=""/>
    <s v=""/>
    <s v=""/>
    <m/>
    <m/>
    <m/>
    <m/>
    <m/>
    <m/>
    <m/>
    <m/>
    <m/>
    <m/>
    <m/>
    <m/>
    <m/>
    <m/>
    <m/>
    <s v=" "/>
    <m/>
    <m/>
    <m/>
    <m/>
  </r>
  <r>
    <x v="787"/>
    <d v="2024-09-22T00:00:00"/>
    <x v="21"/>
    <x v="8"/>
    <x v="1"/>
    <x v="0"/>
    <x v="0"/>
    <x v="0"/>
    <s v=""/>
    <s v=""/>
    <s v=""/>
    <s v=""/>
    <s v=""/>
    <s v=""/>
    <s v=""/>
    <s v=""/>
    <s v=""/>
    <s v=""/>
    <m/>
    <m/>
    <m/>
    <m/>
    <m/>
    <m/>
    <m/>
    <m/>
    <m/>
    <m/>
    <m/>
    <m/>
    <m/>
    <m/>
    <m/>
    <s v=" "/>
    <m/>
    <m/>
    <m/>
    <m/>
  </r>
  <r>
    <x v="788"/>
    <d v="2024-09-23T00:00:00"/>
    <x v="22"/>
    <x v="8"/>
    <x v="1"/>
    <x v="0"/>
    <x v="0"/>
    <x v="0"/>
    <s v=""/>
    <s v=""/>
    <s v=""/>
    <s v=""/>
    <s v=""/>
    <s v=""/>
    <s v=""/>
    <s v=""/>
    <s v=""/>
    <s v=""/>
    <m/>
    <m/>
    <m/>
    <m/>
    <m/>
    <m/>
    <m/>
    <m/>
    <m/>
    <m/>
    <m/>
    <m/>
    <m/>
    <m/>
    <m/>
    <s v=" "/>
    <m/>
    <m/>
    <m/>
    <m/>
  </r>
  <r>
    <x v="789"/>
    <d v="2024-09-24T00:00:00"/>
    <x v="23"/>
    <x v="8"/>
    <x v="1"/>
    <x v="5"/>
    <x v="3"/>
    <x v="3"/>
    <s v="Cash"/>
    <s v=""/>
    <n v="67.599999999999994"/>
    <s v=""/>
    <s v=""/>
    <s v=""/>
    <s v=""/>
    <s v=""/>
    <n v="9721.5200000000077"/>
    <s v=""/>
    <m/>
    <m/>
    <m/>
    <m/>
    <m/>
    <m/>
    <m/>
    <m/>
    <m/>
    <m/>
    <m/>
    <m/>
    <m/>
    <m/>
    <m/>
    <s v=" "/>
    <m/>
    <m/>
    <m/>
    <m/>
  </r>
  <r>
    <x v="789"/>
    <d v="2024-09-24T00:00:00"/>
    <x v="23"/>
    <x v="8"/>
    <x v="1"/>
    <x v="121"/>
    <x v="21"/>
    <x v="2"/>
    <s v="Cash"/>
    <n v="9.9"/>
    <s v=""/>
    <s v=""/>
    <s v=""/>
    <s v=""/>
    <s v=""/>
    <s v=""/>
    <n v="9711.6200000000081"/>
    <s v=""/>
    <m/>
    <m/>
    <m/>
    <m/>
    <m/>
    <m/>
    <m/>
    <m/>
    <m/>
    <m/>
    <m/>
    <m/>
    <m/>
    <m/>
    <m/>
    <s v=" "/>
    <m/>
    <m/>
    <m/>
    <m/>
  </r>
  <r>
    <x v="789"/>
    <d v="2024-09-24T00:00:00"/>
    <x v="23"/>
    <x v="8"/>
    <x v="1"/>
    <x v="122"/>
    <x v="13"/>
    <x v="4"/>
    <s v="Cash"/>
    <n v="9"/>
    <s v=""/>
    <s v=""/>
    <s v=""/>
    <s v=""/>
    <s v=""/>
    <s v=""/>
    <n v="9702.6200000000081"/>
    <s v=""/>
    <m/>
    <m/>
    <m/>
    <m/>
    <m/>
    <m/>
    <m/>
    <m/>
    <m/>
    <m/>
    <m/>
    <m/>
    <m/>
    <m/>
    <m/>
    <s v=" "/>
    <m/>
    <m/>
    <m/>
    <m/>
  </r>
  <r>
    <x v="790"/>
    <d v="2024-09-25T00:00:00"/>
    <x v="24"/>
    <x v="8"/>
    <x v="1"/>
    <x v="5"/>
    <x v="3"/>
    <x v="3"/>
    <s v="Cash"/>
    <s v=""/>
    <n v="22.95"/>
    <s v=""/>
    <s v=""/>
    <s v=""/>
    <s v=""/>
    <s v=""/>
    <n v="9679.6700000000073"/>
    <s v=""/>
    <m/>
    <m/>
    <m/>
    <m/>
    <m/>
    <m/>
    <m/>
    <m/>
    <m/>
    <m/>
    <m/>
    <m/>
    <m/>
    <m/>
    <m/>
    <s v=" "/>
    <m/>
    <m/>
    <m/>
    <m/>
  </r>
  <r>
    <x v="790"/>
    <d v="2024-09-25T00:00:00"/>
    <x v="24"/>
    <x v="8"/>
    <x v="1"/>
    <x v="71"/>
    <x v="17"/>
    <x v="6"/>
    <s v="Cash"/>
    <s v=""/>
    <n v="5"/>
    <s v=""/>
    <s v=""/>
    <s v=""/>
    <s v=""/>
    <s v=""/>
    <n v="9674.6700000000073"/>
    <s v=""/>
    <m/>
    <m/>
    <m/>
    <m/>
    <m/>
    <m/>
    <m/>
    <m/>
    <m/>
    <m/>
    <m/>
    <m/>
    <m/>
    <m/>
    <m/>
    <s v=" "/>
    <m/>
    <m/>
    <m/>
    <m/>
  </r>
  <r>
    <x v="790"/>
    <d v="2024-09-25T00:00:00"/>
    <x v="24"/>
    <x v="8"/>
    <x v="1"/>
    <x v="71"/>
    <x v="18"/>
    <x v="8"/>
    <s v="Cash"/>
    <s v=""/>
    <n v="15"/>
    <s v=""/>
    <s v=""/>
    <s v=""/>
    <s v=""/>
    <s v=""/>
    <n v="9659.6700000000073"/>
    <s v=""/>
    <m/>
    <m/>
    <m/>
    <m/>
    <m/>
    <m/>
    <m/>
    <m/>
    <m/>
    <m/>
    <m/>
    <m/>
    <m/>
    <m/>
    <m/>
    <s v=" "/>
    <m/>
    <m/>
    <m/>
    <m/>
  </r>
  <r>
    <x v="791"/>
    <d v="2024-09-26T00:00:00"/>
    <x v="25"/>
    <x v="8"/>
    <x v="1"/>
    <x v="0"/>
    <x v="0"/>
    <x v="0"/>
    <s v=""/>
    <s v=""/>
    <s v=""/>
    <s v=""/>
    <s v=""/>
    <s v=""/>
    <s v=""/>
    <s v=""/>
    <s v=""/>
    <s v=""/>
    <m/>
    <m/>
    <m/>
    <m/>
    <m/>
    <m/>
    <m/>
    <m/>
    <m/>
    <m/>
    <m/>
    <m/>
    <m/>
    <m/>
    <m/>
    <s v=" "/>
    <m/>
    <m/>
    <m/>
    <m/>
  </r>
  <r>
    <x v="792"/>
    <d v="2024-09-27T00:00:00"/>
    <x v="26"/>
    <x v="8"/>
    <x v="1"/>
    <x v="5"/>
    <x v="3"/>
    <x v="3"/>
    <s v="Cash"/>
    <s v=""/>
    <n v="36.11"/>
    <s v=""/>
    <s v=""/>
    <s v=""/>
    <s v=""/>
    <s v=""/>
    <n v="9623.5600000000068"/>
    <s v=""/>
    <m/>
    <m/>
    <m/>
    <m/>
    <m/>
    <m/>
    <m/>
    <m/>
    <m/>
    <m/>
    <m/>
    <m/>
    <m/>
    <m/>
    <m/>
    <s v=" "/>
    <m/>
    <m/>
    <m/>
    <m/>
  </r>
  <r>
    <x v="792"/>
    <d v="2024-09-27T00:00:00"/>
    <x v="26"/>
    <x v="8"/>
    <x v="1"/>
    <x v="1"/>
    <x v="1"/>
    <x v="1"/>
    <s v="Carta"/>
    <s v=""/>
    <n v="2"/>
    <s v=""/>
    <s v=""/>
    <s v=""/>
    <s v=""/>
    <s v=""/>
    <n v="9621.5600000000068"/>
    <s v=""/>
    <m/>
    <m/>
    <m/>
    <m/>
    <m/>
    <m/>
    <m/>
    <m/>
    <m/>
    <m/>
    <m/>
    <m/>
    <m/>
    <m/>
    <m/>
    <s v=" "/>
    <m/>
    <m/>
    <m/>
    <m/>
  </r>
  <r>
    <x v="793"/>
    <d v="2024-09-28T00:00:00"/>
    <x v="27"/>
    <x v="8"/>
    <x v="1"/>
    <x v="0"/>
    <x v="0"/>
    <x v="0"/>
    <s v=""/>
    <s v=""/>
    <s v=""/>
    <s v=""/>
    <s v=""/>
    <s v=""/>
    <s v=""/>
    <s v=""/>
    <s v=""/>
    <s v=""/>
    <m/>
    <m/>
    <m/>
    <m/>
    <m/>
    <m/>
    <m/>
    <m/>
    <m/>
    <m/>
    <m/>
    <m/>
    <m/>
    <m/>
    <m/>
    <s v=" "/>
    <m/>
    <m/>
    <m/>
    <m/>
  </r>
  <r>
    <x v="794"/>
    <d v="2024-09-29T00:00:00"/>
    <x v="28"/>
    <x v="8"/>
    <x v="1"/>
    <x v="0"/>
    <x v="0"/>
    <x v="0"/>
    <s v=""/>
    <s v=""/>
    <s v=""/>
    <s v=""/>
    <s v=""/>
    <s v=""/>
    <s v=""/>
    <s v=""/>
    <s v=""/>
    <s v=""/>
    <m/>
    <m/>
    <m/>
    <m/>
    <m/>
    <m/>
    <m/>
    <m/>
    <m/>
    <m/>
    <m/>
    <m/>
    <m/>
    <m/>
    <m/>
    <s v=" "/>
    <m/>
    <m/>
    <m/>
    <m/>
  </r>
  <r>
    <x v="795"/>
    <d v="2024-09-30T00:00:00"/>
    <x v="29"/>
    <x v="8"/>
    <x v="1"/>
    <x v="123"/>
    <x v="4"/>
    <x v="4"/>
    <s v="Cash"/>
    <n v="20"/>
    <s v=""/>
    <s v=""/>
    <s v=""/>
    <s v=""/>
    <s v=""/>
    <s v=""/>
    <n v="9601.5600000000068"/>
    <s v=""/>
    <m/>
    <m/>
    <m/>
    <m/>
    <m/>
    <m/>
    <m/>
    <m/>
    <m/>
    <m/>
    <m/>
    <m/>
    <m/>
    <m/>
    <m/>
    <s v=" "/>
    <m/>
    <m/>
    <m/>
    <m/>
  </r>
  <r>
    <x v="795"/>
    <d v="2024-09-30T00:00:00"/>
    <x v="29"/>
    <x v="8"/>
    <x v="1"/>
    <x v="5"/>
    <x v="3"/>
    <x v="3"/>
    <s v="Cash"/>
    <s v=""/>
    <n v="22.14"/>
    <s v=""/>
    <s v=""/>
    <s v=""/>
    <s v=""/>
    <s v=""/>
    <n v="9579.4200000000073"/>
    <s v=""/>
    <m/>
    <m/>
    <m/>
    <m/>
    <m/>
    <m/>
    <m/>
    <m/>
    <m/>
    <m/>
    <m/>
    <m/>
    <m/>
    <m/>
    <m/>
    <s v=" "/>
    <m/>
    <m/>
    <m/>
    <m/>
  </r>
  <r>
    <x v="795"/>
    <d v="2024-09-30T00:00:00"/>
    <x v="29"/>
    <x v="8"/>
    <x v="1"/>
    <x v="5"/>
    <x v="6"/>
    <x v="3"/>
    <s v="Cash"/>
    <s v=""/>
    <n v="5.33"/>
    <s v=""/>
    <s v=""/>
    <s v=""/>
    <s v=""/>
    <s v=""/>
    <n v="9574.0900000000074"/>
    <s v=""/>
    <m/>
    <m/>
    <m/>
    <m/>
    <m/>
    <m/>
    <m/>
    <m/>
    <m/>
    <m/>
    <m/>
    <m/>
    <m/>
    <m/>
    <m/>
    <s v=" "/>
    <m/>
    <m/>
    <m/>
    <m/>
  </r>
  <r>
    <x v="795"/>
    <d v="2024-09-30T00:00:00"/>
    <x v="29"/>
    <x v="8"/>
    <x v="1"/>
    <x v="2"/>
    <x v="1"/>
    <x v="1"/>
    <s v="Carta"/>
    <s v=""/>
    <n v="4.9800000000000004"/>
    <s v=""/>
    <s v=""/>
    <s v=""/>
    <s v=""/>
    <s v=""/>
    <n v="9569.1100000000079"/>
    <s v=""/>
    <m/>
    <m/>
    <m/>
    <m/>
    <m/>
    <m/>
    <m/>
    <m/>
    <m/>
    <m/>
    <m/>
    <m/>
    <m/>
    <m/>
    <m/>
    <s v=" "/>
    <m/>
    <m/>
    <m/>
    <m/>
  </r>
  <r>
    <x v="795"/>
    <d v="2024-09-30T00:00:00"/>
    <x v="29"/>
    <x v="8"/>
    <x v="1"/>
    <x v="50"/>
    <x v="1"/>
    <x v="1"/>
    <s v="Carta"/>
    <s v=""/>
    <n v="8.6"/>
    <s v=""/>
    <s v=""/>
    <s v=""/>
    <s v=""/>
    <s v=""/>
    <n v="9560.5100000000075"/>
    <s v=""/>
    <m/>
    <m/>
    <m/>
    <m/>
    <m/>
    <m/>
    <m/>
    <m/>
    <m/>
    <m/>
    <m/>
    <m/>
    <m/>
    <m/>
    <m/>
    <s v=" "/>
    <m/>
    <m/>
    <m/>
    <m/>
  </r>
  <r>
    <x v="796"/>
    <d v="2024-10-01T00:00:00"/>
    <x v="0"/>
    <x v="9"/>
    <x v="1"/>
    <x v="0"/>
    <x v="0"/>
    <x v="0"/>
    <s v=""/>
    <s v=""/>
    <s v=""/>
    <s v=""/>
    <s v=""/>
    <s v=""/>
    <s v=""/>
    <s v=""/>
    <s v=""/>
    <s v=""/>
    <m/>
    <m/>
    <m/>
    <m/>
    <m/>
    <m/>
    <m/>
    <m/>
    <m/>
    <m/>
    <m/>
    <m/>
    <m/>
    <m/>
    <m/>
    <s v=" "/>
    <m/>
    <m/>
    <m/>
    <m/>
  </r>
  <r>
    <x v="797"/>
    <d v="2024-10-02T00:00:00"/>
    <x v="1"/>
    <x v="9"/>
    <x v="1"/>
    <x v="5"/>
    <x v="3"/>
    <x v="3"/>
    <s v="Cash"/>
    <s v=""/>
    <n v="28.8"/>
    <s v=""/>
    <s v=""/>
    <s v=""/>
    <s v=""/>
    <s v=""/>
    <n v="9531.7100000000082"/>
    <s v=""/>
    <m/>
    <m/>
    <m/>
    <m/>
    <m/>
    <m/>
    <m/>
    <m/>
    <m/>
    <m/>
    <m/>
    <m/>
    <m/>
    <m/>
    <m/>
    <s v=" "/>
    <m/>
    <m/>
    <m/>
    <m/>
  </r>
  <r>
    <x v="797"/>
    <d v="2024-10-02T00:00:00"/>
    <x v="1"/>
    <x v="9"/>
    <x v="1"/>
    <x v="5"/>
    <x v="6"/>
    <x v="3"/>
    <s v="Cash"/>
    <s v=""/>
    <n v="0.5"/>
    <s v=""/>
    <s v=""/>
    <s v=""/>
    <s v=""/>
    <s v=""/>
    <n v="9531.2100000000082"/>
    <s v=""/>
    <m/>
    <m/>
    <m/>
    <m/>
    <m/>
    <m/>
    <m/>
    <m/>
    <m/>
    <m/>
    <m/>
    <m/>
    <m/>
    <m/>
    <m/>
    <s v=" "/>
    <m/>
    <m/>
    <m/>
    <m/>
  </r>
  <r>
    <x v="797"/>
    <d v="2024-10-02T00:00:00"/>
    <x v="1"/>
    <x v="9"/>
    <x v="1"/>
    <x v="124"/>
    <x v="21"/>
    <x v="2"/>
    <s v="Cash"/>
    <n v="1.42"/>
    <s v=""/>
    <s v=""/>
    <s v=""/>
    <s v=""/>
    <s v=""/>
    <s v=""/>
    <n v="9529.7900000000081"/>
    <s v=""/>
    <m/>
    <m/>
    <m/>
    <m/>
    <m/>
    <m/>
    <m/>
    <m/>
    <m/>
    <m/>
    <m/>
    <m/>
    <m/>
    <m/>
    <m/>
    <s v=" "/>
    <m/>
    <m/>
    <m/>
    <m/>
  </r>
  <r>
    <x v="798"/>
    <d v="2024-10-03T00:00:00"/>
    <x v="2"/>
    <x v="9"/>
    <x v="1"/>
    <x v="0"/>
    <x v="0"/>
    <x v="0"/>
    <s v=""/>
    <s v=""/>
    <s v=""/>
    <s v=""/>
    <s v=""/>
    <s v=""/>
    <s v=""/>
    <s v=""/>
    <s v=""/>
    <s v=""/>
    <m/>
    <m/>
    <m/>
    <m/>
    <m/>
    <m/>
    <m/>
    <m/>
    <m/>
    <m/>
    <m/>
    <m/>
    <m/>
    <m/>
    <m/>
    <s v=" "/>
    <m/>
    <m/>
    <m/>
    <m/>
  </r>
  <r>
    <x v="799"/>
    <d v="2024-10-04T00:00:00"/>
    <x v="3"/>
    <x v="9"/>
    <x v="1"/>
    <x v="79"/>
    <x v="2"/>
    <x v="2"/>
    <s v="Cash"/>
    <n v="4.4000000000000004"/>
    <s v=""/>
    <s v=""/>
    <s v=""/>
    <s v=""/>
    <s v=""/>
    <s v=""/>
    <n v="9525.3900000000085"/>
    <s v=""/>
    <m/>
    <m/>
    <m/>
    <m/>
    <m/>
    <m/>
    <m/>
    <m/>
    <m/>
    <m/>
    <m/>
    <m/>
    <m/>
    <m/>
    <m/>
    <s v=" "/>
    <m/>
    <m/>
    <m/>
    <m/>
  </r>
  <r>
    <x v="799"/>
    <d v="2024-10-04T00:00:00"/>
    <x v="3"/>
    <x v="9"/>
    <x v="1"/>
    <x v="5"/>
    <x v="3"/>
    <x v="3"/>
    <s v="Cash"/>
    <s v=""/>
    <n v="25.65"/>
    <s v=""/>
    <s v=""/>
    <s v=""/>
    <s v=""/>
    <s v=""/>
    <n v="9499.7400000000089"/>
    <s v=""/>
    <m/>
    <m/>
    <m/>
    <m/>
    <m/>
    <m/>
    <m/>
    <m/>
    <m/>
    <m/>
    <m/>
    <m/>
    <m/>
    <m/>
    <m/>
    <s v=" "/>
    <m/>
    <m/>
    <m/>
    <m/>
  </r>
  <r>
    <x v="800"/>
    <d v="2024-10-05T00:00:00"/>
    <x v="4"/>
    <x v="9"/>
    <x v="1"/>
    <x v="0"/>
    <x v="0"/>
    <x v="0"/>
    <s v=""/>
    <s v=""/>
    <s v=""/>
    <s v=""/>
    <s v=""/>
    <s v=""/>
    <s v=""/>
    <s v=""/>
    <s v=""/>
    <s v=""/>
    <m/>
    <m/>
    <m/>
    <m/>
    <m/>
    <m/>
    <m/>
    <m/>
    <m/>
    <m/>
    <m/>
    <m/>
    <m/>
    <m/>
    <m/>
    <s v=" "/>
    <m/>
    <m/>
    <m/>
    <m/>
  </r>
  <r>
    <x v="801"/>
    <d v="2024-10-06T00:00:00"/>
    <x v="5"/>
    <x v="9"/>
    <x v="1"/>
    <x v="0"/>
    <x v="0"/>
    <x v="0"/>
    <s v=""/>
    <s v=""/>
    <s v=""/>
    <s v=""/>
    <s v=""/>
    <s v=""/>
    <s v=""/>
    <s v=""/>
    <s v=""/>
    <s v=""/>
    <m/>
    <m/>
    <m/>
    <m/>
    <m/>
    <m/>
    <m/>
    <m/>
    <m/>
    <m/>
    <m/>
    <m/>
    <m/>
    <m/>
    <m/>
    <s v=" "/>
    <m/>
    <m/>
    <m/>
    <m/>
  </r>
  <r>
    <x v="802"/>
    <d v="2024-10-07T00:00:00"/>
    <x v="6"/>
    <x v="9"/>
    <x v="1"/>
    <x v="5"/>
    <x v="3"/>
    <x v="3"/>
    <s v="Cash"/>
    <s v=""/>
    <n v="11.42"/>
    <s v=""/>
    <s v=""/>
    <s v=""/>
    <s v=""/>
    <s v=""/>
    <n v="9488.3200000000088"/>
    <s v=""/>
    <m/>
    <m/>
    <m/>
    <m/>
    <m/>
    <m/>
    <m/>
    <m/>
    <m/>
    <m/>
    <m/>
    <m/>
    <m/>
    <m/>
    <m/>
    <s v=" "/>
    <m/>
    <m/>
    <m/>
    <m/>
  </r>
  <r>
    <x v="802"/>
    <d v="2024-10-07T00:00:00"/>
    <x v="6"/>
    <x v="9"/>
    <x v="1"/>
    <x v="76"/>
    <x v="21"/>
    <x v="2"/>
    <s v="Cash"/>
    <n v="2.99"/>
    <s v=""/>
    <s v=""/>
    <s v=""/>
    <s v=""/>
    <s v=""/>
    <s v=""/>
    <n v="9485.330000000009"/>
    <s v=""/>
    <m/>
    <m/>
    <m/>
    <m/>
    <m/>
    <m/>
    <m/>
    <m/>
    <m/>
    <m/>
    <m/>
    <m/>
    <m/>
    <m/>
    <m/>
    <s v=" "/>
    <m/>
    <m/>
    <m/>
    <m/>
  </r>
  <r>
    <x v="803"/>
    <d v="2024-10-08T00:00:00"/>
    <x v="7"/>
    <x v="9"/>
    <x v="1"/>
    <x v="5"/>
    <x v="3"/>
    <x v="3"/>
    <s v="Cash"/>
    <s v=""/>
    <n v="1.8"/>
    <s v=""/>
    <s v=""/>
    <s v=""/>
    <s v=""/>
    <s v=""/>
    <n v="9483.5300000000097"/>
    <s v=""/>
    <m/>
    <m/>
    <m/>
    <m/>
    <m/>
    <m/>
    <m/>
    <m/>
    <m/>
    <m/>
    <m/>
    <m/>
    <m/>
    <m/>
    <m/>
    <s v=" "/>
    <m/>
    <m/>
    <m/>
    <m/>
  </r>
  <r>
    <x v="804"/>
    <d v="2024-10-08T00:00:00"/>
    <x v="7"/>
    <x v="9"/>
    <x v="1"/>
    <x v="5"/>
    <x v="6"/>
    <x v="3"/>
    <s v="Cash"/>
    <s v=""/>
    <n v="7.5"/>
    <s v=""/>
    <s v=""/>
    <s v=""/>
    <s v=""/>
    <s v=""/>
    <n v="9476.0300000000097"/>
    <s v=""/>
    <m/>
    <m/>
    <m/>
    <m/>
    <m/>
    <m/>
    <m/>
    <m/>
    <m/>
    <m/>
    <m/>
    <m/>
    <m/>
    <m/>
    <m/>
    <s v=" "/>
    <m/>
    <m/>
    <m/>
    <m/>
  </r>
  <r>
    <x v="804"/>
    <d v="2024-10-08T00:00:00"/>
    <x v="7"/>
    <x v="9"/>
    <x v="1"/>
    <x v="125"/>
    <x v="9"/>
    <x v="2"/>
    <s v="Cash"/>
    <n v="11.95"/>
    <s v=""/>
    <s v=""/>
    <s v=""/>
    <s v=""/>
    <s v=""/>
    <s v=""/>
    <n v="9464.080000000009"/>
    <s v=""/>
    <m/>
    <m/>
    <m/>
    <m/>
    <m/>
    <m/>
    <m/>
    <m/>
    <m/>
    <m/>
    <m/>
    <m/>
    <m/>
    <m/>
    <m/>
    <s v=" "/>
    <m/>
    <m/>
    <m/>
    <m/>
  </r>
  <r>
    <x v="805"/>
    <d v="2024-10-09T00:00:00"/>
    <x v="8"/>
    <x v="9"/>
    <x v="1"/>
    <x v="12"/>
    <x v="2"/>
    <x v="2"/>
    <s v="Cash"/>
    <n v="4.4000000000000004"/>
    <s v=""/>
    <s v=""/>
    <s v=""/>
    <s v=""/>
    <s v=""/>
    <s v=""/>
    <n v="9459.6800000000094"/>
    <s v=""/>
    <m/>
    <m/>
    <m/>
    <m/>
    <m/>
    <m/>
    <m/>
    <m/>
    <m/>
    <m/>
    <m/>
    <m/>
    <m/>
    <m/>
    <m/>
    <s v=" "/>
    <m/>
    <m/>
    <m/>
    <m/>
  </r>
  <r>
    <x v="806"/>
    <d v="2024-10-09T00:00:00"/>
    <x v="8"/>
    <x v="9"/>
    <x v="1"/>
    <x v="5"/>
    <x v="3"/>
    <x v="3"/>
    <s v="Cash"/>
    <s v=""/>
    <n v="24.36"/>
    <s v=""/>
    <s v=""/>
    <s v=""/>
    <s v=""/>
    <s v=""/>
    <n v="9435.3200000000088"/>
    <s v=""/>
    <m/>
    <m/>
    <m/>
    <m/>
    <m/>
    <m/>
    <m/>
    <m/>
    <m/>
    <m/>
    <m/>
    <m/>
    <m/>
    <m/>
    <m/>
    <s v=" "/>
    <m/>
    <m/>
    <m/>
    <m/>
  </r>
  <r>
    <x v="807"/>
    <d v="2024-10-10T00:00:00"/>
    <x v="9"/>
    <x v="9"/>
    <x v="1"/>
    <x v="12"/>
    <x v="2"/>
    <x v="2"/>
    <s v="Cash"/>
    <n v="4.4000000000000004"/>
    <s v=""/>
    <s v=""/>
    <s v=""/>
    <s v=""/>
    <s v=""/>
    <s v=""/>
    <n v="9430.9200000000092"/>
    <s v=""/>
    <m/>
    <m/>
    <m/>
    <m/>
    <m/>
    <m/>
    <m/>
    <m/>
    <m/>
    <m/>
    <m/>
    <m/>
    <m/>
    <m/>
    <m/>
    <s v=" "/>
    <m/>
    <m/>
    <m/>
    <m/>
  </r>
  <r>
    <x v="807"/>
    <d v="2024-10-10T00:00:00"/>
    <x v="9"/>
    <x v="9"/>
    <x v="1"/>
    <x v="71"/>
    <x v="17"/>
    <x v="6"/>
    <s v="Cash"/>
    <s v=""/>
    <n v="10"/>
    <s v=""/>
    <s v=""/>
    <s v=""/>
    <s v=""/>
    <s v=""/>
    <n v="9420.9200000000092"/>
    <s v=""/>
    <m/>
    <m/>
    <m/>
    <m/>
    <m/>
    <m/>
    <m/>
    <m/>
    <m/>
    <m/>
    <m/>
    <m/>
    <m/>
    <m/>
    <m/>
    <s v=" "/>
    <m/>
    <m/>
    <m/>
    <m/>
  </r>
  <r>
    <x v="807"/>
    <d v="2024-10-10T00:00:00"/>
    <x v="9"/>
    <x v="9"/>
    <x v="1"/>
    <x v="71"/>
    <x v="18"/>
    <x v="8"/>
    <s v="Cash"/>
    <s v=""/>
    <n v="15"/>
    <s v=""/>
    <s v=""/>
    <s v=""/>
    <s v=""/>
    <s v=""/>
    <n v="9405.9200000000092"/>
    <s v=""/>
    <m/>
    <m/>
    <m/>
    <m/>
    <m/>
    <m/>
    <m/>
    <m/>
    <m/>
    <m/>
    <m/>
    <m/>
    <m/>
    <m/>
    <m/>
    <s v=" "/>
    <m/>
    <m/>
    <m/>
    <m/>
  </r>
  <r>
    <x v="807"/>
    <d v="2024-10-10T00:00:00"/>
    <x v="9"/>
    <x v="9"/>
    <x v="1"/>
    <x v="123"/>
    <x v="4"/>
    <x v="4"/>
    <s v="Cash"/>
    <n v="20"/>
    <s v=""/>
    <s v=""/>
    <s v=""/>
    <s v=""/>
    <s v=""/>
    <s v=""/>
    <n v="9385.9200000000092"/>
    <s v=""/>
    <m/>
    <m/>
    <m/>
    <m/>
    <m/>
    <m/>
    <m/>
    <m/>
    <m/>
    <m/>
    <m/>
    <m/>
    <m/>
    <m/>
    <m/>
    <s v=" "/>
    <m/>
    <m/>
    <m/>
    <m/>
  </r>
  <r>
    <x v="807"/>
    <d v="2024-10-10T00:00:00"/>
    <x v="9"/>
    <x v="9"/>
    <x v="1"/>
    <x v="22"/>
    <x v="14"/>
    <x v="0"/>
    <s v="Carta"/>
    <s v=""/>
    <s v=""/>
    <s v=""/>
    <s v=""/>
    <s v=""/>
    <s v=""/>
    <n v="500"/>
    <s v=""/>
    <s v=""/>
    <m/>
    <m/>
    <m/>
    <m/>
    <m/>
    <m/>
    <m/>
    <m/>
    <m/>
    <m/>
    <m/>
    <m/>
    <m/>
    <m/>
    <m/>
    <s v=" "/>
    <m/>
    <m/>
    <m/>
    <m/>
  </r>
  <r>
    <x v="808"/>
    <d v="2024-10-11T00:00:00"/>
    <x v="10"/>
    <x v="9"/>
    <x v="1"/>
    <x v="5"/>
    <x v="3"/>
    <x v="3"/>
    <s v="Cash"/>
    <s v=""/>
    <n v="66.11"/>
    <s v=""/>
    <s v=""/>
    <s v=""/>
    <s v=""/>
    <s v=""/>
    <n v="9319.8100000000086"/>
    <s v=""/>
    <m/>
    <m/>
    <m/>
    <m/>
    <m/>
    <m/>
    <m/>
    <m/>
    <m/>
    <m/>
    <m/>
    <m/>
    <m/>
    <m/>
    <m/>
    <s v=" "/>
    <m/>
    <m/>
    <m/>
    <m/>
  </r>
  <r>
    <x v="808"/>
    <d v="2024-10-11T00:00:00"/>
    <x v="10"/>
    <x v="9"/>
    <x v="1"/>
    <x v="126"/>
    <x v="9"/>
    <x v="2"/>
    <s v="Cash"/>
    <n v="7"/>
    <s v=""/>
    <s v=""/>
    <s v=""/>
    <s v=""/>
    <s v=""/>
    <s v=""/>
    <n v="9312.8100000000086"/>
    <s v=""/>
    <m/>
    <m/>
    <m/>
    <m/>
    <m/>
    <m/>
    <m/>
    <m/>
    <m/>
    <m/>
    <m/>
    <m/>
    <m/>
    <m/>
    <m/>
    <s v=" "/>
    <m/>
    <m/>
    <m/>
    <m/>
  </r>
  <r>
    <x v="808"/>
    <d v="2024-10-11T00:00:00"/>
    <x v="10"/>
    <x v="9"/>
    <x v="1"/>
    <x v="127"/>
    <x v="21"/>
    <x v="2"/>
    <s v="Cash"/>
    <n v="3.6"/>
    <s v=""/>
    <s v=""/>
    <s v=""/>
    <s v=""/>
    <s v=""/>
    <s v=""/>
    <n v="9309.2100000000082"/>
    <s v=""/>
    <m/>
    <m/>
    <m/>
    <m/>
    <m/>
    <m/>
    <m/>
    <m/>
    <m/>
    <m/>
    <m/>
    <m/>
    <m/>
    <m/>
    <m/>
    <s v=" "/>
    <m/>
    <m/>
    <m/>
    <m/>
  </r>
  <r>
    <x v="809"/>
    <d v="2024-10-12T00:00:00"/>
    <x v="11"/>
    <x v="9"/>
    <x v="1"/>
    <x v="12"/>
    <x v="2"/>
    <x v="2"/>
    <s v="Cash"/>
    <n v="2.2000000000000002"/>
    <s v=""/>
    <s v=""/>
    <s v=""/>
    <s v=""/>
    <s v=""/>
    <s v=""/>
    <n v="9307.0100000000075"/>
    <s v=""/>
    <m/>
    <m/>
    <m/>
    <m/>
    <m/>
    <m/>
    <m/>
    <m/>
    <m/>
    <m/>
    <m/>
    <m/>
    <m/>
    <m/>
    <m/>
    <s v=" "/>
    <m/>
    <m/>
    <m/>
    <m/>
  </r>
  <r>
    <x v="809"/>
    <d v="2024-10-12T00:00:00"/>
    <x v="11"/>
    <x v="9"/>
    <x v="1"/>
    <x v="128"/>
    <x v="3"/>
    <x v="3"/>
    <s v="Cash"/>
    <s v=""/>
    <n v="6.83"/>
    <s v=""/>
    <s v=""/>
    <s v=""/>
    <s v=""/>
    <s v=""/>
    <n v="9300.1800000000076"/>
    <s v=""/>
    <m/>
    <m/>
    <m/>
    <m/>
    <m/>
    <m/>
    <m/>
    <m/>
    <m/>
    <m/>
    <m/>
    <m/>
    <m/>
    <m/>
    <m/>
    <s v=" "/>
    <m/>
    <m/>
    <m/>
    <m/>
  </r>
  <r>
    <x v="809"/>
    <d v="2024-10-12T00:00:00"/>
    <x v="11"/>
    <x v="9"/>
    <x v="1"/>
    <x v="129"/>
    <x v="19"/>
    <x v="9"/>
    <s v="Cash"/>
    <n v="799.9"/>
    <s v=""/>
    <s v=""/>
    <s v=""/>
    <s v=""/>
    <s v=""/>
    <s v=""/>
    <n v="8500.2800000000079"/>
    <s v=""/>
    <m/>
    <m/>
    <m/>
    <m/>
    <m/>
    <m/>
    <m/>
    <m/>
    <m/>
    <m/>
    <m/>
    <m/>
    <m/>
    <m/>
    <m/>
    <s v=" "/>
    <m/>
    <m/>
    <m/>
    <m/>
  </r>
  <r>
    <x v="810"/>
    <d v="2024-10-13T00:00:00"/>
    <x v="12"/>
    <x v="9"/>
    <x v="1"/>
    <x v="0"/>
    <x v="0"/>
    <x v="0"/>
    <s v=""/>
    <s v=""/>
    <s v=""/>
    <s v=""/>
    <s v=""/>
    <s v=""/>
    <s v=""/>
    <s v=""/>
    <s v=""/>
    <s v=""/>
    <m/>
    <m/>
    <m/>
    <m/>
    <m/>
    <m/>
    <m/>
    <m/>
    <m/>
    <m/>
    <m/>
    <m/>
    <m/>
    <m/>
    <m/>
    <s v=" "/>
    <m/>
    <m/>
    <m/>
    <m/>
  </r>
  <r>
    <x v="811"/>
    <d v="2024-10-14T00:00:00"/>
    <x v="13"/>
    <x v="9"/>
    <x v="1"/>
    <x v="0"/>
    <x v="0"/>
    <x v="0"/>
    <s v=""/>
    <s v=""/>
    <s v=""/>
    <s v=""/>
    <s v=""/>
    <s v=""/>
    <s v=""/>
    <s v=""/>
    <s v=""/>
    <s v=""/>
    <m/>
    <m/>
    <m/>
    <m/>
    <m/>
    <m/>
    <m/>
    <m/>
    <m/>
    <m/>
    <m/>
    <m/>
    <m/>
    <m/>
    <m/>
    <s v=" "/>
    <m/>
    <m/>
    <m/>
    <m/>
  </r>
  <r>
    <x v="812"/>
    <d v="2024-10-15T00:00:00"/>
    <x v="14"/>
    <x v="9"/>
    <x v="1"/>
    <x v="16"/>
    <x v="3"/>
    <x v="3"/>
    <s v="Cash"/>
    <s v=""/>
    <n v="2"/>
    <s v=""/>
    <s v=""/>
    <s v=""/>
    <s v=""/>
    <s v=""/>
    <n v="8498.2800000000079"/>
    <s v=""/>
    <m/>
    <m/>
    <m/>
    <m/>
    <m/>
    <m/>
    <m/>
    <m/>
    <m/>
    <m/>
    <m/>
    <m/>
    <m/>
    <m/>
    <m/>
    <s v=" "/>
    <m/>
    <m/>
    <m/>
    <m/>
  </r>
  <r>
    <x v="813"/>
    <d v="2024-10-15T00:00:00"/>
    <x v="14"/>
    <x v="9"/>
    <x v="1"/>
    <x v="5"/>
    <x v="6"/>
    <x v="3"/>
    <s v="Cash"/>
    <s v=""/>
    <n v="10.17"/>
    <s v=""/>
    <s v=""/>
    <s v=""/>
    <s v=""/>
    <s v=""/>
    <n v="8488.1100000000079"/>
    <s v=""/>
    <m/>
    <m/>
    <m/>
    <m/>
    <m/>
    <m/>
    <m/>
    <m/>
    <m/>
    <m/>
    <m/>
    <m/>
    <m/>
    <m/>
    <m/>
    <s v=" "/>
    <m/>
    <m/>
    <m/>
    <m/>
  </r>
  <r>
    <x v="814"/>
    <d v="2024-10-16T00:00:00"/>
    <x v="15"/>
    <x v="9"/>
    <x v="1"/>
    <x v="0"/>
    <x v="0"/>
    <x v="0"/>
    <s v=""/>
    <s v=""/>
    <s v=""/>
    <s v=""/>
    <s v=""/>
    <s v=""/>
    <s v=""/>
    <s v=""/>
    <s v=""/>
    <s v=""/>
    <m/>
    <m/>
    <m/>
    <m/>
    <m/>
    <m/>
    <m/>
    <m/>
    <m/>
    <m/>
    <m/>
    <m/>
    <m/>
    <m/>
    <m/>
    <s v=" "/>
    <m/>
    <m/>
    <m/>
    <m/>
  </r>
  <r>
    <x v="815"/>
    <d v="2024-10-17T00:00:00"/>
    <x v="16"/>
    <x v="9"/>
    <x v="1"/>
    <x v="12"/>
    <x v="2"/>
    <x v="2"/>
    <s v="Cash"/>
    <n v="4.4000000000000004"/>
    <s v=""/>
    <s v=""/>
    <s v=""/>
    <s v=""/>
    <s v=""/>
    <s v=""/>
    <n v="8483.7100000000082"/>
    <s v=""/>
    <m/>
    <m/>
    <m/>
    <m/>
    <m/>
    <m/>
    <m/>
    <m/>
    <m/>
    <m/>
    <m/>
    <m/>
    <m/>
    <m/>
    <m/>
    <s v=" "/>
    <m/>
    <m/>
    <m/>
    <m/>
  </r>
  <r>
    <x v="816"/>
    <d v="2024-10-17T00:00:00"/>
    <x v="16"/>
    <x v="9"/>
    <x v="1"/>
    <x v="5"/>
    <x v="3"/>
    <x v="3"/>
    <s v="Cash"/>
    <s v=""/>
    <n v="5.8"/>
    <s v=""/>
    <s v=""/>
    <s v=""/>
    <s v=""/>
    <s v=""/>
    <n v="8477.9100000000089"/>
    <s v=""/>
    <m/>
    <m/>
    <m/>
    <m/>
    <m/>
    <m/>
    <m/>
    <m/>
    <m/>
    <m/>
    <m/>
    <m/>
    <m/>
    <m/>
    <m/>
    <s v=" "/>
    <m/>
    <m/>
    <m/>
    <m/>
  </r>
  <r>
    <x v="816"/>
    <d v="2024-10-17T00:00:00"/>
    <x v="16"/>
    <x v="9"/>
    <x v="1"/>
    <x v="130"/>
    <x v="9"/>
    <x v="2"/>
    <s v="Cash"/>
    <n v="2"/>
    <s v=""/>
    <s v=""/>
    <s v=""/>
    <s v=""/>
    <s v=""/>
    <s v=""/>
    <n v="8475.9100000000089"/>
    <s v=""/>
    <m/>
    <m/>
    <m/>
    <m/>
    <m/>
    <m/>
    <m/>
    <m/>
    <m/>
    <m/>
    <m/>
    <m/>
    <m/>
    <m/>
    <m/>
    <s v=" "/>
    <m/>
    <m/>
    <m/>
    <m/>
  </r>
  <r>
    <x v="816"/>
    <d v="2024-10-17T00:00:00"/>
    <x v="16"/>
    <x v="9"/>
    <x v="1"/>
    <x v="116"/>
    <x v="1"/>
    <x v="1"/>
    <s v="Carta"/>
    <s v=""/>
    <n v="1"/>
    <s v=""/>
    <s v=""/>
    <s v=""/>
    <s v=""/>
    <s v=""/>
    <n v="8474.9100000000089"/>
    <s v=""/>
    <m/>
    <m/>
    <m/>
    <m/>
    <m/>
    <m/>
    <m/>
    <m/>
    <m/>
    <m/>
    <m/>
    <m/>
    <m/>
    <m/>
    <m/>
    <s v=" "/>
    <m/>
    <m/>
    <m/>
    <m/>
  </r>
  <r>
    <x v="817"/>
    <d v="2024-10-18T00:00:00"/>
    <x v="17"/>
    <x v="9"/>
    <x v="1"/>
    <x v="0"/>
    <x v="0"/>
    <x v="0"/>
    <s v=""/>
    <s v=""/>
    <s v=""/>
    <s v=""/>
    <s v=""/>
    <s v=""/>
    <s v=""/>
    <s v=""/>
    <s v=""/>
    <s v=""/>
    <m/>
    <m/>
    <m/>
    <m/>
    <m/>
    <m/>
    <m/>
    <m/>
    <m/>
    <m/>
    <m/>
    <m/>
    <m/>
    <m/>
    <m/>
    <s v=" "/>
    <m/>
    <m/>
    <m/>
    <m/>
  </r>
  <r>
    <x v="818"/>
    <d v="2024-10-19T00:00:00"/>
    <x v="18"/>
    <x v="9"/>
    <x v="1"/>
    <x v="79"/>
    <x v="2"/>
    <x v="2"/>
    <s v="Cash"/>
    <n v="2.2000000000000002"/>
    <s v=""/>
    <s v=""/>
    <s v=""/>
    <s v=""/>
    <s v=""/>
    <s v=""/>
    <n v="8472.7100000000082"/>
    <s v=""/>
    <m/>
    <m/>
    <m/>
    <m/>
    <m/>
    <m/>
    <m/>
    <m/>
    <m/>
    <m/>
    <m/>
    <m/>
    <m/>
    <m/>
    <m/>
    <s v=" "/>
    <m/>
    <m/>
    <m/>
    <m/>
  </r>
  <r>
    <x v="818"/>
    <d v="2024-10-19T00:00:00"/>
    <x v="18"/>
    <x v="9"/>
    <x v="1"/>
    <x v="5"/>
    <x v="3"/>
    <x v="3"/>
    <s v="Cash"/>
    <s v=""/>
    <n v="14.21"/>
    <s v=""/>
    <s v=""/>
    <s v=""/>
    <s v=""/>
    <s v=""/>
    <n v="8458.5000000000091"/>
    <s v=""/>
    <m/>
    <m/>
    <m/>
    <m/>
    <m/>
    <m/>
    <m/>
    <m/>
    <m/>
    <m/>
    <m/>
    <m/>
    <m/>
    <m/>
    <m/>
    <s v=" "/>
    <m/>
    <m/>
    <m/>
    <m/>
  </r>
  <r>
    <x v="819"/>
    <d v="2024-10-20T00:00:00"/>
    <x v="19"/>
    <x v="9"/>
    <x v="1"/>
    <x v="5"/>
    <x v="3"/>
    <x v="3"/>
    <s v="Cash"/>
    <s v=""/>
    <n v="35.950000000000003"/>
    <s v=""/>
    <s v=""/>
    <s v=""/>
    <s v=""/>
    <s v=""/>
    <n v="8422.5500000000084"/>
    <s v=""/>
    <m/>
    <m/>
    <m/>
    <m/>
    <m/>
    <m/>
    <m/>
    <m/>
    <m/>
    <m/>
    <m/>
    <m/>
    <m/>
    <m/>
    <m/>
    <s v=" "/>
    <m/>
    <m/>
    <m/>
    <m/>
  </r>
  <r>
    <x v="820"/>
    <d v="2024-10-20T00:00:00"/>
    <x v="19"/>
    <x v="9"/>
    <x v="1"/>
    <x v="12"/>
    <x v="2"/>
    <x v="2"/>
    <s v="Cash"/>
    <n v="6.6"/>
    <s v=""/>
    <s v=""/>
    <s v=""/>
    <s v=""/>
    <s v=""/>
    <s v=""/>
    <n v="8415.950000000008"/>
    <s v=""/>
    <m/>
    <m/>
    <m/>
    <m/>
    <m/>
    <m/>
    <m/>
    <m/>
    <m/>
    <m/>
    <m/>
    <m/>
    <m/>
    <m/>
    <m/>
    <s v=" "/>
    <m/>
    <m/>
    <m/>
    <m/>
  </r>
  <r>
    <x v="821"/>
    <d v="2024-10-21T00:00:00"/>
    <x v="20"/>
    <x v="9"/>
    <x v="1"/>
    <x v="74"/>
    <x v="12"/>
    <x v="6"/>
    <s v="Carta"/>
    <s v=""/>
    <n v="16"/>
    <s v=""/>
    <s v=""/>
    <s v=""/>
    <s v=""/>
    <s v=""/>
    <n v="8399.950000000008"/>
    <s v=""/>
    <m/>
    <m/>
    <m/>
    <m/>
    <m/>
    <m/>
    <m/>
    <m/>
    <m/>
    <m/>
    <m/>
    <m/>
    <m/>
    <m/>
    <m/>
    <s v=" "/>
    <m/>
    <m/>
    <m/>
    <m/>
  </r>
  <r>
    <x v="822"/>
    <d v="2024-10-22T00:00:00"/>
    <x v="21"/>
    <x v="9"/>
    <x v="1"/>
    <x v="0"/>
    <x v="0"/>
    <x v="0"/>
    <s v=""/>
    <s v=""/>
    <s v=""/>
    <s v=""/>
    <s v=""/>
    <s v=""/>
    <s v=""/>
    <s v=""/>
    <s v=""/>
    <s v=""/>
    <m/>
    <m/>
    <m/>
    <m/>
    <m/>
    <m/>
    <m/>
    <m/>
    <m/>
    <m/>
    <m/>
    <m/>
    <m/>
    <m/>
    <m/>
    <s v=" "/>
    <m/>
    <m/>
    <m/>
    <m/>
  </r>
  <r>
    <x v="823"/>
    <d v="2024-10-23T00:00:00"/>
    <x v="22"/>
    <x v="9"/>
    <x v="1"/>
    <x v="5"/>
    <x v="3"/>
    <x v="3"/>
    <s v="Cash"/>
    <s v=""/>
    <n v="6.5"/>
    <s v=""/>
    <s v=""/>
    <s v=""/>
    <s v=""/>
    <s v=""/>
    <n v="8393.450000000008"/>
    <s v=""/>
    <m/>
    <m/>
    <m/>
    <m/>
    <m/>
    <m/>
    <m/>
    <m/>
    <m/>
    <m/>
    <m/>
    <m/>
    <m/>
    <m/>
    <m/>
    <s v=" "/>
    <m/>
    <m/>
    <m/>
    <m/>
  </r>
  <r>
    <x v="823"/>
    <d v="2024-10-23T00:00:00"/>
    <x v="22"/>
    <x v="9"/>
    <x v="1"/>
    <x v="131"/>
    <x v="13"/>
    <x v="4"/>
    <s v="Cash"/>
    <n v="4.8"/>
    <s v=""/>
    <s v=""/>
    <s v=""/>
    <s v=""/>
    <s v=""/>
    <s v=""/>
    <n v="8388.6500000000087"/>
    <s v=""/>
    <m/>
    <m/>
    <m/>
    <m/>
    <m/>
    <m/>
    <m/>
    <m/>
    <m/>
    <m/>
    <m/>
    <m/>
    <m/>
    <m/>
    <m/>
    <s v=" "/>
    <m/>
    <m/>
    <m/>
    <m/>
  </r>
  <r>
    <x v="823"/>
    <d v="2024-10-23T00:00:00"/>
    <x v="22"/>
    <x v="9"/>
    <x v="1"/>
    <x v="5"/>
    <x v="6"/>
    <x v="3"/>
    <s v="Cash"/>
    <s v=""/>
    <n v="10"/>
    <s v=""/>
    <s v=""/>
    <s v=""/>
    <s v=""/>
    <s v=""/>
    <n v="8378.6500000000087"/>
    <s v=""/>
    <m/>
    <m/>
    <m/>
    <m/>
    <m/>
    <m/>
    <m/>
    <m/>
    <m/>
    <m/>
    <m/>
    <m/>
    <m/>
    <m/>
    <m/>
    <s v=" "/>
    <m/>
    <m/>
    <m/>
    <m/>
  </r>
  <r>
    <x v="824"/>
    <d v="2024-10-24T00:00:00"/>
    <x v="23"/>
    <x v="9"/>
    <x v="1"/>
    <x v="0"/>
    <x v="0"/>
    <x v="0"/>
    <s v=""/>
    <s v=""/>
    <s v=""/>
    <s v=""/>
    <s v=""/>
    <s v=""/>
    <s v=""/>
    <s v=""/>
    <s v=""/>
    <s v=""/>
    <m/>
    <m/>
    <m/>
    <m/>
    <m/>
    <m/>
    <m/>
    <m/>
    <m/>
    <m/>
    <m/>
    <m/>
    <m/>
    <m/>
    <m/>
    <s v=" "/>
    <m/>
    <m/>
    <m/>
    <m/>
  </r>
  <r>
    <x v="825"/>
    <d v="2024-10-25T00:00:00"/>
    <x v="24"/>
    <x v="9"/>
    <x v="1"/>
    <x v="0"/>
    <x v="0"/>
    <x v="0"/>
    <s v=""/>
    <s v=""/>
    <s v=""/>
    <s v=""/>
    <s v=""/>
    <s v=""/>
    <s v=""/>
    <s v=""/>
    <s v=""/>
    <s v=""/>
    <m/>
    <m/>
    <m/>
    <m/>
    <m/>
    <m/>
    <m/>
    <m/>
    <m/>
    <m/>
    <m/>
    <m/>
    <m/>
    <m/>
    <m/>
    <s v=" "/>
    <m/>
    <m/>
    <m/>
    <m/>
  </r>
  <r>
    <x v="826"/>
    <d v="2024-10-26T00:00:00"/>
    <x v="25"/>
    <x v="9"/>
    <x v="1"/>
    <x v="0"/>
    <x v="0"/>
    <x v="0"/>
    <s v=""/>
    <s v=""/>
    <s v=""/>
    <s v=""/>
    <s v=""/>
    <s v=""/>
    <s v=""/>
    <s v=""/>
    <s v=""/>
    <s v=""/>
    <m/>
    <m/>
    <m/>
    <m/>
    <m/>
    <m/>
    <m/>
    <m/>
    <m/>
    <m/>
    <m/>
    <m/>
    <m/>
    <m/>
    <m/>
    <s v=" "/>
    <m/>
    <m/>
    <m/>
    <m/>
  </r>
  <r>
    <x v="827"/>
    <d v="2024-10-27T00:00:00"/>
    <x v="26"/>
    <x v="9"/>
    <x v="1"/>
    <x v="5"/>
    <x v="3"/>
    <x v="3"/>
    <s v="Cash"/>
    <s v=""/>
    <n v="38.1"/>
    <s v=""/>
    <s v=""/>
    <s v=""/>
    <s v=""/>
    <s v=""/>
    <n v="8340.5500000000084"/>
    <s v=""/>
    <m/>
    <m/>
    <m/>
    <m/>
    <m/>
    <m/>
    <m/>
    <m/>
    <m/>
    <m/>
    <m/>
    <m/>
    <m/>
    <m/>
    <m/>
    <s v=" "/>
    <m/>
    <m/>
    <m/>
    <m/>
  </r>
  <r>
    <x v="828"/>
    <d v="2024-10-28T00:00:00"/>
    <x v="27"/>
    <x v="9"/>
    <x v="1"/>
    <x v="132"/>
    <x v="21"/>
    <x v="2"/>
    <s v="Cash"/>
    <n v="39.78"/>
    <s v=""/>
    <s v=""/>
    <s v=""/>
    <s v=""/>
    <s v=""/>
    <s v=""/>
    <n v="8300.7700000000077"/>
    <s v=""/>
    <m/>
    <m/>
    <m/>
    <m/>
    <m/>
    <m/>
    <m/>
    <m/>
    <m/>
    <m/>
    <m/>
    <m/>
    <m/>
    <m/>
    <m/>
    <s v=" "/>
    <m/>
    <m/>
    <m/>
    <m/>
  </r>
  <r>
    <x v="829"/>
    <d v="2024-10-28T00:00:00"/>
    <x v="27"/>
    <x v="9"/>
    <x v="1"/>
    <x v="1"/>
    <x v="1"/>
    <x v="1"/>
    <s v="Carta"/>
    <s v=""/>
    <n v="2"/>
    <s v=""/>
    <s v=""/>
    <s v=""/>
    <s v=""/>
    <s v=""/>
    <n v="8298.7700000000077"/>
    <s v=""/>
    <m/>
    <m/>
    <m/>
    <m/>
    <m/>
    <m/>
    <m/>
    <m/>
    <m/>
    <m/>
    <m/>
    <m/>
    <m/>
    <m/>
    <m/>
    <s v=" "/>
    <m/>
    <m/>
    <m/>
    <m/>
  </r>
  <r>
    <x v="829"/>
    <d v="2024-10-28T00:00:00"/>
    <x v="27"/>
    <x v="9"/>
    <x v="1"/>
    <x v="70"/>
    <x v="12"/>
    <x v="6"/>
    <s v="Carta"/>
    <s v=""/>
    <n v="50"/>
    <s v=""/>
    <s v=""/>
    <s v=""/>
    <s v=""/>
    <s v=""/>
    <n v="8248.7700000000077"/>
    <s v=""/>
    <m/>
    <m/>
    <m/>
    <m/>
    <m/>
    <m/>
    <m/>
    <m/>
    <m/>
    <m/>
    <m/>
    <m/>
    <m/>
    <m/>
    <m/>
    <s v=" "/>
    <m/>
    <m/>
    <m/>
    <m/>
  </r>
  <r>
    <x v="830"/>
    <d v="2024-10-29T00:00:00"/>
    <x v="28"/>
    <x v="9"/>
    <x v="1"/>
    <x v="0"/>
    <x v="0"/>
    <x v="0"/>
    <s v=""/>
    <s v=""/>
    <s v=""/>
    <s v=""/>
    <s v=""/>
    <s v=""/>
    <s v=""/>
    <s v=""/>
    <s v=""/>
    <s v=""/>
    <m/>
    <m/>
    <m/>
    <m/>
    <m/>
    <m/>
    <m/>
    <m/>
    <m/>
    <m/>
    <m/>
    <m/>
    <m/>
    <m/>
    <m/>
    <s v=" "/>
    <m/>
    <m/>
    <m/>
    <m/>
  </r>
  <r>
    <x v="831"/>
    <d v="2024-10-30T00:00:00"/>
    <x v="29"/>
    <x v="9"/>
    <x v="1"/>
    <x v="0"/>
    <x v="0"/>
    <x v="0"/>
    <s v=""/>
    <s v=""/>
    <s v=""/>
    <s v=""/>
    <s v=""/>
    <s v=""/>
    <s v=""/>
    <s v=""/>
    <s v=""/>
    <s v=""/>
    <m/>
    <m/>
    <m/>
    <m/>
    <m/>
    <m/>
    <m/>
    <m/>
    <m/>
    <m/>
    <m/>
    <m/>
    <m/>
    <m/>
    <m/>
    <s v=" "/>
    <m/>
    <m/>
    <m/>
    <m/>
  </r>
  <r>
    <x v="832"/>
    <d v="2024-10-31T00:00:00"/>
    <x v="30"/>
    <x v="9"/>
    <x v="1"/>
    <x v="0"/>
    <x v="0"/>
    <x v="0"/>
    <s v=""/>
    <s v=""/>
    <s v=""/>
    <s v=""/>
    <s v=""/>
    <s v=""/>
    <s v=""/>
    <s v=""/>
    <s v=""/>
    <s v=""/>
    <m/>
    <m/>
    <m/>
    <m/>
    <m/>
    <m/>
    <m/>
    <m/>
    <m/>
    <m/>
    <m/>
    <m/>
    <m/>
    <m/>
    <m/>
    <s v=" "/>
    <m/>
    <m/>
    <m/>
    <m/>
  </r>
  <r>
    <x v="833"/>
    <d v="2024-11-01T00:00:00"/>
    <x v="0"/>
    <x v="10"/>
    <x v="1"/>
    <x v="0"/>
    <x v="0"/>
    <x v="0"/>
    <s v=""/>
    <s v=""/>
    <s v=""/>
    <s v=""/>
    <s v=""/>
    <s v=""/>
    <s v=""/>
    <s v=""/>
    <s v=""/>
    <s v=""/>
    <m/>
    <m/>
    <m/>
    <m/>
    <m/>
    <m/>
    <m/>
    <m/>
    <m/>
    <m/>
    <m/>
    <m/>
    <m/>
    <m/>
    <m/>
    <s v=" "/>
    <m/>
    <m/>
    <m/>
    <m/>
  </r>
  <r>
    <x v="834"/>
    <d v="2024-11-02T00:00:00"/>
    <x v="1"/>
    <x v="10"/>
    <x v="1"/>
    <x v="0"/>
    <x v="0"/>
    <x v="0"/>
    <s v=""/>
    <s v=""/>
    <s v=""/>
    <s v=""/>
    <s v=""/>
    <s v=""/>
    <s v=""/>
    <s v=""/>
    <s v=""/>
    <s v=""/>
    <m/>
    <m/>
    <m/>
    <m/>
    <m/>
    <m/>
    <m/>
    <m/>
    <m/>
    <m/>
    <m/>
    <m/>
    <m/>
    <m/>
    <m/>
    <s v=" "/>
    <m/>
    <m/>
    <m/>
    <m/>
  </r>
  <r>
    <x v="835"/>
    <d v="2024-11-03T00:00:00"/>
    <x v="2"/>
    <x v="10"/>
    <x v="1"/>
    <x v="0"/>
    <x v="0"/>
    <x v="0"/>
    <s v=""/>
    <s v=""/>
    <s v=""/>
    <s v=""/>
    <s v=""/>
    <s v=""/>
    <s v=""/>
    <s v=""/>
    <s v=""/>
    <s v=""/>
    <m/>
    <m/>
    <m/>
    <m/>
    <m/>
    <m/>
    <m/>
    <m/>
    <m/>
    <m/>
    <m/>
    <m/>
    <m/>
    <m/>
    <m/>
    <s v=" "/>
    <m/>
    <m/>
    <m/>
    <m/>
  </r>
  <r>
    <x v="836"/>
    <d v="2024-11-04T00:00:00"/>
    <x v="3"/>
    <x v="10"/>
    <x v="1"/>
    <x v="2"/>
    <x v="1"/>
    <x v="1"/>
    <s v="Carta"/>
    <s v=""/>
    <n v="4.9800000000000004"/>
    <s v=""/>
    <s v=""/>
    <s v=""/>
    <s v=""/>
    <s v=""/>
    <n v="8243.7900000000081"/>
    <s v=""/>
    <m/>
    <m/>
    <m/>
    <m/>
    <m/>
    <m/>
    <m/>
    <m/>
    <m/>
    <m/>
    <m/>
    <m/>
    <m/>
    <m/>
    <m/>
    <s v=" "/>
    <m/>
    <m/>
    <m/>
    <m/>
  </r>
  <r>
    <x v="837"/>
    <d v="2024-11-04T00:00:00"/>
    <x v="3"/>
    <x v="10"/>
    <x v="1"/>
    <x v="5"/>
    <x v="3"/>
    <x v="3"/>
    <s v="Cash"/>
    <s v=""/>
    <n v="50.55"/>
    <s v=""/>
    <s v=""/>
    <s v=""/>
    <s v=""/>
    <s v=""/>
    <n v="8193.2400000000089"/>
    <s v=""/>
    <m/>
    <m/>
    <m/>
    <m/>
    <m/>
    <m/>
    <m/>
    <m/>
    <m/>
    <m/>
    <m/>
    <m/>
    <m/>
    <m/>
    <m/>
    <s v=" "/>
    <m/>
    <m/>
    <m/>
    <m/>
  </r>
  <r>
    <x v="837"/>
    <d v="2024-11-04T00:00:00"/>
    <x v="3"/>
    <x v="10"/>
    <x v="1"/>
    <x v="5"/>
    <x v="6"/>
    <x v="3"/>
    <s v="Cash"/>
    <s v=""/>
    <n v="12.4"/>
    <s v=""/>
    <s v=""/>
    <s v=""/>
    <s v=""/>
    <s v=""/>
    <n v="8180.8400000000092"/>
    <s v=""/>
    <m/>
    <m/>
    <m/>
    <m/>
    <m/>
    <m/>
    <m/>
    <m/>
    <m/>
    <m/>
    <m/>
    <m/>
    <m/>
    <m/>
    <m/>
    <s v=" "/>
    <m/>
    <m/>
    <m/>
    <m/>
  </r>
  <r>
    <x v="837"/>
    <d v="2024-11-04T00:00:00"/>
    <x v="3"/>
    <x v="10"/>
    <x v="1"/>
    <x v="133"/>
    <x v="5"/>
    <x v="4"/>
    <s v="Cash"/>
    <n v="30"/>
    <s v=""/>
    <s v=""/>
    <s v=""/>
    <s v=""/>
    <s v=""/>
    <s v=""/>
    <n v="8150.8400000000092"/>
    <s v=""/>
    <m/>
    <m/>
    <m/>
    <m/>
    <m/>
    <m/>
    <m/>
    <m/>
    <m/>
    <m/>
    <m/>
    <m/>
    <m/>
    <m/>
    <m/>
    <s v=" "/>
    <m/>
    <m/>
    <m/>
    <m/>
  </r>
  <r>
    <x v="837"/>
    <d v="2024-11-04T00:00:00"/>
    <x v="3"/>
    <x v="10"/>
    <x v="1"/>
    <x v="22"/>
    <x v="14"/>
    <x v="0"/>
    <s v="Carta"/>
    <s v=""/>
    <s v=""/>
    <s v=""/>
    <s v=""/>
    <s v=""/>
    <s v=""/>
    <n v="1500"/>
    <s v=""/>
    <s v=""/>
    <m/>
    <m/>
    <m/>
    <m/>
    <m/>
    <m/>
    <m/>
    <m/>
    <m/>
    <m/>
    <m/>
    <m/>
    <m/>
    <m/>
    <m/>
    <s v=" "/>
    <m/>
    <m/>
    <m/>
    <m/>
  </r>
  <r>
    <x v="838"/>
    <d v="2024-11-05T00:00:00"/>
    <x v="4"/>
    <x v="10"/>
    <x v="1"/>
    <x v="5"/>
    <x v="3"/>
    <x v="3"/>
    <s v="Cash"/>
    <s v=""/>
    <n v="55.71"/>
    <s v=""/>
    <s v=""/>
    <s v=""/>
    <s v=""/>
    <s v=""/>
    <n v="8095.1300000000092"/>
    <s v=""/>
    <m/>
    <m/>
    <m/>
    <m/>
    <m/>
    <m/>
    <m/>
    <m/>
    <m/>
    <m/>
    <m/>
    <m/>
    <m/>
    <m/>
    <m/>
    <s v=" "/>
    <m/>
    <m/>
    <m/>
    <m/>
  </r>
  <r>
    <x v="838"/>
    <d v="2024-11-05T00:00:00"/>
    <x v="4"/>
    <x v="10"/>
    <x v="1"/>
    <x v="5"/>
    <x v="6"/>
    <x v="3"/>
    <s v="Cash"/>
    <s v=""/>
    <n v="4.55"/>
    <s v=""/>
    <s v=""/>
    <s v=""/>
    <s v=""/>
    <s v=""/>
    <n v="8090.580000000009"/>
    <s v=""/>
    <m/>
    <m/>
    <m/>
    <m/>
    <m/>
    <m/>
    <m/>
    <m/>
    <m/>
    <m/>
    <m/>
    <m/>
    <m/>
    <m/>
    <m/>
    <s v=" "/>
    <m/>
    <m/>
    <m/>
    <m/>
  </r>
  <r>
    <x v="838"/>
    <d v="2024-11-05T00:00:00"/>
    <x v="4"/>
    <x v="10"/>
    <x v="1"/>
    <x v="134"/>
    <x v="9"/>
    <x v="2"/>
    <s v="Cash"/>
    <n v="3.99"/>
    <s v=""/>
    <s v=""/>
    <s v=""/>
    <s v=""/>
    <s v=""/>
    <s v=""/>
    <n v="8086.5900000000092"/>
    <s v=""/>
    <m/>
    <m/>
    <m/>
    <m/>
    <m/>
    <m/>
    <m/>
    <m/>
    <m/>
    <m/>
    <m/>
    <m/>
    <m/>
    <m/>
    <m/>
    <s v=" "/>
    <m/>
    <m/>
    <m/>
    <m/>
  </r>
  <r>
    <x v="838"/>
    <d v="2024-11-05T00:00:00"/>
    <x v="4"/>
    <x v="10"/>
    <x v="1"/>
    <x v="12"/>
    <x v="2"/>
    <x v="2"/>
    <s v="Cash"/>
    <n v="2.2000000000000002"/>
    <s v=""/>
    <s v=""/>
    <s v=""/>
    <s v=""/>
    <s v=""/>
    <s v=""/>
    <n v="8084.3900000000094"/>
    <s v=""/>
    <m/>
    <m/>
    <m/>
    <m/>
    <m/>
    <m/>
    <m/>
    <m/>
    <m/>
    <m/>
    <m/>
    <m/>
    <m/>
    <m/>
    <m/>
    <s v=" "/>
    <m/>
    <m/>
    <m/>
    <m/>
  </r>
  <r>
    <x v="839"/>
    <d v="2024-11-06T00:00:00"/>
    <x v="5"/>
    <x v="10"/>
    <x v="1"/>
    <x v="5"/>
    <x v="3"/>
    <x v="3"/>
    <s v="Cash"/>
    <s v=""/>
    <n v="2"/>
    <s v=""/>
    <s v=""/>
    <s v=""/>
    <s v=""/>
    <s v=""/>
    <n v="8082.3900000000094"/>
    <s v=""/>
    <m/>
    <m/>
    <m/>
    <m/>
    <m/>
    <m/>
    <m/>
    <m/>
    <m/>
    <m/>
    <m/>
    <m/>
    <m/>
    <m/>
    <m/>
    <s v=" "/>
    <m/>
    <m/>
    <m/>
    <m/>
  </r>
  <r>
    <x v="840"/>
    <d v="2024-11-06T00:00:00"/>
    <x v="5"/>
    <x v="10"/>
    <x v="1"/>
    <x v="5"/>
    <x v="6"/>
    <x v="3"/>
    <s v="Cash"/>
    <s v=""/>
    <n v="2.95"/>
    <s v=""/>
    <s v=""/>
    <s v=""/>
    <s v=""/>
    <s v=""/>
    <n v="8079.4400000000096"/>
    <s v=""/>
    <m/>
    <m/>
    <m/>
    <m/>
    <m/>
    <m/>
    <m/>
    <m/>
    <m/>
    <m/>
    <m/>
    <m/>
    <m/>
    <m/>
    <m/>
    <s v=" "/>
    <m/>
    <m/>
    <m/>
    <m/>
  </r>
  <r>
    <x v="841"/>
    <d v="2024-11-07T00:00:00"/>
    <x v="6"/>
    <x v="10"/>
    <x v="1"/>
    <x v="0"/>
    <x v="0"/>
    <x v="0"/>
    <s v=""/>
    <s v=""/>
    <s v=""/>
    <s v=""/>
    <s v=""/>
    <s v=""/>
    <s v=""/>
    <s v=""/>
    <s v=""/>
    <s v=""/>
    <m/>
    <m/>
    <m/>
    <m/>
    <m/>
    <m/>
    <m/>
    <m/>
    <m/>
    <m/>
    <m/>
    <m/>
    <m/>
    <m/>
    <m/>
    <s v=" "/>
    <m/>
    <m/>
    <m/>
    <m/>
  </r>
  <r>
    <x v="842"/>
    <d v="2024-11-08T00:00:00"/>
    <x v="7"/>
    <x v="10"/>
    <x v="1"/>
    <x v="12"/>
    <x v="2"/>
    <x v="2"/>
    <s v="Cash"/>
    <n v="4.4000000000000004"/>
    <s v=""/>
    <s v=""/>
    <s v=""/>
    <s v=""/>
    <s v=""/>
    <s v=""/>
    <n v="8075.04000000001"/>
    <s v=""/>
    <m/>
    <m/>
    <m/>
    <m/>
    <m/>
    <m/>
    <m/>
    <m/>
    <m/>
    <m/>
    <m/>
    <m/>
    <m/>
    <m/>
    <m/>
    <s v=" "/>
    <m/>
    <m/>
    <m/>
    <m/>
  </r>
  <r>
    <x v="843"/>
    <d v="2024-11-09T00:00:00"/>
    <x v="8"/>
    <x v="10"/>
    <x v="1"/>
    <x v="5"/>
    <x v="3"/>
    <x v="3"/>
    <s v="Cash"/>
    <s v=""/>
    <n v="39.200000000000003"/>
    <s v=""/>
    <s v=""/>
    <s v=""/>
    <s v=""/>
    <s v=""/>
    <n v="8035.8400000000101"/>
    <s v=""/>
    <m/>
    <m/>
    <m/>
    <m/>
    <m/>
    <m/>
    <m/>
    <m/>
    <m/>
    <m/>
    <m/>
    <m/>
    <m/>
    <m/>
    <m/>
    <s v=" "/>
    <m/>
    <m/>
    <m/>
    <m/>
  </r>
  <r>
    <x v="844"/>
    <d v="2024-11-10T00:00:00"/>
    <x v="9"/>
    <x v="10"/>
    <x v="1"/>
    <x v="16"/>
    <x v="3"/>
    <x v="3"/>
    <s v="Cash"/>
    <s v=""/>
    <n v="2"/>
    <s v=""/>
    <s v=""/>
    <s v=""/>
    <s v=""/>
    <s v=""/>
    <n v="8033.8400000000101"/>
    <s v=""/>
    <m/>
    <m/>
    <m/>
    <m/>
    <m/>
    <m/>
    <m/>
    <m/>
    <m/>
    <m/>
    <m/>
    <m/>
    <m/>
    <m/>
    <m/>
    <s v=" "/>
    <m/>
    <m/>
    <m/>
    <m/>
  </r>
  <r>
    <x v="845"/>
    <d v="2024-11-11T00:00:00"/>
    <x v="10"/>
    <x v="10"/>
    <x v="1"/>
    <x v="0"/>
    <x v="0"/>
    <x v="0"/>
    <s v=""/>
    <s v=""/>
    <s v=""/>
    <s v=""/>
    <s v=""/>
    <s v=""/>
    <s v=""/>
    <s v=""/>
    <s v=""/>
    <s v=""/>
    <m/>
    <m/>
    <m/>
    <m/>
    <m/>
    <m/>
    <m/>
    <m/>
    <m/>
    <m/>
    <m/>
    <m/>
    <m/>
    <m/>
    <m/>
    <s v=" "/>
    <m/>
    <m/>
    <m/>
    <m/>
  </r>
  <r>
    <x v="846"/>
    <d v="2024-11-12T00:00:00"/>
    <x v="11"/>
    <x v="10"/>
    <x v="1"/>
    <x v="135"/>
    <x v="9"/>
    <x v="2"/>
    <s v="Cash"/>
    <n v="13"/>
    <s v=""/>
    <s v=""/>
    <s v=""/>
    <s v=""/>
    <s v=""/>
    <s v=""/>
    <n v="8020.8400000000101"/>
    <s v=""/>
    <m/>
    <m/>
    <m/>
    <m/>
    <m/>
    <m/>
    <m/>
    <m/>
    <m/>
    <m/>
    <m/>
    <m/>
    <m/>
    <m/>
    <m/>
    <s v=" "/>
    <m/>
    <m/>
    <m/>
    <m/>
  </r>
  <r>
    <x v="847"/>
    <d v="2024-11-13T00:00:00"/>
    <x v="12"/>
    <x v="10"/>
    <x v="1"/>
    <x v="5"/>
    <x v="3"/>
    <x v="3"/>
    <s v="Cash"/>
    <s v=""/>
    <n v="5.55"/>
    <s v=""/>
    <s v=""/>
    <s v=""/>
    <s v=""/>
    <s v=""/>
    <n v="8015.29000000001"/>
    <s v=""/>
    <m/>
    <m/>
    <m/>
    <m/>
    <m/>
    <m/>
    <m/>
    <m/>
    <m/>
    <m/>
    <m/>
    <m/>
    <m/>
    <m/>
    <m/>
    <s v=" "/>
    <m/>
    <m/>
    <m/>
    <m/>
  </r>
  <r>
    <x v="847"/>
    <d v="2024-11-13T00:00:00"/>
    <x v="12"/>
    <x v="10"/>
    <x v="1"/>
    <x v="5"/>
    <x v="6"/>
    <x v="3"/>
    <s v="Cash"/>
    <s v=""/>
    <n v="15.41"/>
    <s v=""/>
    <s v=""/>
    <s v=""/>
    <s v=""/>
    <s v=""/>
    <n v="7999.8800000000101"/>
    <s v=""/>
    <m/>
    <m/>
    <m/>
    <m/>
    <m/>
    <m/>
    <m/>
    <m/>
    <m/>
    <m/>
    <m/>
    <m/>
    <m/>
    <m/>
    <m/>
    <s v=" "/>
    <m/>
    <m/>
    <m/>
    <m/>
  </r>
  <r>
    <x v="847"/>
    <d v="2024-11-13T00:00:00"/>
    <x v="12"/>
    <x v="10"/>
    <x v="1"/>
    <x v="136"/>
    <x v="21"/>
    <x v="2"/>
    <s v="Cash"/>
    <n v="0.3"/>
    <s v=""/>
    <s v=""/>
    <s v=""/>
    <s v=""/>
    <s v=""/>
    <s v=""/>
    <n v="7999.5800000000099"/>
    <s v=""/>
    <m/>
    <m/>
    <m/>
    <m/>
    <m/>
    <m/>
    <m/>
    <m/>
    <m/>
    <m/>
    <m/>
    <m/>
    <m/>
    <m/>
    <m/>
    <s v=" "/>
    <m/>
    <m/>
    <m/>
    <m/>
  </r>
  <r>
    <x v="848"/>
    <d v="2024-11-14T00:00:00"/>
    <x v="13"/>
    <x v="10"/>
    <x v="1"/>
    <x v="12"/>
    <x v="2"/>
    <x v="2"/>
    <s v="Cash"/>
    <n v="4.4000000000000004"/>
    <s v=""/>
    <s v=""/>
    <s v=""/>
    <s v=""/>
    <s v=""/>
    <s v=""/>
    <n v="7995.1800000000103"/>
    <s v=""/>
    <m/>
    <m/>
    <m/>
    <m/>
    <m/>
    <m/>
    <m/>
    <m/>
    <m/>
    <m/>
    <m/>
    <m/>
    <m/>
    <m/>
    <m/>
    <s v=" "/>
    <m/>
    <m/>
    <m/>
    <m/>
  </r>
  <r>
    <x v="848"/>
    <d v="2024-11-14T00:00:00"/>
    <x v="13"/>
    <x v="10"/>
    <x v="1"/>
    <x v="5"/>
    <x v="3"/>
    <x v="3"/>
    <s v="Cash"/>
    <s v=""/>
    <n v="10.68"/>
    <s v=""/>
    <s v=""/>
    <s v=""/>
    <s v=""/>
    <s v=""/>
    <n v="7984.50000000001"/>
    <s v=""/>
    <m/>
    <m/>
    <m/>
    <m/>
    <m/>
    <m/>
    <m/>
    <m/>
    <m/>
    <m/>
    <m/>
    <m/>
    <m/>
    <m/>
    <m/>
    <s v=" "/>
    <m/>
    <m/>
    <m/>
    <m/>
  </r>
  <r>
    <x v="848"/>
    <d v="2024-11-14T00:00:00"/>
    <x v="13"/>
    <x v="10"/>
    <x v="1"/>
    <x v="5"/>
    <x v="6"/>
    <x v="3"/>
    <s v="Cash"/>
    <s v=""/>
    <n v="12.79"/>
    <s v=""/>
    <s v=""/>
    <s v=""/>
    <s v=""/>
    <s v=""/>
    <n v="7971.71000000001"/>
    <s v=""/>
    <m/>
    <m/>
    <m/>
    <m/>
    <m/>
    <m/>
    <m/>
    <m/>
    <m/>
    <m/>
    <m/>
    <m/>
    <m/>
    <m/>
    <m/>
    <s v=" "/>
    <m/>
    <m/>
    <m/>
    <m/>
  </r>
  <r>
    <x v="848"/>
    <d v="2024-11-14T00:00:00"/>
    <x v="13"/>
    <x v="10"/>
    <x v="1"/>
    <x v="137"/>
    <x v="16"/>
    <x v="6"/>
    <s v="Cash"/>
    <s v=""/>
    <n v="52.5"/>
    <s v=""/>
    <s v=""/>
    <s v=""/>
    <s v=""/>
    <s v=""/>
    <n v="7919.21000000001"/>
    <s v=""/>
    <m/>
    <m/>
    <m/>
    <m/>
    <m/>
    <m/>
    <m/>
    <m/>
    <m/>
    <m/>
    <m/>
    <m/>
    <m/>
    <m/>
    <m/>
    <s v=" "/>
    <m/>
    <m/>
    <m/>
    <m/>
  </r>
  <r>
    <x v="849"/>
    <d v="2024-11-15T00:00:00"/>
    <x v="14"/>
    <x v="10"/>
    <x v="1"/>
    <x v="5"/>
    <x v="3"/>
    <x v="3"/>
    <s v="Cash"/>
    <s v=""/>
    <n v="32.61"/>
    <s v=""/>
    <s v=""/>
    <s v=""/>
    <s v=""/>
    <s v=""/>
    <n v="7886.6000000000104"/>
    <s v=""/>
    <m/>
    <m/>
    <m/>
    <m/>
    <m/>
    <m/>
    <m/>
    <m/>
    <m/>
    <m/>
    <m/>
    <m/>
    <m/>
    <m/>
    <m/>
    <s v=" "/>
    <m/>
    <m/>
    <m/>
    <m/>
  </r>
  <r>
    <x v="849"/>
    <d v="2024-11-15T00:00:00"/>
    <x v="14"/>
    <x v="10"/>
    <x v="1"/>
    <x v="5"/>
    <x v="6"/>
    <x v="3"/>
    <s v="Cash"/>
    <s v=""/>
    <n v="6.19"/>
    <s v=""/>
    <s v=""/>
    <s v=""/>
    <s v=""/>
    <s v=""/>
    <n v="7880.4100000000108"/>
    <s v=""/>
    <m/>
    <m/>
    <m/>
    <m/>
    <m/>
    <m/>
    <m/>
    <m/>
    <m/>
    <m/>
    <m/>
    <m/>
    <m/>
    <m/>
    <m/>
    <s v=" "/>
    <m/>
    <m/>
    <m/>
    <m/>
  </r>
  <r>
    <x v="849"/>
    <d v="2024-11-15T00:00:00"/>
    <x v="14"/>
    <x v="10"/>
    <x v="1"/>
    <x v="138"/>
    <x v="9"/>
    <x v="2"/>
    <s v="Cash"/>
    <n v="10.199999999999999"/>
    <s v=""/>
    <s v=""/>
    <s v=""/>
    <s v=""/>
    <s v=""/>
    <s v=""/>
    <n v="7870.210000000011"/>
    <s v=""/>
    <m/>
    <m/>
    <m/>
    <m/>
    <m/>
    <m/>
    <m/>
    <m/>
    <m/>
    <m/>
    <m/>
    <m/>
    <m/>
    <m/>
    <m/>
    <s v=" "/>
    <m/>
    <m/>
    <m/>
    <m/>
  </r>
  <r>
    <x v="850"/>
    <d v="2024-11-16T00:00:00"/>
    <x v="15"/>
    <x v="10"/>
    <x v="1"/>
    <x v="5"/>
    <x v="6"/>
    <x v="3"/>
    <s v="Cash"/>
    <s v=""/>
    <n v="11.15"/>
    <s v=""/>
    <s v=""/>
    <s v=""/>
    <s v=""/>
    <s v=""/>
    <n v="7859.0600000000113"/>
    <s v=""/>
    <m/>
    <m/>
    <m/>
    <m/>
    <m/>
    <m/>
    <m/>
    <m/>
    <m/>
    <m/>
    <m/>
    <m/>
    <m/>
    <m/>
    <m/>
    <s v=" "/>
    <m/>
    <m/>
    <m/>
    <m/>
  </r>
  <r>
    <x v="850"/>
    <d v="2024-11-16T00:00:00"/>
    <x v="15"/>
    <x v="10"/>
    <x v="1"/>
    <x v="16"/>
    <x v="3"/>
    <x v="3"/>
    <s v="Cash"/>
    <s v=""/>
    <n v="2"/>
    <s v=""/>
    <s v=""/>
    <s v=""/>
    <s v=""/>
    <s v=""/>
    <n v="7857.0600000000113"/>
    <s v=""/>
    <m/>
    <m/>
    <m/>
    <m/>
    <m/>
    <m/>
    <m/>
    <m/>
    <m/>
    <m/>
    <m/>
    <m/>
    <m/>
    <m/>
    <m/>
    <s v=" "/>
    <m/>
    <m/>
    <m/>
    <m/>
  </r>
  <r>
    <x v="851"/>
    <d v="2024-11-17T00:00:00"/>
    <x v="16"/>
    <x v="10"/>
    <x v="1"/>
    <x v="0"/>
    <x v="0"/>
    <x v="0"/>
    <s v=""/>
    <s v=""/>
    <s v=""/>
    <s v=""/>
    <s v=""/>
    <s v=""/>
    <s v=""/>
    <s v=""/>
    <s v=""/>
    <s v=""/>
    <m/>
    <m/>
    <m/>
    <m/>
    <m/>
    <m/>
    <m/>
    <m/>
    <m/>
    <m/>
    <m/>
    <m/>
    <m/>
    <m/>
    <m/>
    <s v=" "/>
    <m/>
    <m/>
    <m/>
    <m/>
  </r>
  <r>
    <x v="852"/>
    <d v="2024-11-18T00:00:00"/>
    <x v="17"/>
    <x v="10"/>
    <x v="1"/>
    <x v="5"/>
    <x v="3"/>
    <x v="3"/>
    <s v="Cash"/>
    <s v=""/>
    <n v="11.04"/>
    <s v=""/>
    <s v=""/>
    <s v=""/>
    <s v=""/>
    <s v=""/>
    <n v="7846.0200000000114"/>
    <s v=""/>
    <m/>
    <m/>
    <m/>
    <m/>
    <m/>
    <m/>
    <m/>
    <m/>
    <m/>
    <m/>
    <m/>
    <m/>
    <m/>
    <m/>
    <m/>
    <s v=" "/>
    <m/>
    <m/>
    <m/>
    <m/>
  </r>
  <r>
    <x v="852"/>
    <d v="2024-11-18T00:00:00"/>
    <x v="17"/>
    <x v="10"/>
    <x v="1"/>
    <x v="72"/>
    <x v="9"/>
    <x v="2"/>
    <s v="Cash"/>
    <n v="2.5"/>
    <s v=""/>
    <s v=""/>
    <s v=""/>
    <s v=""/>
    <s v=""/>
    <s v=""/>
    <n v="7843.5200000000114"/>
    <s v=""/>
    <m/>
    <m/>
    <m/>
    <m/>
    <m/>
    <m/>
    <m/>
    <m/>
    <m/>
    <m/>
    <m/>
    <m/>
    <m/>
    <m/>
    <m/>
    <s v=" "/>
    <m/>
    <m/>
    <m/>
    <m/>
  </r>
  <r>
    <x v="852"/>
    <d v="2024-11-18T00:00:00"/>
    <x v="17"/>
    <x v="10"/>
    <x v="1"/>
    <x v="139"/>
    <x v="21"/>
    <x v="2"/>
    <s v="Cash"/>
    <n v="2.4"/>
    <s v=""/>
    <s v=""/>
    <s v=""/>
    <s v=""/>
    <s v=""/>
    <s v=""/>
    <n v="7841.1200000000117"/>
    <s v=""/>
    <m/>
    <m/>
    <m/>
    <m/>
    <m/>
    <m/>
    <m/>
    <m/>
    <m/>
    <m/>
    <m/>
    <m/>
    <m/>
    <m/>
    <m/>
    <s v=" "/>
    <m/>
    <m/>
    <m/>
    <m/>
  </r>
  <r>
    <x v="853"/>
    <d v="2024-11-19T00:00:00"/>
    <x v="18"/>
    <x v="10"/>
    <x v="1"/>
    <x v="0"/>
    <x v="0"/>
    <x v="0"/>
    <s v=""/>
    <s v=""/>
    <s v=""/>
    <s v=""/>
    <s v=""/>
    <s v=""/>
    <s v=""/>
    <s v=""/>
    <s v=""/>
    <s v=""/>
    <m/>
    <m/>
    <m/>
    <m/>
    <m/>
    <m/>
    <m/>
    <m/>
    <m/>
    <m/>
    <m/>
    <m/>
    <m/>
    <m/>
    <m/>
    <s v=" "/>
    <m/>
    <m/>
    <m/>
    <m/>
  </r>
  <r>
    <x v="854"/>
    <d v="2024-11-20T00:00:00"/>
    <x v="19"/>
    <x v="10"/>
    <x v="1"/>
    <x v="16"/>
    <x v="3"/>
    <x v="3"/>
    <s v="Cash"/>
    <s v=""/>
    <n v="2"/>
    <s v=""/>
    <s v=""/>
    <s v=""/>
    <s v=""/>
    <s v=""/>
    <n v="7839.1200000000117"/>
    <s v=""/>
    <m/>
    <m/>
    <m/>
    <m/>
    <m/>
    <m/>
    <m/>
    <m/>
    <m/>
    <m/>
    <m/>
    <m/>
    <m/>
    <m/>
    <m/>
    <s v=" "/>
    <m/>
    <m/>
    <m/>
    <m/>
  </r>
  <r>
    <x v="854"/>
    <d v="2024-11-20T00:00:00"/>
    <x v="19"/>
    <x v="10"/>
    <x v="1"/>
    <x v="5"/>
    <x v="6"/>
    <x v="3"/>
    <s v="Cash"/>
    <s v=""/>
    <n v="6.1"/>
    <s v=""/>
    <s v=""/>
    <s v=""/>
    <s v=""/>
    <s v=""/>
    <n v="7833.0200000000114"/>
    <s v=""/>
    <m/>
    <m/>
    <m/>
    <m/>
    <m/>
    <m/>
    <m/>
    <m/>
    <m/>
    <m/>
    <m/>
    <m/>
    <m/>
    <m/>
    <m/>
    <s v=" "/>
    <m/>
    <m/>
    <m/>
    <m/>
  </r>
  <r>
    <x v="854"/>
    <d v="2024-11-20T00:00:00"/>
    <x v="19"/>
    <x v="10"/>
    <x v="1"/>
    <x v="140"/>
    <x v="9"/>
    <x v="2"/>
    <s v="Cash"/>
    <n v="8.5"/>
    <s v=""/>
    <s v=""/>
    <s v=""/>
    <s v=""/>
    <s v=""/>
    <s v=""/>
    <n v="7824.5200000000114"/>
    <s v=""/>
    <m/>
    <m/>
    <m/>
    <m/>
    <m/>
    <m/>
    <m/>
    <m/>
    <m/>
    <m/>
    <m/>
    <m/>
    <m/>
    <m/>
    <m/>
    <s v=" "/>
    <m/>
    <m/>
    <m/>
    <m/>
  </r>
  <r>
    <x v="855"/>
    <d v="2024-11-21T00:00:00"/>
    <x v="20"/>
    <x v="10"/>
    <x v="1"/>
    <x v="132"/>
    <x v="21"/>
    <x v="2"/>
    <s v="Cash"/>
    <n v="45"/>
    <s v=""/>
    <s v=""/>
    <s v=""/>
    <s v=""/>
    <s v=""/>
    <s v=""/>
    <n v="7779.5200000000114"/>
    <s v=""/>
    <m/>
    <m/>
    <m/>
    <m/>
    <m/>
    <m/>
    <m/>
    <m/>
    <m/>
    <m/>
    <m/>
    <m/>
    <m/>
    <m/>
    <m/>
    <s v=" "/>
    <m/>
    <m/>
    <m/>
    <m/>
  </r>
  <r>
    <x v="855"/>
    <d v="2024-11-21T00:00:00"/>
    <x v="20"/>
    <x v="10"/>
    <x v="1"/>
    <x v="141"/>
    <x v="21"/>
    <x v="2"/>
    <s v="Cash"/>
    <n v="87.38"/>
    <s v=""/>
    <s v=""/>
    <s v=""/>
    <s v=""/>
    <s v=""/>
    <s v=""/>
    <n v="7692.1400000000112"/>
    <s v=""/>
    <m/>
    <m/>
    <m/>
    <m/>
    <m/>
    <m/>
    <m/>
    <m/>
    <m/>
    <m/>
    <m/>
    <m/>
    <m/>
    <m/>
    <m/>
    <s v=" "/>
    <m/>
    <m/>
    <m/>
    <m/>
  </r>
  <r>
    <x v="855"/>
    <d v="2024-11-21T00:00:00"/>
    <x v="20"/>
    <x v="10"/>
    <x v="1"/>
    <x v="5"/>
    <x v="3"/>
    <x v="3"/>
    <s v="Cash"/>
    <s v=""/>
    <n v="22.15"/>
    <s v=""/>
    <s v=""/>
    <s v=""/>
    <s v=""/>
    <s v=""/>
    <n v="7669.9900000000116"/>
    <s v=""/>
    <m/>
    <m/>
    <m/>
    <m/>
    <m/>
    <m/>
    <m/>
    <m/>
    <m/>
    <m/>
    <m/>
    <m/>
    <m/>
    <m/>
    <m/>
    <s v=" "/>
    <m/>
    <m/>
    <m/>
    <m/>
  </r>
  <r>
    <x v="855"/>
    <d v="2024-11-21T00:00:00"/>
    <x v="20"/>
    <x v="10"/>
    <x v="1"/>
    <x v="12"/>
    <x v="2"/>
    <x v="2"/>
    <s v="Cash"/>
    <n v="4.4000000000000004"/>
    <s v=""/>
    <s v=""/>
    <s v=""/>
    <s v=""/>
    <s v=""/>
    <s v=""/>
    <n v="7665.590000000012"/>
    <s v=""/>
    <m/>
    <m/>
    <m/>
    <m/>
    <m/>
    <m/>
    <m/>
    <m/>
    <m/>
    <m/>
    <m/>
    <m/>
    <m/>
    <m/>
    <m/>
    <s v=" "/>
    <m/>
    <m/>
    <m/>
    <m/>
  </r>
  <r>
    <x v="856"/>
    <d v="2024-11-22T00:00:00"/>
    <x v="21"/>
    <x v="10"/>
    <x v="1"/>
    <x v="5"/>
    <x v="3"/>
    <x v="3"/>
    <s v="Cash"/>
    <s v=""/>
    <n v="12.6"/>
    <s v=""/>
    <s v=""/>
    <s v=""/>
    <s v=""/>
    <s v=""/>
    <n v="7652.9900000000116"/>
    <s v=""/>
    <m/>
    <m/>
    <m/>
    <m/>
    <m/>
    <m/>
    <m/>
    <m/>
    <m/>
    <m/>
    <m/>
    <m/>
    <m/>
    <m/>
    <m/>
    <s v=" "/>
    <m/>
    <m/>
    <m/>
    <m/>
  </r>
  <r>
    <x v="856"/>
    <d v="2024-11-22T00:00:00"/>
    <x v="21"/>
    <x v="10"/>
    <x v="1"/>
    <x v="71"/>
    <x v="18"/>
    <x v="8"/>
    <s v="Cash"/>
    <s v=""/>
    <n v="15"/>
    <s v=""/>
    <s v=""/>
    <s v=""/>
    <s v=""/>
    <s v=""/>
    <n v="7637.9900000000116"/>
    <s v=""/>
    <m/>
    <m/>
    <m/>
    <m/>
    <m/>
    <m/>
    <m/>
    <m/>
    <m/>
    <m/>
    <m/>
    <m/>
    <m/>
    <m/>
    <m/>
    <s v=" "/>
    <m/>
    <m/>
    <m/>
    <m/>
  </r>
  <r>
    <x v="856"/>
    <d v="2024-11-22T00:00:00"/>
    <x v="21"/>
    <x v="10"/>
    <x v="1"/>
    <x v="29"/>
    <x v="13"/>
    <x v="4"/>
    <s v="Cash"/>
    <n v="5.99"/>
    <s v=""/>
    <s v=""/>
    <s v=""/>
    <s v=""/>
    <s v=""/>
    <s v=""/>
    <n v="7632.0000000000118"/>
    <s v=""/>
    <m/>
    <m/>
    <m/>
    <m/>
    <m/>
    <m/>
    <m/>
    <m/>
    <m/>
    <m/>
    <m/>
    <m/>
    <m/>
    <m/>
    <m/>
    <s v=" "/>
    <m/>
    <m/>
    <m/>
    <m/>
  </r>
  <r>
    <x v="856"/>
    <d v="2024-11-22T00:00:00"/>
    <x v="21"/>
    <x v="10"/>
    <x v="1"/>
    <x v="12"/>
    <x v="2"/>
    <x v="2"/>
    <s v="Cash"/>
    <n v="4.4000000000000004"/>
    <s v=""/>
    <s v=""/>
    <s v=""/>
    <s v=""/>
    <s v=""/>
    <s v=""/>
    <n v="7627.6000000000122"/>
    <s v=""/>
    <m/>
    <m/>
    <m/>
    <m/>
    <m/>
    <m/>
    <m/>
    <m/>
    <m/>
    <m/>
    <m/>
    <m/>
    <m/>
    <m/>
    <m/>
    <s v=" "/>
    <m/>
    <m/>
    <m/>
    <m/>
  </r>
  <r>
    <x v="857"/>
    <d v="2024-11-23T00:00:00"/>
    <x v="22"/>
    <x v="10"/>
    <x v="1"/>
    <x v="12"/>
    <x v="2"/>
    <x v="2"/>
    <s v="Cash"/>
    <n v="2.2000000000000002"/>
    <s v=""/>
    <s v=""/>
    <s v=""/>
    <s v=""/>
    <s v=""/>
    <s v=""/>
    <n v="7625.4000000000124"/>
    <s v=""/>
    <m/>
    <m/>
    <m/>
    <m/>
    <m/>
    <m/>
    <m/>
    <m/>
    <m/>
    <m/>
    <m/>
    <m/>
    <m/>
    <m/>
    <m/>
    <s v=" "/>
    <m/>
    <m/>
    <m/>
    <m/>
  </r>
  <r>
    <x v="857"/>
    <d v="2024-11-23T00:00:00"/>
    <x v="22"/>
    <x v="10"/>
    <x v="1"/>
    <x v="142"/>
    <x v="21"/>
    <x v="2"/>
    <s v="Cash"/>
    <n v="14.29"/>
    <s v=""/>
    <s v=""/>
    <s v=""/>
    <s v=""/>
    <s v=""/>
    <s v=""/>
    <n v="7611.1100000000124"/>
    <s v=""/>
    <m/>
    <m/>
    <m/>
    <m/>
    <m/>
    <m/>
    <m/>
    <m/>
    <m/>
    <m/>
    <m/>
    <m/>
    <m/>
    <m/>
    <m/>
    <s v=" "/>
    <m/>
    <m/>
    <m/>
    <m/>
  </r>
  <r>
    <x v="857"/>
    <d v="2024-11-23T00:00:00"/>
    <x v="22"/>
    <x v="10"/>
    <x v="1"/>
    <x v="5"/>
    <x v="3"/>
    <x v="3"/>
    <s v="Cash"/>
    <s v=""/>
    <n v="17.649999999999999"/>
    <s v=""/>
    <s v=""/>
    <s v=""/>
    <s v=""/>
    <s v=""/>
    <n v="7593.4600000000128"/>
    <s v=""/>
    <m/>
    <m/>
    <m/>
    <m/>
    <m/>
    <m/>
    <m/>
    <m/>
    <m/>
    <m/>
    <m/>
    <m/>
    <m/>
    <m/>
    <m/>
    <s v=" "/>
    <m/>
    <m/>
    <m/>
    <m/>
  </r>
  <r>
    <x v="858"/>
    <d v="2024-11-24T00:00:00"/>
    <x v="23"/>
    <x v="10"/>
    <x v="1"/>
    <x v="16"/>
    <x v="3"/>
    <x v="3"/>
    <s v="Cash"/>
    <s v=""/>
    <n v="2"/>
    <s v=""/>
    <s v=""/>
    <s v=""/>
    <s v=""/>
    <s v=""/>
    <n v="7591.4600000000128"/>
    <s v=""/>
    <m/>
    <m/>
    <m/>
    <m/>
    <m/>
    <m/>
    <m/>
    <m/>
    <m/>
    <m/>
    <m/>
    <m/>
    <m/>
    <m/>
    <m/>
    <s v=" "/>
    <m/>
    <m/>
    <m/>
    <m/>
  </r>
  <r>
    <x v="859"/>
    <d v="2024-11-25T00:00:00"/>
    <x v="24"/>
    <x v="10"/>
    <x v="1"/>
    <x v="143"/>
    <x v="10"/>
    <x v="2"/>
    <s v="Cash"/>
    <n v="5"/>
    <s v=""/>
    <s v=""/>
    <s v=""/>
    <s v=""/>
    <s v=""/>
    <s v=""/>
    <n v="7586.4600000000128"/>
    <s v=""/>
    <m/>
    <m/>
    <m/>
    <m/>
    <m/>
    <m/>
    <m/>
    <m/>
    <m/>
    <m/>
    <m/>
    <m/>
    <m/>
    <m/>
    <m/>
    <s v=" "/>
    <m/>
    <m/>
    <m/>
    <m/>
  </r>
  <r>
    <x v="860"/>
    <d v="2024-11-26T00:00:00"/>
    <x v="25"/>
    <x v="10"/>
    <x v="1"/>
    <x v="144"/>
    <x v="19"/>
    <x v="9"/>
    <s v="Cash"/>
    <n v="200"/>
    <s v=""/>
    <s v=""/>
    <s v=""/>
    <s v=""/>
    <s v=""/>
    <s v=""/>
    <n v="7386.4600000000128"/>
    <s v=""/>
    <m/>
    <m/>
    <m/>
    <m/>
    <m/>
    <m/>
    <m/>
    <m/>
    <m/>
    <m/>
    <m/>
    <m/>
    <m/>
    <m/>
    <m/>
    <s v=" "/>
    <m/>
    <m/>
    <m/>
    <m/>
  </r>
  <r>
    <x v="861"/>
    <d v="2024-11-26T00:00:00"/>
    <x v="25"/>
    <x v="10"/>
    <x v="1"/>
    <x v="145"/>
    <x v="9"/>
    <x v="2"/>
    <s v="Cash"/>
    <n v="50"/>
    <s v=""/>
    <s v=""/>
    <s v=""/>
    <s v=""/>
    <s v=""/>
    <s v=""/>
    <n v="7336.4600000000128"/>
    <s v=""/>
    <m/>
    <m/>
    <m/>
    <m/>
    <m/>
    <m/>
    <m/>
    <m/>
    <m/>
    <m/>
    <m/>
    <m/>
    <m/>
    <m/>
    <m/>
    <s v=" "/>
    <m/>
    <m/>
    <m/>
    <m/>
  </r>
  <r>
    <x v="861"/>
    <d v="2024-11-26T00:00:00"/>
    <x v="25"/>
    <x v="10"/>
    <x v="1"/>
    <x v="146"/>
    <x v="21"/>
    <x v="2"/>
    <s v="Cash"/>
    <n v="290"/>
    <s v=""/>
    <s v=""/>
    <s v=""/>
    <s v=""/>
    <s v=""/>
    <s v=""/>
    <n v="7046.4600000000128"/>
    <s v=""/>
    <m/>
    <m/>
    <m/>
    <m/>
    <m/>
    <m/>
    <m/>
    <m/>
    <m/>
    <m/>
    <m/>
    <m/>
    <m/>
    <m/>
    <m/>
    <s v=" "/>
    <m/>
    <m/>
    <m/>
    <m/>
  </r>
  <r>
    <x v="861"/>
    <d v="2024-11-26T00:00:00"/>
    <x v="25"/>
    <x v="10"/>
    <x v="1"/>
    <x v="12"/>
    <x v="2"/>
    <x v="2"/>
    <s v="Cash"/>
    <n v="2.5"/>
    <s v=""/>
    <s v=""/>
    <s v=""/>
    <s v=""/>
    <s v=""/>
    <s v=""/>
    <n v="7043.9600000000128"/>
    <s v=""/>
    <m/>
    <m/>
    <m/>
    <m/>
    <m/>
    <m/>
    <m/>
    <m/>
    <m/>
    <m/>
    <m/>
    <m/>
    <m/>
    <m/>
    <m/>
    <s v=" "/>
    <m/>
    <m/>
    <m/>
    <m/>
  </r>
  <r>
    <x v="861"/>
    <d v="2024-11-26T00:00:00"/>
    <x v="25"/>
    <x v="10"/>
    <x v="1"/>
    <x v="5"/>
    <x v="3"/>
    <x v="3"/>
    <s v="Cash"/>
    <s v=""/>
    <n v="28.1"/>
    <s v=""/>
    <s v=""/>
    <s v=""/>
    <s v=""/>
    <s v=""/>
    <n v="7015.8600000000124"/>
    <s v=""/>
    <m/>
    <m/>
    <m/>
    <m/>
    <m/>
    <m/>
    <m/>
    <m/>
    <m/>
    <m/>
    <m/>
    <m/>
    <m/>
    <m/>
    <m/>
    <s v=" "/>
    <m/>
    <m/>
    <m/>
    <m/>
  </r>
  <r>
    <x v="861"/>
    <d v="2024-11-26T00:00:00"/>
    <x v="25"/>
    <x v="10"/>
    <x v="1"/>
    <x v="5"/>
    <x v="6"/>
    <x v="3"/>
    <s v="Cash"/>
    <s v=""/>
    <n v="1.6"/>
    <s v=""/>
    <s v=""/>
    <s v=""/>
    <s v=""/>
    <s v=""/>
    <n v="7014.260000000012"/>
    <s v=""/>
    <m/>
    <m/>
    <m/>
    <m/>
    <m/>
    <m/>
    <m/>
    <m/>
    <m/>
    <m/>
    <m/>
    <m/>
    <m/>
    <m/>
    <m/>
    <s v=" "/>
    <m/>
    <m/>
    <m/>
    <m/>
  </r>
  <r>
    <x v="861"/>
    <d v="2024-11-26T00:00:00"/>
    <x v="25"/>
    <x v="10"/>
    <x v="1"/>
    <x v="147"/>
    <x v="21"/>
    <x v="2"/>
    <s v="Cash"/>
    <n v="10.6"/>
    <s v=""/>
    <s v=""/>
    <s v=""/>
    <s v=""/>
    <s v=""/>
    <s v=""/>
    <n v="7003.6600000000117"/>
    <s v=""/>
    <m/>
    <m/>
    <m/>
    <m/>
    <m/>
    <m/>
    <m/>
    <m/>
    <m/>
    <m/>
    <m/>
    <m/>
    <m/>
    <m/>
    <m/>
    <s v=" "/>
    <m/>
    <m/>
    <m/>
    <m/>
  </r>
  <r>
    <x v="862"/>
    <d v="2024-11-27T00:00:00"/>
    <x v="26"/>
    <x v="10"/>
    <x v="1"/>
    <x v="1"/>
    <x v="1"/>
    <x v="1"/>
    <s v="Carta"/>
    <s v=""/>
    <n v="2"/>
    <s v=""/>
    <s v=""/>
    <s v=""/>
    <s v=""/>
    <s v=""/>
    <n v="7001.6600000000117"/>
    <s v=""/>
    <m/>
    <m/>
    <m/>
    <m/>
    <m/>
    <m/>
    <m/>
    <m/>
    <m/>
    <m/>
    <m/>
    <m/>
    <m/>
    <m/>
    <m/>
    <s v=" "/>
    <m/>
    <m/>
    <m/>
    <m/>
  </r>
  <r>
    <x v="863"/>
    <d v="2024-11-28T00:00:00"/>
    <x v="27"/>
    <x v="10"/>
    <x v="1"/>
    <x v="95"/>
    <x v="9"/>
    <x v="2"/>
    <s v="Cash"/>
    <n v="10.4"/>
    <s v=""/>
    <s v=""/>
    <s v=""/>
    <s v=""/>
    <s v=""/>
    <s v=""/>
    <n v="6991.260000000012"/>
    <s v=""/>
    <m/>
    <m/>
    <m/>
    <m/>
    <m/>
    <m/>
    <m/>
    <m/>
    <m/>
    <m/>
    <m/>
    <m/>
    <m/>
    <m/>
    <m/>
    <s v=" "/>
    <m/>
    <m/>
    <m/>
    <m/>
  </r>
  <r>
    <x v="863"/>
    <d v="2024-11-28T00:00:00"/>
    <x v="27"/>
    <x v="10"/>
    <x v="1"/>
    <x v="5"/>
    <x v="3"/>
    <x v="3"/>
    <s v="Cash"/>
    <s v=""/>
    <n v="6.85"/>
    <s v=""/>
    <s v=""/>
    <s v=""/>
    <s v=""/>
    <s v=""/>
    <n v="6984.4100000000117"/>
    <s v=""/>
    <m/>
    <m/>
    <m/>
    <m/>
    <m/>
    <m/>
    <m/>
    <m/>
    <m/>
    <m/>
    <m/>
    <m/>
    <m/>
    <m/>
    <m/>
    <s v=" "/>
    <m/>
    <m/>
    <m/>
    <m/>
  </r>
  <r>
    <x v="864"/>
    <d v="2024-11-29T00:00:00"/>
    <x v="28"/>
    <x v="10"/>
    <x v="1"/>
    <x v="0"/>
    <x v="0"/>
    <x v="0"/>
    <s v=""/>
    <s v=""/>
    <s v=""/>
    <s v=""/>
    <s v=""/>
    <s v=""/>
    <s v=""/>
    <s v=""/>
    <s v=""/>
    <s v=""/>
    <m/>
    <m/>
    <m/>
    <m/>
    <m/>
    <m/>
    <m/>
    <m/>
    <m/>
    <m/>
    <m/>
    <m/>
    <m/>
    <m/>
    <m/>
    <s v=" "/>
    <m/>
    <m/>
    <m/>
    <m/>
  </r>
  <r>
    <x v="865"/>
    <d v="2024-11-30T00:00:00"/>
    <x v="29"/>
    <x v="10"/>
    <x v="1"/>
    <x v="12"/>
    <x v="2"/>
    <x v="2"/>
    <s v="Cash"/>
    <n v="4.4000000000000004"/>
    <s v=""/>
    <s v=""/>
    <s v=""/>
    <s v=""/>
    <s v=""/>
    <s v=""/>
    <n v="6980.010000000012"/>
    <s v=""/>
    <m/>
    <m/>
    <m/>
    <m/>
    <m/>
    <m/>
    <m/>
    <m/>
    <m/>
    <m/>
    <m/>
    <m/>
    <m/>
    <m/>
    <m/>
    <s v=" "/>
    <m/>
    <m/>
    <m/>
    <m/>
  </r>
  <r>
    <x v="865"/>
    <d v="2024-11-30T00:00:00"/>
    <x v="29"/>
    <x v="10"/>
    <x v="1"/>
    <x v="5"/>
    <x v="3"/>
    <x v="3"/>
    <s v="Cash"/>
    <s v=""/>
    <n v="11.65"/>
    <s v=""/>
    <s v=""/>
    <s v=""/>
    <s v=""/>
    <s v=""/>
    <n v="6968.3600000000124"/>
    <s v=""/>
    <m/>
    <m/>
    <m/>
    <m/>
    <m/>
    <m/>
    <m/>
    <m/>
    <m/>
    <m/>
    <m/>
    <m/>
    <m/>
    <m/>
    <m/>
    <s v=" "/>
    <m/>
    <m/>
    <m/>
    <m/>
  </r>
  <r>
    <x v="866"/>
    <d v="2024-12-01T00:00:00"/>
    <x v="0"/>
    <x v="11"/>
    <x v="1"/>
    <x v="5"/>
    <x v="3"/>
    <x v="3"/>
    <s v="Cash"/>
    <s v=""/>
    <n v="16"/>
    <s v=""/>
    <s v=""/>
    <s v=""/>
    <s v=""/>
    <s v=""/>
    <n v="6952.3600000000124"/>
    <s v=""/>
    <m/>
    <m/>
    <m/>
    <m/>
    <m/>
    <m/>
    <m/>
    <m/>
    <m/>
    <m/>
    <m/>
    <m/>
    <m/>
    <m/>
    <m/>
    <s v=" "/>
    <m/>
    <m/>
    <m/>
    <m/>
  </r>
  <r>
    <x v="865"/>
    <d v="2024-12-01T00:00:00"/>
    <x v="0"/>
    <x v="11"/>
    <x v="1"/>
    <x v="33"/>
    <x v="3"/>
    <x v="3"/>
    <s v="Cash"/>
    <s v=""/>
    <n v="8.1"/>
    <s v=""/>
    <s v=""/>
    <s v=""/>
    <s v=""/>
    <s v=""/>
    <n v="6944.260000000012"/>
    <s v=""/>
    <m/>
    <m/>
    <m/>
    <m/>
    <m/>
    <m/>
    <m/>
    <m/>
    <m/>
    <m/>
    <m/>
    <m/>
    <m/>
    <m/>
    <m/>
    <s v=" "/>
    <m/>
    <m/>
    <m/>
    <m/>
  </r>
  <r>
    <x v="866"/>
    <d v="2024-12-01T00:00:00"/>
    <x v="0"/>
    <x v="11"/>
    <x v="1"/>
    <x v="71"/>
    <x v="17"/>
    <x v="6"/>
    <s v="Cash"/>
    <s v=""/>
    <n v="5"/>
    <s v=""/>
    <s v=""/>
    <s v=""/>
    <s v=""/>
    <s v=""/>
    <n v="6939.260000000012"/>
    <s v=""/>
    <m/>
    <m/>
    <m/>
    <m/>
    <m/>
    <m/>
    <m/>
    <m/>
    <m/>
    <m/>
    <m/>
    <m/>
    <m/>
    <m/>
    <m/>
    <s v=" "/>
    <m/>
    <m/>
    <m/>
    <m/>
  </r>
  <r>
    <x v="866"/>
    <d v="2024-12-01T00:00:00"/>
    <x v="0"/>
    <x v="11"/>
    <x v="1"/>
    <x v="148"/>
    <x v="21"/>
    <x v="2"/>
    <s v="Cash"/>
    <n v="7"/>
    <s v=""/>
    <s v=""/>
    <s v=""/>
    <s v=""/>
    <s v=""/>
    <s v=""/>
    <n v="6932.260000000012"/>
    <s v=""/>
    <m/>
    <m/>
    <m/>
    <m/>
    <m/>
    <m/>
    <m/>
    <m/>
    <m/>
    <m/>
    <m/>
    <m/>
    <m/>
    <m/>
    <m/>
    <s v=" "/>
    <m/>
    <m/>
    <m/>
    <m/>
  </r>
  <r>
    <x v="867"/>
    <d v="2024-12-02T00:00:00"/>
    <x v="1"/>
    <x v="11"/>
    <x v="1"/>
    <x v="5"/>
    <x v="3"/>
    <x v="3"/>
    <s v="Cash"/>
    <s v=""/>
    <n v="9.35"/>
    <s v=""/>
    <s v=""/>
    <s v=""/>
    <s v=""/>
    <s v=""/>
    <n v="6922.9100000000117"/>
    <s v=""/>
    <m/>
    <m/>
    <m/>
    <m/>
    <m/>
    <m/>
    <m/>
    <m/>
    <m/>
    <m/>
    <m/>
    <m/>
    <m/>
    <m/>
    <m/>
    <s v=" "/>
    <m/>
    <m/>
    <m/>
    <m/>
  </r>
  <r>
    <x v="867"/>
    <d v="2024-12-02T00:00:00"/>
    <x v="1"/>
    <x v="11"/>
    <x v="1"/>
    <x v="2"/>
    <x v="1"/>
    <x v="1"/>
    <s v="Carta"/>
    <s v=""/>
    <n v="4.9800000000000004"/>
    <s v=""/>
    <s v=""/>
    <s v=""/>
    <s v=""/>
    <s v=""/>
    <n v="6917.9300000000121"/>
    <s v=""/>
    <m/>
    <m/>
    <m/>
    <m/>
    <m/>
    <m/>
    <m/>
    <m/>
    <m/>
    <m/>
    <m/>
    <m/>
    <m/>
    <m/>
    <m/>
    <s v=" "/>
    <m/>
    <m/>
    <m/>
    <m/>
  </r>
  <r>
    <x v="868"/>
    <d v="2024-12-03T00:00:00"/>
    <x v="2"/>
    <x v="11"/>
    <x v="1"/>
    <x v="149"/>
    <x v="9"/>
    <x v="2"/>
    <s v="Cash"/>
    <n v="5"/>
    <s v=""/>
    <s v=""/>
    <s v=""/>
    <s v=""/>
    <s v=""/>
    <s v=""/>
    <n v="6912.9300000000121"/>
    <s v=""/>
    <m/>
    <m/>
    <m/>
    <m/>
    <m/>
    <m/>
    <m/>
    <m/>
    <m/>
    <m/>
    <m/>
    <m/>
    <m/>
    <m/>
    <m/>
    <s v=" "/>
    <m/>
    <m/>
    <m/>
    <m/>
  </r>
  <r>
    <x v="869"/>
    <d v="2024-12-03T00:00:00"/>
    <x v="2"/>
    <x v="11"/>
    <x v="1"/>
    <x v="16"/>
    <x v="3"/>
    <x v="3"/>
    <s v="Cash"/>
    <s v=""/>
    <n v="2"/>
    <s v=""/>
    <s v=""/>
    <s v=""/>
    <s v=""/>
    <s v=""/>
    <n v="6910.9300000000121"/>
    <s v=""/>
    <m/>
    <m/>
    <m/>
    <m/>
    <m/>
    <m/>
    <m/>
    <m/>
    <m/>
    <m/>
    <m/>
    <m/>
    <m/>
    <m/>
    <m/>
    <s v=" "/>
    <m/>
    <m/>
    <m/>
    <m/>
  </r>
  <r>
    <x v="870"/>
    <d v="2024-12-04T00:00:00"/>
    <x v="3"/>
    <x v="11"/>
    <x v="1"/>
    <x v="5"/>
    <x v="3"/>
    <x v="3"/>
    <s v="Cash"/>
    <s v=""/>
    <n v="7.36"/>
    <s v=""/>
    <s v=""/>
    <s v=""/>
    <s v=""/>
    <s v=""/>
    <n v="6903.5700000000124"/>
    <s v=""/>
    <m/>
    <m/>
    <m/>
    <m/>
    <m/>
    <m/>
    <m/>
    <m/>
    <m/>
    <m/>
    <m/>
    <m/>
    <m/>
    <m/>
    <m/>
    <s v=" "/>
    <m/>
    <m/>
    <m/>
    <m/>
  </r>
  <r>
    <x v="871"/>
    <d v="2024-12-04T00:00:00"/>
    <x v="3"/>
    <x v="11"/>
    <x v="1"/>
    <x v="42"/>
    <x v="9"/>
    <x v="2"/>
    <s v="Cash"/>
    <n v="7.49"/>
    <s v=""/>
    <s v=""/>
    <s v=""/>
    <s v=""/>
    <s v=""/>
    <s v=""/>
    <n v="6896.0800000000127"/>
    <s v=""/>
    <m/>
    <m/>
    <m/>
    <m/>
    <m/>
    <m/>
    <m/>
    <m/>
    <m/>
    <m/>
    <m/>
    <m/>
    <m/>
    <m/>
    <m/>
    <s v=" "/>
    <m/>
    <m/>
    <m/>
    <m/>
  </r>
  <r>
    <x v="872"/>
    <d v="2024-12-05T00:00:00"/>
    <x v="4"/>
    <x v="11"/>
    <x v="1"/>
    <x v="150"/>
    <x v="21"/>
    <x v="2"/>
    <s v="Cash"/>
    <n v="12.89"/>
    <s v=""/>
    <s v=""/>
    <s v=""/>
    <s v=""/>
    <s v=""/>
    <s v=""/>
    <n v="6883.1900000000123"/>
    <s v=""/>
    <m/>
    <m/>
    <m/>
    <m/>
    <m/>
    <m/>
    <m/>
    <m/>
    <m/>
    <m/>
    <m/>
    <m/>
    <m/>
    <m/>
    <m/>
    <s v=" "/>
    <m/>
    <m/>
    <m/>
    <m/>
  </r>
  <r>
    <x v="873"/>
    <d v="2024-12-05T00:00:00"/>
    <x v="4"/>
    <x v="11"/>
    <x v="1"/>
    <x v="5"/>
    <x v="6"/>
    <x v="3"/>
    <s v="Cash"/>
    <s v=""/>
    <n v="15.73"/>
    <s v=""/>
    <s v=""/>
    <s v=""/>
    <s v=""/>
    <s v=""/>
    <n v="6867.4600000000128"/>
    <s v=""/>
    <m/>
    <m/>
    <m/>
    <m/>
    <m/>
    <m/>
    <m/>
    <m/>
    <m/>
    <m/>
    <m/>
    <m/>
    <m/>
    <m/>
    <m/>
    <s v=" "/>
    <m/>
    <m/>
    <m/>
    <m/>
  </r>
  <r>
    <x v="874"/>
    <d v="2024-12-05T00:00:00"/>
    <x v="4"/>
    <x v="11"/>
    <x v="1"/>
    <x v="5"/>
    <x v="3"/>
    <x v="3"/>
    <s v="Cash"/>
    <s v=""/>
    <n v="3.4"/>
    <s v=""/>
    <s v=""/>
    <s v=""/>
    <s v=""/>
    <s v=""/>
    <n v="6864.0600000000131"/>
    <s v=""/>
    <m/>
    <m/>
    <m/>
    <m/>
    <m/>
    <m/>
    <m/>
    <m/>
    <m/>
    <m/>
    <m/>
    <m/>
    <m/>
    <m/>
    <m/>
    <s v=" "/>
    <m/>
    <m/>
    <m/>
    <m/>
  </r>
  <r>
    <x v="874"/>
    <d v="2024-12-05T00:00:00"/>
    <x v="4"/>
    <x v="11"/>
    <x v="1"/>
    <x v="151"/>
    <x v="9"/>
    <x v="2"/>
    <s v="Cash"/>
    <n v="3"/>
    <s v=""/>
    <s v=""/>
    <s v=""/>
    <s v=""/>
    <s v=""/>
    <s v=""/>
    <n v="6861.0600000000131"/>
    <s v=""/>
    <m/>
    <m/>
    <m/>
    <m/>
    <m/>
    <m/>
    <m/>
    <m/>
    <m/>
    <m/>
    <m/>
    <m/>
    <m/>
    <m/>
    <m/>
    <s v=" "/>
    <m/>
    <m/>
    <m/>
    <m/>
  </r>
  <r>
    <x v="875"/>
    <d v="2024-12-06T00:00:00"/>
    <x v="5"/>
    <x v="11"/>
    <x v="1"/>
    <x v="0"/>
    <x v="0"/>
    <x v="0"/>
    <s v=""/>
    <s v=""/>
    <s v=""/>
    <s v=""/>
    <s v=""/>
    <s v=""/>
    <s v=""/>
    <s v=""/>
    <s v=""/>
    <s v=""/>
    <m/>
    <m/>
    <m/>
    <m/>
    <m/>
    <m/>
    <m/>
    <m/>
    <m/>
    <m/>
    <m/>
    <m/>
    <m/>
    <m/>
    <m/>
    <s v=" "/>
    <m/>
    <m/>
    <m/>
    <m/>
  </r>
  <r>
    <x v="876"/>
    <d v="2024-12-07T00:00:00"/>
    <x v="6"/>
    <x v="11"/>
    <x v="1"/>
    <x v="5"/>
    <x v="3"/>
    <x v="3"/>
    <s v="Cash"/>
    <s v=""/>
    <n v="22.4"/>
    <s v=""/>
    <s v=""/>
    <s v=""/>
    <s v=""/>
    <s v=""/>
    <n v="6838.6600000000135"/>
    <s v=""/>
    <m/>
    <m/>
    <m/>
    <m/>
    <m/>
    <m/>
    <m/>
    <m/>
    <m/>
    <m/>
    <m/>
    <m/>
    <m/>
    <m/>
    <m/>
    <s v=" "/>
    <m/>
    <m/>
    <m/>
    <m/>
  </r>
  <r>
    <x v="876"/>
    <d v="2024-12-07T00:00:00"/>
    <x v="6"/>
    <x v="11"/>
    <x v="1"/>
    <x v="152"/>
    <x v="21"/>
    <x v="2"/>
    <s v="Cash"/>
    <n v="20"/>
    <s v=""/>
    <s v=""/>
    <s v=""/>
    <s v=""/>
    <s v=""/>
    <s v=""/>
    <n v="6818.6600000000135"/>
    <s v=""/>
    <m/>
    <m/>
    <m/>
    <m/>
    <m/>
    <m/>
    <m/>
    <m/>
    <m/>
    <m/>
    <m/>
    <m/>
    <m/>
    <m/>
    <m/>
    <s v=" "/>
    <m/>
    <m/>
    <m/>
    <m/>
  </r>
  <r>
    <x v="877"/>
    <d v="2024-12-07T00:00:00"/>
    <x v="6"/>
    <x v="11"/>
    <x v="1"/>
    <x v="136"/>
    <x v="21"/>
    <x v="2"/>
    <s v="Cash"/>
    <n v="6.6"/>
    <s v=""/>
    <s v=""/>
    <s v=""/>
    <s v=""/>
    <s v=""/>
    <s v=""/>
    <n v="6812.0600000000131"/>
    <s v=""/>
    <m/>
    <m/>
    <m/>
    <m/>
    <m/>
    <m/>
    <m/>
    <m/>
    <m/>
    <m/>
    <m/>
    <m/>
    <m/>
    <m/>
    <m/>
    <s v=" "/>
    <m/>
    <m/>
    <m/>
    <m/>
  </r>
  <r>
    <x v="876"/>
    <d v="2024-12-07T00:00:00"/>
    <x v="6"/>
    <x v="11"/>
    <x v="1"/>
    <x v="153"/>
    <x v="21"/>
    <x v="2"/>
    <s v="Cash"/>
    <n v="4.8"/>
    <s v=""/>
    <s v=""/>
    <s v=""/>
    <s v=""/>
    <s v=""/>
    <s v=""/>
    <n v="6807.260000000013"/>
    <s v=""/>
    <m/>
    <m/>
    <m/>
    <m/>
    <m/>
    <m/>
    <m/>
    <m/>
    <m/>
    <m/>
    <m/>
    <m/>
    <m/>
    <m/>
    <m/>
    <s v=" "/>
    <m/>
    <m/>
    <m/>
    <m/>
  </r>
  <r>
    <x v="876"/>
    <d v="2024-12-07T00:00:00"/>
    <x v="6"/>
    <x v="11"/>
    <x v="1"/>
    <x v="154"/>
    <x v="23"/>
    <x v="7"/>
    <s v="Cash"/>
    <n v="14"/>
    <s v=""/>
    <s v=""/>
    <s v=""/>
    <s v=""/>
    <s v=""/>
    <s v=""/>
    <n v="6793.260000000013"/>
    <s v=""/>
    <m/>
    <m/>
    <m/>
    <m/>
    <m/>
    <m/>
    <m/>
    <m/>
    <m/>
    <m/>
    <m/>
    <m/>
    <m/>
    <m/>
    <m/>
    <s v=" "/>
    <m/>
    <m/>
    <m/>
    <m/>
  </r>
  <r>
    <x v="876"/>
    <d v="2024-12-07T00:00:00"/>
    <x v="6"/>
    <x v="11"/>
    <x v="1"/>
    <x v="12"/>
    <x v="2"/>
    <x v="2"/>
    <s v="Cash"/>
    <n v="4.4000000000000004"/>
    <s v=""/>
    <s v=""/>
    <s v=""/>
    <s v=""/>
    <s v=""/>
    <s v=""/>
    <n v="6788.8600000000133"/>
    <s v=""/>
    <m/>
    <m/>
    <m/>
    <m/>
    <m/>
    <m/>
    <m/>
    <m/>
    <m/>
    <m/>
    <m/>
    <m/>
    <m/>
    <m/>
    <m/>
    <s v=" "/>
    <m/>
    <m/>
    <m/>
    <m/>
  </r>
  <r>
    <x v="878"/>
    <d v="2024-12-08T00:00:00"/>
    <x v="7"/>
    <x v="11"/>
    <x v="1"/>
    <x v="155"/>
    <x v="15"/>
    <x v="7"/>
    <s v="Cash"/>
    <n v="5"/>
    <s v=""/>
    <s v=""/>
    <s v=""/>
    <s v=""/>
    <s v=""/>
    <s v=""/>
    <n v="6783.8600000000133"/>
    <s v=""/>
    <m/>
    <m/>
    <m/>
    <m/>
    <m/>
    <m/>
    <m/>
    <m/>
    <m/>
    <m/>
    <m/>
    <m/>
    <m/>
    <m/>
    <m/>
    <s v=" "/>
    <m/>
    <m/>
    <m/>
    <m/>
  </r>
  <r>
    <x v="879"/>
    <d v="2024-12-08T00:00:00"/>
    <x v="7"/>
    <x v="11"/>
    <x v="1"/>
    <x v="12"/>
    <x v="2"/>
    <x v="2"/>
    <s v="Cash"/>
    <n v="4.4000000000000004"/>
    <s v=""/>
    <s v=""/>
    <s v=""/>
    <s v=""/>
    <s v=""/>
    <s v=""/>
    <n v="6779.4600000000137"/>
    <s v=""/>
    <m/>
    <m/>
    <m/>
    <m/>
    <m/>
    <m/>
    <m/>
    <m/>
    <m/>
    <m/>
    <m/>
    <m/>
    <m/>
    <m/>
    <m/>
    <s v=" "/>
    <m/>
    <m/>
    <m/>
    <m/>
  </r>
  <r>
    <x v="880"/>
    <d v="2024-12-09T00:00:00"/>
    <x v="8"/>
    <x v="11"/>
    <x v="1"/>
    <x v="156"/>
    <x v="9"/>
    <x v="2"/>
    <s v="Cash"/>
    <n v="6.9"/>
    <s v=""/>
    <s v=""/>
    <s v=""/>
    <s v=""/>
    <s v=""/>
    <s v=""/>
    <n v="6772.560000000014"/>
    <s v=""/>
    <m/>
    <m/>
    <m/>
    <m/>
    <m/>
    <m/>
    <m/>
    <m/>
    <m/>
    <m/>
    <m/>
    <m/>
    <m/>
    <m/>
    <m/>
    <s v=" "/>
    <m/>
    <m/>
    <m/>
    <m/>
  </r>
  <r>
    <x v="881"/>
    <d v="2024-12-10T00:00:00"/>
    <x v="9"/>
    <x v="11"/>
    <x v="1"/>
    <x v="22"/>
    <x v="14"/>
    <x v="0"/>
    <s v="Carta"/>
    <s v=""/>
    <s v=""/>
    <s v=""/>
    <s v=""/>
    <s v=""/>
    <s v=""/>
    <n v="500"/>
    <s v=""/>
    <s v=""/>
    <m/>
    <m/>
    <m/>
    <m/>
    <m/>
    <m/>
    <m/>
    <m/>
    <m/>
    <m/>
    <m/>
    <m/>
    <m/>
    <m/>
    <m/>
    <s v=" "/>
    <m/>
    <m/>
    <m/>
    <m/>
  </r>
  <r>
    <x v="882"/>
    <d v="2024-12-10T00:00:00"/>
    <x v="9"/>
    <x v="11"/>
    <x v="1"/>
    <x v="12"/>
    <x v="2"/>
    <x v="2"/>
    <s v="Cash"/>
    <n v="4.4000000000000004"/>
    <s v=""/>
    <s v=""/>
    <s v=""/>
    <s v=""/>
    <s v=""/>
    <s v=""/>
    <n v="6768.1600000000144"/>
    <s v=""/>
    <m/>
    <m/>
    <m/>
    <m/>
    <m/>
    <m/>
    <m/>
    <m/>
    <m/>
    <m/>
    <m/>
    <m/>
    <m/>
    <m/>
    <m/>
    <s v=" "/>
    <m/>
    <m/>
    <m/>
    <m/>
  </r>
  <r>
    <x v="882"/>
    <d v="2024-12-10T00:00:00"/>
    <x v="9"/>
    <x v="11"/>
    <x v="1"/>
    <x v="120"/>
    <x v="4"/>
    <x v="4"/>
    <s v="Cash"/>
    <n v="45"/>
    <s v=""/>
    <s v=""/>
    <s v=""/>
    <s v=""/>
    <s v=""/>
    <s v=""/>
    <n v="6723.1600000000144"/>
    <s v=""/>
    <m/>
    <m/>
    <m/>
    <m/>
    <m/>
    <m/>
    <m/>
    <m/>
    <m/>
    <m/>
    <m/>
    <m/>
    <m/>
    <m/>
    <m/>
    <s v=" "/>
    <m/>
    <m/>
    <m/>
    <m/>
  </r>
  <r>
    <x v="882"/>
    <d v="2024-12-10T00:00:00"/>
    <x v="9"/>
    <x v="11"/>
    <x v="1"/>
    <x v="5"/>
    <x v="3"/>
    <x v="3"/>
    <s v="Cash"/>
    <s v=""/>
    <n v="3.65"/>
    <s v=""/>
    <s v=""/>
    <s v=""/>
    <s v=""/>
    <s v=""/>
    <n v="6719.5100000000148"/>
    <s v=""/>
    <m/>
    <m/>
    <m/>
    <m/>
    <m/>
    <m/>
    <m/>
    <m/>
    <m/>
    <m/>
    <m/>
    <m/>
    <m/>
    <m/>
    <m/>
    <s v=" "/>
    <m/>
    <m/>
    <m/>
    <m/>
  </r>
  <r>
    <x v="883"/>
    <d v="2024-12-11T00:00:00"/>
    <x v="10"/>
    <x v="11"/>
    <x v="1"/>
    <x v="12"/>
    <x v="2"/>
    <x v="2"/>
    <s v="Cash"/>
    <n v="4.4000000000000004"/>
    <s v=""/>
    <s v=""/>
    <s v=""/>
    <s v=""/>
    <s v=""/>
    <s v=""/>
    <n v="6715.1100000000151"/>
    <s v=""/>
    <m/>
    <m/>
    <m/>
    <m/>
    <m/>
    <m/>
    <m/>
    <m/>
    <m/>
    <m/>
    <m/>
    <m/>
    <m/>
    <m/>
    <m/>
    <s v=" "/>
    <m/>
    <m/>
    <m/>
    <m/>
  </r>
  <r>
    <x v="884"/>
    <d v="2024-12-11T00:00:00"/>
    <x v="10"/>
    <x v="11"/>
    <x v="1"/>
    <x v="157"/>
    <x v="3"/>
    <x v="3"/>
    <s v="Cash"/>
    <s v=""/>
    <n v="14.2"/>
    <s v=""/>
    <s v=""/>
    <s v=""/>
    <s v=""/>
    <s v=""/>
    <n v="6700.9100000000153"/>
    <s v=""/>
    <m/>
    <m/>
    <m/>
    <m/>
    <m/>
    <m/>
    <m/>
    <m/>
    <m/>
    <m/>
    <m/>
    <m/>
    <m/>
    <m/>
    <m/>
    <s v=" "/>
    <m/>
    <m/>
    <m/>
    <m/>
  </r>
  <r>
    <x v="885"/>
    <d v="2024-12-12T00:00:00"/>
    <x v="11"/>
    <x v="11"/>
    <x v="1"/>
    <x v="158"/>
    <x v="21"/>
    <x v="2"/>
    <s v="Cash"/>
    <n v="39"/>
    <s v=""/>
    <s v=""/>
    <s v=""/>
    <s v=""/>
    <s v=""/>
    <s v=""/>
    <n v="6661.9100000000153"/>
    <s v=""/>
    <m/>
    <m/>
    <m/>
    <m/>
    <m/>
    <m/>
    <m/>
    <m/>
    <m/>
    <m/>
    <m/>
    <m/>
    <m/>
    <m/>
    <m/>
    <s v=" "/>
    <m/>
    <m/>
    <m/>
    <m/>
  </r>
  <r>
    <x v="886"/>
    <d v="2024-12-13T00:00:00"/>
    <x v="12"/>
    <x v="11"/>
    <x v="1"/>
    <x v="0"/>
    <x v="0"/>
    <x v="0"/>
    <s v=""/>
    <s v=""/>
    <s v=""/>
    <s v=""/>
    <s v=""/>
    <s v=""/>
    <s v=""/>
    <s v=""/>
    <s v=""/>
    <s v=""/>
    <m/>
    <m/>
    <m/>
    <m/>
    <m/>
    <m/>
    <m/>
    <m/>
    <m/>
    <m/>
    <m/>
    <m/>
    <m/>
    <m/>
    <m/>
    <s v=" "/>
    <m/>
    <m/>
    <m/>
    <m/>
  </r>
  <r>
    <x v="887"/>
    <d v="2024-12-14T00:00:00"/>
    <x v="13"/>
    <x v="11"/>
    <x v="1"/>
    <x v="5"/>
    <x v="3"/>
    <x v="3"/>
    <s v="Cash"/>
    <s v=""/>
    <n v="56"/>
    <s v=""/>
    <s v=""/>
    <s v=""/>
    <s v=""/>
    <s v=""/>
    <n v="6605.9100000000153"/>
    <s v=""/>
    <m/>
    <m/>
    <m/>
    <m/>
    <m/>
    <m/>
    <m/>
    <m/>
    <m/>
    <m/>
    <m/>
    <m/>
    <m/>
    <m/>
    <m/>
    <s v=" "/>
    <m/>
    <m/>
    <m/>
    <m/>
  </r>
  <r>
    <x v="887"/>
    <d v="2024-12-14T00:00:00"/>
    <x v="13"/>
    <x v="11"/>
    <x v="1"/>
    <x v="5"/>
    <x v="6"/>
    <x v="3"/>
    <s v="Cash"/>
    <s v=""/>
    <n v="9.4499999999999993"/>
    <s v=""/>
    <s v=""/>
    <s v=""/>
    <s v=""/>
    <s v=""/>
    <n v="6596.4600000000155"/>
    <s v=""/>
    <m/>
    <m/>
    <m/>
    <m/>
    <m/>
    <m/>
    <m/>
    <m/>
    <m/>
    <m/>
    <m/>
    <m/>
    <m/>
    <m/>
    <m/>
    <s v=" "/>
    <m/>
    <m/>
    <m/>
    <m/>
  </r>
  <r>
    <x v="887"/>
    <d v="2024-12-14T00:00:00"/>
    <x v="13"/>
    <x v="11"/>
    <x v="1"/>
    <x v="130"/>
    <x v="9"/>
    <x v="2"/>
    <s v="Cash"/>
    <n v="2"/>
    <s v=""/>
    <s v=""/>
    <s v=""/>
    <s v=""/>
    <s v=""/>
    <s v=""/>
    <n v="6594.4600000000155"/>
    <s v=""/>
    <m/>
    <m/>
    <m/>
    <m/>
    <m/>
    <m/>
    <m/>
    <m/>
    <m/>
    <m/>
    <m/>
    <m/>
    <m/>
    <m/>
    <m/>
    <s v=" "/>
    <m/>
    <m/>
    <m/>
    <m/>
  </r>
  <r>
    <x v="888"/>
    <d v="2024-12-15T00:00:00"/>
    <x v="14"/>
    <x v="11"/>
    <x v="1"/>
    <x v="5"/>
    <x v="3"/>
    <x v="3"/>
    <s v="Cash"/>
    <s v=""/>
    <n v="15.12"/>
    <s v=""/>
    <s v=""/>
    <s v=""/>
    <s v=""/>
    <s v=""/>
    <n v="6579.3400000000156"/>
    <s v=""/>
    <m/>
    <m/>
    <m/>
    <m/>
    <m/>
    <m/>
    <m/>
    <m/>
    <m/>
    <m/>
    <m/>
    <m/>
    <m/>
    <m/>
    <m/>
    <s v=" "/>
    <m/>
    <m/>
    <m/>
    <m/>
  </r>
  <r>
    <x v="888"/>
    <d v="2024-12-15T00:00:00"/>
    <x v="14"/>
    <x v="11"/>
    <x v="1"/>
    <x v="5"/>
    <x v="6"/>
    <x v="3"/>
    <s v="Cash"/>
    <s v=""/>
    <n v="9.18"/>
    <s v=""/>
    <s v=""/>
    <s v=""/>
    <s v=""/>
    <s v=""/>
    <n v="6570.1600000000153"/>
    <s v=""/>
    <m/>
    <m/>
    <m/>
    <m/>
    <m/>
    <m/>
    <m/>
    <m/>
    <m/>
    <m/>
    <m/>
    <m/>
    <m/>
    <m/>
    <m/>
    <s v=" "/>
    <m/>
    <m/>
    <m/>
    <m/>
  </r>
  <r>
    <x v="888"/>
    <d v="2024-12-15T00:00:00"/>
    <x v="14"/>
    <x v="11"/>
    <x v="1"/>
    <x v="12"/>
    <x v="2"/>
    <x v="2"/>
    <s v="Cash"/>
    <n v="6.6"/>
    <s v=""/>
    <s v=""/>
    <s v=""/>
    <s v=""/>
    <s v=""/>
    <s v=""/>
    <n v="6563.560000000015"/>
    <s v=""/>
    <m/>
    <m/>
    <m/>
    <m/>
    <m/>
    <m/>
    <m/>
    <m/>
    <m/>
    <m/>
    <m/>
    <m/>
    <m/>
    <m/>
    <m/>
    <s v=" "/>
    <m/>
    <m/>
    <m/>
    <m/>
  </r>
  <r>
    <x v="888"/>
    <d v="2024-12-15T00:00:00"/>
    <x v="14"/>
    <x v="11"/>
    <x v="1"/>
    <x v="159"/>
    <x v="21"/>
    <x v="2"/>
    <s v="Cash"/>
    <n v="1.2"/>
    <s v=""/>
    <s v=""/>
    <s v=""/>
    <s v=""/>
    <s v=""/>
    <s v=""/>
    <n v="6562.3600000000151"/>
    <s v=""/>
    <m/>
    <m/>
    <m/>
    <m/>
    <m/>
    <m/>
    <m/>
    <m/>
    <m/>
    <m/>
    <m/>
    <m/>
    <m/>
    <m/>
    <m/>
    <s v=" "/>
    <m/>
    <m/>
    <m/>
    <m/>
  </r>
  <r>
    <x v="889"/>
    <d v="2024-12-16T00:00:00"/>
    <x v="15"/>
    <x v="11"/>
    <x v="1"/>
    <x v="5"/>
    <x v="3"/>
    <x v="3"/>
    <s v="Cash"/>
    <s v=""/>
    <n v="25.7"/>
    <s v=""/>
    <s v=""/>
    <s v=""/>
    <s v=""/>
    <s v=""/>
    <n v="6536.6600000000153"/>
    <s v=""/>
    <m/>
    <m/>
    <m/>
    <m/>
    <m/>
    <m/>
    <m/>
    <m/>
    <m/>
    <m/>
    <m/>
    <m/>
    <m/>
    <m/>
    <m/>
    <s v=" "/>
    <m/>
    <m/>
    <m/>
    <m/>
  </r>
  <r>
    <x v="890"/>
    <d v="2024-12-16T00:00:00"/>
    <x v="15"/>
    <x v="11"/>
    <x v="1"/>
    <x v="0"/>
    <x v="12"/>
    <x v="6"/>
    <s v="Carta"/>
    <s v=""/>
    <n v="36"/>
    <s v=""/>
    <s v=""/>
    <s v=""/>
    <s v=""/>
    <s v=""/>
    <n v="6500.6600000000153"/>
    <s v=""/>
    <m/>
    <m/>
    <m/>
    <m/>
    <m/>
    <m/>
    <m/>
    <m/>
    <m/>
    <m/>
    <m/>
    <m/>
    <m/>
    <m/>
    <m/>
    <s v=" "/>
    <m/>
    <m/>
    <m/>
    <m/>
  </r>
  <r>
    <x v="891"/>
    <d v="2024-12-17T00:00:00"/>
    <x v="16"/>
    <x v="11"/>
    <x v="1"/>
    <x v="0"/>
    <x v="0"/>
    <x v="0"/>
    <s v=""/>
    <s v=""/>
    <s v=""/>
    <s v=""/>
    <s v=""/>
    <s v=""/>
    <s v=""/>
    <s v=""/>
    <s v=""/>
    <s v=""/>
    <m/>
    <m/>
    <m/>
    <m/>
    <m/>
    <m/>
    <m/>
    <m/>
    <m/>
    <m/>
    <m/>
    <m/>
    <m/>
    <m/>
    <m/>
    <s v=" "/>
    <m/>
    <m/>
    <m/>
    <m/>
  </r>
  <r>
    <x v="892"/>
    <d v="2024-12-18T00:00:00"/>
    <x v="17"/>
    <x v="11"/>
    <x v="1"/>
    <x v="12"/>
    <x v="2"/>
    <x v="2"/>
    <s v="Cash"/>
    <n v="6.6"/>
    <s v=""/>
    <s v=""/>
    <s v=""/>
    <s v=""/>
    <s v=""/>
    <s v=""/>
    <n v="6494.060000000015"/>
    <s v=""/>
    <m/>
    <m/>
    <m/>
    <m/>
    <m/>
    <m/>
    <m/>
    <m/>
    <m/>
    <m/>
    <m/>
    <m/>
    <m/>
    <m/>
    <m/>
    <s v=" "/>
    <m/>
    <m/>
    <m/>
    <m/>
  </r>
  <r>
    <x v="893"/>
    <d v="2024-12-18T00:00:00"/>
    <x v="17"/>
    <x v="11"/>
    <x v="1"/>
    <x v="3"/>
    <x v="2"/>
    <x v="2"/>
    <s v="Cash"/>
    <n v="84.9"/>
    <s v=""/>
    <s v=""/>
    <s v=""/>
    <s v=""/>
    <s v=""/>
    <s v=""/>
    <n v="6409.1600000000153"/>
    <s v=""/>
    <m/>
    <m/>
    <m/>
    <m/>
    <m/>
    <m/>
    <m/>
    <m/>
    <m/>
    <m/>
    <m/>
    <m/>
    <m/>
    <m/>
    <m/>
    <s v=" "/>
    <m/>
    <m/>
    <m/>
    <m/>
  </r>
  <r>
    <x v="893"/>
    <d v="2024-12-18T00:00:00"/>
    <x v="17"/>
    <x v="11"/>
    <x v="1"/>
    <x v="160"/>
    <x v="21"/>
    <x v="2"/>
    <s v="Cash"/>
    <n v="39"/>
    <s v=""/>
    <s v=""/>
    <s v=""/>
    <s v=""/>
    <s v=""/>
    <s v=""/>
    <n v="6370.1600000000153"/>
    <s v=""/>
    <m/>
    <m/>
    <m/>
    <m/>
    <m/>
    <m/>
    <m/>
    <m/>
    <m/>
    <m/>
    <m/>
    <m/>
    <m/>
    <m/>
    <m/>
    <s v=" "/>
    <m/>
    <m/>
    <m/>
    <m/>
  </r>
  <r>
    <x v="893"/>
    <d v="2024-12-18T00:00:00"/>
    <x v="17"/>
    <x v="11"/>
    <x v="1"/>
    <x v="161"/>
    <x v="21"/>
    <x v="2"/>
    <s v="Cash"/>
    <n v="13"/>
    <s v=""/>
    <s v=""/>
    <s v=""/>
    <s v=""/>
    <s v=""/>
    <s v=""/>
    <n v="6357.1600000000153"/>
    <s v=""/>
    <m/>
    <m/>
    <m/>
    <m/>
    <m/>
    <m/>
    <m/>
    <m/>
    <m/>
    <m/>
    <m/>
    <m/>
    <m/>
    <m/>
    <m/>
    <s v=" "/>
    <m/>
    <m/>
    <m/>
    <m/>
  </r>
  <r>
    <x v="894"/>
    <d v="2024-12-19T00:00:00"/>
    <x v="18"/>
    <x v="11"/>
    <x v="1"/>
    <x v="162"/>
    <x v="10"/>
    <x v="2"/>
    <s v="Cash"/>
    <n v="27.9"/>
    <s v=""/>
    <s v=""/>
    <s v=""/>
    <s v=""/>
    <s v=""/>
    <s v=""/>
    <n v="6329.2600000000157"/>
    <s v=""/>
    <m/>
    <m/>
    <m/>
    <m/>
    <m/>
    <m/>
    <m/>
    <m/>
    <m/>
    <m/>
    <m/>
    <m/>
    <m/>
    <m/>
    <m/>
    <s v=" "/>
    <m/>
    <m/>
    <m/>
    <m/>
  </r>
  <r>
    <x v="894"/>
    <d v="2024-12-19T00:00:00"/>
    <x v="18"/>
    <x v="11"/>
    <x v="1"/>
    <x v="5"/>
    <x v="6"/>
    <x v="3"/>
    <s v="Cash"/>
    <s v=""/>
    <n v="18.739999999999998"/>
    <s v=""/>
    <s v=""/>
    <s v=""/>
    <s v=""/>
    <s v=""/>
    <n v="6310.5200000000159"/>
    <s v=""/>
    <m/>
    <m/>
    <m/>
    <m/>
    <m/>
    <m/>
    <m/>
    <m/>
    <m/>
    <m/>
    <m/>
    <m/>
    <m/>
    <m/>
    <m/>
    <s v=" "/>
    <m/>
    <m/>
    <m/>
    <m/>
  </r>
  <r>
    <x v="894"/>
    <d v="2024-12-19T00:00:00"/>
    <x v="18"/>
    <x v="11"/>
    <x v="1"/>
    <x v="5"/>
    <x v="3"/>
    <x v="3"/>
    <s v="Cash"/>
    <s v=""/>
    <n v="6.38"/>
    <s v=""/>
    <s v=""/>
    <s v=""/>
    <s v=""/>
    <s v=""/>
    <n v="6304.1400000000158"/>
    <s v=""/>
    <m/>
    <m/>
    <m/>
    <m/>
    <m/>
    <m/>
    <m/>
    <m/>
    <m/>
    <m/>
    <m/>
    <m/>
    <m/>
    <m/>
    <m/>
    <s v=" "/>
    <m/>
    <m/>
    <m/>
    <m/>
  </r>
  <r>
    <x v="894"/>
    <d v="2024-12-19T00:00:00"/>
    <x v="18"/>
    <x v="11"/>
    <x v="1"/>
    <x v="12"/>
    <x v="2"/>
    <x v="2"/>
    <s v="Cash"/>
    <n v="6.6"/>
    <s v=""/>
    <s v=""/>
    <s v=""/>
    <s v=""/>
    <s v=""/>
    <s v=""/>
    <n v="6297.5400000000154"/>
    <s v=""/>
    <m/>
    <m/>
    <m/>
    <m/>
    <m/>
    <m/>
    <m/>
    <m/>
    <m/>
    <m/>
    <m/>
    <m/>
    <m/>
    <m/>
    <m/>
    <s v=" "/>
    <m/>
    <m/>
    <m/>
    <m/>
  </r>
  <r>
    <x v="894"/>
    <d v="2024-12-19T00:00:00"/>
    <x v="18"/>
    <x v="11"/>
    <x v="1"/>
    <x v="163"/>
    <x v="21"/>
    <x v="2"/>
    <s v="Cash"/>
    <n v="245"/>
    <s v=""/>
    <s v=""/>
    <s v=""/>
    <s v=""/>
    <s v=""/>
    <s v=""/>
    <n v="6052.5400000000154"/>
    <s v=""/>
    <m/>
    <m/>
    <m/>
    <m/>
    <m/>
    <m/>
    <m/>
    <m/>
    <m/>
    <m/>
    <m/>
    <m/>
    <m/>
    <m/>
    <m/>
    <s v=" "/>
    <m/>
    <m/>
    <m/>
    <m/>
  </r>
  <r>
    <x v="894"/>
    <d v="2024-12-19T00:00:00"/>
    <x v="18"/>
    <x v="11"/>
    <x v="1"/>
    <x v="136"/>
    <x v="21"/>
    <x v="2"/>
    <s v="Cash"/>
    <n v="0.1"/>
    <s v=""/>
    <s v=""/>
    <s v=""/>
    <s v=""/>
    <s v=""/>
    <s v=""/>
    <n v="6052.4400000000151"/>
    <s v=""/>
    <m/>
    <m/>
    <m/>
    <m/>
    <m/>
    <m/>
    <m/>
    <m/>
    <m/>
    <m/>
    <m/>
    <m/>
    <m/>
    <m/>
    <m/>
    <s v=" "/>
    <m/>
    <m/>
    <m/>
    <m/>
  </r>
  <r>
    <x v="894"/>
    <d v="2024-12-19T00:00:00"/>
    <x v="18"/>
    <x v="11"/>
    <x v="1"/>
    <x v="22"/>
    <x v="14"/>
    <x v="0"/>
    <s v="Carta"/>
    <s v=""/>
    <s v=""/>
    <s v=""/>
    <s v=""/>
    <s v=""/>
    <s v=""/>
    <n v="500"/>
    <s v=""/>
    <s v=""/>
    <m/>
    <m/>
    <m/>
    <m/>
    <m/>
    <m/>
    <m/>
    <m/>
    <m/>
    <m/>
    <m/>
    <m/>
    <m/>
    <m/>
    <m/>
    <s v=" "/>
    <m/>
    <m/>
    <m/>
    <m/>
  </r>
  <r>
    <x v="895"/>
    <d v="2024-12-20T00:00:00"/>
    <x v="19"/>
    <x v="11"/>
    <x v="1"/>
    <x v="0"/>
    <x v="0"/>
    <x v="0"/>
    <s v=""/>
    <s v=""/>
    <s v=""/>
    <s v=""/>
    <s v=""/>
    <s v=""/>
    <s v=""/>
    <s v=""/>
    <s v=""/>
    <s v=""/>
    <m/>
    <m/>
    <m/>
    <m/>
    <m/>
    <m/>
    <m/>
    <m/>
    <m/>
    <m/>
    <m/>
    <m/>
    <m/>
    <m/>
    <m/>
    <s v=" "/>
    <m/>
    <m/>
    <m/>
    <m/>
  </r>
  <r>
    <x v="896"/>
    <d v="2024-12-21T00:00:00"/>
    <x v="20"/>
    <x v="11"/>
    <x v="1"/>
    <x v="0"/>
    <x v="0"/>
    <x v="0"/>
    <s v=""/>
    <s v=""/>
    <s v=""/>
    <s v=""/>
    <s v=""/>
    <s v=""/>
    <s v=""/>
    <s v=""/>
    <s v=""/>
    <s v=""/>
    <m/>
    <m/>
    <m/>
    <m/>
    <m/>
    <m/>
    <m/>
    <m/>
    <m/>
    <m/>
    <m/>
    <m/>
    <m/>
    <m/>
    <m/>
    <s v=" "/>
    <m/>
    <m/>
    <m/>
    <m/>
  </r>
  <r>
    <x v="897"/>
    <d v="2024-12-22T00:00:00"/>
    <x v="21"/>
    <x v="11"/>
    <x v="1"/>
    <x v="0"/>
    <x v="0"/>
    <x v="0"/>
    <s v=""/>
    <s v=""/>
    <s v=""/>
    <s v=""/>
    <s v=""/>
    <s v=""/>
    <s v=""/>
    <s v=""/>
    <s v=""/>
    <s v=""/>
    <m/>
    <m/>
    <m/>
    <m/>
    <m/>
    <m/>
    <m/>
    <m/>
    <m/>
    <m/>
    <m/>
    <m/>
    <m/>
    <m/>
    <m/>
    <s v=" "/>
    <m/>
    <m/>
    <m/>
    <m/>
  </r>
  <r>
    <x v="898"/>
    <d v="2024-12-23T00:00:00"/>
    <x v="22"/>
    <x v="11"/>
    <x v="1"/>
    <x v="164"/>
    <x v="21"/>
    <x v="2"/>
    <s v="Cash"/>
    <n v="30"/>
    <s v=""/>
    <s v=""/>
    <s v=""/>
    <s v=""/>
    <s v=""/>
    <s v=""/>
    <n v="6022.4400000000151"/>
    <s v=""/>
    <m/>
    <m/>
    <m/>
    <m/>
    <m/>
    <m/>
    <m/>
    <m/>
    <m/>
    <m/>
    <m/>
    <m/>
    <m/>
    <m/>
    <m/>
    <s v=" "/>
    <m/>
    <m/>
    <m/>
    <m/>
  </r>
  <r>
    <x v="899"/>
    <d v="2024-12-23T00:00:00"/>
    <x v="22"/>
    <x v="11"/>
    <x v="1"/>
    <x v="12"/>
    <x v="2"/>
    <x v="2"/>
    <s v="Cash"/>
    <n v="2.2000000000000002"/>
    <s v=""/>
    <s v=""/>
    <s v=""/>
    <s v=""/>
    <s v=""/>
    <s v=""/>
    <n v="6020.2400000000152"/>
    <s v=""/>
    <m/>
    <m/>
    <m/>
    <m/>
    <m/>
    <m/>
    <m/>
    <m/>
    <m/>
    <m/>
    <m/>
    <m/>
    <m/>
    <m/>
    <m/>
    <s v=" "/>
    <m/>
    <m/>
    <m/>
    <m/>
  </r>
  <r>
    <x v="899"/>
    <d v="2024-12-23T00:00:00"/>
    <x v="22"/>
    <x v="11"/>
    <x v="1"/>
    <x v="16"/>
    <x v="15"/>
    <x v="7"/>
    <s v="Cash"/>
    <n v="1"/>
    <s v=""/>
    <s v=""/>
    <s v=""/>
    <s v=""/>
    <s v=""/>
    <s v=""/>
    <n v="6019.2400000000152"/>
    <s v=""/>
    <m/>
    <m/>
    <m/>
    <m/>
    <m/>
    <m/>
    <m/>
    <m/>
    <m/>
    <m/>
    <m/>
    <m/>
    <m/>
    <m/>
    <m/>
    <s v=" "/>
    <m/>
    <m/>
    <m/>
    <m/>
  </r>
  <r>
    <x v="899"/>
    <d v="2024-12-23T00:00:00"/>
    <x v="22"/>
    <x v="11"/>
    <x v="1"/>
    <x v="165"/>
    <x v="2"/>
    <x v="2"/>
    <s v="Cash"/>
    <n v="9.1"/>
    <s v=""/>
    <s v=""/>
    <s v=""/>
    <s v=""/>
    <s v=""/>
    <s v=""/>
    <n v="6010.1400000000149"/>
    <s v=""/>
    <m/>
    <m/>
    <m/>
    <m/>
    <m/>
    <m/>
    <m/>
    <m/>
    <m/>
    <m/>
    <m/>
    <m/>
    <m/>
    <m/>
    <m/>
    <s v=" "/>
    <m/>
    <m/>
    <m/>
    <m/>
  </r>
  <r>
    <x v="900"/>
    <d v="2024-12-24T00:00:00"/>
    <x v="23"/>
    <x v="11"/>
    <x v="1"/>
    <x v="0"/>
    <x v="0"/>
    <x v="0"/>
    <s v=""/>
    <s v=""/>
    <s v=""/>
    <s v=""/>
    <s v=""/>
    <s v=""/>
    <s v=""/>
    <s v=""/>
    <s v=""/>
    <s v=""/>
    <m/>
    <m/>
    <m/>
    <m/>
    <m/>
    <m/>
    <m/>
    <m/>
    <m/>
    <m/>
    <m/>
    <m/>
    <m/>
    <m/>
    <m/>
    <s v=" "/>
    <m/>
    <m/>
    <m/>
    <m/>
  </r>
  <r>
    <x v="901"/>
    <d v="2024-12-25T00:00:00"/>
    <x v="24"/>
    <x v="11"/>
    <x v="1"/>
    <x v="0"/>
    <x v="0"/>
    <x v="0"/>
    <s v=""/>
    <s v=""/>
    <s v=""/>
    <s v=""/>
    <s v=""/>
    <s v=""/>
    <s v=""/>
    <s v=""/>
    <s v=""/>
    <s v=""/>
    <m/>
    <m/>
    <m/>
    <m/>
    <m/>
    <m/>
    <m/>
    <m/>
    <m/>
    <m/>
    <m/>
    <m/>
    <m/>
    <m/>
    <m/>
    <s v=" "/>
    <m/>
    <m/>
    <m/>
    <m/>
  </r>
  <r>
    <x v="902"/>
    <d v="2024-12-26T00:00:00"/>
    <x v="25"/>
    <x v="11"/>
    <x v="1"/>
    <x v="0"/>
    <x v="0"/>
    <x v="0"/>
    <s v=""/>
    <s v=""/>
    <s v=""/>
    <s v=""/>
    <s v=""/>
    <s v=""/>
    <s v=""/>
    <s v=""/>
    <s v=""/>
    <s v=""/>
    <m/>
    <m/>
    <m/>
    <m/>
    <m/>
    <m/>
    <m/>
    <m/>
    <m/>
    <m/>
    <m/>
    <m/>
    <m/>
    <m/>
    <m/>
    <s v=" "/>
    <m/>
    <m/>
    <m/>
    <m/>
  </r>
  <r>
    <x v="903"/>
    <d v="2024-12-27T00:00:00"/>
    <x v="26"/>
    <x v="11"/>
    <x v="1"/>
    <x v="1"/>
    <x v="1"/>
    <x v="1"/>
    <s v="Carta"/>
    <s v=""/>
    <n v="2"/>
    <s v=""/>
    <s v=""/>
    <s v=""/>
    <s v=""/>
    <s v=""/>
    <n v="6008.1400000000149"/>
    <s v=""/>
    <m/>
    <m/>
    <m/>
    <m/>
    <m/>
    <m/>
    <m/>
    <m/>
    <m/>
    <m/>
    <m/>
    <m/>
    <m/>
    <m/>
    <m/>
    <s v=" "/>
    <m/>
    <m/>
    <m/>
    <m/>
  </r>
  <r>
    <x v="904"/>
    <d v="2024-12-28T00:00:00"/>
    <x v="27"/>
    <x v="11"/>
    <x v="1"/>
    <x v="0"/>
    <x v="0"/>
    <x v="0"/>
    <s v=""/>
    <s v=""/>
    <s v=""/>
    <s v=""/>
    <s v=""/>
    <s v=""/>
    <s v=""/>
    <s v=""/>
    <s v=""/>
    <s v=""/>
    <m/>
    <m/>
    <m/>
    <m/>
    <m/>
    <m/>
    <m/>
    <m/>
    <m/>
    <m/>
    <m/>
    <m/>
    <m/>
    <m/>
    <m/>
    <s v=" "/>
    <m/>
    <m/>
    <m/>
    <m/>
  </r>
  <r>
    <x v="905"/>
    <d v="2024-12-29T00:00:00"/>
    <x v="28"/>
    <x v="11"/>
    <x v="1"/>
    <x v="166"/>
    <x v="21"/>
    <x v="2"/>
    <s v="Cash"/>
    <n v="44.53"/>
    <s v=""/>
    <s v=""/>
    <s v=""/>
    <s v=""/>
    <s v=""/>
    <s v=""/>
    <n v="5963.6100000000151"/>
    <s v=""/>
    <m/>
    <m/>
    <m/>
    <m/>
    <m/>
    <m/>
    <m/>
    <m/>
    <m/>
    <m/>
    <m/>
    <m/>
    <m/>
    <m/>
    <m/>
    <s v=" "/>
    <m/>
    <m/>
    <m/>
    <m/>
  </r>
  <r>
    <x v="906"/>
    <d v="2024-12-30T00:00:00"/>
    <x v="29"/>
    <x v="11"/>
    <x v="1"/>
    <x v="0"/>
    <x v="0"/>
    <x v="0"/>
    <s v=""/>
    <s v=""/>
    <s v=""/>
    <s v=""/>
    <s v=""/>
    <s v=""/>
    <s v=""/>
    <s v=""/>
    <s v=""/>
    <s v=""/>
    <m/>
    <m/>
    <m/>
    <m/>
    <m/>
    <m/>
    <m/>
    <m/>
    <m/>
    <m/>
    <m/>
    <m/>
    <m/>
    <m/>
    <m/>
    <s v=" "/>
    <m/>
    <m/>
    <m/>
    <m/>
  </r>
  <r>
    <x v="907"/>
    <d v="2024-12-31T00:00:00"/>
    <x v="30"/>
    <x v="11"/>
    <x v="1"/>
    <x v="0"/>
    <x v="0"/>
    <x v="0"/>
    <s v=""/>
    <s v=""/>
    <s v=""/>
    <s v=""/>
    <s v=""/>
    <s v=""/>
    <s v=""/>
    <s v=""/>
    <s v=""/>
    <s v=""/>
    <m/>
    <m/>
    <m/>
    <m/>
    <m/>
    <m/>
    <m/>
    <m/>
    <m/>
    <m/>
    <m/>
    <m/>
    <m/>
    <m/>
    <m/>
    <s v=" "/>
    <m/>
    <m/>
    <m/>
    <m/>
  </r>
  <r>
    <x v="908"/>
    <d v="2025-01-01T00:00:00"/>
    <x v="0"/>
    <x v="0"/>
    <x v="2"/>
    <x v="0"/>
    <x v="0"/>
    <x v="0"/>
    <s v=""/>
    <s v=""/>
    <s v=""/>
    <s v=""/>
    <s v=""/>
    <s v=""/>
    <s v=""/>
    <s v=""/>
    <m/>
    <s v=""/>
    <m/>
    <m/>
    <m/>
    <m/>
    <m/>
    <m/>
    <m/>
    <m/>
    <m/>
    <m/>
    <m/>
    <m/>
    <m/>
    <m/>
    <m/>
    <s v=" "/>
    <m/>
    <s v=" "/>
    <m/>
    <m/>
  </r>
  <r>
    <x v="909"/>
    <d v="2025-01-02T00:00:00"/>
    <x v="1"/>
    <x v="0"/>
    <x v="2"/>
    <x v="2"/>
    <x v="1"/>
    <x v="1"/>
    <s v="Carta"/>
    <s v=""/>
    <n v="4.9800000000000004"/>
    <s v=""/>
    <s v=""/>
    <s v=""/>
    <s v=""/>
    <s v=""/>
    <m/>
    <s v=""/>
    <m/>
    <m/>
    <m/>
    <m/>
    <m/>
    <m/>
    <m/>
    <m/>
    <m/>
    <m/>
    <m/>
    <m/>
    <m/>
    <m/>
    <m/>
    <s v=" "/>
    <m/>
    <s v=" "/>
    <m/>
    <m/>
  </r>
  <r>
    <x v="909"/>
    <d v="2025-01-02T00:00:00"/>
    <x v="1"/>
    <x v="0"/>
    <x v="2"/>
    <x v="167"/>
    <x v="20"/>
    <x v="10"/>
    <s v="Carta"/>
    <s v=""/>
    <s v=""/>
    <s v=""/>
    <n v="0.57999999999999996"/>
    <s v=""/>
    <s v=""/>
    <s v=""/>
    <m/>
    <s v=""/>
    <m/>
    <m/>
    <m/>
    <m/>
    <m/>
    <m/>
    <m/>
    <m/>
    <m/>
    <m/>
    <m/>
    <m/>
    <m/>
    <m/>
    <m/>
    <s v=" "/>
    <m/>
    <s v=" "/>
    <m/>
    <m/>
  </r>
  <r>
    <x v="909"/>
    <d v="2025-01-02T00:00:00"/>
    <x v="1"/>
    <x v="0"/>
    <x v="2"/>
    <x v="50"/>
    <x v="1"/>
    <x v="1"/>
    <s v="Carta"/>
    <s v=""/>
    <n v="8.59"/>
    <s v=""/>
    <s v=""/>
    <s v=""/>
    <s v=""/>
    <s v=""/>
    <m/>
    <s v=""/>
    <m/>
    <m/>
    <m/>
    <m/>
    <m/>
    <m/>
    <m/>
    <m/>
    <m/>
    <m/>
    <m/>
    <m/>
    <m/>
    <m/>
    <m/>
    <s v=" "/>
    <m/>
    <s v=" "/>
    <m/>
    <m/>
  </r>
  <r>
    <x v="910"/>
    <d v="2025-01-03T00:00:00"/>
    <x v="2"/>
    <x v="0"/>
    <x v="2"/>
    <x v="0"/>
    <x v="0"/>
    <x v="0"/>
    <s v=""/>
    <s v=""/>
    <s v=""/>
    <s v=""/>
    <s v=""/>
    <s v=""/>
    <s v=""/>
    <s v=""/>
    <m/>
    <s v=""/>
    <m/>
    <m/>
    <m/>
    <m/>
    <m/>
    <m/>
    <m/>
    <m/>
    <m/>
    <m/>
    <m/>
    <m/>
    <m/>
    <m/>
    <m/>
    <s v=" "/>
    <m/>
    <s v=" "/>
    <m/>
    <m/>
  </r>
  <r>
    <x v="911"/>
    <d v="2025-01-04T00:00:00"/>
    <x v="3"/>
    <x v="0"/>
    <x v="2"/>
    <x v="0"/>
    <x v="0"/>
    <x v="0"/>
    <s v=""/>
    <s v=""/>
    <s v=""/>
    <s v=""/>
    <s v=""/>
    <s v=""/>
    <s v=""/>
    <s v=""/>
    <m/>
    <s v=""/>
    <m/>
    <m/>
    <m/>
    <m/>
    <m/>
    <m/>
    <m/>
    <m/>
    <m/>
    <m/>
    <m/>
    <m/>
    <m/>
    <m/>
    <m/>
    <s v=" "/>
    <m/>
    <s v=" "/>
    <m/>
    <m/>
  </r>
  <r>
    <x v="912"/>
    <d v="2025-01-05T00:00:00"/>
    <x v="4"/>
    <x v="0"/>
    <x v="2"/>
    <x v="0"/>
    <x v="0"/>
    <x v="0"/>
    <s v=""/>
    <s v=""/>
    <s v=""/>
    <s v=""/>
    <s v=""/>
    <s v=""/>
    <s v=""/>
    <s v=""/>
    <m/>
    <s v=""/>
    <m/>
    <m/>
    <m/>
    <m/>
    <m/>
    <m/>
    <m/>
    <m/>
    <m/>
    <m/>
    <m/>
    <m/>
    <m/>
    <m/>
    <m/>
    <s v=" "/>
    <m/>
    <s v=" "/>
    <m/>
    <m/>
  </r>
  <r>
    <x v="913"/>
    <d v="2025-01-06T00:00:00"/>
    <x v="5"/>
    <x v="0"/>
    <x v="2"/>
    <x v="0"/>
    <x v="0"/>
    <x v="0"/>
    <s v=""/>
    <s v=""/>
    <s v=""/>
    <s v=""/>
    <s v=""/>
    <s v=""/>
    <s v=""/>
    <s v=""/>
    <m/>
    <s v=""/>
    <m/>
    <m/>
    <m/>
    <m/>
    <m/>
    <m/>
    <m/>
    <m/>
    <m/>
    <m/>
    <m/>
    <m/>
    <m/>
    <m/>
    <m/>
    <s v=" "/>
    <m/>
    <s v=" "/>
    <m/>
    <m/>
  </r>
  <r>
    <x v="914"/>
    <d v="2025-01-07T00:00:00"/>
    <x v="6"/>
    <x v="0"/>
    <x v="2"/>
    <x v="0"/>
    <x v="0"/>
    <x v="0"/>
    <s v=""/>
    <s v=""/>
    <s v=""/>
    <s v=""/>
    <s v=""/>
    <s v=""/>
    <s v=""/>
    <s v=""/>
    <m/>
    <s v=""/>
    <m/>
    <m/>
    <m/>
    <m/>
    <m/>
    <m/>
    <m/>
    <m/>
    <m/>
    <m/>
    <m/>
    <m/>
    <m/>
    <m/>
    <m/>
    <s v=" "/>
    <m/>
    <s v=" "/>
    <m/>
    <m/>
  </r>
  <r>
    <x v="915"/>
    <d v="2025-01-08T00:00:00"/>
    <x v="7"/>
    <x v="0"/>
    <x v="2"/>
    <x v="0"/>
    <x v="0"/>
    <x v="0"/>
    <s v=""/>
    <s v=""/>
    <s v=""/>
    <s v=""/>
    <s v=""/>
    <s v=""/>
    <s v=""/>
    <s v=""/>
    <m/>
    <s v=""/>
    <m/>
    <m/>
    <m/>
    <m/>
    <m/>
    <m/>
    <m/>
    <m/>
    <m/>
    <m/>
    <m/>
    <m/>
    <m/>
    <m/>
    <m/>
    <s v=" "/>
    <m/>
    <s v=" "/>
    <m/>
    <m/>
  </r>
  <r>
    <x v="916"/>
    <d v="2025-01-09T00:00:00"/>
    <x v="8"/>
    <x v="0"/>
    <x v="2"/>
    <x v="0"/>
    <x v="0"/>
    <x v="0"/>
    <s v=""/>
    <s v=""/>
    <s v=""/>
    <s v=""/>
    <s v=""/>
    <s v=""/>
    <s v=""/>
    <s v=""/>
    <m/>
    <s v=""/>
    <m/>
    <m/>
    <m/>
    <m/>
    <m/>
    <m/>
    <m/>
    <m/>
    <m/>
    <m/>
    <m/>
    <m/>
    <m/>
    <m/>
    <m/>
    <s v=" "/>
    <m/>
    <s v=" "/>
    <m/>
    <m/>
  </r>
  <r>
    <x v="917"/>
    <d v="2025-01-10T00:00:00"/>
    <x v="9"/>
    <x v="0"/>
    <x v="2"/>
    <x v="0"/>
    <x v="0"/>
    <x v="0"/>
    <s v=""/>
    <s v=""/>
    <s v=""/>
    <s v=""/>
    <s v=""/>
    <s v=""/>
    <s v=""/>
    <s v=""/>
    <m/>
    <s v=""/>
    <m/>
    <m/>
    <m/>
    <m/>
    <m/>
    <m/>
    <m/>
    <m/>
    <m/>
    <m/>
    <m/>
    <m/>
    <m/>
    <m/>
    <m/>
    <s v=" "/>
    <m/>
    <s v=" "/>
    <m/>
    <m/>
  </r>
  <r>
    <x v="918"/>
    <d v="2025-01-11T00:00:00"/>
    <x v="10"/>
    <x v="0"/>
    <x v="2"/>
    <x v="0"/>
    <x v="0"/>
    <x v="0"/>
    <s v=""/>
    <s v=""/>
    <s v=""/>
    <s v=""/>
    <s v=""/>
    <s v=""/>
    <s v=""/>
    <s v=""/>
    <m/>
    <s v=""/>
    <m/>
    <m/>
    <m/>
    <m/>
    <m/>
    <m/>
    <m/>
    <m/>
    <m/>
    <m/>
    <m/>
    <m/>
    <m/>
    <m/>
    <m/>
    <s v=" "/>
    <m/>
    <s v=" "/>
    <m/>
    <m/>
  </r>
  <r>
    <x v="919"/>
    <d v="2025-01-12T00:00:00"/>
    <x v="11"/>
    <x v="0"/>
    <x v="2"/>
    <x v="0"/>
    <x v="0"/>
    <x v="0"/>
    <s v=""/>
    <s v=""/>
    <s v=""/>
    <s v=""/>
    <s v=""/>
    <s v=""/>
    <s v=""/>
    <s v=""/>
    <m/>
    <s v=""/>
    <m/>
    <m/>
    <m/>
    <m/>
    <m/>
    <m/>
    <m/>
    <m/>
    <m/>
    <m/>
    <m/>
    <m/>
    <m/>
    <m/>
    <m/>
    <s v=" "/>
    <m/>
    <s v=" "/>
    <m/>
    <m/>
  </r>
  <r>
    <x v="920"/>
    <d v="2025-01-13T00:00:00"/>
    <x v="12"/>
    <x v="0"/>
    <x v="2"/>
    <x v="0"/>
    <x v="0"/>
    <x v="0"/>
    <s v=""/>
    <s v=""/>
    <s v=""/>
    <s v=""/>
    <s v=""/>
    <s v=""/>
    <s v=""/>
    <s v=""/>
    <m/>
    <s v=""/>
    <m/>
    <m/>
    <m/>
    <m/>
    <m/>
    <m/>
    <m/>
    <m/>
    <m/>
    <m/>
    <m/>
    <m/>
    <m/>
    <m/>
    <m/>
    <s v=" "/>
    <m/>
    <s v=" "/>
    <m/>
    <m/>
  </r>
  <r>
    <x v="921"/>
    <d v="2025-01-14T00:00:00"/>
    <x v="13"/>
    <x v="0"/>
    <x v="2"/>
    <x v="0"/>
    <x v="0"/>
    <x v="0"/>
    <s v=""/>
    <s v=""/>
    <s v=""/>
    <s v=""/>
    <s v=""/>
    <s v=""/>
    <s v=""/>
    <s v=""/>
    <m/>
    <s v=""/>
    <m/>
    <m/>
    <m/>
    <m/>
    <m/>
    <m/>
    <m/>
    <m/>
    <m/>
    <m/>
    <m/>
    <m/>
    <m/>
    <m/>
    <m/>
    <s v=" "/>
    <m/>
    <s v=" "/>
    <m/>
    <m/>
  </r>
  <r>
    <x v="922"/>
    <d v="2025-01-15T00:00:00"/>
    <x v="14"/>
    <x v="0"/>
    <x v="2"/>
    <x v="0"/>
    <x v="0"/>
    <x v="0"/>
    <s v=""/>
    <s v=""/>
    <s v=""/>
    <s v=""/>
    <s v=""/>
    <s v=""/>
    <s v=""/>
    <s v=""/>
    <m/>
    <s v=""/>
    <m/>
    <m/>
    <m/>
    <m/>
    <m/>
    <m/>
    <m/>
    <m/>
    <m/>
    <m/>
    <m/>
    <m/>
    <m/>
    <m/>
    <m/>
    <s v=" "/>
    <m/>
    <s v=" "/>
    <m/>
    <m/>
  </r>
  <r>
    <x v="923"/>
    <d v="2025-01-16T00:00:00"/>
    <x v="15"/>
    <x v="0"/>
    <x v="2"/>
    <x v="0"/>
    <x v="0"/>
    <x v="0"/>
    <s v=""/>
    <s v=""/>
    <s v=""/>
    <s v=""/>
    <s v=""/>
    <s v=""/>
    <s v=""/>
    <s v=""/>
    <m/>
    <s v=""/>
    <m/>
    <m/>
    <m/>
    <m/>
    <m/>
    <m/>
    <m/>
    <m/>
    <m/>
    <m/>
    <m/>
    <m/>
    <m/>
    <m/>
    <m/>
    <s v=" "/>
    <m/>
    <s v=" "/>
    <m/>
    <m/>
  </r>
  <r>
    <x v="924"/>
    <d v="2025-01-17T00:00:00"/>
    <x v="16"/>
    <x v="0"/>
    <x v="2"/>
    <x v="0"/>
    <x v="0"/>
    <x v="0"/>
    <s v=""/>
    <s v=""/>
    <s v=""/>
    <s v=""/>
    <s v=""/>
    <s v=""/>
    <s v=""/>
    <s v=""/>
    <m/>
    <s v=""/>
    <m/>
    <m/>
    <m/>
    <m/>
    <m/>
    <m/>
    <m/>
    <m/>
    <m/>
    <m/>
    <m/>
    <m/>
    <m/>
    <m/>
    <m/>
    <s v=" "/>
    <m/>
    <s v=" "/>
    <m/>
    <m/>
  </r>
  <r>
    <x v="925"/>
    <d v="2025-01-18T00:00:00"/>
    <x v="17"/>
    <x v="0"/>
    <x v="2"/>
    <x v="0"/>
    <x v="0"/>
    <x v="0"/>
    <s v=""/>
    <s v=""/>
    <s v=""/>
    <s v=""/>
    <s v=""/>
    <s v=""/>
    <s v=""/>
    <s v=""/>
    <m/>
    <s v=""/>
    <m/>
    <m/>
    <m/>
    <m/>
    <m/>
    <m/>
    <m/>
    <m/>
    <m/>
    <m/>
    <m/>
    <m/>
    <m/>
    <m/>
    <m/>
    <s v=" "/>
    <m/>
    <s v=" "/>
    <m/>
    <m/>
  </r>
  <r>
    <x v="926"/>
    <d v="2025-01-19T00:00:00"/>
    <x v="18"/>
    <x v="0"/>
    <x v="2"/>
    <x v="0"/>
    <x v="0"/>
    <x v="0"/>
    <s v=""/>
    <s v=""/>
    <s v=""/>
    <s v=""/>
    <s v=""/>
    <s v=""/>
    <s v=""/>
    <s v=""/>
    <m/>
    <s v=""/>
    <m/>
    <m/>
    <m/>
    <m/>
    <m/>
    <m/>
    <m/>
    <m/>
    <m/>
    <m/>
    <m/>
    <m/>
    <m/>
    <m/>
    <m/>
    <s v=" "/>
    <m/>
    <s v=" "/>
    <m/>
    <m/>
  </r>
  <r>
    <x v="927"/>
    <d v="2025-01-20T00:00:00"/>
    <x v="19"/>
    <x v="0"/>
    <x v="2"/>
    <x v="0"/>
    <x v="0"/>
    <x v="0"/>
    <s v=""/>
    <s v=""/>
    <s v=""/>
    <s v=""/>
    <s v=""/>
    <s v=""/>
    <s v=""/>
    <s v=""/>
    <m/>
    <s v=""/>
    <m/>
    <m/>
    <m/>
    <m/>
    <m/>
    <m/>
    <m/>
    <m/>
    <m/>
    <m/>
    <m/>
    <m/>
    <m/>
    <m/>
    <m/>
    <s v=" "/>
    <m/>
    <s v=" "/>
    <m/>
    <m/>
  </r>
  <r>
    <x v="928"/>
    <d v="2025-01-21T00:00:00"/>
    <x v="20"/>
    <x v="0"/>
    <x v="2"/>
    <x v="0"/>
    <x v="0"/>
    <x v="0"/>
    <s v=""/>
    <s v=""/>
    <s v=""/>
    <s v=""/>
    <s v=""/>
    <s v=""/>
    <s v=""/>
    <s v=""/>
    <m/>
    <s v=""/>
    <m/>
    <m/>
    <m/>
    <m/>
    <m/>
    <m/>
    <m/>
    <m/>
    <m/>
    <m/>
    <m/>
    <m/>
    <m/>
    <m/>
    <m/>
    <s v=" "/>
    <m/>
    <s v=" "/>
    <m/>
    <m/>
  </r>
  <r>
    <x v="929"/>
    <d v="2025-01-22T00:00:00"/>
    <x v="21"/>
    <x v="0"/>
    <x v="2"/>
    <x v="0"/>
    <x v="0"/>
    <x v="0"/>
    <s v=""/>
    <s v=""/>
    <s v=""/>
    <s v=""/>
    <s v=""/>
    <s v=""/>
    <s v=""/>
    <s v=""/>
    <m/>
    <s v=""/>
    <m/>
    <m/>
    <m/>
    <m/>
    <m/>
    <m/>
    <m/>
    <m/>
    <m/>
    <m/>
    <m/>
    <m/>
    <m/>
    <m/>
    <m/>
    <s v=" "/>
    <m/>
    <s v=" "/>
    <m/>
    <m/>
  </r>
  <r>
    <x v="930"/>
    <d v="2025-01-23T00:00:00"/>
    <x v="22"/>
    <x v="0"/>
    <x v="2"/>
    <x v="0"/>
    <x v="0"/>
    <x v="0"/>
    <s v=""/>
    <s v=""/>
    <s v=""/>
    <s v=""/>
    <s v=""/>
    <s v=""/>
    <s v=""/>
    <s v=""/>
    <m/>
    <s v=""/>
    <m/>
    <m/>
    <m/>
    <m/>
    <m/>
    <m/>
    <m/>
    <m/>
    <m/>
    <m/>
    <m/>
    <m/>
    <m/>
    <m/>
    <m/>
    <s v=" "/>
    <m/>
    <s v=" "/>
    <m/>
    <m/>
  </r>
  <r>
    <x v="931"/>
    <d v="2025-01-24T00:00:00"/>
    <x v="23"/>
    <x v="0"/>
    <x v="2"/>
    <x v="0"/>
    <x v="0"/>
    <x v="0"/>
    <s v=""/>
    <s v=""/>
    <s v=""/>
    <s v=""/>
    <s v=""/>
    <s v=""/>
    <s v=""/>
    <s v=""/>
    <m/>
    <s v=""/>
    <m/>
    <m/>
    <m/>
    <m/>
    <m/>
    <m/>
    <m/>
    <m/>
    <m/>
    <m/>
    <m/>
    <m/>
    <m/>
    <m/>
    <m/>
    <s v=" "/>
    <m/>
    <s v=" "/>
    <m/>
    <m/>
  </r>
  <r>
    <x v="932"/>
    <d v="2025-01-25T00:00:00"/>
    <x v="24"/>
    <x v="0"/>
    <x v="2"/>
    <x v="0"/>
    <x v="0"/>
    <x v="0"/>
    <s v=""/>
    <s v=""/>
    <s v=""/>
    <s v=""/>
    <s v=""/>
    <s v=""/>
    <s v=""/>
    <s v=""/>
    <m/>
    <s v=""/>
    <m/>
    <m/>
    <m/>
    <m/>
    <m/>
    <m/>
    <m/>
    <m/>
    <m/>
    <m/>
    <m/>
    <m/>
    <m/>
    <m/>
    <m/>
    <s v=" "/>
    <m/>
    <s v=" "/>
    <m/>
    <m/>
  </r>
  <r>
    <x v="933"/>
    <d v="2025-01-26T00:00:00"/>
    <x v="25"/>
    <x v="0"/>
    <x v="2"/>
    <x v="0"/>
    <x v="0"/>
    <x v="0"/>
    <s v=""/>
    <s v=""/>
    <s v=""/>
    <s v=""/>
    <s v=""/>
    <s v=""/>
    <s v=""/>
    <s v=""/>
    <m/>
    <s v=""/>
    <m/>
    <m/>
    <m/>
    <m/>
    <m/>
    <m/>
    <m/>
    <m/>
    <m/>
    <m/>
    <m/>
    <m/>
    <m/>
    <m/>
    <m/>
    <s v=" "/>
    <m/>
    <s v=" "/>
    <m/>
    <m/>
  </r>
  <r>
    <x v="934"/>
    <d v="2025-01-27T00:00:00"/>
    <x v="26"/>
    <x v="0"/>
    <x v="2"/>
    <x v="1"/>
    <x v="1"/>
    <x v="1"/>
    <s v="Carta"/>
    <s v=""/>
    <n v="2"/>
    <s v=""/>
    <s v=""/>
    <s v=""/>
    <s v=""/>
    <s v=""/>
    <m/>
    <s v=""/>
    <m/>
    <m/>
    <m/>
    <m/>
    <m/>
    <m/>
    <m/>
    <m/>
    <m/>
    <m/>
    <m/>
    <m/>
    <m/>
    <m/>
    <m/>
    <s v=" "/>
    <m/>
    <s v=" "/>
    <m/>
    <m/>
  </r>
  <r>
    <x v="935"/>
    <d v="2025-01-28T00:00:00"/>
    <x v="27"/>
    <x v="0"/>
    <x v="2"/>
    <x v="70"/>
    <x v="12"/>
    <x v="6"/>
    <s v="Carta"/>
    <s v=""/>
    <n v="160"/>
    <s v=""/>
    <s v=""/>
    <s v=""/>
    <s v=""/>
    <s v=""/>
    <m/>
    <s v=""/>
    <m/>
    <m/>
    <m/>
    <m/>
    <m/>
    <m/>
    <m/>
    <m/>
    <m/>
    <m/>
    <m/>
    <m/>
    <m/>
    <m/>
    <m/>
    <s v=" "/>
    <m/>
    <s v=" "/>
    <m/>
    <m/>
  </r>
  <r>
    <x v="936"/>
    <d v="2025-01-29T00:00:00"/>
    <x v="28"/>
    <x v="0"/>
    <x v="2"/>
    <x v="0"/>
    <x v="0"/>
    <x v="0"/>
    <s v=""/>
    <s v=""/>
    <s v=""/>
    <s v=""/>
    <s v=""/>
    <s v=""/>
    <s v=""/>
    <s v=""/>
    <m/>
    <s v=""/>
    <m/>
    <m/>
    <m/>
    <m/>
    <m/>
    <m/>
    <m/>
    <m/>
    <m/>
    <m/>
    <m/>
    <m/>
    <m/>
    <m/>
    <m/>
    <s v=" "/>
    <m/>
    <s v=" "/>
    <m/>
    <m/>
  </r>
  <r>
    <x v="937"/>
    <d v="2025-01-30T00:00:00"/>
    <x v="29"/>
    <x v="0"/>
    <x v="2"/>
    <x v="0"/>
    <x v="0"/>
    <x v="0"/>
    <s v=""/>
    <s v=""/>
    <s v=""/>
    <s v=""/>
    <s v=""/>
    <s v=""/>
    <s v=""/>
    <s v=""/>
    <m/>
    <s v=""/>
    <m/>
    <m/>
    <m/>
    <m/>
    <m/>
    <m/>
    <m/>
    <m/>
    <m/>
    <m/>
    <m/>
    <m/>
    <m/>
    <m/>
    <m/>
    <s v=" "/>
    <m/>
    <s v=" "/>
    <m/>
    <m/>
  </r>
  <r>
    <x v="938"/>
    <d v="2025-01-31T00:00:00"/>
    <x v="30"/>
    <x v="0"/>
    <x v="2"/>
    <x v="0"/>
    <x v="0"/>
    <x v="0"/>
    <s v=""/>
    <s v=""/>
    <s v=""/>
    <s v=""/>
    <s v=""/>
    <s v=""/>
    <s v=""/>
    <s v=""/>
    <m/>
    <s v=""/>
    <m/>
    <m/>
    <m/>
    <m/>
    <m/>
    <m/>
    <m/>
    <m/>
    <m/>
    <m/>
    <m/>
    <m/>
    <m/>
    <m/>
    <m/>
    <s v=" "/>
    <m/>
    <s v=" "/>
    <m/>
    <m/>
  </r>
  <r>
    <x v="939"/>
    <d v="2025-02-01T00:00:00"/>
    <x v="0"/>
    <x v="1"/>
    <x v="2"/>
    <x v="0"/>
    <x v="0"/>
    <x v="0"/>
    <s v=""/>
    <s v=""/>
    <s v=""/>
    <s v=""/>
    <s v=""/>
    <s v=""/>
    <s v=""/>
    <s v=""/>
    <m/>
    <s v=""/>
    <m/>
    <m/>
    <m/>
    <m/>
    <m/>
    <m/>
    <m/>
    <m/>
    <m/>
    <m/>
    <m/>
    <m/>
    <m/>
    <m/>
    <m/>
    <s v=" "/>
    <m/>
    <s v=" "/>
    <m/>
    <m/>
  </r>
  <r>
    <x v="940"/>
    <d v="2025-02-02T00:00:00"/>
    <x v="1"/>
    <x v="1"/>
    <x v="2"/>
    <x v="0"/>
    <x v="0"/>
    <x v="0"/>
    <s v=""/>
    <s v=""/>
    <s v=""/>
    <s v=""/>
    <s v=""/>
    <s v=""/>
    <s v=""/>
    <s v=""/>
    <m/>
    <s v=""/>
    <m/>
    <m/>
    <m/>
    <m/>
    <m/>
    <m/>
    <m/>
    <m/>
    <m/>
    <m/>
    <m/>
    <m/>
    <m/>
    <m/>
    <m/>
    <s v=" "/>
    <m/>
    <s v=" "/>
    <m/>
    <m/>
  </r>
  <r>
    <x v="941"/>
    <d v="2025-02-03T00:00:00"/>
    <x v="2"/>
    <x v="1"/>
    <x v="2"/>
    <x v="2"/>
    <x v="1"/>
    <x v="1"/>
    <s v="Carta"/>
    <s v=""/>
    <n v="3.3"/>
    <s v=""/>
    <s v=""/>
    <s v=""/>
    <s v=""/>
    <s v=""/>
    <m/>
    <s v=""/>
    <m/>
    <m/>
    <m/>
    <m/>
    <m/>
    <m/>
    <m/>
    <m/>
    <m/>
    <m/>
    <m/>
    <m/>
    <m/>
    <m/>
    <m/>
    <s v=" "/>
    <m/>
    <s v=" "/>
    <m/>
    <m/>
  </r>
  <r>
    <x v="942"/>
    <d v="2025-02-04T00:00:00"/>
    <x v="3"/>
    <x v="1"/>
    <x v="2"/>
    <x v="0"/>
    <x v="0"/>
    <x v="0"/>
    <s v=""/>
    <s v=""/>
    <s v=""/>
    <s v=""/>
    <s v=""/>
    <s v=""/>
    <s v=""/>
    <s v=""/>
    <m/>
    <s v=""/>
    <m/>
    <m/>
    <m/>
    <m/>
    <m/>
    <m/>
    <m/>
    <m/>
    <m/>
    <m/>
    <m/>
    <m/>
    <m/>
    <m/>
    <m/>
    <s v=" "/>
    <m/>
    <s v=" "/>
    <m/>
    <m/>
  </r>
  <r>
    <x v="943"/>
    <d v="2025-02-05T00:00:00"/>
    <x v="4"/>
    <x v="1"/>
    <x v="2"/>
    <x v="0"/>
    <x v="0"/>
    <x v="0"/>
    <s v=""/>
    <s v=""/>
    <s v=""/>
    <s v=""/>
    <s v=""/>
    <s v=""/>
    <s v=""/>
    <s v=""/>
    <m/>
    <s v=""/>
    <m/>
    <m/>
    <m/>
    <m/>
    <m/>
    <m/>
    <m/>
    <m/>
    <m/>
    <m/>
    <m/>
    <m/>
    <m/>
    <m/>
    <m/>
    <s v=" "/>
    <m/>
    <s v=" "/>
    <m/>
    <m/>
  </r>
  <r>
    <x v="944"/>
    <d v="2025-02-06T00:00:00"/>
    <x v="5"/>
    <x v="1"/>
    <x v="2"/>
    <x v="0"/>
    <x v="0"/>
    <x v="0"/>
    <s v=""/>
    <s v=""/>
    <s v=""/>
    <s v=""/>
    <s v=""/>
    <s v=""/>
    <s v=""/>
    <s v=""/>
    <m/>
    <s v=""/>
    <m/>
    <m/>
    <m/>
    <m/>
    <m/>
    <m/>
    <m/>
    <m/>
    <m/>
    <m/>
    <m/>
    <m/>
    <m/>
    <m/>
    <m/>
    <s v=" "/>
    <m/>
    <s v=" "/>
    <m/>
    <m/>
  </r>
  <r>
    <x v="945"/>
    <d v="2025-02-07T00:00:00"/>
    <x v="6"/>
    <x v="1"/>
    <x v="2"/>
    <x v="0"/>
    <x v="0"/>
    <x v="0"/>
    <s v=""/>
    <s v=""/>
    <s v=""/>
    <s v=""/>
    <s v=""/>
    <s v=""/>
    <s v=""/>
    <s v=""/>
    <m/>
    <s v=""/>
    <m/>
    <m/>
    <m/>
    <m/>
    <m/>
    <m/>
    <m/>
    <m/>
    <m/>
    <m/>
    <m/>
    <m/>
    <m/>
    <m/>
    <m/>
    <s v=" "/>
    <m/>
    <s v=" "/>
    <m/>
    <m/>
  </r>
  <r>
    <x v="946"/>
    <d v="2025-02-08T00:00:00"/>
    <x v="7"/>
    <x v="1"/>
    <x v="2"/>
    <x v="0"/>
    <x v="0"/>
    <x v="0"/>
    <s v=""/>
    <s v=""/>
    <s v=""/>
    <s v=""/>
    <s v=""/>
    <s v=""/>
    <s v=""/>
    <s v=""/>
    <m/>
    <s v=""/>
    <m/>
    <m/>
    <m/>
    <m/>
    <m/>
    <m/>
    <m/>
    <m/>
    <m/>
    <m/>
    <m/>
    <m/>
    <m/>
    <m/>
    <m/>
    <s v=" "/>
    <m/>
    <s v=" "/>
    <m/>
    <m/>
  </r>
  <r>
    <x v="947"/>
    <d v="2025-02-09T00:00:00"/>
    <x v="8"/>
    <x v="1"/>
    <x v="2"/>
    <x v="0"/>
    <x v="0"/>
    <x v="0"/>
    <s v=""/>
    <s v=""/>
    <s v=""/>
    <s v=""/>
    <s v=""/>
    <s v=""/>
    <s v=""/>
    <s v=""/>
    <m/>
    <s v=""/>
    <m/>
    <m/>
    <m/>
    <m/>
    <m/>
    <m/>
    <m/>
    <m/>
    <m/>
    <m/>
    <m/>
    <m/>
    <m/>
    <m/>
    <m/>
    <s v=" "/>
    <m/>
    <s v=" "/>
    <m/>
    <m/>
  </r>
  <r>
    <x v="948"/>
    <d v="2025-02-10T00:00:00"/>
    <x v="9"/>
    <x v="1"/>
    <x v="2"/>
    <x v="0"/>
    <x v="0"/>
    <x v="0"/>
    <s v=""/>
    <s v=""/>
    <s v=""/>
    <s v=""/>
    <s v=""/>
    <s v=""/>
    <s v=""/>
    <s v=""/>
    <m/>
    <s v=""/>
    <m/>
    <m/>
    <m/>
    <m/>
    <m/>
    <m/>
    <m/>
    <m/>
    <m/>
    <m/>
    <m/>
    <m/>
    <m/>
    <m/>
    <m/>
    <s v=" "/>
    <m/>
    <s v=" "/>
    <m/>
    <m/>
  </r>
  <r>
    <x v="949"/>
    <d v="2025-02-11T00:00:00"/>
    <x v="10"/>
    <x v="1"/>
    <x v="2"/>
    <x v="0"/>
    <x v="0"/>
    <x v="0"/>
    <s v=""/>
    <s v=""/>
    <s v=""/>
    <s v=""/>
    <s v=""/>
    <s v=""/>
    <s v=""/>
    <s v=""/>
    <m/>
    <s v=""/>
    <m/>
    <m/>
    <m/>
    <m/>
    <m/>
    <m/>
    <m/>
    <m/>
    <m/>
    <m/>
    <m/>
    <m/>
    <m/>
    <m/>
    <m/>
    <s v=" "/>
    <m/>
    <s v=" "/>
    <m/>
    <m/>
  </r>
  <r>
    <x v="950"/>
    <d v="2025-02-12T00:00:00"/>
    <x v="11"/>
    <x v="1"/>
    <x v="2"/>
    <x v="74"/>
    <x v="12"/>
    <x v="6"/>
    <s v="Carta"/>
    <s v=""/>
    <n v="39"/>
    <s v=""/>
    <s v=""/>
    <s v=""/>
    <s v=""/>
    <s v=""/>
    <m/>
    <s v=""/>
    <m/>
    <m/>
    <m/>
    <m/>
    <m/>
    <m/>
    <m/>
    <m/>
    <m/>
    <m/>
    <m/>
    <m/>
    <m/>
    <m/>
    <m/>
    <s v=" "/>
    <m/>
    <s v=" "/>
    <m/>
    <m/>
  </r>
  <r>
    <x v="951"/>
    <d v="2025-02-13T00:00:00"/>
    <x v="12"/>
    <x v="1"/>
    <x v="2"/>
    <x v="0"/>
    <x v="0"/>
    <x v="0"/>
    <s v=""/>
    <s v=""/>
    <s v=""/>
    <s v=""/>
    <s v=""/>
    <s v=""/>
    <s v=""/>
    <s v=""/>
    <m/>
    <s v=""/>
    <m/>
    <m/>
    <m/>
    <m/>
    <m/>
    <m/>
    <m/>
    <m/>
    <m/>
    <m/>
    <m/>
    <m/>
    <m/>
    <m/>
    <m/>
    <s v=" "/>
    <m/>
    <s v=" "/>
    <m/>
    <m/>
  </r>
  <r>
    <x v="952"/>
    <d v="2025-02-14T00:00:00"/>
    <x v="13"/>
    <x v="1"/>
    <x v="2"/>
    <x v="0"/>
    <x v="0"/>
    <x v="0"/>
    <s v=""/>
    <s v=""/>
    <s v=""/>
    <s v=""/>
    <s v=""/>
    <s v=""/>
    <s v=""/>
    <s v=""/>
    <m/>
    <s v=""/>
    <m/>
    <m/>
    <m/>
    <m/>
    <m/>
    <m/>
    <m/>
    <m/>
    <m/>
    <m/>
    <m/>
    <m/>
    <m/>
    <m/>
    <m/>
    <s v=" "/>
    <m/>
    <s v=" "/>
    <m/>
    <m/>
  </r>
  <r>
    <x v="953"/>
    <d v="2025-02-15T00:00:00"/>
    <x v="14"/>
    <x v="1"/>
    <x v="2"/>
    <x v="0"/>
    <x v="0"/>
    <x v="0"/>
    <s v=""/>
    <s v=""/>
    <s v=""/>
    <s v=""/>
    <s v=""/>
    <s v=""/>
    <s v=""/>
    <s v=""/>
    <m/>
    <s v=""/>
    <m/>
    <m/>
    <m/>
    <m/>
    <m/>
    <m/>
    <m/>
    <m/>
    <m/>
    <m/>
    <m/>
    <m/>
    <m/>
    <m/>
    <m/>
    <s v=" "/>
    <m/>
    <s v=" "/>
    <m/>
    <m/>
  </r>
  <r>
    <x v="954"/>
    <d v="2025-02-16T00:00:00"/>
    <x v="15"/>
    <x v="1"/>
    <x v="2"/>
    <x v="0"/>
    <x v="0"/>
    <x v="0"/>
    <s v=""/>
    <s v=""/>
    <s v=""/>
    <s v=""/>
    <s v=""/>
    <s v=""/>
    <s v=""/>
    <s v=""/>
    <m/>
    <s v=""/>
    <m/>
    <m/>
    <m/>
    <m/>
    <m/>
    <m/>
    <m/>
    <m/>
    <m/>
    <m/>
    <m/>
    <m/>
    <m/>
    <m/>
    <m/>
    <s v=" "/>
    <m/>
    <s v=" "/>
    <m/>
    <m/>
  </r>
  <r>
    <x v="955"/>
    <d v="2025-02-17T00:00:00"/>
    <x v="16"/>
    <x v="1"/>
    <x v="2"/>
    <x v="0"/>
    <x v="0"/>
    <x v="0"/>
    <s v=""/>
    <s v=""/>
    <s v=""/>
    <s v=""/>
    <s v=""/>
    <s v=""/>
    <s v=""/>
    <s v=""/>
    <m/>
    <s v=""/>
    <m/>
    <m/>
    <m/>
    <m/>
    <m/>
    <m/>
    <m/>
    <m/>
    <m/>
    <m/>
    <m/>
    <m/>
    <m/>
    <m/>
    <m/>
    <s v=" "/>
    <m/>
    <s v=" "/>
    <m/>
    <m/>
  </r>
  <r>
    <x v="956"/>
    <d v="2025-02-18T00:00:00"/>
    <x v="17"/>
    <x v="1"/>
    <x v="2"/>
    <x v="0"/>
    <x v="0"/>
    <x v="0"/>
    <s v=""/>
    <s v=""/>
    <s v=""/>
    <s v=""/>
    <s v=""/>
    <s v=""/>
    <s v=""/>
    <s v=""/>
    <m/>
    <s v=""/>
    <m/>
    <m/>
    <m/>
    <m/>
    <m/>
    <m/>
    <m/>
    <m/>
    <m/>
    <m/>
    <m/>
    <m/>
    <m/>
    <m/>
    <m/>
    <s v=" "/>
    <m/>
    <s v=" "/>
    <m/>
    <m/>
  </r>
  <r>
    <x v="957"/>
    <d v="2025-02-19T00:00:00"/>
    <x v="18"/>
    <x v="1"/>
    <x v="2"/>
    <x v="0"/>
    <x v="0"/>
    <x v="0"/>
    <s v=""/>
    <s v=""/>
    <s v=""/>
    <s v=""/>
    <s v=""/>
    <s v=""/>
    <s v=""/>
    <s v=""/>
    <m/>
    <s v=""/>
    <m/>
    <m/>
    <m/>
    <m/>
    <m/>
    <m/>
    <m/>
    <m/>
    <m/>
    <m/>
    <m/>
    <m/>
    <m/>
    <m/>
    <m/>
    <s v=" "/>
    <m/>
    <s v=" "/>
    <m/>
    <m/>
  </r>
  <r>
    <x v="958"/>
    <d v="2025-02-20T00:00:00"/>
    <x v="19"/>
    <x v="1"/>
    <x v="2"/>
    <x v="0"/>
    <x v="0"/>
    <x v="0"/>
    <s v=""/>
    <s v=""/>
    <s v=""/>
    <s v=""/>
    <s v=""/>
    <s v=""/>
    <s v=""/>
    <s v=""/>
    <m/>
    <s v=""/>
    <m/>
    <m/>
    <m/>
    <m/>
    <m/>
    <m/>
    <m/>
    <m/>
    <m/>
    <m/>
    <m/>
    <m/>
    <m/>
    <m/>
    <m/>
    <s v=" "/>
    <m/>
    <s v=" "/>
    <m/>
    <m/>
  </r>
  <r>
    <x v="959"/>
    <d v="2025-02-21T00:00:00"/>
    <x v="20"/>
    <x v="1"/>
    <x v="2"/>
    <x v="0"/>
    <x v="0"/>
    <x v="0"/>
    <s v=""/>
    <s v=""/>
    <s v=""/>
    <s v=""/>
    <s v=""/>
    <s v=""/>
    <s v=""/>
    <s v=""/>
    <m/>
    <s v=""/>
    <m/>
    <m/>
    <m/>
    <m/>
    <m/>
    <m/>
    <m/>
    <m/>
    <m/>
    <m/>
    <m/>
    <m/>
    <m/>
    <m/>
    <m/>
    <s v=" "/>
    <m/>
    <s v=" "/>
    <m/>
    <m/>
  </r>
  <r>
    <x v="960"/>
    <d v="2025-02-22T00:00:00"/>
    <x v="21"/>
    <x v="1"/>
    <x v="2"/>
    <x v="0"/>
    <x v="0"/>
    <x v="0"/>
    <s v=""/>
    <s v=""/>
    <s v=""/>
    <s v=""/>
    <s v=""/>
    <s v=""/>
    <s v=""/>
    <s v=""/>
    <m/>
    <s v=""/>
    <m/>
    <m/>
    <m/>
    <m/>
    <m/>
    <m/>
    <m/>
    <m/>
    <m/>
    <m/>
    <m/>
    <m/>
    <m/>
    <m/>
    <m/>
    <s v=" "/>
    <m/>
    <s v=" "/>
    <m/>
    <m/>
  </r>
  <r>
    <x v="961"/>
    <d v="2025-02-23T00:00:00"/>
    <x v="22"/>
    <x v="1"/>
    <x v="2"/>
    <x v="0"/>
    <x v="0"/>
    <x v="0"/>
    <s v=""/>
    <s v=""/>
    <s v=""/>
    <s v=""/>
    <s v=""/>
    <s v=""/>
    <s v=""/>
    <s v=""/>
    <m/>
    <s v=""/>
    <m/>
    <m/>
    <m/>
    <m/>
    <m/>
    <m/>
    <m/>
    <m/>
    <m/>
    <m/>
    <m/>
    <m/>
    <m/>
    <m/>
    <m/>
    <s v=" "/>
    <m/>
    <s v=" "/>
    <m/>
    <m/>
  </r>
  <r>
    <x v="962"/>
    <d v="2025-02-24T00:00:00"/>
    <x v="23"/>
    <x v="1"/>
    <x v="2"/>
    <x v="0"/>
    <x v="0"/>
    <x v="0"/>
    <s v=""/>
    <s v=""/>
    <s v=""/>
    <s v=""/>
    <s v=""/>
    <s v=""/>
    <s v=""/>
    <s v=""/>
    <m/>
    <s v=""/>
    <m/>
    <m/>
    <m/>
    <m/>
    <m/>
    <m/>
    <m/>
    <m/>
    <m/>
    <m/>
    <m/>
    <m/>
    <m/>
    <m/>
    <m/>
    <s v=" "/>
    <m/>
    <s v=" "/>
    <m/>
    <m/>
  </r>
  <r>
    <x v="963"/>
    <d v="2025-02-25T00:00:00"/>
    <x v="24"/>
    <x v="1"/>
    <x v="2"/>
    <x v="0"/>
    <x v="0"/>
    <x v="0"/>
    <s v=""/>
    <s v=""/>
    <s v=""/>
    <s v=""/>
    <s v=""/>
    <s v=""/>
    <s v=""/>
    <s v=""/>
    <m/>
    <s v=""/>
    <m/>
    <m/>
    <m/>
    <m/>
    <m/>
    <m/>
    <m/>
    <m/>
    <m/>
    <m/>
    <m/>
    <m/>
    <m/>
    <m/>
    <m/>
    <s v=" "/>
    <m/>
    <s v=" "/>
    <m/>
    <m/>
  </r>
  <r>
    <x v="964"/>
    <d v="2025-02-26T00:00:00"/>
    <x v="25"/>
    <x v="1"/>
    <x v="2"/>
    <x v="0"/>
    <x v="0"/>
    <x v="0"/>
    <s v=""/>
    <s v=""/>
    <s v=""/>
    <s v=""/>
    <s v=""/>
    <s v=""/>
    <s v=""/>
    <s v=""/>
    <m/>
    <s v=""/>
    <m/>
    <m/>
    <m/>
    <m/>
    <m/>
    <m/>
    <m/>
    <m/>
    <m/>
    <m/>
    <m/>
    <m/>
    <m/>
    <m/>
    <m/>
    <s v=" "/>
    <m/>
    <s v=" "/>
    <m/>
    <m/>
  </r>
  <r>
    <x v="965"/>
    <d v="2025-02-27T00:00:00"/>
    <x v="26"/>
    <x v="1"/>
    <x v="2"/>
    <x v="1"/>
    <x v="1"/>
    <x v="1"/>
    <s v="Carta"/>
    <s v=""/>
    <n v="2"/>
    <s v=""/>
    <s v=""/>
    <s v=""/>
    <s v=""/>
    <s v=""/>
    <m/>
    <s v=""/>
    <m/>
    <m/>
    <m/>
    <m/>
    <m/>
    <m/>
    <m/>
    <m/>
    <m/>
    <m/>
    <m/>
    <m/>
    <m/>
    <m/>
    <m/>
    <s v=" "/>
    <m/>
    <s v=" "/>
    <m/>
    <m/>
  </r>
  <r>
    <x v="966"/>
    <d v="2025-02-28T00:00:00"/>
    <x v="27"/>
    <x v="1"/>
    <x v="2"/>
    <x v="0"/>
    <x v="0"/>
    <x v="0"/>
    <s v=""/>
    <s v=""/>
    <s v=""/>
    <s v=""/>
    <s v=""/>
    <s v=""/>
    <s v=""/>
    <s v=""/>
    <m/>
    <s v=""/>
    <m/>
    <m/>
    <m/>
    <m/>
    <m/>
    <m/>
    <m/>
    <m/>
    <m/>
    <m/>
    <m/>
    <m/>
    <m/>
    <m/>
    <m/>
    <s v=" "/>
    <m/>
    <s v=" "/>
    <m/>
    <m/>
  </r>
  <r>
    <x v="967"/>
    <d v="2025-03-01T00:00:00"/>
    <x v="0"/>
    <x v="2"/>
    <x v="2"/>
    <x v="0"/>
    <x v="0"/>
    <x v="0"/>
    <s v=""/>
    <s v=""/>
    <s v=""/>
    <s v=""/>
    <s v=""/>
    <s v=""/>
    <s v=""/>
    <s v=""/>
    <m/>
    <s v=""/>
    <m/>
    <m/>
    <m/>
    <m/>
    <m/>
    <m/>
    <m/>
    <m/>
    <m/>
    <m/>
    <m/>
    <m/>
    <m/>
    <m/>
    <m/>
    <s v=" "/>
    <m/>
    <s v=" "/>
    <m/>
    <m/>
  </r>
  <r>
    <x v="968"/>
    <d v="2025-03-02T00:00:00"/>
    <x v="1"/>
    <x v="2"/>
    <x v="2"/>
    <x v="0"/>
    <x v="0"/>
    <x v="0"/>
    <s v=""/>
    <s v=""/>
    <s v=""/>
    <s v=""/>
    <s v=""/>
    <s v=""/>
    <s v=""/>
    <s v=""/>
    <m/>
    <s v=""/>
    <m/>
    <m/>
    <m/>
    <m/>
    <m/>
    <m/>
    <m/>
    <m/>
    <m/>
    <m/>
    <m/>
    <m/>
    <m/>
    <m/>
    <m/>
    <s v=" "/>
    <m/>
    <s v=" "/>
    <m/>
    <m/>
  </r>
  <r>
    <x v="969"/>
    <d v="2025-03-03T00:00:00"/>
    <x v="2"/>
    <x v="2"/>
    <x v="2"/>
    <x v="2"/>
    <x v="1"/>
    <x v="1"/>
    <s v="Carta"/>
    <s v=""/>
    <n v="3.73"/>
    <s v=""/>
    <s v=""/>
    <s v=""/>
    <s v=""/>
    <s v=""/>
    <m/>
    <s v=""/>
    <m/>
    <m/>
    <m/>
    <m/>
    <m/>
    <m/>
    <m/>
    <m/>
    <m/>
    <m/>
    <m/>
    <m/>
    <m/>
    <m/>
    <m/>
    <s v=" "/>
    <m/>
    <s v=" "/>
    <m/>
    <m/>
  </r>
  <r>
    <x v="970"/>
    <d v="2025-03-04T00:00:00"/>
    <x v="3"/>
    <x v="2"/>
    <x v="2"/>
    <x v="0"/>
    <x v="0"/>
    <x v="0"/>
    <s v=""/>
    <s v=""/>
    <s v=""/>
    <s v=""/>
    <s v=""/>
    <s v=""/>
    <s v=""/>
    <s v=""/>
    <m/>
    <s v=""/>
    <m/>
    <m/>
    <m/>
    <m/>
    <m/>
    <m/>
    <m/>
    <m/>
    <m/>
    <m/>
    <m/>
    <m/>
    <m/>
    <m/>
    <m/>
    <s v=" "/>
    <m/>
    <s v=" "/>
    <m/>
    <m/>
  </r>
  <r>
    <x v="971"/>
    <d v="2025-03-05T00:00:00"/>
    <x v="4"/>
    <x v="2"/>
    <x v="2"/>
    <x v="0"/>
    <x v="0"/>
    <x v="0"/>
    <s v=""/>
    <s v=""/>
    <s v=""/>
    <s v=""/>
    <s v=""/>
    <s v=""/>
    <s v=""/>
    <s v=""/>
    <m/>
    <s v=""/>
    <m/>
    <m/>
    <m/>
    <m/>
    <m/>
    <m/>
    <m/>
    <m/>
    <m/>
    <m/>
    <m/>
    <m/>
    <m/>
    <m/>
    <m/>
    <s v=" "/>
    <m/>
    <s v=" "/>
    <m/>
    <m/>
  </r>
  <r>
    <x v="972"/>
    <d v="2025-03-06T00:00:00"/>
    <x v="5"/>
    <x v="2"/>
    <x v="2"/>
    <x v="0"/>
    <x v="0"/>
    <x v="0"/>
    <s v=""/>
    <s v=""/>
    <s v=""/>
    <s v=""/>
    <s v=""/>
    <s v=""/>
    <s v=""/>
    <s v=""/>
    <m/>
    <s v=""/>
    <m/>
    <m/>
    <m/>
    <m/>
    <m/>
    <m/>
    <m/>
    <m/>
    <m/>
    <m/>
    <m/>
    <m/>
    <m/>
    <m/>
    <m/>
    <s v=" "/>
    <m/>
    <s v=" "/>
    <m/>
    <m/>
  </r>
  <r>
    <x v="973"/>
    <d v="2025-03-07T00:00:00"/>
    <x v="6"/>
    <x v="2"/>
    <x v="2"/>
    <x v="0"/>
    <x v="0"/>
    <x v="0"/>
    <s v=""/>
    <s v=""/>
    <s v=""/>
    <s v=""/>
    <s v=""/>
    <s v=""/>
    <s v=""/>
    <s v=""/>
    <m/>
    <s v=""/>
    <m/>
    <m/>
    <m/>
    <m/>
    <m/>
    <m/>
    <m/>
    <m/>
    <m/>
    <m/>
    <m/>
    <m/>
    <m/>
    <m/>
    <m/>
    <s v=" "/>
    <m/>
    <s v=" "/>
    <m/>
    <m/>
  </r>
  <r>
    <x v="974"/>
    <d v="2025-03-08T00:00:00"/>
    <x v="7"/>
    <x v="2"/>
    <x v="2"/>
    <x v="0"/>
    <x v="0"/>
    <x v="0"/>
    <s v=""/>
    <s v=""/>
    <s v=""/>
    <s v=""/>
    <s v=""/>
    <s v=""/>
    <s v=""/>
    <s v=""/>
    <m/>
    <s v=""/>
    <m/>
    <m/>
    <m/>
    <m/>
    <m/>
    <m/>
    <m/>
    <m/>
    <m/>
    <m/>
    <m/>
    <m/>
    <m/>
    <m/>
    <m/>
    <s v=" "/>
    <m/>
    <s v=" "/>
    <m/>
    <m/>
  </r>
  <r>
    <x v="975"/>
    <d v="2025-03-09T00:00:00"/>
    <x v="8"/>
    <x v="2"/>
    <x v="2"/>
    <x v="0"/>
    <x v="0"/>
    <x v="0"/>
    <s v=""/>
    <s v=""/>
    <s v=""/>
    <s v=""/>
    <s v=""/>
    <s v=""/>
    <s v=""/>
    <s v=""/>
    <m/>
    <s v=""/>
    <m/>
    <m/>
    <m/>
    <m/>
    <m/>
    <m/>
    <m/>
    <m/>
    <m/>
    <m/>
    <m/>
    <m/>
    <m/>
    <m/>
    <m/>
    <s v=" "/>
    <m/>
    <s v=" "/>
    <m/>
    <m/>
  </r>
  <r>
    <x v="976"/>
    <d v="2025-03-10T00:00:00"/>
    <x v="9"/>
    <x v="2"/>
    <x v="2"/>
    <x v="0"/>
    <x v="0"/>
    <x v="0"/>
    <s v=""/>
    <s v=""/>
    <s v=""/>
    <s v=""/>
    <s v=""/>
    <s v=""/>
    <s v=""/>
    <s v=""/>
    <m/>
    <s v=""/>
    <m/>
    <m/>
    <m/>
    <m/>
    <m/>
    <m/>
    <m/>
    <m/>
    <m/>
    <m/>
    <m/>
    <m/>
    <m/>
    <m/>
    <m/>
    <s v=" "/>
    <m/>
    <s v=" "/>
    <m/>
    <m/>
  </r>
  <r>
    <x v="977"/>
    <d v="2025-03-11T00:00:00"/>
    <x v="10"/>
    <x v="2"/>
    <x v="2"/>
    <x v="0"/>
    <x v="0"/>
    <x v="0"/>
    <s v=""/>
    <s v=""/>
    <s v=""/>
    <s v=""/>
    <s v=""/>
    <s v=""/>
    <s v=""/>
    <s v=""/>
    <m/>
    <s v=""/>
    <m/>
    <m/>
    <m/>
    <m/>
    <m/>
    <m/>
    <m/>
    <m/>
    <m/>
    <m/>
    <m/>
    <m/>
    <m/>
    <m/>
    <m/>
    <s v=" "/>
    <m/>
    <s v=" "/>
    <m/>
    <m/>
  </r>
  <r>
    <x v="978"/>
    <d v="2025-03-12T00:00:00"/>
    <x v="11"/>
    <x v="2"/>
    <x v="2"/>
    <x v="0"/>
    <x v="0"/>
    <x v="0"/>
    <s v=""/>
    <s v=""/>
    <s v=""/>
    <s v=""/>
    <s v=""/>
    <s v=""/>
    <s v=""/>
    <s v=""/>
    <m/>
    <s v=""/>
    <m/>
    <m/>
    <m/>
    <m/>
    <m/>
    <m/>
    <m/>
    <m/>
    <m/>
    <m/>
    <m/>
    <m/>
    <m/>
    <m/>
    <m/>
    <s v=" "/>
    <m/>
    <s v=" "/>
    <m/>
    <m/>
  </r>
  <r>
    <x v="979"/>
    <d v="2025-03-13T00:00:00"/>
    <x v="12"/>
    <x v="2"/>
    <x v="2"/>
    <x v="168"/>
    <x v="1"/>
    <x v="1"/>
    <s v="Carta"/>
    <s v=""/>
    <n v="83"/>
    <s v=""/>
    <s v=""/>
    <s v=""/>
    <s v=""/>
    <s v=""/>
    <m/>
    <s v=""/>
    <m/>
    <m/>
    <m/>
    <m/>
    <m/>
    <m/>
    <m/>
    <m/>
    <m/>
    <m/>
    <m/>
    <m/>
    <m/>
    <m/>
    <m/>
    <s v=" "/>
    <m/>
    <s v=" "/>
    <m/>
    <m/>
  </r>
  <r>
    <x v="980"/>
    <d v="2025-03-14T00:00:00"/>
    <x v="13"/>
    <x v="2"/>
    <x v="2"/>
    <x v="0"/>
    <x v="0"/>
    <x v="0"/>
    <s v=""/>
    <s v=""/>
    <s v=""/>
    <s v=""/>
    <s v=""/>
    <s v=""/>
    <s v=""/>
    <s v=""/>
    <m/>
    <s v=""/>
    <m/>
    <m/>
    <m/>
    <m/>
    <m/>
    <m/>
    <m/>
    <m/>
    <m/>
    <m/>
    <m/>
    <m/>
    <m/>
    <m/>
    <m/>
    <s v=" "/>
    <m/>
    <s v=" "/>
    <m/>
    <m/>
  </r>
  <r>
    <x v="981"/>
    <d v="2025-03-15T00:00:00"/>
    <x v="14"/>
    <x v="2"/>
    <x v="2"/>
    <x v="0"/>
    <x v="0"/>
    <x v="0"/>
    <s v=""/>
    <s v=""/>
    <s v=""/>
    <s v=""/>
    <s v=""/>
    <s v=""/>
    <s v=""/>
    <s v=""/>
    <m/>
    <s v=""/>
    <m/>
    <m/>
    <m/>
    <m/>
    <m/>
    <m/>
    <m/>
    <m/>
    <m/>
    <m/>
    <m/>
    <m/>
    <m/>
    <m/>
    <m/>
    <s v=" "/>
    <m/>
    <s v=" "/>
    <m/>
    <m/>
  </r>
  <r>
    <x v="982"/>
    <d v="2025-03-16T00:00:00"/>
    <x v="15"/>
    <x v="2"/>
    <x v="2"/>
    <x v="0"/>
    <x v="0"/>
    <x v="0"/>
    <s v=""/>
    <s v=""/>
    <s v=""/>
    <s v=""/>
    <s v=""/>
    <s v=""/>
    <s v=""/>
    <s v=""/>
    <m/>
    <s v=""/>
    <m/>
    <m/>
    <m/>
    <m/>
    <m/>
    <m/>
    <m/>
    <m/>
    <m/>
    <m/>
    <m/>
    <m/>
    <m/>
    <m/>
    <m/>
    <s v=" "/>
    <m/>
    <s v=" "/>
    <m/>
    <m/>
  </r>
  <r>
    <x v="983"/>
    <d v="2025-03-17T00:00:00"/>
    <x v="16"/>
    <x v="2"/>
    <x v="2"/>
    <x v="0"/>
    <x v="0"/>
    <x v="0"/>
    <s v=""/>
    <s v=""/>
    <s v=""/>
    <s v=""/>
    <s v=""/>
    <s v=""/>
    <s v=""/>
    <s v=""/>
    <m/>
    <s v=""/>
    <m/>
    <m/>
    <m/>
    <m/>
    <m/>
    <m/>
    <m/>
    <m/>
    <m/>
    <m/>
    <m/>
    <m/>
    <m/>
    <m/>
    <m/>
    <s v=" "/>
    <m/>
    <s v=" "/>
    <m/>
    <m/>
  </r>
  <r>
    <x v="984"/>
    <d v="2025-03-18T00:00:00"/>
    <x v="17"/>
    <x v="2"/>
    <x v="2"/>
    <x v="0"/>
    <x v="0"/>
    <x v="0"/>
    <s v=""/>
    <s v=""/>
    <s v=""/>
    <s v=""/>
    <s v=""/>
    <s v=""/>
    <s v=""/>
    <s v=""/>
    <m/>
    <s v=""/>
    <m/>
    <m/>
    <m/>
    <m/>
    <m/>
    <m/>
    <m/>
    <m/>
    <m/>
    <m/>
    <m/>
    <m/>
    <m/>
    <m/>
    <m/>
    <s v=" "/>
    <m/>
    <s v=" "/>
    <m/>
    <m/>
  </r>
  <r>
    <x v="985"/>
    <d v="2025-03-19T00:00:00"/>
    <x v="18"/>
    <x v="2"/>
    <x v="2"/>
    <x v="0"/>
    <x v="0"/>
    <x v="0"/>
    <s v=""/>
    <s v=""/>
    <s v=""/>
    <s v=""/>
    <s v=""/>
    <s v=""/>
    <s v=""/>
    <s v=""/>
    <m/>
    <s v=""/>
    <m/>
    <m/>
    <m/>
    <m/>
    <m/>
    <m/>
    <m/>
    <m/>
    <m/>
    <m/>
    <m/>
    <m/>
    <m/>
    <m/>
    <m/>
    <s v=" "/>
    <m/>
    <s v=" "/>
    <m/>
    <m/>
  </r>
  <r>
    <x v="986"/>
    <d v="2025-03-20T00:00:00"/>
    <x v="19"/>
    <x v="2"/>
    <x v="2"/>
    <x v="0"/>
    <x v="0"/>
    <x v="0"/>
    <s v=""/>
    <s v=""/>
    <s v=""/>
    <s v=""/>
    <s v=""/>
    <s v=""/>
    <s v=""/>
    <s v=""/>
    <m/>
    <s v=""/>
    <m/>
    <m/>
    <m/>
    <m/>
    <m/>
    <m/>
    <m/>
    <m/>
    <m/>
    <m/>
    <m/>
    <m/>
    <m/>
    <m/>
    <m/>
    <s v=" "/>
    <m/>
    <s v=" "/>
    <m/>
    <m/>
  </r>
  <r>
    <x v="987"/>
    <d v="2025-03-21T00:00:00"/>
    <x v="20"/>
    <x v="2"/>
    <x v="2"/>
    <x v="0"/>
    <x v="0"/>
    <x v="0"/>
    <s v=""/>
    <s v=""/>
    <s v=""/>
    <s v=""/>
    <s v=""/>
    <s v=""/>
    <s v=""/>
    <s v=""/>
    <m/>
    <s v=""/>
    <m/>
    <m/>
    <m/>
    <m/>
    <m/>
    <m/>
    <m/>
    <m/>
    <m/>
    <m/>
    <m/>
    <m/>
    <m/>
    <m/>
    <m/>
    <s v=" "/>
    <m/>
    <s v=" "/>
    <m/>
    <m/>
  </r>
  <r>
    <x v="988"/>
    <d v="2025-03-22T00:00:00"/>
    <x v="21"/>
    <x v="2"/>
    <x v="2"/>
    <x v="0"/>
    <x v="0"/>
    <x v="0"/>
    <s v=""/>
    <s v=""/>
    <s v=""/>
    <s v=""/>
    <s v=""/>
    <s v=""/>
    <s v=""/>
    <s v=""/>
    <m/>
    <s v=""/>
    <m/>
    <m/>
    <m/>
    <m/>
    <m/>
    <m/>
    <m/>
    <m/>
    <m/>
    <m/>
    <m/>
    <m/>
    <m/>
    <m/>
    <m/>
    <s v=" "/>
    <m/>
    <s v=" "/>
    <m/>
    <m/>
  </r>
  <r>
    <x v="989"/>
    <d v="2025-03-23T00:00:00"/>
    <x v="22"/>
    <x v="2"/>
    <x v="2"/>
    <x v="0"/>
    <x v="0"/>
    <x v="0"/>
    <s v=""/>
    <s v=""/>
    <s v=""/>
    <s v=""/>
    <s v=""/>
    <s v=""/>
    <s v=""/>
    <s v=""/>
    <m/>
    <s v=""/>
    <m/>
    <m/>
    <m/>
    <m/>
    <m/>
    <m/>
    <m/>
    <m/>
    <m/>
    <m/>
    <m/>
    <m/>
    <m/>
    <m/>
    <m/>
    <s v=" "/>
    <m/>
    <s v=" "/>
    <m/>
    <m/>
  </r>
  <r>
    <x v="990"/>
    <d v="2025-03-24T00:00:00"/>
    <x v="23"/>
    <x v="2"/>
    <x v="2"/>
    <x v="0"/>
    <x v="0"/>
    <x v="0"/>
    <s v=""/>
    <s v=""/>
    <s v=""/>
    <s v=""/>
    <s v=""/>
    <s v=""/>
    <s v=""/>
    <s v=""/>
    <m/>
    <s v=""/>
    <m/>
    <m/>
    <m/>
    <m/>
    <m/>
    <m/>
    <m/>
    <m/>
    <m/>
    <m/>
    <m/>
    <m/>
    <m/>
    <m/>
    <m/>
    <s v=" "/>
    <m/>
    <s v=" "/>
    <m/>
    <m/>
  </r>
  <r>
    <x v="991"/>
    <d v="2025-03-25T00:00:00"/>
    <x v="24"/>
    <x v="2"/>
    <x v="2"/>
    <x v="0"/>
    <x v="0"/>
    <x v="0"/>
    <s v=""/>
    <s v=""/>
    <s v=""/>
    <s v=""/>
    <s v=""/>
    <s v=""/>
    <s v=""/>
    <s v=""/>
    <m/>
    <s v=""/>
    <m/>
    <m/>
    <m/>
    <m/>
    <m/>
    <m/>
    <m/>
    <m/>
    <m/>
    <m/>
    <m/>
    <m/>
    <m/>
    <m/>
    <m/>
    <s v=" "/>
    <m/>
    <s v=" "/>
    <m/>
    <m/>
  </r>
  <r>
    <x v="992"/>
    <d v="2025-03-26T00:00:00"/>
    <x v="25"/>
    <x v="2"/>
    <x v="2"/>
    <x v="0"/>
    <x v="0"/>
    <x v="0"/>
    <s v=""/>
    <s v=""/>
    <s v=""/>
    <s v=""/>
    <s v=""/>
    <s v=""/>
    <s v=""/>
    <s v=""/>
    <m/>
    <s v=""/>
    <m/>
    <m/>
    <m/>
    <m/>
    <m/>
    <m/>
    <m/>
    <m/>
    <m/>
    <m/>
    <m/>
    <m/>
    <m/>
    <m/>
    <m/>
    <s v=" "/>
    <m/>
    <s v=" "/>
    <m/>
    <m/>
  </r>
  <r>
    <x v="993"/>
    <d v="2025-03-27T00:00:00"/>
    <x v="26"/>
    <x v="2"/>
    <x v="2"/>
    <x v="1"/>
    <x v="1"/>
    <x v="1"/>
    <s v="Carta"/>
    <s v=""/>
    <n v="2"/>
    <s v=""/>
    <s v=""/>
    <s v=""/>
    <s v=""/>
    <s v=""/>
    <m/>
    <s v=""/>
    <m/>
    <m/>
    <m/>
    <m/>
    <m/>
    <m/>
    <m/>
    <m/>
    <m/>
    <m/>
    <m/>
    <m/>
    <m/>
    <m/>
    <m/>
    <s v=" "/>
    <m/>
    <s v=" "/>
    <m/>
    <m/>
  </r>
  <r>
    <x v="994"/>
    <d v="2025-03-28T00:00:00"/>
    <x v="27"/>
    <x v="2"/>
    <x v="2"/>
    <x v="0"/>
    <x v="0"/>
    <x v="0"/>
    <s v=""/>
    <s v=""/>
    <s v=""/>
    <s v=""/>
    <s v=""/>
    <s v=""/>
    <s v=""/>
    <s v=""/>
    <m/>
    <s v=""/>
    <m/>
    <m/>
    <m/>
    <m/>
    <m/>
    <m/>
    <m/>
    <m/>
    <m/>
    <m/>
    <m/>
    <m/>
    <m/>
    <m/>
    <m/>
    <s v=" "/>
    <m/>
    <s v=" "/>
    <m/>
    <m/>
  </r>
  <r>
    <x v="995"/>
    <d v="2025-03-29T00:00:00"/>
    <x v="28"/>
    <x v="2"/>
    <x v="2"/>
    <x v="0"/>
    <x v="0"/>
    <x v="0"/>
    <s v=""/>
    <s v=""/>
    <s v=""/>
    <s v=""/>
    <s v=""/>
    <s v=""/>
    <s v=""/>
    <s v=""/>
    <m/>
    <s v=""/>
    <m/>
    <m/>
    <m/>
    <m/>
    <m/>
    <m/>
    <m/>
    <m/>
    <m/>
    <m/>
    <m/>
    <m/>
    <m/>
    <m/>
    <m/>
    <s v=" "/>
    <m/>
    <s v=" "/>
    <m/>
    <m/>
  </r>
  <r>
    <x v="996"/>
    <d v="2025-03-30T00:00:00"/>
    <x v="29"/>
    <x v="2"/>
    <x v="2"/>
    <x v="0"/>
    <x v="0"/>
    <x v="0"/>
    <s v=""/>
    <s v=""/>
    <s v=""/>
    <s v=""/>
    <s v=""/>
    <s v=""/>
    <s v=""/>
    <s v=""/>
    <m/>
    <s v=""/>
    <m/>
    <m/>
    <m/>
    <m/>
    <m/>
    <m/>
    <m/>
    <m/>
    <m/>
    <m/>
    <m/>
    <m/>
    <m/>
    <m/>
    <m/>
    <s v=" "/>
    <m/>
    <s v=" "/>
    <m/>
    <m/>
  </r>
  <r>
    <x v="997"/>
    <d v="2025-03-31T00:00:00"/>
    <x v="30"/>
    <x v="2"/>
    <x v="2"/>
    <x v="0"/>
    <x v="0"/>
    <x v="0"/>
    <s v=""/>
    <s v=""/>
    <s v=""/>
    <s v=""/>
    <s v=""/>
    <s v=""/>
    <s v=""/>
    <s v=""/>
    <m/>
    <s v=""/>
    <m/>
    <m/>
    <m/>
    <m/>
    <m/>
    <m/>
    <m/>
    <m/>
    <m/>
    <m/>
    <m/>
    <m/>
    <m/>
    <m/>
    <m/>
    <s v=" "/>
    <m/>
    <s v=" "/>
    <m/>
    <m/>
  </r>
  <r>
    <x v="998"/>
    <d v="2025-04-01T00:00:00"/>
    <x v="0"/>
    <x v="3"/>
    <x v="2"/>
    <x v="2"/>
    <x v="1"/>
    <x v="1"/>
    <s v="Carta"/>
    <s v=""/>
    <n v="3.73"/>
    <s v=""/>
    <s v=""/>
    <s v=""/>
    <s v=""/>
    <s v=""/>
    <m/>
    <s v=""/>
    <m/>
    <m/>
    <m/>
    <m/>
    <m/>
    <m/>
    <m/>
    <m/>
    <m/>
    <m/>
    <m/>
    <m/>
    <m/>
    <m/>
    <m/>
    <s v=" "/>
    <m/>
    <s v=" "/>
    <m/>
    <m/>
  </r>
  <r>
    <x v="998"/>
    <d v="2025-04-01T00:00:00"/>
    <x v="0"/>
    <x v="3"/>
    <x v="2"/>
    <x v="50"/>
    <x v="1"/>
    <x v="1"/>
    <s v="Carta"/>
    <s v=""/>
    <n v="8.42"/>
    <s v=""/>
    <s v=""/>
    <s v=""/>
    <s v=""/>
    <s v=""/>
    <m/>
    <s v=""/>
    <m/>
    <m/>
    <m/>
    <m/>
    <m/>
    <m/>
    <m/>
    <m/>
    <m/>
    <m/>
    <m/>
    <m/>
    <m/>
    <m/>
    <m/>
    <s v=" "/>
    <m/>
    <s v=" "/>
    <m/>
    <m/>
  </r>
  <r>
    <x v="999"/>
    <d v="2025-04-02T00:00:00"/>
    <x v="1"/>
    <x v="3"/>
    <x v="2"/>
    <x v="0"/>
    <x v="0"/>
    <x v="0"/>
    <s v=""/>
    <s v=""/>
    <s v=""/>
    <s v=""/>
    <s v=""/>
    <s v=""/>
    <s v=""/>
    <s v=""/>
    <m/>
    <s v=""/>
    <m/>
    <m/>
    <m/>
    <m/>
    <m/>
    <m/>
    <m/>
    <m/>
    <m/>
    <m/>
    <m/>
    <m/>
    <m/>
    <m/>
    <m/>
    <s v=" "/>
    <m/>
    <s v=" "/>
    <m/>
    <m/>
  </r>
  <r>
    <x v="1000"/>
    <d v="2025-04-03T00:00:00"/>
    <x v="2"/>
    <x v="3"/>
    <x v="2"/>
    <x v="0"/>
    <x v="0"/>
    <x v="0"/>
    <s v=""/>
    <s v=""/>
    <s v=""/>
    <s v=""/>
    <s v=""/>
    <s v=""/>
    <s v=""/>
    <s v=""/>
    <m/>
    <s v=""/>
    <m/>
    <m/>
    <m/>
    <m/>
    <m/>
    <m/>
    <m/>
    <m/>
    <m/>
    <m/>
    <m/>
    <m/>
    <m/>
    <m/>
    <m/>
    <s v=" "/>
    <m/>
    <s v=" "/>
    <m/>
    <m/>
  </r>
  <r>
    <x v="1001"/>
    <d v="2025-04-04T00:00:00"/>
    <x v="3"/>
    <x v="3"/>
    <x v="2"/>
    <x v="0"/>
    <x v="0"/>
    <x v="0"/>
    <s v=""/>
    <s v=""/>
    <s v=""/>
    <s v=""/>
    <s v=""/>
    <s v=""/>
    <s v=""/>
    <s v=""/>
    <m/>
    <s v=""/>
    <m/>
    <m/>
    <m/>
    <m/>
    <m/>
    <m/>
    <m/>
    <m/>
    <m/>
    <m/>
    <m/>
    <m/>
    <m/>
    <m/>
    <m/>
    <s v=" "/>
    <m/>
    <s v=" "/>
    <m/>
    <m/>
  </r>
  <r>
    <x v="1002"/>
    <d v="2025-04-05T00:00:00"/>
    <x v="4"/>
    <x v="3"/>
    <x v="2"/>
    <x v="0"/>
    <x v="0"/>
    <x v="0"/>
    <s v=""/>
    <s v=""/>
    <s v=""/>
    <s v=""/>
    <s v=""/>
    <s v=""/>
    <s v=""/>
    <s v=""/>
    <m/>
    <s v=""/>
    <m/>
    <m/>
    <m/>
    <m/>
    <m/>
    <m/>
    <m/>
    <m/>
    <m/>
    <m/>
    <m/>
    <m/>
    <m/>
    <m/>
    <m/>
    <s v=" "/>
    <m/>
    <s v=" "/>
    <m/>
    <m/>
  </r>
  <r>
    <x v="1003"/>
    <d v="2025-04-06T00:00:00"/>
    <x v="5"/>
    <x v="3"/>
    <x v="2"/>
    <x v="0"/>
    <x v="0"/>
    <x v="0"/>
    <s v=""/>
    <s v=""/>
    <s v=""/>
    <s v=""/>
    <s v=""/>
    <s v=""/>
    <s v=""/>
    <s v=""/>
    <m/>
    <s v=""/>
    <m/>
    <m/>
    <m/>
    <m/>
    <m/>
    <m/>
    <m/>
    <m/>
    <m/>
    <m/>
    <m/>
    <m/>
    <m/>
    <m/>
    <m/>
    <s v=" "/>
    <m/>
    <s v=" "/>
    <m/>
    <m/>
  </r>
  <r>
    <x v="1004"/>
    <d v="2025-04-07T00:00:00"/>
    <x v="6"/>
    <x v="3"/>
    <x v="2"/>
    <x v="0"/>
    <x v="0"/>
    <x v="0"/>
    <s v=""/>
    <s v=""/>
    <s v=""/>
    <s v=""/>
    <s v=""/>
    <s v=""/>
    <s v=""/>
    <s v=""/>
    <m/>
    <s v=""/>
    <m/>
    <m/>
    <m/>
    <m/>
    <m/>
    <m/>
    <m/>
    <m/>
    <m/>
    <m/>
    <m/>
    <m/>
    <m/>
    <m/>
    <m/>
    <s v=" "/>
    <m/>
    <s v=" "/>
    <m/>
    <m/>
  </r>
  <r>
    <x v="1005"/>
    <d v="2025-04-08T00:00:00"/>
    <x v="7"/>
    <x v="3"/>
    <x v="2"/>
    <x v="0"/>
    <x v="0"/>
    <x v="0"/>
    <s v=""/>
    <s v=""/>
    <s v=""/>
    <s v=""/>
    <s v=""/>
    <s v=""/>
    <s v=""/>
    <s v=""/>
    <m/>
    <s v=""/>
    <m/>
    <m/>
    <m/>
    <m/>
    <m/>
    <m/>
    <m/>
    <m/>
    <m/>
    <m/>
    <m/>
    <m/>
    <m/>
    <m/>
    <m/>
    <s v=" "/>
    <m/>
    <s v=" "/>
    <m/>
    <m/>
  </r>
  <r>
    <x v="1006"/>
    <d v="2025-04-09T00:00:00"/>
    <x v="8"/>
    <x v="3"/>
    <x v="2"/>
    <x v="74"/>
    <x v="12"/>
    <x v="6"/>
    <s v="Carta"/>
    <s v=""/>
    <n v="18"/>
    <s v=""/>
    <s v=""/>
    <s v=""/>
    <s v=""/>
    <s v=""/>
    <m/>
    <s v=""/>
    <m/>
    <m/>
    <m/>
    <m/>
    <m/>
    <m/>
    <m/>
    <m/>
    <m/>
    <m/>
    <m/>
    <m/>
    <m/>
    <m/>
    <m/>
    <s v=" "/>
    <m/>
    <s v=" "/>
    <m/>
    <m/>
  </r>
  <r>
    <x v="1007"/>
    <d v="2025-04-10T00:00:00"/>
    <x v="9"/>
    <x v="3"/>
    <x v="2"/>
    <x v="0"/>
    <x v="0"/>
    <x v="0"/>
    <s v=""/>
    <s v=""/>
    <s v=""/>
    <s v=""/>
    <s v=""/>
    <s v=""/>
    <s v=""/>
    <s v=""/>
    <m/>
    <s v=""/>
    <m/>
    <m/>
    <m/>
    <m/>
    <m/>
    <m/>
    <m/>
    <m/>
    <m/>
    <m/>
    <m/>
    <m/>
    <m/>
    <m/>
    <m/>
    <s v=" "/>
    <m/>
    <s v=" "/>
    <m/>
    <m/>
  </r>
  <r>
    <x v="1008"/>
    <d v="2025-04-11T00:00:00"/>
    <x v="10"/>
    <x v="3"/>
    <x v="2"/>
    <x v="0"/>
    <x v="0"/>
    <x v="0"/>
    <s v=""/>
    <s v=""/>
    <s v=""/>
    <s v=""/>
    <s v=""/>
    <s v=""/>
    <s v=""/>
    <s v=""/>
    <m/>
    <s v=""/>
    <m/>
    <m/>
    <m/>
    <m/>
    <m/>
    <m/>
    <m/>
    <m/>
    <m/>
    <m/>
    <m/>
    <m/>
    <m/>
    <m/>
    <m/>
    <s v=" "/>
    <m/>
    <s v=" "/>
    <m/>
    <m/>
  </r>
  <r>
    <x v="1009"/>
    <d v="2025-04-12T00:00:00"/>
    <x v="11"/>
    <x v="3"/>
    <x v="2"/>
    <x v="0"/>
    <x v="0"/>
    <x v="0"/>
    <s v=""/>
    <s v=""/>
    <s v=""/>
    <s v=""/>
    <s v=""/>
    <s v=""/>
    <s v=""/>
    <s v=""/>
    <m/>
    <s v=""/>
    <m/>
    <m/>
    <m/>
    <m/>
    <m/>
    <m/>
    <m/>
    <m/>
    <m/>
    <m/>
    <m/>
    <m/>
    <m/>
    <m/>
    <m/>
    <s v=" "/>
    <m/>
    <s v=" "/>
    <m/>
    <m/>
  </r>
  <r>
    <x v="1010"/>
    <d v="2025-04-13T00:00:00"/>
    <x v="12"/>
    <x v="3"/>
    <x v="2"/>
    <x v="0"/>
    <x v="0"/>
    <x v="0"/>
    <s v=""/>
    <s v=""/>
    <s v=""/>
    <s v=""/>
    <s v=""/>
    <s v=""/>
    <s v=""/>
    <s v=""/>
    <m/>
    <s v=""/>
    <m/>
    <m/>
    <m/>
    <m/>
    <m/>
    <m/>
    <m/>
    <m/>
    <m/>
    <m/>
    <m/>
    <m/>
    <m/>
    <m/>
    <m/>
    <s v=" "/>
    <m/>
    <s v=" "/>
    <m/>
    <m/>
  </r>
  <r>
    <x v="1011"/>
    <d v="2025-04-14T00:00:00"/>
    <x v="13"/>
    <x v="3"/>
    <x v="2"/>
    <x v="0"/>
    <x v="0"/>
    <x v="0"/>
    <s v=""/>
    <s v=""/>
    <s v=""/>
    <s v=""/>
    <s v=""/>
    <s v=""/>
    <s v=""/>
    <s v=""/>
    <m/>
    <s v=""/>
    <m/>
    <m/>
    <m/>
    <m/>
    <m/>
    <m/>
    <m/>
    <m/>
    <m/>
    <m/>
    <m/>
    <m/>
    <m/>
    <m/>
    <m/>
    <s v=" "/>
    <m/>
    <s v=" "/>
    <m/>
    <m/>
  </r>
  <r>
    <x v="1012"/>
    <d v="2025-04-15T00:00:00"/>
    <x v="14"/>
    <x v="3"/>
    <x v="2"/>
    <x v="0"/>
    <x v="0"/>
    <x v="0"/>
    <s v=""/>
    <s v=""/>
    <s v=""/>
    <s v=""/>
    <s v=""/>
    <s v=""/>
    <s v=""/>
    <s v=""/>
    <m/>
    <s v=""/>
    <m/>
    <m/>
    <m/>
    <m/>
    <m/>
    <m/>
    <m/>
    <m/>
    <m/>
    <m/>
    <m/>
    <m/>
    <m/>
    <m/>
    <m/>
    <s v=" "/>
    <m/>
    <s v=" "/>
    <m/>
    <m/>
  </r>
  <r>
    <x v="1013"/>
    <d v="2025-04-16T00:00:00"/>
    <x v="15"/>
    <x v="3"/>
    <x v="2"/>
    <x v="0"/>
    <x v="0"/>
    <x v="0"/>
    <s v=""/>
    <s v=""/>
    <s v=""/>
    <s v=""/>
    <s v=""/>
    <s v=""/>
    <s v=""/>
    <s v=""/>
    <m/>
    <s v=""/>
    <m/>
    <m/>
    <m/>
    <m/>
    <m/>
    <m/>
    <m/>
    <m/>
    <m/>
    <m/>
    <m/>
    <m/>
    <m/>
    <m/>
    <m/>
    <s v=" "/>
    <m/>
    <s v=" "/>
    <m/>
    <m/>
  </r>
  <r>
    <x v="1014"/>
    <d v="2025-04-17T00:00:00"/>
    <x v="16"/>
    <x v="3"/>
    <x v="2"/>
    <x v="0"/>
    <x v="0"/>
    <x v="0"/>
    <s v=""/>
    <s v=""/>
    <s v=""/>
    <s v=""/>
    <s v=""/>
    <s v=""/>
    <s v=""/>
    <s v=""/>
    <m/>
    <s v=""/>
    <m/>
    <m/>
    <m/>
    <m/>
    <m/>
    <m/>
    <m/>
    <m/>
    <m/>
    <m/>
    <m/>
    <m/>
    <m/>
    <m/>
    <m/>
    <s v=" "/>
    <m/>
    <s v=" "/>
    <m/>
    <m/>
  </r>
  <r>
    <x v="1015"/>
    <d v="2025-04-18T00:00:00"/>
    <x v="17"/>
    <x v="3"/>
    <x v="2"/>
    <x v="0"/>
    <x v="0"/>
    <x v="0"/>
    <s v=""/>
    <s v=""/>
    <s v=""/>
    <s v=""/>
    <s v=""/>
    <s v=""/>
    <s v=""/>
    <s v=""/>
    <m/>
    <s v=""/>
    <m/>
    <m/>
    <m/>
    <m/>
    <m/>
    <m/>
    <m/>
    <m/>
    <m/>
    <m/>
    <m/>
    <m/>
    <m/>
    <m/>
    <m/>
    <s v=" "/>
    <m/>
    <s v=" "/>
    <m/>
    <m/>
  </r>
  <r>
    <x v="1016"/>
    <d v="2025-04-19T00:00:00"/>
    <x v="18"/>
    <x v="3"/>
    <x v="2"/>
    <x v="0"/>
    <x v="0"/>
    <x v="0"/>
    <s v=""/>
    <s v=""/>
    <s v=""/>
    <s v=""/>
    <s v=""/>
    <s v=""/>
    <s v=""/>
    <s v=""/>
    <m/>
    <s v=""/>
    <m/>
    <m/>
    <m/>
    <m/>
    <m/>
    <m/>
    <m/>
    <m/>
    <m/>
    <m/>
    <m/>
    <m/>
    <m/>
    <m/>
    <m/>
    <s v=" "/>
    <m/>
    <s v=" "/>
    <m/>
    <m/>
  </r>
  <r>
    <x v="1017"/>
    <d v="2025-04-20T00:00:00"/>
    <x v="19"/>
    <x v="3"/>
    <x v="2"/>
    <x v="0"/>
    <x v="0"/>
    <x v="0"/>
    <s v=""/>
    <s v=""/>
    <s v=""/>
    <s v=""/>
    <s v=""/>
    <s v=""/>
    <s v=""/>
    <s v=""/>
    <m/>
    <s v=""/>
    <m/>
    <m/>
    <m/>
    <m/>
    <m/>
    <m/>
    <m/>
    <m/>
    <m/>
    <m/>
    <m/>
    <m/>
    <m/>
    <m/>
    <m/>
    <s v=" "/>
    <m/>
    <s v=" "/>
    <m/>
    <m/>
  </r>
  <r>
    <x v="1018"/>
    <d v="2025-04-21T00:00:00"/>
    <x v="20"/>
    <x v="3"/>
    <x v="2"/>
    <x v="0"/>
    <x v="0"/>
    <x v="0"/>
    <s v=""/>
    <s v=""/>
    <s v=""/>
    <s v=""/>
    <s v=""/>
    <s v=""/>
    <s v=""/>
    <s v=""/>
    <m/>
    <s v=""/>
    <m/>
    <m/>
    <m/>
    <m/>
    <m/>
    <m/>
    <m/>
    <m/>
    <m/>
    <m/>
    <m/>
    <m/>
    <m/>
    <m/>
    <m/>
    <s v=" "/>
    <m/>
    <s v=" "/>
    <m/>
    <m/>
  </r>
  <r>
    <x v="1019"/>
    <d v="2025-04-22T00:00:00"/>
    <x v="21"/>
    <x v="3"/>
    <x v="2"/>
    <x v="0"/>
    <x v="0"/>
    <x v="0"/>
    <s v=""/>
    <s v=""/>
    <s v=""/>
    <s v=""/>
    <s v=""/>
    <s v=""/>
    <s v=""/>
    <s v=""/>
    <m/>
    <s v=""/>
    <m/>
    <m/>
    <m/>
    <m/>
    <m/>
    <m/>
    <m/>
    <m/>
    <m/>
    <m/>
    <m/>
    <m/>
    <m/>
    <m/>
    <m/>
    <s v=" "/>
    <m/>
    <s v=" "/>
    <m/>
    <m/>
  </r>
  <r>
    <x v="1020"/>
    <d v="2025-04-23T00:00:00"/>
    <x v="22"/>
    <x v="3"/>
    <x v="2"/>
    <x v="0"/>
    <x v="0"/>
    <x v="0"/>
    <s v=""/>
    <s v=""/>
    <s v=""/>
    <s v=""/>
    <s v=""/>
    <s v=""/>
    <s v=""/>
    <s v=""/>
    <m/>
    <s v=""/>
    <m/>
    <m/>
    <m/>
    <m/>
    <m/>
    <m/>
    <m/>
    <m/>
    <m/>
    <m/>
    <m/>
    <m/>
    <m/>
    <m/>
    <m/>
    <s v=" "/>
    <m/>
    <s v=" "/>
    <m/>
    <m/>
  </r>
  <r>
    <x v="1021"/>
    <d v="2025-04-24T00:00:00"/>
    <x v="23"/>
    <x v="3"/>
    <x v="2"/>
    <x v="0"/>
    <x v="0"/>
    <x v="0"/>
    <s v=""/>
    <s v=""/>
    <s v=""/>
    <s v=""/>
    <s v=""/>
    <s v=""/>
    <s v=""/>
    <s v=""/>
    <m/>
    <s v=""/>
    <m/>
    <m/>
    <m/>
    <m/>
    <m/>
    <m/>
    <m/>
    <m/>
    <m/>
    <m/>
    <m/>
    <m/>
    <m/>
    <m/>
    <m/>
    <s v=" "/>
    <m/>
    <s v=" "/>
    <m/>
    <m/>
  </r>
  <r>
    <x v="1022"/>
    <d v="2025-04-25T00:00:00"/>
    <x v="24"/>
    <x v="3"/>
    <x v="2"/>
    <x v="0"/>
    <x v="0"/>
    <x v="0"/>
    <s v=""/>
    <s v=""/>
    <s v=""/>
    <s v=""/>
    <s v=""/>
    <s v=""/>
    <s v=""/>
    <s v=""/>
    <m/>
    <s v=""/>
    <m/>
    <m/>
    <m/>
    <m/>
    <m/>
    <m/>
    <m/>
    <m/>
    <m/>
    <m/>
    <m/>
    <m/>
    <m/>
    <m/>
    <m/>
    <s v=" "/>
    <m/>
    <s v=" "/>
    <m/>
    <m/>
  </r>
  <r>
    <x v="1023"/>
    <d v="2025-04-26T00:00:00"/>
    <x v="25"/>
    <x v="3"/>
    <x v="2"/>
    <x v="0"/>
    <x v="0"/>
    <x v="0"/>
    <s v=""/>
    <s v=""/>
    <s v=""/>
    <s v=""/>
    <s v=""/>
    <s v=""/>
    <s v=""/>
    <s v=""/>
    <m/>
    <s v=""/>
    <m/>
    <m/>
    <m/>
    <m/>
    <m/>
    <m/>
    <m/>
    <m/>
    <m/>
    <m/>
    <m/>
    <m/>
    <m/>
    <m/>
    <m/>
    <s v=" "/>
    <m/>
    <s v=" "/>
    <m/>
    <m/>
  </r>
  <r>
    <x v="1024"/>
    <d v="2025-04-27T00:00:00"/>
    <x v="26"/>
    <x v="3"/>
    <x v="2"/>
    <x v="0"/>
    <x v="0"/>
    <x v="0"/>
    <s v=""/>
    <s v=""/>
    <s v=""/>
    <s v=""/>
    <s v=""/>
    <s v=""/>
    <s v=""/>
    <s v=""/>
    <m/>
    <s v=""/>
    <m/>
    <m/>
    <m/>
    <m/>
    <m/>
    <m/>
    <m/>
    <m/>
    <m/>
    <m/>
    <m/>
    <m/>
    <m/>
    <m/>
    <m/>
    <s v=" "/>
    <m/>
    <s v=" "/>
    <m/>
    <m/>
  </r>
  <r>
    <x v="1025"/>
    <d v="2025-04-28T00:00:00"/>
    <x v="27"/>
    <x v="3"/>
    <x v="2"/>
    <x v="1"/>
    <x v="1"/>
    <x v="1"/>
    <s v="Carta"/>
    <s v=""/>
    <n v="2"/>
    <s v=""/>
    <s v=""/>
    <s v=""/>
    <s v=""/>
    <s v=""/>
    <m/>
    <s v=""/>
    <m/>
    <m/>
    <m/>
    <m/>
    <m/>
    <m/>
    <m/>
    <m/>
    <m/>
    <m/>
    <m/>
    <m/>
    <m/>
    <m/>
    <m/>
    <s v=" "/>
    <m/>
    <s v=" "/>
    <m/>
    <m/>
  </r>
  <r>
    <x v="1026"/>
    <d v="2025-04-29T00:00:00"/>
    <x v="28"/>
    <x v="3"/>
    <x v="2"/>
    <x v="70"/>
    <x v="12"/>
    <x v="6"/>
    <s v="Carta"/>
    <s v=""/>
    <n v="45"/>
    <s v=""/>
    <s v=""/>
    <s v=""/>
    <s v=""/>
    <s v=""/>
    <m/>
    <s v=""/>
    <m/>
    <m/>
    <m/>
    <m/>
    <m/>
    <m/>
    <m/>
    <m/>
    <m/>
    <m/>
    <m/>
    <m/>
    <m/>
    <m/>
    <m/>
    <s v=" "/>
    <m/>
    <s v=" "/>
    <m/>
    <m/>
  </r>
  <r>
    <x v="1027"/>
    <d v="2025-04-30T00:00:00"/>
    <x v="29"/>
    <x v="3"/>
    <x v="2"/>
    <x v="0"/>
    <x v="0"/>
    <x v="0"/>
    <s v=""/>
    <s v=""/>
    <s v=""/>
    <s v=""/>
    <s v=""/>
    <s v=""/>
    <s v=""/>
    <s v=""/>
    <m/>
    <s v=""/>
    <m/>
    <m/>
    <m/>
    <m/>
    <m/>
    <m/>
    <m/>
    <m/>
    <m/>
    <m/>
    <m/>
    <m/>
    <m/>
    <m/>
    <m/>
    <s v=" "/>
    <m/>
    <s v=" "/>
    <m/>
    <m/>
  </r>
  <r>
    <x v="1028"/>
    <d v="2025-05-01T00:00:00"/>
    <x v="0"/>
    <x v="4"/>
    <x v="2"/>
    <x v="0"/>
    <x v="0"/>
    <x v="0"/>
    <s v=""/>
    <s v=""/>
    <s v=""/>
    <s v=""/>
    <s v=""/>
    <s v=""/>
    <s v=""/>
    <s v=""/>
    <m/>
    <s v=""/>
    <m/>
    <m/>
    <m/>
    <m/>
    <m/>
    <m/>
    <m/>
    <m/>
    <m/>
    <m/>
    <m/>
    <m/>
    <m/>
    <m/>
    <m/>
    <s v=" "/>
    <m/>
    <s v=" "/>
    <m/>
    <m/>
  </r>
  <r>
    <x v="1029"/>
    <d v="2025-05-02T00:00:00"/>
    <x v="1"/>
    <x v="4"/>
    <x v="2"/>
    <x v="2"/>
    <x v="1"/>
    <x v="1"/>
    <s v="Carta"/>
    <s v=""/>
    <n v="3.73"/>
    <s v=""/>
    <s v=""/>
    <s v=""/>
    <s v=""/>
    <s v=""/>
    <m/>
    <s v=""/>
    <m/>
    <m/>
    <m/>
    <m/>
    <m/>
    <m/>
    <m/>
    <m/>
    <m/>
    <m/>
    <m/>
    <m/>
    <m/>
    <m/>
    <m/>
    <s v=" "/>
    <m/>
    <s v=" "/>
    <m/>
    <m/>
  </r>
  <r>
    <x v="1030"/>
    <d v="2025-05-03T00:00:00"/>
    <x v="2"/>
    <x v="4"/>
    <x v="2"/>
    <x v="0"/>
    <x v="0"/>
    <x v="0"/>
    <s v=""/>
    <s v=""/>
    <s v=""/>
    <s v=""/>
    <s v=""/>
    <s v=""/>
    <s v=""/>
    <s v=""/>
    <m/>
    <s v=""/>
    <m/>
    <m/>
    <m/>
    <m/>
    <m/>
    <m/>
    <m/>
    <m/>
    <m/>
    <m/>
    <m/>
    <m/>
    <m/>
    <m/>
    <m/>
    <s v=" "/>
    <m/>
    <s v=" "/>
    <m/>
    <m/>
  </r>
  <r>
    <x v="1031"/>
    <d v="2025-05-04T00:00:00"/>
    <x v="3"/>
    <x v="4"/>
    <x v="2"/>
    <x v="0"/>
    <x v="0"/>
    <x v="0"/>
    <s v=""/>
    <s v=""/>
    <s v=""/>
    <s v=""/>
    <s v=""/>
    <s v=""/>
    <s v=""/>
    <s v=""/>
    <m/>
    <s v=""/>
    <m/>
    <m/>
    <m/>
    <m/>
    <m/>
    <m/>
    <m/>
    <m/>
    <m/>
    <m/>
    <m/>
    <m/>
    <m/>
    <m/>
    <m/>
    <s v=" "/>
    <m/>
    <s v=" "/>
    <m/>
    <m/>
  </r>
  <r>
    <x v="1032"/>
    <d v="2025-05-05T00:00:00"/>
    <x v="4"/>
    <x v="4"/>
    <x v="2"/>
    <x v="0"/>
    <x v="0"/>
    <x v="0"/>
    <s v=""/>
    <s v=""/>
    <s v=""/>
    <s v=""/>
    <s v=""/>
    <s v=""/>
    <s v=""/>
    <s v=""/>
    <m/>
    <s v=""/>
    <m/>
    <m/>
    <m/>
    <m/>
    <m/>
    <m/>
    <m/>
    <m/>
    <m/>
    <m/>
    <m/>
    <m/>
    <m/>
    <m/>
    <m/>
    <s v=" "/>
    <m/>
    <s v=" "/>
    <m/>
    <m/>
  </r>
  <r>
    <x v="1033"/>
    <d v="2025-05-06T00:00:00"/>
    <x v="5"/>
    <x v="4"/>
    <x v="2"/>
    <x v="0"/>
    <x v="0"/>
    <x v="0"/>
    <s v=""/>
    <s v=""/>
    <s v=""/>
    <s v=""/>
    <s v=""/>
    <s v=""/>
    <s v=""/>
    <s v=""/>
    <m/>
    <s v=""/>
    <m/>
    <m/>
    <m/>
    <m/>
    <m/>
    <m/>
    <m/>
    <m/>
    <m/>
    <m/>
    <m/>
    <m/>
    <m/>
    <m/>
    <m/>
    <s v=" "/>
    <m/>
    <s v=" "/>
    <m/>
    <m/>
  </r>
  <r>
    <x v="1034"/>
    <d v="2025-05-07T00:00:00"/>
    <x v="6"/>
    <x v="4"/>
    <x v="2"/>
    <x v="0"/>
    <x v="0"/>
    <x v="0"/>
    <s v=""/>
    <s v=""/>
    <s v=""/>
    <s v=""/>
    <s v=""/>
    <s v=""/>
    <s v=""/>
    <s v=""/>
    <m/>
    <s v=""/>
    <m/>
    <m/>
    <m/>
    <m/>
    <m/>
    <m/>
    <m/>
    <m/>
    <m/>
    <m/>
    <m/>
    <m/>
    <m/>
    <m/>
    <m/>
    <s v=" "/>
    <m/>
    <s v=" "/>
    <m/>
    <m/>
  </r>
  <r>
    <x v="1035"/>
    <d v="2025-05-08T00:00:00"/>
    <x v="7"/>
    <x v="4"/>
    <x v="2"/>
    <x v="0"/>
    <x v="0"/>
    <x v="0"/>
    <s v=""/>
    <s v=""/>
    <s v=""/>
    <s v=""/>
    <s v=""/>
    <s v=""/>
    <s v=""/>
    <s v=""/>
    <m/>
    <s v=""/>
    <m/>
    <m/>
    <m/>
    <m/>
    <m/>
    <m/>
    <m/>
    <m/>
    <m/>
    <m/>
    <m/>
    <m/>
    <m/>
    <m/>
    <m/>
    <s v=" "/>
    <m/>
    <s v=" "/>
    <m/>
    <m/>
  </r>
  <r>
    <x v="1036"/>
    <d v="2025-05-09T00:00:00"/>
    <x v="8"/>
    <x v="4"/>
    <x v="2"/>
    <x v="0"/>
    <x v="0"/>
    <x v="0"/>
    <s v=""/>
    <s v=""/>
    <s v=""/>
    <s v=""/>
    <s v=""/>
    <s v=""/>
    <s v=""/>
    <s v=""/>
    <m/>
    <s v=""/>
    <m/>
    <m/>
    <m/>
    <m/>
    <m/>
    <m/>
    <m/>
    <m/>
    <m/>
    <m/>
    <m/>
    <m/>
    <m/>
    <m/>
    <m/>
    <s v=" "/>
    <m/>
    <s v=" "/>
    <m/>
    <m/>
  </r>
  <r>
    <x v="1037"/>
    <d v="2025-05-10T00:00:00"/>
    <x v="9"/>
    <x v="4"/>
    <x v="2"/>
    <x v="0"/>
    <x v="0"/>
    <x v="0"/>
    <s v=""/>
    <s v=""/>
    <s v=""/>
    <s v=""/>
    <s v=""/>
    <s v=""/>
    <s v=""/>
    <s v=""/>
    <m/>
    <s v=""/>
    <m/>
    <m/>
    <m/>
    <m/>
    <m/>
    <m/>
    <m/>
    <m/>
    <m/>
    <m/>
    <m/>
    <m/>
    <m/>
    <m/>
    <m/>
    <s v=" "/>
    <m/>
    <s v=" "/>
    <m/>
    <m/>
  </r>
  <r>
    <x v="1038"/>
    <d v="2025-05-11T00:00:00"/>
    <x v="10"/>
    <x v="4"/>
    <x v="2"/>
    <x v="0"/>
    <x v="0"/>
    <x v="0"/>
    <s v=""/>
    <s v=""/>
    <s v=""/>
    <s v=""/>
    <s v=""/>
    <s v=""/>
    <s v=""/>
    <s v=""/>
    <m/>
    <s v=""/>
    <m/>
    <m/>
    <m/>
    <m/>
    <m/>
    <m/>
    <m/>
    <m/>
    <m/>
    <m/>
    <m/>
    <m/>
    <m/>
    <m/>
    <m/>
    <s v=" "/>
    <m/>
    <s v=" "/>
    <m/>
    <m/>
  </r>
  <r>
    <x v="1039"/>
    <d v="2025-05-12T00:00:00"/>
    <x v="11"/>
    <x v="4"/>
    <x v="2"/>
    <x v="0"/>
    <x v="0"/>
    <x v="0"/>
    <s v=""/>
    <s v=""/>
    <s v=""/>
    <s v=""/>
    <s v=""/>
    <s v=""/>
    <s v=""/>
    <s v=""/>
    <m/>
    <s v=""/>
    <m/>
    <m/>
    <m/>
    <m/>
    <m/>
    <m/>
    <m/>
    <m/>
    <m/>
    <m/>
    <m/>
    <m/>
    <m/>
    <m/>
    <m/>
    <s v=" "/>
    <m/>
    <s v=" "/>
    <m/>
    <m/>
  </r>
  <r>
    <x v="1040"/>
    <d v="2025-05-13T00:00:00"/>
    <x v="12"/>
    <x v="4"/>
    <x v="2"/>
    <x v="0"/>
    <x v="0"/>
    <x v="0"/>
    <s v=""/>
    <s v=""/>
    <s v=""/>
    <s v=""/>
    <s v=""/>
    <s v=""/>
    <s v=""/>
    <s v=""/>
    <m/>
    <s v=""/>
    <m/>
    <m/>
    <m/>
    <m/>
    <m/>
    <m/>
    <m/>
    <m/>
    <m/>
    <m/>
    <m/>
    <m/>
    <m/>
    <m/>
    <m/>
    <s v=" "/>
    <m/>
    <s v=" "/>
    <m/>
    <m/>
  </r>
  <r>
    <x v="1041"/>
    <d v="2025-05-14T00:00:00"/>
    <x v="13"/>
    <x v="4"/>
    <x v="2"/>
    <x v="169"/>
    <x v="11"/>
    <x v="5"/>
    <s v="Cash"/>
    <s v=""/>
    <s v=""/>
    <s v=""/>
    <s v=""/>
    <n v="1000"/>
    <s v=""/>
    <s v=""/>
    <m/>
    <s v=""/>
    <m/>
    <m/>
    <m/>
    <m/>
    <m/>
    <m/>
    <m/>
    <m/>
    <m/>
    <m/>
    <m/>
    <m/>
    <m/>
    <m/>
    <m/>
    <s v=" "/>
    <m/>
    <s v=" "/>
    <m/>
    <m/>
  </r>
  <r>
    <x v="1041"/>
    <d v="2025-05-14T00:00:00"/>
    <x v="13"/>
    <x v="4"/>
    <x v="2"/>
    <x v="170"/>
    <x v="2"/>
    <x v="2"/>
    <s v="Cash"/>
    <n v="107"/>
    <s v=""/>
    <s v=""/>
    <s v=""/>
    <s v=""/>
    <s v=""/>
    <s v=""/>
    <m/>
    <s v=""/>
    <m/>
    <m/>
    <m/>
    <m/>
    <m/>
    <m/>
    <m/>
    <m/>
    <m/>
    <m/>
    <m/>
    <m/>
    <m/>
    <m/>
    <m/>
    <s v=" "/>
    <m/>
    <s v=" "/>
    <m/>
    <m/>
  </r>
  <r>
    <x v="1041"/>
    <d v="2025-05-14T00:00:00"/>
    <x v="13"/>
    <x v="4"/>
    <x v="2"/>
    <x v="4"/>
    <x v="2"/>
    <x v="2"/>
    <s v="Cash"/>
    <n v="10"/>
    <s v=""/>
    <s v=""/>
    <s v=""/>
    <s v=""/>
    <s v=""/>
    <s v=""/>
    <m/>
    <s v=""/>
    <m/>
    <m/>
    <m/>
    <m/>
    <m/>
    <m/>
    <m/>
    <m/>
    <m/>
    <m/>
    <m/>
    <m/>
    <m/>
    <m/>
    <m/>
    <s v=" "/>
    <m/>
    <s v=" "/>
    <m/>
    <m/>
  </r>
  <r>
    <x v="1041"/>
    <d v="2025-05-14T00:00:00"/>
    <x v="13"/>
    <x v="4"/>
    <x v="2"/>
    <x v="5"/>
    <x v="3"/>
    <x v="3"/>
    <s v="Cash"/>
    <s v=""/>
    <n v="15"/>
    <s v=""/>
    <s v=""/>
    <s v=""/>
    <s v=""/>
    <s v=""/>
    <m/>
    <s v=""/>
    <m/>
    <m/>
    <m/>
    <m/>
    <m/>
    <m/>
    <m/>
    <m/>
    <m/>
    <m/>
    <m/>
    <m/>
    <m/>
    <m/>
    <m/>
    <s v=" "/>
    <m/>
    <s v=" "/>
    <m/>
    <m/>
  </r>
  <r>
    <x v="1042"/>
    <d v="2025-05-15T00:00:00"/>
    <x v="14"/>
    <x v="4"/>
    <x v="2"/>
    <x v="12"/>
    <x v="2"/>
    <x v="2"/>
    <s v="Cash"/>
    <n v="4.4000000000000004"/>
    <s v=""/>
    <s v=""/>
    <s v=""/>
    <s v=""/>
    <s v=""/>
    <s v=""/>
    <m/>
    <s v=""/>
    <m/>
    <m/>
    <m/>
    <m/>
    <m/>
    <m/>
    <m/>
    <m/>
    <m/>
    <m/>
    <m/>
    <m/>
    <m/>
    <m/>
    <m/>
    <s v=" "/>
    <m/>
    <s v=" "/>
    <m/>
    <m/>
  </r>
  <r>
    <x v="1042"/>
    <d v="2025-05-15T00:00:00"/>
    <x v="14"/>
    <x v="4"/>
    <x v="2"/>
    <x v="5"/>
    <x v="3"/>
    <x v="3"/>
    <s v="Cash"/>
    <s v=""/>
    <n v="19.350000000000001"/>
    <s v=""/>
    <s v=""/>
    <s v=""/>
    <s v=""/>
    <s v=""/>
    <m/>
    <s v=""/>
    <m/>
    <m/>
    <m/>
    <m/>
    <m/>
    <m/>
    <m/>
    <m/>
    <m/>
    <m/>
    <m/>
    <m/>
    <m/>
    <m/>
    <m/>
    <s v=" "/>
    <m/>
    <s v=" "/>
    <m/>
    <m/>
  </r>
  <r>
    <x v="1043"/>
    <d v="2025-05-16T00:00:00"/>
    <x v="15"/>
    <x v="4"/>
    <x v="2"/>
    <x v="171"/>
    <x v="19"/>
    <x v="9"/>
    <s v="Cash"/>
    <n v="9"/>
    <s v=""/>
    <s v=""/>
    <s v=""/>
    <s v=""/>
    <s v=""/>
    <s v=""/>
    <m/>
    <s v=""/>
    <m/>
    <m/>
    <m/>
    <m/>
    <m/>
    <m/>
    <m/>
    <m/>
    <m/>
    <m/>
    <m/>
    <m/>
    <m/>
    <m/>
    <m/>
    <s v=" "/>
    <m/>
    <s v=" "/>
    <m/>
    <m/>
  </r>
  <r>
    <x v="1043"/>
    <d v="2025-05-16T00:00:00"/>
    <x v="15"/>
    <x v="4"/>
    <x v="2"/>
    <x v="5"/>
    <x v="3"/>
    <x v="3"/>
    <s v="Cash"/>
    <s v=""/>
    <n v="65.95"/>
    <s v=""/>
    <s v=""/>
    <s v=""/>
    <s v=""/>
    <s v=""/>
    <m/>
    <s v=""/>
    <m/>
    <m/>
    <m/>
    <m/>
    <m/>
    <m/>
    <m/>
    <m/>
    <m/>
    <m/>
    <m/>
    <m/>
    <m/>
    <m/>
    <m/>
    <s v=" "/>
    <m/>
    <s v=" "/>
    <m/>
    <m/>
  </r>
  <r>
    <x v="1044"/>
    <d v="2025-05-17T00:00:00"/>
    <x v="16"/>
    <x v="4"/>
    <x v="2"/>
    <x v="5"/>
    <x v="3"/>
    <x v="3"/>
    <s v="Cash"/>
    <s v=""/>
    <n v="3.98"/>
    <s v=""/>
    <s v=""/>
    <s v=""/>
    <s v=""/>
    <s v=""/>
    <m/>
    <s v=""/>
    <m/>
    <m/>
    <m/>
    <m/>
    <m/>
    <m/>
    <m/>
    <m/>
    <m/>
    <m/>
    <m/>
    <m/>
    <m/>
    <m/>
    <m/>
    <s v=" "/>
    <m/>
    <s v=" "/>
    <m/>
    <m/>
  </r>
  <r>
    <x v="1044"/>
    <d v="2025-05-17T00:00:00"/>
    <x v="16"/>
    <x v="4"/>
    <x v="2"/>
    <x v="12"/>
    <x v="2"/>
    <x v="2"/>
    <s v="Cash"/>
    <n v="4.4000000000000004"/>
    <s v=""/>
    <s v=""/>
    <s v=""/>
    <s v=""/>
    <s v=""/>
    <s v=""/>
    <m/>
    <s v=""/>
    <m/>
    <m/>
    <m/>
    <m/>
    <m/>
    <m/>
    <m/>
    <m/>
    <m/>
    <m/>
    <m/>
    <m/>
    <m/>
    <m/>
    <m/>
    <s v=" "/>
    <m/>
    <s v=" "/>
    <m/>
    <m/>
  </r>
  <r>
    <x v="1045"/>
    <d v="2025-05-18T00:00:00"/>
    <x v="17"/>
    <x v="4"/>
    <x v="2"/>
    <x v="12"/>
    <x v="2"/>
    <x v="2"/>
    <s v="Cash"/>
    <n v="4.4000000000000004"/>
    <s v=""/>
    <s v=""/>
    <s v=""/>
    <s v=""/>
    <s v=""/>
    <s v=""/>
    <m/>
    <s v=""/>
    <m/>
    <m/>
    <m/>
    <m/>
    <m/>
    <m/>
    <m/>
    <m/>
    <m/>
    <m/>
    <m/>
    <m/>
    <m/>
    <m/>
    <m/>
    <s v=" "/>
    <m/>
    <s v=" "/>
    <m/>
    <m/>
  </r>
  <r>
    <x v="1045"/>
    <d v="2025-05-18T00:00:00"/>
    <x v="17"/>
    <x v="4"/>
    <x v="2"/>
    <x v="5"/>
    <x v="3"/>
    <x v="3"/>
    <s v="Cash"/>
    <s v=""/>
    <n v="11.7"/>
    <s v=""/>
    <s v=""/>
    <s v=""/>
    <s v=""/>
    <s v=""/>
    <m/>
    <s v=""/>
    <m/>
    <m/>
    <m/>
    <m/>
    <m/>
    <m/>
    <m/>
    <m/>
    <m/>
    <m/>
    <m/>
    <m/>
    <m/>
    <m/>
    <m/>
    <s v=" "/>
    <m/>
    <s v=" "/>
    <m/>
    <m/>
  </r>
  <r>
    <x v="1046"/>
    <d v="2025-05-19T00:00:00"/>
    <x v="18"/>
    <x v="4"/>
    <x v="2"/>
    <x v="0"/>
    <x v="0"/>
    <x v="0"/>
    <s v=""/>
    <s v=""/>
    <s v=""/>
    <s v=""/>
    <s v=""/>
    <s v=""/>
    <s v=""/>
    <s v=""/>
    <m/>
    <s v=""/>
    <m/>
    <m/>
    <m/>
    <m/>
    <m/>
    <m/>
    <m/>
    <m/>
    <m/>
    <m/>
    <m/>
    <m/>
    <m/>
    <m/>
    <m/>
    <s v=" "/>
    <m/>
    <s v=" "/>
    <m/>
    <m/>
  </r>
  <r>
    <x v="1047"/>
    <d v="2025-05-20T00:00:00"/>
    <x v="19"/>
    <x v="4"/>
    <x v="2"/>
    <x v="0"/>
    <x v="0"/>
    <x v="0"/>
    <s v=""/>
    <s v=""/>
    <s v=""/>
    <s v=""/>
    <s v=""/>
    <s v=""/>
    <s v=""/>
    <s v=""/>
    <m/>
    <s v=""/>
    <m/>
    <m/>
    <m/>
    <m/>
    <m/>
    <m/>
    <m/>
    <m/>
    <m/>
    <m/>
    <m/>
    <m/>
    <m/>
    <m/>
    <m/>
    <s v=" "/>
    <m/>
    <s v=" "/>
    <m/>
    <m/>
  </r>
  <r>
    <x v="1048"/>
    <d v="2025-05-21T00:00:00"/>
    <x v="20"/>
    <x v="4"/>
    <x v="2"/>
    <x v="5"/>
    <x v="3"/>
    <x v="3"/>
    <s v="Cash"/>
    <s v=""/>
    <n v="26.84"/>
    <s v=""/>
    <s v=""/>
    <s v=""/>
    <s v=""/>
    <s v=""/>
    <m/>
    <s v=""/>
    <m/>
    <m/>
    <m/>
    <m/>
    <m/>
    <m/>
    <m/>
    <m/>
    <m/>
    <m/>
    <m/>
    <m/>
    <m/>
    <m/>
    <m/>
    <s v=" "/>
    <m/>
    <s v=" "/>
    <m/>
    <m/>
  </r>
  <r>
    <x v="1048"/>
    <d v="2025-05-21T00:00:00"/>
    <x v="20"/>
    <x v="4"/>
    <x v="2"/>
    <x v="12"/>
    <x v="2"/>
    <x v="2"/>
    <s v="Cash"/>
    <n v="2.2000000000000002"/>
    <s v=""/>
    <s v=""/>
    <s v=""/>
    <s v=""/>
    <s v=""/>
    <s v=""/>
    <m/>
    <s v=""/>
    <m/>
    <m/>
    <m/>
    <m/>
    <m/>
    <m/>
    <m/>
    <m/>
    <m/>
    <m/>
    <m/>
    <m/>
    <m/>
    <m/>
    <m/>
    <s v=" "/>
    <m/>
    <s v=" "/>
    <m/>
    <m/>
  </r>
  <r>
    <x v="1048"/>
    <d v="2025-05-21T00:00:00"/>
    <x v="20"/>
    <x v="4"/>
    <x v="2"/>
    <x v="37"/>
    <x v="17"/>
    <x v="6"/>
    <s v="Cash"/>
    <s v=""/>
    <n v="5"/>
    <s v=""/>
    <s v=""/>
    <s v=""/>
    <s v=""/>
    <s v=""/>
    <m/>
    <s v=""/>
    <m/>
    <m/>
    <m/>
    <m/>
    <m/>
    <m/>
    <m/>
    <m/>
    <m/>
    <m/>
    <m/>
    <m/>
    <m/>
    <m/>
    <m/>
    <s v=" "/>
    <m/>
    <s v=" "/>
    <m/>
    <m/>
  </r>
  <r>
    <x v="1048"/>
    <d v="2025-05-21T00:00:00"/>
    <x v="20"/>
    <x v="4"/>
    <x v="2"/>
    <x v="37"/>
    <x v="18"/>
    <x v="8"/>
    <s v="Cash"/>
    <s v=""/>
    <n v="15"/>
    <s v=""/>
    <s v=""/>
    <s v=""/>
    <s v=""/>
    <s v=""/>
    <m/>
    <s v=""/>
    <m/>
    <m/>
    <m/>
    <m/>
    <m/>
    <m/>
    <m/>
    <m/>
    <m/>
    <m/>
    <m/>
    <m/>
    <m/>
    <m/>
    <m/>
    <s v=" "/>
    <m/>
    <s v=" "/>
    <m/>
    <m/>
  </r>
  <r>
    <x v="1049"/>
    <d v="2025-05-22T00:00:00"/>
    <x v="21"/>
    <x v="4"/>
    <x v="2"/>
    <x v="0"/>
    <x v="0"/>
    <x v="0"/>
    <s v=""/>
    <s v=""/>
    <s v=""/>
    <s v=""/>
    <s v=""/>
    <s v=""/>
    <s v=""/>
    <s v=""/>
    <m/>
    <s v=""/>
    <m/>
    <m/>
    <m/>
    <m/>
    <m/>
    <m/>
    <m/>
    <m/>
    <m/>
    <m/>
    <m/>
    <m/>
    <m/>
    <m/>
    <m/>
    <s v=" "/>
    <m/>
    <s v=" "/>
    <m/>
    <m/>
  </r>
  <r>
    <x v="1050"/>
    <d v="2025-05-23T00:00:00"/>
    <x v="22"/>
    <x v="4"/>
    <x v="2"/>
    <x v="17"/>
    <x v="11"/>
    <x v="5"/>
    <s v="Carta"/>
    <s v=""/>
    <s v=""/>
    <s v=""/>
    <s v=""/>
    <n v="3000"/>
    <s v=""/>
    <s v=""/>
    <m/>
    <s v=""/>
    <m/>
    <m/>
    <m/>
    <m/>
    <m/>
    <m/>
    <m/>
    <m/>
    <m/>
    <m/>
    <m/>
    <m/>
    <m/>
    <m/>
    <m/>
    <s v=" "/>
    <m/>
    <s v=" "/>
    <m/>
    <m/>
  </r>
  <r>
    <x v="1051"/>
    <d v="2025-05-24T00:00:00"/>
    <x v="23"/>
    <x v="4"/>
    <x v="2"/>
    <x v="0"/>
    <x v="0"/>
    <x v="0"/>
    <s v=""/>
    <s v=""/>
    <s v=""/>
    <s v=""/>
    <s v=""/>
    <s v=""/>
    <s v=""/>
    <s v=""/>
    <m/>
    <s v=""/>
    <m/>
    <m/>
    <m/>
    <m/>
    <m/>
    <m/>
    <m/>
    <m/>
    <m/>
    <m/>
    <m/>
    <m/>
    <m/>
    <m/>
    <m/>
    <s v=" "/>
    <m/>
    <s v=" "/>
    <m/>
    <m/>
  </r>
  <r>
    <x v="1052"/>
    <d v="2025-05-25T00:00:00"/>
    <x v="24"/>
    <x v="4"/>
    <x v="2"/>
    <x v="0"/>
    <x v="0"/>
    <x v="0"/>
    <s v=""/>
    <s v=""/>
    <s v=""/>
    <s v=""/>
    <s v=""/>
    <s v=""/>
    <s v=""/>
    <s v=""/>
    <m/>
    <s v=""/>
    <m/>
    <m/>
    <m/>
    <m/>
    <m/>
    <m/>
    <m/>
    <m/>
    <m/>
    <m/>
    <m/>
    <m/>
    <m/>
    <m/>
    <m/>
    <s v=" "/>
    <m/>
    <s v=" "/>
    <m/>
    <m/>
  </r>
  <r>
    <x v="1053"/>
    <d v="2025-05-26T00:00:00"/>
    <x v="25"/>
    <x v="4"/>
    <x v="2"/>
    <x v="0"/>
    <x v="0"/>
    <x v="0"/>
    <s v=""/>
    <s v=""/>
    <s v=""/>
    <s v=""/>
    <s v=""/>
    <s v=""/>
    <s v=""/>
    <s v=""/>
    <m/>
    <s v=""/>
    <m/>
    <m/>
    <m/>
    <m/>
    <m/>
    <m/>
    <m/>
    <m/>
    <m/>
    <m/>
    <m/>
    <m/>
    <m/>
    <m/>
    <m/>
    <s v=" "/>
    <m/>
    <s v=" "/>
    <m/>
    <m/>
  </r>
  <r>
    <x v="1054"/>
    <d v="2025-05-27T00:00:00"/>
    <x v="26"/>
    <x v="4"/>
    <x v="2"/>
    <x v="5"/>
    <x v="3"/>
    <x v="3"/>
    <s v="Cash"/>
    <s v=""/>
    <n v="48.68"/>
    <s v=""/>
    <s v=""/>
    <s v=""/>
    <s v=""/>
    <s v=""/>
    <m/>
    <s v=""/>
    <m/>
    <m/>
    <m/>
    <m/>
    <m/>
    <m/>
    <m/>
    <m/>
    <m/>
    <m/>
    <m/>
    <m/>
    <m/>
    <m/>
    <m/>
    <s v=" "/>
    <m/>
    <s v=" "/>
    <m/>
    <m/>
  </r>
  <r>
    <x v="1054"/>
    <d v="2025-05-27T00:00:00"/>
    <x v="26"/>
    <x v="4"/>
    <x v="2"/>
    <x v="1"/>
    <x v="1"/>
    <x v="1"/>
    <s v="Carta"/>
    <s v=""/>
    <n v="2"/>
    <s v=""/>
    <s v=""/>
    <s v=""/>
    <s v=""/>
    <s v=""/>
    <m/>
    <s v=""/>
    <m/>
    <m/>
    <m/>
    <m/>
    <m/>
    <m/>
    <m/>
    <m/>
    <m/>
    <m/>
    <m/>
    <m/>
    <m/>
    <m/>
    <m/>
    <s v=" "/>
    <m/>
    <s v=" "/>
    <m/>
    <m/>
  </r>
  <r>
    <x v="1055"/>
    <d v="2025-05-28T00:00:00"/>
    <x v="27"/>
    <x v="4"/>
    <x v="2"/>
    <x v="0"/>
    <x v="0"/>
    <x v="0"/>
    <s v=""/>
    <s v=""/>
    <s v=""/>
    <s v=""/>
    <s v=""/>
    <s v=""/>
    <s v=""/>
    <s v=""/>
    <m/>
    <s v=""/>
    <m/>
    <m/>
    <m/>
    <m/>
    <m/>
    <m/>
    <m/>
    <m/>
    <m/>
    <m/>
    <m/>
    <m/>
    <m/>
    <m/>
    <m/>
    <s v=" "/>
    <m/>
    <s v=" "/>
    <m/>
    <m/>
  </r>
  <r>
    <x v="1056"/>
    <d v="2025-05-29T00:00:00"/>
    <x v="28"/>
    <x v="4"/>
    <x v="2"/>
    <x v="0"/>
    <x v="0"/>
    <x v="0"/>
    <s v=""/>
    <s v=""/>
    <s v=""/>
    <s v=""/>
    <s v=""/>
    <s v=""/>
    <s v=""/>
    <s v=""/>
    <m/>
    <s v=""/>
    <m/>
    <m/>
    <m/>
    <m/>
    <m/>
    <m/>
    <m/>
    <m/>
    <m/>
    <m/>
    <m/>
    <m/>
    <m/>
    <m/>
    <m/>
    <s v=" "/>
    <m/>
    <s v=" "/>
    <m/>
    <m/>
  </r>
  <r>
    <x v="1057"/>
    <d v="2025-05-30T00:00:00"/>
    <x v="29"/>
    <x v="4"/>
    <x v="2"/>
    <x v="0"/>
    <x v="0"/>
    <x v="0"/>
    <s v=""/>
    <s v=""/>
    <s v=""/>
    <s v=""/>
    <s v=""/>
    <s v=""/>
    <s v=""/>
    <s v=""/>
    <m/>
    <s v=""/>
    <m/>
    <m/>
    <m/>
    <m/>
    <m/>
    <m/>
    <m/>
    <m/>
    <m/>
    <m/>
    <m/>
    <m/>
    <m/>
    <m/>
    <m/>
    <s v=" "/>
    <m/>
    <s v=" "/>
    <m/>
    <m/>
  </r>
  <r>
    <x v="1058"/>
    <d v="2025-05-31T00:00:00"/>
    <x v="30"/>
    <x v="4"/>
    <x v="2"/>
    <x v="0"/>
    <x v="0"/>
    <x v="0"/>
    <s v=""/>
    <s v=""/>
    <s v=""/>
    <s v=""/>
    <s v=""/>
    <s v=""/>
    <s v=""/>
    <s v=""/>
    <m/>
    <s v=""/>
    <m/>
    <m/>
    <m/>
    <m/>
    <m/>
    <m/>
    <m/>
    <m/>
    <m/>
    <m/>
    <m/>
    <m/>
    <m/>
    <m/>
    <m/>
    <s v=" "/>
    <m/>
    <s v=" "/>
    <m/>
    <m/>
  </r>
  <r>
    <x v="1059"/>
    <d v="2025-06-01T00:00:00"/>
    <x v="0"/>
    <x v="5"/>
    <x v="2"/>
    <x v="5"/>
    <x v="3"/>
    <x v="3"/>
    <s v="Cash"/>
    <s v=""/>
    <n v="50.6"/>
    <s v=""/>
    <s v=""/>
    <s v=""/>
    <s v=""/>
    <s v=""/>
    <m/>
    <s v=""/>
    <m/>
    <m/>
    <m/>
    <m/>
    <m/>
    <m/>
    <m/>
    <m/>
    <m/>
    <m/>
    <m/>
    <m/>
    <m/>
    <m/>
    <m/>
    <s v=" "/>
    <m/>
    <s v=" "/>
    <m/>
    <m/>
  </r>
  <r>
    <x v="1059"/>
    <d v="2025-06-01T00:00:00"/>
    <x v="0"/>
    <x v="5"/>
    <x v="2"/>
    <x v="5"/>
    <x v="6"/>
    <x v="3"/>
    <s v="Cash"/>
    <s v=""/>
    <n v="3.7"/>
    <s v=""/>
    <s v=""/>
    <s v=""/>
    <s v=""/>
    <s v=""/>
    <m/>
    <s v=""/>
    <m/>
    <m/>
    <m/>
    <m/>
    <m/>
    <m/>
    <m/>
    <m/>
    <m/>
    <m/>
    <m/>
    <m/>
    <m/>
    <m/>
    <m/>
    <s v=" "/>
    <m/>
    <s v=" "/>
    <m/>
    <m/>
  </r>
  <r>
    <x v="1060"/>
    <d v="2025-06-02T00:00:00"/>
    <x v="1"/>
    <x v="5"/>
    <x v="2"/>
    <x v="0"/>
    <x v="0"/>
    <x v="0"/>
    <s v=""/>
    <s v=""/>
    <s v=""/>
    <s v=""/>
    <s v=""/>
    <s v=""/>
    <s v=""/>
    <s v=""/>
    <m/>
    <s v=""/>
    <m/>
    <m/>
    <m/>
    <m/>
    <m/>
    <m/>
    <m/>
    <m/>
    <m/>
    <m/>
    <m/>
    <m/>
    <m/>
    <m/>
    <m/>
    <s v=" "/>
    <m/>
    <s v=" "/>
    <m/>
    <m/>
  </r>
  <r>
    <x v="1061"/>
    <d v="2025-06-03T00:00:00"/>
    <x v="2"/>
    <x v="5"/>
    <x v="2"/>
    <x v="0"/>
    <x v="0"/>
    <x v="0"/>
    <s v=""/>
    <s v=""/>
    <s v=""/>
    <s v=""/>
    <s v=""/>
    <s v=""/>
    <s v=""/>
    <s v=""/>
    <m/>
    <s v=""/>
    <m/>
    <m/>
    <m/>
    <m/>
    <m/>
    <m/>
    <m/>
    <m/>
    <m/>
    <m/>
    <m/>
    <m/>
    <m/>
    <m/>
    <m/>
    <s v=" "/>
    <m/>
    <s v=" "/>
    <m/>
    <m/>
  </r>
  <r>
    <x v="1062"/>
    <d v="2025-06-04T00:00:00"/>
    <x v="3"/>
    <x v="5"/>
    <x v="2"/>
    <x v="0"/>
    <x v="0"/>
    <x v="0"/>
    <s v=""/>
    <s v=""/>
    <s v=""/>
    <s v=""/>
    <s v=""/>
    <s v=""/>
    <s v=""/>
    <s v=""/>
    <m/>
    <s v=""/>
    <m/>
    <m/>
    <m/>
    <m/>
    <m/>
    <m/>
    <m/>
    <m/>
    <m/>
    <m/>
    <m/>
    <m/>
    <m/>
    <m/>
    <m/>
    <s v=" "/>
    <m/>
    <s v=" "/>
    <m/>
    <m/>
  </r>
  <r>
    <x v="1063"/>
    <d v="2025-06-05T00:00:00"/>
    <x v="4"/>
    <x v="5"/>
    <x v="2"/>
    <x v="0"/>
    <x v="0"/>
    <x v="0"/>
    <s v=""/>
    <s v=""/>
    <s v=""/>
    <s v=""/>
    <s v=""/>
    <s v=""/>
    <s v=""/>
    <s v=""/>
    <m/>
    <s v=""/>
    <m/>
    <m/>
    <m/>
    <m/>
    <m/>
    <m/>
    <m/>
    <m/>
    <m/>
    <m/>
    <m/>
    <m/>
    <m/>
    <m/>
    <m/>
    <s v=" "/>
    <m/>
    <s v=" "/>
    <m/>
    <m/>
  </r>
  <r>
    <x v="1064"/>
    <d v="2025-06-06T00:00:00"/>
    <x v="5"/>
    <x v="5"/>
    <x v="2"/>
    <x v="16"/>
    <x v="3"/>
    <x v="3"/>
    <s v="Cash"/>
    <s v=""/>
    <n v="2"/>
    <s v=""/>
    <s v=""/>
    <s v=""/>
    <s v=""/>
    <s v=""/>
    <m/>
    <s v=""/>
    <m/>
    <m/>
    <m/>
    <m/>
    <m/>
    <m/>
    <m/>
    <m/>
    <m/>
    <m/>
    <m/>
    <m/>
    <m/>
    <m/>
    <m/>
    <s v=" "/>
    <m/>
    <s v=" "/>
    <m/>
    <m/>
  </r>
  <r>
    <x v="1065"/>
    <d v="2025-06-07T00:00:00"/>
    <x v="6"/>
    <x v="5"/>
    <x v="2"/>
    <x v="0"/>
    <x v="0"/>
    <x v="0"/>
    <s v=""/>
    <s v=""/>
    <s v=""/>
    <s v=""/>
    <s v=""/>
    <s v=""/>
    <s v=""/>
    <s v=""/>
    <m/>
    <s v=""/>
    <m/>
    <m/>
    <m/>
    <m/>
    <m/>
    <m/>
    <m/>
    <m/>
    <m/>
    <m/>
    <m/>
    <m/>
    <m/>
    <m/>
    <m/>
    <s v=" "/>
    <m/>
    <s v=" "/>
    <m/>
    <m/>
  </r>
  <r>
    <x v="1066"/>
    <d v="2025-06-08T00:00:00"/>
    <x v="7"/>
    <x v="5"/>
    <x v="2"/>
    <x v="0"/>
    <x v="0"/>
    <x v="0"/>
    <s v=""/>
    <s v=""/>
    <s v=""/>
    <s v=""/>
    <s v=""/>
    <s v=""/>
    <s v=""/>
    <s v=""/>
    <m/>
    <s v=""/>
    <m/>
    <m/>
    <m/>
    <m/>
    <m/>
    <m/>
    <m/>
    <m/>
    <m/>
    <m/>
    <m/>
    <m/>
    <m/>
    <m/>
    <m/>
    <s v=" "/>
    <m/>
    <s v=" "/>
    <m/>
    <m/>
  </r>
  <r>
    <x v="1067"/>
    <d v="2025-06-09T00:00:00"/>
    <x v="8"/>
    <x v="5"/>
    <x v="2"/>
    <x v="0"/>
    <x v="0"/>
    <x v="0"/>
    <s v=""/>
    <s v=""/>
    <s v=""/>
    <s v=""/>
    <s v=""/>
    <s v=""/>
    <s v=""/>
    <s v=""/>
    <m/>
    <s v=""/>
    <m/>
    <m/>
    <m/>
    <m/>
    <m/>
    <m/>
    <m/>
    <m/>
    <m/>
    <m/>
    <m/>
    <m/>
    <m/>
    <m/>
    <m/>
    <s v=" "/>
    <m/>
    <s v=" "/>
    <m/>
    <m/>
  </r>
  <r>
    <x v="1068"/>
    <d v="2025-06-10T00:00:00"/>
    <x v="9"/>
    <x v="5"/>
    <x v="2"/>
    <x v="12"/>
    <x v="2"/>
    <x v="2"/>
    <s v="Cash"/>
    <n v="4.4000000000000004"/>
    <s v=""/>
    <s v=""/>
    <s v=""/>
    <s v=""/>
    <s v=""/>
    <s v=""/>
    <m/>
    <s v=""/>
    <m/>
    <m/>
    <m/>
    <m/>
    <m/>
    <m/>
    <m/>
    <m/>
    <m/>
    <m/>
    <m/>
    <m/>
    <m/>
    <m/>
    <m/>
    <s v=" "/>
    <m/>
    <s v=" "/>
    <m/>
    <m/>
  </r>
  <r>
    <x v="1069"/>
    <d v="2025-06-10T00:00:00"/>
    <x v="9"/>
    <x v="5"/>
    <x v="2"/>
    <x v="172"/>
    <x v="15"/>
    <x v="7"/>
    <s v="Cash"/>
    <n v="1"/>
    <s v=""/>
    <s v=""/>
    <s v=""/>
    <s v=""/>
    <s v=""/>
    <s v=""/>
    <m/>
    <s v=""/>
    <m/>
    <m/>
    <m/>
    <m/>
    <m/>
    <m/>
    <m/>
    <m/>
    <m/>
    <m/>
    <m/>
    <m/>
    <m/>
    <m/>
    <m/>
    <s v=" "/>
    <m/>
    <s v=" "/>
    <m/>
    <m/>
  </r>
  <r>
    <x v="1069"/>
    <d v="2025-06-10T00:00:00"/>
    <x v="9"/>
    <x v="5"/>
    <x v="2"/>
    <x v="173"/>
    <x v="4"/>
    <x v="4"/>
    <s v="Cash"/>
    <n v="50"/>
    <s v=""/>
    <s v=""/>
    <s v=""/>
    <s v=""/>
    <s v=""/>
    <s v=""/>
    <m/>
    <s v=""/>
    <m/>
    <m/>
    <m/>
    <m/>
    <m/>
    <m/>
    <m/>
    <m/>
    <m/>
    <m/>
    <m/>
    <m/>
    <m/>
    <m/>
    <m/>
    <s v=" "/>
    <m/>
    <s v=" "/>
    <m/>
    <m/>
  </r>
  <r>
    <x v="1069"/>
    <d v="2025-06-10T00:00:00"/>
    <x v="9"/>
    <x v="5"/>
    <x v="2"/>
    <x v="5"/>
    <x v="3"/>
    <x v="3"/>
    <s v="Cash"/>
    <s v=""/>
    <n v="14.8"/>
    <s v=""/>
    <s v=""/>
    <s v=""/>
    <s v=""/>
    <s v=""/>
    <m/>
    <s v=""/>
    <m/>
    <m/>
    <m/>
    <m/>
    <m/>
    <m/>
    <m/>
    <m/>
    <m/>
    <m/>
    <m/>
    <m/>
    <m/>
    <m/>
    <m/>
    <s v=" "/>
    <m/>
    <s v=" "/>
    <m/>
    <m/>
  </r>
  <r>
    <x v="1070"/>
    <d v="2025-06-11T00:00:00"/>
    <x v="10"/>
    <x v="5"/>
    <x v="2"/>
    <x v="0"/>
    <x v="0"/>
    <x v="0"/>
    <s v=""/>
    <s v=""/>
    <s v=""/>
    <s v=""/>
    <s v=""/>
    <s v=""/>
    <s v=""/>
    <s v=""/>
    <m/>
    <s v=""/>
    <m/>
    <m/>
    <m/>
    <m/>
    <m/>
    <m/>
    <m/>
    <m/>
    <m/>
    <m/>
    <m/>
    <m/>
    <m/>
    <m/>
    <m/>
    <s v=" "/>
    <m/>
    <s v=" "/>
    <m/>
    <m/>
  </r>
  <r>
    <x v="1071"/>
    <d v="2025-06-12T00:00:00"/>
    <x v="11"/>
    <x v="5"/>
    <x v="2"/>
    <x v="5"/>
    <x v="3"/>
    <x v="3"/>
    <s v="Cash"/>
    <s v=""/>
    <n v="63.8"/>
    <s v=""/>
    <s v=""/>
    <s v=""/>
    <s v=""/>
    <s v=""/>
    <m/>
    <s v=""/>
    <m/>
    <m/>
    <m/>
    <m/>
    <m/>
    <m/>
    <m/>
    <m/>
    <m/>
    <m/>
    <m/>
    <m/>
    <m/>
    <m/>
    <m/>
    <s v=" "/>
    <m/>
    <s v=" "/>
    <m/>
    <m/>
  </r>
  <r>
    <x v="1072"/>
    <d v="2025-06-13T00:00:00"/>
    <x v="12"/>
    <x v="5"/>
    <x v="2"/>
    <x v="12"/>
    <x v="2"/>
    <x v="2"/>
    <s v="Cash"/>
    <n v="2.2000000000000002"/>
    <s v=""/>
    <s v=""/>
    <s v=""/>
    <s v=""/>
    <s v=""/>
    <s v=""/>
    <m/>
    <s v=""/>
    <m/>
    <m/>
    <m/>
    <m/>
    <m/>
    <m/>
    <m/>
    <m/>
    <m/>
    <m/>
    <m/>
    <m/>
    <m/>
    <m/>
    <m/>
    <s v=" "/>
    <m/>
    <s v=" "/>
    <m/>
    <m/>
  </r>
  <r>
    <x v="1072"/>
    <d v="2025-06-13T00:00:00"/>
    <x v="12"/>
    <x v="5"/>
    <x v="2"/>
    <x v="5"/>
    <x v="3"/>
    <x v="3"/>
    <s v="Cash"/>
    <s v=""/>
    <n v="37.450000000000003"/>
    <s v=""/>
    <s v=""/>
    <s v=""/>
    <s v=""/>
    <s v=""/>
    <m/>
    <s v=""/>
    <m/>
    <m/>
    <m/>
    <m/>
    <m/>
    <m/>
    <m/>
    <m/>
    <m/>
    <m/>
    <m/>
    <m/>
    <m/>
    <m/>
    <m/>
    <s v=" "/>
    <m/>
    <s v=" "/>
    <m/>
    <m/>
  </r>
  <r>
    <x v="1072"/>
    <d v="2025-06-13T00:00:00"/>
    <x v="12"/>
    <x v="5"/>
    <x v="2"/>
    <x v="5"/>
    <x v="6"/>
    <x v="3"/>
    <s v="Cash"/>
    <s v=""/>
    <n v="1.69"/>
    <s v=""/>
    <s v=""/>
    <s v=""/>
    <s v=""/>
    <s v=""/>
    <m/>
    <s v=""/>
    <m/>
    <m/>
    <m/>
    <m/>
    <m/>
    <m/>
    <m/>
    <m/>
    <m/>
    <m/>
    <m/>
    <m/>
    <m/>
    <m/>
    <m/>
    <s v=" "/>
    <m/>
    <s v=" "/>
    <m/>
    <m/>
  </r>
  <r>
    <x v="1073"/>
    <d v="2025-06-14T00:00:00"/>
    <x v="13"/>
    <x v="5"/>
    <x v="2"/>
    <x v="0"/>
    <x v="0"/>
    <x v="0"/>
    <s v=""/>
    <s v=""/>
    <s v=""/>
    <s v=""/>
    <s v=""/>
    <s v=""/>
    <s v=""/>
    <s v=""/>
    <m/>
    <s v=""/>
    <m/>
    <m/>
    <m/>
    <m/>
    <m/>
    <m/>
    <m/>
    <m/>
    <m/>
    <m/>
    <m/>
    <m/>
    <m/>
    <m/>
    <m/>
    <s v=" "/>
    <m/>
    <s v=" "/>
    <m/>
    <m/>
  </r>
  <r>
    <x v="1074"/>
    <d v="2025-06-15T00:00:00"/>
    <x v="14"/>
    <x v="5"/>
    <x v="2"/>
    <x v="0"/>
    <x v="0"/>
    <x v="0"/>
    <s v=""/>
    <s v=""/>
    <s v=""/>
    <s v=""/>
    <s v=""/>
    <s v=""/>
    <s v=""/>
    <s v=""/>
    <m/>
    <s v=""/>
    <m/>
    <m/>
    <m/>
    <m/>
    <m/>
    <m/>
    <m/>
    <m/>
    <m/>
    <m/>
    <m/>
    <m/>
    <m/>
    <m/>
    <m/>
    <s v=" "/>
    <m/>
    <s v=" "/>
    <m/>
    <m/>
  </r>
  <r>
    <x v="1075"/>
    <d v="2025-06-16T00:00:00"/>
    <x v="15"/>
    <x v="5"/>
    <x v="2"/>
    <x v="0"/>
    <x v="0"/>
    <x v="0"/>
    <s v=""/>
    <s v=""/>
    <s v=""/>
    <s v=""/>
    <s v=""/>
    <s v=""/>
    <s v=""/>
    <s v=""/>
    <m/>
    <s v=""/>
    <m/>
    <m/>
    <m/>
    <m/>
    <m/>
    <m/>
    <m/>
    <m/>
    <m/>
    <m/>
    <m/>
    <m/>
    <m/>
    <m/>
    <m/>
    <s v=" "/>
    <m/>
    <s v=" "/>
    <m/>
    <m/>
  </r>
  <r>
    <x v="1076"/>
    <d v="2025-06-17T00:00:00"/>
    <x v="16"/>
    <x v="5"/>
    <x v="2"/>
    <x v="0"/>
    <x v="0"/>
    <x v="0"/>
    <s v=""/>
    <s v=""/>
    <s v=""/>
    <s v=""/>
    <s v=""/>
    <s v=""/>
    <s v=""/>
    <s v=""/>
    <m/>
    <s v=""/>
    <m/>
    <m/>
    <m/>
    <m/>
    <m/>
    <m/>
    <m/>
    <m/>
    <m/>
    <m/>
    <m/>
    <m/>
    <m/>
    <m/>
    <m/>
    <s v=" "/>
    <m/>
    <s v=" "/>
    <m/>
    <m/>
  </r>
  <r>
    <x v="1077"/>
    <d v="2025-06-18T00:00:00"/>
    <x v="17"/>
    <x v="5"/>
    <x v="2"/>
    <x v="0"/>
    <x v="0"/>
    <x v="0"/>
    <s v=""/>
    <s v=""/>
    <s v=""/>
    <s v=""/>
    <s v=""/>
    <s v=""/>
    <s v=""/>
    <s v=""/>
    <m/>
    <s v=""/>
    <m/>
    <m/>
    <m/>
    <m/>
    <m/>
    <m/>
    <m/>
    <m/>
    <m/>
    <m/>
    <m/>
    <m/>
    <m/>
    <m/>
    <m/>
    <s v=" "/>
    <m/>
    <s v=" "/>
    <m/>
    <m/>
  </r>
  <r>
    <x v="1078"/>
    <d v="2025-06-19T00:00:00"/>
    <x v="18"/>
    <x v="5"/>
    <x v="2"/>
    <x v="0"/>
    <x v="0"/>
    <x v="0"/>
    <s v=""/>
    <s v=""/>
    <s v=""/>
    <s v=""/>
    <s v=""/>
    <s v=""/>
    <s v=""/>
    <s v=""/>
    <m/>
    <s v=""/>
    <m/>
    <m/>
    <m/>
    <m/>
    <m/>
    <m/>
    <m/>
    <m/>
    <m/>
    <m/>
    <m/>
    <m/>
    <m/>
    <m/>
    <m/>
    <s v=" "/>
    <m/>
    <s v=" "/>
    <m/>
    <m/>
  </r>
  <r>
    <x v="1079"/>
    <d v="2025-06-20T00:00:00"/>
    <x v="19"/>
    <x v="5"/>
    <x v="2"/>
    <x v="0"/>
    <x v="0"/>
    <x v="0"/>
    <s v=""/>
    <s v=""/>
    <s v=""/>
    <s v=""/>
    <s v=""/>
    <s v=""/>
    <s v=""/>
    <s v=""/>
    <m/>
    <s v=""/>
    <m/>
    <m/>
    <m/>
    <m/>
    <m/>
    <m/>
    <m/>
    <m/>
    <m/>
    <m/>
    <m/>
    <m/>
    <m/>
    <m/>
    <m/>
    <s v=" "/>
    <m/>
    <s v=" "/>
    <m/>
    <m/>
  </r>
  <r>
    <x v="1080"/>
    <d v="2025-06-21T00:00:00"/>
    <x v="20"/>
    <x v="5"/>
    <x v="2"/>
    <x v="0"/>
    <x v="0"/>
    <x v="0"/>
    <s v=""/>
    <s v=""/>
    <s v=""/>
    <s v=""/>
    <s v=""/>
    <s v=""/>
    <s v=""/>
    <s v=""/>
    <m/>
    <s v=""/>
    <m/>
    <m/>
    <m/>
    <m/>
    <m/>
    <m/>
    <m/>
    <m/>
    <m/>
    <m/>
    <m/>
    <m/>
    <m/>
    <m/>
    <m/>
    <s v=" "/>
    <m/>
    <s v=" "/>
    <m/>
    <m/>
  </r>
  <r>
    <x v="1081"/>
    <d v="2025-06-22T00:00:00"/>
    <x v="21"/>
    <x v="5"/>
    <x v="2"/>
    <x v="0"/>
    <x v="0"/>
    <x v="0"/>
    <s v=""/>
    <s v=""/>
    <s v=""/>
    <s v=""/>
    <s v=""/>
    <s v=""/>
    <s v=""/>
    <s v=""/>
    <m/>
    <s v=""/>
    <m/>
    <m/>
    <m/>
    <m/>
    <m/>
    <m/>
    <m/>
    <m/>
    <m/>
    <m/>
    <m/>
    <m/>
    <m/>
    <m/>
    <m/>
    <s v=" "/>
    <m/>
    <s v=" "/>
    <m/>
    <m/>
  </r>
  <r>
    <x v="1082"/>
    <d v="2025-06-23T00:00:00"/>
    <x v="22"/>
    <x v="5"/>
    <x v="2"/>
    <x v="0"/>
    <x v="0"/>
    <x v="0"/>
    <s v=""/>
    <s v=""/>
    <s v=""/>
    <s v=""/>
    <s v=""/>
    <s v=""/>
    <s v=""/>
    <s v=""/>
    <m/>
    <s v=""/>
    <m/>
    <m/>
    <m/>
    <m/>
    <m/>
    <m/>
    <m/>
    <m/>
    <m/>
    <m/>
    <m/>
    <m/>
    <m/>
    <m/>
    <m/>
    <s v=" "/>
    <m/>
    <s v=" "/>
    <m/>
    <m/>
  </r>
  <r>
    <x v="1083"/>
    <d v="2025-06-24T00:00:00"/>
    <x v="23"/>
    <x v="5"/>
    <x v="2"/>
    <x v="0"/>
    <x v="0"/>
    <x v="0"/>
    <s v=""/>
    <s v=""/>
    <s v=""/>
    <s v=""/>
    <s v=""/>
    <s v=""/>
    <s v=""/>
    <s v=""/>
    <m/>
    <s v=""/>
    <m/>
    <m/>
    <m/>
    <m/>
    <m/>
    <m/>
    <m/>
    <m/>
    <m/>
    <m/>
    <m/>
    <m/>
    <m/>
    <m/>
    <m/>
    <s v=" "/>
    <m/>
    <s v=" "/>
    <m/>
    <m/>
  </r>
  <r>
    <x v="1084"/>
    <d v="2025-06-25T00:00:00"/>
    <x v="24"/>
    <x v="5"/>
    <x v="2"/>
    <x v="0"/>
    <x v="0"/>
    <x v="0"/>
    <s v=""/>
    <s v=""/>
    <s v=""/>
    <s v=""/>
    <s v=""/>
    <s v=""/>
    <s v=""/>
    <s v=""/>
    <m/>
    <s v=""/>
    <m/>
    <m/>
    <m/>
    <m/>
    <m/>
    <m/>
    <m/>
    <m/>
    <m/>
    <m/>
    <m/>
    <m/>
    <m/>
    <m/>
    <m/>
    <s v=" "/>
    <m/>
    <s v=" "/>
    <m/>
    <m/>
  </r>
  <r>
    <x v="1085"/>
    <d v="2025-06-26T00:00:00"/>
    <x v="25"/>
    <x v="5"/>
    <x v="2"/>
    <x v="0"/>
    <x v="0"/>
    <x v="0"/>
    <s v=""/>
    <s v=""/>
    <s v=""/>
    <s v=""/>
    <s v=""/>
    <s v=""/>
    <s v=""/>
    <s v=""/>
    <m/>
    <s v=""/>
    <m/>
    <m/>
    <m/>
    <m/>
    <m/>
    <m/>
    <m/>
    <m/>
    <m/>
    <m/>
    <m/>
    <m/>
    <m/>
    <m/>
    <m/>
    <s v=" "/>
    <m/>
    <s v=" "/>
    <m/>
    <m/>
  </r>
  <r>
    <x v="1086"/>
    <d v="2025-06-27T00:00:00"/>
    <x v="26"/>
    <x v="5"/>
    <x v="2"/>
    <x v="0"/>
    <x v="0"/>
    <x v="0"/>
    <s v=""/>
    <s v=""/>
    <s v=""/>
    <s v=""/>
    <s v=""/>
    <s v=""/>
    <s v=""/>
    <s v=""/>
    <m/>
    <s v=""/>
    <m/>
    <m/>
    <m/>
    <m/>
    <m/>
    <m/>
    <m/>
    <m/>
    <m/>
    <m/>
    <m/>
    <m/>
    <m/>
    <m/>
    <m/>
    <s v=" "/>
    <m/>
    <s v=" "/>
    <m/>
    <m/>
  </r>
  <r>
    <x v="1087"/>
    <d v="2025-06-28T00:00:00"/>
    <x v="27"/>
    <x v="5"/>
    <x v="2"/>
    <x v="0"/>
    <x v="0"/>
    <x v="0"/>
    <s v=""/>
    <s v=""/>
    <s v=""/>
    <s v=""/>
    <s v=""/>
    <s v=""/>
    <s v=""/>
    <s v=""/>
    <m/>
    <s v=""/>
    <m/>
    <m/>
    <m/>
    <m/>
    <m/>
    <m/>
    <m/>
    <m/>
    <m/>
    <m/>
    <m/>
    <m/>
    <m/>
    <m/>
    <m/>
    <s v=" "/>
    <m/>
    <s v=" "/>
    <m/>
    <m/>
  </r>
  <r>
    <x v="1088"/>
    <d v="2025-06-29T00:00:00"/>
    <x v="28"/>
    <x v="5"/>
    <x v="2"/>
    <x v="0"/>
    <x v="0"/>
    <x v="0"/>
    <s v=""/>
    <s v=""/>
    <s v=""/>
    <s v=""/>
    <s v=""/>
    <s v=""/>
    <s v=""/>
    <s v=""/>
    <m/>
    <s v=""/>
    <m/>
    <m/>
    <m/>
    <m/>
    <m/>
    <m/>
    <m/>
    <m/>
    <m/>
    <m/>
    <m/>
    <m/>
    <m/>
    <m/>
    <m/>
    <s v=" "/>
    <m/>
    <s v=" "/>
    <m/>
    <m/>
  </r>
  <r>
    <x v="1089"/>
    <d v="2025-06-30T00:00:00"/>
    <x v="29"/>
    <x v="5"/>
    <x v="2"/>
    <x v="0"/>
    <x v="0"/>
    <x v="0"/>
    <s v=""/>
    <s v=""/>
    <s v=""/>
    <s v=""/>
    <s v=""/>
    <s v=""/>
    <s v=""/>
    <s v=""/>
    <m/>
    <s v=""/>
    <m/>
    <m/>
    <m/>
    <m/>
    <m/>
    <m/>
    <m/>
    <m/>
    <m/>
    <m/>
    <m/>
    <m/>
    <m/>
    <m/>
    <m/>
    <s v=" "/>
    <m/>
    <s v=" "/>
    <m/>
    <m/>
  </r>
  <r>
    <x v="1090"/>
    <d v="2025-07-01T00:00:00"/>
    <x v="0"/>
    <x v="6"/>
    <x v="2"/>
    <x v="0"/>
    <x v="0"/>
    <x v="0"/>
    <s v=""/>
    <s v=""/>
    <s v=""/>
    <s v=""/>
    <s v=""/>
    <s v=""/>
    <s v=""/>
    <s v=""/>
    <m/>
    <s v=""/>
    <m/>
    <m/>
    <m/>
    <m/>
    <m/>
    <m/>
    <m/>
    <m/>
    <m/>
    <m/>
    <m/>
    <m/>
    <m/>
    <m/>
    <m/>
    <s v=" "/>
    <m/>
    <s v=" "/>
    <m/>
    <m/>
  </r>
  <r>
    <x v="1091"/>
    <d v="2025-07-02T00:00:00"/>
    <x v="1"/>
    <x v="6"/>
    <x v="2"/>
    <x v="0"/>
    <x v="0"/>
    <x v="0"/>
    <s v=""/>
    <s v=""/>
    <s v=""/>
    <s v=""/>
    <s v=""/>
    <s v=""/>
    <s v=""/>
    <s v=""/>
    <m/>
    <s v=""/>
    <m/>
    <m/>
    <m/>
    <m/>
    <m/>
    <m/>
    <m/>
    <m/>
    <m/>
    <m/>
    <m/>
    <m/>
    <m/>
    <m/>
    <m/>
    <s v=" "/>
    <m/>
    <s v=" "/>
    <m/>
    <m/>
  </r>
  <r>
    <x v="1092"/>
    <d v="2025-07-03T00:00:00"/>
    <x v="2"/>
    <x v="6"/>
    <x v="2"/>
    <x v="0"/>
    <x v="0"/>
    <x v="0"/>
    <s v=""/>
    <s v=""/>
    <s v=""/>
    <s v=""/>
    <s v=""/>
    <s v=""/>
    <s v=""/>
    <s v=""/>
    <m/>
    <s v=""/>
    <m/>
    <m/>
    <m/>
    <m/>
    <m/>
    <m/>
    <m/>
    <m/>
    <m/>
    <m/>
    <m/>
    <m/>
    <m/>
    <m/>
    <m/>
    <s v=" "/>
    <m/>
    <s v=" "/>
    <m/>
    <m/>
  </r>
  <r>
    <x v="1093"/>
    <d v="2025-07-04T00:00:00"/>
    <x v="3"/>
    <x v="6"/>
    <x v="2"/>
    <x v="0"/>
    <x v="0"/>
    <x v="0"/>
    <s v=""/>
    <s v=""/>
    <s v=""/>
    <s v=""/>
    <s v=""/>
    <s v=""/>
    <s v=""/>
    <s v=""/>
    <m/>
    <s v=""/>
    <m/>
    <m/>
    <m/>
    <m/>
    <m/>
    <m/>
    <m/>
    <m/>
    <m/>
    <m/>
    <m/>
    <m/>
    <m/>
    <m/>
    <m/>
    <s v=" "/>
    <m/>
    <s v=" "/>
    <m/>
    <m/>
  </r>
  <r>
    <x v="1094"/>
    <d v="2025-07-05T00:00:00"/>
    <x v="4"/>
    <x v="6"/>
    <x v="2"/>
    <x v="0"/>
    <x v="0"/>
    <x v="0"/>
    <s v=""/>
    <s v=""/>
    <s v=""/>
    <s v=""/>
    <s v=""/>
    <s v=""/>
    <s v=""/>
    <s v=""/>
    <m/>
    <s v=""/>
    <m/>
    <m/>
    <m/>
    <m/>
    <m/>
    <m/>
    <m/>
    <m/>
    <m/>
    <m/>
    <m/>
    <m/>
    <m/>
    <m/>
    <m/>
    <s v=" "/>
    <m/>
    <s v=" "/>
    <m/>
    <m/>
  </r>
  <r>
    <x v="1095"/>
    <d v="2025-07-06T00:00:00"/>
    <x v="5"/>
    <x v="6"/>
    <x v="2"/>
    <x v="0"/>
    <x v="0"/>
    <x v="0"/>
    <s v=""/>
    <s v=""/>
    <s v=""/>
    <s v=""/>
    <s v=""/>
    <s v=""/>
    <s v=""/>
    <s v=""/>
    <m/>
    <s v=""/>
    <m/>
    <m/>
    <m/>
    <m/>
    <m/>
    <m/>
    <m/>
    <m/>
    <m/>
    <m/>
    <m/>
    <m/>
    <m/>
    <m/>
    <m/>
    <s v=" "/>
    <m/>
    <s v=" "/>
    <m/>
    <m/>
  </r>
  <r>
    <x v="1096"/>
    <d v="2025-07-07T00:00:00"/>
    <x v="6"/>
    <x v="6"/>
    <x v="2"/>
    <x v="0"/>
    <x v="0"/>
    <x v="0"/>
    <s v=""/>
    <s v=""/>
    <s v=""/>
    <s v=""/>
    <s v=""/>
    <s v=""/>
    <s v=""/>
    <s v=""/>
    <m/>
    <s v=""/>
    <m/>
    <m/>
    <m/>
    <m/>
    <m/>
    <m/>
    <m/>
    <m/>
    <m/>
    <m/>
    <m/>
    <m/>
    <m/>
    <m/>
    <m/>
    <s v=" "/>
    <m/>
    <s v=" "/>
    <m/>
    <m/>
  </r>
  <r>
    <x v="1097"/>
    <d v="2025-07-08T00:00:00"/>
    <x v="7"/>
    <x v="6"/>
    <x v="2"/>
    <x v="0"/>
    <x v="0"/>
    <x v="0"/>
    <s v=""/>
    <s v=""/>
    <s v=""/>
    <s v=""/>
    <s v=""/>
    <s v=""/>
    <s v=""/>
    <s v=""/>
    <m/>
    <s v=""/>
    <m/>
    <m/>
    <m/>
    <m/>
    <m/>
    <m/>
    <m/>
    <m/>
    <m/>
    <m/>
    <m/>
    <m/>
    <m/>
    <m/>
    <m/>
    <s v=" "/>
    <m/>
    <s v=" "/>
    <m/>
    <m/>
  </r>
  <r>
    <x v="1098"/>
    <d v="2025-07-09T00:00:00"/>
    <x v="8"/>
    <x v="6"/>
    <x v="2"/>
    <x v="0"/>
    <x v="0"/>
    <x v="0"/>
    <s v=""/>
    <s v=""/>
    <s v=""/>
    <s v=""/>
    <s v=""/>
    <s v=""/>
    <s v=""/>
    <s v=""/>
    <m/>
    <s v=""/>
    <m/>
    <m/>
    <m/>
    <m/>
    <m/>
    <m/>
    <m/>
    <m/>
    <m/>
    <m/>
    <m/>
    <m/>
    <m/>
    <m/>
    <m/>
    <s v=" "/>
    <m/>
    <s v=" "/>
    <m/>
    <m/>
  </r>
  <r>
    <x v="1099"/>
    <d v="2025-07-10T00:00:00"/>
    <x v="9"/>
    <x v="6"/>
    <x v="2"/>
    <x v="0"/>
    <x v="0"/>
    <x v="0"/>
    <s v=""/>
    <s v=""/>
    <s v=""/>
    <s v=""/>
    <s v=""/>
    <s v=""/>
    <s v=""/>
    <s v=""/>
    <m/>
    <s v=""/>
    <m/>
    <m/>
    <m/>
    <m/>
    <m/>
    <m/>
    <m/>
    <m/>
    <m/>
    <m/>
    <m/>
    <m/>
    <m/>
    <m/>
    <m/>
    <s v=" "/>
    <m/>
    <s v=" "/>
    <m/>
    <m/>
  </r>
  <r>
    <x v="1100"/>
    <d v="2025-07-11T00:00:00"/>
    <x v="10"/>
    <x v="6"/>
    <x v="2"/>
    <x v="0"/>
    <x v="0"/>
    <x v="0"/>
    <s v=""/>
    <s v=""/>
    <s v=""/>
    <s v=""/>
    <s v=""/>
    <s v=""/>
    <s v=""/>
    <s v=""/>
    <m/>
    <s v=""/>
    <m/>
    <m/>
    <m/>
    <m/>
    <m/>
    <m/>
    <m/>
    <m/>
    <m/>
    <m/>
    <m/>
    <m/>
    <m/>
    <m/>
    <m/>
    <s v=" "/>
    <m/>
    <s v=" "/>
    <m/>
    <m/>
  </r>
  <r>
    <x v="1101"/>
    <d v="2025-07-12T00:00:00"/>
    <x v="11"/>
    <x v="6"/>
    <x v="2"/>
    <x v="0"/>
    <x v="0"/>
    <x v="0"/>
    <s v=""/>
    <s v=""/>
    <s v=""/>
    <s v=""/>
    <s v=""/>
    <s v=""/>
    <s v=""/>
    <s v=""/>
    <m/>
    <s v=""/>
    <m/>
    <m/>
    <m/>
    <m/>
    <m/>
    <m/>
    <m/>
    <m/>
    <m/>
    <m/>
    <m/>
    <m/>
    <m/>
    <m/>
    <m/>
    <s v=" "/>
    <m/>
    <s v=" "/>
    <m/>
    <m/>
  </r>
  <r>
    <x v="1102"/>
    <d v="2025-07-13T00:00:00"/>
    <x v="12"/>
    <x v="6"/>
    <x v="2"/>
    <x v="0"/>
    <x v="0"/>
    <x v="0"/>
    <s v=""/>
    <s v=""/>
    <s v=""/>
    <s v=""/>
    <s v=""/>
    <s v=""/>
    <s v=""/>
    <s v=""/>
    <m/>
    <s v=""/>
    <m/>
    <m/>
    <m/>
    <m/>
    <m/>
    <m/>
    <m/>
    <m/>
    <m/>
    <m/>
    <m/>
    <m/>
    <m/>
    <m/>
    <m/>
    <s v=" "/>
    <m/>
    <s v=" "/>
    <m/>
    <m/>
  </r>
  <r>
    <x v="1103"/>
    <d v="2025-07-14T00:00:00"/>
    <x v="13"/>
    <x v="6"/>
    <x v="2"/>
    <x v="0"/>
    <x v="0"/>
    <x v="0"/>
    <s v=""/>
    <s v=""/>
    <s v=""/>
    <s v=""/>
    <s v=""/>
    <s v=""/>
    <s v=""/>
    <s v=""/>
    <m/>
    <s v=""/>
    <m/>
    <m/>
    <m/>
    <m/>
    <m/>
    <m/>
    <m/>
    <m/>
    <m/>
    <m/>
    <m/>
    <m/>
    <m/>
    <m/>
    <m/>
    <s v=" "/>
    <m/>
    <s v=" "/>
    <m/>
    <m/>
  </r>
  <r>
    <x v="1104"/>
    <d v="2025-07-15T00:00:00"/>
    <x v="14"/>
    <x v="6"/>
    <x v="2"/>
    <x v="0"/>
    <x v="0"/>
    <x v="0"/>
    <s v=""/>
    <s v=""/>
    <s v=""/>
    <s v=""/>
    <s v=""/>
    <s v=""/>
    <s v=""/>
    <s v=""/>
    <m/>
    <s v=""/>
    <m/>
    <m/>
    <m/>
    <m/>
    <m/>
    <m/>
    <m/>
    <m/>
    <m/>
    <m/>
    <m/>
    <m/>
    <m/>
    <m/>
    <m/>
    <s v=" "/>
    <m/>
    <s v=" "/>
    <m/>
    <m/>
  </r>
  <r>
    <x v="1105"/>
    <d v="2025-07-16T00:00:00"/>
    <x v="15"/>
    <x v="6"/>
    <x v="2"/>
    <x v="0"/>
    <x v="0"/>
    <x v="0"/>
    <s v=""/>
    <s v=""/>
    <s v=""/>
    <s v=""/>
    <s v=""/>
    <s v=""/>
    <s v=""/>
    <s v=""/>
    <m/>
    <s v=""/>
    <m/>
    <m/>
    <m/>
    <m/>
    <m/>
    <m/>
    <m/>
    <m/>
    <m/>
    <m/>
    <m/>
    <m/>
    <m/>
    <m/>
    <m/>
    <s v=" "/>
    <m/>
    <s v=" "/>
    <m/>
    <m/>
  </r>
  <r>
    <x v="1106"/>
    <d v="2025-07-17T00:00:00"/>
    <x v="16"/>
    <x v="6"/>
    <x v="2"/>
    <x v="0"/>
    <x v="0"/>
    <x v="0"/>
    <s v=""/>
    <s v=""/>
    <s v=""/>
    <s v=""/>
    <s v=""/>
    <s v=""/>
    <s v=""/>
    <s v=""/>
    <m/>
    <s v=""/>
    <m/>
    <m/>
    <m/>
    <m/>
    <m/>
    <m/>
    <m/>
    <m/>
    <m/>
    <m/>
    <m/>
    <m/>
    <m/>
    <m/>
    <m/>
    <s v=" "/>
    <m/>
    <s v=" "/>
    <m/>
    <m/>
  </r>
  <r>
    <x v="1107"/>
    <d v="2025-07-18T00:00:00"/>
    <x v="17"/>
    <x v="6"/>
    <x v="2"/>
    <x v="0"/>
    <x v="0"/>
    <x v="0"/>
    <s v=""/>
    <s v=""/>
    <s v=""/>
    <s v=""/>
    <s v=""/>
    <s v=""/>
    <s v=""/>
    <s v=""/>
    <m/>
    <s v=""/>
    <m/>
    <m/>
    <m/>
    <m/>
    <m/>
    <m/>
    <m/>
    <m/>
    <m/>
    <m/>
    <m/>
    <m/>
    <m/>
    <m/>
    <m/>
    <s v=" "/>
    <m/>
    <s v=" "/>
    <m/>
    <m/>
  </r>
  <r>
    <x v="1108"/>
    <d v="2025-07-19T00:00:00"/>
    <x v="18"/>
    <x v="6"/>
    <x v="2"/>
    <x v="0"/>
    <x v="0"/>
    <x v="0"/>
    <s v=""/>
    <s v=""/>
    <s v=""/>
    <s v=""/>
    <s v=""/>
    <s v=""/>
    <s v=""/>
    <s v=""/>
    <m/>
    <s v=""/>
    <m/>
    <m/>
    <m/>
    <m/>
    <m/>
    <m/>
    <m/>
    <m/>
    <m/>
    <m/>
    <m/>
    <m/>
    <m/>
    <m/>
    <m/>
    <s v=" "/>
    <m/>
    <s v=" "/>
    <m/>
    <m/>
  </r>
  <r>
    <x v="1109"/>
    <d v="2025-07-20T00:00:00"/>
    <x v="19"/>
    <x v="6"/>
    <x v="2"/>
    <x v="0"/>
    <x v="0"/>
    <x v="0"/>
    <s v=""/>
    <s v=""/>
    <s v=""/>
    <s v=""/>
    <s v=""/>
    <s v=""/>
    <s v=""/>
    <s v=""/>
    <m/>
    <s v=""/>
    <m/>
    <m/>
    <m/>
    <m/>
    <m/>
    <m/>
    <m/>
    <m/>
    <m/>
    <m/>
    <m/>
    <m/>
    <m/>
    <m/>
    <m/>
    <s v=" "/>
    <m/>
    <s v=" "/>
    <m/>
    <m/>
  </r>
  <r>
    <x v="1110"/>
    <d v="2025-07-21T00:00:00"/>
    <x v="20"/>
    <x v="6"/>
    <x v="2"/>
    <x v="0"/>
    <x v="0"/>
    <x v="0"/>
    <s v=""/>
    <s v=""/>
    <s v=""/>
    <s v=""/>
    <s v=""/>
    <s v=""/>
    <s v=""/>
    <s v=""/>
    <m/>
    <s v=""/>
    <m/>
    <m/>
    <m/>
    <m/>
    <m/>
    <m/>
    <m/>
    <m/>
    <m/>
    <m/>
    <m/>
    <m/>
    <m/>
    <m/>
    <m/>
    <s v=" "/>
    <m/>
    <s v=" "/>
    <m/>
    <m/>
  </r>
  <r>
    <x v="1111"/>
    <d v="2025-07-22T00:00:00"/>
    <x v="21"/>
    <x v="6"/>
    <x v="2"/>
    <x v="0"/>
    <x v="0"/>
    <x v="0"/>
    <s v=""/>
    <s v=""/>
    <s v=""/>
    <s v=""/>
    <s v=""/>
    <s v=""/>
    <s v=""/>
    <s v=""/>
    <m/>
    <s v=""/>
    <m/>
    <m/>
    <m/>
    <m/>
    <m/>
    <m/>
    <m/>
    <m/>
    <m/>
    <m/>
    <m/>
    <m/>
    <m/>
    <m/>
    <m/>
    <s v=" "/>
    <m/>
    <s v=" "/>
    <m/>
    <m/>
  </r>
  <r>
    <x v="1112"/>
    <d v="2025-07-23T00:00:00"/>
    <x v="22"/>
    <x v="6"/>
    <x v="2"/>
    <x v="0"/>
    <x v="0"/>
    <x v="0"/>
    <s v=""/>
    <s v=""/>
    <s v=""/>
    <s v=""/>
    <s v=""/>
    <s v=""/>
    <s v=""/>
    <s v=""/>
    <m/>
    <s v=""/>
    <m/>
    <m/>
    <m/>
    <m/>
    <m/>
    <m/>
    <m/>
    <m/>
    <m/>
    <m/>
    <m/>
    <m/>
    <m/>
    <m/>
    <m/>
    <s v=" "/>
    <m/>
    <s v=" "/>
    <m/>
    <m/>
  </r>
  <r>
    <x v="1113"/>
    <d v="2025-07-24T00:00:00"/>
    <x v="23"/>
    <x v="6"/>
    <x v="2"/>
    <x v="0"/>
    <x v="0"/>
    <x v="0"/>
    <s v=""/>
    <s v=""/>
    <s v=""/>
    <s v=""/>
    <s v=""/>
    <s v=""/>
    <s v=""/>
    <s v=""/>
    <m/>
    <s v=""/>
    <m/>
    <m/>
    <m/>
    <m/>
    <m/>
    <m/>
    <m/>
    <m/>
    <m/>
    <m/>
    <m/>
    <m/>
    <m/>
    <m/>
    <m/>
    <s v=" "/>
    <m/>
    <s v=" "/>
    <m/>
    <m/>
  </r>
  <r>
    <x v="1114"/>
    <d v="2025-07-25T00:00:00"/>
    <x v="24"/>
    <x v="6"/>
    <x v="2"/>
    <x v="0"/>
    <x v="0"/>
    <x v="0"/>
    <s v=""/>
    <s v=""/>
    <s v=""/>
    <s v=""/>
    <s v=""/>
    <s v=""/>
    <s v=""/>
    <s v=""/>
    <m/>
    <s v=""/>
    <m/>
    <m/>
    <m/>
    <m/>
    <m/>
    <m/>
    <m/>
    <m/>
    <m/>
    <m/>
    <m/>
    <m/>
    <m/>
    <m/>
    <m/>
    <s v=" "/>
    <m/>
    <s v=" "/>
    <m/>
    <m/>
  </r>
  <r>
    <x v="1115"/>
    <d v="2025-07-26T00:00:00"/>
    <x v="25"/>
    <x v="6"/>
    <x v="2"/>
    <x v="0"/>
    <x v="0"/>
    <x v="0"/>
    <s v=""/>
    <s v=""/>
    <s v=""/>
    <s v=""/>
    <s v=""/>
    <s v=""/>
    <s v=""/>
    <s v=""/>
    <m/>
    <s v=""/>
    <m/>
    <m/>
    <m/>
    <m/>
    <m/>
    <m/>
    <m/>
    <m/>
    <m/>
    <m/>
    <m/>
    <m/>
    <m/>
    <m/>
    <m/>
    <s v=" "/>
    <m/>
    <s v=" "/>
    <m/>
    <m/>
  </r>
  <r>
    <x v="1116"/>
    <d v="2025-07-27T00:00:00"/>
    <x v="26"/>
    <x v="6"/>
    <x v="2"/>
    <x v="0"/>
    <x v="0"/>
    <x v="0"/>
    <s v=""/>
    <s v=""/>
    <s v=""/>
    <s v=""/>
    <s v=""/>
    <s v=""/>
    <s v=""/>
    <s v=""/>
    <m/>
    <s v=""/>
    <m/>
    <m/>
    <m/>
    <m/>
    <m/>
    <m/>
    <m/>
    <m/>
    <m/>
    <m/>
    <m/>
    <m/>
    <m/>
    <m/>
    <m/>
    <s v=" "/>
    <m/>
    <s v=" "/>
    <m/>
    <m/>
  </r>
  <r>
    <x v="1117"/>
    <d v="2025-07-28T00:00:00"/>
    <x v="27"/>
    <x v="6"/>
    <x v="2"/>
    <x v="0"/>
    <x v="0"/>
    <x v="0"/>
    <s v=""/>
    <s v=""/>
    <s v=""/>
    <s v=""/>
    <s v=""/>
    <s v=""/>
    <s v=""/>
    <s v=""/>
    <m/>
    <s v=""/>
    <m/>
    <m/>
    <m/>
    <m/>
    <m/>
    <m/>
    <m/>
    <m/>
    <m/>
    <m/>
    <m/>
    <m/>
    <m/>
    <m/>
    <m/>
    <s v=" "/>
    <m/>
    <s v=" "/>
    <m/>
    <m/>
  </r>
  <r>
    <x v="1118"/>
    <d v="2025-07-29T00:00:00"/>
    <x v="28"/>
    <x v="6"/>
    <x v="2"/>
    <x v="0"/>
    <x v="0"/>
    <x v="0"/>
    <s v=""/>
    <s v=""/>
    <s v=""/>
    <s v=""/>
    <s v=""/>
    <s v=""/>
    <s v=""/>
    <s v=""/>
    <m/>
    <s v=""/>
    <m/>
    <m/>
    <m/>
    <m/>
    <m/>
    <m/>
    <m/>
    <m/>
    <m/>
    <m/>
    <m/>
    <m/>
    <m/>
    <m/>
    <m/>
    <s v=" "/>
    <m/>
    <s v=" "/>
    <m/>
    <m/>
  </r>
  <r>
    <x v="1119"/>
    <d v="2025-07-30T00:00:00"/>
    <x v="29"/>
    <x v="6"/>
    <x v="2"/>
    <x v="0"/>
    <x v="0"/>
    <x v="0"/>
    <s v=""/>
    <s v=""/>
    <s v=""/>
    <s v=""/>
    <s v=""/>
    <s v=""/>
    <s v=""/>
    <s v=""/>
    <m/>
    <s v=""/>
    <m/>
    <m/>
    <m/>
    <m/>
    <m/>
    <m/>
    <m/>
    <m/>
    <m/>
    <m/>
    <m/>
    <m/>
    <m/>
    <m/>
    <m/>
    <s v=" "/>
    <m/>
    <s v=" "/>
    <m/>
    <m/>
  </r>
  <r>
    <x v="1120"/>
    <d v="2025-07-31T00:00:00"/>
    <x v="30"/>
    <x v="6"/>
    <x v="2"/>
    <x v="0"/>
    <x v="0"/>
    <x v="0"/>
    <s v=""/>
    <s v=""/>
    <s v=""/>
    <s v=""/>
    <s v=""/>
    <s v=""/>
    <s v=""/>
    <s v=""/>
    <m/>
    <s v=""/>
    <m/>
    <m/>
    <m/>
    <m/>
    <m/>
    <m/>
    <m/>
    <m/>
    <m/>
    <m/>
    <m/>
    <m/>
    <m/>
    <m/>
    <m/>
    <s v=" "/>
    <m/>
    <s v=" "/>
    <m/>
    <m/>
  </r>
  <r>
    <x v="1121"/>
    <d v="2025-08-01T00:00:00"/>
    <x v="0"/>
    <x v="7"/>
    <x v="2"/>
    <x v="0"/>
    <x v="0"/>
    <x v="0"/>
    <s v=""/>
    <s v=""/>
    <s v=""/>
    <s v=""/>
    <s v=""/>
    <s v=""/>
    <s v=""/>
    <s v=""/>
    <m/>
    <s v=""/>
    <m/>
    <m/>
    <m/>
    <m/>
    <m/>
    <m/>
    <m/>
    <m/>
    <m/>
    <m/>
    <m/>
    <m/>
    <m/>
    <m/>
    <m/>
    <s v=" "/>
    <m/>
    <s v=" "/>
    <m/>
    <m/>
  </r>
  <r>
    <x v="1122"/>
    <d v="2025-08-02T00:00:00"/>
    <x v="1"/>
    <x v="7"/>
    <x v="2"/>
    <x v="0"/>
    <x v="0"/>
    <x v="0"/>
    <s v=""/>
    <s v=""/>
    <s v=""/>
    <s v=""/>
    <s v=""/>
    <s v=""/>
    <s v=""/>
    <s v=""/>
    <m/>
    <s v=""/>
    <m/>
    <m/>
    <m/>
    <m/>
    <m/>
    <m/>
    <m/>
    <m/>
    <m/>
    <m/>
    <m/>
    <m/>
    <m/>
    <m/>
    <m/>
    <s v=" "/>
    <m/>
    <s v=" "/>
    <m/>
    <m/>
  </r>
  <r>
    <x v="1123"/>
    <d v="2025-08-03T00:00:00"/>
    <x v="2"/>
    <x v="7"/>
    <x v="2"/>
    <x v="0"/>
    <x v="0"/>
    <x v="0"/>
    <s v=""/>
    <s v=""/>
    <s v=""/>
    <s v=""/>
    <s v=""/>
    <s v=""/>
    <s v=""/>
    <s v=""/>
    <m/>
    <s v=""/>
    <m/>
    <m/>
    <m/>
    <m/>
    <m/>
    <m/>
    <m/>
    <m/>
    <m/>
    <m/>
    <m/>
    <m/>
    <m/>
    <m/>
    <m/>
    <s v=" "/>
    <m/>
    <s v=" "/>
    <m/>
    <m/>
  </r>
  <r>
    <x v="1124"/>
    <d v="2025-08-04T00:00:00"/>
    <x v="3"/>
    <x v="7"/>
    <x v="2"/>
    <x v="0"/>
    <x v="0"/>
    <x v="0"/>
    <s v=""/>
    <s v=""/>
    <s v=""/>
    <s v=""/>
    <s v=""/>
    <s v=""/>
    <s v=""/>
    <s v=""/>
    <m/>
    <s v=""/>
    <m/>
    <m/>
    <m/>
    <m/>
    <m/>
    <m/>
    <m/>
    <m/>
    <m/>
    <m/>
    <m/>
    <m/>
    <m/>
    <m/>
    <m/>
    <s v=" "/>
    <m/>
    <s v=" "/>
    <m/>
    <m/>
  </r>
  <r>
    <x v="1125"/>
    <d v="2025-08-05T00:00:00"/>
    <x v="4"/>
    <x v="7"/>
    <x v="2"/>
    <x v="0"/>
    <x v="0"/>
    <x v="0"/>
    <s v=""/>
    <s v=""/>
    <s v=""/>
    <s v=""/>
    <s v=""/>
    <s v=""/>
    <s v=""/>
    <s v=""/>
    <m/>
    <s v=""/>
    <m/>
    <m/>
    <m/>
    <m/>
    <m/>
    <m/>
    <m/>
    <m/>
    <m/>
    <m/>
    <m/>
    <m/>
    <m/>
    <m/>
    <m/>
    <s v=" "/>
    <m/>
    <s v=" "/>
    <m/>
    <m/>
  </r>
  <r>
    <x v="1126"/>
    <d v="2025-08-06T00:00:00"/>
    <x v="5"/>
    <x v="7"/>
    <x v="2"/>
    <x v="0"/>
    <x v="0"/>
    <x v="0"/>
    <s v=""/>
    <s v=""/>
    <s v=""/>
    <s v=""/>
    <s v=""/>
    <s v=""/>
    <s v=""/>
    <s v=""/>
    <m/>
    <s v=""/>
    <m/>
    <m/>
    <m/>
    <m/>
    <m/>
    <m/>
    <m/>
    <m/>
    <m/>
    <m/>
    <m/>
    <m/>
    <m/>
    <m/>
    <m/>
    <s v=" "/>
    <m/>
    <s v=" "/>
    <m/>
    <m/>
  </r>
  <r>
    <x v="1127"/>
    <d v="2025-08-07T00:00:00"/>
    <x v="6"/>
    <x v="7"/>
    <x v="2"/>
    <x v="0"/>
    <x v="0"/>
    <x v="0"/>
    <s v=""/>
    <s v=""/>
    <s v=""/>
    <s v=""/>
    <s v=""/>
    <s v=""/>
    <s v=""/>
    <s v=""/>
    <m/>
    <s v=""/>
    <m/>
    <m/>
    <m/>
    <m/>
    <m/>
    <m/>
    <m/>
    <m/>
    <m/>
    <m/>
    <m/>
    <m/>
    <m/>
    <m/>
    <m/>
    <s v=" "/>
    <m/>
    <s v=" "/>
    <m/>
    <m/>
  </r>
  <r>
    <x v="1128"/>
    <d v="2025-08-08T00:00:00"/>
    <x v="7"/>
    <x v="7"/>
    <x v="2"/>
    <x v="0"/>
    <x v="0"/>
    <x v="0"/>
    <s v=""/>
    <s v=""/>
    <s v=""/>
    <s v=""/>
    <s v=""/>
    <s v=""/>
    <s v=""/>
    <s v=""/>
    <m/>
    <s v=""/>
    <m/>
    <m/>
    <m/>
    <m/>
    <m/>
    <m/>
    <m/>
    <m/>
    <m/>
    <m/>
    <m/>
    <m/>
    <m/>
    <m/>
    <m/>
    <s v=" "/>
    <m/>
    <s v=" "/>
    <m/>
    <m/>
  </r>
  <r>
    <x v="1129"/>
    <d v="2025-08-09T00:00:00"/>
    <x v="8"/>
    <x v="7"/>
    <x v="2"/>
    <x v="0"/>
    <x v="0"/>
    <x v="0"/>
    <s v=""/>
    <s v=""/>
    <s v=""/>
    <s v=""/>
    <s v=""/>
    <s v=""/>
    <s v=""/>
    <s v=""/>
    <m/>
    <s v=""/>
    <m/>
    <m/>
    <m/>
    <m/>
    <m/>
    <m/>
    <m/>
    <m/>
    <m/>
    <m/>
    <m/>
    <m/>
    <m/>
    <m/>
    <m/>
    <s v=" "/>
    <m/>
    <s v=" "/>
    <m/>
    <m/>
  </r>
  <r>
    <x v="1130"/>
    <d v="2025-08-10T00:00:00"/>
    <x v="9"/>
    <x v="7"/>
    <x v="2"/>
    <x v="0"/>
    <x v="0"/>
    <x v="0"/>
    <s v=""/>
    <s v=""/>
    <s v=""/>
    <s v=""/>
    <s v=""/>
    <s v=""/>
    <s v=""/>
    <s v=""/>
    <m/>
    <s v=""/>
    <m/>
    <m/>
    <m/>
    <m/>
    <m/>
    <m/>
    <m/>
    <m/>
    <m/>
    <m/>
    <m/>
    <m/>
    <m/>
    <m/>
    <m/>
    <s v=" "/>
    <m/>
    <s v=" "/>
    <m/>
    <m/>
  </r>
  <r>
    <x v="1131"/>
    <d v="2025-08-11T00:00:00"/>
    <x v="10"/>
    <x v="7"/>
    <x v="2"/>
    <x v="0"/>
    <x v="0"/>
    <x v="0"/>
    <s v=""/>
    <s v=""/>
    <s v=""/>
    <s v=""/>
    <s v=""/>
    <s v=""/>
    <s v=""/>
    <s v=""/>
    <m/>
    <s v=""/>
    <m/>
    <m/>
    <m/>
    <m/>
    <m/>
    <m/>
    <m/>
    <m/>
    <m/>
    <m/>
    <m/>
    <m/>
    <m/>
    <m/>
    <m/>
    <s v=" "/>
    <m/>
    <s v=" "/>
    <m/>
    <m/>
  </r>
  <r>
    <x v="1132"/>
    <d v="2025-08-12T00:00:00"/>
    <x v="11"/>
    <x v="7"/>
    <x v="2"/>
    <x v="0"/>
    <x v="0"/>
    <x v="0"/>
    <s v=""/>
    <s v=""/>
    <s v=""/>
    <s v=""/>
    <s v=""/>
    <s v=""/>
    <s v=""/>
    <s v=""/>
    <m/>
    <s v=""/>
    <m/>
    <m/>
    <m/>
    <m/>
    <m/>
    <m/>
    <m/>
    <m/>
    <m/>
    <m/>
    <m/>
    <m/>
    <m/>
    <m/>
    <m/>
    <s v=" "/>
    <m/>
    <s v=" "/>
    <m/>
    <m/>
  </r>
  <r>
    <x v="1133"/>
    <d v="2025-08-13T00:00:00"/>
    <x v="12"/>
    <x v="7"/>
    <x v="2"/>
    <x v="0"/>
    <x v="0"/>
    <x v="0"/>
    <s v=""/>
    <s v=""/>
    <s v=""/>
    <s v=""/>
    <s v=""/>
    <s v=""/>
    <s v=""/>
    <s v=""/>
    <m/>
    <s v=""/>
    <m/>
    <m/>
    <m/>
    <m/>
    <m/>
    <m/>
    <m/>
    <m/>
    <m/>
    <m/>
    <m/>
    <m/>
    <m/>
    <m/>
    <m/>
    <s v=" "/>
    <m/>
    <s v=" "/>
    <m/>
    <m/>
  </r>
  <r>
    <x v="1134"/>
    <d v="2025-08-14T00:00:00"/>
    <x v="13"/>
    <x v="7"/>
    <x v="2"/>
    <x v="0"/>
    <x v="0"/>
    <x v="0"/>
    <s v=""/>
    <s v=""/>
    <s v=""/>
    <s v=""/>
    <s v=""/>
    <s v=""/>
    <s v=""/>
    <s v=""/>
    <m/>
    <s v=""/>
    <m/>
    <m/>
    <m/>
    <m/>
    <m/>
    <m/>
    <m/>
    <m/>
    <m/>
    <m/>
    <m/>
    <m/>
    <m/>
    <m/>
    <m/>
    <s v=" "/>
    <m/>
    <s v=" "/>
    <m/>
    <m/>
  </r>
  <r>
    <x v="1135"/>
    <d v="2025-08-15T00:00:00"/>
    <x v="14"/>
    <x v="7"/>
    <x v="2"/>
    <x v="0"/>
    <x v="0"/>
    <x v="0"/>
    <s v=""/>
    <s v=""/>
    <s v=""/>
    <s v=""/>
    <s v=""/>
    <s v=""/>
    <s v=""/>
    <s v=""/>
    <m/>
    <s v=""/>
    <m/>
    <m/>
    <m/>
    <m/>
    <m/>
    <m/>
    <m/>
    <m/>
    <m/>
    <m/>
    <m/>
    <m/>
    <m/>
    <m/>
    <m/>
    <s v=" "/>
    <m/>
    <s v=" "/>
    <m/>
    <m/>
  </r>
  <r>
    <x v="1136"/>
    <d v="2025-08-16T00:00:00"/>
    <x v="15"/>
    <x v="7"/>
    <x v="2"/>
    <x v="0"/>
    <x v="0"/>
    <x v="0"/>
    <s v=""/>
    <s v=""/>
    <s v=""/>
    <s v=""/>
    <s v=""/>
    <s v=""/>
    <s v=""/>
    <s v=""/>
    <m/>
    <s v=""/>
    <m/>
    <m/>
    <m/>
    <m/>
    <m/>
    <m/>
    <m/>
    <m/>
    <m/>
    <m/>
    <m/>
    <m/>
    <m/>
    <m/>
    <m/>
    <s v=" "/>
    <m/>
    <s v=" "/>
    <m/>
    <m/>
  </r>
  <r>
    <x v="1137"/>
    <d v="2025-08-17T00:00:00"/>
    <x v="16"/>
    <x v="7"/>
    <x v="2"/>
    <x v="0"/>
    <x v="0"/>
    <x v="0"/>
    <s v=""/>
    <s v=""/>
    <s v=""/>
    <s v=""/>
    <s v=""/>
    <s v=""/>
    <s v=""/>
    <s v=""/>
    <m/>
    <s v=""/>
    <m/>
    <m/>
    <m/>
    <m/>
    <m/>
    <m/>
    <m/>
    <m/>
    <m/>
    <m/>
    <m/>
    <m/>
    <m/>
    <m/>
    <m/>
    <s v=" "/>
    <m/>
    <s v=" "/>
    <m/>
    <m/>
  </r>
  <r>
    <x v="1138"/>
    <d v="2025-08-18T00:00:00"/>
    <x v="17"/>
    <x v="7"/>
    <x v="2"/>
    <x v="0"/>
    <x v="0"/>
    <x v="0"/>
    <s v=""/>
    <s v=""/>
    <s v=""/>
    <s v=""/>
    <s v=""/>
    <s v=""/>
    <s v=""/>
    <s v=""/>
    <m/>
    <s v=""/>
    <m/>
    <m/>
    <m/>
    <m/>
    <m/>
    <m/>
    <m/>
    <m/>
    <m/>
    <m/>
    <m/>
    <m/>
    <m/>
    <m/>
    <m/>
    <s v=" "/>
    <m/>
    <s v=" "/>
    <m/>
    <m/>
  </r>
  <r>
    <x v="1139"/>
    <d v="2025-08-19T00:00:00"/>
    <x v="18"/>
    <x v="7"/>
    <x v="2"/>
    <x v="0"/>
    <x v="0"/>
    <x v="0"/>
    <s v=""/>
    <s v=""/>
    <s v=""/>
    <s v=""/>
    <s v=""/>
    <s v=""/>
    <s v=""/>
    <s v=""/>
    <m/>
    <s v=""/>
    <m/>
    <m/>
    <m/>
    <m/>
    <m/>
    <m/>
    <m/>
    <m/>
    <m/>
    <m/>
    <m/>
    <m/>
    <m/>
    <m/>
    <m/>
    <s v=" "/>
    <m/>
    <s v=" "/>
    <m/>
    <m/>
  </r>
  <r>
    <x v="1140"/>
    <d v="2025-08-20T00:00:00"/>
    <x v="19"/>
    <x v="7"/>
    <x v="2"/>
    <x v="0"/>
    <x v="0"/>
    <x v="0"/>
    <s v=""/>
    <s v=""/>
    <s v=""/>
    <s v=""/>
    <s v=""/>
    <s v=""/>
    <s v=""/>
    <s v=""/>
    <m/>
    <s v=""/>
    <m/>
    <m/>
    <m/>
    <m/>
    <m/>
    <m/>
    <m/>
    <m/>
    <m/>
    <m/>
    <m/>
    <m/>
    <m/>
    <m/>
    <m/>
    <s v=" "/>
    <m/>
    <s v=" "/>
    <m/>
    <m/>
  </r>
  <r>
    <x v="1141"/>
    <d v="2025-08-21T00:00:00"/>
    <x v="20"/>
    <x v="7"/>
    <x v="2"/>
    <x v="0"/>
    <x v="0"/>
    <x v="0"/>
    <s v=""/>
    <s v=""/>
    <s v=""/>
    <s v=""/>
    <s v=""/>
    <s v=""/>
    <s v=""/>
    <s v=""/>
    <m/>
    <s v=""/>
    <m/>
    <m/>
    <m/>
    <m/>
    <m/>
    <m/>
    <m/>
    <m/>
    <m/>
    <m/>
    <m/>
    <m/>
    <m/>
    <m/>
    <m/>
    <s v=" "/>
    <m/>
    <s v=" "/>
    <m/>
    <m/>
  </r>
  <r>
    <x v="1142"/>
    <d v="2025-08-22T00:00:00"/>
    <x v="21"/>
    <x v="7"/>
    <x v="2"/>
    <x v="0"/>
    <x v="0"/>
    <x v="0"/>
    <s v=""/>
    <s v=""/>
    <s v=""/>
    <s v=""/>
    <s v=""/>
    <s v=""/>
    <s v=""/>
    <s v=""/>
    <m/>
    <s v=""/>
    <m/>
    <m/>
    <m/>
    <m/>
    <m/>
    <m/>
    <m/>
    <m/>
    <m/>
    <m/>
    <m/>
    <m/>
    <m/>
    <m/>
    <m/>
    <s v=" "/>
    <m/>
    <s v=" "/>
    <m/>
    <m/>
  </r>
  <r>
    <x v="1143"/>
    <d v="2025-08-23T00:00:00"/>
    <x v="22"/>
    <x v="7"/>
    <x v="2"/>
    <x v="0"/>
    <x v="0"/>
    <x v="0"/>
    <s v=""/>
    <s v=""/>
    <s v=""/>
    <s v=""/>
    <s v=""/>
    <s v=""/>
    <s v=""/>
    <s v=""/>
    <m/>
    <s v=""/>
    <m/>
    <m/>
    <m/>
    <m/>
    <m/>
    <m/>
    <m/>
    <m/>
    <m/>
    <m/>
    <m/>
    <m/>
    <m/>
    <m/>
    <m/>
    <s v=" "/>
    <m/>
    <s v=" "/>
    <m/>
    <m/>
  </r>
  <r>
    <x v="1144"/>
    <d v="2025-08-24T00:00:00"/>
    <x v="23"/>
    <x v="7"/>
    <x v="2"/>
    <x v="0"/>
    <x v="0"/>
    <x v="0"/>
    <s v=""/>
    <s v=""/>
    <s v=""/>
    <s v=""/>
    <s v=""/>
    <s v=""/>
    <s v=""/>
    <s v=""/>
    <m/>
    <s v=""/>
    <m/>
    <m/>
    <m/>
    <m/>
    <m/>
    <m/>
    <m/>
    <m/>
    <m/>
    <m/>
    <m/>
    <m/>
    <m/>
    <m/>
    <m/>
    <s v=" "/>
    <m/>
    <s v=" "/>
    <m/>
    <m/>
  </r>
  <r>
    <x v="1145"/>
    <d v="2025-08-25T00:00:00"/>
    <x v="24"/>
    <x v="7"/>
    <x v="2"/>
    <x v="0"/>
    <x v="0"/>
    <x v="0"/>
    <s v=""/>
    <s v=""/>
    <s v=""/>
    <s v=""/>
    <s v=""/>
    <s v=""/>
    <s v=""/>
    <s v=""/>
    <m/>
    <s v=""/>
    <m/>
    <m/>
    <m/>
    <m/>
    <m/>
    <m/>
    <m/>
    <m/>
    <m/>
    <m/>
    <m/>
    <m/>
    <m/>
    <m/>
    <m/>
    <s v=" "/>
    <m/>
    <s v=" "/>
    <m/>
    <m/>
  </r>
  <r>
    <x v="1146"/>
    <d v="2025-08-26T00:00:00"/>
    <x v="25"/>
    <x v="7"/>
    <x v="2"/>
    <x v="0"/>
    <x v="0"/>
    <x v="0"/>
    <s v=""/>
    <s v=""/>
    <s v=""/>
    <s v=""/>
    <s v=""/>
    <s v=""/>
    <s v=""/>
    <s v=""/>
    <m/>
    <s v=""/>
    <m/>
    <m/>
    <m/>
    <m/>
    <m/>
    <m/>
    <m/>
    <m/>
    <m/>
    <m/>
    <m/>
    <m/>
    <m/>
    <m/>
    <m/>
    <s v=" "/>
    <m/>
    <s v=" "/>
    <m/>
    <m/>
  </r>
  <r>
    <x v="1147"/>
    <d v="2025-08-27T00:00:00"/>
    <x v="26"/>
    <x v="7"/>
    <x v="2"/>
    <x v="0"/>
    <x v="0"/>
    <x v="0"/>
    <s v=""/>
    <s v=""/>
    <s v=""/>
    <s v=""/>
    <s v=""/>
    <s v=""/>
    <s v=""/>
    <s v=""/>
    <m/>
    <s v=""/>
    <m/>
    <m/>
    <m/>
    <m/>
    <m/>
    <m/>
    <m/>
    <m/>
    <m/>
    <m/>
    <m/>
    <m/>
    <m/>
    <m/>
    <m/>
    <s v=" "/>
    <m/>
    <s v=" "/>
    <m/>
    <m/>
  </r>
  <r>
    <x v="1148"/>
    <d v="2025-08-28T00:00:00"/>
    <x v="27"/>
    <x v="7"/>
    <x v="2"/>
    <x v="0"/>
    <x v="0"/>
    <x v="0"/>
    <s v=""/>
    <s v=""/>
    <s v=""/>
    <s v=""/>
    <s v=""/>
    <s v=""/>
    <s v=""/>
    <s v=""/>
    <m/>
    <s v=""/>
    <m/>
    <m/>
    <m/>
    <m/>
    <m/>
    <m/>
    <m/>
    <m/>
    <m/>
    <m/>
    <m/>
    <m/>
    <m/>
    <m/>
    <m/>
    <s v=" "/>
    <m/>
    <s v=" "/>
    <m/>
    <m/>
  </r>
  <r>
    <x v="1149"/>
    <d v="2025-08-29T00:00:00"/>
    <x v="28"/>
    <x v="7"/>
    <x v="2"/>
    <x v="0"/>
    <x v="0"/>
    <x v="0"/>
    <s v=""/>
    <s v=""/>
    <s v=""/>
    <s v=""/>
    <s v=""/>
    <s v=""/>
    <s v=""/>
    <s v=""/>
    <m/>
    <s v=""/>
    <m/>
    <m/>
    <m/>
    <m/>
    <m/>
    <m/>
    <m/>
    <m/>
    <m/>
    <m/>
    <m/>
    <m/>
    <m/>
    <m/>
    <m/>
    <s v=" "/>
    <m/>
    <s v=" "/>
    <m/>
    <m/>
  </r>
  <r>
    <x v="1150"/>
    <d v="2025-08-30T00:00:00"/>
    <x v="29"/>
    <x v="7"/>
    <x v="2"/>
    <x v="0"/>
    <x v="0"/>
    <x v="0"/>
    <s v=""/>
    <s v=""/>
    <s v=""/>
    <s v=""/>
    <s v=""/>
    <s v=""/>
    <s v=""/>
    <s v=""/>
    <m/>
    <s v=""/>
    <m/>
    <m/>
    <m/>
    <m/>
    <m/>
    <m/>
    <m/>
    <m/>
    <m/>
    <m/>
    <m/>
    <m/>
    <m/>
    <m/>
    <m/>
    <s v=" "/>
    <m/>
    <s v=" "/>
    <m/>
    <m/>
  </r>
  <r>
    <x v="1151"/>
    <d v="2025-08-31T00:00:00"/>
    <x v="30"/>
    <x v="7"/>
    <x v="2"/>
    <x v="0"/>
    <x v="0"/>
    <x v="0"/>
    <s v=""/>
    <s v=""/>
    <s v=""/>
    <s v=""/>
    <s v=""/>
    <s v=""/>
    <s v=""/>
    <s v=""/>
    <m/>
    <s v=""/>
    <m/>
    <m/>
    <m/>
    <m/>
    <m/>
    <m/>
    <m/>
    <m/>
    <m/>
    <m/>
    <m/>
    <m/>
    <m/>
    <m/>
    <m/>
    <s v=" "/>
    <m/>
    <s v=" "/>
    <m/>
    <m/>
  </r>
  <r>
    <x v="1152"/>
    <d v="2025-09-01T00:00:00"/>
    <x v="0"/>
    <x v="8"/>
    <x v="2"/>
    <x v="0"/>
    <x v="0"/>
    <x v="0"/>
    <s v=""/>
    <s v=""/>
    <s v=""/>
    <s v=""/>
    <s v=""/>
    <s v=""/>
    <s v=""/>
    <s v=""/>
    <m/>
    <s v=""/>
    <m/>
    <m/>
    <m/>
    <m/>
    <m/>
    <m/>
    <m/>
    <m/>
    <m/>
    <m/>
    <m/>
    <m/>
    <m/>
    <m/>
    <m/>
    <s v=" "/>
    <m/>
    <s v=" "/>
    <m/>
    <m/>
  </r>
  <r>
    <x v="1153"/>
    <d v="2025-09-02T00:00:00"/>
    <x v="1"/>
    <x v="8"/>
    <x v="2"/>
    <x v="0"/>
    <x v="0"/>
    <x v="0"/>
    <s v=""/>
    <s v=""/>
    <s v=""/>
    <s v=""/>
    <s v=""/>
    <s v=""/>
    <s v=""/>
    <s v=""/>
    <m/>
    <s v=""/>
    <m/>
    <m/>
    <m/>
    <m/>
    <m/>
    <m/>
    <m/>
    <m/>
    <m/>
    <m/>
    <m/>
    <m/>
    <m/>
    <m/>
    <m/>
    <s v=" "/>
    <m/>
    <s v=" "/>
    <m/>
    <m/>
  </r>
  <r>
    <x v="1154"/>
    <d v="2025-09-03T00:00:00"/>
    <x v="2"/>
    <x v="8"/>
    <x v="2"/>
    <x v="0"/>
    <x v="0"/>
    <x v="0"/>
    <s v=""/>
    <s v=""/>
    <s v=""/>
    <s v=""/>
    <s v=""/>
    <s v=""/>
    <s v=""/>
    <s v=""/>
    <m/>
    <s v=""/>
    <m/>
    <m/>
    <m/>
    <m/>
    <m/>
    <m/>
    <m/>
    <m/>
    <m/>
    <m/>
    <m/>
    <m/>
    <m/>
    <m/>
    <m/>
    <s v=" "/>
    <m/>
    <s v=" "/>
    <m/>
    <m/>
  </r>
  <r>
    <x v="1155"/>
    <d v="2025-09-04T00:00:00"/>
    <x v="3"/>
    <x v="8"/>
    <x v="2"/>
    <x v="0"/>
    <x v="0"/>
    <x v="0"/>
    <s v=""/>
    <s v=""/>
    <s v=""/>
    <s v=""/>
    <s v=""/>
    <s v=""/>
    <s v=""/>
    <s v=""/>
    <m/>
    <s v=""/>
    <m/>
    <m/>
    <m/>
    <m/>
    <m/>
    <m/>
    <m/>
    <m/>
    <m/>
    <m/>
    <m/>
    <m/>
    <m/>
    <m/>
    <m/>
    <s v=" "/>
    <m/>
    <s v=" "/>
    <m/>
    <m/>
  </r>
  <r>
    <x v="1156"/>
    <d v="2025-09-05T00:00:00"/>
    <x v="4"/>
    <x v="8"/>
    <x v="2"/>
    <x v="0"/>
    <x v="0"/>
    <x v="0"/>
    <s v=""/>
    <s v=""/>
    <s v=""/>
    <s v=""/>
    <s v=""/>
    <s v=""/>
    <s v=""/>
    <s v=""/>
    <m/>
    <s v=""/>
    <m/>
    <m/>
    <m/>
    <m/>
    <m/>
    <m/>
    <m/>
    <m/>
    <m/>
    <m/>
    <m/>
    <m/>
    <m/>
    <m/>
    <m/>
    <s v=" "/>
    <m/>
    <s v=" "/>
    <m/>
    <m/>
  </r>
  <r>
    <x v="1157"/>
    <d v="2025-09-06T00:00:00"/>
    <x v="5"/>
    <x v="8"/>
    <x v="2"/>
    <x v="0"/>
    <x v="0"/>
    <x v="0"/>
    <s v=""/>
    <s v=""/>
    <s v=""/>
    <s v=""/>
    <s v=""/>
    <s v=""/>
    <s v=""/>
    <s v=""/>
    <m/>
    <s v=""/>
    <m/>
    <m/>
    <m/>
    <m/>
    <m/>
    <m/>
    <m/>
    <m/>
    <m/>
    <m/>
    <m/>
    <m/>
    <m/>
    <m/>
    <m/>
    <s v=" "/>
    <m/>
    <s v=" "/>
    <m/>
    <m/>
  </r>
  <r>
    <x v="1158"/>
    <d v="2025-09-07T00:00:00"/>
    <x v="6"/>
    <x v="8"/>
    <x v="2"/>
    <x v="0"/>
    <x v="0"/>
    <x v="0"/>
    <s v=""/>
    <s v=""/>
    <s v=""/>
    <s v=""/>
    <s v=""/>
    <s v=""/>
    <s v=""/>
    <s v=""/>
    <m/>
    <s v=""/>
    <m/>
    <m/>
    <m/>
    <m/>
    <m/>
    <m/>
    <m/>
    <m/>
    <m/>
    <m/>
    <m/>
    <m/>
    <m/>
    <m/>
    <m/>
    <s v=" "/>
    <m/>
    <s v=" "/>
    <m/>
    <m/>
  </r>
  <r>
    <x v="1159"/>
    <d v="2025-09-08T00:00:00"/>
    <x v="7"/>
    <x v="8"/>
    <x v="2"/>
    <x v="0"/>
    <x v="0"/>
    <x v="0"/>
    <s v=""/>
    <s v=""/>
    <s v=""/>
    <s v=""/>
    <s v=""/>
    <s v=""/>
    <s v=""/>
    <s v=""/>
    <m/>
    <s v=""/>
    <m/>
    <m/>
    <m/>
    <m/>
    <m/>
    <m/>
    <m/>
    <m/>
    <m/>
    <m/>
    <m/>
    <m/>
    <m/>
    <m/>
    <m/>
    <s v=" "/>
    <m/>
    <s v=" "/>
    <m/>
    <m/>
  </r>
  <r>
    <x v="1160"/>
    <d v="2025-09-09T00:00:00"/>
    <x v="8"/>
    <x v="8"/>
    <x v="2"/>
    <x v="0"/>
    <x v="0"/>
    <x v="0"/>
    <s v=""/>
    <s v=""/>
    <s v=""/>
    <s v=""/>
    <s v=""/>
    <s v=""/>
    <s v=""/>
    <s v=""/>
    <m/>
    <s v=""/>
    <m/>
    <m/>
    <m/>
    <m/>
    <m/>
    <m/>
    <m/>
    <m/>
    <m/>
    <m/>
    <m/>
    <m/>
    <m/>
    <m/>
    <m/>
    <s v=" "/>
    <m/>
    <s v=" "/>
    <m/>
    <m/>
  </r>
  <r>
    <x v="1161"/>
    <d v="2025-09-10T00:00:00"/>
    <x v="9"/>
    <x v="8"/>
    <x v="2"/>
    <x v="0"/>
    <x v="0"/>
    <x v="0"/>
    <s v=""/>
    <s v=""/>
    <s v=""/>
    <s v=""/>
    <s v=""/>
    <s v=""/>
    <s v=""/>
    <s v=""/>
    <m/>
    <s v=""/>
    <m/>
    <m/>
    <m/>
    <m/>
    <m/>
    <m/>
    <m/>
    <m/>
    <m/>
    <m/>
    <m/>
    <m/>
    <m/>
    <m/>
    <m/>
    <s v=" "/>
    <m/>
    <s v=" "/>
    <m/>
    <m/>
  </r>
  <r>
    <x v="1162"/>
    <d v="2025-09-11T00:00:00"/>
    <x v="10"/>
    <x v="8"/>
    <x v="2"/>
    <x v="0"/>
    <x v="0"/>
    <x v="0"/>
    <s v=""/>
    <s v=""/>
    <s v=""/>
    <s v=""/>
    <s v=""/>
    <s v=""/>
    <s v=""/>
    <s v=""/>
    <m/>
    <s v=""/>
    <m/>
    <m/>
    <m/>
    <m/>
    <m/>
    <m/>
    <m/>
    <m/>
    <m/>
    <m/>
    <m/>
    <m/>
    <m/>
    <m/>
    <m/>
    <s v=" "/>
    <m/>
    <s v=" "/>
    <m/>
    <m/>
  </r>
  <r>
    <x v="1163"/>
    <d v="2025-09-12T00:00:00"/>
    <x v="11"/>
    <x v="8"/>
    <x v="2"/>
    <x v="0"/>
    <x v="0"/>
    <x v="0"/>
    <s v=""/>
    <s v=""/>
    <s v=""/>
    <s v=""/>
    <s v=""/>
    <s v=""/>
    <s v=""/>
    <s v=""/>
    <m/>
    <s v=""/>
    <m/>
    <m/>
    <m/>
    <m/>
    <m/>
    <m/>
    <m/>
    <m/>
    <m/>
    <m/>
    <m/>
    <m/>
    <m/>
    <m/>
    <m/>
    <s v=" "/>
    <m/>
    <s v=" "/>
    <m/>
    <m/>
  </r>
  <r>
    <x v="1164"/>
    <d v="2025-09-13T00:00:00"/>
    <x v="12"/>
    <x v="8"/>
    <x v="2"/>
    <x v="0"/>
    <x v="0"/>
    <x v="0"/>
    <s v=""/>
    <s v=""/>
    <s v=""/>
    <s v=""/>
    <s v=""/>
    <s v=""/>
    <s v=""/>
    <s v=""/>
    <m/>
    <s v=""/>
    <m/>
    <m/>
    <m/>
    <m/>
    <m/>
    <m/>
    <m/>
    <m/>
    <m/>
    <m/>
    <m/>
    <m/>
    <m/>
    <m/>
    <m/>
    <s v=" "/>
    <m/>
    <s v=" "/>
    <m/>
    <m/>
  </r>
  <r>
    <x v="1165"/>
    <d v="2025-09-14T00:00:00"/>
    <x v="13"/>
    <x v="8"/>
    <x v="2"/>
    <x v="0"/>
    <x v="0"/>
    <x v="0"/>
    <s v=""/>
    <s v=""/>
    <s v=""/>
    <s v=""/>
    <s v=""/>
    <s v=""/>
    <s v=""/>
    <s v=""/>
    <m/>
    <s v=""/>
    <m/>
    <m/>
    <m/>
    <m/>
    <m/>
    <m/>
    <m/>
    <m/>
    <m/>
    <m/>
    <m/>
    <m/>
    <m/>
    <m/>
    <m/>
    <s v=" "/>
    <m/>
    <s v=" "/>
    <m/>
    <m/>
  </r>
  <r>
    <x v="1166"/>
    <d v="2025-09-15T00:00:00"/>
    <x v="14"/>
    <x v="8"/>
    <x v="2"/>
    <x v="0"/>
    <x v="0"/>
    <x v="0"/>
    <s v=""/>
    <s v=""/>
    <s v=""/>
    <s v=""/>
    <s v=""/>
    <s v=""/>
    <s v=""/>
    <s v=""/>
    <m/>
    <s v=""/>
    <m/>
    <m/>
    <m/>
    <m/>
    <m/>
    <m/>
    <m/>
    <m/>
    <m/>
    <m/>
    <m/>
    <m/>
    <m/>
    <m/>
    <m/>
    <s v=" "/>
    <m/>
    <s v=" "/>
    <m/>
    <m/>
  </r>
  <r>
    <x v="1167"/>
    <d v="2025-09-16T00:00:00"/>
    <x v="15"/>
    <x v="8"/>
    <x v="2"/>
    <x v="0"/>
    <x v="0"/>
    <x v="0"/>
    <s v=""/>
    <s v=""/>
    <s v=""/>
    <s v=""/>
    <s v=""/>
    <s v=""/>
    <s v=""/>
    <s v=""/>
    <m/>
    <s v=""/>
    <m/>
    <m/>
    <m/>
    <m/>
    <m/>
    <m/>
    <m/>
    <m/>
    <m/>
    <m/>
    <m/>
    <m/>
    <m/>
    <m/>
    <m/>
    <s v=" "/>
    <m/>
    <s v=" "/>
    <m/>
    <m/>
  </r>
  <r>
    <x v="1168"/>
    <d v="2025-09-17T00:00:00"/>
    <x v="16"/>
    <x v="8"/>
    <x v="2"/>
    <x v="0"/>
    <x v="0"/>
    <x v="0"/>
    <s v=""/>
    <s v=""/>
    <s v=""/>
    <s v=""/>
    <s v=""/>
    <s v=""/>
    <s v=""/>
    <s v=""/>
    <m/>
    <s v=""/>
    <m/>
    <m/>
    <m/>
    <m/>
    <m/>
    <m/>
    <m/>
    <m/>
    <m/>
    <m/>
    <m/>
    <m/>
    <m/>
    <m/>
    <m/>
    <s v=" "/>
    <m/>
    <s v=" "/>
    <m/>
    <m/>
  </r>
  <r>
    <x v="1169"/>
    <d v="2025-09-18T00:00:00"/>
    <x v="17"/>
    <x v="8"/>
    <x v="2"/>
    <x v="0"/>
    <x v="0"/>
    <x v="0"/>
    <s v=""/>
    <s v=""/>
    <s v=""/>
    <s v=""/>
    <s v=""/>
    <s v=""/>
    <s v=""/>
    <s v=""/>
    <m/>
    <s v=""/>
    <m/>
    <m/>
    <m/>
    <m/>
    <m/>
    <m/>
    <m/>
    <m/>
    <m/>
    <m/>
    <m/>
    <m/>
    <m/>
    <m/>
    <m/>
    <s v=" "/>
    <m/>
    <s v=" "/>
    <m/>
    <m/>
  </r>
  <r>
    <x v="1170"/>
    <d v="2025-09-19T00:00:00"/>
    <x v="18"/>
    <x v="8"/>
    <x v="2"/>
    <x v="0"/>
    <x v="0"/>
    <x v="0"/>
    <s v=""/>
    <s v=""/>
    <s v=""/>
    <s v=""/>
    <s v=""/>
    <s v=""/>
    <s v=""/>
    <s v=""/>
    <m/>
    <s v=""/>
    <m/>
    <m/>
    <m/>
    <m/>
    <m/>
    <m/>
    <m/>
    <m/>
    <m/>
    <m/>
    <m/>
    <m/>
    <m/>
    <m/>
    <m/>
    <s v=" "/>
    <m/>
    <s v=" "/>
    <m/>
    <m/>
  </r>
  <r>
    <x v="1171"/>
    <d v="2025-09-20T00:00:00"/>
    <x v="19"/>
    <x v="8"/>
    <x v="2"/>
    <x v="0"/>
    <x v="0"/>
    <x v="0"/>
    <s v=""/>
    <s v=""/>
    <s v=""/>
    <s v=""/>
    <s v=""/>
    <s v=""/>
    <s v=""/>
    <s v=""/>
    <m/>
    <s v=""/>
    <m/>
    <m/>
    <m/>
    <m/>
    <m/>
    <m/>
    <m/>
    <m/>
    <m/>
    <m/>
    <m/>
    <m/>
    <m/>
    <m/>
    <m/>
    <s v=" "/>
    <m/>
    <s v=" "/>
    <m/>
    <m/>
  </r>
  <r>
    <x v="1172"/>
    <d v="2025-09-21T00:00:00"/>
    <x v="20"/>
    <x v="8"/>
    <x v="2"/>
    <x v="0"/>
    <x v="0"/>
    <x v="0"/>
    <s v=""/>
    <s v=""/>
    <s v=""/>
    <s v=""/>
    <s v=""/>
    <s v=""/>
    <s v=""/>
    <s v=""/>
    <m/>
    <s v=""/>
    <m/>
    <m/>
    <m/>
    <m/>
    <m/>
    <m/>
    <m/>
    <m/>
    <m/>
    <m/>
    <m/>
    <m/>
    <m/>
    <m/>
    <m/>
    <s v=" "/>
    <m/>
    <s v=" "/>
    <m/>
    <m/>
  </r>
  <r>
    <x v="1173"/>
    <d v="2025-09-22T00:00:00"/>
    <x v="21"/>
    <x v="8"/>
    <x v="2"/>
    <x v="0"/>
    <x v="0"/>
    <x v="0"/>
    <s v=""/>
    <s v=""/>
    <s v=""/>
    <s v=""/>
    <s v=""/>
    <s v=""/>
    <s v=""/>
    <s v=""/>
    <m/>
    <s v=""/>
    <m/>
    <m/>
    <m/>
    <m/>
    <m/>
    <m/>
    <m/>
    <m/>
    <m/>
    <m/>
    <m/>
    <m/>
    <m/>
    <m/>
    <m/>
    <s v=" "/>
    <m/>
    <s v=" "/>
    <m/>
    <m/>
  </r>
  <r>
    <x v="1174"/>
    <d v="2025-09-23T00:00:00"/>
    <x v="22"/>
    <x v="8"/>
    <x v="2"/>
    <x v="0"/>
    <x v="0"/>
    <x v="0"/>
    <s v=""/>
    <s v=""/>
    <s v=""/>
    <s v=""/>
    <s v=""/>
    <s v=""/>
    <s v=""/>
    <s v=""/>
    <m/>
    <s v=""/>
    <m/>
    <m/>
    <m/>
    <m/>
    <m/>
    <m/>
    <m/>
    <m/>
    <m/>
    <m/>
    <m/>
    <m/>
    <m/>
    <m/>
    <m/>
    <s v=" "/>
    <m/>
    <s v=" "/>
    <m/>
    <m/>
  </r>
  <r>
    <x v="1175"/>
    <d v="2025-09-24T00:00:00"/>
    <x v="23"/>
    <x v="8"/>
    <x v="2"/>
    <x v="0"/>
    <x v="0"/>
    <x v="0"/>
    <s v=""/>
    <s v=""/>
    <s v=""/>
    <s v=""/>
    <s v=""/>
    <s v=""/>
    <s v=""/>
    <s v=""/>
    <m/>
    <s v=""/>
    <m/>
    <m/>
    <m/>
    <m/>
    <m/>
    <m/>
    <m/>
    <m/>
    <m/>
    <m/>
    <m/>
    <m/>
    <m/>
    <m/>
    <m/>
    <s v=" "/>
    <m/>
    <s v=" "/>
    <m/>
    <m/>
  </r>
  <r>
    <x v="1176"/>
    <d v="2025-09-25T00:00:00"/>
    <x v="24"/>
    <x v="8"/>
    <x v="2"/>
    <x v="0"/>
    <x v="0"/>
    <x v="0"/>
    <s v=""/>
    <s v=""/>
    <s v=""/>
    <s v=""/>
    <s v=""/>
    <s v=""/>
    <s v=""/>
    <s v=""/>
    <m/>
    <s v=""/>
    <m/>
    <m/>
    <m/>
    <m/>
    <m/>
    <m/>
    <m/>
    <m/>
    <m/>
    <m/>
    <m/>
    <m/>
    <m/>
    <m/>
    <m/>
    <s v=" "/>
    <m/>
    <s v=" "/>
    <m/>
    <m/>
  </r>
  <r>
    <x v="1177"/>
    <d v="2025-09-26T00:00:00"/>
    <x v="25"/>
    <x v="8"/>
    <x v="2"/>
    <x v="0"/>
    <x v="0"/>
    <x v="0"/>
    <s v=""/>
    <s v=""/>
    <s v=""/>
    <s v=""/>
    <s v=""/>
    <s v=""/>
    <s v=""/>
    <s v=""/>
    <m/>
    <s v=""/>
    <m/>
    <m/>
    <m/>
    <m/>
    <m/>
    <m/>
    <m/>
    <m/>
    <m/>
    <m/>
    <m/>
    <m/>
    <m/>
    <m/>
    <m/>
    <s v=" "/>
    <m/>
    <s v=" "/>
    <m/>
    <m/>
  </r>
  <r>
    <x v="1178"/>
    <d v="2025-09-27T00:00:00"/>
    <x v="26"/>
    <x v="8"/>
    <x v="2"/>
    <x v="0"/>
    <x v="0"/>
    <x v="0"/>
    <s v=""/>
    <s v=""/>
    <s v=""/>
    <s v=""/>
    <s v=""/>
    <s v=""/>
    <s v=""/>
    <s v=""/>
    <m/>
    <s v=""/>
    <m/>
    <m/>
    <m/>
    <m/>
    <m/>
    <m/>
    <m/>
    <m/>
    <m/>
    <m/>
    <m/>
    <m/>
    <m/>
    <m/>
    <m/>
    <s v=" "/>
    <m/>
    <s v=" "/>
    <m/>
    <m/>
  </r>
  <r>
    <x v="1179"/>
    <d v="2025-09-28T00:00:00"/>
    <x v="27"/>
    <x v="8"/>
    <x v="2"/>
    <x v="0"/>
    <x v="0"/>
    <x v="0"/>
    <s v=""/>
    <s v=""/>
    <s v=""/>
    <s v=""/>
    <s v=""/>
    <s v=""/>
    <s v=""/>
    <s v=""/>
    <m/>
    <s v=""/>
    <m/>
    <m/>
    <m/>
    <m/>
    <m/>
    <m/>
    <m/>
    <m/>
    <m/>
    <m/>
    <m/>
    <m/>
    <m/>
    <m/>
    <m/>
    <s v=" "/>
    <m/>
    <s v=" "/>
    <m/>
    <m/>
  </r>
  <r>
    <x v="1180"/>
    <d v="2025-09-29T00:00:00"/>
    <x v="28"/>
    <x v="8"/>
    <x v="2"/>
    <x v="0"/>
    <x v="0"/>
    <x v="0"/>
    <s v=""/>
    <s v=""/>
    <s v=""/>
    <s v=""/>
    <s v=""/>
    <s v=""/>
    <s v=""/>
    <s v=""/>
    <m/>
    <s v=""/>
    <m/>
    <m/>
    <m/>
    <m/>
    <m/>
    <m/>
    <m/>
    <m/>
    <m/>
    <m/>
    <m/>
    <m/>
    <m/>
    <m/>
    <m/>
    <s v=" "/>
    <m/>
    <s v=" "/>
    <m/>
    <m/>
  </r>
  <r>
    <x v="1181"/>
    <d v="2025-09-30T00:00:00"/>
    <x v="29"/>
    <x v="8"/>
    <x v="2"/>
    <x v="0"/>
    <x v="0"/>
    <x v="0"/>
    <s v=""/>
    <s v=""/>
    <s v=""/>
    <s v=""/>
    <s v=""/>
    <s v=""/>
    <s v=""/>
    <s v=""/>
    <m/>
    <s v=""/>
    <m/>
    <m/>
    <m/>
    <m/>
    <m/>
    <m/>
    <m/>
    <m/>
    <m/>
    <m/>
    <m/>
    <m/>
    <m/>
    <m/>
    <m/>
    <s v=" "/>
    <m/>
    <s v=" "/>
    <m/>
    <m/>
  </r>
  <r>
    <x v="1182"/>
    <d v="2025-10-01T00:00:00"/>
    <x v="0"/>
    <x v="9"/>
    <x v="2"/>
    <x v="0"/>
    <x v="0"/>
    <x v="0"/>
    <s v=""/>
    <s v=""/>
    <s v=""/>
    <s v=""/>
    <s v=""/>
    <s v=""/>
    <s v=""/>
    <s v=""/>
    <m/>
    <s v=""/>
    <m/>
    <m/>
    <m/>
    <m/>
    <m/>
    <m/>
    <m/>
    <m/>
    <m/>
    <m/>
    <m/>
    <m/>
    <m/>
    <m/>
    <m/>
    <s v=" "/>
    <m/>
    <s v=" "/>
    <m/>
    <m/>
  </r>
  <r>
    <x v="1183"/>
    <d v="2025-10-02T00:00:00"/>
    <x v="1"/>
    <x v="9"/>
    <x v="2"/>
    <x v="0"/>
    <x v="0"/>
    <x v="0"/>
    <s v=""/>
    <s v=""/>
    <s v=""/>
    <s v=""/>
    <s v=""/>
    <s v=""/>
    <s v=""/>
    <s v=""/>
    <m/>
    <s v=""/>
    <m/>
    <m/>
    <m/>
    <m/>
    <m/>
    <m/>
    <m/>
    <m/>
    <m/>
    <m/>
    <m/>
    <m/>
    <m/>
    <m/>
    <m/>
    <s v=" "/>
    <m/>
    <s v=" "/>
    <m/>
    <m/>
  </r>
  <r>
    <x v="1184"/>
    <d v="2025-10-03T00:00:00"/>
    <x v="2"/>
    <x v="9"/>
    <x v="2"/>
    <x v="0"/>
    <x v="0"/>
    <x v="0"/>
    <s v=""/>
    <s v=""/>
    <s v=""/>
    <s v=""/>
    <s v=""/>
    <s v=""/>
    <s v=""/>
    <s v=""/>
    <m/>
    <s v=""/>
    <m/>
    <m/>
    <m/>
    <m/>
    <m/>
    <m/>
    <m/>
    <m/>
    <m/>
    <m/>
    <m/>
    <m/>
    <m/>
    <m/>
    <m/>
    <s v=" "/>
    <m/>
    <s v=" "/>
    <m/>
    <m/>
  </r>
  <r>
    <x v="1185"/>
    <d v="2025-10-04T00:00:00"/>
    <x v="3"/>
    <x v="9"/>
    <x v="2"/>
    <x v="0"/>
    <x v="0"/>
    <x v="0"/>
    <s v=""/>
    <s v=""/>
    <s v=""/>
    <s v=""/>
    <s v=""/>
    <s v=""/>
    <s v=""/>
    <s v=""/>
    <m/>
    <s v=""/>
    <m/>
    <m/>
    <m/>
    <m/>
    <m/>
    <m/>
    <m/>
    <m/>
    <m/>
    <m/>
    <m/>
    <m/>
    <m/>
    <m/>
    <m/>
    <s v=" "/>
    <m/>
    <s v=" "/>
    <m/>
    <m/>
  </r>
  <r>
    <x v="1186"/>
    <d v="2025-10-05T00:00:00"/>
    <x v="4"/>
    <x v="9"/>
    <x v="2"/>
    <x v="0"/>
    <x v="0"/>
    <x v="0"/>
    <s v=""/>
    <s v=""/>
    <s v=""/>
    <s v=""/>
    <s v=""/>
    <s v=""/>
    <s v=""/>
    <s v=""/>
    <m/>
    <s v=""/>
    <m/>
    <m/>
    <m/>
    <m/>
    <m/>
    <m/>
    <m/>
    <m/>
    <m/>
    <m/>
    <m/>
    <m/>
    <m/>
    <m/>
    <m/>
    <s v=" "/>
    <m/>
    <s v=" "/>
    <m/>
    <m/>
  </r>
  <r>
    <x v="1187"/>
    <d v="2025-10-06T00:00:00"/>
    <x v="5"/>
    <x v="9"/>
    <x v="2"/>
    <x v="0"/>
    <x v="0"/>
    <x v="0"/>
    <s v=""/>
    <s v=""/>
    <s v=""/>
    <s v=""/>
    <s v=""/>
    <s v=""/>
    <s v=""/>
    <s v=""/>
    <m/>
    <s v=""/>
    <m/>
    <m/>
    <m/>
    <m/>
    <m/>
    <m/>
    <m/>
    <m/>
    <m/>
    <m/>
    <m/>
    <m/>
    <m/>
    <m/>
    <m/>
    <s v=" "/>
    <m/>
    <s v=" "/>
    <m/>
    <m/>
  </r>
  <r>
    <x v="1188"/>
    <d v="2025-10-07T00:00:00"/>
    <x v="6"/>
    <x v="9"/>
    <x v="2"/>
    <x v="0"/>
    <x v="0"/>
    <x v="0"/>
    <s v=""/>
    <s v=""/>
    <s v=""/>
    <s v=""/>
    <s v=""/>
    <s v=""/>
    <s v=""/>
    <s v=""/>
    <m/>
    <s v=""/>
    <m/>
    <m/>
    <m/>
    <m/>
    <m/>
    <m/>
    <m/>
    <m/>
    <m/>
    <m/>
    <m/>
    <m/>
    <m/>
    <m/>
    <m/>
    <s v=" "/>
    <m/>
    <s v=" "/>
    <m/>
    <m/>
  </r>
  <r>
    <x v="1189"/>
    <d v="2025-10-08T00:00:00"/>
    <x v="7"/>
    <x v="9"/>
    <x v="2"/>
    <x v="0"/>
    <x v="0"/>
    <x v="0"/>
    <s v=""/>
    <s v=""/>
    <s v=""/>
    <s v=""/>
    <s v=""/>
    <s v=""/>
    <s v=""/>
    <s v=""/>
    <m/>
    <s v=""/>
    <m/>
    <m/>
    <m/>
    <m/>
    <m/>
    <m/>
    <m/>
    <m/>
    <m/>
    <m/>
    <m/>
    <m/>
    <m/>
    <m/>
    <m/>
    <s v=" "/>
    <m/>
    <s v=" "/>
    <m/>
    <m/>
  </r>
  <r>
    <x v="1190"/>
    <d v="2025-10-09T00:00:00"/>
    <x v="8"/>
    <x v="9"/>
    <x v="2"/>
    <x v="0"/>
    <x v="0"/>
    <x v="0"/>
    <s v=""/>
    <s v=""/>
    <s v=""/>
    <s v=""/>
    <s v=""/>
    <s v=""/>
    <s v=""/>
    <s v=""/>
    <m/>
    <s v=""/>
    <m/>
    <m/>
    <m/>
    <m/>
    <m/>
    <m/>
    <m/>
    <m/>
    <m/>
    <m/>
    <m/>
    <m/>
    <m/>
    <m/>
    <m/>
    <s v=" "/>
    <m/>
    <s v=" "/>
    <m/>
    <m/>
  </r>
  <r>
    <x v="1191"/>
    <d v="2025-10-10T00:00:00"/>
    <x v="9"/>
    <x v="9"/>
    <x v="2"/>
    <x v="0"/>
    <x v="0"/>
    <x v="0"/>
    <s v=""/>
    <s v=""/>
    <s v=""/>
    <s v=""/>
    <s v=""/>
    <s v=""/>
    <s v=""/>
    <s v=""/>
    <m/>
    <s v=""/>
    <m/>
    <m/>
    <m/>
    <m/>
    <m/>
    <m/>
    <m/>
    <m/>
    <m/>
    <m/>
    <m/>
    <m/>
    <m/>
    <m/>
    <m/>
    <s v=" "/>
    <m/>
    <s v=" "/>
    <m/>
    <m/>
  </r>
  <r>
    <x v="1192"/>
    <d v="2025-10-11T00:00:00"/>
    <x v="10"/>
    <x v="9"/>
    <x v="2"/>
    <x v="0"/>
    <x v="0"/>
    <x v="0"/>
    <s v=""/>
    <s v=""/>
    <s v=""/>
    <s v=""/>
    <s v=""/>
    <s v=""/>
    <s v=""/>
    <s v=""/>
    <m/>
    <s v=""/>
    <m/>
    <m/>
    <m/>
    <m/>
    <m/>
    <m/>
    <m/>
    <m/>
    <m/>
    <m/>
    <m/>
    <m/>
    <m/>
    <m/>
    <m/>
    <s v=" "/>
    <m/>
    <s v=" "/>
    <m/>
    <m/>
  </r>
  <r>
    <x v="1193"/>
    <d v="2025-10-12T00:00:00"/>
    <x v="11"/>
    <x v="9"/>
    <x v="2"/>
    <x v="0"/>
    <x v="0"/>
    <x v="0"/>
    <s v=""/>
    <s v=""/>
    <s v=""/>
    <s v=""/>
    <s v=""/>
    <s v=""/>
    <s v=""/>
    <s v=""/>
    <m/>
    <s v=""/>
    <m/>
    <m/>
    <m/>
    <m/>
    <m/>
    <m/>
    <m/>
    <m/>
    <m/>
    <m/>
    <m/>
    <m/>
    <m/>
    <m/>
    <m/>
    <s v=" "/>
    <m/>
    <s v=" "/>
    <m/>
    <m/>
  </r>
  <r>
    <x v="1194"/>
    <d v="2025-10-13T00:00:00"/>
    <x v="12"/>
    <x v="9"/>
    <x v="2"/>
    <x v="0"/>
    <x v="0"/>
    <x v="0"/>
    <s v=""/>
    <s v=""/>
    <s v=""/>
    <s v=""/>
    <s v=""/>
    <s v=""/>
    <s v=""/>
    <s v=""/>
    <m/>
    <s v=""/>
    <m/>
    <m/>
    <m/>
    <m/>
    <m/>
    <m/>
    <m/>
    <m/>
    <m/>
    <m/>
    <m/>
    <m/>
    <m/>
    <m/>
    <m/>
    <s v=" "/>
    <m/>
    <s v=" "/>
    <m/>
    <m/>
  </r>
  <r>
    <x v="1195"/>
    <d v="2025-10-14T00:00:00"/>
    <x v="13"/>
    <x v="9"/>
    <x v="2"/>
    <x v="0"/>
    <x v="0"/>
    <x v="0"/>
    <s v=""/>
    <s v=""/>
    <s v=""/>
    <s v=""/>
    <s v=""/>
    <s v=""/>
    <s v=""/>
    <s v=""/>
    <m/>
    <s v=""/>
    <m/>
    <m/>
    <m/>
    <m/>
    <m/>
    <m/>
    <m/>
    <m/>
    <m/>
    <m/>
    <m/>
    <m/>
    <m/>
    <m/>
    <m/>
    <s v=" "/>
    <m/>
    <s v=" "/>
    <m/>
    <m/>
  </r>
  <r>
    <x v="1196"/>
    <d v="2025-10-15T00:00:00"/>
    <x v="14"/>
    <x v="9"/>
    <x v="2"/>
    <x v="0"/>
    <x v="0"/>
    <x v="0"/>
    <s v=""/>
    <s v=""/>
    <s v=""/>
    <s v=""/>
    <s v=""/>
    <s v=""/>
    <s v=""/>
    <s v=""/>
    <m/>
    <s v=""/>
    <m/>
    <m/>
    <m/>
    <m/>
    <m/>
    <m/>
    <m/>
    <m/>
    <m/>
    <m/>
    <m/>
    <m/>
    <m/>
    <m/>
    <m/>
    <s v=" "/>
    <m/>
    <s v=" "/>
    <m/>
    <m/>
  </r>
  <r>
    <x v="1197"/>
    <d v="2025-10-16T00:00:00"/>
    <x v="15"/>
    <x v="9"/>
    <x v="2"/>
    <x v="0"/>
    <x v="0"/>
    <x v="0"/>
    <s v=""/>
    <s v=""/>
    <s v=""/>
    <s v=""/>
    <s v=""/>
    <s v=""/>
    <s v=""/>
    <s v=""/>
    <m/>
    <s v=""/>
    <m/>
    <m/>
    <m/>
    <m/>
    <m/>
    <m/>
    <m/>
    <m/>
    <m/>
    <m/>
    <m/>
    <m/>
    <m/>
    <m/>
    <m/>
    <s v=" "/>
    <m/>
    <s v=" "/>
    <m/>
    <m/>
  </r>
  <r>
    <x v="1198"/>
    <d v="2025-10-17T00:00:00"/>
    <x v="16"/>
    <x v="9"/>
    <x v="2"/>
    <x v="0"/>
    <x v="0"/>
    <x v="0"/>
    <s v=""/>
    <s v=""/>
    <s v=""/>
    <s v=""/>
    <s v=""/>
    <s v=""/>
    <s v=""/>
    <s v=""/>
    <m/>
    <s v=""/>
    <m/>
    <m/>
    <m/>
    <m/>
    <m/>
    <m/>
    <m/>
    <m/>
    <m/>
    <m/>
    <m/>
    <m/>
    <m/>
    <m/>
    <m/>
    <s v=" "/>
    <m/>
    <s v=" "/>
    <m/>
    <m/>
  </r>
  <r>
    <x v="1199"/>
    <d v="2025-10-18T00:00:00"/>
    <x v="17"/>
    <x v="9"/>
    <x v="2"/>
    <x v="0"/>
    <x v="0"/>
    <x v="0"/>
    <s v=""/>
    <s v=""/>
    <s v=""/>
    <s v=""/>
    <s v=""/>
    <s v=""/>
    <s v=""/>
    <s v=""/>
    <m/>
    <s v=""/>
    <m/>
    <m/>
    <m/>
    <m/>
    <m/>
    <m/>
    <m/>
    <m/>
    <m/>
    <m/>
    <m/>
    <m/>
    <m/>
    <m/>
    <m/>
    <s v=" "/>
    <m/>
    <s v=" "/>
    <m/>
    <m/>
  </r>
  <r>
    <x v="1200"/>
    <d v="2025-10-19T00:00:00"/>
    <x v="18"/>
    <x v="9"/>
    <x v="2"/>
    <x v="0"/>
    <x v="0"/>
    <x v="0"/>
    <s v=""/>
    <s v=""/>
    <s v=""/>
    <s v=""/>
    <s v=""/>
    <s v=""/>
    <s v=""/>
    <s v=""/>
    <m/>
    <s v=""/>
    <m/>
    <m/>
    <m/>
    <m/>
    <m/>
    <m/>
    <m/>
    <m/>
    <m/>
    <m/>
    <m/>
    <m/>
    <m/>
    <m/>
    <m/>
    <s v=" "/>
    <m/>
    <s v=" "/>
    <m/>
    <m/>
  </r>
  <r>
    <x v="1201"/>
    <d v="2025-10-20T00:00:00"/>
    <x v="19"/>
    <x v="9"/>
    <x v="2"/>
    <x v="0"/>
    <x v="0"/>
    <x v="0"/>
    <s v=""/>
    <s v=""/>
    <s v=""/>
    <s v=""/>
    <s v=""/>
    <s v=""/>
    <s v=""/>
    <s v=""/>
    <m/>
    <s v=""/>
    <m/>
    <m/>
    <m/>
    <m/>
    <m/>
    <m/>
    <m/>
    <m/>
    <m/>
    <m/>
    <m/>
    <m/>
    <m/>
    <m/>
    <m/>
    <s v=" "/>
    <m/>
    <s v=" "/>
    <m/>
    <m/>
  </r>
  <r>
    <x v="1202"/>
    <d v="2025-10-21T00:00:00"/>
    <x v="20"/>
    <x v="9"/>
    <x v="2"/>
    <x v="0"/>
    <x v="0"/>
    <x v="0"/>
    <s v=""/>
    <s v=""/>
    <s v=""/>
    <s v=""/>
    <s v=""/>
    <s v=""/>
    <s v=""/>
    <s v=""/>
    <m/>
    <s v=""/>
    <m/>
    <m/>
    <m/>
    <m/>
    <m/>
    <m/>
    <m/>
    <m/>
    <m/>
    <m/>
    <m/>
    <m/>
    <m/>
    <m/>
    <m/>
    <s v=" "/>
    <m/>
    <s v=" "/>
    <m/>
    <m/>
  </r>
  <r>
    <x v="1203"/>
    <d v="2025-10-22T00:00:00"/>
    <x v="21"/>
    <x v="9"/>
    <x v="2"/>
    <x v="0"/>
    <x v="0"/>
    <x v="0"/>
    <s v=""/>
    <s v=""/>
    <s v=""/>
    <s v=""/>
    <s v=""/>
    <s v=""/>
    <s v=""/>
    <s v=""/>
    <m/>
    <s v=""/>
    <m/>
    <m/>
    <m/>
    <m/>
    <m/>
    <m/>
    <m/>
    <m/>
    <m/>
    <m/>
    <m/>
    <m/>
    <m/>
    <m/>
    <m/>
    <s v=" "/>
    <m/>
    <s v=" "/>
    <m/>
    <m/>
  </r>
  <r>
    <x v="1204"/>
    <d v="2025-10-23T00:00:00"/>
    <x v="22"/>
    <x v="9"/>
    <x v="2"/>
    <x v="0"/>
    <x v="0"/>
    <x v="0"/>
    <s v=""/>
    <s v=""/>
    <s v=""/>
    <s v=""/>
    <s v=""/>
    <s v=""/>
    <s v=""/>
    <s v=""/>
    <m/>
    <s v=""/>
    <m/>
    <m/>
    <m/>
    <m/>
    <m/>
    <m/>
    <m/>
    <m/>
    <m/>
    <m/>
    <m/>
    <m/>
    <m/>
    <m/>
    <m/>
    <s v=" "/>
    <m/>
    <s v=" "/>
    <m/>
    <m/>
  </r>
  <r>
    <x v="1205"/>
    <d v="2025-10-24T00:00:00"/>
    <x v="23"/>
    <x v="9"/>
    <x v="2"/>
    <x v="0"/>
    <x v="0"/>
    <x v="0"/>
    <s v=""/>
    <s v=""/>
    <s v=""/>
    <s v=""/>
    <s v=""/>
    <s v=""/>
    <s v=""/>
    <s v=""/>
    <m/>
    <s v=""/>
    <m/>
    <m/>
    <m/>
    <m/>
    <m/>
    <m/>
    <m/>
    <m/>
    <m/>
    <m/>
    <m/>
    <m/>
    <m/>
    <m/>
    <m/>
    <s v=" "/>
    <m/>
    <s v=" "/>
    <m/>
    <m/>
  </r>
  <r>
    <x v="1206"/>
    <d v="2025-10-25T00:00:00"/>
    <x v="24"/>
    <x v="9"/>
    <x v="2"/>
    <x v="0"/>
    <x v="0"/>
    <x v="0"/>
    <s v=""/>
    <s v=""/>
    <s v=""/>
    <s v=""/>
    <s v=""/>
    <s v=""/>
    <s v=""/>
    <s v=""/>
    <m/>
    <s v=""/>
    <m/>
    <m/>
    <m/>
    <m/>
    <m/>
    <m/>
    <m/>
    <m/>
    <m/>
    <m/>
    <m/>
    <m/>
    <m/>
    <m/>
    <m/>
    <s v=" "/>
    <m/>
    <s v=" "/>
    <m/>
    <m/>
  </r>
  <r>
    <x v="1207"/>
    <d v="2025-10-26T00:00:00"/>
    <x v="25"/>
    <x v="9"/>
    <x v="2"/>
    <x v="0"/>
    <x v="0"/>
    <x v="0"/>
    <s v=""/>
    <s v=""/>
    <s v=""/>
    <s v=""/>
    <s v=""/>
    <s v=""/>
    <s v=""/>
    <s v=""/>
    <m/>
    <s v=""/>
    <m/>
    <m/>
    <m/>
    <m/>
    <m/>
    <m/>
    <m/>
    <m/>
    <m/>
    <m/>
    <m/>
    <m/>
    <m/>
    <m/>
    <m/>
    <s v=" "/>
    <m/>
    <s v=" "/>
    <m/>
    <m/>
  </r>
  <r>
    <x v="1208"/>
    <d v="2025-10-27T00:00:00"/>
    <x v="26"/>
    <x v="9"/>
    <x v="2"/>
    <x v="0"/>
    <x v="0"/>
    <x v="0"/>
    <s v=""/>
    <s v=""/>
    <s v=""/>
    <s v=""/>
    <s v=""/>
    <s v=""/>
    <s v=""/>
    <s v=""/>
    <m/>
    <s v=""/>
    <m/>
    <m/>
    <m/>
    <m/>
    <m/>
    <m/>
    <m/>
    <m/>
    <m/>
    <m/>
    <m/>
    <m/>
    <m/>
    <m/>
    <m/>
    <s v=" "/>
    <m/>
    <s v=" "/>
    <m/>
    <m/>
  </r>
  <r>
    <x v="1209"/>
    <d v="2025-10-28T00:00:00"/>
    <x v="27"/>
    <x v="9"/>
    <x v="2"/>
    <x v="0"/>
    <x v="0"/>
    <x v="0"/>
    <s v=""/>
    <s v=""/>
    <s v=""/>
    <s v=""/>
    <s v=""/>
    <s v=""/>
    <s v=""/>
    <s v=""/>
    <m/>
    <s v=""/>
    <m/>
    <m/>
    <m/>
    <m/>
    <m/>
    <m/>
    <m/>
    <m/>
    <m/>
    <m/>
    <m/>
    <m/>
    <m/>
    <m/>
    <m/>
    <s v=" "/>
    <m/>
    <s v=" "/>
    <m/>
    <m/>
  </r>
  <r>
    <x v="1210"/>
    <d v="2025-10-29T00:00:00"/>
    <x v="28"/>
    <x v="9"/>
    <x v="2"/>
    <x v="0"/>
    <x v="0"/>
    <x v="0"/>
    <s v=""/>
    <s v=""/>
    <s v=""/>
    <s v=""/>
    <s v=""/>
    <s v=""/>
    <s v=""/>
    <s v=""/>
    <m/>
    <s v=""/>
    <m/>
    <m/>
    <m/>
    <m/>
    <m/>
    <m/>
    <m/>
    <m/>
    <m/>
    <m/>
    <m/>
    <m/>
    <m/>
    <m/>
    <m/>
    <s v=" "/>
    <m/>
    <s v=" "/>
    <m/>
    <m/>
  </r>
  <r>
    <x v="1211"/>
    <d v="2025-10-30T00:00:00"/>
    <x v="29"/>
    <x v="9"/>
    <x v="2"/>
    <x v="0"/>
    <x v="0"/>
    <x v="0"/>
    <s v=""/>
    <s v=""/>
    <s v=""/>
    <s v=""/>
    <s v=""/>
    <s v=""/>
    <s v=""/>
    <s v=""/>
    <m/>
    <s v=""/>
    <m/>
    <m/>
    <m/>
    <m/>
    <m/>
    <m/>
    <m/>
    <m/>
    <m/>
    <m/>
    <m/>
    <m/>
    <m/>
    <m/>
    <m/>
    <s v=" "/>
    <m/>
    <s v=" "/>
    <m/>
    <m/>
  </r>
  <r>
    <x v="1212"/>
    <d v="2025-10-31T00:00:00"/>
    <x v="30"/>
    <x v="9"/>
    <x v="2"/>
    <x v="0"/>
    <x v="0"/>
    <x v="0"/>
    <s v=""/>
    <s v=""/>
    <s v=""/>
    <s v=""/>
    <s v=""/>
    <s v=""/>
    <s v=""/>
    <s v=""/>
    <m/>
    <s v=""/>
    <m/>
    <m/>
    <m/>
    <m/>
    <m/>
    <m/>
    <m/>
    <m/>
    <m/>
    <m/>
    <m/>
    <m/>
    <m/>
    <m/>
    <m/>
    <s v=" "/>
    <m/>
    <s v=" "/>
    <m/>
    <m/>
  </r>
  <r>
    <x v="1213"/>
    <d v="2025-11-01T00:00:00"/>
    <x v="0"/>
    <x v="10"/>
    <x v="2"/>
    <x v="0"/>
    <x v="0"/>
    <x v="0"/>
    <s v=""/>
    <s v=""/>
    <s v=""/>
    <s v=""/>
    <s v=""/>
    <s v=""/>
    <s v=""/>
    <s v=""/>
    <m/>
    <s v=""/>
    <m/>
    <m/>
    <m/>
    <m/>
    <m/>
    <m/>
    <m/>
    <m/>
    <m/>
    <m/>
    <m/>
    <m/>
    <m/>
    <m/>
    <m/>
    <s v=" "/>
    <m/>
    <s v=" "/>
    <m/>
    <m/>
  </r>
  <r>
    <x v="1214"/>
    <d v="2025-11-02T00:00:00"/>
    <x v="1"/>
    <x v="10"/>
    <x v="2"/>
    <x v="0"/>
    <x v="0"/>
    <x v="0"/>
    <s v=""/>
    <s v=""/>
    <s v=""/>
    <s v=""/>
    <s v=""/>
    <s v=""/>
    <s v=""/>
    <s v=""/>
    <m/>
    <s v=""/>
    <m/>
    <m/>
    <m/>
    <m/>
    <m/>
    <m/>
    <m/>
    <m/>
    <m/>
    <m/>
    <m/>
    <m/>
    <m/>
    <m/>
    <m/>
    <s v=" "/>
    <m/>
    <s v=" "/>
    <m/>
    <m/>
  </r>
  <r>
    <x v="1215"/>
    <d v="2025-11-03T00:00:00"/>
    <x v="2"/>
    <x v="10"/>
    <x v="2"/>
    <x v="0"/>
    <x v="0"/>
    <x v="0"/>
    <s v=""/>
    <s v=""/>
    <s v=""/>
    <s v=""/>
    <s v=""/>
    <s v=""/>
    <s v=""/>
    <s v=""/>
    <m/>
    <s v=""/>
    <m/>
    <m/>
    <m/>
    <m/>
    <m/>
    <m/>
    <m/>
    <m/>
    <m/>
    <m/>
    <m/>
    <m/>
    <m/>
    <m/>
    <m/>
    <s v=" "/>
    <m/>
    <s v=" "/>
    <m/>
    <m/>
  </r>
  <r>
    <x v="1216"/>
    <d v="2025-11-04T00:00:00"/>
    <x v="3"/>
    <x v="10"/>
    <x v="2"/>
    <x v="0"/>
    <x v="0"/>
    <x v="0"/>
    <s v=""/>
    <s v=""/>
    <s v=""/>
    <s v=""/>
    <s v=""/>
    <s v=""/>
    <s v=""/>
    <s v=""/>
    <m/>
    <s v=""/>
    <m/>
    <m/>
    <m/>
    <m/>
    <m/>
    <m/>
    <m/>
    <m/>
    <m/>
    <m/>
    <m/>
    <m/>
    <m/>
    <m/>
    <m/>
    <s v=" "/>
    <m/>
    <s v=" "/>
    <m/>
    <m/>
  </r>
  <r>
    <x v="1217"/>
    <d v="2025-11-05T00:00:00"/>
    <x v="4"/>
    <x v="10"/>
    <x v="2"/>
    <x v="0"/>
    <x v="0"/>
    <x v="0"/>
    <s v=""/>
    <s v=""/>
    <s v=""/>
    <s v=""/>
    <s v=""/>
    <s v=""/>
    <s v=""/>
    <s v=""/>
    <m/>
    <s v=""/>
    <m/>
    <m/>
    <m/>
    <m/>
    <m/>
    <m/>
    <m/>
    <m/>
    <m/>
    <m/>
    <m/>
    <m/>
    <m/>
    <m/>
    <m/>
    <s v=" "/>
    <m/>
    <s v=" "/>
    <m/>
    <m/>
  </r>
  <r>
    <x v="1218"/>
    <d v="2025-11-06T00:00:00"/>
    <x v="5"/>
    <x v="10"/>
    <x v="2"/>
    <x v="0"/>
    <x v="0"/>
    <x v="0"/>
    <s v=""/>
    <s v=""/>
    <s v=""/>
    <s v=""/>
    <s v=""/>
    <s v=""/>
    <s v=""/>
    <s v=""/>
    <m/>
    <s v=""/>
    <m/>
    <m/>
    <m/>
    <m/>
    <m/>
    <m/>
    <m/>
    <m/>
    <m/>
    <m/>
    <m/>
    <m/>
    <m/>
    <m/>
    <m/>
    <s v=" "/>
    <m/>
    <s v=" "/>
    <m/>
    <m/>
  </r>
  <r>
    <x v="1219"/>
    <d v="2025-11-07T00:00:00"/>
    <x v="6"/>
    <x v="10"/>
    <x v="2"/>
    <x v="0"/>
    <x v="0"/>
    <x v="0"/>
    <s v=""/>
    <s v=""/>
    <s v=""/>
    <s v=""/>
    <s v=""/>
    <s v=""/>
    <s v=""/>
    <s v=""/>
    <m/>
    <s v=""/>
    <m/>
    <m/>
    <m/>
    <m/>
    <m/>
    <m/>
    <m/>
    <m/>
    <m/>
    <m/>
    <m/>
    <m/>
    <m/>
    <m/>
    <m/>
    <s v=" "/>
    <m/>
    <s v=" "/>
    <m/>
    <m/>
  </r>
  <r>
    <x v="1220"/>
    <d v="2025-11-08T00:00:00"/>
    <x v="7"/>
    <x v="10"/>
    <x v="2"/>
    <x v="0"/>
    <x v="0"/>
    <x v="0"/>
    <s v=""/>
    <s v=""/>
    <s v=""/>
    <s v=""/>
    <s v=""/>
    <s v=""/>
    <s v=""/>
    <s v=""/>
    <m/>
    <s v=""/>
    <m/>
    <m/>
    <m/>
    <m/>
    <m/>
    <m/>
    <m/>
    <m/>
    <m/>
    <m/>
    <m/>
    <m/>
    <m/>
    <m/>
    <m/>
    <s v=" "/>
    <m/>
    <s v=" "/>
    <m/>
    <m/>
  </r>
  <r>
    <x v="1221"/>
    <d v="2025-11-09T00:00:00"/>
    <x v="8"/>
    <x v="10"/>
    <x v="2"/>
    <x v="0"/>
    <x v="0"/>
    <x v="0"/>
    <s v=""/>
    <s v=""/>
    <s v=""/>
    <s v=""/>
    <s v=""/>
    <s v=""/>
    <s v=""/>
    <s v=""/>
    <m/>
    <s v=""/>
    <m/>
    <m/>
    <m/>
    <m/>
    <m/>
    <m/>
    <m/>
    <m/>
    <m/>
    <m/>
    <m/>
    <m/>
    <m/>
    <m/>
    <m/>
    <s v=" "/>
    <m/>
    <s v=" "/>
    <m/>
    <m/>
  </r>
  <r>
    <x v="1222"/>
    <d v="2025-11-10T00:00:00"/>
    <x v="9"/>
    <x v="10"/>
    <x v="2"/>
    <x v="0"/>
    <x v="0"/>
    <x v="0"/>
    <s v=""/>
    <s v=""/>
    <s v=""/>
    <s v=""/>
    <s v=""/>
    <s v=""/>
    <s v=""/>
    <s v=""/>
    <m/>
    <s v=""/>
    <m/>
    <m/>
    <m/>
    <m/>
    <m/>
    <m/>
    <m/>
    <m/>
    <m/>
    <m/>
    <m/>
    <m/>
    <m/>
    <m/>
    <m/>
    <s v=" "/>
    <m/>
    <s v=" "/>
    <m/>
    <m/>
  </r>
  <r>
    <x v="1223"/>
    <d v="2025-11-11T00:00:00"/>
    <x v="10"/>
    <x v="10"/>
    <x v="2"/>
    <x v="0"/>
    <x v="0"/>
    <x v="0"/>
    <s v=""/>
    <s v=""/>
    <s v=""/>
    <s v=""/>
    <s v=""/>
    <s v=""/>
    <s v=""/>
    <s v=""/>
    <m/>
    <s v=""/>
    <m/>
    <m/>
    <m/>
    <m/>
    <m/>
    <m/>
    <m/>
    <m/>
    <m/>
    <m/>
    <m/>
    <m/>
    <m/>
    <m/>
    <m/>
    <s v=" "/>
    <m/>
    <s v=" "/>
    <m/>
    <m/>
  </r>
  <r>
    <x v="1224"/>
    <d v="2025-11-12T00:00:00"/>
    <x v="11"/>
    <x v="10"/>
    <x v="2"/>
    <x v="0"/>
    <x v="0"/>
    <x v="0"/>
    <s v=""/>
    <s v=""/>
    <s v=""/>
    <s v=""/>
    <s v=""/>
    <s v=""/>
    <s v=""/>
    <s v=""/>
    <m/>
    <s v=""/>
    <m/>
    <m/>
    <m/>
    <m/>
    <m/>
    <m/>
    <m/>
    <m/>
    <m/>
    <m/>
    <m/>
    <m/>
    <m/>
    <m/>
    <m/>
    <s v=" "/>
    <m/>
    <s v=" "/>
    <m/>
    <m/>
  </r>
  <r>
    <x v="1225"/>
    <d v="2025-11-13T00:00:00"/>
    <x v="12"/>
    <x v="10"/>
    <x v="2"/>
    <x v="0"/>
    <x v="0"/>
    <x v="0"/>
    <s v=""/>
    <s v=""/>
    <s v=""/>
    <s v=""/>
    <s v=""/>
    <s v=""/>
    <s v=""/>
    <s v=""/>
    <m/>
    <s v=""/>
    <m/>
    <m/>
    <m/>
    <m/>
    <m/>
    <m/>
    <m/>
    <m/>
    <m/>
    <m/>
    <m/>
    <m/>
    <m/>
    <m/>
    <m/>
    <s v=" "/>
    <m/>
    <s v=" "/>
    <m/>
    <m/>
  </r>
  <r>
    <x v="1226"/>
    <d v="2025-11-14T00:00:00"/>
    <x v="13"/>
    <x v="10"/>
    <x v="2"/>
    <x v="0"/>
    <x v="0"/>
    <x v="0"/>
    <s v=""/>
    <s v=""/>
    <s v=""/>
    <s v=""/>
    <s v=""/>
    <s v=""/>
    <s v=""/>
    <s v=""/>
    <m/>
    <s v=""/>
    <m/>
    <m/>
    <m/>
    <m/>
    <m/>
    <m/>
    <m/>
    <m/>
    <m/>
    <m/>
    <m/>
    <m/>
    <m/>
    <m/>
    <m/>
    <s v=" "/>
    <m/>
    <s v=" "/>
    <m/>
    <m/>
  </r>
  <r>
    <x v="1227"/>
    <d v="2025-11-15T00:00:00"/>
    <x v="14"/>
    <x v="10"/>
    <x v="2"/>
    <x v="0"/>
    <x v="0"/>
    <x v="0"/>
    <s v=""/>
    <s v=""/>
    <s v=""/>
    <s v=""/>
    <s v=""/>
    <s v=""/>
    <s v=""/>
    <s v=""/>
    <m/>
    <s v=""/>
    <m/>
    <m/>
    <m/>
    <m/>
    <m/>
    <m/>
    <m/>
    <m/>
    <m/>
    <m/>
    <m/>
    <m/>
    <m/>
    <m/>
    <m/>
    <s v=" "/>
    <m/>
    <s v=" "/>
    <m/>
    <m/>
  </r>
  <r>
    <x v="1228"/>
    <d v="2025-11-16T00:00:00"/>
    <x v="15"/>
    <x v="10"/>
    <x v="2"/>
    <x v="0"/>
    <x v="0"/>
    <x v="0"/>
    <s v=""/>
    <s v=""/>
    <s v=""/>
    <s v=""/>
    <s v=""/>
    <s v=""/>
    <s v=""/>
    <s v=""/>
    <m/>
    <s v=""/>
    <m/>
    <m/>
    <m/>
    <m/>
    <m/>
    <m/>
    <m/>
    <m/>
    <m/>
    <m/>
    <m/>
    <m/>
    <m/>
    <m/>
    <m/>
    <s v=" "/>
    <m/>
    <s v=" "/>
    <m/>
    <m/>
  </r>
  <r>
    <x v="1229"/>
    <d v="2025-11-17T00:00:00"/>
    <x v="16"/>
    <x v="10"/>
    <x v="2"/>
    <x v="0"/>
    <x v="0"/>
    <x v="0"/>
    <s v=""/>
    <s v=""/>
    <s v=""/>
    <s v=""/>
    <s v=""/>
    <s v=""/>
    <s v=""/>
    <s v=""/>
    <m/>
    <s v=""/>
    <m/>
    <m/>
    <m/>
    <m/>
    <m/>
    <m/>
    <m/>
    <m/>
    <m/>
    <m/>
    <m/>
    <m/>
    <m/>
    <m/>
    <m/>
    <s v=" "/>
    <m/>
    <s v=" "/>
    <m/>
    <m/>
  </r>
  <r>
    <x v="1230"/>
    <d v="2025-11-18T00:00:00"/>
    <x v="17"/>
    <x v="10"/>
    <x v="2"/>
    <x v="0"/>
    <x v="0"/>
    <x v="0"/>
    <s v=""/>
    <s v=""/>
    <s v=""/>
    <s v=""/>
    <s v=""/>
    <s v=""/>
    <s v=""/>
    <s v=""/>
    <m/>
    <s v=""/>
    <m/>
    <m/>
    <m/>
    <m/>
    <m/>
    <m/>
    <m/>
    <m/>
    <m/>
    <m/>
    <m/>
    <m/>
    <m/>
    <m/>
    <m/>
    <s v=" "/>
    <m/>
    <s v=" "/>
    <m/>
    <m/>
  </r>
  <r>
    <x v="1231"/>
    <d v="2025-11-19T00:00:00"/>
    <x v="18"/>
    <x v="10"/>
    <x v="2"/>
    <x v="0"/>
    <x v="0"/>
    <x v="0"/>
    <s v=""/>
    <s v=""/>
    <s v=""/>
    <s v=""/>
    <s v=""/>
    <s v=""/>
    <s v=""/>
    <s v=""/>
    <m/>
    <s v=""/>
    <m/>
    <m/>
    <m/>
    <m/>
    <m/>
    <m/>
    <m/>
    <m/>
    <m/>
    <m/>
    <m/>
    <m/>
    <m/>
    <m/>
    <m/>
    <s v=" "/>
    <m/>
    <s v=" "/>
    <m/>
    <m/>
  </r>
  <r>
    <x v="1232"/>
    <d v="2025-11-20T00:00:00"/>
    <x v="19"/>
    <x v="10"/>
    <x v="2"/>
    <x v="0"/>
    <x v="0"/>
    <x v="0"/>
    <s v=""/>
    <s v=""/>
    <s v=""/>
    <s v=""/>
    <s v=""/>
    <s v=""/>
    <s v=""/>
    <s v=""/>
    <m/>
    <s v=""/>
    <m/>
    <m/>
    <m/>
    <m/>
    <m/>
    <m/>
    <m/>
    <m/>
    <m/>
    <m/>
    <m/>
    <m/>
    <m/>
    <m/>
    <m/>
    <s v=" "/>
    <m/>
    <s v=" "/>
    <m/>
    <m/>
  </r>
  <r>
    <x v="1233"/>
    <d v="2025-11-21T00:00:00"/>
    <x v="20"/>
    <x v="10"/>
    <x v="2"/>
    <x v="0"/>
    <x v="0"/>
    <x v="0"/>
    <s v=""/>
    <s v=""/>
    <s v=""/>
    <s v=""/>
    <s v=""/>
    <s v=""/>
    <s v=""/>
    <s v=""/>
    <m/>
    <s v=""/>
    <m/>
    <m/>
    <m/>
    <m/>
    <m/>
    <m/>
    <m/>
    <m/>
    <m/>
    <m/>
    <m/>
    <m/>
    <m/>
    <m/>
    <m/>
    <s v=" "/>
    <m/>
    <s v=" "/>
    <m/>
    <m/>
  </r>
  <r>
    <x v="1234"/>
    <d v="2025-11-22T00:00:00"/>
    <x v="21"/>
    <x v="10"/>
    <x v="2"/>
    <x v="0"/>
    <x v="0"/>
    <x v="0"/>
    <s v=""/>
    <s v=""/>
    <s v=""/>
    <s v=""/>
    <s v=""/>
    <s v=""/>
    <s v=""/>
    <s v=""/>
    <m/>
    <s v=""/>
    <m/>
    <m/>
    <m/>
    <m/>
    <m/>
    <m/>
    <m/>
    <m/>
    <m/>
    <m/>
    <m/>
    <m/>
    <m/>
    <m/>
    <m/>
    <s v=" "/>
    <m/>
    <s v=" "/>
    <m/>
    <m/>
  </r>
  <r>
    <x v="1235"/>
    <d v="2025-11-23T00:00:00"/>
    <x v="22"/>
    <x v="10"/>
    <x v="2"/>
    <x v="0"/>
    <x v="0"/>
    <x v="0"/>
    <s v=""/>
    <s v=""/>
    <s v=""/>
    <s v=""/>
    <s v=""/>
    <s v=""/>
    <s v=""/>
    <s v=""/>
    <m/>
    <s v=""/>
    <m/>
    <m/>
    <m/>
    <m/>
    <m/>
    <m/>
    <m/>
    <m/>
    <m/>
    <m/>
    <m/>
    <m/>
    <m/>
    <m/>
    <m/>
    <s v=" "/>
    <m/>
    <s v=" "/>
    <m/>
    <m/>
  </r>
  <r>
    <x v="1236"/>
    <d v="2025-11-24T00:00:00"/>
    <x v="23"/>
    <x v="10"/>
    <x v="2"/>
    <x v="0"/>
    <x v="0"/>
    <x v="0"/>
    <s v=""/>
    <s v=""/>
    <s v=""/>
    <s v=""/>
    <s v=""/>
    <s v=""/>
    <s v=""/>
    <s v=""/>
    <m/>
    <s v=""/>
    <m/>
    <m/>
    <m/>
    <m/>
    <m/>
    <m/>
    <m/>
    <m/>
    <m/>
    <m/>
    <m/>
    <m/>
    <m/>
    <m/>
    <m/>
    <s v=" "/>
    <m/>
    <s v=" "/>
    <m/>
    <m/>
  </r>
  <r>
    <x v="1237"/>
    <d v="2025-11-25T00:00:00"/>
    <x v="24"/>
    <x v="10"/>
    <x v="2"/>
    <x v="0"/>
    <x v="0"/>
    <x v="0"/>
    <s v=""/>
    <s v=""/>
    <s v=""/>
    <s v=""/>
    <s v=""/>
    <s v=""/>
    <s v=""/>
    <s v=""/>
    <m/>
    <s v=""/>
    <m/>
    <m/>
    <m/>
    <m/>
    <m/>
    <m/>
    <m/>
    <m/>
    <m/>
    <m/>
    <m/>
    <m/>
    <m/>
    <m/>
    <m/>
    <s v=" "/>
    <m/>
    <s v=" "/>
    <m/>
    <m/>
  </r>
  <r>
    <x v="1238"/>
    <d v="2025-11-26T00:00:00"/>
    <x v="25"/>
    <x v="10"/>
    <x v="2"/>
    <x v="0"/>
    <x v="0"/>
    <x v="0"/>
    <s v=""/>
    <s v=""/>
    <s v=""/>
    <s v=""/>
    <s v=""/>
    <s v=""/>
    <s v=""/>
    <s v=""/>
    <m/>
    <s v=""/>
    <m/>
    <m/>
    <m/>
    <m/>
    <m/>
    <m/>
    <m/>
    <m/>
    <m/>
    <m/>
    <m/>
    <m/>
    <m/>
    <m/>
    <m/>
    <s v=" "/>
    <m/>
    <s v=" "/>
    <m/>
    <m/>
  </r>
  <r>
    <x v="1239"/>
    <d v="2025-11-27T00:00:00"/>
    <x v="26"/>
    <x v="10"/>
    <x v="2"/>
    <x v="0"/>
    <x v="0"/>
    <x v="0"/>
    <s v=""/>
    <s v=""/>
    <s v=""/>
    <s v=""/>
    <s v=""/>
    <s v=""/>
    <s v=""/>
    <s v=""/>
    <m/>
    <s v=""/>
    <m/>
    <m/>
    <m/>
    <m/>
    <m/>
    <m/>
    <m/>
    <m/>
    <m/>
    <m/>
    <m/>
    <m/>
    <m/>
    <m/>
    <m/>
    <s v=" "/>
    <m/>
    <s v=" "/>
    <m/>
    <m/>
  </r>
  <r>
    <x v="1240"/>
    <d v="2025-11-28T00:00:00"/>
    <x v="27"/>
    <x v="10"/>
    <x v="2"/>
    <x v="0"/>
    <x v="0"/>
    <x v="0"/>
    <s v=""/>
    <s v=""/>
    <s v=""/>
    <s v=""/>
    <s v=""/>
    <s v=""/>
    <s v=""/>
    <s v=""/>
    <m/>
    <s v=""/>
    <m/>
    <m/>
    <m/>
    <m/>
    <m/>
    <m/>
    <m/>
    <m/>
    <m/>
    <m/>
    <m/>
    <m/>
    <m/>
    <m/>
    <m/>
    <s v=" "/>
    <m/>
    <s v=" "/>
    <m/>
    <m/>
  </r>
  <r>
    <x v="1241"/>
    <d v="2025-11-29T00:00:00"/>
    <x v="28"/>
    <x v="10"/>
    <x v="2"/>
    <x v="0"/>
    <x v="0"/>
    <x v="0"/>
    <s v=""/>
    <s v=""/>
    <s v=""/>
    <s v=""/>
    <s v=""/>
    <s v=""/>
    <s v=""/>
    <s v=""/>
    <m/>
    <s v=""/>
    <m/>
    <m/>
    <m/>
    <m/>
    <m/>
    <m/>
    <m/>
    <m/>
    <m/>
    <m/>
    <m/>
    <m/>
    <m/>
    <m/>
    <m/>
    <s v=" "/>
    <m/>
    <s v=" "/>
    <m/>
    <m/>
  </r>
  <r>
    <x v="1242"/>
    <d v="2025-11-30T00:00:00"/>
    <x v="29"/>
    <x v="10"/>
    <x v="2"/>
    <x v="0"/>
    <x v="0"/>
    <x v="0"/>
    <s v=""/>
    <s v=""/>
    <s v=""/>
    <s v=""/>
    <s v=""/>
    <s v=""/>
    <s v=""/>
    <s v=""/>
    <m/>
    <s v=""/>
    <m/>
    <m/>
    <m/>
    <m/>
    <m/>
    <m/>
    <m/>
    <m/>
    <m/>
    <m/>
    <m/>
    <m/>
    <m/>
    <m/>
    <m/>
    <s v=" "/>
    <m/>
    <s v=" "/>
    <m/>
    <m/>
  </r>
  <r>
    <x v="1243"/>
    <d v="2025-12-01T00:00:00"/>
    <x v="0"/>
    <x v="11"/>
    <x v="2"/>
    <x v="0"/>
    <x v="0"/>
    <x v="0"/>
    <s v=""/>
    <s v=""/>
    <s v=""/>
    <s v=""/>
    <s v=""/>
    <s v=""/>
    <s v=""/>
    <s v=""/>
    <m/>
    <s v=""/>
    <m/>
    <m/>
    <m/>
    <m/>
    <m/>
    <m/>
    <m/>
    <m/>
    <m/>
    <m/>
    <m/>
    <m/>
    <m/>
    <m/>
    <m/>
    <s v=" "/>
    <m/>
    <s v=" "/>
    <m/>
    <m/>
  </r>
  <r>
    <x v="1244"/>
    <d v="2025-12-02T00:00:00"/>
    <x v="1"/>
    <x v="11"/>
    <x v="2"/>
    <x v="0"/>
    <x v="0"/>
    <x v="0"/>
    <s v=""/>
    <s v=""/>
    <s v=""/>
    <s v=""/>
    <s v=""/>
    <s v=""/>
    <s v=""/>
    <s v=""/>
    <m/>
    <s v=""/>
    <m/>
    <m/>
    <m/>
    <m/>
    <m/>
    <m/>
    <m/>
    <m/>
    <m/>
    <m/>
    <m/>
    <m/>
    <m/>
    <m/>
    <m/>
    <s v=" "/>
    <m/>
    <s v=" "/>
    <m/>
    <m/>
  </r>
  <r>
    <x v="1245"/>
    <d v="2025-12-03T00:00:00"/>
    <x v="2"/>
    <x v="11"/>
    <x v="2"/>
    <x v="0"/>
    <x v="0"/>
    <x v="0"/>
    <s v=""/>
    <s v=""/>
    <s v=""/>
    <s v=""/>
    <s v=""/>
    <s v=""/>
    <s v=""/>
    <s v=""/>
    <m/>
    <s v=""/>
    <m/>
    <m/>
    <m/>
    <m/>
    <m/>
    <m/>
    <m/>
    <m/>
    <m/>
    <m/>
    <m/>
    <m/>
    <m/>
    <m/>
    <m/>
    <s v=" "/>
    <m/>
    <s v=" "/>
    <m/>
    <m/>
  </r>
  <r>
    <x v="1246"/>
    <d v="2025-12-04T00:00:00"/>
    <x v="3"/>
    <x v="11"/>
    <x v="2"/>
    <x v="0"/>
    <x v="0"/>
    <x v="0"/>
    <s v=""/>
    <s v=""/>
    <s v=""/>
    <s v=""/>
    <s v=""/>
    <s v=""/>
    <s v=""/>
    <s v=""/>
    <m/>
    <s v=""/>
    <m/>
    <m/>
    <m/>
    <m/>
    <m/>
    <m/>
    <m/>
    <m/>
    <m/>
    <m/>
    <m/>
    <m/>
    <m/>
    <m/>
    <m/>
    <s v=" "/>
    <m/>
    <s v=" "/>
    <m/>
    <m/>
  </r>
  <r>
    <x v="1247"/>
    <d v="2025-12-05T00:00:00"/>
    <x v="4"/>
    <x v="11"/>
    <x v="2"/>
    <x v="0"/>
    <x v="0"/>
    <x v="0"/>
    <s v=""/>
    <s v=""/>
    <s v=""/>
    <s v=""/>
    <s v=""/>
    <s v=""/>
    <s v=""/>
    <s v=""/>
    <m/>
    <s v=""/>
    <m/>
    <m/>
    <m/>
    <m/>
    <m/>
    <m/>
    <m/>
    <m/>
    <m/>
    <m/>
    <m/>
    <m/>
    <m/>
    <m/>
    <m/>
    <s v=" "/>
    <m/>
    <s v=" "/>
    <m/>
    <m/>
  </r>
  <r>
    <x v="1248"/>
    <d v="2025-12-06T00:00:00"/>
    <x v="5"/>
    <x v="11"/>
    <x v="2"/>
    <x v="0"/>
    <x v="0"/>
    <x v="0"/>
    <s v=""/>
    <s v=""/>
    <s v=""/>
    <s v=""/>
    <s v=""/>
    <s v=""/>
    <s v=""/>
    <s v=""/>
    <m/>
    <s v=""/>
    <m/>
    <m/>
    <m/>
    <m/>
    <m/>
    <m/>
    <m/>
    <m/>
    <m/>
    <m/>
    <m/>
    <m/>
    <m/>
    <m/>
    <m/>
    <s v=" "/>
    <m/>
    <s v=" "/>
    <m/>
    <m/>
  </r>
  <r>
    <x v="1249"/>
    <d v="2025-12-07T00:00:00"/>
    <x v="6"/>
    <x v="11"/>
    <x v="2"/>
    <x v="0"/>
    <x v="0"/>
    <x v="0"/>
    <s v=""/>
    <s v=""/>
    <s v=""/>
    <s v=""/>
    <s v=""/>
    <s v=""/>
    <s v=""/>
    <s v=""/>
    <m/>
    <s v=""/>
    <m/>
    <m/>
    <m/>
    <m/>
    <m/>
    <m/>
    <m/>
    <m/>
    <m/>
    <m/>
    <m/>
    <m/>
    <m/>
    <m/>
    <m/>
    <s v=" "/>
    <m/>
    <s v=" "/>
    <m/>
    <m/>
  </r>
  <r>
    <x v="1250"/>
    <d v="2025-12-08T00:00:00"/>
    <x v="7"/>
    <x v="11"/>
    <x v="2"/>
    <x v="0"/>
    <x v="0"/>
    <x v="0"/>
    <s v=""/>
    <s v=""/>
    <s v=""/>
    <s v=""/>
    <s v=""/>
    <s v=""/>
    <s v=""/>
    <s v=""/>
    <m/>
    <s v=""/>
    <m/>
    <m/>
    <m/>
    <m/>
    <m/>
    <m/>
    <m/>
    <m/>
    <m/>
    <m/>
    <m/>
    <m/>
    <m/>
    <m/>
    <m/>
    <s v=" "/>
    <m/>
    <s v=" "/>
    <m/>
    <m/>
  </r>
  <r>
    <x v="1251"/>
    <d v="2025-12-09T00:00:00"/>
    <x v="8"/>
    <x v="11"/>
    <x v="2"/>
    <x v="0"/>
    <x v="0"/>
    <x v="0"/>
    <s v=""/>
    <s v=""/>
    <s v=""/>
    <s v=""/>
    <s v=""/>
    <s v=""/>
    <s v=""/>
    <s v=""/>
    <m/>
    <s v=""/>
    <m/>
    <m/>
    <m/>
    <m/>
    <m/>
    <m/>
    <m/>
    <m/>
    <m/>
    <m/>
    <m/>
    <m/>
    <m/>
    <m/>
    <m/>
    <s v=" "/>
    <m/>
    <s v=" "/>
    <m/>
    <m/>
  </r>
  <r>
    <x v="1252"/>
    <d v="2025-12-10T00:00:00"/>
    <x v="9"/>
    <x v="11"/>
    <x v="2"/>
    <x v="0"/>
    <x v="0"/>
    <x v="0"/>
    <s v=""/>
    <s v=""/>
    <s v=""/>
    <s v=""/>
    <s v=""/>
    <s v=""/>
    <s v=""/>
    <s v=""/>
    <m/>
    <s v=""/>
    <m/>
    <m/>
    <m/>
    <m/>
    <m/>
    <m/>
    <m/>
    <m/>
    <m/>
    <m/>
    <m/>
    <m/>
    <m/>
    <m/>
    <m/>
    <s v=" "/>
    <m/>
    <s v=" "/>
    <m/>
    <m/>
  </r>
  <r>
    <x v="1253"/>
    <d v="2025-12-11T00:00:00"/>
    <x v="10"/>
    <x v="11"/>
    <x v="2"/>
    <x v="0"/>
    <x v="0"/>
    <x v="0"/>
    <s v=""/>
    <s v=""/>
    <s v=""/>
    <s v=""/>
    <s v=""/>
    <s v=""/>
    <s v=""/>
    <s v=""/>
    <m/>
    <s v=""/>
    <m/>
    <m/>
    <m/>
    <m/>
    <m/>
    <m/>
    <m/>
    <m/>
    <m/>
    <m/>
    <m/>
    <m/>
    <m/>
    <m/>
    <m/>
    <s v=" "/>
    <m/>
    <s v=" "/>
    <m/>
    <m/>
  </r>
  <r>
    <x v="1254"/>
    <d v="2025-12-12T00:00:00"/>
    <x v="11"/>
    <x v="11"/>
    <x v="2"/>
    <x v="0"/>
    <x v="0"/>
    <x v="0"/>
    <s v=""/>
    <s v=""/>
    <s v=""/>
    <s v=""/>
    <s v=""/>
    <s v=""/>
    <s v=""/>
    <s v=""/>
    <m/>
    <s v=""/>
    <m/>
    <m/>
    <m/>
    <m/>
    <m/>
    <m/>
    <m/>
    <m/>
    <m/>
    <m/>
    <m/>
    <m/>
    <m/>
    <m/>
    <m/>
    <s v=" "/>
    <m/>
    <s v=" "/>
    <m/>
    <m/>
  </r>
  <r>
    <x v="1255"/>
    <d v="2025-12-13T00:00:00"/>
    <x v="12"/>
    <x v="11"/>
    <x v="2"/>
    <x v="0"/>
    <x v="0"/>
    <x v="0"/>
    <s v=""/>
    <s v=""/>
    <s v=""/>
    <s v=""/>
    <s v=""/>
    <s v=""/>
    <s v=""/>
    <s v=""/>
    <m/>
    <s v=""/>
    <m/>
    <m/>
    <m/>
    <m/>
    <m/>
    <m/>
    <m/>
    <m/>
    <m/>
    <m/>
    <m/>
    <m/>
    <m/>
    <m/>
    <m/>
    <s v=" "/>
    <m/>
    <s v=" "/>
    <m/>
    <m/>
  </r>
  <r>
    <x v="1256"/>
    <d v="2025-12-14T00:00:00"/>
    <x v="13"/>
    <x v="11"/>
    <x v="2"/>
    <x v="0"/>
    <x v="0"/>
    <x v="0"/>
    <s v=""/>
    <s v=""/>
    <s v=""/>
    <s v=""/>
    <s v=""/>
    <s v=""/>
    <s v=""/>
    <s v=""/>
    <m/>
    <s v=""/>
    <m/>
    <m/>
    <m/>
    <m/>
    <m/>
    <m/>
    <m/>
    <m/>
    <m/>
    <m/>
    <m/>
    <m/>
    <m/>
    <m/>
    <m/>
    <s v=" "/>
    <m/>
    <s v=" "/>
    <m/>
    <m/>
  </r>
  <r>
    <x v="1257"/>
    <d v="2025-12-15T00:00:00"/>
    <x v="14"/>
    <x v="11"/>
    <x v="2"/>
    <x v="0"/>
    <x v="0"/>
    <x v="0"/>
    <s v=""/>
    <s v=""/>
    <s v=""/>
    <s v=""/>
    <s v=""/>
    <s v=""/>
    <s v=""/>
    <s v=""/>
    <m/>
    <s v=""/>
    <m/>
    <m/>
    <m/>
    <m/>
    <m/>
    <m/>
    <m/>
    <m/>
    <m/>
    <m/>
    <m/>
    <m/>
    <m/>
    <m/>
    <m/>
    <s v=" "/>
    <m/>
    <s v=" "/>
    <m/>
    <m/>
  </r>
  <r>
    <x v="1258"/>
    <d v="2025-12-16T00:00:00"/>
    <x v="15"/>
    <x v="11"/>
    <x v="2"/>
    <x v="0"/>
    <x v="0"/>
    <x v="0"/>
    <s v=""/>
    <s v=""/>
    <s v=""/>
    <s v=""/>
    <s v=""/>
    <s v=""/>
    <s v=""/>
    <s v=""/>
    <m/>
    <s v=""/>
    <m/>
    <m/>
    <m/>
    <m/>
    <m/>
    <m/>
    <m/>
    <m/>
    <m/>
    <m/>
    <m/>
    <m/>
    <m/>
    <m/>
    <m/>
    <s v=" "/>
    <m/>
    <s v=" "/>
    <m/>
    <m/>
  </r>
  <r>
    <x v="1259"/>
    <d v="2025-12-17T00:00:00"/>
    <x v="16"/>
    <x v="11"/>
    <x v="2"/>
    <x v="0"/>
    <x v="0"/>
    <x v="0"/>
    <s v=""/>
    <s v=""/>
    <s v=""/>
    <s v=""/>
    <s v=""/>
    <s v=""/>
    <s v=""/>
    <s v=""/>
    <m/>
    <s v=""/>
    <m/>
    <m/>
    <m/>
    <m/>
    <m/>
    <m/>
    <m/>
    <m/>
    <m/>
    <m/>
    <m/>
    <m/>
    <m/>
    <m/>
    <m/>
    <s v=" "/>
    <m/>
    <s v=" "/>
    <m/>
    <m/>
  </r>
  <r>
    <x v="1260"/>
    <d v="2025-12-18T00:00:00"/>
    <x v="17"/>
    <x v="11"/>
    <x v="2"/>
    <x v="0"/>
    <x v="0"/>
    <x v="0"/>
    <s v=""/>
    <s v=""/>
    <s v=""/>
    <s v=""/>
    <s v=""/>
    <s v=""/>
    <s v=""/>
    <s v=""/>
    <m/>
    <s v=""/>
    <m/>
    <m/>
    <m/>
    <m/>
    <m/>
    <m/>
    <m/>
    <m/>
    <m/>
    <m/>
    <m/>
    <m/>
    <m/>
    <m/>
    <m/>
    <s v=" "/>
    <m/>
    <s v=" "/>
    <m/>
    <m/>
  </r>
  <r>
    <x v="1261"/>
    <d v="2025-12-19T00:00:00"/>
    <x v="18"/>
    <x v="11"/>
    <x v="2"/>
    <x v="0"/>
    <x v="0"/>
    <x v="0"/>
    <s v=""/>
    <s v=""/>
    <s v=""/>
    <s v=""/>
    <s v=""/>
    <s v=""/>
    <s v=""/>
    <s v=""/>
    <m/>
    <s v=""/>
    <m/>
    <m/>
    <m/>
    <m/>
    <m/>
    <m/>
    <m/>
    <m/>
    <m/>
    <m/>
    <m/>
    <m/>
    <m/>
    <m/>
    <m/>
    <s v=" "/>
    <m/>
    <s v=" "/>
    <m/>
    <m/>
  </r>
  <r>
    <x v="1262"/>
    <d v="2025-12-20T00:00:00"/>
    <x v="19"/>
    <x v="11"/>
    <x v="2"/>
    <x v="0"/>
    <x v="0"/>
    <x v="0"/>
    <s v=""/>
    <s v=""/>
    <s v=""/>
    <s v=""/>
    <s v=""/>
    <s v=""/>
    <s v=""/>
    <s v=""/>
    <m/>
    <s v=""/>
    <m/>
    <m/>
    <m/>
    <m/>
    <m/>
    <m/>
    <m/>
    <m/>
    <m/>
    <m/>
    <m/>
    <m/>
    <m/>
    <m/>
    <m/>
    <s v=" "/>
    <m/>
    <s v=" "/>
    <m/>
    <m/>
  </r>
  <r>
    <x v="1263"/>
    <d v="2025-12-21T00:00:00"/>
    <x v="20"/>
    <x v="11"/>
    <x v="2"/>
    <x v="0"/>
    <x v="0"/>
    <x v="0"/>
    <s v=""/>
    <s v=""/>
    <s v=""/>
    <s v=""/>
    <s v=""/>
    <s v=""/>
    <s v=""/>
    <s v=""/>
    <m/>
    <s v=""/>
    <m/>
    <m/>
    <m/>
    <m/>
    <m/>
    <m/>
    <m/>
    <m/>
    <m/>
    <m/>
    <m/>
    <m/>
    <m/>
    <m/>
    <m/>
    <s v=" "/>
    <m/>
    <s v=" "/>
    <m/>
    <m/>
  </r>
  <r>
    <x v="1264"/>
    <d v="2025-12-22T00:00:00"/>
    <x v="21"/>
    <x v="11"/>
    <x v="2"/>
    <x v="0"/>
    <x v="0"/>
    <x v="0"/>
    <s v=""/>
    <s v=""/>
    <s v=""/>
    <s v=""/>
    <s v=""/>
    <s v=""/>
    <s v=""/>
    <s v=""/>
    <m/>
    <s v=""/>
    <m/>
    <m/>
    <m/>
    <m/>
    <m/>
    <m/>
    <m/>
    <m/>
    <m/>
    <m/>
    <m/>
    <m/>
    <m/>
    <m/>
    <m/>
    <s v=" "/>
    <m/>
    <s v=" "/>
    <m/>
    <m/>
  </r>
  <r>
    <x v="1265"/>
    <d v="2025-12-23T00:00:00"/>
    <x v="22"/>
    <x v="11"/>
    <x v="2"/>
    <x v="0"/>
    <x v="0"/>
    <x v="0"/>
    <s v=""/>
    <s v=""/>
    <s v=""/>
    <s v=""/>
    <s v=""/>
    <s v=""/>
    <s v=""/>
    <s v=""/>
    <m/>
    <s v=""/>
    <m/>
    <m/>
    <m/>
    <m/>
    <m/>
    <m/>
    <m/>
    <m/>
    <m/>
    <m/>
    <m/>
    <m/>
    <m/>
    <m/>
    <m/>
    <s v=" "/>
    <m/>
    <s v=" "/>
    <m/>
    <m/>
  </r>
  <r>
    <x v="1266"/>
    <d v="2025-12-24T00:00:00"/>
    <x v="23"/>
    <x v="11"/>
    <x v="2"/>
    <x v="0"/>
    <x v="0"/>
    <x v="0"/>
    <s v=""/>
    <s v=""/>
    <s v=""/>
    <s v=""/>
    <s v=""/>
    <s v=""/>
    <s v=""/>
    <s v=""/>
    <m/>
    <s v=""/>
    <m/>
    <m/>
    <m/>
    <m/>
    <m/>
    <m/>
    <m/>
    <m/>
    <m/>
    <m/>
    <m/>
    <m/>
    <m/>
    <m/>
    <m/>
    <s v=" "/>
    <m/>
    <s v=" "/>
    <m/>
    <m/>
  </r>
  <r>
    <x v="1267"/>
    <d v="2025-12-25T00:00:00"/>
    <x v="24"/>
    <x v="11"/>
    <x v="2"/>
    <x v="0"/>
    <x v="0"/>
    <x v="0"/>
    <s v=""/>
    <s v=""/>
    <s v=""/>
    <s v=""/>
    <s v=""/>
    <s v=""/>
    <s v=""/>
    <s v=""/>
    <m/>
    <s v=""/>
    <m/>
    <m/>
    <m/>
    <m/>
    <m/>
    <m/>
    <m/>
    <m/>
    <m/>
    <m/>
    <m/>
    <m/>
    <m/>
    <m/>
    <m/>
    <s v=" "/>
    <m/>
    <s v=" "/>
    <m/>
    <m/>
  </r>
  <r>
    <x v="1268"/>
    <d v="2025-12-26T00:00:00"/>
    <x v="25"/>
    <x v="11"/>
    <x v="2"/>
    <x v="0"/>
    <x v="0"/>
    <x v="0"/>
    <s v=""/>
    <s v=""/>
    <s v=""/>
    <s v=""/>
    <s v=""/>
    <s v=""/>
    <s v=""/>
    <s v=""/>
    <m/>
    <s v=""/>
    <m/>
    <m/>
    <m/>
    <m/>
    <m/>
    <m/>
    <m/>
    <m/>
    <m/>
    <m/>
    <m/>
    <m/>
    <m/>
    <m/>
    <m/>
    <s v=" "/>
    <m/>
    <s v=" "/>
    <m/>
    <m/>
  </r>
  <r>
    <x v="1269"/>
    <d v="2025-12-27T00:00:00"/>
    <x v="26"/>
    <x v="11"/>
    <x v="2"/>
    <x v="0"/>
    <x v="0"/>
    <x v="0"/>
    <s v=""/>
    <s v=""/>
    <s v=""/>
    <s v=""/>
    <s v=""/>
    <s v=""/>
    <s v=""/>
    <s v=""/>
    <m/>
    <s v=""/>
    <m/>
    <m/>
    <m/>
    <m/>
    <m/>
    <m/>
    <m/>
    <m/>
    <m/>
    <m/>
    <m/>
    <m/>
    <m/>
    <m/>
    <m/>
    <s v=" "/>
    <m/>
    <s v=" "/>
    <m/>
    <m/>
  </r>
  <r>
    <x v="1270"/>
    <d v="2025-12-28T00:00:00"/>
    <x v="27"/>
    <x v="11"/>
    <x v="2"/>
    <x v="0"/>
    <x v="0"/>
    <x v="0"/>
    <s v=""/>
    <s v=""/>
    <s v=""/>
    <s v=""/>
    <s v=""/>
    <s v=""/>
    <s v=""/>
    <s v=""/>
    <m/>
    <s v=""/>
    <m/>
    <m/>
    <m/>
    <m/>
    <m/>
    <m/>
    <m/>
    <m/>
    <m/>
    <m/>
    <m/>
    <m/>
    <m/>
    <m/>
    <m/>
    <s v=" "/>
    <m/>
    <s v=" "/>
    <m/>
    <m/>
  </r>
  <r>
    <x v="1271"/>
    <d v="2025-12-29T00:00:00"/>
    <x v="28"/>
    <x v="11"/>
    <x v="2"/>
    <x v="0"/>
    <x v="0"/>
    <x v="0"/>
    <s v=""/>
    <s v=""/>
    <s v=""/>
    <s v=""/>
    <s v=""/>
    <s v=""/>
    <s v=""/>
    <s v=""/>
    <m/>
    <s v=""/>
    <m/>
    <m/>
    <m/>
    <m/>
    <m/>
    <m/>
    <m/>
    <m/>
    <m/>
    <m/>
    <m/>
    <m/>
    <m/>
    <m/>
    <m/>
    <s v=" "/>
    <m/>
    <s v=" "/>
    <m/>
    <m/>
  </r>
  <r>
    <x v="1272"/>
    <d v="2025-12-30T00:00:00"/>
    <x v="29"/>
    <x v="11"/>
    <x v="2"/>
    <x v="0"/>
    <x v="0"/>
    <x v="0"/>
    <s v=""/>
    <s v=""/>
    <s v=""/>
    <s v=""/>
    <s v=""/>
    <s v=""/>
    <s v=""/>
    <s v=""/>
    <m/>
    <s v=""/>
    <m/>
    <m/>
    <m/>
    <m/>
    <m/>
    <m/>
    <m/>
    <m/>
    <m/>
    <m/>
    <m/>
    <m/>
    <m/>
    <m/>
    <m/>
    <s v=" "/>
    <m/>
    <s v=" "/>
    <m/>
    <m/>
  </r>
  <r>
    <x v="1273"/>
    <d v="2025-12-31T00:00:00"/>
    <x v="30"/>
    <x v="11"/>
    <x v="2"/>
    <x v="0"/>
    <x v="0"/>
    <x v="0"/>
    <s v=""/>
    <s v=""/>
    <s v=""/>
    <s v=""/>
    <s v=""/>
    <s v=""/>
    <s v=""/>
    <s v=""/>
    <m/>
    <s v=""/>
    <m/>
    <m/>
    <m/>
    <m/>
    <m/>
    <m/>
    <m/>
    <m/>
    <m/>
    <m/>
    <m/>
    <m/>
    <m/>
    <m/>
    <m/>
    <s v=" "/>
    <m/>
    <s v=" "/>
    <m/>
    <m/>
  </r>
  <r>
    <x v="1274"/>
    <d v="2026-01-01T00:00:00"/>
    <x v="0"/>
    <x v="0"/>
    <x v="3"/>
    <x v="0"/>
    <x v="0"/>
    <x v="0"/>
    <s v=""/>
    <s v=""/>
    <s v=""/>
    <s v=""/>
    <s v=""/>
    <s v=""/>
    <s v=""/>
    <s v=""/>
    <m/>
    <s v=""/>
    <m/>
    <m/>
    <m/>
    <m/>
    <m/>
    <m/>
    <m/>
    <m/>
    <m/>
    <m/>
    <m/>
    <m/>
    <m/>
    <m/>
    <m/>
    <s v=" "/>
    <m/>
    <s v=" "/>
    <m/>
    <m/>
  </r>
  <r>
    <x v="1275"/>
    <d v="2026-01-02T00:00:00"/>
    <x v="1"/>
    <x v="0"/>
    <x v="3"/>
    <x v="0"/>
    <x v="0"/>
    <x v="0"/>
    <s v=""/>
    <s v=""/>
    <s v=""/>
    <s v=""/>
    <s v=""/>
    <s v=""/>
    <s v=""/>
    <s v=""/>
    <m/>
    <s v=""/>
    <m/>
    <m/>
    <m/>
    <m/>
    <m/>
    <m/>
    <m/>
    <m/>
    <m/>
    <m/>
    <m/>
    <m/>
    <m/>
    <m/>
    <m/>
    <s v=" "/>
    <m/>
    <s v=" "/>
    <m/>
    <m/>
  </r>
  <r>
    <x v="1276"/>
    <d v="2026-01-03T00:00:00"/>
    <x v="2"/>
    <x v="0"/>
    <x v="3"/>
    <x v="0"/>
    <x v="0"/>
    <x v="0"/>
    <s v=""/>
    <s v=""/>
    <s v=""/>
    <s v=""/>
    <s v=""/>
    <s v=""/>
    <s v=""/>
    <s v=""/>
    <m/>
    <s v=""/>
    <m/>
    <m/>
    <m/>
    <m/>
    <m/>
    <m/>
    <m/>
    <m/>
    <m/>
    <m/>
    <m/>
    <m/>
    <m/>
    <m/>
    <m/>
    <s v=" "/>
    <m/>
    <s v=" "/>
    <m/>
    <m/>
  </r>
  <r>
    <x v="1277"/>
    <d v="2026-01-04T00:00:00"/>
    <x v="3"/>
    <x v="0"/>
    <x v="3"/>
    <x v="0"/>
    <x v="0"/>
    <x v="0"/>
    <s v=""/>
    <s v=""/>
    <s v=""/>
    <s v=""/>
    <s v=""/>
    <s v=""/>
    <s v=""/>
    <s v=""/>
    <m/>
    <s v=""/>
    <m/>
    <m/>
    <m/>
    <m/>
    <m/>
    <m/>
    <m/>
    <m/>
    <m/>
    <m/>
    <m/>
    <m/>
    <m/>
    <m/>
    <m/>
    <s v=" "/>
    <m/>
    <s v=" "/>
    <m/>
    <m/>
  </r>
  <r>
    <x v="1278"/>
    <d v="2026-01-05T00:00:00"/>
    <x v="4"/>
    <x v="0"/>
    <x v="3"/>
    <x v="0"/>
    <x v="0"/>
    <x v="0"/>
    <s v=""/>
    <s v=""/>
    <s v=""/>
    <s v=""/>
    <s v=""/>
    <s v=""/>
    <s v=""/>
    <s v=""/>
    <m/>
    <s v=""/>
    <m/>
    <m/>
    <m/>
    <m/>
    <m/>
    <m/>
    <m/>
    <m/>
    <m/>
    <m/>
    <m/>
    <m/>
    <m/>
    <m/>
    <m/>
    <s v=" "/>
    <m/>
    <s v=" "/>
    <m/>
    <m/>
  </r>
  <r>
    <x v="1279"/>
    <d v="2026-01-06T00:00:00"/>
    <x v="5"/>
    <x v="0"/>
    <x v="3"/>
    <x v="0"/>
    <x v="0"/>
    <x v="0"/>
    <s v=""/>
    <s v=""/>
    <s v=""/>
    <s v=""/>
    <s v=""/>
    <s v=""/>
    <s v=""/>
    <s v=""/>
    <m/>
    <s v=""/>
    <m/>
    <m/>
    <m/>
    <m/>
    <m/>
    <m/>
    <m/>
    <m/>
    <m/>
    <m/>
    <m/>
    <m/>
    <m/>
    <m/>
    <m/>
    <s v=" "/>
    <m/>
    <s v=" "/>
    <m/>
    <m/>
  </r>
  <r>
    <x v="1280"/>
    <d v="2026-01-07T00:00:00"/>
    <x v="6"/>
    <x v="0"/>
    <x v="3"/>
    <x v="0"/>
    <x v="0"/>
    <x v="0"/>
    <s v=""/>
    <s v=""/>
    <s v=""/>
    <s v=""/>
    <s v=""/>
    <s v=""/>
    <s v=""/>
    <s v=""/>
    <m/>
    <s v=""/>
    <m/>
    <m/>
    <m/>
    <m/>
    <m/>
    <m/>
    <m/>
    <m/>
    <m/>
    <m/>
    <m/>
    <m/>
    <m/>
    <m/>
    <m/>
    <s v=" "/>
    <m/>
    <s v=" "/>
    <m/>
    <m/>
  </r>
  <r>
    <x v="1281"/>
    <d v="2026-01-08T00:00:00"/>
    <x v="7"/>
    <x v="0"/>
    <x v="3"/>
    <x v="0"/>
    <x v="0"/>
    <x v="0"/>
    <s v=""/>
    <s v=""/>
    <s v=""/>
    <s v=""/>
    <s v=""/>
    <s v=""/>
    <s v=""/>
    <s v=""/>
    <m/>
    <s v=""/>
    <m/>
    <m/>
    <m/>
    <m/>
    <m/>
    <m/>
    <m/>
    <m/>
    <m/>
    <m/>
    <m/>
    <m/>
    <m/>
    <m/>
    <m/>
    <s v=" "/>
    <m/>
    <s v=" "/>
    <m/>
    <m/>
  </r>
  <r>
    <x v="1282"/>
    <d v="2026-01-09T00:00:00"/>
    <x v="8"/>
    <x v="0"/>
    <x v="3"/>
    <x v="0"/>
    <x v="0"/>
    <x v="0"/>
    <s v=""/>
    <s v=""/>
    <s v=""/>
    <s v=""/>
    <s v=""/>
    <s v=""/>
    <s v=""/>
    <s v=""/>
    <m/>
    <s v=""/>
    <m/>
    <m/>
    <m/>
    <m/>
    <m/>
    <m/>
    <m/>
    <m/>
    <m/>
    <m/>
    <m/>
    <m/>
    <m/>
    <m/>
    <m/>
    <s v=" "/>
    <m/>
    <s v=" "/>
    <m/>
    <m/>
  </r>
  <r>
    <x v="1283"/>
    <d v="2026-01-10T00:00:00"/>
    <x v="9"/>
    <x v="0"/>
    <x v="3"/>
    <x v="0"/>
    <x v="0"/>
    <x v="0"/>
    <s v=""/>
    <s v=""/>
    <s v=""/>
    <s v=""/>
    <s v=""/>
    <s v=""/>
    <s v=""/>
    <s v=""/>
    <m/>
    <s v=""/>
    <m/>
    <m/>
    <m/>
    <m/>
    <m/>
    <m/>
    <m/>
    <m/>
    <m/>
    <m/>
    <m/>
    <m/>
    <m/>
    <m/>
    <m/>
    <s v=" "/>
    <m/>
    <s v=" "/>
    <m/>
    <m/>
  </r>
  <r>
    <x v="1284"/>
    <d v="2026-01-11T00:00:00"/>
    <x v="10"/>
    <x v="0"/>
    <x v="3"/>
    <x v="0"/>
    <x v="0"/>
    <x v="0"/>
    <s v=""/>
    <s v=""/>
    <s v=""/>
    <s v=""/>
    <s v=""/>
    <s v=""/>
    <s v=""/>
    <s v=""/>
    <m/>
    <s v=""/>
    <m/>
    <m/>
    <m/>
    <m/>
    <m/>
    <m/>
    <m/>
    <m/>
    <m/>
    <m/>
    <m/>
    <m/>
    <m/>
    <m/>
    <m/>
    <s v=" "/>
    <m/>
    <s v=" "/>
    <m/>
    <m/>
  </r>
  <r>
    <x v="1285"/>
    <d v="2026-01-12T00:00:00"/>
    <x v="11"/>
    <x v="0"/>
    <x v="3"/>
    <x v="0"/>
    <x v="0"/>
    <x v="0"/>
    <s v=""/>
    <s v=""/>
    <s v=""/>
    <s v=""/>
    <s v=""/>
    <s v=""/>
    <s v=""/>
    <s v=""/>
    <m/>
    <s v=""/>
    <m/>
    <m/>
    <m/>
    <m/>
    <m/>
    <m/>
    <m/>
    <m/>
    <m/>
    <m/>
    <m/>
    <m/>
    <m/>
    <m/>
    <m/>
    <s v=" "/>
    <m/>
    <s v=" "/>
    <m/>
    <m/>
  </r>
  <r>
    <x v="1286"/>
    <d v="2026-01-13T00:00:00"/>
    <x v="12"/>
    <x v="0"/>
    <x v="3"/>
    <x v="0"/>
    <x v="0"/>
    <x v="0"/>
    <s v=""/>
    <s v=""/>
    <s v=""/>
    <s v=""/>
    <s v=""/>
    <s v=""/>
    <s v=""/>
    <s v=""/>
    <m/>
    <s v=""/>
    <m/>
    <m/>
    <m/>
    <m/>
    <m/>
    <m/>
    <m/>
    <m/>
    <m/>
    <m/>
    <m/>
    <m/>
    <m/>
    <m/>
    <m/>
    <s v=" "/>
    <m/>
    <s v=" "/>
    <m/>
    <m/>
  </r>
  <r>
    <x v="1287"/>
    <d v="2026-01-14T00:00:00"/>
    <x v="13"/>
    <x v="0"/>
    <x v="3"/>
    <x v="0"/>
    <x v="0"/>
    <x v="0"/>
    <s v=""/>
    <s v=""/>
    <s v=""/>
    <s v=""/>
    <s v=""/>
    <s v=""/>
    <s v=""/>
    <s v=""/>
    <m/>
    <s v=""/>
    <m/>
    <m/>
    <m/>
    <m/>
    <m/>
    <m/>
    <m/>
    <m/>
    <m/>
    <m/>
    <m/>
    <m/>
    <m/>
    <m/>
    <m/>
    <s v=" "/>
    <m/>
    <s v=" "/>
    <m/>
    <m/>
  </r>
  <r>
    <x v="1288"/>
    <d v="2026-01-15T00:00:00"/>
    <x v="14"/>
    <x v="0"/>
    <x v="3"/>
    <x v="0"/>
    <x v="0"/>
    <x v="0"/>
    <s v=""/>
    <s v=""/>
    <s v=""/>
    <s v=""/>
    <s v=""/>
    <s v=""/>
    <s v=""/>
    <s v=""/>
    <m/>
    <s v=""/>
    <m/>
    <m/>
    <m/>
    <m/>
    <m/>
    <m/>
    <m/>
    <m/>
    <m/>
    <m/>
    <m/>
    <m/>
    <m/>
    <m/>
    <m/>
    <s v=" "/>
    <m/>
    <s v=" "/>
    <m/>
    <m/>
  </r>
  <r>
    <x v="1289"/>
    <d v="2026-01-16T00:00:00"/>
    <x v="15"/>
    <x v="0"/>
    <x v="3"/>
    <x v="0"/>
    <x v="0"/>
    <x v="0"/>
    <s v=""/>
    <s v=""/>
    <s v=""/>
    <s v=""/>
    <s v=""/>
    <s v=""/>
    <s v=""/>
    <s v=""/>
    <m/>
    <s v=""/>
    <m/>
    <m/>
    <m/>
    <m/>
    <m/>
    <m/>
    <m/>
    <m/>
    <m/>
    <m/>
    <m/>
    <m/>
    <m/>
    <m/>
    <m/>
    <s v=" "/>
    <m/>
    <s v=" "/>
    <m/>
    <m/>
  </r>
  <r>
    <x v="1290"/>
    <d v="2026-01-17T00:00:00"/>
    <x v="16"/>
    <x v="0"/>
    <x v="3"/>
    <x v="0"/>
    <x v="0"/>
    <x v="0"/>
    <s v=""/>
    <s v=""/>
    <s v=""/>
    <s v=""/>
    <s v=""/>
    <s v=""/>
    <s v=""/>
    <s v=""/>
    <m/>
    <s v=""/>
    <m/>
    <m/>
    <m/>
    <m/>
    <m/>
    <m/>
    <m/>
    <m/>
    <m/>
    <m/>
    <m/>
    <m/>
    <m/>
    <m/>
    <m/>
    <s v=" "/>
    <m/>
    <s v=" "/>
    <m/>
    <m/>
  </r>
  <r>
    <x v="1291"/>
    <d v="2026-01-18T00:00:00"/>
    <x v="17"/>
    <x v="0"/>
    <x v="3"/>
    <x v="0"/>
    <x v="0"/>
    <x v="0"/>
    <s v=""/>
    <s v=""/>
    <s v=""/>
    <s v=""/>
    <s v=""/>
    <s v=""/>
    <s v=""/>
    <s v=""/>
    <m/>
    <s v=""/>
    <m/>
    <m/>
    <m/>
    <m/>
    <m/>
    <m/>
    <m/>
    <m/>
    <m/>
    <m/>
    <m/>
    <m/>
    <m/>
    <m/>
    <m/>
    <s v=" "/>
    <m/>
    <s v=" "/>
    <m/>
    <m/>
  </r>
  <r>
    <x v="1292"/>
    <d v="2026-01-19T00:00:00"/>
    <x v="18"/>
    <x v="0"/>
    <x v="3"/>
    <x v="0"/>
    <x v="0"/>
    <x v="0"/>
    <s v=""/>
    <s v=""/>
    <s v=""/>
    <s v=""/>
    <s v=""/>
    <s v=""/>
    <s v=""/>
    <s v=""/>
    <m/>
    <s v=""/>
    <m/>
    <m/>
    <m/>
    <m/>
    <m/>
    <m/>
    <m/>
    <m/>
    <m/>
    <m/>
    <m/>
    <m/>
    <m/>
    <m/>
    <m/>
    <s v=" "/>
    <m/>
    <s v=" "/>
    <m/>
    <m/>
  </r>
  <r>
    <x v="1293"/>
    <d v="2026-01-20T00:00:00"/>
    <x v="19"/>
    <x v="0"/>
    <x v="3"/>
    <x v="0"/>
    <x v="0"/>
    <x v="0"/>
    <s v=""/>
    <s v=""/>
    <s v=""/>
    <s v=""/>
    <s v=""/>
    <s v=""/>
    <s v=""/>
    <s v=""/>
    <m/>
    <s v=""/>
    <m/>
    <m/>
    <m/>
    <m/>
    <m/>
    <m/>
    <m/>
    <m/>
    <m/>
    <m/>
    <m/>
    <m/>
    <m/>
    <m/>
    <m/>
    <s v=" "/>
    <m/>
    <s v=" "/>
    <m/>
    <m/>
  </r>
  <r>
    <x v="1294"/>
    <d v="2026-01-21T00:00:00"/>
    <x v="20"/>
    <x v="0"/>
    <x v="3"/>
    <x v="0"/>
    <x v="0"/>
    <x v="0"/>
    <s v=""/>
    <s v=""/>
    <s v=""/>
    <s v=""/>
    <s v=""/>
    <s v=""/>
    <s v=""/>
    <s v=""/>
    <m/>
    <s v=""/>
    <m/>
    <m/>
    <m/>
    <m/>
    <m/>
    <m/>
    <m/>
    <m/>
    <m/>
    <m/>
    <m/>
    <m/>
    <m/>
    <m/>
    <m/>
    <s v=" "/>
    <m/>
    <s v=" "/>
    <m/>
    <m/>
  </r>
  <r>
    <x v="1295"/>
    <d v="2026-01-22T00:00:00"/>
    <x v="21"/>
    <x v="0"/>
    <x v="3"/>
    <x v="0"/>
    <x v="0"/>
    <x v="0"/>
    <s v=""/>
    <s v=""/>
    <s v=""/>
    <s v=""/>
    <s v=""/>
    <s v=""/>
    <s v=""/>
    <s v=""/>
    <m/>
    <s v=""/>
    <m/>
    <m/>
    <m/>
    <m/>
    <m/>
    <m/>
    <m/>
    <m/>
    <m/>
    <m/>
    <m/>
    <m/>
    <m/>
    <m/>
    <m/>
    <s v=" "/>
    <m/>
    <s v=" "/>
    <m/>
    <m/>
  </r>
  <r>
    <x v="1296"/>
    <d v="2026-01-23T00:00:00"/>
    <x v="22"/>
    <x v="0"/>
    <x v="3"/>
    <x v="0"/>
    <x v="0"/>
    <x v="0"/>
    <s v=""/>
    <s v=""/>
    <s v=""/>
    <s v=""/>
    <s v=""/>
    <s v=""/>
    <s v=""/>
    <s v=""/>
    <m/>
    <s v=""/>
    <m/>
    <m/>
    <m/>
    <m/>
    <m/>
    <m/>
    <m/>
    <m/>
    <m/>
    <m/>
    <m/>
    <m/>
    <m/>
    <m/>
    <m/>
    <s v=" "/>
    <m/>
    <s v=" "/>
    <m/>
    <m/>
  </r>
  <r>
    <x v="1297"/>
    <d v="2026-01-24T00:00:00"/>
    <x v="23"/>
    <x v="0"/>
    <x v="3"/>
    <x v="0"/>
    <x v="0"/>
    <x v="0"/>
    <s v=""/>
    <s v=""/>
    <s v=""/>
    <s v=""/>
    <s v=""/>
    <s v=""/>
    <s v=""/>
    <s v=""/>
    <m/>
    <s v=""/>
    <m/>
    <m/>
    <m/>
    <m/>
    <m/>
    <m/>
    <m/>
    <m/>
    <m/>
    <m/>
    <m/>
    <m/>
    <m/>
    <m/>
    <m/>
    <s v=" "/>
    <m/>
    <s v=" "/>
    <m/>
    <m/>
  </r>
  <r>
    <x v="1298"/>
    <d v="2026-01-25T00:00:00"/>
    <x v="24"/>
    <x v="0"/>
    <x v="3"/>
    <x v="0"/>
    <x v="0"/>
    <x v="0"/>
    <s v=""/>
    <s v=""/>
    <s v=""/>
    <s v=""/>
    <s v=""/>
    <s v=""/>
    <s v=""/>
    <s v=""/>
    <m/>
    <s v=""/>
    <m/>
    <m/>
    <m/>
    <m/>
    <m/>
    <m/>
    <m/>
    <m/>
    <m/>
    <m/>
    <m/>
    <m/>
    <m/>
    <m/>
    <m/>
    <s v=" "/>
    <m/>
    <s v=" "/>
    <m/>
    <m/>
  </r>
  <r>
    <x v="1299"/>
    <d v="2026-01-26T00:00:00"/>
    <x v="25"/>
    <x v="0"/>
    <x v="3"/>
    <x v="0"/>
    <x v="0"/>
    <x v="0"/>
    <s v=""/>
    <s v=""/>
    <s v=""/>
    <s v=""/>
    <s v=""/>
    <s v=""/>
    <s v=""/>
    <s v=""/>
    <m/>
    <s v=""/>
    <m/>
    <m/>
    <m/>
    <m/>
    <m/>
    <m/>
    <m/>
    <m/>
    <m/>
    <m/>
    <m/>
    <m/>
    <m/>
    <m/>
    <m/>
    <s v=" "/>
    <m/>
    <s v=" "/>
    <m/>
    <m/>
  </r>
  <r>
    <x v="1300"/>
    <d v="2026-01-27T00:00:00"/>
    <x v="26"/>
    <x v="0"/>
    <x v="3"/>
    <x v="0"/>
    <x v="0"/>
    <x v="0"/>
    <s v=""/>
    <s v=""/>
    <s v=""/>
    <s v=""/>
    <s v=""/>
    <s v=""/>
    <s v=""/>
    <s v=""/>
    <m/>
    <s v=""/>
    <m/>
    <m/>
    <m/>
    <m/>
    <m/>
    <m/>
    <m/>
    <m/>
    <m/>
    <m/>
    <m/>
    <m/>
    <m/>
    <m/>
    <m/>
    <s v=" "/>
    <m/>
    <s v=" "/>
    <m/>
    <m/>
  </r>
  <r>
    <x v="1301"/>
    <d v="2026-01-28T00:00:00"/>
    <x v="27"/>
    <x v="0"/>
    <x v="3"/>
    <x v="0"/>
    <x v="0"/>
    <x v="0"/>
    <s v=""/>
    <s v=""/>
    <s v=""/>
    <s v=""/>
    <s v=""/>
    <s v=""/>
    <s v=""/>
    <s v=""/>
    <m/>
    <s v=""/>
    <m/>
    <m/>
    <m/>
    <m/>
    <m/>
    <m/>
    <m/>
    <m/>
    <m/>
    <m/>
    <m/>
    <m/>
    <m/>
    <m/>
    <m/>
    <s v=" "/>
    <m/>
    <s v=" "/>
    <m/>
    <m/>
  </r>
  <r>
    <x v="1302"/>
    <d v="2026-01-29T00:00:00"/>
    <x v="28"/>
    <x v="0"/>
    <x v="3"/>
    <x v="0"/>
    <x v="0"/>
    <x v="0"/>
    <s v=""/>
    <s v=""/>
    <s v=""/>
    <s v=""/>
    <s v=""/>
    <s v=""/>
    <s v=""/>
    <s v=""/>
    <m/>
    <s v=""/>
    <m/>
    <m/>
    <m/>
    <m/>
    <m/>
    <m/>
    <m/>
    <m/>
    <m/>
    <m/>
    <m/>
    <m/>
    <m/>
    <m/>
    <m/>
    <s v=" "/>
    <m/>
    <s v=" "/>
    <m/>
    <m/>
  </r>
  <r>
    <x v="1303"/>
    <d v="2026-01-30T00:00:00"/>
    <x v="29"/>
    <x v="0"/>
    <x v="3"/>
    <x v="0"/>
    <x v="0"/>
    <x v="0"/>
    <s v=""/>
    <s v=""/>
    <s v=""/>
    <s v=""/>
    <s v=""/>
    <s v=""/>
    <s v=""/>
    <s v=""/>
    <m/>
    <s v=""/>
    <m/>
    <m/>
    <m/>
    <m/>
    <m/>
    <m/>
    <m/>
    <m/>
    <m/>
    <m/>
    <m/>
    <m/>
    <m/>
    <m/>
    <m/>
    <s v=" "/>
    <m/>
    <s v=" "/>
    <m/>
    <m/>
  </r>
  <r>
    <x v="1304"/>
    <d v="2026-01-31T00:00:00"/>
    <x v="30"/>
    <x v="0"/>
    <x v="3"/>
    <x v="0"/>
    <x v="0"/>
    <x v="0"/>
    <s v=""/>
    <s v=""/>
    <s v=""/>
    <s v=""/>
    <s v=""/>
    <s v=""/>
    <s v=""/>
    <s v=""/>
    <m/>
    <s v=""/>
    <m/>
    <m/>
    <m/>
    <m/>
    <m/>
    <m/>
    <m/>
    <m/>
    <m/>
    <m/>
    <m/>
    <m/>
    <m/>
    <m/>
    <m/>
    <s v=" "/>
    <m/>
    <s v=" "/>
    <m/>
    <m/>
  </r>
  <r>
    <x v="1305"/>
    <d v="2026-02-01T00:00:00"/>
    <x v="0"/>
    <x v="1"/>
    <x v="3"/>
    <x v="0"/>
    <x v="0"/>
    <x v="0"/>
    <s v=""/>
    <s v=""/>
    <s v=""/>
    <s v=""/>
    <s v=""/>
    <s v=""/>
    <s v=""/>
    <s v=""/>
    <m/>
    <s v=""/>
    <m/>
    <m/>
    <m/>
    <m/>
    <m/>
    <m/>
    <m/>
    <m/>
    <m/>
    <m/>
    <m/>
    <m/>
    <m/>
    <m/>
    <m/>
    <s v=" "/>
    <m/>
    <s v=" "/>
    <m/>
    <m/>
  </r>
  <r>
    <x v="1306"/>
    <d v="2026-02-02T00:00:00"/>
    <x v="1"/>
    <x v="1"/>
    <x v="3"/>
    <x v="0"/>
    <x v="0"/>
    <x v="0"/>
    <s v=""/>
    <s v=""/>
    <s v=""/>
    <s v=""/>
    <s v=""/>
    <s v=""/>
    <s v=""/>
    <s v=""/>
    <m/>
    <s v=""/>
    <m/>
    <m/>
    <m/>
    <m/>
    <m/>
    <m/>
    <m/>
    <m/>
    <m/>
    <m/>
    <m/>
    <m/>
    <m/>
    <m/>
    <m/>
    <s v=" "/>
    <m/>
    <s v=" "/>
    <m/>
    <m/>
  </r>
  <r>
    <x v="1307"/>
    <d v="2026-02-03T00:00:00"/>
    <x v="2"/>
    <x v="1"/>
    <x v="3"/>
    <x v="0"/>
    <x v="0"/>
    <x v="0"/>
    <s v=""/>
    <s v=""/>
    <s v=""/>
    <s v=""/>
    <s v=""/>
    <s v=""/>
    <s v=""/>
    <s v=""/>
    <m/>
    <s v=""/>
    <m/>
    <m/>
    <m/>
    <m/>
    <m/>
    <m/>
    <m/>
    <m/>
    <m/>
    <m/>
    <m/>
    <m/>
    <m/>
    <m/>
    <m/>
    <s v=" "/>
    <m/>
    <s v=" "/>
    <m/>
    <m/>
  </r>
  <r>
    <x v="1308"/>
    <d v="2026-02-04T00:00:00"/>
    <x v="3"/>
    <x v="1"/>
    <x v="3"/>
    <x v="0"/>
    <x v="0"/>
    <x v="0"/>
    <s v=""/>
    <s v=""/>
    <s v=""/>
    <s v=""/>
    <s v=""/>
    <s v=""/>
    <s v=""/>
    <s v=""/>
    <m/>
    <s v=""/>
    <m/>
    <m/>
    <m/>
    <m/>
    <m/>
    <m/>
    <m/>
    <m/>
    <m/>
    <m/>
    <m/>
    <m/>
    <m/>
    <m/>
    <m/>
    <s v=" "/>
    <m/>
    <s v=" "/>
    <m/>
    <m/>
  </r>
  <r>
    <x v="1309"/>
    <d v="2026-02-05T00:00:00"/>
    <x v="4"/>
    <x v="1"/>
    <x v="3"/>
    <x v="0"/>
    <x v="0"/>
    <x v="0"/>
    <s v=""/>
    <s v=""/>
    <s v=""/>
    <s v=""/>
    <s v=""/>
    <s v=""/>
    <s v=""/>
    <s v=""/>
    <m/>
    <s v=""/>
    <m/>
    <m/>
    <m/>
    <m/>
    <m/>
    <m/>
    <m/>
    <m/>
    <m/>
    <m/>
    <m/>
    <m/>
    <m/>
    <m/>
    <m/>
    <s v=" "/>
    <m/>
    <s v=" "/>
    <m/>
    <m/>
  </r>
  <r>
    <x v="1310"/>
    <d v="2026-02-06T00:00:00"/>
    <x v="5"/>
    <x v="1"/>
    <x v="3"/>
    <x v="0"/>
    <x v="0"/>
    <x v="0"/>
    <s v=""/>
    <s v=""/>
    <s v=""/>
    <s v=""/>
    <s v=""/>
    <s v=""/>
    <s v=""/>
    <s v=""/>
    <m/>
    <s v=""/>
    <m/>
    <m/>
    <m/>
    <m/>
    <m/>
    <m/>
    <m/>
    <m/>
    <m/>
    <m/>
    <m/>
    <m/>
    <m/>
    <m/>
    <m/>
    <s v=" "/>
    <m/>
    <s v=" "/>
    <m/>
    <m/>
  </r>
  <r>
    <x v="1311"/>
    <d v="2026-02-07T00:00:00"/>
    <x v="6"/>
    <x v="1"/>
    <x v="3"/>
    <x v="0"/>
    <x v="0"/>
    <x v="0"/>
    <s v=""/>
    <s v=""/>
    <s v=""/>
    <s v=""/>
    <s v=""/>
    <s v=""/>
    <s v=""/>
    <s v=""/>
    <m/>
    <s v=""/>
    <m/>
    <m/>
    <m/>
    <m/>
    <m/>
    <m/>
    <m/>
    <m/>
    <m/>
    <m/>
    <m/>
    <m/>
    <m/>
    <m/>
    <m/>
    <s v=" "/>
    <m/>
    <s v=" "/>
    <m/>
    <m/>
  </r>
  <r>
    <x v="1312"/>
    <d v="2026-02-08T00:00:00"/>
    <x v="7"/>
    <x v="1"/>
    <x v="3"/>
    <x v="0"/>
    <x v="0"/>
    <x v="0"/>
    <s v=""/>
    <s v=""/>
    <s v=""/>
    <s v=""/>
    <s v=""/>
    <s v=""/>
    <s v=""/>
    <s v=""/>
    <m/>
    <s v=""/>
    <m/>
    <m/>
    <m/>
    <m/>
    <m/>
    <m/>
    <m/>
    <m/>
    <m/>
    <m/>
    <m/>
    <m/>
    <m/>
    <m/>
    <m/>
    <s v=" "/>
    <m/>
    <s v=" "/>
    <m/>
    <m/>
  </r>
  <r>
    <x v="1313"/>
    <d v="2026-02-09T00:00:00"/>
    <x v="8"/>
    <x v="1"/>
    <x v="3"/>
    <x v="0"/>
    <x v="0"/>
    <x v="0"/>
    <s v=""/>
    <s v=""/>
    <s v=""/>
    <s v=""/>
    <s v=""/>
    <s v=""/>
    <s v=""/>
    <s v=""/>
    <m/>
    <s v=""/>
    <m/>
    <m/>
    <m/>
    <m/>
    <m/>
    <m/>
    <m/>
    <m/>
    <m/>
    <m/>
    <m/>
    <m/>
    <m/>
    <m/>
    <m/>
    <s v=" "/>
    <m/>
    <s v=" "/>
    <m/>
    <m/>
  </r>
  <r>
    <x v="1314"/>
    <d v="2026-02-10T00:00:00"/>
    <x v="9"/>
    <x v="1"/>
    <x v="3"/>
    <x v="0"/>
    <x v="0"/>
    <x v="0"/>
    <s v=""/>
    <s v=""/>
    <s v=""/>
    <s v=""/>
    <s v=""/>
    <s v=""/>
    <s v=""/>
    <s v=""/>
    <m/>
    <s v=""/>
    <m/>
    <m/>
    <m/>
    <m/>
    <m/>
    <m/>
    <m/>
    <m/>
    <m/>
    <m/>
    <m/>
    <m/>
    <m/>
    <m/>
    <m/>
    <s v=" "/>
    <m/>
    <s v=" "/>
    <m/>
    <m/>
  </r>
  <r>
    <x v="1315"/>
    <d v="2026-02-11T00:00:00"/>
    <x v="10"/>
    <x v="1"/>
    <x v="3"/>
    <x v="0"/>
    <x v="0"/>
    <x v="0"/>
    <s v=""/>
    <s v=""/>
    <s v=""/>
    <s v=""/>
    <s v=""/>
    <s v=""/>
    <s v=""/>
    <s v=""/>
    <m/>
    <s v=""/>
    <m/>
    <m/>
    <m/>
    <m/>
    <m/>
    <m/>
    <m/>
    <m/>
    <m/>
    <m/>
    <m/>
    <m/>
    <m/>
    <m/>
    <m/>
    <s v=" "/>
    <m/>
    <s v=" "/>
    <m/>
    <m/>
  </r>
  <r>
    <x v="1316"/>
    <d v="2026-02-12T00:00:00"/>
    <x v="11"/>
    <x v="1"/>
    <x v="3"/>
    <x v="0"/>
    <x v="0"/>
    <x v="0"/>
    <s v=""/>
    <s v=""/>
    <s v=""/>
    <s v=""/>
    <s v=""/>
    <s v=""/>
    <s v=""/>
    <s v=""/>
    <m/>
    <s v=""/>
    <m/>
    <m/>
    <m/>
    <m/>
    <m/>
    <m/>
    <m/>
    <m/>
    <m/>
    <m/>
    <m/>
    <m/>
    <m/>
    <m/>
    <m/>
    <s v=" "/>
    <m/>
    <s v=" "/>
    <m/>
    <m/>
  </r>
  <r>
    <x v="1317"/>
    <d v="2026-02-13T00:00:00"/>
    <x v="12"/>
    <x v="1"/>
    <x v="3"/>
    <x v="0"/>
    <x v="0"/>
    <x v="0"/>
    <s v=""/>
    <s v=""/>
    <s v=""/>
    <s v=""/>
    <s v=""/>
    <s v=""/>
    <s v=""/>
    <s v=""/>
    <m/>
    <s v=""/>
    <m/>
    <m/>
    <m/>
    <m/>
    <m/>
    <m/>
    <m/>
    <m/>
    <m/>
    <m/>
    <m/>
    <m/>
    <m/>
    <m/>
    <m/>
    <s v=" "/>
    <m/>
    <s v=" "/>
    <m/>
    <m/>
  </r>
  <r>
    <x v="1318"/>
    <d v="2026-02-14T00:00:00"/>
    <x v="13"/>
    <x v="1"/>
    <x v="3"/>
    <x v="0"/>
    <x v="0"/>
    <x v="0"/>
    <s v=""/>
    <s v=""/>
    <s v=""/>
    <s v=""/>
    <s v=""/>
    <s v=""/>
    <s v=""/>
    <s v=""/>
    <m/>
    <s v=""/>
    <m/>
    <m/>
    <m/>
    <m/>
    <m/>
    <m/>
    <m/>
    <m/>
    <m/>
    <m/>
    <m/>
    <m/>
    <m/>
    <m/>
    <m/>
    <s v=" "/>
    <m/>
    <s v=" "/>
    <m/>
    <m/>
  </r>
  <r>
    <x v="1319"/>
    <d v="2026-02-15T00:00:00"/>
    <x v="14"/>
    <x v="1"/>
    <x v="3"/>
    <x v="0"/>
    <x v="0"/>
    <x v="0"/>
    <s v=""/>
    <s v=""/>
    <s v=""/>
    <s v=""/>
    <s v=""/>
    <s v=""/>
    <s v=""/>
    <s v=""/>
    <m/>
    <s v=""/>
    <m/>
    <m/>
    <m/>
    <m/>
    <m/>
    <m/>
    <m/>
    <m/>
    <m/>
    <m/>
    <m/>
    <m/>
    <m/>
    <m/>
    <m/>
    <s v=" "/>
    <m/>
    <s v=" "/>
    <m/>
    <m/>
  </r>
  <r>
    <x v="1320"/>
    <d v="2026-02-16T00:00:00"/>
    <x v="15"/>
    <x v="1"/>
    <x v="3"/>
    <x v="0"/>
    <x v="0"/>
    <x v="0"/>
    <s v=""/>
    <s v=""/>
    <s v=""/>
    <s v=""/>
    <s v=""/>
    <s v=""/>
    <s v=""/>
    <s v=""/>
    <m/>
    <s v=""/>
    <m/>
    <m/>
    <m/>
    <m/>
    <m/>
    <m/>
    <m/>
    <m/>
    <m/>
    <m/>
    <m/>
    <m/>
    <m/>
    <m/>
    <m/>
    <s v=" "/>
    <m/>
    <s v=" "/>
    <m/>
    <m/>
  </r>
  <r>
    <x v="1321"/>
    <d v="2026-02-17T00:00:00"/>
    <x v="16"/>
    <x v="1"/>
    <x v="3"/>
    <x v="0"/>
    <x v="0"/>
    <x v="0"/>
    <s v=""/>
    <s v=""/>
    <s v=""/>
    <s v=""/>
    <s v=""/>
    <s v=""/>
    <s v=""/>
    <s v=""/>
    <m/>
    <s v=""/>
    <m/>
    <m/>
    <m/>
    <m/>
    <m/>
    <m/>
    <m/>
    <m/>
    <m/>
    <m/>
    <m/>
    <m/>
    <m/>
    <m/>
    <m/>
    <s v=" "/>
    <m/>
    <s v=" "/>
    <m/>
    <m/>
  </r>
  <r>
    <x v="1322"/>
    <d v="2026-02-18T00:00:00"/>
    <x v="17"/>
    <x v="1"/>
    <x v="3"/>
    <x v="0"/>
    <x v="0"/>
    <x v="0"/>
    <s v=""/>
    <s v=""/>
    <s v=""/>
    <s v=""/>
    <s v=""/>
    <s v=""/>
    <s v=""/>
    <s v=""/>
    <m/>
    <s v=""/>
    <m/>
    <m/>
    <m/>
    <m/>
    <m/>
    <m/>
    <m/>
    <m/>
    <m/>
    <m/>
    <m/>
    <m/>
    <m/>
    <m/>
    <m/>
    <s v=" "/>
    <m/>
    <s v=" "/>
    <m/>
    <m/>
  </r>
  <r>
    <x v="1323"/>
    <d v="2026-02-19T00:00:00"/>
    <x v="18"/>
    <x v="1"/>
    <x v="3"/>
    <x v="0"/>
    <x v="0"/>
    <x v="0"/>
    <s v=""/>
    <s v=""/>
    <s v=""/>
    <s v=""/>
    <s v=""/>
    <s v=""/>
    <s v=""/>
    <s v=""/>
    <m/>
    <s v=""/>
    <m/>
    <m/>
    <m/>
    <m/>
    <m/>
    <m/>
    <m/>
    <m/>
    <m/>
    <m/>
    <m/>
    <m/>
    <m/>
    <m/>
    <m/>
    <s v=" "/>
    <m/>
    <s v=" "/>
    <m/>
    <m/>
  </r>
  <r>
    <x v="1324"/>
    <d v="2026-02-20T00:00:00"/>
    <x v="19"/>
    <x v="1"/>
    <x v="3"/>
    <x v="0"/>
    <x v="0"/>
    <x v="0"/>
    <s v=""/>
    <s v=""/>
    <s v=""/>
    <s v=""/>
    <s v=""/>
    <s v=""/>
    <s v=""/>
    <s v=""/>
    <m/>
    <s v=""/>
    <m/>
    <m/>
    <m/>
    <m/>
    <m/>
    <m/>
    <m/>
    <m/>
    <m/>
    <m/>
    <m/>
    <m/>
    <m/>
    <m/>
    <m/>
    <s v=" "/>
    <m/>
    <s v=" "/>
    <m/>
    <m/>
  </r>
  <r>
    <x v="1325"/>
    <d v="2026-02-21T00:00:00"/>
    <x v="20"/>
    <x v="1"/>
    <x v="3"/>
    <x v="0"/>
    <x v="0"/>
    <x v="0"/>
    <s v=""/>
    <s v=""/>
    <s v=""/>
    <s v=""/>
    <s v=""/>
    <s v=""/>
    <s v=""/>
    <s v=""/>
    <m/>
    <s v=""/>
    <m/>
    <m/>
    <m/>
    <m/>
    <m/>
    <m/>
    <m/>
    <m/>
    <m/>
    <m/>
    <m/>
    <m/>
    <m/>
    <m/>
    <m/>
    <s v=" "/>
    <m/>
    <s v=" "/>
    <m/>
    <m/>
  </r>
  <r>
    <x v="1326"/>
    <d v="2026-02-22T00:00:00"/>
    <x v="21"/>
    <x v="1"/>
    <x v="3"/>
    <x v="0"/>
    <x v="0"/>
    <x v="0"/>
    <s v=""/>
    <s v=""/>
    <s v=""/>
    <s v=""/>
    <s v=""/>
    <s v=""/>
    <s v=""/>
    <s v=""/>
    <m/>
    <s v=""/>
    <m/>
    <m/>
    <m/>
    <m/>
    <m/>
    <m/>
    <m/>
    <m/>
    <m/>
    <m/>
    <m/>
    <m/>
    <m/>
    <m/>
    <m/>
    <s v=" "/>
    <m/>
    <s v=" "/>
    <m/>
    <m/>
  </r>
  <r>
    <x v="1327"/>
    <d v="2026-02-23T00:00:00"/>
    <x v="22"/>
    <x v="1"/>
    <x v="3"/>
    <x v="0"/>
    <x v="0"/>
    <x v="0"/>
    <s v=""/>
    <s v=""/>
    <s v=""/>
    <s v=""/>
    <s v=""/>
    <s v=""/>
    <s v=""/>
    <s v=""/>
    <m/>
    <s v=""/>
    <m/>
    <m/>
    <m/>
    <m/>
    <m/>
    <m/>
    <m/>
    <m/>
    <m/>
    <m/>
    <m/>
    <m/>
    <m/>
    <m/>
    <m/>
    <s v=" "/>
    <m/>
    <s v=" "/>
    <m/>
    <m/>
  </r>
  <r>
    <x v="1328"/>
    <d v="2026-02-24T00:00:00"/>
    <x v="23"/>
    <x v="1"/>
    <x v="3"/>
    <x v="0"/>
    <x v="0"/>
    <x v="0"/>
    <s v=""/>
    <s v=""/>
    <s v=""/>
    <s v=""/>
    <s v=""/>
    <s v=""/>
    <s v=""/>
    <s v=""/>
    <m/>
    <s v=""/>
    <m/>
    <m/>
    <m/>
    <m/>
    <m/>
    <m/>
    <m/>
    <m/>
    <m/>
    <m/>
    <m/>
    <m/>
    <m/>
    <m/>
    <m/>
    <s v=" "/>
    <m/>
    <s v=" "/>
    <m/>
    <m/>
  </r>
  <r>
    <x v="1329"/>
    <d v="2026-02-25T00:00:00"/>
    <x v="24"/>
    <x v="1"/>
    <x v="3"/>
    <x v="0"/>
    <x v="0"/>
    <x v="0"/>
    <s v=""/>
    <s v=""/>
    <s v=""/>
    <s v=""/>
    <s v=""/>
    <s v=""/>
    <s v=""/>
    <s v=""/>
    <m/>
    <s v=""/>
    <m/>
    <m/>
    <m/>
    <m/>
    <m/>
    <m/>
    <m/>
    <m/>
    <m/>
    <m/>
    <m/>
    <m/>
    <m/>
    <m/>
    <m/>
    <s v=" "/>
    <m/>
    <s v=" "/>
    <m/>
    <m/>
  </r>
  <r>
    <x v="1330"/>
    <d v="2026-02-26T00:00:00"/>
    <x v="25"/>
    <x v="1"/>
    <x v="3"/>
    <x v="0"/>
    <x v="0"/>
    <x v="0"/>
    <s v=""/>
    <s v=""/>
    <s v=""/>
    <s v=""/>
    <s v=""/>
    <s v=""/>
    <s v=""/>
    <s v=""/>
    <m/>
    <s v=""/>
    <m/>
    <m/>
    <m/>
    <m/>
    <m/>
    <m/>
    <m/>
    <m/>
    <m/>
    <m/>
    <m/>
    <m/>
    <m/>
    <m/>
    <m/>
    <s v=" "/>
    <m/>
    <s v=" "/>
    <m/>
    <m/>
  </r>
  <r>
    <x v="1331"/>
    <d v="2026-02-27T00:00:00"/>
    <x v="26"/>
    <x v="1"/>
    <x v="3"/>
    <x v="0"/>
    <x v="0"/>
    <x v="0"/>
    <s v=""/>
    <s v=""/>
    <s v=""/>
    <s v=""/>
    <s v=""/>
    <s v=""/>
    <s v=""/>
    <s v=""/>
    <m/>
    <s v=""/>
    <m/>
    <m/>
    <m/>
    <m/>
    <m/>
    <m/>
    <m/>
    <m/>
    <m/>
    <m/>
    <m/>
    <m/>
    <m/>
    <m/>
    <m/>
    <s v=" "/>
    <m/>
    <s v=" "/>
    <m/>
    <m/>
  </r>
  <r>
    <x v="1332"/>
    <d v="2026-02-28T00:00:00"/>
    <x v="27"/>
    <x v="1"/>
    <x v="3"/>
    <x v="0"/>
    <x v="0"/>
    <x v="0"/>
    <s v=""/>
    <s v=""/>
    <s v=""/>
    <s v=""/>
    <s v=""/>
    <s v=""/>
    <s v=""/>
    <s v=""/>
    <m/>
    <s v=""/>
    <m/>
    <m/>
    <m/>
    <m/>
    <m/>
    <m/>
    <m/>
    <m/>
    <m/>
    <m/>
    <m/>
    <m/>
    <m/>
    <m/>
    <m/>
    <s v=" "/>
    <m/>
    <s v=" "/>
    <m/>
    <m/>
  </r>
  <r>
    <x v="1333"/>
    <d v="2026-03-01T00:00:00"/>
    <x v="0"/>
    <x v="2"/>
    <x v="3"/>
    <x v="0"/>
    <x v="0"/>
    <x v="0"/>
    <s v=""/>
    <s v=""/>
    <s v=""/>
    <s v=""/>
    <s v=""/>
    <s v=""/>
    <s v=""/>
    <s v=""/>
    <m/>
    <s v=""/>
    <m/>
    <m/>
    <m/>
    <m/>
    <m/>
    <m/>
    <m/>
    <m/>
    <m/>
    <m/>
    <m/>
    <m/>
    <m/>
    <m/>
    <m/>
    <s v=" "/>
    <m/>
    <s v=" "/>
    <m/>
    <m/>
  </r>
  <r>
    <x v="1334"/>
    <d v="2026-03-02T00:00:00"/>
    <x v="1"/>
    <x v="2"/>
    <x v="3"/>
    <x v="0"/>
    <x v="0"/>
    <x v="0"/>
    <s v=""/>
    <s v=""/>
    <s v=""/>
    <s v=""/>
    <s v=""/>
    <s v=""/>
    <s v=""/>
    <s v=""/>
    <m/>
    <s v=""/>
    <m/>
    <m/>
    <m/>
    <m/>
    <m/>
    <m/>
    <m/>
    <m/>
    <m/>
    <m/>
    <m/>
    <m/>
    <m/>
    <m/>
    <m/>
    <s v=" "/>
    <m/>
    <s v=" "/>
    <m/>
    <m/>
  </r>
  <r>
    <x v="1335"/>
    <d v="2026-03-03T00:00:00"/>
    <x v="2"/>
    <x v="2"/>
    <x v="3"/>
    <x v="0"/>
    <x v="0"/>
    <x v="0"/>
    <s v=""/>
    <s v=""/>
    <s v=""/>
    <s v=""/>
    <s v=""/>
    <s v=""/>
    <s v=""/>
    <s v=""/>
    <m/>
    <s v=""/>
    <m/>
    <m/>
    <m/>
    <m/>
    <m/>
    <m/>
    <m/>
    <m/>
    <m/>
    <m/>
    <m/>
    <m/>
    <m/>
    <m/>
    <m/>
    <s v=" "/>
    <m/>
    <s v=" "/>
    <m/>
    <m/>
  </r>
  <r>
    <x v="1336"/>
    <d v="2026-03-04T00:00:00"/>
    <x v="3"/>
    <x v="2"/>
    <x v="3"/>
    <x v="0"/>
    <x v="0"/>
    <x v="0"/>
    <s v=""/>
    <s v=""/>
    <s v=""/>
    <s v=""/>
    <s v=""/>
    <s v=""/>
    <s v=""/>
    <s v=""/>
    <m/>
    <s v=""/>
    <m/>
    <m/>
    <m/>
    <m/>
    <m/>
    <m/>
    <m/>
    <m/>
    <m/>
    <m/>
    <m/>
    <m/>
    <m/>
    <m/>
    <m/>
    <s v=" "/>
    <m/>
    <s v=" "/>
    <m/>
    <m/>
  </r>
  <r>
    <x v="1337"/>
    <d v="2026-03-05T00:00:00"/>
    <x v="4"/>
    <x v="2"/>
    <x v="3"/>
    <x v="0"/>
    <x v="0"/>
    <x v="0"/>
    <s v=""/>
    <s v=""/>
    <s v=""/>
    <s v=""/>
    <s v=""/>
    <s v=""/>
    <s v=""/>
    <s v=""/>
    <m/>
    <s v=""/>
    <m/>
    <m/>
    <m/>
    <m/>
    <m/>
    <m/>
    <m/>
    <m/>
    <m/>
    <m/>
    <m/>
    <m/>
    <m/>
    <m/>
    <m/>
    <s v=" "/>
    <m/>
    <s v=" "/>
    <m/>
    <m/>
  </r>
  <r>
    <x v="1338"/>
    <d v="2026-03-06T00:00:00"/>
    <x v="5"/>
    <x v="2"/>
    <x v="3"/>
    <x v="0"/>
    <x v="0"/>
    <x v="0"/>
    <s v=""/>
    <s v=""/>
    <s v=""/>
    <s v=""/>
    <s v=""/>
    <s v=""/>
    <s v=""/>
    <s v=""/>
    <m/>
    <s v=""/>
    <m/>
    <m/>
    <m/>
    <m/>
    <m/>
    <m/>
    <m/>
    <m/>
    <m/>
    <m/>
    <m/>
    <m/>
    <m/>
    <m/>
    <m/>
    <s v=" "/>
    <m/>
    <s v=" "/>
    <m/>
    <m/>
  </r>
  <r>
    <x v="1339"/>
    <d v="2026-03-07T00:00:00"/>
    <x v="6"/>
    <x v="2"/>
    <x v="3"/>
    <x v="0"/>
    <x v="0"/>
    <x v="0"/>
    <s v=""/>
    <s v=""/>
    <s v=""/>
    <s v=""/>
    <s v=""/>
    <s v=""/>
    <s v=""/>
    <s v=""/>
    <m/>
    <s v=""/>
    <m/>
    <m/>
    <m/>
    <m/>
    <m/>
    <m/>
    <m/>
    <m/>
    <m/>
    <m/>
    <m/>
    <m/>
    <m/>
    <m/>
    <m/>
    <s v=" "/>
    <m/>
    <s v=" "/>
    <m/>
    <m/>
  </r>
  <r>
    <x v="1340"/>
    <d v="2026-03-08T00:00:00"/>
    <x v="7"/>
    <x v="2"/>
    <x v="3"/>
    <x v="0"/>
    <x v="0"/>
    <x v="0"/>
    <s v=""/>
    <s v=""/>
    <s v=""/>
    <s v=""/>
    <s v=""/>
    <s v=""/>
    <s v=""/>
    <s v=""/>
    <m/>
    <s v=""/>
    <m/>
    <m/>
    <m/>
    <m/>
    <m/>
    <m/>
    <m/>
    <m/>
    <m/>
    <m/>
    <m/>
    <m/>
    <m/>
    <m/>
    <m/>
    <s v=" "/>
    <m/>
    <s v=" "/>
    <m/>
    <m/>
  </r>
  <r>
    <x v="1341"/>
    <d v="2026-03-09T00:00:00"/>
    <x v="8"/>
    <x v="2"/>
    <x v="3"/>
    <x v="0"/>
    <x v="0"/>
    <x v="0"/>
    <s v=""/>
    <s v=""/>
    <s v=""/>
    <s v=""/>
    <s v=""/>
    <s v=""/>
    <s v=""/>
    <s v=""/>
    <m/>
    <s v=""/>
    <m/>
    <m/>
    <m/>
    <m/>
    <m/>
    <m/>
    <m/>
    <m/>
    <m/>
    <m/>
    <m/>
    <m/>
    <m/>
    <m/>
    <m/>
    <s v=" "/>
    <m/>
    <s v=" "/>
    <m/>
    <m/>
  </r>
  <r>
    <x v="1342"/>
    <d v="2026-03-10T00:00:00"/>
    <x v="9"/>
    <x v="2"/>
    <x v="3"/>
    <x v="0"/>
    <x v="0"/>
    <x v="0"/>
    <s v=""/>
    <s v=""/>
    <s v=""/>
    <s v=""/>
    <s v=""/>
    <s v=""/>
    <s v=""/>
    <s v=""/>
    <m/>
    <s v=""/>
    <m/>
    <m/>
    <m/>
    <m/>
    <m/>
    <m/>
    <m/>
    <m/>
    <m/>
    <m/>
    <m/>
    <m/>
    <m/>
    <m/>
    <m/>
    <s v=" "/>
    <m/>
    <s v=" "/>
    <m/>
    <m/>
  </r>
  <r>
    <x v="1343"/>
    <d v="2026-03-11T00:00:00"/>
    <x v="10"/>
    <x v="2"/>
    <x v="3"/>
    <x v="0"/>
    <x v="0"/>
    <x v="0"/>
    <s v=""/>
    <s v=""/>
    <s v=""/>
    <s v=""/>
    <s v=""/>
    <s v=""/>
    <s v=""/>
    <s v=""/>
    <m/>
    <s v=""/>
    <m/>
    <m/>
    <m/>
    <m/>
    <m/>
    <m/>
    <m/>
    <m/>
    <m/>
    <m/>
    <m/>
    <m/>
    <m/>
    <m/>
    <m/>
    <s v=" "/>
    <m/>
    <s v=" "/>
    <m/>
    <m/>
  </r>
  <r>
    <x v="1344"/>
    <d v="2026-03-12T00:00:00"/>
    <x v="11"/>
    <x v="2"/>
    <x v="3"/>
    <x v="0"/>
    <x v="0"/>
    <x v="0"/>
    <s v=""/>
    <s v=""/>
    <s v=""/>
    <s v=""/>
    <s v=""/>
    <s v=""/>
    <s v=""/>
    <s v=""/>
    <m/>
    <s v=""/>
    <m/>
    <m/>
    <m/>
    <m/>
    <m/>
    <m/>
    <m/>
    <m/>
    <m/>
    <m/>
    <m/>
    <m/>
    <m/>
    <m/>
    <m/>
    <s v=" "/>
    <m/>
    <s v=" "/>
    <m/>
    <m/>
  </r>
  <r>
    <x v="1345"/>
    <d v="2026-03-13T00:00:00"/>
    <x v="12"/>
    <x v="2"/>
    <x v="3"/>
    <x v="0"/>
    <x v="0"/>
    <x v="0"/>
    <s v=""/>
    <s v=""/>
    <s v=""/>
    <s v=""/>
    <s v=""/>
    <s v=""/>
    <s v=""/>
    <s v=""/>
    <m/>
    <s v=""/>
    <m/>
    <m/>
    <m/>
    <m/>
    <m/>
    <m/>
    <m/>
    <m/>
    <m/>
    <m/>
    <m/>
    <m/>
    <m/>
    <m/>
    <m/>
    <s v=" "/>
    <m/>
    <s v=" "/>
    <m/>
    <m/>
  </r>
  <r>
    <x v="1346"/>
    <d v="2026-03-14T00:00:00"/>
    <x v="13"/>
    <x v="2"/>
    <x v="3"/>
    <x v="0"/>
    <x v="0"/>
    <x v="0"/>
    <s v=""/>
    <s v=""/>
    <s v=""/>
    <s v=""/>
    <s v=""/>
    <s v=""/>
    <s v=""/>
    <s v=""/>
    <m/>
    <s v=""/>
    <m/>
    <m/>
    <m/>
    <m/>
    <m/>
    <m/>
    <m/>
    <m/>
    <m/>
    <m/>
    <m/>
    <m/>
    <m/>
    <m/>
    <m/>
    <s v=" "/>
    <m/>
    <s v=" "/>
    <m/>
    <m/>
  </r>
  <r>
    <x v="1347"/>
    <d v="2026-03-15T00:00:00"/>
    <x v="14"/>
    <x v="2"/>
    <x v="3"/>
    <x v="0"/>
    <x v="0"/>
    <x v="0"/>
    <s v=""/>
    <s v=""/>
    <s v=""/>
    <s v=""/>
    <s v=""/>
    <s v=""/>
    <s v=""/>
    <s v=""/>
    <m/>
    <s v=""/>
    <m/>
    <m/>
    <m/>
    <m/>
    <m/>
    <m/>
    <m/>
    <m/>
    <m/>
    <m/>
    <m/>
    <m/>
    <m/>
    <m/>
    <m/>
    <s v=" "/>
    <m/>
    <s v=" "/>
    <m/>
    <m/>
  </r>
  <r>
    <x v="1348"/>
    <d v="2026-03-16T00:00:00"/>
    <x v="15"/>
    <x v="2"/>
    <x v="3"/>
    <x v="0"/>
    <x v="0"/>
    <x v="0"/>
    <s v=""/>
    <s v=""/>
    <s v=""/>
    <s v=""/>
    <s v=""/>
    <s v=""/>
    <s v=""/>
    <s v=""/>
    <m/>
    <s v=""/>
    <m/>
    <m/>
    <m/>
    <m/>
    <m/>
    <m/>
    <m/>
    <m/>
    <m/>
    <m/>
    <m/>
    <m/>
    <m/>
    <m/>
    <m/>
    <s v=" "/>
    <m/>
    <s v=" "/>
    <m/>
    <m/>
  </r>
  <r>
    <x v="1349"/>
    <d v="2026-03-17T00:00:00"/>
    <x v="16"/>
    <x v="2"/>
    <x v="3"/>
    <x v="0"/>
    <x v="0"/>
    <x v="0"/>
    <s v=""/>
    <s v=""/>
    <s v=""/>
    <s v=""/>
    <s v=""/>
    <s v=""/>
    <s v=""/>
    <s v=""/>
    <m/>
    <s v=""/>
    <m/>
    <m/>
    <m/>
    <m/>
    <m/>
    <m/>
    <m/>
    <m/>
    <m/>
    <m/>
    <m/>
    <m/>
    <m/>
    <m/>
    <m/>
    <s v=" "/>
    <m/>
    <s v=" "/>
    <m/>
    <m/>
  </r>
  <r>
    <x v="1350"/>
    <d v="2026-03-18T00:00:00"/>
    <x v="17"/>
    <x v="2"/>
    <x v="3"/>
    <x v="0"/>
    <x v="0"/>
    <x v="0"/>
    <s v=""/>
    <s v=""/>
    <s v=""/>
    <s v=""/>
    <s v=""/>
    <s v=""/>
    <s v=""/>
    <s v=""/>
    <m/>
    <s v=""/>
    <m/>
    <m/>
    <m/>
    <m/>
    <m/>
    <m/>
    <m/>
    <m/>
    <m/>
    <m/>
    <m/>
    <m/>
    <m/>
    <m/>
    <m/>
    <s v=" "/>
    <m/>
    <s v=" "/>
    <m/>
    <m/>
  </r>
  <r>
    <x v="1351"/>
    <d v="2026-03-19T00:00:00"/>
    <x v="18"/>
    <x v="2"/>
    <x v="3"/>
    <x v="0"/>
    <x v="0"/>
    <x v="0"/>
    <s v=""/>
    <s v=""/>
    <s v=""/>
    <s v=""/>
    <s v=""/>
    <s v=""/>
    <s v=""/>
    <s v=""/>
    <m/>
    <s v=""/>
    <m/>
    <m/>
    <m/>
    <m/>
    <m/>
    <m/>
    <m/>
    <m/>
    <m/>
    <m/>
    <m/>
    <m/>
    <m/>
    <m/>
    <m/>
    <s v=" "/>
    <m/>
    <s v=" "/>
    <m/>
    <m/>
  </r>
  <r>
    <x v="1352"/>
    <d v="2026-03-20T00:00:00"/>
    <x v="19"/>
    <x v="2"/>
    <x v="3"/>
    <x v="0"/>
    <x v="0"/>
    <x v="0"/>
    <s v=""/>
    <s v=""/>
    <s v=""/>
    <s v=""/>
    <s v=""/>
    <s v=""/>
    <s v=""/>
    <s v=""/>
    <m/>
    <s v=""/>
    <m/>
    <m/>
    <m/>
    <m/>
    <m/>
    <m/>
    <m/>
    <m/>
    <m/>
    <m/>
    <m/>
    <m/>
    <m/>
    <m/>
    <m/>
    <s v=" "/>
    <m/>
    <s v=" "/>
    <m/>
    <m/>
  </r>
  <r>
    <x v="1353"/>
    <d v="2026-03-21T00:00:00"/>
    <x v="20"/>
    <x v="2"/>
    <x v="3"/>
    <x v="0"/>
    <x v="0"/>
    <x v="0"/>
    <s v=""/>
    <s v=""/>
    <s v=""/>
    <s v=""/>
    <s v=""/>
    <s v=""/>
    <s v=""/>
    <s v=""/>
    <m/>
    <s v=""/>
    <m/>
    <m/>
    <m/>
    <m/>
    <m/>
    <m/>
    <m/>
    <m/>
    <m/>
    <m/>
    <m/>
    <m/>
    <m/>
    <m/>
    <m/>
    <s v=" "/>
    <m/>
    <s v=" "/>
    <m/>
    <m/>
  </r>
  <r>
    <x v="1354"/>
    <d v="2026-03-22T00:00:00"/>
    <x v="21"/>
    <x v="2"/>
    <x v="3"/>
    <x v="0"/>
    <x v="0"/>
    <x v="0"/>
    <s v=""/>
    <s v=""/>
    <s v=""/>
    <s v=""/>
    <s v=""/>
    <s v=""/>
    <s v=""/>
    <s v=""/>
    <m/>
    <s v=""/>
    <m/>
    <m/>
    <m/>
    <m/>
    <m/>
    <m/>
    <m/>
    <m/>
    <m/>
    <m/>
    <m/>
    <m/>
    <m/>
    <m/>
    <m/>
    <s v=" "/>
    <m/>
    <s v=" "/>
    <m/>
    <m/>
  </r>
  <r>
    <x v="1355"/>
    <d v="2026-03-23T00:00:00"/>
    <x v="22"/>
    <x v="2"/>
    <x v="3"/>
    <x v="0"/>
    <x v="0"/>
    <x v="0"/>
    <s v=""/>
    <s v=""/>
    <s v=""/>
    <s v=""/>
    <s v=""/>
    <s v=""/>
    <s v=""/>
    <s v=""/>
    <m/>
    <s v=""/>
    <m/>
    <m/>
    <m/>
    <m/>
    <m/>
    <m/>
    <m/>
    <m/>
    <m/>
    <m/>
    <m/>
    <m/>
    <m/>
    <m/>
    <m/>
    <s v=" "/>
    <m/>
    <s v=" "/>
    <m/>
    <m/>
  </r>
  <r>
    <x v="1356"/>
    <d v="2026-03-24T00:00:00"/>
    <x v="23"/>
    <x v="2"/>
    <x v="3"/>
    <x v="0"/>
    <x v="0"/>
    <x v="0"/>
    <s v=""/>
    <s v=""/>
    <s v=""/>
    <s v=""/>
    <s v=""/>
    <s v=""/>
    <s v=""/>
    <s v=""/>
    <m/>
    <s v=""/>
    <m/>
    <m/>
    <m/>
    <m/>
    <m/>
    <m/>
    <m/>
    <m/>
    <m/>
    <m/>
    <m/>
    <m/>
    <m/>
    <m/>
    <m/>
    <s v=" "/>
    <m/>
    <s v=" "/>
    <m/>
    <m/>
  </r>
  <r>
    <x v="1357"/>
    <d v="2026-03-25T00:00:00"/>
    <x v="24"/>
    <x v="2"/>
    <x v="3"/>
    <x v="0"/>
    <x v="0"/>
    <x v="0"/>
    <s v=""/>
    <s v=""/>
    <s v=""/>
    <s v=""/>
    <s v=""/>
    <s v=""/>
    <s v=""/>
    <s v=""/>
    <m/>
    <s v=""/>
    <m/>
    <m/>
    <m/>
    <m/>
    <m/>
    <m/>
    <m/>
    <m/>
    <m/>
    <m/>
    <m/>
    <m/>
    <m/>
    <m/>
    <m/>
    <s v=" "/>
    <m/>
    <s v=" "/>
    <m/>
    <m/>
  </r>
  <r>
    <x v="1358"/>
    <d v="2026-03-26T00:00:00"/>
    <x v="25"/>
    <x v="2"/>
    <x v="3"/>
    <x v="0"/>
    <x v="0"/>
    <x v="0"/>
    <s v=""/>
    <s v=""/>
    <s v=""/>
    <s v=""/>
    <s v=""/>
    <s v=""/>
    <s v=""/>
    <s v=""/>
    <m/>
    <s v=""/>
    <m/>
    <m/>
    <m/>
    <m/>
    <m/>
    <m/>
    <m/>
    <m/>
    <m/>
    <m/>
    <m/>
    <m/>
    <m/>
    <m/>
    <m/>
    <s v=" "/>
    <m/>
    <s v=" "/>
    <m/>
    <m/>
  </r>
  <r>
    <x v="1359"/>
    <d v="2026-03-27T00:00:00"/>
    <x v="26"/>
    <x v="2"/>
    <x v="3"/>
    <x v="0"/>
    <x v="0"/>
    <x v="0"/>
    <s v=""/>
    <s v=""/>
    <s v=""/>
    <s v=""/>
    <s v=""/>
    <s v=""/>
    <s v=""/>
    <s v=""/>
    <m/>
    <s v=""/>
    <m/>
    <m/>
    <m/>
    <m/>
    <m/>
    <m/>
    <m/>
    <m/>
    <m/>
    <m/>
    <m/>
    <m/>
    <m/>
    <m/>
    <m/>
    <s v=" "/>
    <m/>
    <s v=" "/>
    <m/>
    <m/>
  </r>
  <r>
    <x v="1360"/>
    <d v="2026-03-28T00:00:00"/>
    <x v="27"/>
    <x v="2"/>
    <x v="3"/>
    <x v="0"/>
    <x v="0"/>
    <x v="0"/>
    <s v=""/>
    <s v=""/>
    <s v=""/>
    <s v=""/>
    <s v=""/>
    <s v=""/>
    <s v=""/>
    <s v=""/>
    <m/>
    <s v=""/>
    <m/>
    <m/>
    <m/>
    <m/>
    <m/>
    <m/>
    <m/>
    <m/>
    <m/>
    <m/>
    <m/>
    <m/>
    <m/>
    <m/>
    <m/>
    <s v=" "/>
    <m/>
    <s v=" "/>
    <m/>
    <m/>
  </r>
  <r>
    <x v="1361"/>
    <d v="2026-03-29T00:00:00"/>
    <x v="28"/>
    <x v="2"/>
    <x v="3"/>
    <x v="0"/>
    <x v="0"/>
    <x v="0"/>
    <s v=""/>
    <s v=""/>
    <s v=""/>
    <s v=""/>
    <s v=""/>
    <s v=""/>
    <s v=""/>
    <s v=""/>
    <m/>
    <s v=""/>
    <m/>
    <m/>
    <m/>
    <m/>
    <m/>
    <m/>
    <m/>
    <m/>
    <m/>
    <m/>
    <m/>
    <m/>
    <m/>
    <m/>
    <m/>
    <s v=" "/>
    <m/>
    <s v=" "/>
    <m/>
    <m/>
  </r>
  <r>
    <x v="1362"/>
    <d v="2026-03-30T00:00:00"/>
    <x v="29"/>
    <x v="2"/>
    <x v="3"/>
    <x v="0"/>
    <x v="0"/>
    <x v="0"/>
    <s v=""/>
    <s v=""/>
    <s v=""/>
    <s v=""/>
    <s v=""/>
    <s v=""/>
    <s v=""/>
    <s v=""/>
    <m/>
    <s v=""/>
    <m/>
    <m/>
    <m/>
    <m/>
    <m/>
    <m/>
    <m/>
    <m/>
    <m/>
    <m/>
    <m/>
    <m/>
    <m/>
    <m/>
    <m/>
    <s v=" "/>
    <m/>
    <s v=" "/>
    <m/>
    <m/>
  </r>
  <r>
    <x v="1363"/>
    <d v="2026-03-31T00:00:00"/>
    <x v="30"/>
    <x v="2"/>
    <x v="3"/>
    <x v="0"/>
    <x v="0"/>
    <x v="0"/>
    <s v=""/>
    <s v=""/>
    <s v=""/>
    <s v=""/>
    <s v=""/>
    <s v=""/>
    <s v=""/>
    <s v=""/>
    <m/>
    <s v=""/>
    <m/>
    <m/>
    <m/>
    <m/>
    <m/>
    <m/>
    <m/>
    <m/>
    <m/>
    <m/>
    <m/>
    <m/>
    <m/>
    <m/>
    <m/>
    <s v=" "/>
    <m/>
    <s v=" "/>
    <m/>
    <m/>
  </r>
  <r>
    <x v="1364"/>
    <d v="2026-04-01T00:00:00"/>
    <x v="0"/>
    <x v="3"/>
    <x v="3"/>
    <x v="0"/>
    <x v="0"/>
    <x v="0"/>
    <s v=""/>
    <s v=""/>
    <s v=""/>
    <s v=""/>
    <s v=""/>
    <s v=""/>
    <s v=""/>
    <s v=""/>
    <m/>
    <s v=""/>
    <m/>
    <m/>
    <m/>
    <m/>
    <m/>
    <m/>
    <m/>
    <m/>
    <m/>
    <m/>
    <m/>
    <m/>
    <m/>
    <m/>
    <m/>
    <s v=" "/>
    <m/>
    <s v=" "/>
    <m/>
    <m/>
  </r>
  <r>
    <x v="1365"/>
    <d v="2026-04-02T00:00:00"/>
    <x v="1"/>
    <x v="3"/>
    <x v="3"/>
    <x v="0"/>
    <x v="0"/>
    <x v="0"/>
    <s v=""/>
    <s v=""/>
    <s v=""/>
    <s v=""/>
    <s v=""/>
    <s v=""/>
    <s v=""/>
    <s v=""/>
    <m/>
    <s v=""/>
    <m/>
    <m/>
    <m/>
    <m/>
    <m/>
    <m/>
    <m/>
    <m/>
    <m/>
    <m/>
    <m/>
    <m/>
    <m/>
    <m/>
    <m/>
    <s v=" "/>
    <m/>
    <s v=" "/>
    <m/>
    <m/>
  </r>
  <r>
    <x v="1366"/>
    <d v="2026-04-03T00:00:00"/>
    <x v="2"/>
    <x v="3"/>
    <x v="3"/>
    <x v="0"/>
    <x v="0"/>
    <x v="0"/>
    <s v=""/>
    <s v=""/>
    <s v=""/>
    <s v=""/>
    <s v=""/>
    <s v=""/>
    <s v=""/>
    <s v=""/>
    <m/>
    <s v=""/>
    <m/>
    <m/>
    <m/>
    <m/>
    <m/>
    <m/>
    <m/>
    <m/>
    <m/>
    <m/>
    <m/>
    <m/>
    <m/>
    <m/>
    <m/>
    <s v=" "/>
    <m/>
    <s v=" "/>
    <m/>
    <m/>
  </r>
  <r>
    <x v="1367"/>
    <d v="2026-04-04T00:00:00"/>
    <x v="3"/>
    <x v="3"/>
    <x v="3"/>
    <x v="0"/>
    <x v="0"/>
    <x v="0"/>
    <s v=""/>
    <s v=""/>
    <s v=""/>
    <s v=""/>
    <s v=""/>
    <s v=""/>
    <s v=""/>
    <s v=""/>
    <m/>
    <s v=""/>
    <m/>
    <m/>
    <m/>
    <m/>
    <m/>
    <m/>
    <m/>
    <m/>
    <m/>
    <m/>
    <m/>
    <m/>
    <m/>
    <m/>
    <m/>
    <s v=" "/>
    <m/>
    <s v=" "/>
    <m/>
    <m/>
  </r>
  <r>
    <x v="1368"/>
    <d v="2026-04-05T00:00:00"/>
    <x v="4"/>
    <x v="3"/>
    <x v="3"/>
    <x v="0"/>
    <x v="0"/>
    <x v="0"/>
    <s v=""/>
    <s v=""/>
    <s v=""/>
    <s v=""/>
    <s v=""/>
    <s v=""/>
    <s v=""/>
    <s v=""/>
    <m/>
    <s v=""/>
    <m/>
    <m/>
    <m/>
    <m/>
    <m/>
    <m/>
    <m/>
    <m/>
    <m/>
    <m/>
    <m/>
    <m/>
    <m/>
    <m/>
    <m/>
    <s v=" "/>
    <m/>
    <s v=" "/>
    <m/>
    <m/>
  </r>
  <r>
    <x v="1369"/>
    <d v="2026-04-06T00:00:00"/>
    <x v="5"/>
    <x v="3"/>
    <x v="3"/>
    <x v="0"/>
    <x v="0"/>
    <x v="0"/>
    <s v=""/>
    <s v=""/>
    <s v=""/>
    <s v=""/>
    <s v=""/>
    <s v=""/>
    <s v=""/>
    <s v=""/>
    <m/>
    <s v=""/>
    <m/>
    <m/>
    <m/>
    <m/>
    <m/>
    <m/>
    <m/>
    <m/>
    <m/>
    <m/>
    <m/>
    <m/>
    <m/>
    <m/>
    <m/>
    <s v=" "/>
    <m/>
    <s v=" "/>
    <m/>
    <m/>
  </r>
  <r>
    <x v="1370"/>
    <d v="2026-04-07T00:00:00"/>
    <x v="6"/>
    <x v="3"/>
    <x v="3"/>
    <x v="0"/>
    <x v="0"/>
    <x v="0"/>
    <s v=""/>
    <s v=""/>
    <s v=""/>
    <s v=""/>
    <s v=""/>
    <s v=""/>
    <s v=""/>
    <s v=""/>
    <m/>
    <s v=""/>
    <m/>
    <m/>
    <m/>
    <m/>
    <m/>
    <m/>
    <m/>
    <m/>
    <m/>
    <m/>
    <m/>
    <m/>
    <m/>
    <m/>
    <m/>
    <s v=" "/>
    <m/>
    <s v=" "/>
    <m/>
    <m/>
  </r>
  <r>
    <x v="1371"/>
    <d v="2026-04-08T00:00:00"/>
    <x v="7"/>
    <x v="3"/>
    <x v="3"/>
    <x v="0"/>
    <x v="0"/>
    <x v="0"/>
    <s v=""/>
    <s v=""/>
    <s v=""/>
    <s v=""/>
    <s v=""/>
    <s v=""/>
    <s v=""/>
    <s v=""/>
    <m/>
    <s v=""/>
    <m/>
    <m/>
    <m/>
    <m/>
    <m/>
    <m/>
    <m/>
    <m/>
    <m/>
    <m/>
    <m/>
    <m/>
    <m/>
    <m/>
    <m/>
    <s v=" "/>
    <m/>
    <s v=" "/>
    <m/>
    <m/>
  </r>
  <r>
    <x v="1372"/>
    <d v="2026-04-09T00:00:00"/>
    <x v="8"/>
    <x v="3"/>
    <x v="3"/>
    <x v="0"/>
    <x v="0"/>
    <x v="0"/>
    <s v=""/>
    <s v=""/>
    <s v=""/>
    <s v=""/>
    <s v=""/>
    <s v=""/>
    <s v=""/>
    <s v=""/>
    <m/>
    <s v=""/>
    <m/>
    <m/>
    <m/>
    <m/>
    <m/>
    <m/>
    <m/>
    <m/>
    <m/>
    <m/>
    <m/>
    <m/>
    <m/>
    <m/>
    <m/>
    <s v=" "/>
    <m/>
    <s v=" "/>
    <m/>
    <m/>
  </r>
  <r>
    <x v="1373"/>
    <d v="2026-04-10T00:00:00"/>
    <x v="9"/>
    <x v="3"/>
    <x v="3"/>
    <x v="0"/>
    <x v="0"/>
    <x v="0"/>
    <s v=""/>
    <s v=""/>
    <s v=""/>
    <s v=""/>
    <s v=""/>
    <s v=""/>
    <s v=""/>
    <s v=""/>
    <m/>
    <s v=""/>
    <m/>
    <m/>
    <m/>
    <m/>
    <m/>
    <m/>
    <m/>
    <m/>
    <m/>
    <m/>
    <m/>
    <m/>
    <m/>
    <m/>
    <m/>
    <s v=" "/>
    <m/>
    <s v=" "/>
    <m/>
    <m/>
  </r>
  <r>
    <x v="1374"/>
    <d v="2026-04-11T00:00:00"/>
    <x v="10"/>
    <x v="3"/>
    <x v="3"/>
    <x v="0"/>
    <x v="0"/>
    <x v="0"/>
    <s v=""/>
    <s v=""/>
    <s v=""/>
    <s v=""/>
    <s v=""/>
    <s v=""/>
    <s v=""/>
    <s v=""/>
    <m/>
    <s v=""/>
    <m/>
    <m/>
    <m/>
    <m/>
    <m/>
    <m/>
    <m/>
    <m/>
    <m/>
    <m/>
    <m/>
    <m/>
    <m/>
    <m/>
    <m/>
    <s v=" "/>
    <m/>
    <s v=" "/>
    <m/>
    <m/>
  </r>
  <r>
    <x v="1375"/>
    <d v="2026-04-12T00:00:00"/>
    <x v="11"/>
    <x v="3"/>
    <x v="3"/>
    <x v="0"/>
    <x v="0"/>
    <x v="0"/>
    <s v=""/>
    <s v=""/>
    <s v=""/>
    <s v=""/>
    <s v=""/>
    <s v=""/>
    <s v=""/>
    <s v=""/>
    <m/>
    <s v=""/>
    <m/>
    <m/>
    <m/>
    <m/>
    <m/>
    <m/>
    <m/>
    <m/>
    <m/>
    <m/>
    <m/>
    <m/>
    <m/>
    <m/>
    <m/>
    <s v=" "/>
    <m/>
    <s v=" "/>
    <m/>
    <m/>
  </r>
  <r>
    <x v="1376"/>
    <d v="2026-04-13T00:00:00"/>
    <x v="12"/>
    <x v="3"/>
    <x v="3"/>
    <x v="0"/>
    <x v="0"/>
    <x v="0"/>
    <s v=""/>
    <s v=""/>
    <s v=""/>
    <s v=""/>
    <s v=""/>
    <s v=""/>
    <s v=""/>
    <s v=""/>
    <m/>
    <s v=""/>
    <m/>
    <m/>
    <m/>
    <m/>
    <m/>
    <m/>
    <m/>
    <m/>
    <m/>
    <m/>
    <m/>
    <m/>
    <m/>
    <m/>
    <m/>
    <s v=" "/>
    <m/>
    <s v=" "/>
    <m/>
    <m/>
  </r>
  <r>
    <x v="1377"/>
    <d v="2026-04-14T00:00:00"/>
    <x v="13"/>
    <x v="3"/>
    <x v="3"/>
    <x v="0"/>
    <x v="0"/>
    <x v="0"/>
    <s v=""/>
    <s v=""/>
    <s v=""/>
    <s v=""/>
    <s v=""/>
    <s v=""/>
    <s v=""/>
    <s v=""/>
    <m/>
    <s v=""/>
    <m/>
    <m/>
    <m/>
    <m/>
    <m/>
    <m/>
    <m/>
    <m/>
    <m/>
    <m/>
    <m/>
    <m/>
    <m/>
    <m/>
    <m/>
    <s v=" "/>
    <m/>
    <s v=" "/>
    <m/>
    <m/>
  </r>
  <r>
    <x v="1378"/>
    <d v="2026-04-15T00:00:00"/>
    <x v="14"/>
    <x v="3"/>
    <x v="3"/>
    <x v="0"/>
    <x v="0"/>
    <x v="0"/>
    <s v=""/>
    <s v=""/>
    <s v=""/>
    <s v=""/>
    <s v=""/>
    <s v=""/>
    <s v=""/>
    <s v=""/>
    <m/>
    <s v=""/>
    <m/>
    <m/>
    <m/>
    <m/>
    <m/>
    <m/>
    <m/>
    <m/>
    <m/>
    <m/>
    <m/>
    <m/>
    <m/>
    <m/>
    <m/>
    <s v=" "/>
    <m/>
    <s v=" "/>
    <m/>
    <m/>
  </r>
  <r>
    <x v="1379"/>
    <d v="2026-04-16T00:00:00"/>
    <x v="15"/>
    <x v="3"/>
    <x v="3"/>
    <x v="0"/>
    <x v="0"/>
    <x v="0"/>
    <s v=""/>
    <s v=""/>
    <s v=""/>
    <s v=""/>
    <s v=""/>
    <s v=""/>
    <s v=""/>
    <s v=""/>
    <m/>
    <s v=""/>
    <m/>
    <m/>
    <m/>
    <m/>
    <m/>
    <m/>
    <m/>
    <m/>
    <m/>
    <m/>
    <m/>
    <m/>
    <m/>
    <m/>
    <m/>
    <s v=" "/>
    <m/>
    <s v=" "/>
    <m/>
    <m/>
  </r>
  <r>
    <x v="1380"/>
    <d v="2026-04-17T00:00:00"/>
    <x v="16"/>
    <x v="3"/>
    <x v="3"/>
    <x v="0"/>
    <x v="0"/>
    <x v="0"/>
    <s v=""/>
    <s v=""/>
    <s v=""/>
    <s v=""/>
    <s v=""/>
    <s v=""/>
    <s v=""/>
    <s v=""/>
    <m/>
    <s v=""/>
    <m/>
    <m/>
    <m/>
    <m/>
    <m/>
    <m/>
    <m/>
    <m/>
    <m/>
    <m/>
    <m/>
    <m/>
    <m/>
    <m/>
    <m/>
    <s v=" "/>
    <m/>
    <s v=" "/>
    <m/>
    <m/>
  </r>
  <r>
    <x v="1381"/>
    <d v="2026-04-18T00:00:00"/>
    <x v="17"/>
    <x v="3"/>
    <x v="3"/>
    <x v="0"/>
    <x v="0"/>
    <x v="0"/>
    <s v=""/>
    <s v=""/>
    <s v=""/>
    <s v=""/>
    <s v=""/>
    <s v=""/>
    <s v=""/>
    <s v=""/>
    <m/>
    <s v=""/>
    <m/>
    <m/>
    <m/>
    <m/>
    <m/>
    <m/>
    <m/>
    <m/>
    <m/>
    <m/>
    <m/>
    <m/>
    <m/>
    <m/>
    <m/>
    <s v=" "/>
    <m/>
    <s v=" "/>
    <m/>
    <m/>
  </r>
  <r>
    <x v="1382"/>
    <d v="2026-04-19T00:00:00"/>
    <x v="18"/>
    <x v="3"/>
    <x v="3"/>
    <x v="0"/>
    <x v="0"/>
    <x v="0"/>
    <s v=""/>
    <s v=""/>
    <s v=""/>
    <s v=""/>
    <s v=""/>
    <s v=""/>
    <s v=""/>
    <s v=""/>
    <m/>
    <s v=""/>
    <m/>
    <m/>
    <m/>
    <m/>
    <m/>
    <m/>
    <m/>
    <m/>
    <m/>
    <m/>
    <m/>
    <m/>
    <m/>
    <m/>
    <m/>
    <s v=" "/>
    <m/>
    <s v=" "/>
    <m/>
    <m/>
  </r>
  <r>
    <x v="1383"/>
    <d v="2026-04-20T00:00:00"/>
    <x v="19"/>
    <x v="3"/>
    <x v="3"/>
    <x v="0"/>
    <x v="0"/>
    <x v="0"/>
    <s v=""/>
    <s v=""/>
    <s v=""/>
    <s v=""/>
    <s v=""/>
    <s v=""/>
    <s v=""/>
    <s v=""/>
    <m/>
    <s v=""/>
    <m/>
    <m/>
    <m/>
    <m/>
    <m/>
    <m/>
    <m/>
    <m/>
    <m/>
    <m/>
    <m/>
    <m/>
    <m/>
    <m/>
    <m/>
    <s v=" "/>
    <m/>
    <s v=" "/>
    <m/>
    <m/>
  </r>
  <r>
    <x v="1384"/>
    <d v="2026-04-21T00:00:00"/>
    <x v="20"/>
    <x v="3"/>
    <x v="3"/>
    <x v="0"/>
    <x v="0"/>
    <x v="0"/>
    <s v=""/>
    <s v=""/>
    <s v=""/>
    <s v=""/>
    <s v=""/>
    <s v=""/>
    <s v=""/>
    <s v=""/>
    <m/>
    <s v=""/>
    <m/>
    <m/>
    <m/>
    <m/>
    <m/>
    <m/>
    <m/>
    <m/>
    <m/>
    <m/>
    <m/>
    <m/>
    <m/>
    <m/>
    <m/>
    <s v=" "/>
    <m/>
    <s v=" "/>
    <m/>
    <m/>
  </r>
  <r>
    <x v="1385"/>
    <d v="2026-04-22T00:00:00"/>
    <x v="21"/>
    <x v="3"/>
    <x v="3"/>
    <x v="0"/>
    <x v="0"/>
    <x v="0"/>
    <s v=""/>
    <s v=""/>
    <s v=""/>
    <s v=""/>
    <s v=""/>
    <s v=""/>
    <s v=""/>
    <s v=""/>
    <m/>
    <s v=""/>
    <m/>
    <m/>
    <m/>
    <m/>
    <m/>
    <m/>
    <m/>
    <m/>
    <m/>
    <m/>
    <m/>
    <m/>
    <m/>
    <m/>
    <m/>
    <s v=" "/>
    <m/>
    <s v=" "/>
    <m/>
    <m/>
  </r>
  <r>
    <x v="1386"/>
    <d v="2026-04-23T00:00:00"/>
    <x v="22"/>
    <x v="3"/>
    <x v="3"/>
    <x v="0"/>
    <x v="0"/>
    <x v="0"/>
    <s v=""/>
    <s v=""/>
    <s v=""/>
    <s v=""/>
    <s v=""/>
    <s v=""/>
    <s v=""/>
    <s v=""/>
    <m/>
    <s v=""/>
    <m/>
    <m/>
    <m/>
    <m/>
    <m/>
    <m/>
    <m/>
    <m/>
    <m/>
    <m/>
    <m/>
    <m/>
    <m/>
    <m/>
    <m/>
    <s v=" "/>
    <m/>
    <s v=" "/>
    <m/>
    <m/>
  </r>
  <r>
    <x v="1387"/>
    <d v="2026-04-24T00:00:00"/>
    <x v="23"/>
    <x v="3"/>
    <x v="3"/>
    <x v="0"/>
    <x v="0"/>
    <x v="0"/>
    <s v=""/>
    <s v=""/>
    <s v=""/>
    <s v=""/>
    <s v=""/>
    <s v=""/>
    <s v=""/>
    <s v=""/>
    <m/>
    <s v=""/>
    <m/>
    <m/>
    <m/>
    <m/>
    <m/>
    <m/>
    <m/>
    <m/>
    <m/>
    <m/>
    <m/>
    <m/>
    <m/>
    <m/>
    <m/>
    <s v=" "/>
    <m/>
    <s v=" "/>
    <m/>
    <m/>
  </r>
  <r>
    <x v="1388"/>
    <d v="2026-04-25T00:00:00"/>
    <x v="24"/>
    <x v="3"/>
    <x v="3"/>
    <x v="0"/>
    <x v="0"/>
    <x v="0"/>
    <s v=""/>
    <s v=""/>
    <s v=""/>
    <s v=""/>
    <s v=""/>
    <s v=""/>
    <s v=""/>
    <s v=""/>
    <m/>
    <s v=""/>
    <m/>
    <m/>
    <m/>
    <m/>
    <m/>
    <m/>
    <m/>
    <m/>
    <m/>
    <m/>
    <m/>
    <m/>
    <m/>
    <m/>
    <m/>
    <s v=" "/>
    <m/>
    <s v=" "/>
    <m/>
    <m/>
  </r>
  <r>
    <x v="1389"/>
    <d v="2026-04-26T00:00:00"/>
    <x v="25"/>
    <x v="3"/>
    <x v="3"/>
    <x v="0"/>
    <x v="0"/>
    <x v="0"/>
    <s v=""/>
    <s v=""/>
    <s v=""/>
    <s v=""/>
    <s v=""/>
    <s v=""/>
    <s v=""/>
    <s v=""/>
    <m/>
    <s v=""/>
    <m/>
    <m/>
    <m/>
    <m/>
    <m/>
    <m/>
    <m/>
    <m/>
    <m/>
    <m/>
    <m/>
    <m/>
    <m/>
    <m/>
    <m/>
    <s v=" "/>
    <m/>
    <s v=" "/>
    <m/>
    <m/>
  </r>
  <r>
    <x v="1390"/>
    <d v="2026-04-27T00:00:00"/>
    <x v="26"/>
    <x v="3"/>
    <x v="3"/>
    <x v="0"/>
    <x v="0"/>
    <x v="0"/>
    <s v=""/>
    <s v=""/>
    <s v=""/>
    <s v=""/>
    <s v=""/>
    <s v=""/>
    <s v=""/>
    <s v=""/>
    <m/>
    <s v=""/>
    <m/>
    <m/>
    <m/>
    <m/>
    <m/>
    <m/>
    <m/>
    <m/>
    <m/>
    <m/>
    <m/>
    <m/>
    <m/>
    <m/>
    <m/>
    <s v=" "/>
    <m/>
    <s v=" "/>
    <m/>
    <m/>
  </r>
  <r>
    <x v="1391"/>
    <d v="2026-04-28T00:00:00"/>
    <x v="27"/>
    <x v="3"/>
    <x v="3"/>
    <x v="0"/>
    <x v="0"/>
    <x v="0"/>
    <s v=""/>
    <s v=""/>
    <s v=""/>
    <s v=""/>
    <s v=""/>
    <s v=""/>
    <s v=""/>
    <s v=""/>
    <m/>
    <s v=""/>
    <m/>
    <m/>
    <m/>
    <m/>
    <m/>
    <m/>
    <m/>
    <m/>
    <m/>
    <m/>
    <m/>
    <m/>
    <m/>
    <m/>
    <m/>
    <s v=" "/>
    <m/>
    <s v=" "/>
    <m/>
    <m/>
  </r>
  <r>
    <x v="1392"/>
    <d v="2026-04-29T00:00:00"/>
    <x v="28"/>
    <x v="3"/>
    <x v="3"/>
    <x v="0"/>
    <x v="0"/>
    <x v="0"/>
    <s v=""/>
    <s v=""/>
    <s v=""/>
    <s v=""/>
    <s v=""/>
    <s v=""/>
    <s v=""/>
    <s v=""/>
    <m/>
    <s v=""/>
    <m/>
    <m/>
    <m/>
    <m/>
    <m/>
    <m/>
    <m/>
    <m/>
    <m/>
    <m/>
    <m/>
    <m/>
    <m/>
    <m/>
    <m/>
    <s v=" "/>
    <m/>
    <s v=" "/>
    <m/>
    <m/>
  </r>
  <r>
    <x v="1393"/>
    <d v="2026-04-30T00:00:00"/>
    <x v="29"/>
    <x v="3"/>
    <x v="3"/>
    <x v="0"/>
    <x v="0"/>
    <x v="0"/>
    <s v=""/>
    <s v=""/>
    <s v=""/>
    <s v=""/>
    <s v=""/>
    <s v=""/>
    <s v=""/>
    <s v=""/>
    <m/>
    <s v=""/>
    <m/>
    <m/>
    <m/>
    <m/>
    <m/>
    <m/>
    <m/>
    <m/>
    <m/>
    <m/>
    <m/>
    <m/>
    <m/>
    <m/>
    <m/>
    <s v=" "/>
    <m/>
    <s v=" "/>
    <m/>
    <m/>
  </r>
  <r>
    <x v="1394"/>
    <d v="2026-05-01T00:00:00"/>
    <x v="0"/>
    <x v="4"/>
    <x v="3"/>
    <x v="0"/>
    <x v="0"/>
    <x v="0"/>
    <s v=""/>
    <s v=""/>
    <s v=""/>
    <s v=""/>
    <s v=""/>
    <s v=""/>
    <s v=""/>
    <s v=""/>
    <m/>
    <s v=""/>
    <m/>
    <m/>
    <m/>
    <m/>
    <m/>
    <m/>
    <m/>
    <m/>
    <m/>
    <m/>
    <m/>
    <m/>
    <m/>
    <m/>
    <m/>
    <s v=" "/>
    <m/>
    <s v=" "/>
    <m/>
    <m/>
  </r>
  <r>
    <x v="1395"/>
    <d v="2026-05-02T00:00:00"/>
    <x v="1"/>
    <x v="4"/>
    <x v="3"/>
    <x v="0"/>
    <x v="0"/>
    <x v="0"/>
    <s v=""/>
    <s v=""/>
    <s v=""/>
    <s v=""/>
    <s v=""/>
    <s v=""/>
    <s v=""/>
    <s v=""/>
    <m/>
    <s v=""/>
    <m/>
    <m/>
    <m/>
    <m/>
    <m/>
    <m/>
    <m/>
    <m/>
    <m/>
    <m/>
    <m/>
    <m/>
    <m/>
    <m/>
    <m/>
    <s v=" "/>
    <m/>
    <s v=" "/>
    <m/>
    <m/>
  </r>
  <r>
    <x v="1396"/>
    <d v="2026-05-03T00:00:00"/>
    <x v="2"/>
    <x v="4"/>
    <x v="3"/>
    <x v="0"/>
    <x v="0"/>
    <x v="0"/>
    <s v=""/>
    <s v=""/>
    <s v=""/>
    <s v=""/>
    <s v=""/>
    <s v=""/>
    <s v=""/>
    <s v=""/>
    <m/>
    <s v=""/>
    <m/>
    <m/>
    <m/>
    <m/>
    <m/>
    <m/>
    <m/>
    <m/>
    <m/>
    <m/>
    <m/>
    <m/>
    <m/>
    <m/>
    <m/>
    <s v=" "/>
    <m/>
    <s v=" "/>
    <m/>
    <m/>
  </r>
  <r>
    <x v="1397"/>
    <d v="2026-05-04T00:00:00"/>
    <x v="3"/>
    <x v="4"/>
    <x v="3"/>
    <x v="0"/>
    <x v="0"/>
    <x v="0"/>
    <s v=""/>
    <s v=""/>
    <s v=""/>
    <s v=""/>
    <s v=""/>
    <s v=""/>
    <s v=""/>
    <s v=""/>
    <m/>
    <s v=""/>
    <m/>
    <m/>
    <m/>
    <m/>
    <m/>
    <m/>
    <m/>
    <m/>
    <m/>
    <m/>
    <m/>
    <m/>
    <m/>
    <m/>
    <m/>
    <s v=" "/>
    <m/>
    <s v=" "/>
    <m/>
    <m/>
  </r>
  <r>
    <x v="1398"/>
    <d v="2026-05-05T00:00:00"/>
    <x v="4"/>
    <x v="4"/>
    <x v="3"/>
    <x v="0"/>
    <x v="0"/>
    <x v="0"/>
    <s v=""/>
    <s v=""/>
    <s v=""/>
    <s v=""/>
    <s v=""/>
    <s v=""/>
    <s v=""/>
    <s v=""/>
    <m/>
    <s v=""/>
    <m/>
    <m/>
    <m/>
    <m/>
    <m/>
    <m/>
    <m/>
    <m/>
    <m/>
    <m/>
    <m/>
    <m/>
    <m/>
    <m/>
    <m/>
    <s v=" "/>
    <m/>
    <s v=" "/>
    <m/>
    <m/>
  </r>
  <r>
    <x v="1399"/>
    <d v="2026-05-06T00:00:00"/>
    <x v="5"/>
    <x v="4"/>
    <x v="3"/>
    <x v="0"/>
    <x v="0"/>
    <x v="0"/>
    <s v=""/>
    <s v=""/>
    <s v=""/>
    <s v=""/>
    <s v=""/>
    <s v=""/>
    <s v=""/>
    <s v=""/>
    <m/>
    <s v=""/>
    <m/>
    <m/>
    <m/>
    <m/>
    <m/>
    <m/>
    <m/>
    <m/>
    <m/>
    <m/>
    <m/>
    <m/>
    <m/>
    <m/>
    <m/>
    <s v=" "/>
    <m/>
    <s v=" "/>
    <m/>
    <m/>
  </r>
  <r>
    <x v="1400"/>
    <d v="2026-05-07T00:00:00"/>
    <x v="6"/>
    <x v="4"/>
    <x v="3"/>
    <x v="0"/>
    <x v="0"/>
    <x v="0"/>
    <s v=""/>
    <s v=""/>
    <s v=""/>
    <s v=""/>
    <s v=""/>
    <s v=""/>
    <s v=""/>
    <s v=""/>
    <m/>
    <s v=""/>
    <m/>
    <m/>
    <m/>
    <m/>
    <m/>
    <m/>
    <m/>
    <m/>
    <m/>
    <m/>
    <m/>
    <m/>
    <m/>
    <m/>
    <m/>
    <s v=" "/>
    <m/>
    <s v=" "/>
    <m/>
    <m/>
  </r>
  <r>
    <x v="1401"/>
    <d v="2026-05-08T00:00:00"/>
    <x v="7"/>
    <x v="4"/>
    <x v="3"/>
    <x v="0"/>
    <x v="0"/>
    <x v="0"/>
    <s v=""/>
    <s v=""/>
    <s v=""/>
    <s v=""/>
    <s v=""/>
    <s v=""/>
    <s v=""/>
    <s v=""/>
    <m/>
    <s v=""/>
    <m/>
    <m/>
    <m/>
    <m/>
    <m/>
    <m/>
    <m/>
    <m/>
    <m/>
    <m/>
    <m/>
    <m/>
    <m/>
    <m/>
    <m/>
    <s v=" "/>
    <m/>
    <s v=" "/>
    <m/>
    <m/>
  </r>
  <r>
    <x v="1402"/>
    <d v="2026-05-09T00:00:00"/>
    <x v="8"/>
    <x v="4"/>
    <x v="3"/>
    <x v="0"/>
    <x v="0"/>
    <x v="0"/>
    <s v=""/>
    <s v=""/>
    <s v=""/>
    <s v=""/>
    <s v=""/>
    <s v=""/>
    <s v=""/>
    <s v=""/>
    <m/>
    <s v=""/>
    <m/>
    <m/>
    <m/>
    <m/>
    <m/>
    <m/>
    <m/>
    <m/>
    <m/>
    <m/>
    <m/>
    <m/>
    <m/>
    <m/>
    <m/>
    <s v=" "/>
    <m/>
    <s v=" "/>
    <m/>
    <m/>
  </r>
  <r>
    <x v="1403"/>
    <d v="2026-05-10T00:00:00"/>
    <x v="9"/>
    <x v="4"/>
    <x v="3"/>
    <x v="0"/>
    <x v="0"/>
    <x v="0"/>
    <s v=""/>
    <s v=""/>
    <s v=""/>
    <s v=""/>
    <s v=""/>
    <s v=""/>
    <s v=""/>
    <s v=""/>
    <m/>
    <s v=""/>
    <m/>
    <m/>
    <m/>
    <m/>
    <m/>
    <m/>
    <m/>
    <m/>
    <m/>
    <m/>
    <m/>
    <m/>
    <m/>
    <m/>
    <m/>
    <s v=" "/>
    <m/>
    <s v=" "/>
    <m/>
    <m/>
  </r>
  <r>
    <x v="1404"/>
    <d v="2026-05-11T00:00:00"/>
    <x v="10"/>
    <x v="4"/>
    <x v="3"/>
    <x v="0"/>
    <x v="0"/>
    <x v="0"/>
    <s v=""/>
    <s v=""/>
    <s v=""/>
    <s v=""/>
    <s v=""/>
    <s v=""/>
    <s v=""/>
    <s v=""/>
    <m/>
    <s v=""/>
    <m/>
    <m/>
    <m/>
    <m/>
    <m/>
    <m/>
    <m/>
    <m/>
    <m/>
    <m/>
    <m/>
    <m/>
    <m/>
    <m/>
    <m/>
    <s v=" "/>
    <m/>
    <s v=" "/>
    <m/>
    <m/>
  </r>
  <r>
    <x v="1405"/>
    <d v="2026-05-12T00:00:00"/>
    <x v="11"/>
    <x v="4"/>
    <x v="3"/>
    <x v="0"/>
    <x v="0"/>
    <x v="0"/>
    <s v=""/>
    <s v=""/>
    <s v=""/>
    <s v=""/>
    <s v=""/>
    <s v=""/>
    <s v=""/>
    <s v=""/>
    <m/>
    <s v=""/>
    <m/>
    <m/>
    <m/>
    <m/>
    <m/>
    <m/>
    <m/>
    <m/>
    <m/>
    <m/>
    <m/>
    <m/>
    <m/>
    <m/>
    <m/>
    <s v=" "/>
    <m/>
    <s v=" "/>
    <m/>
    <m/>
  </r>
  <r>
    <x v="1406"/>
    <d v="2026-05-13T00:00:00"/>
    <x v="12"/>
    <x v="4"/>
    <x v="3"/>
    <x v="0"/>
    <x v="0"/>
    <x v="0"/>
    <s v=""/>
    <s v=""/>
    <s v=""/>
    <s v=""/>
    <s v=""/>
    <s v=""/>
    <s v=""/>
    <s v=""/>
    <m/>
    <s v=""/>
    <m/>
    <m/>
    <m/>
    <m/>
    <m/>
    <m/>
    <m/>
    <m/>
    <m/>
    <m/>
    <m/>
    <m/>
    <m/>
    <m/>
    <m/>
    <s v=" "/>
    <m/>
    <s v=" "/>
    <m/>
    <m/>
  </r>
  <r>
    <x v="1407"/>
    <d v="2026-05-14T00:00:00"/>
    <x v="13"/>
    <x v="4"/>
    <x v="3"/>
    <x v="0"/>
    <x v="0"/>
    <x v="0"/>
    <s v=""/>
    <s v=""/>
    <s v=""/>
    <s v=""/>
    <s v=""/>
    <s v=""/>
    <s v=""/>
    <s v=""/>
    <m/>
    <s v=""/>
    <m/>
    <m/>
    <m/>
    <m/>
    <m/>
    <m/>
    <m/>
    <m/>
    <m/>
    <m/>
    <m/>
    <m/>
    <m/>
    <m/>
    <m/>
    <s v=" "/>
    <m/>
    <s v=" "/>
    <m/>
    <m/>
  </r>
  <r>
    <x v="1408"/>
    <d v="2026-05-15T00:00:00"/>
    <x v="14"/>
    <x v="4"/>
    <x v="3"/>
    <x v="0"/>
    <x v="0"/>
    <x v="0"/>
    <s v=""/>
    <s v=""/>
    <s v=""/>
    <s v=""/>
    <s v=""/>
    <s v=""/>
    <s v=""/>
    <s v=""/>
    <m/>
    <s v=""/>
    <m/>
    <m/>
    <m/>
    <m/>
    <m/>
    <m/>
    <m/>
    <m/>
    <m/>
    <m/>
    <m/>
    <m/>
    <m/>
    <m/>
    <m/>
    <s v=" "/>
    <m/>
    <s v=" "/>
    <m/>
    <m/>
  </r>
  <r>
    <x v="1409"/>
    <d v="2026-05-16T00:00:00"/>
    <x v="15"/>
    <x v="4"/>
    <x v="3"/>
    <x v="0"/>
    <x v="0"/>
    <x v="0"/>
    <s v=""/>
    <s v=""/>
    <s v=""/>
    <s v=""/>
    <s v=""/>
    <s v=""/>
    <s v=""/>
    <s v=""/>
    <m/>
    <s v=""/>
    <m/>
    <m/>
    <m/>
    <m/>
    <m/>
    <m/>
    <m/>
    <m/>
    <m/>
    <m/>
    <m/>
    <m/>
    <m/>
    <m/>
    <m/>
    <s v=" "/>
    <m/>
    <s v=" "/>
    <m/>
    <m/>
  </r>
  <r>
    <x v="1410"/>
    <d v="2026-05-17T00:00:00"/>
    <x v="16"/>
    <x v="4"/>
    <x v="3"/>
    <x v="0"/>
    <x v="0"/>
    <x v="0"/>
    <s v=""/>
    <s v=""/>
    <s v=""/>
    <s v=""/>
    <s v=""/>
    <s v=""/>
    <s v=""/>
    <s v=""/>
    <m/>
    <s v=""/>
    <m/>
    <m/>
    <m/>
    <m/>
    <m/>
    <m/>
    <m/>
    <m/>
    <m/>
    <m/>
    <m/>
    <m/>
    <m/>
    <m/>
    <m/>
    <s v=" "/>
    <m/>
    <s v=" "/>
    <m/>
    <m/>
  </r>
  <r>
    <x v="1411"/>
    <d v="2026-05-18T00:00:00"/>
    <x v="17"/>
    <x v="4"/>
    <x v="3"/>
    <x v="0"/>
    <x v="0"/>
    <x v="0"/>
    <s v=""/>
    <s v=""/>
    <s v=""/>
    <s v=""/>
    <s v=""/>
    <s v=""/>
    <s v=""/>
    <s v=""/>
    <m/>
    <s v=""/>
    <m/>
    <m/>
    <m/>
    <m/>
    <m/>
    <m/>
    <m/>
    <m/>
    <m/>
    <m/>
    <m/>
    <m/>
    <m/>
    <m/>
    <m/>
    <s v=" "/>
    <m/>
    <s v=" "/>
    <m/>
    <m/>
  </r>
  <r>
    <x v="1412"/>
    <d v="2026-05-19T00:00:00"/>
    <x v="18"/>
    <x v="4"/>
    <x v="3"/>
    <x v="0"/>
    <x v="0"/>
    <x v="0"/>
    <s v=""/>
    <s v=""/>
    <s v=""/>
    <s v=""/>
    <s v=""/>
    <s v=""/>
    <s v=""/>
    <s v=""/>
    <m/>
    <s v=""/>
    <m/>
    <m/>
    <m/>
    <m/>
    <m/>
    <m/>
    <m/>
    <m/>
    <m/>
    <m/>
    <m/>
    <m/>
    <m/>
    <m/>
    <m/>
    <s v=" "/>
    <m/>
    <s v=" "/>
    <m/>
    <m/>
  </r>
  <r>
    <x v="1413"/>
    <d v="2026-05-20T00:00:00"/>
    <x v="19"/>
    <x v="4"/>
    <x v="3"/>
    <x v="0"/>
    <x v="0"/>
    <x v="0"/>
    <s v=""/>
    <s v=""/>
    <s v=""/>
    <s v=""/>
    <s v=""/>
    <s v=""/>
    <s v=""/>
    <s v=""/>
    <m/>
    <s v=""/>
    <m/>
    <m/>
    <m/>
    <m/>
    <m/>
    <m/>
    <m/>
    <m/>
    <m/>
    <m/>
    <m/>
    <m/>
    <m/>
    <m/>
    <m/>
    <s v=" "/>
    <m/>
    <s v=" "/>
    <m/>
    <m/>
  </r>
  <r>
    <x v="1414"/>
    <d v="2026-05-21T00:00:00"/>
    <x v="20"/>
    <x v="4"/>
    <x v="3"/>
    <x v="0"/>
    <x v="0"/>
    <x v="0"/>
    <s v=""/>
    <s v=""/>
    <s v=""/>
    <s v=""/>
    <s v=""/>
    <s v=""/>
    <s v=""/>
    <s v=""/>
    <m/>
    <s v=""/>
    <m/>
    <m/>
    <m/>
    <m/>
    <m/>
    <m/>
    <m/>
    <m/>
    <m/>
    <m/>
    <m/>
    <m/>
    <m/>
    <m/>
    <m/>
    <s v=" "/>
    <m/>
    <s v=" "/>
    <m/>
    <m/>
  </r>
  <r>
    <x v="1415"/>
    <d v="2026-05-22T00:00:00"/>
    <x v="21"/>
    <x v="4"/>
    <x v="3"/>
    <x v="0"/>
    <x v="0"/>
    <x v="0"/>
    <s v=""/>
    <s v=""/>
    <s v=""/>
    <s v=""/>
    <s v=""/>
    <s v=""/>
    <s v=""/>
    <s v=""/>
    <m/>
    <s v=""/>
    <m/>
    <m/>
    <m/>
    <m/>
    <m/>
    <m/>
    <m/>
    <m/>
    <m/>
    <m/>
    <m/>
    <m/>
    <m/>
    <m/>
    <m/>
    <s v=" "/>
    <m/>
    <s v=" "/>
    <m/>
    <m/>
  </r>
  <r>
    <x v="1416"/>
    <d v="2026-05-23T00:00:00"/>
    <x v="22"/>
    <x v="4"/>
    <x v="3"/>
    <x v="0"/>
    <x v="0"/>
    <x v="0"/>
    <s v=""/>
    <s v=""/>
    <s v=""/>
    <s v=""/>
    <s v=""/>
    <s v=""/>
    <s v=""/>
    <s v=""/>
    <m/>
    <s v=""/>
    <m/>
    <m/>
    <m/>
    <m/>
    <m/>
    <m/>
    <m/>
    <m/>
    <m/>
    <m/>
    <m/>
    <m/>
    <m/>
    <m/>
    <m/>
    <s v=" "/>
    <m/>
    <s v=" "/>
    <m/>
    <m/>
  </r>
  <r>
    <x v="1417"/>
    <d v="2026-05-24T00:00:00"/>
    <x v="23"/>
    <x v="4"/>
    <x v="3"/>
    <x v="0"/>
    <x v="0"/>
    <x v="0"/>
    <s v=""/>
    <s v=""/>
    <s v=""/>
    <s v=""/>
    <s v=""/>
    <s v=""/>
    <s v=""/>
    <s v=""/>
    <m/>
    <s v=""/>
    <m/>
    <m/>
    <m/>
    <m/>
    <m/>
    <m/>
    <m/>
    <m/>
    <m/>
    <m/>
    <m/>
    <m/>
    <m/>
    <m/>
    <m/>
    <s v=" "/>
    <m/>
    <s v=" "/>
    <m/>
    <m/>
  </r>
  <r>
    <x v="1418"/>
    <d v="2026-05-25T00:00:00"/>
    <x v="24"/>
    <x v="4"/>
    <x v="3"/>
    <x v="0"/>
    <x v="0"/>
    <x v="0"/>
    <s v=""/>
    <s v=""/>
    <s v=""/>
    <s v=""/>
    <s v=""/>
    <s v=""/>
    <s v=""/>
    <s v=""/>
    <m/>
    <s v=""/>
    <m/>
    <m/>
    <m/>
    <m/>
    <m/>
    <m/>
    <m/>
    <m/>
    <m/>
    <m/>
    <m/>
    <m/>
    <m/>
    <m/>
    <m/>
    <s v=" "/>
    <m/>
    <s v=" "/>
    <m/>
    <m/>
  </r>
  <r>
    <x v="1419"/>
    <d v="2026-05-26T00:00:00"/>
    <x v="25"/>
    <x v="4"/>
    <x v="3"/>
    <x v="0"/>
    <x v="0"/>
    <x v="0"/>
    <s v=""/>
    <s v=""/>
    <s v=""/>
    <s v=""/>
    <s v=""/>
    <s v=""/>
    <s v=""/>
    <s v=""/>
    <m/>
    <s v=""/>
    <m/>
    <m/>
    <m/>
    <m/>
    <m/>
    <m/>
    <m/>
    <m/>
    <m/>
    <m/>
    <m/>
    <m/>
    <m/>
    <m/>
    <m/>
    <s v=" "/>
    <m/>
    <s v=" "/>
    <m/>
    <m/>
  </r>
  <r>
    <x v="1420"/>
    <d v="2026-05-27T00:00:00"/>
    <x v="26"/>
    <x v="4"/>
    <x v="3"/>
    <x v="0"/>
    <x v="0"/>
    <x v="0"/>
    <s v=""/>
    <s v=""/>
    <s v=""/>
    <s v=""/>
    <s v=""/>
    <s v=""/>
    <s v=""/>
    <s v=""/>
    <m/>
    <s v=""/>
    <m/>
    <m/>
    <m/>
    <m/>
    <m/>
    <m/>
    <m/>
    <m/>
    <m/>
    <m/>
    <m/>
    <m/>
    <m/>
    <m/>
    <m/>
    <s v=" "/>
    <m/>
    <s v=" "/>
    <m/>
    <m/>
  </r>
  <r>
    <x v="1421"/>
    <d v="2026-05-28T00:00:00"/>
    <x v="27"/>
    <x v="4"/>
    <x v="3"/>
    <x v="0"/>
    <x v="0"/>
    <x v="0"/>
    <s v=""/>
    <s v=""/>
    <s v=""/>
    <s v=""/>
    <s v=""/>
    <s v=""/>
    <s v=""/>
    <s v=""/>
    <m/>
    <s v=""/>
    <m/>
    <m/>
    <m/>
    <m/>
    <m/>
    <m/>
    <m/>
    <m/>
    <m/>
    <m/>
    <m/>
    <m/>
    <m/>
    <m/>
    <m/>
    <s v=" "/>
    <m/>
    <s v=" "/>
    <m/>
    <m/>
  </r>
  <r>
    <x v="1422"/>
    <d v="2026-05-29T00:00:00"/>
    <x v="28"/>
    <x v="4"/>
    <x v="3"/>
    <x v="0"/>
    <x v="0"/>
    <x v="0"/>
    <s v=""/>
    <s v=""/>
    <s v=""/>
    <s v=""/>
    <s v=""/>
    <s v=""/>
    <s v=""/>
    <s v=""/>
    <m/>
    <s v=""/>
    <m/>
    <m/>
    <m/>
    <m/>
    <m/>
    <m/>
    <m/>
    <m/>
    <m/>
    <m/>
    <m/>
    <m/>
    <m/>
    <m/>
    <m/>
    <s v=" "/>
    <m/>
    <s v=" "/>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D28B87A-4814-A343-987E-F94486515C66}" name="PivotTable6"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N12:AO24" firstHeaderRow="1" firstDataRow="1" firstDataCol="1" rowPageCount="1" colPageCount="1"/>
  <pivotFields count="38">
    <pivotField showAll="0" defaultSubtotal="0"/>
    <pivotField numFmtId="14" showAll="0" defaultSubtotal="0"/>
    <pivotField showAll="0" defaultSubtotal="0"/>
    <pivotField axis="axisRow" showAll="0" defaultSubtotal="0">
      <items count="12">
        <item x="0"/>
        <item x="1"/>
        <item x="2"/>
        <item x="3"/>
        <item x="4"/>
        <item x="5"/>
        <item x="6"/>
        <item x="7"/>
        <item x="8"/>
        <item x="9"/>
        <item x="10"/>
        <item x="11"/>
      </items>
    </pivotField>
    <pivotField axis="axisPage" multipleItemSelectionAllowed="1" showAll="0" defaultSubtotal="0">
      <items count="4">
        <item h="1" x="0"/>
        <item h="1" x="1"/>
        <item x="2"/>
        <item h="1" x="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s>
  <rowFields count="1">
    <field x="3"/>
  </rowFields>
  <rowItems count="12">
    <i>
      <x/>
    </i>
    <i>
      <x v="1"/>
    </i>
    <i>
      <x v="2"/>
    </i>
    <i>
      <x v="3"/>
    </i>
    <i>
      <x v="4"/>
    </i>
    <i>
      <x v="5"/>
    </i>
    <i>
      <x v="6"/>
    </i>
    <i>
      <x v="7"/>
    </i>
    <i>
      <x v="8"/>
    </i>
    <i>
      <x v="9"/>
    </i>
    <i>
      <x v="10"/>
    </i>
    <i>
      <x v="11"/>
    </i>
  </rowItems>
  <colItems count="1">
    <i/>
  </colItems>
  <pageFields count="1">
    <pageField fld="4" hier="-1"/>
  </pageFields>
  <dataFields count="1">
    <dataField name="Sum of Totale Portfolio" fld="33" baseField="3" baseItem="104882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68147BD-821C-5B4F-AB03-33A65B04410D}" name="PivotTable1" cacheId="0" applyNumberFormats="0" applyBorderFormats="0" applyFontFormats="0" applyPatternFormats="0" applyAlignmentFormats="0" applyWidthHeightFormats="1" dataCaption="Values" updatedVersion="6" minRefreshableVersion="3" showDrill="0" useAutoFormatting="1" colGrandTotals="0" itemPrintTitles="1" createdVersion="6" indent="0" outline="1" outlineData="1" multipleFieldFilters="0">
  <location ref="B12:K169" firstHeaderRow="0" firstDataRow="1" firstDataCol="1" rowPageCount="2" colPageCount="1"/>
  <pivotFields count="38">
    <pivotField showAll="0"/>
    <pivotField showAll="0"/>
    <pivotField axis="axisRow" showAll="0" sortType="ascending">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name="Mese" axis="axisPage" multipleItemSelectionAllowed="1" showAll="0">
      <items count="13">
        <item h="1" x="0"/>
        <item h="1" x="1"/>
        <item h="1" x="2"/>
        <item h="1" x="3"/>
        <item x="4"/>
        <item h="1" x="5"/>
        <item h="1" x="6"/>
        <item h="1" x="7"/>
        <item h="1" x="8"/>
        <item h="1" x="9"/>
        <item h="1" x="10"/>
        <item h="1" x="11"/>
        <item t="default"/>
      </items>
    </pivotField>
    <pivotField axis="axisPage" multipleItemSelectionAllowed="1" showAll="0">
      <items count="5">
        <item h="1" x="0"/>
        <item h="1" x="1"/>
        <item x="2"/>
        <item h="1" x="3"/>
        <item t="default"/>
      </items>
    </pivotField>
    <pivotField axis="axisRow" showAll="0">
      <items count="175">
        <item x="0"/>
        <item x="3"/>
        <item x="4"/>
        <item x="5"/>
        <item x="6"/>
        <item x="7"/>
        <item x="8"/>
        <item x="9"/>
        <item x="10"/>
        <item x="11"/>
        <item x="12"/>
        <item x="13"/>
        <item x="14"/>
        <item x="15"/>
        <item x="27"/>
        <item x="16"/>
        <item x="17"/>
        <item x="18"/>
        <item x="19"/>
        <item x="20"/>
        <item x="21"/>
        <item x="23"/>
        <item x="24"/>
        <item x="25"/>
        <item x="26"/>
        <item x="28"/>
        <item x="29"/>
        <item x="30"/>
        <item x="31"/>
        <item x="32"/>
        <item x="33"/>
        <item x="34"/>
        <item x="35"/>
        <item x="36"/>
        <item x="37"/>
        <item x="38"/>
        <item x="39"/>
        <item x="40"/>
        <item x="41"/>
        <item x="42"/>
        <item x="43"/>
        <item x="44"/>
        <item x="45"/>
        <item x="46"/>
        <item x="47"/>
        <item x="48"/>
        <item x="51"/>
        <item x="53"/>
        <item x="54"/>
        <item x="55"/>
        <item x="56"/>
        <item x="57"/>
        <item x="58"/>
        <item x="59"/>
        <item x="60"/>
        <item x="61"/>
        <item x="62"/>
        <item x="63"/>
        <item x="64"/>
        <item x="65"/>
        <item x="66"/>
        <item x="67"/>
        <item x="69"/>
        <item x="68"/>
        <item x="22"/>
        <item x="71"/>
        <item x="72"/>
        <item x="73"/>
        <item x="75"/>
        <item x="76"/>
        <item x="77"/>
        <item x="78"/>
        <item x="79"/>
        <item x="80"/>
        <item x="81"/>
        <item x="70"/>
        <item x="74"/>
        <item x="82"/>
        <item x="83"/>
        <item x="84"/>
        <item x="85"/>
        <item x="52"/>
        <item x="86"/>
        <item x="87"/>
        <item x="88"/>
        <item x="89"/>
        <item x="90"/>
        <item x="91"/>
        <item x="92"/>
        <item x="1"/>
        <item x="2"/>
        <item x="93"/>
        <item x="50"/>
        <item x="94"/>
        <item x="95"/>
        <item x="96"/>
        <item x="97"/>
        <item x="98"/>
        <item x="49"/>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70"/>
        <item x="171"/>
        <item x="167"/>
        <item x="168"/>
        <item x="169"/>
        <item x="172"/>
        <item x="173"/>
        <item t="default"/>
      </items>
    </pivotField>
    <pivotField axis="axisRow" showAll="0">
      <items count="25">
        <item x="0"/>
        <item x="2"/>
        <item x="3"/>
        <item x="4"/>
        <item x="5"/>
        <item x="6"/>
        <item x="7"/>
        <item x="8"/>
        <item x="9"/>
        <item x="10"/>
        <item x="11"/>
        <item x="12"/>
        <item x="1"/>
        <item x="13"/>
        <item x="14"/>
        <item x="15"/>
        <item x="19"/>
        <item x="21"/>
        <item x="17"/>
        <item x="18"/>
        <item x="20"/>
        <item x="22"/>
        <item x="16"/>
        <item x="23"/>
        <item t="default"/>
      </items>
    </pivotField>
    <pivotField axis="axisRow" showAll="0">
      <items count="12">
        <item x="0"/>
        <item x="2"/>
        <item x="3"/>
        <item x="4"/>
        <item x="5"/>
        <item x="1"/>
        <item x="7"/>
        <item x="8"/>
        <item x="6"/>
        <item x="10"/>
        <item x="9"/>
        <item t="default"/>
      </items>
    </pivotField>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4">
    <field x="2"/>
    <field x="5"/>
    <field x="6"/>
    <field x="7"/>
  </rowFields>
  <rowItems count="157">
    <i>
      <x/>
    </i>
    <i r="1">
      <x/>
    </i>
    <i r="2">
      <x/>
    </i>
    <i r="3">
      <x/>
    </i>
    <i>
      <x v="1"/>
    </i>
    <i r="1">
      <x v="90"/>
    </i>
    <i r="2">
      <x v="12"/>
    </i>
    <i r="3">
      <x v="5"/>
    </i>
    <i>
      <x v="2"/>
    </i>
    <i r="1">
      <x/>
    </i>
    <i r="2">
      <x/>
    </i>
    <i r="3">
      <x/>
    </i>
    <i>
      <x v="3"/>
    </i>
    <i r="1">
      <x/>
    </i>
    <i r="2">
      <x/>
    </i>
    <i r="3">
      <x/>
    </i>
    <i>
      <x v="4"/>
    </i>
    <i r="1">
      <x/>
    </i>
    <i r="2">
      <x/>
    </i>
    <i r="3">
      <x/>
    </i>
    <i>
      <x v="5"/>
    </i>
    <i r="1">
      <x/>
    </i>
    <i r="2">
      <x/>
    </i>
    <i r="3">
      <x/>
    </i>
    <i>
      <x v="6"/>
    </i>
    <i r="1">
      <x/>
    </i>
    <i r="2">
      <x/>
    </i>
    <i r="3">
      <x/>
    </i>
    <i>
      <x v="7"/>
    </i>
    <i r="1">
      <x/>
    </i>
    <i r="2">
      <x/>
    </i>
    <i r="3">
      <x/>
    </i>
    <i>
      <x v="8"/>
    </i>
    <i r="1">
      <x/>
    </i>
    <i r="2">
      <x/>
    </i>
    <i r="3">
      <x/>
    </i>
    <i>
      <x v="9"/>
    </i>
    <i r="1">
      <x/>
    </i>
    <i r="2">
      <x/>
    </i>
    <i r="3">
      <x/>
    </i>
    <i>
      <x v="10"/>
    </i>
    <i r="1">
      <x/>
    </i>
    <i r="2">
      <x/>
    </i>
    <i r="3">
      <x/>
    </i>
    <i>
      <x v="11"/>
    </i>
    <i r="1">
      <x/>
    </i>
    <i r="2">
      <x/>
    </i>
    <i r="3">
      <x/>
    </i>
    <i>
      <x v="12"/>
    </i>
    <i r="1">
      <x/>
    </i>
    <i r="2">
      <x/>
    </i>
    <i r="3">
      <x/>
    </i>
    <i>
      <x v="13"/>
    </i>
    <i r="1">
      <x v="2"/>
    </i>
    <i r="2">
      <x v="1"/>
    </i>
    <i r="3">
      <x v="1"/>
    </i>
    <i r="1">
      <x v="3"/>
    </i>
    <i r="2">
      <x v="2"/>
    </i>
    <i r="3">
      <x v="2"/>
    </i>
    <i r="1">
      <x v="167"/>
    </i>
    <i r="2">
      <x v="1"/>
    </i>
    <i r="3">
      <x v="1"/>
    </i>
    <i r="1">
      <x v="171"/>
    </i>
    <i r="2">
      <x v="10"/>
    </i>
    <i r="3">
      <x v="4"/>
    </i>
    <i>
      <x v="14"/>
    </i>
    <i r="1">
      <x v="3"/>
    </i>
    <i r="2">
      <x v="2"/>
    </i>
    <i r="3">
      <x v="2"/>
    </i>
    <i r="1">
      <x v="10"/>
    </i>
    <i r="2">
      <x v="1"/>
    </i>
    <i r="3">
      <x v="1"/>
    </i>
    <i>
      <x v="15"/>
    </i>
    <i r="1">
      <x v="3"/>
    </i>
    <i r="2">
      <x v="2"/>
    </i>
    <i r="3">
      <x v="2"/>
    </i>
    <i r="1">
      <x v="168"/>
    </i>
    <i r="2">
      <x v="16"/>
    </i>
    <i r="3">
      <x v="10"/>
    </i>
    <i>
      <x v="16"/>
    </i>
    <i r="1">
      <x v="3"/>
    </i>
    <i r="2">
      <x v="2"/>
    </i>
    <i r="3">
      <x v="2"/>
    </i>
    <i r="1">
      <x v="10"/>
    </i>
    <i r="2">
      <x v="1"/>
    </i>
    <i r="3">
      <x v="1"/>
    </i>
    <i>
      <x v="17"/>
    </i>
    <i r="1">
      <x v="3"/>
    </i>
    <i r="2">
      <x v="2"/>
    </i>
    <i r="3">
      <x v="2"/>
    </i>
    <i r="1">
      <x v="10"/>
    </i>
    <i r="2">
      <x v="1"/>
    </i>
    <i r="3">
      <x v="1"/>
    </i>
    <i>
      <x v="18"/>
    </i>
    <i r="1">
      <x/>
    </i>
    <i r="2">
      <x/>
    </i>
    <i r="3">
      <x/>
    </i>
    <i>
      <x v="19"/>
    </i>
    <i r="1">
      <x/>
    </i>
    <i r="2">
      <x/>
    </i>
    <i r="3">
      <x/>
    </i>
    <i>
      <x v="20"/>
    </i>
    <i r="1">
      <x v="3"/>
    </i>
    <i r="2">
      <x v="2"/>
    </i>
    <i r="3">
      <x v="2"/>
    </i>
    <i r="1">
      <x v="10"/>
    </i>
    <i r="2">
      <x v="1"/>
    </i>
    <i r="3">
      <x v="1"/>
    </i>
    <i r="1">
      <x v="34"/>
    </i>
    <i r="2">
      <x v="18"/>
    </i>
    <i r="3">
      <x v="8"/>
    </i>
    <i r="2">
      <x v="19"/>
    </i>
    <i r="3">
      <x v="7"/>
    </i>
    <i>
      <x v="21"/>
    </i>
    <i r="1">
      <x/>
    </i>
    <i r="2">
      <x/>
    </i>
    <i r="3">
      <x/>
    </i>
    <i>
      <x v="22"/>
    </i>
    <i r="1">
      <x v="16"/>
    </i>
    <i r="2">
      <x v="10"/>
    </i>
    <i r="3">
      <x v="4"/>
    </i>
    <i>
      <x v="23"/>
    </i>
    <i r="1">
      <x/>
    </i>
    <i r="2">
      <x/>
    </i>
    <i r="3">
      <x/>
    </i>
    <i>
      <x v="24"/>
    </i>
    <i r="1">
      <x/>
    </i>
    <i r="2">
      <x/>
    </i>
    <i r="3">
      <x/>
    </i>
    <i>
      <x v="25"/>
    </i>
    <i r="1">
      <x/>
    </i>
    <i r="2">
      <x/>
    </i>
    <i r="3">
      <x/>
    </i>
    <i>
      <x v="26"/>
    </i>
    <i r="1">
      <x v="3"/>
    </i>
    <i r="2">
      <x v="2"/>
    </i>
    <i r="3">
      <x v="2"/>
    </i>
    <i r="1">
      <x v="89"/>
    </i>
    <i r="2">
      <x v="12"/>
    </i>
    <i r="3">
      <x v="5"/>
    </i>
    <i>
      <x v="27"/>
    </i>
    <i r="1">
      <x/>
    </i>
    <i r="2">
      <x/>
    </i>
    <i r="3">
      <x/>
    </i>
    <i>
      <x v="28"/>
    </i>
    <i r="1">
      <x/>
    </i>
    <i r="2">
      <x/>
    </i>
    <i r="3">
      <x/>
    </i>
    <i>
      <x v="29"/>
    </i>
    <i r="1">
      <x/>
    </i>
    <i r="2">
      <x/>
    </i>
    <i r="3">
      <x/>
    </i>
    <i>
      <x v="30"/>
    </i>
    <i r="1">
      <x/>
    </i>
    <i r="2">
      <x/>
    </i>
    <i r="3">
      <x/>
    </i>
    <i t="grand">
      <x/>
    </i>
  </rowItems>
  <colFields count="1">
    <field x="-2"/>
  </colFields>
  <colItems count="9">
    <i>
      <x/>
    </i>
    <i i="1">
      <x v="1"/>
    </i>
    <i i="2">
      <x v="2"/>
    </i>
    <i i="3">
      <x v="3"/>
    </i>
    <i i="4">
      <x v="4"/>
    </i>
    <i i="5">
      <x v="5"/>
    </i>
    <i i="6">
      <x v="6"/>
    </i>
    <i i="7">
      <x v="7"/>
    </i>
    <i i="8">
      <x v="8"/>
    </i>
  </colItems>
  <pageFields count="2">
    <pageField fld="4" hier="-1"/>
    <pageField fld="3" hier="-1"/>
  </pageFields>
  <dataFields count="9">
    <dataField name="Sum of Uscite" fld="9" baseField="0" baseItem="0"/>
    <dataField name="Sum of Uscite Fisse" fld="10" baseField="0" baseItem="0"/>
    <dataField name="Sum of Altre Uscite" fld="11" baseField="0" baseItem="0"/>
    <dataField name="Sum of Entrate" fld="12" baseField="0" baseItem="0"/>
    <dataField name="Sum of Entrate Fisse" fld="13" baseField="0" baseItem="0"/>
    <dataField name="Sum of Altre Entrate" fld="14" baseField="0" baseItem="0"/>
    <dataField name="Sum of Prelievo" fld="15" baseField="0" baseItem="0"/>
    <dataField name="Sum of Balance" fld="16" baseField="16" baseItem="1048828"/>
    <dataField name="Sum of Savings" fld="17" baseField="0" baseItem="0"/>
  </dataFields>
  <formats count="306">
    <format dxfId="305">
      <pivotArea collapsedLevelsAreSubtotals="1" fieldPosition="0">
        <references count="2">
          <reference field="4294967294" count="6" selected="0">
            <x v="0"/>
            <x v="1"/>
            <x v="2"/>
            <x v="3"/>
            <x v="4"/>
            <x v="5"/>
          </reference>
          <reference field="2" count="1">
            <x v="0"/>
          </reference>
        </references>
      </pivotArea>
    </format>
    <format dxfId="304">
      <pivotArea collapsedLevelsAreSubtotals="1" fieldPosition="0">
        <references count="3">
          <reference field="4294967294" count="6" selected="0">
            <x v="0"/>
            <x v="1"/>
            <x v="2"/>
            <x v="3"/>
            <x v="4"/>
            <x v="5"/>
          </reference>
          <reference field="2" count="1" selected="0">
            <x v="0"/>
          </reference>
          <reference field="5" count="1">
            <x v="0"/>
          </reference>
        </references>
      </pivotArea>
    </format>
    <format dxfId="303">
      <pivotArea collapsedLevelsAreSubtotals="1" fieldPosition="0">
        <references count="4">
          <reference field="4294967294" count="6" selected="0">
            <x v="0"/>
            <x v="1"/>
            <x v="2"/>
            <x v="3"/>
            <x v="4"/>
            <x v="5"/>
          </reference>
          <reference field="2" count="1" selected="0">
            <x v="0"/>
          </reference>
          <reference field="5" count="1" selected="0">
            <x v="0"/>
          </reference>
          <reference field="6" count="1">
            <x v="0"/>
          </reference>
        </references>
      </pivotArea>
    </format>
    <format dxfId="302">
      <pivotArea collapsedLevelsAreSubtotals="1" fieldPosition="0">
        <references count="5">
          <reference field="4294967294" count="6" selected="0">
            <x v="0"/>
            <x v="1"/>
            <x v="2"/>
            <x v="3"/>
            <x v="4"/>
            <x v="5"/>
          </reference>
          <reference field="2" count="1" selected="0">
            <x v="0"/>
          </reference>
          <reference field="5" count="1" selected="0">
            <x v="0"/>
          </reference>
          <reference field="6" count="1" selected="0">
            <x v="0"/>
          </reference>
          <reference field="7" count="1">
            <x v="0"/>
          </reference>
        </references>
      </pivotArea>
    </format>
    <format dxfId="301">
      <pivotArea collapsedLevelsAreSubtotals="1" fieldPosition="0">
        <references count="2">
          <reference field="4294967294" count="6" selected="0">
            <x v="0"/>
            <x v="1"/>
            <x v="2"/>
            <x v="3"/>
            <x v="4"/>
            <x v="5"/>
          </reference>
          <reference field="2" count="1">
            <x v="1"/>
          </reference>
        </references>
      </pivotArea>
    </format>
    <format dxfId="300">
      <pivotArea collapsedLevelsAreSubtotals="1" fieldPosition="0">
        <references count="3">
          <reference field="4294967294" count="6" selected="0">
            <x v="0"/>
            <x v="1"/>
            <x v="2"/>
            <x v="3"/>
            <x v="4"/>
            <x v="5"/>
          </reference>
          <reference field="2" count="1" selected="0">
            <x v="1"/>
          </reference>
          <reference field="5" count="1">
            <x v="0"/>
          </reference>
        </references>
      </pivotArea>
    </format>
    <format dxfId="299">
      <pivotArea collapsedLevelsAreSubtotals="1" fieldPosition="0">
        <references count="4">
          <reference field="4294967294" count="6" selected="0">
            <x v="0"/>
            <x v="1"/>
            <x v="2"/>
            <x v="3"/>
            <x v="4"/>
            <x v="5"/>
          </reference>
          <reference field="2" count="1" selected="0">
            <x v="1"/>
          </reference>
          <reference field="5" count="1" selected="0">
            <x v="0"/>
          </reference>
          <reference field="6" count="1">
            <x v="0"/>
          </reference>
        </references>
      </pivotArea>
    </format>
    <format dxfId="298">
      <pivotArea collapsedLevelsAreSubtotals="1" fieldPosition="0">
        <references count="5">
          <reference field="4294967294" count="6" selected="0">
            <x v="0"/>
            <x v="1"/>
            <x v="2"/>
            <x v="3"/>
            <x v="4"/>
            <x v="5"/>
          </reference>
          <reference field="2" count="1" selected="0">
            <x v="1"/>
          </reference>
          <reference field="5" count="1" selected="0">
            <x v="0"/>
          </reference>
          <reference field="6" count="1" selected="0">
            <x v="0"/>
          </reference>
          <reference field="7" count="1">
            <x v="0"/>
          </reference>
        </references>
      </pivotArea>
    </format>
    <format dxfId="297">
      <pivotArea collapsedLevelsAreSubtotals="1" fieldPosition="0">
        <references count="2">
          <reference field="4294967294" count="6" selected="0">
            <x v="0"/>
            <x v="1"/>
            <x v="2"/>
            <x v="3"/>
            <x v="4"/>
            <x v="5"/>
          </reference>
          <reference field="2" count="1">
            <x v="2"/>
          </reference>
        </references>
      </pivotArea>
    </format>
    <format dxfId="296">
      <pivotArea collapsedLevelsAreSubtotals="1" fieldPosition="0">
        <references count="3">
          <reference field="4294967294" count="6" selected="0">
            <x v="0"/>
            <x v="1"/>
            <x v="2"/>
            <x v="3"/>
            <x v="4"/>
            <x v="5"/>
          </reference>
          <reference field="2" count="1" selected="0">
            <x v="2"/>
          </reference>
          <reference field="5" count="1">
            <x v="0"/>
          </reference>
        </references>
      </pivotArea>
    </format>
    <format dxfId="295">
      <pivotArea collapsedLevelsAreSubtotals="1" fieldPosition="0">
        <references count="4">
          <reference field="4294967294" count="6" selected="0">
            <x v="0"/>
            <x v="1"/>
            <x v="2"/>
            <x v="3"/>
            <x v="4"/>
            <x v="5"/>
          </reference>
          <reference field="2" count="1" selected="0">
            <x v="2"/>
          </reference>
          <reference field="5" count="1" selected="0">
            <x v="0"/>
          </reference>
          <reference field="6" count="1">
            <x v="0"/>
          </reference>
        </references>
      </pivotArea>
    </format>
    <format dxfId="294">
      <pivotArea collapsedLevelsAreSubtotals="1" fieldPosition="0">
        <references count="5">
          <reference field="4294967294" count="6" selected="0">
            <x v="0"/>
            <x v="1"/>
            <x v="2"/>
            <x v="3"/>
            <x v="4"/>
            <x v="5"/>
          </reference>
          <reference field="2" count="1" selected="0">
            <x v="2"/>
          </reference>
          <reference field="5" count="1" selected="0">
            <x v="0"/>
          </reference>
          <reference field="6" count="1" selected="0">
            <x v="0"/>
          </reference>
          <reference field="7" count="1">
            <x v="0"/>
          </reference>
        </references>
      </pivotArea>
    </format>
    <format dxfId="293">
      <pivotArea collapsedLevelsAreSubtotals="1" fieldPosition="0">
        <references count="3">
          <reference field="4294967294" count="6" selected="0">
            <x v="0"/>
            <x v="1"/>
            <x v="2"/>
            <x v="3"/>
            <x v="4"/>
            <x v="5"/>
          </reference>
          <reference field="2" count="1" selected="0">
            <x v="2"/>
          </reference>
          <reference field="5" count="1">
            <x v="3"/>
          </reference>
        </references>
      </pivotArea>
    </format>
    <format dxfId="292">
      <pivotArea collapsedLevelsAreSubtotals="1" fieldPosition="0">
        <references count="4">
          <reference field="4294967294" count="6" selected="0">
            <x v="0"/>
            <x v="1"/>
            <x v="2"/>
            <x v="3"/>
            <x v="4"/>
            <x v="5"/>
          </reference>
          <reference field="2" count="1" selected="0">
            <x v="2"/>
          </reference>
          <reference field="5" count="1" selected="0">
            <x v="3"/>
          </reference>
          <reference field="6" count="1">
            <x v="2"/>
          </reference>
        </references>
      </pivotArea>
    </format>
    <format dxfId="291">
      <pivotArea collapsedLevelsAreSubtotals="1" fieldPosition="0">
        <references count="5">
          <reference field="4294967294" count="6" selected="0">
            <x v="0"/>
            <x v="1"/>
            <x v="2"/>
            <x v="3"/>
            <x v="4"/>
            <x v="5"/>
          </reference>
          <reference field="2" count="1" selected="0">
            <x v="2"/>
          </reference>
          <reference field="5" count="1" selected="0">
            <x v="3"/>
          </reference>
          <reference field="6" count="1" selected="0">
            <x v="2"/>
          </reference>
          <reference field="7" count="1">
            <x v="2"/>
          </reference>
        </references>
      </pivotArea>
    </format>
    <format dxfId="290">
      <pivotArea collapsedLevelsAreSubtotals="1" fieldPosition="0">
        <references count="3">
          <reference field="4294967294" count="6" selected="0">
            <x v="0"/>
            <x v="1"/>
            <x v="2"/>
            <x v="3"/>
            <x v="4"/>
            <x v="5"/>
          </reference>
          <reference field="2" count="1" selected="0">
            <x v="2"/>
          </reference>
          <reference field="5" count="1">
            <x v="14"/>
          </reference>
        </references>
      </pivotArea>
    </format>
    <format dxfId="289">
      <pivotArea collapsedLevelsAreSubtotals="1" fieldPosition="0">
        <references count="4">
          <reference field="4294967294" count="6" selected="0">
            <x v="0"/>
            <x v="1"/>
            <x v="2"/>
            <x v="3"/>
            <x v="4"/>
            <x v="5"/>
          </reference>
          <reference field="2" count="1" selected="0">
            <x v="2"/>
          </reference>
          <reference field="5" count="1" selected="0">
            <x v="14"/>
          </reference>
          <reference field="6" count="1">
            <x v="5"/>
          </reference>
        </references>
      </pivotArea>
    </format>
    <format dxfId="288">
      <pivotArea collapsedLevelsAreSubtotals="1" fieldPosition="0">
        <references count="5">
          <reference field="4294967294" count="6" selected="0">
            <x v="0"/>
            <x v="1"/>
            <x v="2"/>
            <x v="3"/>
            <x v="4"/>
            <x v="5"/>
          </reference>
          <reference field="2" count="1" selected="0">
            <x v="2"/>
          </reference>
          <reference field="5" count="1" selected="0">
            <x v="14"/>
          </reference>
          <reference field="6" count="1" selected="0">
            <x v="5"/>
          </reference>
          <reference field="7" count="1">
            <x v="2"/>
          </reference>
        </references>
      </pivotArea>
    </format>
    <format dxfId="287">
      <pivotArea collapsedLevelsAreSubtotals="1" fieldPosition="0">
        <references count="2">
          <reference field="4294967294" count="6" selected="0">
            <x v="0"/>
            <x v="1"/>
            <x v="2"/>
            <x v="3"/>
            <x v="4"/>
            <x v="5"/>
          </reference>
          <reference field="2" count="1">
            <x v="3"/>
          </reference>
        </references>
      </pivotArea>
    </format>
    <format dxfId="286">
      <pivotArea collapsedLevelsAreSubtotals="1" fieldPosition="0">
        <references count="3">
          <reference field="4294967294" count="6" selected="0">
            <x v="0"/>
            <x v="1"/>
            <x v="2"/>
            <x v="3"/>
            <x v="4"/>
            <x v="5"/>
          </reference>
          <reference field="2" count="1" selected="0">
            <x v="3"/>
          </reference>
          <reference field="5" count="1">
            <x v="0"/>
          </reference>
        </references>
      </pivotArea>
    </format>
    <format dxfId="285">
      <pivotArea collapsedLevelsAreSubtotals="1" fieldPosition="0">
        <references count="4">
          <reference field="4294967294" count="6" selected="0">
            <x v="0"/>
            <x v="1"/>
            <x v="2"/>
            <x v="3"/>
            <x v="4"/>
            <x v="5"/>
          </reference>
          <reference field="2" count="1" selected="0">
            <x v="3"/>
          </reference>
          <reference field="5" count="1" selected="0">
            <x v="0"/>
          </reference>
          <reference field="6" count="1">
            <x v="0"/>
          </reference>
        </references>
      </pivotArea>
    </format>
    <format dxfId="284">
      <pivotArea collapsedLevelsAreSubtotals="1" fieldPosition="0">
        <references count="5">
          <reference field="4294967294" count="6" selected="0">
            <x v="0"/>
            <x v="1"/>
            <x v="2"/>
            <x v="3"/>
            <x v="4"/>
            <x v="5"/>
          </reference>
          <reference field="2" count="1" selected="0">
            <x v="3"/>
          </reference>
          <reference field="5" count="1" selected="0">
            <x v="0"/>
          </reference>
          <reference field="6" count="1" selected="0">
            <x v="0"/>
          </reference>
          <reference field="7" count="1">
            <x v="0"/>
          </reference>
        </references>
      </pivotArea>
    </format>
    <format dxfId="283">
      <pivotArea collapsedLevelsAreSubtotals="1" fieldPosition="0">
        <references count="3">
          <reference field="4294967294" count="6" selected="0">
            <x v="0"/>
            <x v="1"/>
            <x v="2"/>
            <x v="3"/>
            <x v="4"/>
            <x v="5"/>
          </reference>
          <reference field="2" count="1" selected="0">
            <x v="3"/>
          </reference>
          <reference field="5" count="1">
            <x v="3"/>
          </reference>
        </references>
      </pivotArea>
    </format>
    <format dxfId="282">
      <pivotArea collapsedLevelsAreSubtotals="1" fieldPosition="0">
        <references count="4">
          <reference field="4294967294" count="6" selected="0">
            <x v="0"/>
            <x v="1"/>
            <x v="2"/>
            <x v="3"/>
            <x v="4"/>
            <x v="5"/>
          </reference>
          <reference field="2" count="1" selected="0">
            <x v="3"/>
          </reference>
          <reference field="5" count="1" selected="0">
            <x v="3"/>
          </reference>
          <reference field="6" count="1">
            <x v="2"/>
          </reference>
        </references>
      </pivotArea>
    </format>
    <format dxfId="281">
      <pivotArea collapsedLevelsAreSubtotals="1" fieldPosition="0">
        <references count="5">
          <reference field="4294967294" count="6" selected="0">
            <x v="0"/>
            <x v="1"/>
            <x v="2"/>
            <x v="3"/>
            <x v="4"/>
            <x v="5"/>
          </reference>
          <reference field="2" count="1" selected="0">
            <x v="3"/>
          </reference>
          <reference field="5" count="1" selected="0">
            <x v="3"/>
          </reference>
          <reference field="6" count="1" selected="0">
            <x v="2"/>
          </reference>
          <reference field="7" count="1">
            <x v="2"/>
          </reference>
        </references>
      </pivotArea>
    </format>
    <format dxfId="280">
      <pivotArea collapsedLevelsAreSubtotals="1" fieldPosition="0">
        <references count="3">
          <reference field="4294967294" count="6" selected="0">
            <x v="0"/>
            <x v="1"/>
            <x v="2"/>
            <x v="3"/>
            <x v="4"/>
            <x v="5"/>
          </reference>
          <reference field="2" count="1" selected="0">
            <x v="3"/>
          </reference>
          <reference field="5" count="1">
            <x v="19"/>
          </reference>
        </references>
      </pivotArea>
    </format>
    <format dxfId="279">
      <pivotArea collapsedLevelsAreSubtotals="1" fieldPosition="0">
        <references count="4">
          <reference field="4294967294" count="6" selected="0">
            <x v="0"/>
            <x v="1"/>
            <x v="2"/>
            <x v="3"/>
            <x v="4"/>
            <x v="5"/>
          </reference>
          <reference field="2" count="1" selected="0">
            <x v="3"/>
          </reference>
          <reference field="5" count="1" selected="0">
            <x v="19"/>
          </reference>
          <reference field="6" count="1">
            <x v="13"/>
          </reference>
        </references>
      </pivotArea>
    </format>
    <format dxfId="278">
      <pivotArea collapsedLevelsAreSubtotals="1" fieldPosition="0">
        <references count="5">
          <reference field="4294967294" count="6" selected="0">
            <x v="0"/>
            <x v="1"/>
            <x v="2"/>
            <x v="3"/>
            <x v="4"/>
            <x v="5"/>
          </reference>
          <reference field="2" count="1" selected="0">
            <x v="3"/>
          </reference>
          <reference field="5" count="1" selected="0">
            <x v="19"/>
          </reference>
          <reference field="6" count="1" selected="0">
            <x v="13"/>
          </reference>
          <reference field="7" count="1">
            <x v="3"/>
          </reference>
        </references>
      </pivotArea>
    </format>
    <format dxfId="277">
      <pivotArea collapsedLevelsAreSubtotals="1" fieldPosition="0">
        <references count="3">
          <reference field="4294967294" count="6" selected="0">
            <x v="0"/>
            <x v="1"/>
            <x v="2"/>
            <x v="3"/>
            <x v="4"/>
            <x v="5"/>
          </reference>
          <reference field="2" count="1" selected="0">
            <x v="3"/>
          </reference>
          <reference field="5" count="1">
            <x v="20"/>
          </reference>
        </references>
      </pivotArea>
    </format>
    <format dxfId="276">
      <pivotArea collapsedLevelsAreSubtotals="1" fieldPosition="0">
        <references count="4">
          <reference field="4294967294" count="6" selected="0">
            <x v="0"/>
            <x v="1"/>
            <x v="2"/>
            <x v="3"/>
            <x v="4"/>
            <x v="5"/>
          </reference>
          <reference field="2" count="1" selected="0">
            <x v="3"/>
          </reference>
          <reference field="5" count="1" selected="0">
            <x v="20"/>
          </reference>
          <reference field="6" count="1">
            <x v="13"/>
          </reference>
        </references>
      </pivotArea>
    </format>
    <format dxfId="275">
      <pivotArea collapsedLevelsAreSubtotals="1" fieldPosition="0">
        <references count="5">
          <reference field="4294967294" count="6" selected="0">
            <x v="0"/>
            <x v="1"/>
            <x v="2"/>
            <x v="3"/>
            <x v="4"/>
            <x v="5"/>
          </reference>
          <reference field="2" count="1" selected="0">
            <x v="3"/>
          </reference>
          <reference field="5" count="1" selected="0">
            <x v="20"/>
          </reference>
          <reference field="6" count="1" selected="0">
            <x v="13"/>
          </reference>
          <reference field="7" count="1">
            <x v="3"/>
          </reference>
        </references>
      </pivotArea>
    </format>
    <format dxfId="274">
      <pivotArea collapsedLevelsAreSubtotals="1" fieldPosition="0">
        <references count="3">
          <reference field="4294967294" count="6" selected="0">
            <x v="0"/>
            <x v="1"/>
            <x v="2"/>
            <x v="3"/>
            <x v="4"/>
            <x v="5"/>
          </reference>
          <reference field="2" count="1" selected="0">
            <x v="3"/>
          </reference>
          <reference field="5" count="1">
            <x v="21"/>
          </reference>
        </references>
      </pivotArea>
    </format>
    <format dxfId="273">
      <pivotArea collapsedLevelsAreSubtotals="1" fieldPosition="0">
        <references count="4">
          <reference field="4294967294" count="6" selected="0">
            <x v="0"/>
            <x v="1"/>
            <x v="2"/>
            <x v="3"/>
            <x v="4"/>
            <x v="5"/>
          </reference>
          <reference field="2" count="1" selected="0">
            <x v="3"/>
          </reference>
          <reference field="5" count="1" selected="0">
            <x v="21"/>
          </reference>
          <reference field="6" count="1">
            <x v="7"/>
          </reference>
        </references>
      </pivotArea>
    </format>
    <format dxfId="272">
      <pivotArea collapsedLevelsAreSubtotals="1" fieldPosition="0">
        <references count="5">
          <reference field="4294967294" count="6" selected="0">
            <x v="0"/>
            <x v="1"/>
            <x v="2"/>
            <x v="3"/>
            <x v="4"/>
            <x v="5"/>
          </reference>
          <reference field="2" count="1" selected="0">
            <x v="3"/>
          </reference>
          <reference field="5" count="1" selected="0">
            <x v="21"/>
          </reference>
          <reference field="6" count="1" selected="0">
            <x v="7"/>
          </reference>
          <reference field="7" count="1">
            <x v="3"/>
          </reference>
        </references>
      </pivotArea>
    </format>
    <format dxfId="271">
      <pivotArea collapsedLevelsAreSubtotals="1" fieldPosition="0">
        <references count="2">
          <reference field="4294967294" count="6" selected="0">
            <x v="0"/>
            <x v="1"/>
            <x v="2"/>
            <x v="3"/>
            <x v="4"/>
            <x v="5"/>
          </reference>
          <reference field="2" count="1">
            <x v="4"/>
          </reference>
        </references>
      </pivotArea>
    </format>
    <format dxfId="270">
      <pivotArea collapsedLevelsAreSubtotals="1" fieldPosition="0">
        <references count="3">
          <reference field="4294967294" count="6" selected="0">
            <x v="0"/>
            <x v="1"/>
            <x v="2"/>
            <x v="3"/>
            <x v="4"/>
            <x v="5"/>
          </reference>
          <reference field="2" count="1" selected="0">
            <x v="4"/>
          </reference>
          <reference field="5" count="1">
            <x v="0"/>
          </reference>
        </references>
      </pivotArea>
    </format>
    <format dxfId="269">
      <pivotArea collapsedLevelsAreSubtotals="1" fieldPosition="0">
        <references count="4">
          <reference field="4294967294" count="6" selected="0">
            <x v="0"/>
            <x v="1"/>
            <x v="2"/>
            <x v="3"/>
            <x v="4"/>
            <x v="5"/>
          </reference>
          <reference field="2" count="1" selected="0">
            <x v="4"/>
          </reference>
          <reference field="5" count="1" selected="0">
            <x v="0"/>
          </reference>
          <reference field="6" count="1">
            <x v="0"/>
          </reference>
        </references>
      </pivotArea>
    </format>
    <format dxfId="268">
      <pivotArea collapsedLevelsAreSubtotals="1" fieldPosition="0">
        <references count="5">
          <reference field="4294967294" count="6" selected="0">
            <x v="0"/>
            <x v="1"/>
            <x v="2"/>
            <x v="3"/>
            <x v="4"/>
            <x v="5"/>
          </reference>
          <reference field="2" count="1" selected="0">
            <x v="4"/>
          </reference>
          <reference field="5" count="1" selected="0">
            <x v="0"/>
          </reference>
          <reference field="6" count="1" selected="0">
            <x v="0"/>
          </reference>
          <reference field="7" count="1">
            <x v="0"/>
          </reference>
        </references>
      </pivotArea>
    </format>
    <format dxfId="267">
      <pivotArea collapsedLevelsAreSubtotals="1" fieldPosition="0">
        <references count="2">
          <reference field="4294967294" count="6" selected="0">
            <x v="0"/>
            <x v="1"/>
            <x v="2"/>
            <x v="3"/>
            <x v="4"/>
            <x v="5"/>
          </reference>
          <reference field="2" count="1">
            <x v="5"/>
          </reference>
        </references>
      </pivotArea>
    </format>
    <format dxfId="266">
      <pivotArea collapsedLevelsAreSubtotals="1" fieldPosition="0">
        <references count="3">
          <reference field="4294967294" count="6" selected="0">
            <x v="0"/>
            <x v="1"/>
            <x v="2"/>
            <x v="3"/>
            <x v="4"/>
            <x v="5"/>
          </reference>
          <reference field="2" count="1" selected="0">
            <x v="5"/>
          </reference>
          <reference field="5" count="1">
            <x v="0"/>
          </reference>
        </references>
      </pivotArea>
    </format>
    <format dxfId="265">
      <pivotArea collapsedLevelsAreSubtotals="1" fieldPosition="0">
        <references count="4">
          <reference field="4294967294" count="6" selected="0">
            <x v="0"/>
            <x v="1"/>
            <x v="2"/>
            <x v="3"/>
            <x v="4"/>
            <x v="5"/>
          </reference>
          <reference field="2" count="1" selected="0">
            <x v="5"/>
          </reference>
          <reference field="5" count="1" selected="0">
            <x v="0"/>
          </reference>
          <reference field="6" count="1">
            <x v="0"/>
          </reference>
        </references>
      </pivotArea>
    </format>
    <format dxfId="264">
      <pivotArea collapsedLevelsAreSubtotals="1" fieldPosition="0">
        <references count="5">
          <reference field="4294967294" count="6" selected="0">
            <x v="0"/>
            <x v="1"/>
            <x v="2"/>
            <x v="3"/>
            <x v="4"/>
            <x v="5"/>
          </reference>
          <reference field="2" count="1" selected="0">
            <x v="5"/>
          </reference>
          <reference field="5" count="1" selected="0">
            <x v="0"/>
          </reference>
          <reference field="6" count="1" selected="0">
            <x v="0"/>
          </reference>
          <reference field="7" count="1">
            <x v="0"/>
          </reference>
        </references>
      </pivotArea>
    </format>
    <format dxfId="263">
      <pivotArea collapsedLevelsAreSubtotals="1" fieldPosition="0">
        <references count="2">
          <reference field="4294967294" count="6" selected="0">
            <x v="0"/>
            <x v="1"/>
            <x v="2"/>
            <x v="3"/>
            <x v="4"/>
            <x v="5"/>
          </reference>
          <reference field="2" count="1">
            <x v="6"/>
          </reference>
        </references>
      </pivotArea>
    </format>
    <format dxfId="262">
      <pivotArea collapsedLevelsAreSubtotals="1" fieldPosition="0">
        <references count="3">
          <reference field="4294967294" count="6" selected="0">
            <x v="0"/>
            <x v="1"/>
            <x v="2"/>
            <x v="3"/>
            <x v="4"/>
            <x v="5"/>
          </reference>
          <reference field="2" count="1" selected="0">
            <x v="6"/>
          </reference>
          <reference field="5" count="1">
            <x v="0"/>
          </reference>
        </references>
      </pivotArea>
    </format>
    <format dxfId="261">
      <pivotArea collapsedLevelsAreSubtotals="1" fieldPosition="0">
        <references count="4">
          <reference field="4294967294" count="6" selected="0">
            <x v="0"/>
            <x v="1"/>
            <x v="2"/>
            <x v="3"/>
            <x v="4"/>
            <x v="5"/>
          </reference>
          <reference field="2" count="1" selected="0">
            <x v="6"/>
          </reference>
          <reference field="5" count="1" selected="0">
            <x v="0"/>
          </reference>
          <reference field="6" count="1">
            <x v="0"/>
          </reference>
        </references>
      </pivotArea>
    </format>
    <format dxfId="260">
      <pivotArea collapsedLevelsAreSubtotals="1" fieldPosition="0">
        <references count="5">
          <reference field="4294967294" count="6" selected="0">
            <x v="0"/>
            <x v="1"/>
            <x v="2"/>
            <x v="3"/>
            <x v="4"/>
            <x v="5"/>
          </reference>
          <reference field="2" count="1" selected="0">
            <x v="6"/>
          </reference>
          <reference field="5" count="1" selected="0">
            <x v="0"/>
          </reference>
          <reference field="6" count="1" selected="0">
            <x v="0"/>
          </reference>
          <reference field="7" count="1">
            <x v="0"/>
          </reference>
        </references>
      </pivotArea>
    </format>
    <format dxfId="259">
      <pivotArea collapsedLevelsAreSubtotals="1" fieldPosition="0">
        <references count="2">
          <reference field="4294967294" count="6" selected="0">
            <x v="0"/>
            <x v="1"/>
            <x v="2"/>
            <x v="3"/>
            <x v="4"/>
            <x v="5"/>
          </reference>
          <reference field="2" count="1">
            <x v="7"/>
          </reference>
        </references>
      </pivotArea>
    </format>
    <format dxfId="258">
      <pivotArea collapsedLevelsAreSubtotals="1" fieldPosition="0">
        <references count="3">
          <reference field="4294967294" count="6" selected="0">
            <x v="0"/>
            <x v="1"/>
            <x v="2"/>
            <x v="3"/>
            <x v="4"/>
            <x v="5"/>
          </reference>
          <reference field="2" count="1" selected="0">
            <x v="7"/>
          </reference>
          <reference field="5" count="1">
            <x v="0"/>
          </reference>
        </references>
      </pivotArea>
    </format>
    <format dxfId="257">
      <pivotArea collapsedLevelsAreSubtotals="1" fieldPosition="0">
        <references count="4">
          <reference field="4294967294" count="6" selected="0">
            <x v="0"/>
            <x v="1"/>
            <x v="2"/>
            <x v="3"/>
            <x v="4"/>
            <x v="5"/>
          </reference>
          <reference field="2" count="1" selected="0">
            <x v="7"/>
          </reference>
          <reference field="5" count="1" selected="0">
            <x v="0"/>
          </reference>
          <reference field="6" count="1">
            <x v="0"/>
          </reference>
        </references>
      </pivotArea>
    </format>
    <format dxfId="256">
      <pivotArea collapsedLevelsAreSubtotals="1" fieldPosition="0">
        <references count="5">
          <reference field="4294967294" count="6" selected="0">
            <x v="0"/>
            <x v="1"/>
            <x v="2"/>
            <x v="3"/>
            <x v="4"/>
            <x v="5"/>
          </reference>
          <reference field="2" count="1" selected="0">
            <x v="7"/>
          </reference>
          <reference field="5" count="1" selected="0">
            <x v="0"/>
          </reference>
          <reference field="6" count="1" selected="0">
            <x v="0"/>
          </reference>
          <reference field="7" count="1">
            <x v="0"/>
          </reference>
        </references>
      </pivotArea>
    </format>
    <format dxfId="255">
      <pivotArea collapsedLevelsAreSubtotals="1" fieldPosition="0">
        <references count="2">
          <reference field="4294967294" count="6" selected="0">
            <x v="0"/>
            <x v="1"/>
            <x v="2"/>
            <x v="3"/>
            <x v="4"/>
            <x v="5"/>
          </reference>
          <reference field="2" count="1">
            <x v="8"/>
          </reference>
        </references>
      </pivotArea>
    </format>
    <format dxfId="254">
      <pivotArea collapsedLevelsAreSubtotals="1" fieldPosition="0">
        <references count="3">
          <reference field="4294967294" count="6" selected="0">
            <x v="0"/>
            <x v="1"/>
            <x v="2"/>
            <x v="3"/>
            <x v="4"/>
            <x v="5"/>
          </reference>
          <reference field="2" count="1" selected="0">
            <x v="8"/>
          </reference>
          <reference field="5" count="1">
            <x v="0"/>
          </reference>
        </references>
      </pivotArea>
    </format>
    <format dxfId="253">
      <pivotArea collapsedLevelsAreSubtotals="1" fieldPosition="0">
        <references count="4">
          <reference field="4294967294" count="6" selected="0">
            <x v="0"/>
            <x v="1"/>
            <x v="2"/>
            <x v="3"/>
            <x v="4"/>
            <x v="5"/>
          </reference>
          <reference field="2" count="1" selected="0">
            <x v="8"/>
          </reference>
          <reference field="5" count="1" selected="0">
            <x v="0"/>
          </reference>
          <reference field="6" count="1">
            <x v="0"/>
          </reference>
        </references>
      </pivotArea>
    </format>
    <format dxfId="252">
      <pivotArea collapsedLevelsAreSubtotals="1" fieldPosition="0">
        <references count="5">
          <reference field="4294967294" count="6" selected="0">
            <x v="0"/>
            <x v="1"/>
            <x v="2"/>
            <x v="3"/>
            <x v="4"/>
            <x v="5"/>
          </reference>
          <reference field="2" count="1" selected="0">
            <x v="8"/>
          </reference>
          <reference field="5" count="1" selected="0">
            <x v="0"/>
          </reference>
          <reference field="6" count="1" selected="0">
            <x v="0"/>
          </reference>
          <reference field="7" count="1">
            <x v="0"/>
          </reference>
        </references>
      </pivotArea>
    </format>
    <format dxfId="251">
      <pivotArea collapsedLevelsAreSubtotals="1" fieldPosition="0">
        <references count="2">
          <reference field="4294967294" count="6" selected="0">
            <x v="0"/>
            <x v="1"/>
            <x v="2"/>
            <x v="3"/>
            <x v="4"/>
            <x v="5"/>
          </reference>
          <reference field="2" count="1">
            <x v="9"/>
          </reference>
        </references>
      </pivotArea>
    </format>
    <format dxfId="250">
      <pivotArea collapsedLevelsAreSubtotals="1" fieldPosition="0">
        <references count="3">
          <reference field="4294967294" count="6" selected="0">
            <x v="0"/>
            <x v="1"/>
            <x v="2"/>
            <x v="3"/>
            <x v="4"/>
            <x v="5"/>
          </reference>
          <reference field="2" count="1" selected="0">
            <x v="9"/>
          </reference>
          <reference field="5" count="1">
            <x v="0"/>
          </reference>
        </references>
      </pivotArea>
    </format>
    <format dxfId="249">
      <pivotArea collapsedLevelsAreSubtotals="1" fieldPosition="0">
        <references count="4">
          <reference field="4294967294" count="6" selected="0">
            <x v="0"/>
            <x v="1"/>
            <x v="2"/>
            <x v="3"/>
            <x v="4"/>
            <x v="5"/>
          </reference>
          <reference field="2" count="1" selected="0">
            <x v="9"/>
          </reference>
          <reference field="5" count="1" selected="0">
            <x v="0"/>
          </reference>
          <reference field="6" count="1">
            <x v="0"/>
          </reference>
        </references>
      </pivotArea>
    </format>
    <format dxfId="248">
      <pivotArea collapsedLevelsAreSubtotals="1" fieldPosition="0">
        <references count="5">
          <reference field="4294967294" count="6" selected="0">
            <x v="0"/>
            <x v="1"/>
            <x v="2"/>
            <x v="3"/>
            <x v="4"/>
            <x v="5"/>
          </reference>
          <reference field="2" count="1" selected="0">
            <x v="9"/>
          </reference>
          <reference field="5" count="1" selected="0">
            <x v="0"/>
          </reference>
          <reference field="6" count="1" selected="0">
            <x v="0"/>
          </reference>
          <reference field="7" count="1">
            <x v="0"/>
          </reference>
        </references>
      </pivotArea>
    </format>
    <format dxfId="247">
      <pivotArea collapsedLevelsAreSubtotals="1" fieldPosition="0">
        <references count="2">
          <reference field="4294967294" count="6" selected="0">
            <x v="0"/>
            <x v="1"/>
            <x v="2"/>
            <x v="3"/>
            <x v="4"/>
            <x v="5"/>
          </reference>
          <reference field="2" count="1">
            <x v="10"/>
          </reference>
        </references>
      </pivotArea>
    </format>
    <format dxfId="246">
      <pivotArea collapsedLevelsAreSubtotals="1" fieldPosition="0">
        <references count="3">
          <reference field="4294967294" count="6" selected="0">
            <x v="0"/>
            <x v="1"/>
            <x v="2"/>
            <x v="3"/>
            <x v="4"/>
            <x v="5"/>
          </reference>
          <reference field="2" count="1" selected="0">
            <x v="10"/>
          </reference>
          <reference field="5" count="1">
            <x v="0"/>
          </reference>
        </references>
      </pivotArea>
    </format>
    <format dxfId="245">
      <pivotArea collapsedLevelsAreSubtotals="1" fieldPosition="0">
        <references count="4">
          <reference field="4294967294" count="6" selected="0">
            <x v="0"/>
            <x v="1"/>
            <x v="2"/>
            <x v="3"/>
            <x v="4"/>
            <x v="5"/>
          </reference>
          <reference field="2" count="1" selected="0">
            <x v="10"/>
          </reference>
          <reference field="5" count="1" selected="0">
            <x v="0"/>
          </reference>
          <reference field="6" count="1">
            <x v="0"/>
          </reference>
        </references>
      </pivotArea>
    </format>
    <format dxfId="244">
      <pivotArea collapsedLevelsAreSubtotals="1" fieldPosition="0">
        <references count="5">
          <reference field="4294967294" count="6" selected="0">
            <x v="0"/>
            <x v="1"/>
            <x v="2"/>
            <x v="3"/>
            <x v="4"/>
            <x v="5"/>
          </reference>
          <reference field="2" count="1" selected="0">
            <x v="10"/>
          </reference>
          <reference field="5" count="1" selected="0">
            <x v="0"/>
          </reference>
          <reference field="6" count="1" selected="0">
            <x v="0"/>
          </reference>
          <reference field="7" count="1">
            <x v="0"/>
          </reference>
        </references>
      </pivotArea>
    </format>
    <format dxfId="243">
      <pivotArea collapsedLevelsAreSubtotals="1" fieldPosition="0">
        <references count="3">
          <reference field="4294967294" count="6" selected="0">
            <x v="0"/>
            <x v="1"/>
            <x v="2"/>
            <x v="3"/>
            <x v="4"/>
            <x v="5"/>
          </reference>
          <reference field="2" count="1" selected="0">
            <x v="10"/>
          </reference>
          <reference field="5" count="1">
            <x v="3"/>
          </reference>
        </references>
      </pivotArea>
    </format>
    <format dxfId="242">
      <pivotArea collapsedLevelsAreSubtotals="1" fieldPosition="0">
        <references count="4">
          <reference field="4294967294" count="6" selected="0">
            <x v="0"/>
            <x v="1"/>
            <x v="2"/>
            <x v="3"/>
            <x v="4"/>
            <x v="5"/>
          </reference>
          <reference field="2" count="1" selected="0">
            <x v="10"/>
          </reference>
          <reference field="5" count="1" selected="0">
            <x v="3"/>
          </reference>
          <reference field="6" count="1">
            <x v="2"/>
          </reference>
        </references>
      </pivotArea>
    </format>
    <format dxfId="241">
      <pivotArea collapsedLevelsAreSubtotals="1" fieldPosition="0">
        <references count="5">
          <reference field="4294967294" count="6" selected="0">
            <x v="0"/>
            <x v="1"/>
            <x v="2"/>
            <x v="3"/>
            <x v="4"/>
            <x v="5"/>
          </reference>
          <reference field="2" count="1" selected="0">
            <x v="10"/>
          </reference>
          <reference field="5" count="1" selected="0">
            <x v="3"/>
          </reference>
          <reference field="6" count="1" selected="0">
            <x v="2"/>
          </reference>
          <reference field="7" count="1">
            <x v="2"/>
          </reference>
        </references>
      </pivotArea>
    </format>
    <format dxfId="240">
      <pivotArea collapsedLevelsAreSubtotals="1" fieldPosition="0">
        <references count="3">
          <reference field="4294967294" count="6" selected="0">
            <x v="0"/>
            <x v="1"/>
            <x v="2"/>
            <x v="3"/>
            <x v="4"/>
            <x v="5"/>
          </reference>
          <reference field="2" count="1" selected="0">
            <x v="10"/>
          </reference>
          <reference field="5" count="1">
            <x v="14"/>
          </reference>
        </references>
      </pivotArea>
    </format>
    <format dxfId="239">
      <pivotArea collapsedLevelsAreSubtotals="1" fieldPosition="0">
        <references count="4">
          <reference field="4294967294" count="6" selected="0">
            <x v="0"/>
            <x v="1"/>
            <x v="2"/>
            <x v="3"/>
            <x v="4"/>
            <x v="5"/>
          </reference>
          <reference field="2" count="1" selected="0">
            <x v="10"/>
          </reference>
          <reference field="5" count="1" selected="0">
            <x v="14"/>
          </reference>
          <reference field="6" count="1">
            <x v="5"/>
          </reference>
        </references>
      </pivotArea>
    </format>
    <format dxfId="238">
      <pivotArea collapsedLevelsAreSubtotals="1" fieldPosition="0">
        <references count="5">
          <reference field="4294967294" count="6" selected="0">
            <x v="0"/>
            <x v="1"/>
            <x v="2"/>
            <x v="3"/>
            <x v="4"/>
            <x v="5"/>
          </reference>
          <reference field="2" count="1" selected="0">
            <x v="10"/>
          </reference>
          <reference field="5" count="1" selected="0">
            <x v="14"/>
          </reference>
          <reference field="6" count="1" selected="0">
            <x v="5"/>
          </reference>
          <reference field="7" count="1">
            <x v="2"/>
          </reference>
        </references>
      </pivotArea>
    </format>
    <format dxfId="237">
      <pivotArea collapsedLevelsAreSubtotals="1" fieldPosition="0">
        <references count="3">
          <reference field="4294967294" count="6" selected="0">
            <x v="0"/>
            <x v="1"/>
            <x v="2"/>
            <x v="3"/>
            <x v="4"/>
            <x v="5"/>
          </reference>
          <reference field="2" count="1" selected="0">
            <x v="10"/>
          </reference>
          <reference field="5" count="1">
            <x v="22"/>
          </reference>
        </references>
      </pivotArea>
    </format>
    <format dxfId="236">
      <pivotArea collapsedLevelsAreSubtotals="1" fieldPosition="0">
        <references count="4">
          <reference field="4294967294" count="6" selected="0">
            <x v="0"/>
            <x v="1"/>
            <x v="2"/>
            <x v="3"/>
            <x v="4"/>
            <x v="5"/>
          </reference>
          <reference field="2" count="1" selected="0">
            <x v="10"/>
          </reference>
          <reference field="5" count="1" selected="0">
            <x v="22"/>
          </reference>
          <reference field="6" count="1">
            <x v="15"/>
          </reference>
        </references>
      </pivotArea>
    </format>
    <format dxfId="235">
      <pivotArea collapsedLevelsAreSubtotals="1" fieldPosition="0">
        <references count="5">
          <reference field="4294967294" count="6" selected="0">
            <x v="0"/>
            <x v="1"/>
            <x v="2"/>
            <x v="3"/>
            <x v="4"/>
            <x v="5"/>
          </reference>
          <reference field="2" count="1" selected="0">
            <x v="10"/>
          </reference>
          <reference field="5" count="1" selected="0">
            <x v="22"/>
          </reference>
          <reference field="6" count="1" selected="0">
            <x v="15"/>
          </reference>
          <reference field="7" count="1">
            <x v="6"/>
          </reference>
        </references>
      </pivotArea>
    </format>
    <format dxfId="234">
      <pivotArea collapsedLevelsAreSubtotals="1" fieldPosition="0">
        <references count="3">
          <reference field="4294967294" count="6" selected="0">
            <x v="0"/>
            <x v="1"/>
            <x v="2"/>
            <x v="3"/>
            <x v="4"/>
            <x v="5"/>
          </reference>
          <reference field="2" count="1" selected="0">
            <x v="10"/>
          </reference>
          <reference field="5" count="1">
            <x v="23"/>
          </reference>
        </references>
      </pivotArea>
    </format>
    <format dxfId="233">
      <pivotArea collapsedLevelsAreSubtotals="1" fieldPosition="0">
        <references count="4">
          <reference field="4294967294" count="6" selected="0">
            <x v="0"/>
            <x v="1"/>
            <x v="2"/>
            <x v="3"/>
            <x v="4"/>
            <x v="5"/>
          </reference>
          <reference field="2" count="1" selected="0">
            <x v="10"/>
          </reference>
          <reference field="5" count="1" selected="0">
            <x v="23"/>
          </reference>
          <reference field="6" count="1">
            <x v="2"/>
          </reference>
        </references>
      </pivotArea>
    </format>
    <format dxfId="232">
      <pivotArea collapsedLevelsAreSubtotals="1" fieldPosition="0">
        <references count="5">
          <reference field="4294967294" count="6" selected="0">
            <x v="0"/>
            <x v="1"/>
            <x v="2"/>
            <x v="3"/>
            <x v="4"/>
            <x v="5"/>
          </reference>
          <reference field="2" count="1" selected="0">
            <x v="10"/>
          </reference>
          <reference field="5" count="1" selected="0">
            <x v="23"/>
          </reference>
          <reference field="6" count="1" selected="0">
            <x v="2"/>
          </reference>
          <reference field="7" count="1">
            <x v="2"/>
          </reference>
        </references>
      </pivotArea>
    </format>
    <format dxfId="231">
      <pivotArea collapsedLevelsAreSubtotals="1" fieldPosition="0">
        <references count="3">
          <reference field="4294967294" count="6" selected="0">
            <x v="0"/>
            <x v="1"/>
            <x v="2"/>
            <x v="3"/>
            <x v="4"/>
            <x v="5"/>
          </reference>
          <reference field="2" count="1" selected="0">
            <x v="10"/>
          </reference>
          <reference field="5" count="1">
            <x v="24"/>
          </reference>
        </references>
      </pivotArea>
    </format>
    <format dxfId="230">
      <pivotArea collapsedLevelsAreSubtotals="1" fieldPosition="0">
        <references count="4">
          <reference field="4294967294" count="6" selected="0">
            <x v="0"/>
            <x v="1"/>
            <x v="2"/>
            <x v="3"/>
            <x v="4"/>
            <x v="5"/>
          </reference>
          <reference field="2" count="1" selected="0">
            <x v="10"/>
          </reference>
          <reference field="5" count="1" selected="0">
            <x v="24"/>
          </reference>
          <reference field="6" count="1">
            <x v="9"/>
          </reference>
        </references>
      </pivotArea>
    </format>
    <format dxfId="229">
      <pivotArea collapsedLevelsAreSubtotals="1" fieldPosition="0">
        <references count="5">
          <reference field="4294967294" count="6" selected="0">
            <x v="0"/>
            <x v="1"/>
            <x v="2"/>
            <x v="3"/>
            <x v="4"/>
            <x v="5"/>
          </reference>
          <reference field="2" count="1" selected="0">
            <x v="10"/>
          </reference>
          <reference field="5" count="1" selected="0">
            <x v="24"/>
          </reference>
          <reference field="6" count="1" selected="0">
            <x v="9"/>
          </reference>
          <reference field="7" count="1">
            <x v="1"/>
          </reference>
        </references>
      </pivotArea>
    </format>
    <format dxfId="228">
      <pivotArea collapsedLevelsAreSubtotals="1" fieldPosition="0">
        <references count="2">
          <reference field="4294967294" count="6" selected="0">
            <x v="0"/>
            <x v="1"/>
            <x v="2"/>
            <x v="3"/>
            <x v="4"/>
            <x v="5"/>
          </reference>
          <reference field="2" count="1">
            <x v="11"/>
          </reference>
        </references>
      </pivotArea>
    </format>
    <format dxfId="227">
      <pivotArea collapsedLevelsAreSubtotals="1" fieldPosition="0">
        <references count="3">
          <reference field="4294967294" count="6" selected="0">
            <x v="0"/>
            <x v="1"/>
            <x v="2"/>
            <x v="3"/>
            <x v="4"/>
            <x v="5"/>
          </reference>
          <reference field="2" count="1" selected="0">
            <x v="11"/>
          </reference>
          <reference field="5" count="1">
            <x v="0"/>
          </reference>
        </references>
      </pivotArea>
    </format>
    <format dxfId="226">
      <pivotArea collapsedLevelsAreSubtotals="1" fieldPosition="0">
        <references count="4">
          <reference field="4294967294" count="6" selected="0">
            <x v="0"/>
            <x v="1"/>
            <x v="2"/>
            <x v="3"/>
            <x v="4"/>
            <x v="5"/>
          </reference>
          <reference field="2" count="1" selected="0">
            <x v="11"/>
          </reference>
          <reference field="5" count="1" selected="0">
            <x v="0"/>
          </reference>
          <reference field="6" count="1">
            <x v="0"/>
          </reference>
        </references>
      </pivotArea>
    </format>
    <format dxfId="225">
      <pivotArea collapsedLevelsAreSubtotals="1" fieldPosition="0">
        <references count="5">
          <reference field="4294967294" count="6" selected="0">
            <x v="0"/>
            <x v="1"/>
            <x v="2"/>
            <x v="3"/>
            <x v="4"/>
            <x v="5"/>
          </reference>
          <reference field="2" count="1" selected="0">
            <x v="11"/>
          </reference>
          <reference field="5" count="1" selected="0">
            <x v="0"/>
          </reference>
          <reference field="6" count="1" selected="0">
            <x v="0"/>
          </reference>
          <reference field="7" count="1">
            <x v="0"/>
          </reference>
        </references>
      </pivotArea>
    </format>
    <format dxfId="224">
      <pivotArea collapsedLevelsAreSubtotals="1" fieldPosition="0">
        <references count="3">
          <reference field="4294967294" count="6" selected="0">
            <x v="0"/>
            <x v="1"/>
            <x v="2"/>
            <x v="3"/>
            <x v="4"/>
            <x v="5"/>
          </reference>
          <reference field="2" count="1" selected="0">
            <x v="11"/>
          </reference>
          <reference field="5" count="1">
            <x v="1"/>
          </reference>
        </references>
      </pivotArea>
    </format>
    <format dxfId="223">
      <pivotArea collapsedLevelsAreSubtotals="1" fieldPosition="0">
        <references count="4">
          <reference field="4294967294" count="6" selected="0">
            <x v="0"/>
            <x v="1"/>
            <x v="2"/>
            <x v="3"/>
            <x v="4"/>
            <x v="5"/>
          </reference>
          <reference field="2" count="1" selected="0">
            <x v="11"/>
          </reference>
          <reference field="5" count="1" selected="0">
            <x v="1"/>
          </reference>
          <reference field="6" count="1">
            <x v="1"/>
          </reference>
        </references>
      </pivotArea>
    </format>
    <format dxfId="222">
      <pivotArea collapsedLevelsAreSubtotals="1" fieldPosition="0">
        <references count="5">
          <reference field="4294967294" count="6" selected="0">
            <x v="0"/>
            <x v="1"/>
            <x v="2"/>
            <x v="3"/>
            <x v="4"/>
            <x v="5"/>
          </reference>
          <reference field="2" count="1" selected="0">
            <x v="11"/>
          </reference>
          <reference field="5" count="1" selected="0">
            <x v="1"/>
          </reference>
          <reference field="6" count="1" selected="0">
            <x v="1"/>
          </reference>
          <reference field="7" count="1">
            <x v="1"/>
          </reference>
        </references>
      </pivotArea>
    </format>
    <format dxfId="221">
      <pivotArea collapsedLevelsAreSubtotals="1" fieldPosition="0">
        <references count="3">
          <reference field="4294967294" count="6" selected="0">
            <x v="0"/>
            <x v="1"/>
            <x v="2"/>
            <x v="3"/>
            <x v="4"/>
            <x v="5"/>
          </reference>
          <reference field="2" count="1" selected="0">
            <x v="11"/>
          </reference>
          <reference field="5" count="1">
            <x v="2"/>
          </reference>
        </references>
      </pivotArea>
    </format>
    <format dxfId="220">
      <pivotArea collapsedLevelsAreSubtotals="1" fieldPosition="0">
        <references count="4">
          <reference field="4294967294" count="6" selected="0">
            <x v="0"/>
            <x v="1"/>
            <x v="2"/>
            <x v="3"/>
            <x v="4"/>
            <x v="5"/>
          </reference>
          <reference field="2" count="1" selected="0">
            <x v="11"/>
          </reference>
          <reference field="5" count="1" selected="0">
            <x v="2"/>
          </reference>
          <reference field="6" count="1">
            <x v="1"/>
          </reference>
        </references>
      </pivotArea>
    </format>
    <format dxfId="219">
      <pivotArea collapsedLevelsAreSubtotals="1" fieldPosition="0">
        <references count="5">
          <reference field="4294967294" count="6" selected="0">
            <x v="0"/>
            <x v="1"/>
            <x v="2"/>
            <x v="3"/>
            <x v="4"/>
            <x v="5"/>
          </reference>
          <reference field="2" count="1" selected="0">
            <x v="11"/>
          </reference>
          <reference field="5" count="1" selected="0">
            <x v="2"/>
          </reference>
          <reference field="6" count="1" selected="0">
            <x v="1"/>
          </reference>
          <reference field="7" count="1">
            <x v="1"/>
          </reference>
        </references>
      </pivotArea>
    </format>
    <format dxfId="218">
      <pivotArea collapsedLevelsAreSubtotals="1" fieldPosition="0">
        <references count="3">
          <reference field="4294967294" count="6" selected="0">
            <x v="0"/>
            <x v="1"/>
            <x v="2"/>
            <x v="3"/>
            <x v="4"/>
            <x v="5"/>
          </reference>
          <reference field="2" count="1" selected="0">
            <x v="11"/>
          </reference>
          <reference field="5" count="1">
            <x v="3"/>
          </reference>
        </references>
      </pivotArea>
    </format>
    <format dxfId="217">
      <pivotArea collapsedLevelsAreSubtotals="1" fieldPosition="0">
        <references count="4">
          <reference field="4294967294" count="6" selected="0">
            <x v="0"/>
            <x v="1"/>
            <x v="2"/>
            <x v="3"/>
            <x v="4"/>
            <x v="5"/>
          </reference>
          <reference field="2" count="1" selected="0">
            <x v="11"/>
          </reference>
          <reference field="5" count="1" selected="0">
            <x v="3"/>
          </reference>
          <reference field="6" count="1">
            <x v="2"/>
          </reference>
        </references>
      </pivotArea>
    </format>
    <format dxfId="216">
      <pivotArea collapsedLevelsAreSubtotals="1" fieldPosition="0">
        <references count="5">
          <reference field="4294967294" count="6" selected="0">
            <x v="0"/>
            <x v="1"/>
            <x v="2"/>
            <x v="3"/>
            <x v="4"/>
            <x v="5"/>
          </reference>
          <reference field="2" count="1" selected="0">
            <x v="11"/>
          </reference>
          <reference field="5" count="1" selected="0">
            <x v="3"/>
          </reference>
          <reference field="6" count="1" selected="0">
            <x v="2"/>
          </reference>
          <reference field="7" count="1">
            <x v="2"/>
          </reference>
        </references>
      </pivotArea>
    </format>
    <format dxfId="215">
      <pivotArea collapsedLevelsAreSubtotals="1" fieldPosition="0">
        <references count="3">
          <reference field="4294967294" count="6" selected="0">
            <x v="0"/>
            <x v="1"/>
            <x v="2"/>
            <x v="3"/>
            <x v="4"/>
            <x v="5"/>
          </reference>
          <reference field="2" count="1" selected="0">
            <x v="11"/>
          </reference>
          <reference field="5" count="1">
            <x v="14"/>
          </reference>
        </references>
      </pivotArea>
    </format>
    <format dxfId="214">
      <pivotArea collapsedLevelsAreSubtotals="1" fieldPosition="0">
        <references count="4">
          <reference field="4294967294" count="6" selected="0">
            <x v="0"/>
            <x v="1"/>
            <x v="2"/>
            <x v="3"/>
            <x v="4"/>
            <x v="5"/>
          </reference>
          <reference field="2" count="1" selected="0">
            <x v="11"/>
          </reference>
          <reference field="5" count="1" selected="0">
            <x v="14"/>
          </reference>
          <reference field="6" count="1">
            <x v="5"/>
          </reference>
        </references>
      </pivotArea>
    </format>
    <format dxfId="213">
      <pivotArea collapsedLevelsAreSubtotals="1" fieldPosition="0">
        <references count="5">
          <reference field="4294967294" count="6" selected="0">
            <x v="0"/>
            <x v="1"/>
            <x v="2"/>
            <x v="3"/>
            <x v="4"/>
            <x v="5"/>
          </reference>
          <reference field="2" count="1" selected="0">
            <x v="11"/>
          </reference>
          <reference field="5" count="1" selected="0">
            <x v="14"/>
          </reference>
          <reference field="6" count="1" selected="0">
            <x v="5"/>
          </reference>
          <reference field="7" count="1">
            <x v="2"/>
          </reference>
        </references>
      </pivotArea>
    </format>
    <format dxfId="212">
      <pivotArea collapsedLevelsAreSubtotals="1" fieldPosition="0">
        <references count="3">
          <reference field="4294967294" count="6" selected="0">
            <x v="0"/>
            <x v="1"/>
            <x v="2"/>
            <x v="3"/>
            <x v="4"/>
            <x v="5"/>
          </reference>
          <reference field="2" count="1" selected="0">
            <x v="11"/>
          </reference>
          <reference field="5" count="1">
            <x v="23"/>
          </reference>
        </references>
      </pivotArea>
    </format>
    <format dxfId="211">
      <pivotArea collapsedLevelsAreSubtotals="1" fieldPosition="0">
        <references count="4">
          <reference field="4294967294" count="6" selected="0">
            <x v="0"/>
            <x v="1"/>
            <x v="2"/>
            <x v="3"/>
            <x v="4"/>
            <x v="5"/>
          </reference>
          <reference field="2" count="1" selected="0">
            <x v="11"/>
          </reference>
          <reference field="5" count="1" selected="0">
            <x v="23"/>
          </reference>
          <reference field="6" count="1">
            <x v="2"/>
          </reference>
        </references>
      </pivotArea>
    </format>
    <format dxfId="210">
      <pivotArea collapsedLevelsAreSubtotals="1" fieldPosition="0">
        <references count="5">
          <reference field="4294967294" count="6" selected="0">
            <x v="0"/>
            <x v="1"/>
            <x v="2"/>
            <x v="3"/>
            <x v="4"/>
            <x v="5"/>
          </reference>
          <reference field="2" count="1" selected="0">
            <x v="11"/>
          </reference>
          <reference field="5" count="1" selected="0">
            <x v="23"/>
          </reference>
          <reference field="6" count="1" selected="0">
            <x v="2"/>
          </reference>
          <reference field="7" count="1">
            <x v="2"/>
          </reference>
        </references>
      </pivotArea>
    </format>
    <format dxfId="209">
      <pivotArea collapsedLevelsAreSubtotals="1" fieldPosition="0">
        <references count="3">
          <reference field="4294967294" count="6" selected="0">
            <x v="0"/>
            <x v="1"/>
            <x v="2"/>
            <x v="3"/>
            <x v="4"/>
            <x v="5"/>
          </reference>
          <reference field="2" count="1" selected="0">
            <x v="11"/>
          </reference>
          <reference field="5" count="1">
            <x v="25"/>
          </reference>
        </references>
      </pivotArea>
    </format>
    <format dxfId="208">
      <pivotArea collapsedLevelsAreSubtotals="1" fieldPosition="0">
        <references count="4">
          <reference field="4294967294" count="6" selected="0">
            <x v="0"/>
            <x v="1"/>
            <x v="2"/>
            <x v="3"/>
            <x v="4"/>
            <x v="5"/>
          </reference>
          <reference field="2" count="1" selected="0">
            <x v="11"/>
          </reference>
          <reference field="5" count="1" selected="0">
            <x v="25"/>
          </reference>
          <reference field="6" count="1">
            <x v="13"/>
          </reference>
        </references>
      </pivotArea>
    </format>
    <format dxfId="207">
      <pivotArea collapsedLevelsAreSubtotals="1" fieldPosition="0">
        <references count="5">
          <reference field="4294967294" count="6" selected="0">
            <x v="0"/>
            <x v="1"/>
            <x v="2"/>
            <x v="3"/>
            <x v="4"/>
            <x v="5"/>
          </reference>
          <reference field="2" count="1" selected="0">
            <x v="11"/>
          </reference>
          <reference field="5" count="1" selected="0">
            <x v="25"/>
          </reference>
          <reference field="6" count="1" selected="0">
            <x v="13"/>
          </reference>
          <reference field="7" count="1">
            <x v="3"/>
          </reference>
        </references>
      </pivotArea>
    </format>
    <format dxfId="206">
      <pivotArea collapsedLevelsAreSubtotals="1" fieldPosition="0">
        <references count="3">
          <reference field="4294967294" count="6" selected="0">
            <x v="0"/>
            <x v="1"/>
            <x v="2"/>
            <x v="3"/>
            <x v="4"/>
            <x v="5"/>
          </reference>
          <reference field="2" count="1" selected="0">
            <x v="11"/>
          </reference>
          <reference field="5" count="1">
            <x v="26"/>
          </reference>
        </references>
      </pivotArea>
    </format>
    <format dxfId="205">
      <pivotArea collapsedLevelsAreSubtotals="1" fieldPosition="0">
        <references count="4">
          <reference field="4294967294" count="6" selected="0">
            <x v="0"/>
            <x v="1"/>
            <x v="2"/>
            <x v="3"/>
            <x v="4"/>
            <x v="5"/>
          </reference>
          <reference field="2" count="1" selected="0">
            <x v="11"/>
          </reference>
          <reference field="5" count="1" selected="0">
            <x v="26"/>
          </reference>
          <reference field="6" count="1">
            <x v="13"/>
          </reference>
        </references>
      </pivotArea>
    </format>
    <format dxfId="204">
      <pivotArea collapsedLevelsAreSubtotals="1" fieldPosition="0">
        <references count="5">
          <reference field="4294967294" count="6" selected="0">
            <x v="0"/>
            <x v="1"/>
            <x v="2"/>
            <x v="3"/>
            <x v="4"/>
            <x v="5"/>
          </reference>
          <reference field="2" count="1" selected="0">
            <x v="11"/>
          </reference>
          <reference field="5" count="1" selected="0">
            <x v="26"/>
          </reference>
          <reference field="6" count="1" selected="0">
            <x v="13"/>
          </reference>
          <reference field="7" count="1">
            <x v="3"/>
          </reference>
        </references>
      </pivotArea>
    </format>
    <format dxfId="203">
      <pivotArea collapsedLevelsAreSubtotals="1" fieldPosition="0">
        <references count="3">
          <reference field="4294967294" count="6" selected="0">
            <x v="0"/>
            <x v="1"/>
            <x v="2"/>
            <x v="3"/>
            <x v="4"/>
            <x v="5"/>
          </reference>
          <reference field="2" count="1" selected="0">
            <x v="11"/>
          </reference>
          <reference field="5" count="1">
            <x v="27"/>
          </reference>
        </references>
      </pivotArea>
    </format>
    <format dxfId="202">
      <pivotArea collapsedLevelsAreSubtotals="1" fieldPosition="0">
        <references count="4">
          <reference field="4294967294" count="6" selected="0">
            <x v="0"/>
            <x v="1"/>
            <x v="2"/>
            <x v="3"/>
            <x v="4"/>
            <x v="5"/>
          </reference>
          <reference field="2" count="1" selected="0">
            <x v="11"/>
          </reference>
          <reference field="5" count="1" selected="0">
            <x v="27"/>
          </reference>
          <reference field="6" count="1">
            <x v="2"/>
          </reference>
        </references>
      </pivotArea>
    </format>
    <format dxfId="201">
      <pivotArea collapsedLevelsAreSubtotals="1" fieldPosition="0">
        <references count="5">
          <reference field="4294967294" count="6" selected="0">
            <x v="0"/>
            <x v="1"/>
            <x v="2"/>
            <x v="3"/>
            <x v="4"/>
            <x v="5"/>
          </reference>
          <reference field="2" count="1" selected="0">
            <x v="11"/>
          </reference>
          <reference field="5" count="1" selected="0">
            <x v="27"/>
          </reference>
          <reference field="6" count="1" selected="0">
            <x v="2"/>
          </reference>
          <reference field="7" count="1">
            <x v="2"/>
          </reference>
        </references>
      </pivotArea>
    </format>
    <format dxfId="200">
      <pivotArea collapsedLevelsAreSubtotals="1" fieldPosition="0">
        <references count="3">
          <reference field="4294967294" count="6" selected="0">
            <x v="0"/>
            <x v="1"/>
            <x v="2"/>
            <x v="3"/>
            <x v="4"/>
            <x v="5"/>
          </reference>
          <reference field="2" count="1" selected="0">
            <x v="11"/>
          </reference>
          <reference field="5" count="1">
            <x v="28"/>
          </reference>
        </references>
      </pivotArea>
    </format>
    <format dxfId="199">
      <pivotArea collapsedLevelsAreSubtotals="1" fieldPosition="0">
        <references count="4">
          <reference field="4294967294" count="6" selected="0">
            <x v="0"/>
            <x v="1"/>
            <x v="2"/>
            <x v="3"/>
            <x v="4"/>
            <x v="5"/>
          </reference>
          <reference field="2" count="1" selected="0">
            <x v="11"/>
          </reference>
          <reference field="5" count="1" selected="0">
            <x v="28"/>
          </reference>
          <reference field="6" count="1">
            <x v="4"/>
          </reference>
        </references>
      </pivotArea>
    </format>
    <format dxfId="198">
      <pivotArea collapsedLevelsAreSubtotals="1" fieldPosition="0">
        <references count="5">
          <reference field="4294967294" count="6" selected="0">
            <x v="0"/>
            <x v="1"/>
            <x v="2"/>
            <x v="3"/>
            <x v="4"/>
            <x v="5"/>
          </reference>
          <reference field="2" count="1" selected="0">
            <x v="11"/>
          </reference>
          <reference field="5" count="1" selected="0">
            <x v="28"/>
          </reference>
          <reference field="6" count="1" selected="0">
            <x v="4"/>
          </reference>
          <reference field="7" count="1">
            <x v="3"/>
          </reference>
        </references>
      </pivotArea>
    </format>
    <format dxfId="197">
      <pivotArea collapsedLevelsAreSubtotals="1" fieldPosition="0">
        <references count="3">
          <reference field="4294967294" count="6" selected="0">
            <x v="0"/>
            <x v="1"/>
            <x v="2"/>
            <x v="3"/>
            <x v="4"/>
            <x v="5"/>
          </reference>
          <reference field="2" count="1" selected="0">
            <x v="11"/>
          </reference>
          <reference field="5" count="1">
            <x v="29"/>
          </reference>
        </references>
      </pivotArea>
    </format>
    <format dxfId="196">
      <pivotArea collapsedLevelsAreSubtotals="1" fieldPosition="0">
        <references count="4">
          <reference field="4294967294" count="6" selected="0">
            <x v="0"/>
            <x v="1"/>
            <x v="2"/>
            <x v="3"/>
            <x v="4"/>
            <x v="5"/>
          </reference>
          <reference field="2" count="1" selected="0">
            <x v="11"/>
          </reference>
          <reference field="5" count="1" selected="0">
            <x v="29"/>
          </reference>
          <reference field="6" count="1">
            <x v="4"/>
          </reference>
        </references>
      </pivotArea>
    </format>
    <format dxfId="195">
      <pivotArea collapsedLevelsAreSubtotals="1" fieldPosition="0">
        <references count="5">
          <reference field="4294967294" count="6" selected="0">
            <x v="0"/>
            <x v="1"/>
            <x v="2"/>
            <x v="3"/>
            <x v="4"/>
            <x v="5"/>
          </reference>
          <reference field="2" count="1" selected="0">
            <x v="11"/>
          </reference>
          <reference field="5" count="1" selected="0">
            <x v="29"/>
          </reference>
          <reference field="6" count="1" selected="0">
            <x v="4"/>
          </reference>
          <reference field="7" count="1">
            <x v="3"/>
          </reference>
        </references>
      </pivotArea>
    </format>
    <format dxfId="194">
      <pivotArea collapsedLevelsAreSubtotals="1" fieldPosition="0">
        <references count="2">
          <reference field="4294967294" count="6" selected="0">
            <x v="0"/>
            <x v="1"/>
            <x v="2"/>
            <x v="3"/>
            <x v="4"/>
            <x v="5"/>
          </reference>
          <reference field="2" count="1">
            <x v="12"/>
          </reference>
        </references>
      </pivotArea>
    </format>
    <format dxfId="193">
      <pivotArea collapsedLevelsAreSubtotals="1" fieldPosition="0">
        <references count="3">
          <reference field="4294967294" count="6" selected="0">
            <x v="0"/>
            <x v="1"/>
            <x v="2"/>
            <x v="3"/>
            <x v="4"/>
            <x v="5"/>
          </reference>
          <reference field="2" count="1" selected="0">
            <x v="12"/>
          </reference>
          <reference field="5" count="1">
            <x v="0"/>
          </reference>
        </references>
      </pivotArea>
    </format>
    <format dxfId="192">
      <pivotArea collapsedLevelsAreSubtotals="1" fieldPosition="0">
        <references count="4">
          <reference field="4294967294" count="6" selected="0">
            <x v="0"/>
            <x v="1"/>
            <x v="2"/>
            <x v="3"/>
            <x v="4"/>
            <x v="5"/>
          </reference>
          <reference field="2" count="1" selected="0">
            <x v="12"/>
          </reference>
          <reference field="5" count="1" selected="0">
            <x v="0"/>
          </reference>
          <reference field="6" count="1">
            <x v="0"/>
          </reference>
        </references>
      </pivotArea>
    </format>
    <format dxfId="191">
      <pivotArea collapsedLevelsAreSubtotals="1" fieldPosition="0">
        <references count="5">
          <reference field="4294967294" count="6" selected="0">
            <x v="0"/>
            <x v="1"/>
            <x v="2"/>
            <x v="3"/>
            <x v="4"/>
            <x v="5"/>
          </reference>
          <reference field="2" count="1" selected="0">
            <x v="12"/>
          </reference>
          <reference field="5" count="1" selected="0">
            <x v="0"/>
          </reference>
          <reference field="6" count="1" selected="0">
            <x v="0"/>
          </reference>
          <reference field="7" count="1">
            <x v="0"/>
          </reference>
        </references>
      </pivotArea>
    </format>
    <format dxfId="190">
      <pivotArea collapsedLevelsAreSubtotals="1" fieldPosition="0">
        <references count="3">
          <reference field="4294967294" count="6" selected="0">
            <x v="0"/>
            <x v="1"/>
            <x v="2"/>
            <x v="3"/>
            <x v="4"/>
            <x v="5"/>
          </reference>
          <reference field="2" count="1" selected="0">
            <x v="12"/>
          </reference>
          <reference field="5" count="1">
            <x v="3"/>
          </reference>
        </references>
      </pivotArea>
    </format>
    <format dxfId="189">
      <pivotArea collapsedLevelsAreSubtotals="1" fieldPosition="0">
        <references count="4">
          <reference field="4294967294" count="6" selected="0">
            <x v="0"/>
            <x v="1"/>
            <x v="2"/>
            <x v="3"/>
            <x v="4"/>
            <x v="5"/>
          </reference>
          <reference field="2" count="1" selected="0">
            <x v="12"/>
          </reference>
          <reference field="5" count="1" selected="0">
            <x v="3"/>
          </reference>
          <reference field="6" count="1">
            <x v="2"/>
          </reference>
        </references>
      </pivotArea>
    </format>
    <format dxfId="188">
      <pivotArea collapsedLevelsAreSubtotals="1" fieldPosition="0">
        <references count="5">
          <reference field="4294967294" count="6" selected="0">
            <x v="0"/>
            <x v="1"/>
            <x v="2"/>
            <x v="3"/>
            <x v="4"/>
            <x v="5"/>
          </reference>
          <reference field="2" count="1" selected="0">
            <x v="12"/>
          </reference>
          <reference field="5" count="1" selected="0">
            <x v="3"/>
          </reference>
          <reference field="6" count="1" selected="0">
            <x v="2"/>
          </reference>
          <reference field="7" count="1">
            <x v="2"/>
          </reference>
        </references>
      </pivotArea>
    </format>
    <format dxfId="187">
      <pivotArea collapsedLevelsAreSubtotals="1" fieldPosition="0">
        <references count="4">
          <reference field="4294967294" count="6" selected="0">
            <x v="0"/>
            <x v="1"/>
            <x v="2"/>
            <x v="3"/>
            <x v="4"/>
            <x v="5"/>
          </reference>
          <reference field="2" count="1" selected="0">
            <x v="12"/>
          </reference>
          <reference field="5" count="1" selected="0">
            <x v="3"/>
          </reference>
          <reference field="6" count="1">
            <x v="5"/>
          </reference>
        </references>
      </pivotArea>
    </format>
    <format dxfId="186">
      <pivotArea collapsedLevelsAreSubtotals="1" fieldPosition="0">
        <references count="5">
          <reference field="4294967294" count="6" selected="0">
            <x v="0"/>
            <x v="1"/>
            <x v="2"/>
            <x v="3"/>
            <x v="4"/>
            <x v="5"/>
          </reference>
          <reference field="2" count="1" selected="0">
            <x v="12"/>
          </reference>
          <reference field="5" count="1" selected="0">
            <x v="3"/>
          </reference>
          <reference field="6" count="1" selected="0">
            <x v="5"/>
          </reference>
          <reference field="7" count="1">
            <x v="2"/>
          </reference>
        </references>
      </pivotArea>
    </format>
    <format dxfId="185">
      <pivotArea collapsedLevelsAreSubtotals="1" fieldPosition="0">
        <references count="3">
          <reference field="4294967294" count="6" selected="0">
            <x v="0"/>
            <x v="1"/>
            <x v="2"/>
            <x v="3"/>
            <x v="4"/>
            <x v="5"/>
          </reference>
          <reference field="2" count="1" selected="0">
            <x v="12"/>
          </reference>
          <reference field="5" count="1">
            <x v="4"/>
          </reference>
        </references>
      </pivotArea>
    </format>
    <format dxfId="184">
      <pivotArea collapsedLevelsAreSubtotals="1" fieldPosition="0">
        <references count="4">
          <reference field="4294967294" count="6" selected="0">
            <x v="0"/>
            <x v="1"/>
            <x v="2"/>
            <x v="3"/>
            <x v="4"/>
            <x v="5"/>
          </reference>
          <reference field="2" count="1" selected="0">
            <x v="12"/>
          </reference>
          <reference field="5" count="1" selected="0">
            <x v="4"/>
          </reference>
          <reference field="6" count="1">
            <x v="3"/>
          </reference>
        </references>
      </pivotArea>
    </format>
    <format dxfId="183">
      <pivotArea collapsedLevelsAreSubtotals="1" fieldPosition="0">
        <references count="5">
          <reference field="4294967294" count="6" selected="0">
            <x v="0"/>
            <x v="1"/>
            <x v="2"/>
            <x v="3"/>
            <x v="4"/>
            <x v="5"/>
          </reference>
          <reference field="2" count="1" selected="0">
            <x v="12"/>
          </reference>
          <reference field="5" count="1" selected="0">
            <x v="4"/>
          </reference>
          <reference field="6" count="1" selected="0">
            <x v="3"/>
          </reference>
          <reference field="7" count="1">
            <x v="3"/>
          </reference>
        </references>
      </pivotArea>
    </format>
    <format dxfId="182">
      <pivotArea collapsedLevelsAreSubtotals="1" fieldPosition="0">
        <references count="3">
          <reference field="4294967294" count="6" selected="0">
            <x v="0"/>
            <x v="1"/>
            <x v="2"/>
            <x v="3"/>
            <x v="4"/>
            <x v="5"/>
          </reference>
          <reference field="2" count="1" selected="0">
            <x v="12"/>
          </reference>
          <reference field="5" count="1">
            <x v="5"/>
          </reference>
        </references>
      </pivotArea>
    </format>
    <format dxfId="181">
      <pivotArea collapsedLevelsAreSubtotals="1" fieldPosition="0">
        <references count="4">
          <reference field="4294967294" count="6" selected="0">
            <x v="0"/>
            <x v="1"/>
            <x v="2"/>
            <x v="3"/>
            <x v="4"/>
            <x v="5"/>
          </reference>
          <reference field="2" count="1" selected="0">
            <x v="12"/>
          </reference>
          <reference field="5" count="1" selected="0">
            <x v="5"/>
          </reference>
          <reference field="6" count="1">
            <x v="4"/>
          </reference>
        </references>
      </pivotArea>
    </format>
    <format dxfId="180">
      <pivotArea collapsedLevelsAreSubtotals="1" fieldPosition="0">
        <references count="5">
          <reference field="4294967294" count="6" selected="0">
            <x v="0"/>
            <x v="1"/>
            <x v="2"/>
            <x v="3"/>
            <x v="4"/>
            <x v="5"/>
          </reference>
          <reference field="2" count="1" selected="0">
            <x v="12"/>
          </reference>
          <reference field="5" count="1" selected="0">
            <x v="5"/>
          </reference>
          <reference field="6" count="1" selected="0">
            <x v="4"/>
          </reference>
          <reference field="7" count="1">
            <x v="3"/>
          </reference>
        </references>
      </pivotArea>
    </format>
    <format dxfId="179">
      <pivotArea collapsedLevelsAreSubtotals="1" fieldPosition="0">
        <references count="2">
          <reference field="4294967294" count="6" selected="0">
            <x v="0"/>
            <x v="1"/>
            <x v="2"/>
            <x v="3"/>
            <x v="4"/>
            <x v="5"/>
          </reference>
          <reference field="2" count="1">
            <x v="13"/>
          </reference>
        </references>
      </pivotArea>
    </format>
    <format dxfId="178">
      <pivotArea collapsedLevelsAreSubtotals="1" fieldPosition="0">
        <references count="3">
          <reference field="4294967294" count="6" selected="0">
            <x v="0"/>
            <x v="1"/>
            <x v="2"/>
            <x v="3"/>
            <x v="4"/>
            <x v="5"/>
          </reference>
          <reference field="2" count="1" selected="0">
            <x v="13"/>
          </reference>
          <reference field="5" count="1">
            <x v="0"/>
          </reference>
        </references>
      </pivotArea>
    </format>
    <format dxfId="177">
      <pivotArea collapsedLevelsAreSubtotals="1" fieldPosition="0">
        <references count="4">
          <reference field="4294967294" count="6" selected="0">
            <x v="0"/>
            <x v="1"/>
            <x v="2"/>
            <x v="3"/>
            <x v="4"/>
            <x v="5"/>
          </reference>
          <reference field="2" count="1" selected="0">
            <x v="13"/>
          </reference>
          <reference field="5" count="1" selected="0">
            <x v="0"/>
          </reference>
          <reference field="6" count="1">
            <x v="0"/>
          </reference>
        </references>
      </pivotArea>
    </format>
    <format dxfId="176">
      <pivotArea collapsedLevelsAreSubtotals="1" fieldPosition="0">
        <references count="5">
          <reference field="4294967294" count="6" selected="0">
            <x v="0"/>
            <x v="1"/>
            <x v="2"/>
            <x v="3"/>
            <x v="4"/>
            <x v="5"/>
          </reference>
          <reference field="2" count="1" selected="0">
            <x v="13"/>
          </reference>
          <reference field="5" count="1" selected="0">
            <x v="0"/>
          </reference>
          <reference field="6" count="1" selected="0">
            <x v="0"/>
          </reference>
          <reference field="7" count="1">
            <x v="0"/>
          </reference>
        </references>
      </pivotArea>
    </format>
    <format dxfId="175">
      <pivotArea collapsedLevelsAreSubtotals="1" fieldPosition="0">
        <references count="3">
          <reference field="4294967294" count="6" selected="0">
            <x v="0"/>
            <x v="1"/>
            <x v="2"/>
            <x v="3"/>
            <x v="4"/>
            <x v="5"/>
          </reference>
          <reference field="2" count="1" selected="0">
            <x v="13"/>
          </reference>
          <reference field="5" count="1">
            <x v="6"/>
          </reference>
        </references>
      </pivotArea>
    </format>
    <format dxfId="174">
      <pivotArea collapsedLevelsAreSubtotals="1" fieldPosition="0">
        <references count="4">
          <reference field="4294967294" count="6" selected="0">
            <x v="0"/>
            <x v="1"/>
            <x v="2"/>
            <x v="3"/>
            <x v="4"/>
            <x v="5"/>
          </reference>
          <reference field="2" count="1" selected="0">
            <x v="13"/>
          </reference>
          <reference field="5" count="1" selected="0">
            <x v="6"/>
          </reference>
          <reference field="6" count="1">
            <x v="6"/>
          </reference>
        </references>
      </pivotArea>
    </format>
    <format dxfId="173">
      <pivotArea collapsedLevelsAreSubtotals="1" fieldPosition="0">
        <references count="5">
          <reference field="4294967294" count="6" selected="0">
            <x v="0"/>
            <x v="1"/>
            <x v="2"/>
            <x v="3"/>
            <x v="4"/>
            <x v="5"/>
          </reference>
          <reference field="2" count="1" selected="0">
            <x v="13"/>
          </reference>
          <reference field="5" count="1" selected="0">
            <x v="6"/>
          </reference>
          <reference field="6" count="1" selected="0">
            <x v="6"/>
          </reference>
          <reference field="7" count="1">
            <x v="1"/>
          </reference>
        </references>
      </pivotArea>
    </format>
    <format dxfId="172">
      <pivotArea collapsedLevelsAreSubtotals="1" fieldPosition="0">
        <references count="2">
          <reference field="4294967294" count="6" selected="0">
            <x v="0"/>
            <x v="1"/>
            <x v="2"/>
            <x v="3"/>
            <x v="4"/>
            <x v="5"/>
          </reference>
          <reference field="2" count="1">
            <x v="14"/>
          </reference>
        </references>
      </pivotArea>
    </format>
    <format dxfId="171">
      <pivotArea collapsedLevelsAreSubtotals="1" fieldPosition="0">
        <references count="3">
          <reference field="4294967294" count="6" selected="0">
            <x v="0"/>
            <x v="1"/>
            <x v="2"/>
            <x v="3"/>
            <x v="4"/>
            <x v="5"/>
          </reference>
          <reference field="2" count="1" selected="0">
            <x v="14"/>
          </reference>
          <reference field="5" count="1">
            <x v="0"/>
          </reference>
        </references>
      </pivotArea>
    </format>
    <format dxfId="170">
      <pivotArea collapsedLevelsAreSubtotals="1" fieldPosition="0">
        <references count="4">
          <reference field="4294967294" count="6" selected="0">
            <x v="0"/>
            <x v="1"/>
            <x v="2"/>
            <x v="3"/>
            <x v="4"/>
            <x v="5"/>
          </reference>
          <reference field="2" count="1" selected="0">
            <x v="14"/>
          </reference>
          <reference field="5" count="1" selected="0">
            <x v="0"/>
          </reference>
          <reference field="6" count="1">
            <x v="0"/>
          </reference>
        </references>
      </pivotArea>
    </format>
    <format dxfId="169">
      <pivotArea collapsedLevelsAreSubtotals="1" fieldPosition="0">
        <references count="5">
          <reference field="4294967294" count="6" selected="0">
            <x v="0"/>
            <x v="1"/>
            <x v="2"/>
            <x v="3"/>
            <x v="4"/>
            <x v="5"/>
          </reference>
          <reference field="2" count="1" selected="0">
            <x v="14"/>
          </reference>
          <reference field="5" count="1" selected="0">
            <x v="0"/>
          </reference>
          <reference field="6" count="1" selected="0">
            <x v="0"/>
          </reference>
          <reference field="7" count="1">
            <x v="0"/>
          </reference>
        </references>
      </pivotArea>
    </format>
    <format dxfId="168">
      <pivotArea collapsedLevelsAreSubtotals="1" fieldPosition="0">
        <references count="2">
          <reference field="4294967294" count="6" selected="0">
            <x v="0"/>
            <x v="1"/>
            <x v="2"/>
            <x v="3"/>
            <x v="4"/>
            <x v="5"/>
          </reference>
          <reference field="2" count="1">
            <x v="15"/>
          </reference>
        </references>
      </pivotArea>
    </format>
    <format dxfId="167">
      <pivotArea collapsedLevelsAreSubtotals="1" fieldPosition="0">
        <references count="3">
          <reference field="4294967294" count="6" selected="0">
            <x v="0"/>
            <x v="1"/>
            <x v="2"/>
            <x v="3"/>
            <x v="4"/>
            <x v="5"/>
          </reference>
          <reference field="2" count="1" selected="0">
            <x v="15"/>
          </reference>
          <reference field="5" count="1">
            <x v="0"/>
          </reference>
        </references>
      </pivotArea>
    </format>
    <format dxfId="166">
      <pivotArea collapsedLevelsAreSubtotals="1" fieldPosition="0">
        <references count="4">
          <reference field="4294967294" count="6" selected="0">
            <x v="0"/>
            <x v="1"/>
            <x v="2"/>
            <x v="3"/>
            <x v="4"/>
            <x v="5"/>
          </reference>
          <reference field="2" count="1" selected="0">
            <x v="15"/>
          </reference>
          <reference field="5" count="1" selected="0">
            <x v="0"/>
          </reference>
          <reference field="6" count="1">
            <x v="0"/>
          </reference>
        </references>
      </pivotArea>
    </format>
    <format dxfId="165">
      <pivotArea collapsedLevelsAreSubtotals="1" fieldPosition="0">
        <references count="5">
          <reference field="4294967294" count="6" selected="0">
            <x v="0"/>
            <x v="1"/>
            <x v="2"/>
            <x v="3"/>
            <x v="4"/>
            <x v="5"/>
          </reference>
          <reference field="2" count="1" selected="0">
            <x v="15"/>
          </reference>
          <reference field="5" count="1" selected="0">
            <x v="0"/>
          </reference>
          <reference field="6" count="1" selected="0">
            <x v="0"/>
          </reference>
          <reference field="7" count="1">
            <x v="0"/>
          </reference>
        </references>
      </pivotArea>
    </format>
    <format dxfId="164">
      <pivotArea collapsedLevelsAreSubtotals="1" fieldPosition="0">
        <references count="3">
          <reference field="4294967294" count="6" selected="0">
            <x v="0"/>
            <x v="1"/>
            <x v="2"/>
            <x v="3"/>
            <x v="4"/>
            <x v="5"/>
          </reference>
          <reference field="2" count="1" selected="0">
            <x v="15"/>
          </reference>
          <reference field="5" count="1">
            <x v="3"/>
          </reference>
        </references>
      </pivotArea>
    </format>
    <format dxfId="163">
      <pivotArea collapsedLevelsAreSubtotals="1" fieldPosition="0">
        <references count="4">
          <reference field="4294967294" count="6" selected="0">
            <x v="0"/>
            <x v="1"/>
            <x v="2"/>
            <x v="3"/>
            <x v="4"/>
            <x v="5"/>
          </reference>
          <reference field="2" count="1" selected="0">
            <x v="15"/>
          </reference>
          <reference field="5" count="1" selected="0">
            <x v="3"/>
          </reference>
          <reference field="6" count="1">
            <x v="2"/>
          </reference>
        </references>
      </pivotArea>
    </format>
    <format dxfId="162">
      <pivotArea collapsedLevelsAreSubtotals="1" fieldPosition="0">
        <references count="5">
          <reference field="4294967294" count="6" selected="0">
            <x v="0"/>
            <x v="1"/>
            <x v="2"/>
            <x v="3"/>
            <x v="4"/>
            <x v="5"/>
          </reference>
          <reference field="2" count="1" selected="0">
            <x v="15"/>
          </reference>
          <reference field="5" count="1" selected="0">
            <x v="3"/>
          </reference>
          <reference field="6" count="1" selected="0">
            <x v="2"/>
          </reference>
          <reference field="7" count="1">
            <x v="2"/>
          </reference>
        </references>
      </pivotArea>
    </format>
    <format dxfId="161">
      <pivotArea collapsedLevelsAreSubtotals="1" fieldPosition="0">
        <references count="3">
          <reference field="4294967294" count="6" selected="0">
            <x v="0"/>
            <x v="1"/>
            <x v="2"/>
            <x v="3"/>
            <x v="4"/>
            <x v="5"/>
          </reference>
          <reference field="2" count="1" selected="0">
            <x v="15"/>
          </reference>
          <reference field="5" count="1">
            <x v="7"/>
          </reference>
        </references>
      </pivotArea>
    </format>
    <format dxfId="160">
      <pivotArea collapsedLevelsAreSubtotals="1" fieldPosition="0">
        <references count="4">
          <reference field="4294967294" count="6" selected="0">
            <x v="0"/>
            <x v="1"/>
            <x v="2"/>
            <x v="3"/>
            <x v="4"/>
            <x v="5"/>
          </reference>
          <reference field="2" count="1" selected="0">
            <x v="15"/>
          </reference>
          <reference field="5" count="1" selected="0">
            <x v="7"/>
          </reference>
          <reference field="6" count="1">
            <x v="7"/>
          </reference>
        </references>
      </pivotArea>
    </format>
    <format dxfId="159">
      <pivotArea collapsedLevelsAreSubtotals="1" fieldPosition="0">
        <references count="5">
          <reference field="4294967294" count="6" selected="0">
            <x v="0"/>
            <x v="1"/>
            <x v="2"/>
            <x v="3"/>
            <x v="4"/>
            <x v="5"/>
          </reference>
          <reference field="2" count="1" selected="0">
            <x v="15"/>
          </reference>
          <reference field="5" count="1" selected="0">
            <x v="7"/>
          </reference>
          <reference field="6" count="1" selected="0">
            <x v="7"/>
          </reference>
          <reference field="7" count="1">
            <x v="3"/>
          </reference>
        </references>
      </pivotArea>
    </format>
    <format dxfId="158">
      <pivotArea collapsedLevelsAreSubtotals="1" fieldPosition="0">
        <references count="3">
          <reference field="4294967294" count="6" selected="0">
            <x v="0"/>
            <x v="1"/>
            <x v="2"/>
            <x v="3"/>
            <x v="4"/>
            <x v="5"/>
          </reference>
          <reference field="2" count="1" selected="0">
            <x v="15"/>
          </reference>
          <reference field="5" count="1">
            <x v="8"/>
          </reference>
        </references>
      </pivotArea>
    </format>
    <format dxfId="157">
      <pivotArea collapsedLevelsAreSubtotals="1" fieldPosition="0">
        <references count="4">
          <reference field="4294967294" count="6" selected="0">
            <x v="0"/>
            <x v="1"/>
            <x v="2"/>
            <x v="3"/>
            <x v="4"/>
            <x v="5"/>
          </reference>
          <reference field="2" count="1" selected="0">
            <x v="15"/>
          </reference>
          <reference field="5" count="1" selected="0">
            <x v="8"/>
          </reference>
          <reference field="6" count="1">
            <x v="7"/>
          </reference>
        </references>
      </pivotArea>
    </format>
    <format dxfId="156">
      <pivotArea collapsedLevelsAreSubtotals="1" fieldPosition="0">
        <references count="5">
          <reference field="4294967294" count="6" selected="0">
            <x v="0"/>
            <x v="1"/>
            <x v="2"/>
            <x v="3"/>
            <x v="4"/>
            <x v="5"/>
          </reference>
          <reference field="2" count="1" selected="0">
            <x v="15"/>
          </reference>
          <reference field="5" count="1" selected="0">
            <x v="8"/>
          </reference>
          <reference field="6" count="1" selected="0">
            <x v="7"/>
          </reference>
          <reference field="7" count="1">
            <x v="3"/>
          </reference>
        </references>
      </pivotArea>
    </format>
    <format dxfId="155">
      <pivotArea collapsedLevelsAreSubtotals="1" fieldPosition="0">
        <references count="3">
          <reference field="4294967294" count="6" selected="0">
            <x v="0"/>
            <x v="1"/>
            <x v="2"/>
            <x v="3"/>
            <x v="4"/>
            <x v="5"/>
          </reference>
          <reference field="2" count="1" selected="0">
            <x v="15"/>
          </reference>
          <reference field="5" count="1">
            <x v="9"/>
          </reference>
        </references>
      </pivotArea>
    </format>
    <format dxfId="154">
      <pivotArea collapsedLevelsAreSubtotals="1" fieldPosition="0">
        <references count="4">
          <reference field="4294967294" count="6" selected="0">
            <x v="0"/>
            <x v="1"/>
            <x v="2"/>
            <x v="3"/>
            <x v="4"/>
            <x v="5"/>
          </reference>
          <reference field="2" count="1" selected="0">
            <x v="15"/>
          </reference>
          <reference field="5" count="1" selected="0">
            <x v="9"/>
          </reference>
          <reference field="6" count="1">
            <x v="8"/>
          </reference>
        </references>
      </pivotArea>
    </format>
    <format dxfId="153">
      <pivotArea collapsedLevelsAreSubtotals="1" fieldPosition="0">
        <references count="5">
          <reference field="4294967294" count="6" selected="0">
            <x v="0"/>
            <x v="1"/>
            <x v="2"/>
            <x v="3"/>
            <x v="4"/>
            <x v="5"/>
          </reference>
          <reference field="2" count="1" selected="0">
            <x v="15"/>
          </reference>
          <reference field="5" count="1" selected="0">
            <x v="9"/>
          </reference>
          <reference field="6" count="1" selected="0">
            <x v="8"/>
          </reference>
          <reference field="7" count="1">
            <x v="1"/>
          </reference>
        </references>
      </pivotArea>
    </format>
    <format dxfId="152">
      <pivotArea collapsedLevelsAreSubtotals="1" fieldPosition="0">
        <references count="3">
          <reference field="4294967294" count="6" selected="0">
            <x v="0"/>
            <x v="1"/>
            <x v="2"/>
            <x v="3"/>
            <x v="4"/>
            <x v="5"/>
          </reference>
          <reference field="2" count="1" selected="0">
            <x v="15"/>
          </reference>
          <reference field="5" count="1">
            <x v="10"/>
          </reference>
        </references>
      </pivotArea>
    </format>
    <format dxfId="151">
      <pivotArea collapsedLevelsAreSubtotals="1" fieldPosition="0">
        <references count="4">
          <reference field="4294967294" count="6" selected="0">
            <x v="0"/>
            <x v="1"/>
            <x v="2"/>
            <x v="3"/>
            <x v="4"/>
            <x v="5"/>
          </reference>
          <reference field="2" count="1" selected="0">
            <x v="15"/>
          </reference>
          <reference field="5" count="1" selected="0">
            <x v="10"/>
          </reference>
          <reference field="6" count="1">
            <x v="1"/>
          </reference>
        </references>
      </pivotArea>
    </format>
    <format dxfId="150">
      <pivotArea collapsedLevelsAreSubtotals="1" fieldPosition="0">
        <references count="5">
          <reference field="4294967294" count="6" selected="0">
            <x v="0"/>
            <x v="1"/>
            <x v="2"/>
            <x v="3"/>
            <x v="4"/>
            <x v="5"/>
          </reference>
          <reference field="2" count="1" selected="0">
            <x v="15"/>
          </reference>
          <reference field="5" count="1" selected="0">
            <x v="10"/>
          </reference>
          <reference field="6" count="1" selected="0">
            <x v="1"/>
          </reference>
          <reference field="7" count="1">
            <x v="1"/>
          </reference>
        </references>
      </pivotArea>
    </format>
    <format dxfId="149">
      <pivotArea collapsedLevelsAreSubtotals="1" fieldPosition="0">
        <references count="2">
          <reference field="4294967294" count="6" selected="0">
            <x v="0"/>
            <x v="1"/>
            <x v="2"/>
            <x v="3"/>
            <x v="4"/>
            <x v="5"/>
          </reference>
          <reference field="2" count="1">
            <x v="16"/>
          </reference>
        </references>
      </pivotArea>
    </format>
    <format dxfId="148">
      <pivotArea collapsedLevelsAreSubtotals="1" fieldPosition="0">
        <references count="3">
          <reference field="4294967294" count="6" selected="0">
            <x v="0"/>
            <x v="1"/>
            <x v="2"/>
            <x v="3"/>
            <x v="4"/>
            <x v="5"/>
          </reference>
          <reference field="2" count="1" selected="0">
            <x v="16"/>
          </reference>
          <reference field="5" count="1">
            <x v="0"/>
          </reference>
        </references>
      </pivotArea>
    </format>
    <format dxfId="147">
      <pivotArea collapsedLevelsAreSubtotals="1" fieldPosition="0">
        <references count="4">
          <reference field="4294967294" count="6" selected="0">
            <x v="0"/>
            <x v="1"/>
            <x v="2"/>
            <x v="3"/>
            <x v="4"/>
            <x v="5"/>
          </reference>
          <reference field="2" count="1" selected="0">
            <x v="16"/>
          </reference>
          <reference field="5" count="1" selected="0">
            <x v="0"/>
          </reference>
          <reference field="6" count="1">
            <x v="0"/>
          </reference>
        </references>
      </pivotArea>
    </format>
    <format dxfId="146">
      <pivotArea collapsedLevelsAreSubtotals="1" fieldPosition="0">
        <references count="5">
          <reference field="4294967294" count="6" selected="0">
            <x v="0"/>
            <x v="1"/>
            <x v="2"/>
            <x v="3"/>
            <x v="4"/>
            <x v="5"/>
          </reference>
          <reference field="2" count="1" selected="0">
            <x v="16"/>
          </reference>
          <reference field="5" count="1" selected="0">
            <x v="0"/>
          </reference>
          <reference field="6" count="1" selected="0">
            <x v="0"/>
          </reference>
          <reference field="7" count="1">
            <x v="0"/>
          </reference>
        </references>
      </pivotArea>
    </format>
    <format dxfId="145">
      <pivotArea collapsedLevelsAreSubtotals="1" fieldPosition="0">
        <references count="3">
          <reference field="4294967294" count="6" selected="0">
            <x v="0"/>
            <x v="1"/>
            <x v="2"/>
            <x v="3"/>
            <x v="4"/>
            <x v="5"/>
          </reference>
          <reference field="2" count="1" selected="0">
            <x v="16"/>
          </reference>
          <reference field="5" count="1">
            <x v="3"/>
          </reference>
        </references>
      </pivotArea>
    </format>
    <format dxfId="144">
      <pivotArea collapsedLevelsAreSubtotals="1" fieldPosition="0">
        <references count="4">
          <reference field="4294967294" count="6" selected="0">
            <x v="0"/>
            <x v="1"/>
            <x v="2"/>
            <x v="3"/>
            <x v="4"/>
            <x v="5"/>
          </reference>
          <reference field="2" count="1" selected="0">
            <x v="16"/>
          </reference>
          <reference field="5" count="1" selected="0">
            <x v="3"/>
          </reference>
          <reference field="6" count="1">
            <x v="2"/>
          </reference>
        </references>
      </pivotArea>
    </format>
    <format dxfId="143">
      <pivotArea collapsedLevelsAreSubtotals="1" fieldPosition="0">
        <references count="5">
          <reference field="4294967294" count="6" selected="0">
            <x v="0"/>
            <x v="1"/>
            <x v="2"/>
            <x v="3"/>
            <x v="4"/>
            <x v="5"/>
          </reference>
          <reference field="2" count="1" selected="0">
            <x v="16"/>
          </reference>
          <reference field="5" count="1" selected="0">
            <x v="3"/>
          </reference>
          <reference field="6" count="1" selected="0">
            <x v="2"/>
          </reference>
          <reference field="7" count="1">
            <x v="2"/>
          </reference>
        </references>
      </pivotArea>
    </format>
    <format dxfId="142">
      <pivotArea collapsedLevelsAreSubtotals="1" fieldPosition="0">
        <references count="3">
          <reference field="4294967294" count="6" selected="0">
            <x v="0"/>
            <x v="1"/>
            <x v="2"/>
            <x v="3"/>
            <x v="4"/>
            <x v="5"/>
          </reference>
          <reference field="2" count="1" selected="0">
            <x v="16"/>
          </reference>
          <reference field="5" count="1">
            <x v="9"/>
          </reference>
        </references>
      </pivotArea>
    </format>
    <format dxfId="141">
      <pivotArea collapsedLevelsAreSubtotals="1" fieldPosition="0">
        <references count="4">
          <reference field="4294967294" count="6" selected="0">
            <x v="0"/>
            <x v="1"/>
            <x v="2"/>
            <x v="3"/>
            <x v="4"/>
            <x v="5"/>
          </reference>
          <reference field="2" count="1" selected="0">
            <x v="16"/>
          </reference>
          <reference field="5" count="1" selected="0">
            <x v="9"/>
          </reference>
          <reference field="6" count="1">
            <x v="8"/>
          </reference>
        </references>
      </pivotArea>
    </format>
    <format dxfId="140">
      <pivotArea collapsedLevelsAreSubtotals="1" fieldPosition="0">
        <references count="5">
          <reference field="4294967294" count="6" selected="0">
            <x v="0"/>
            <x v="1"/>
            <x v="2"/>
            <x v="3"/>
            <x v="4"/>
            <x v="5"/>
          </reference>
          <reference field="2" count="1" selected="0">
            <x v="16"/>
          </reference>
          <reference field="5" count="1" selected="0">
            <x v="9"/>
          </reference>
          <reference field="6" count="1" selected="0">
            <x v="8"/>
          </reference>
          <reference field="7" count="1">
            <x v="1"/>
          </reference>
        </references>
      </pivotArea>
    </format>
    <format dxfId="139">
      <pivotArea collapsedLevelsAreSubtotals="1" fieldPosition="0">
        <references count="3">
          <reference field="4294967294" count="6" selected="0">
            <x v="0"/>
            <x v="1"/>
            <x v="2"/>
            <x v="3"/>
            <x v="4"/>
            <x v="5"/>
          </reference>
          <reference field="2" count="1" selected="0">
            <x v="16"/>
          </reference>
          <reference field="5" count="1">
            <x v="10"/>
          </reference>
        </references>
      </pivotArea>
    </format>
    <format dxfId="138">
      <pivotArea collapsedLevelsAreSubtotals="1" fieldPosition="0">
        <references count="4">
          <reference field="4294967294" count="6" selected="0">
            <x v="0"/>
            <x v="1"/>
            <x v="2"/>
            <x v="3"/>
            <x v="4"/>
            <x v="5"/>
          </reference>
          <reference field="2" count="1" selected="0">
            <x v="16"/>
          </reference>
          <reference field="5" count="1" selected="0">
            <x v="10"/>
          </reference>
          <reference field="6" count="1">
            <x v="1"/>
          </reference>
        </references>
      </pivotArea>
    </format>
    <format dxfId="137">
      <pivotArea collapsedLevelsAreSubtotals="1" fieldPosition="0">
        <references count="5">
          <reference field="4294967294" count="6" selected="0">
            <x v="0"/>
            <x v="1"/>
            <x v="2"/>
            <x v="3"/>
            <x v="4"/>
            <x v="5"/>
          </reference>
          <reference field="2" count="1" selected="0">
            <x v="16"/>
          </reference>
          <reference field="5" count="1" selected="0">
            <x v="10"/>
          </reference>
          <reference field="6" count="1" selected="0">
            <x v="1"/>
          </reference>
          <reference field="7" count="1">
            <x v="1"/>
          </reference>
        </references>
      </pivotArea>
    </format>
    <format dxfId="136">
      <pivotArea collapsedLevelsAreSubtotals="1" fieldPosition="0">
        <references count="2">
          <reference field="4294967294" count="6" selected="0">
            <x v="0"/>
            <x v="1"/>
            <x v="2"/>
            <x v="3"/>
            <x v="4"/>
            <x v="5"/>
          </reference>
          <reference field="2" count="1">
            <x v="17"/>
          </reference>
        </references>
      </pivotArea>
    </format>
    <format dxfId="135">
      <pivotArea collapsedLevelsAreSubtotals="1" fieldPosition="0">
        <references count="3">
          <reference field="4294967294" count="6" selected="0">
            <x v="0"/>
            <x v="1"/>
            <x v="2"/>
            <x v="3"/>
            <x v="4"/>
            <x v="5"/>
          </reference>
          <reference field="2" count="1" selected="0">
            <x v="17"/>
          </reference>
          <reference field="5" count="1">
            <x v="0"/>
          </reference>
        </references>
      </pivotArea>
    </format>
    <format dxfId="134">
      <pivotArea collapsedLevelsAreSubtotals="1" fieldPosition="0">
        <references count="4">
          <reference field="4294967294" count="6" selected="0">
            <x v="0"/>
            <x v="1"/>
            <x v="2"/>
            <x v="3"/>
            <x v="4"/>
            <x v="5"/>
          </reference>
          <reference field="2" count="1" selected="0">
            <x v="17"/>
          </reference>
          <reference field="5" count="1" selected="0">
            <x v="0"/>
          </reference>
          <reference field="6" count="1">
            <x v="0"/>
          </reference>
        </references>
      </pivotArea>
    </format>
    <format dxfId="133">
      <pivotArea collapsedLevelsAreSubtotals="1" fieldPosition="0">
        <references count="5">
          <reference field="4294967294" count="6" selected="0">
            <x v="0"/>
            <x v="1"/>
            <x v="2"/>
            <x v="3"/>
            <x v="4"/>
            <x v="5"/>
          </reference>
          <reference field="2" count="1" selected="0">
            <x v="17"/>
          </reference>
          <reference field="5" count="1" selected="0">
            <x v="0"/>
          </reference>
          <reference field="6" count="1" selected="0">
            <x v="0"/>
          </reference>
          <reference field="7" count="1">
            <x v="0"/>
          </reference>
        </references>
      </pivotArea>
    </format>
    <format dxfId="132">
      <pivotArea collapsedLevelsAreSubtotals="1" fieldPosition="0">
        <references count="3">
          <reference field="4294967294" count="6" selected="0">
            <x v="0"/>
            <x v="1"/>
            <x v="2"/>
            <x v="3"/>
            <x v="4"/>
            <x v="5"/>
          </reference>
          <reference field="2" count="1" selected="0">
            <x v="17"/>
          </reference>
          <reference field="5" count="1">
            <x v="3"/>
          </reference>
        </references>
      </pivotArea>
    </format>
    <format dxfId="131">
      <pivotArea collapsedLevelsAreSubtotals="1" fieldPosition="0">
        <references count="4">
          <reference field="4294967294" count="6" selected="0">
            <x v="0"/>
            <x v="1"/>
            <x v="2"/>
            <x v="3"/>
            <x v="4"/>
            <x v="5"/>
          </reference>
          <reference field="2" count="1" selected="0">
            <x v="17"/>
          </reference>
          <reference field="5" count="1" selected="0">
            <x v="3"/>
          </reference>
          <reference field="6" count="1">
            <x v="2"/>
          </reference>
        </references>
      </pivotArea>
    </format>
    <format dxfId="130">
      <pivotArea collapsedLevelsAreSubtotals="1" fieldPosition="0">
        <references count="5">
          <reference field="4294967294" count="6" selected="0">
            <x v="0"/>
            <x v="1"/>
            <x v="2"/>
            <x v="3"/>
            <x v="4"/>
            <x v="5"/>
          </reference>
          <reference field="2" count="1" selected="0">
            <x v="17"/>
          </reference>
          <reference field="5" count="1" selected="0">
            <x v="3"/>
          </reference>
          <reference field="6" count="1" selected="0">
            <x v="2"/>
          </reference>
          <reference field="7" count="1">
            <x v="2"/>
          </reference>
        </references>
      </pivotArea>
    </format>
    <format dxfId="129">
      <pivotArea collapsedLevelsAreSubtotals="1" fieldPosition="0">
        <references count="3">
          <reference field="4294967294" count="6" selected="0">
            <x v="0"/>
            <x v="1"/>
            <x v="2"/>
            <x v="3"/>
            <x v="4"/>
            <x v="5"/>
          </reference>
          <reference field="2" count="1" selected="0">
            <x v="17"/>
          </reference>
          <reference field="5" count="1">
            <x v="9"/>
          </reference>
        </references>
      </pivotArea>
    </format>
    <format dxfId="128">
      <pivotArea collapsedLevelsAreSubtotals="1" fieldPosition="0">
        <references count="4">
          <reference field="4294967294" count="6" selected="0">
            <x v="0"/>
            <x v="1"/>
            <x v="2"/>
            <x v="3"/>
            <x v="4"/>
            <x v="5"/>
          </reference>
          <reference field="2" count="1" selected="0">
            <x v="17"/>
          </reference>
          <reference field="5" count="1" selected="0">
            <x v="9"/>
          </reference>
          <reference field="6" count="1">
            <x v="8"/>
          </reference>
        </references>
      </pivotArea>
    </format>
    <format dxfId="127">
      <pivotArea collapsedLevelsAreSubtotals="1" fieldPosition="0">
        <references count="5">
          <reference field="4294967294" count="6" selected="0">
            <x v="0"/>
            <x v="1"/>
            <x v="2"/>
            <x v="3"/>
            <x v="4"/>
            <x v="5"/>
          </reference>
          <reference field="2" count="1" selected="0">
            <x v="17"/>
          </reference>
          <reference field="5" count="1" selected="0">
            <x v="9"/>
          </reference>
          <reference field="6" count="1" selected="0">
            <x v="8"/>
          </reference>
          <reference field="7" count="1">
            <x v="1"/>
          </reference>
        </references>
      </pivotArea>
    </format>
    <format dxfId="126">
      <pivotArea collapsedLevelsAreSubtotals="1" fieldPosition="0">
        <references count="3">
          <reference field="4294967294" count="6" selected="0">
            <x v="0"/>
            <x v="1"/>
            <x v="2"/>
            <x v="3"/>
            <x v="4"/>
            <x v="5"/>
          </reference>
          <reference field="2" count="1" selected="0">
            <x v="17"/>
          </reference>
          <reference field="5" count="1">
            <x v="11"/>
          </reference>
        </references>
      </pivotArea>
    </format>
    <format dxfId="125">
      <pivotArea collapsedLevelsAreSubtotals="1" fieldPosition="0">
        <references count="4">
          <reference field="4294967294" count="6" selected="0">
            <x v="0"/>
            <x v="1"/>
            <x v="2"/>
            <x v="3"/>
            <x v="4"/>
            <x v="5"/>
          </reference>
          <reference field="2" count="1" selected="0">
            <x v="17"/>
          </reference>
          <reference field="5" count="1" selected="0">
            <x v="11"/>
          </reference>
          <reference field="6" count="1">
            <x v="9"/>
          </reference>
        </references>
      </pivotArea>
    </format>
    <format dxfId="124">
      <pivotArea collapsedLevelsAreSubtotals="1" fieldPosition="0">
        <references count="5">
          <reference field="4294967294" count="6" selected="0">
            <x v="0"/>
            <x v="1"/>
            <x v="2"/>
            <x v="3"/>
            <x v="4"/>
            <x v="5"/>
          </reference>
          <reference field="2" count="1" selected="0">
            <x v="17"/>
          </reference>
          <reference field="5" count="1" selected="0">
            <x v="11"/>
          </reference>
          <reference field="6" count="1" selected="0">
            <x v="9"/>
          </reference>
          <reference field="7" count="1">
            <x v="1"/>
          </reference>
        </references>
      </pivotArea>
    </format>
    <format dxfId="123">
      <pivotArea collapsedLevelsAreSubtotals="1" fieldPosition="0">
        <references count="3">
          <reference field="4294967294" count="6" selected="0">
            <x v="0"/>
            <x v="1"/>
            <x v="2"/>
            <x v="3"/>
            <x v="4"/>
            <x v="5"/>
          </reference>
          <reference field="2" count="1" selected="0">
            <x v="17"/>
          </reference>
          <reference field="5" count="1">
            <x v="12"/>
          </reference>
        </references>
      </pivotArea>
    </format>
    <format dxfId="122">
      <pivotArea collapsedLevelsAreSubtotals="1" fieldPosition="0">
        <references count="4">
          <reference field="4294967294" count="6" selected="0">
            <x v="0"/>
            <x v="1"/>
            <x v="2"/>
            <x v="3"/>
            <x v="4"/>
            <x v="5"/>
          </reference>
          <reference field="2" count="1" selected="0">
            <x v="17"/>
          </reference>
          <reference field="5" count="1" selected="0">
            <x v="12"/>
          </reference>
          <reference field="6" count="1">
            <x v="6"/>
          </reference>
        </references>
      </pivotArea>
    </format>
    <format dxfId="121">
      <pivotArea collapsedLevelsAreSubtotals="1" fieldPosition="0">
        <references count="5">
          <reference field="4294967294" count="6" selected="0">
            <x v="0"/>
            <x v="1"/>
            <x v="2"/>
            <x v="3"/>
            <x v="4"/>
            <x v="5"/>
          </reference>
          <reference field="2" count="1" selected="0">
            <x v="17"/>
          </reference>
          <reference field="5" count="1" selected="0">
            <x v="12"/>
          </reference>
          <reference field="6" count="1" selected="0">
            <x v="6"/>
          </reference>
          <reference field="7" count="1">
            <x v="1"/>
          </reference>
        </references>
      </pivotArea>
    </format>
    <format dxfId="120">
      <pivotArea collapsedLevelsAreSubtotals="1" fieldPosition="0">
        <references count="3">
          <reference field="4294967294" count="6" selected="0">
            <x v="0"/>
            <x v="1"/>
            <x v="2"/>
            <x v="3"/>
            <x v="4"/>
            <x v="5"/>
          </reference>
          <reference field="2" count="1" selected="0">
            <x v="17"/>
          </reference>
          <reference field="5" count="1">
            <x v="30"/>
          </reference>
        </references>
      </pivotArea>
    </format>
    <format dxfId="119">
      <pivotArea collapsedLevelsAreSubtotals="1" fieldPosition="0">
        <references count="4">
          <reference field="4294967294" count="6" selected="0">
            <x v="0"/>
            <x v="1"/>
            <x v="2"/>
            <x v="3"/>
            <x v="4"/>
            <x v="5"/>
          </reference>
          <reference field="2" count="1" selected="0">
            <x v="17"/>
          </reference>
          <reference field="5" count="1" selected="0">
            <x v="30"/>
          </reference>
          <reference field="6" count="1">
            <x v="15"/>
          </reference>
        </references>
      </pivotArea>
    </format>
    <format dxfId="118">
      <pivotArea collapsedLevelsAreSubtotals="1" fieldPosition="0">
        <references count="5">
          <reference field="4294967294" count="6" selected="0">
            <x v="0"/>
            <x v="1"/>
            <x v="2"/>
            <x v="3"/>
            <x v="4"/>
            <x v="5"/>
          </reference>
          <reference field="2" count="1" selected="0">
            <x v="17"/>
          </reference>
          <reference field="5" count="1" selected="0">
            <x v="30"/>
          </reference>
          <reference field="6" count="1" selected="0">
            <x v="15"/>
          </reference>
          <reference field="7" count="1">
            <x v="6"/>
          </reference>
        </references>
      </pivotArea>
    </format>
    <format dxfId="117">
      <pivotArea collapsedLevelsAreSubtotals="1" fieldPosition="0">
        <references count="3">
          <reference field="4294967294" count="6" selected="0">
            <x v="0"/>
            <x v="1"/>
            <x v="2"/>
            <x v="3"/>
            <x v="4"/>
            <x v="5"/>
          </reference>
          <reference field="2" count="1" selected="0">
            <x v="17"/>
          </reference>
          <reference field="5" count="1">
            <x v="31"/>
          </reference>
        </references>
      </pivotArea>
    </format>
    <format dxfId="116">
      <pivotArea collapsedLevelsAreSubtotals="1" fieldPosition="0">
        <references count="4">
          <reference field="4294967294" count="6" selected="0">
            <x v="0"/>
            <x v="1"/>
            <x v="2"/>
            <x v="3"/>
            <x v="4"/>
            <x v="5"/>
          </reference>
          <reference field="2" count="1" selected="0">
            <x v="17"/>
          </reference>
          <reference field="5" count="1" selected="0">
            <x v="31"/>
          </reference>
          <reference field="6" count="1">
            <x v="4"/>
          </reference>
        </references>
      </pivotArea>
    </format>
    <format dxfId="115">
      <pivotArea collapsedLevelsAreSubtotals="1" fieldPosition="0">
        <references count="5">
          <reference field="4294967294" count="6" selected="0">
            <x v="0"/>
            <x v="1"/>
            <x v="2"/>
            <x v="3"/>
            <x v="4"/>
            <x v="5"/>
          </reference>
          <reference field="2" count="1" selected="0">
            <x v="17"/>
          </reference>
          <reference field="5" count="1" selected="0">
            <x v="31"/>
          </reference>
          <reference field="6" count="1" selected="0">
            <x v="4"/>
          </reference>
          <reference field="7" count="1">
            <x v="3"/>
          </reference>
        </references>
      </pivotArea>
    </format>
    <format dxfId="114">
      <pivotArea collapsedLevelsAreSubtotals="1" fieldPosition="0">
        <references count="3">
          <reference field="4294967294" count="6" selected="0">
            <x v="0"/>
            <x v="1"/>
            <x v="2"/>
            <x v="3"/>
            <x v="4"/>
            <x v="5"/>
          </reference>
          <reference field="2" count="1" selected="0">
            <x v="17"/>
          </reference>
          <reference field="5" count="1">
            <x v="32"/>
          </reference>
        </references>
      </pivotArea>
    </format>
    <format dxfId="113">
      <pivotArea collapsedLevelsAreSubtotals="1" fieldPosition="0">
        <references count="4">
          <reference field="4294967294" count="6" selected="0">
            <x v="0"/>
            <x v="1"/>
            <x v="2"/>
            <x v="3"/>
            <x v="4"/>
            <x v="5"/>
          </reference>
          <reference field="2" count="1" selected="0">
            <x v="17"/>
          </reference>
          <reference field="5" count="1" selected="0">
            <x v="32"/>
          </reference>
          <reference field="6" count="1">
            <x v="9"/>
          </reference>
        </references>
      </pivotArea>
    </format>
    <format dxfId="112">
      <pivotArea collapsedLevelsAreSubtotals="1" fieldPosition="0">
        <references count="5">
          <reference field="4294967294" count="6" selected="0">
            <x v="0"/>
            <x v="1"/>
            <x v="2"/>
            <x v="3"/>
            <x v="4"/>
            <x v="5"/>
          </reference>
          <reference field="2" count="1" selected="0">
            <x v="17"/>
          </reference>
          <reference field="5" count="1" selected="0">
            <x v="32"/>
          </reference>
          <reference field="6" count="1" selected="0">
            <x v="9"/>
          </reference>
          <reference field="7" count="1">
            <x v="1"/>
          </reference>
        </references>
      </pivotArea>
    </format>
    <format dxfId="111">
      <pivotArea collapsedLevelsAreSubtotals="1" fieldPosition="0">
        <references count="3">
          <reference field="4294967294" count="6" selected="0">
            <x v="0"/>
            <x v="1"/>
            <x v="2"/>
            <x v="3"/>
            <x v="4"/>
            <x v="5"/>
          </reference>
          <reference field="2" count="1" selected="0">
            <x v="17"/>
          </reference>
          <reference field="5" count="1">
            <x v="33"/>
          </reference>
        </references>
      </pivotArea>
    </format>
    <format dxfId="110">
      <pivotArea collapsedLevelsAreSubtotals="1" fieldPosition="0">
        <references count="4">
          <reference field="4294967294" count="6" selected="0">
            <x v="0"/>
            <x v="1"/>
            <x v="2"/>
            <x v="3"/>
            <x v="4"/>
            <x v="5"/>
          </reference>
          <reference field="2" count="1" selected="0">
            <x v="17"/>
          </reference>
          <reference field="5" count="1" selected="0">
            <x v="33"/>
          </reference>
          <reference field="6" count="1">
            <x v="9"/>
          </reference>
        </references>
      </pivotArea>
    </format>
    <format dxfId="109">
      <pivotArea collapsedLevelsAreSubtotals="1" fieldPosition="0">
        <references count="5">
          <reference field="4294967294" count="6" selected="0">
            <x v="0"/>
            <x v="1"/>
            <x v="2"/>
            <x v="3"/>
            <x v="4"/>
            <x v="5"/>
          </reference>
          <reference field="2" count="1" selected="0">
            <x v="17"/>
          </reference>
          <reference field="5" count="1" selected="0">
            <x v="33"/>
          </reference>
          <reference field="6" count="1" selected="0">
            <x v="9"/>
          </reference>
          <reference field="7" count="1">
            <x v="1"/>
          </reference>
        </references>
      </pivotArea>
    </format>
    <format dxfId="108">
      <pivotArea collapsedLevelsAreSubtotals="1" fieldPosition="0">
        <references count="3">
          <reference field="4294967294" count="6" selected="0">
            <x v="0"/>
            <x v="1"/>
            <x v="2"/>
            <x v="3"/>
            <x v="4"/>
            <x v="5"/>
          </reference>
          <reference field="2" count="1" selected="0">
            <x v="17"/>
          </reference>
          <reference field="5" count="1">
            <x v="34"/>
          </reference>
        </references>
      </pivotArea>
    </format>
    <format dxfId="107">
      <pivotArea collapsedLevelsAreSubtotals="1" fieldPosition="0">
        <references count="2">
          <reference field="4294967294" count="6" selected="0">
            <x v="0"/>
            <x v="1"/>
            <x v="2"/>
            <x v="3"/>
            <x v="4"/>
            <x v="5"/>
          </reference>
          <reference field="2" count="1">
            <x v="18"/>
          </reference>
        </references>
      </pivotArea>
    </format>
    <format dxfId="106">
      <pivotArea collapsedLevelsAreSubtotals="1" fieldPosition="0">
        <references count="3">
          <reference field="4294967294" count="6" selected="0">
            <x v="0"/>
            <x v="1"/>
            <x v="2"/>
            <x v="3"/>
            <x v="4"/>
            <x v="5"/>
          </reference>
          <reference field="2" count="1" selected="0">
            <x v="18"/>
          </reference>
          <reference field="5" count="1">
            <x v="0"/>
          </reference>
        </references>
      </pivotArea>
    </format>
    <format dxfId="105">
      <pivotArea collapsedLevelsAreSubtotals="1" fieldPosition="0">
        <references count="4">
          <reference field="4294967294" count="6" selected="0">
            <x v="0"/>
            <x v="1"/>
            <x v="2"/>
            <x v="3"/>
            <x v="4"/>
            <x v="5"/>
          </reference>
          <reference field="2" count="1" selected="0">
            <x v="18"/>
          </reference>
          <reference field="5" count="1" selected="0">
            <x v="0"/>
          </reference>
          <reference field="6" count="1">
            <x v="0"/>
          </reference>
        </references>
      </pivotArea>
    </format>
    <format dxfId="104">
      <pivotArea collapsedLevelsAreSubtotals="1" fieldPosition="0">
        <references count="5">
          <reference field="4294967294" count="6" selected="0">
            <x v="0"/>
            <x v="1"/>
            <x v="2"/>
            <x v="3"/>
            <x v="4"/>
            <x v="5"/>
          </reference>
          <reference field="2" count="1" selected="0">
            <x v="18"/>
          </reference>
          <reference field="5" count="1" selected="0">
            <x v="0"/>
          </reference>
          <reference field="6" count="1" selected="0">
            <x v="0"/>
          </reference>
          <reference field="7" count="1">
            <x v="0"/>
          </reference>
        </references>
      </pivotArea>
    </format>
    <format dxfId="103">
      <pivotArea collapsedLevelsAreSubtotals="1" fieldPosition="0">
        <references count="3">
          <reference field="4294967294" count="6" selected="0">
            <x v="0"/>
            <x v="1"/>
            <x v="2"/>
            <x v="3"/>
            <x v="4"/>
            <x v="5"/>
          </reference>
          <reference field="2" count="1" selected="0">
            <x v="18"/>
          </reference>
          <reference field="5" count="1">
            <x v="3"/>
          </reference>
        </references>
      </pivotArea>
    </format>
    <format dxfId="102">
      <pivotArea collapsedLevelsAreSubtotals="1" fieldPosition="0">
        <references count="4">
          <reference field="4294967294" count="6" selected="0">
            <x v="0"/>
            <x v="1"/>
            <x v="2"/>
            <x v="3"/>
            <x v="4"/>
            <x v="5"/>
          </reference>
          <reference field="2" count="1" selected="0">
            <x v="18"/>
          </reference>
          <reference field="5" count="1" selected="0">
            <x v="3"/>
          </reference>
          <reference field="6" count="1">
            <x v="2"/>
          </reference>
        </references>
      </pivotArea>
    </format>
    <format dxfId="101">
      <pivotArea collapsedLevelsAreSubtotals="1" fieldPosition="0">
        <references count="5">
          <reference field="4294967294" count="6" selected="0">
            <x v="0"/>
            <x v="1"/>
            <x v="2"/>
            <x v="3"/>
            <x v="4"/>
            <x v="5"/>
          </reference>
          <reference field="2" count="1" selected="0">
            <x v="18"/>
          </reference>
          <reference field="5" count="1" selected="0">
            <x v="3"/>
          </reference>
          <reference field="6" count="1" selected="0">
            <x v="2"/>
          </reference>
          <reference field="7" count="1">
            <x v="2"/>
          </reference>
        </references>
      </pivotArea>
    </format>
    <format dxfId="100">
      <pivotArea collapsedLevelsAreSubtotals="1" fieldPosition="0">
        <references count="3">
          <reference field="4294967294" count="6" selected="0">
            <x v="0"/>
            <x v="1"/>
            <x v="2"/>
            <x v="3"/>
            <x v="4"/>
            <x v="5"/>
          </reference>
          <reference field="2" count="1" selected="0">
            <x v="18"/>
          </reference>
          <reference field="5" count="1">
            <x v="13"/>
          </reference>
        </references>
      </pivotArea>
    </format>
    <format dxfId="99">
      <pivotArea collapsedLevelsAreSubtotals="1" fieldPosition="0">
        <references count="4">
          <reference field="4294967294" count="6" selected="0">
            <x v="0"/>
            <x v="1"/>
            <x v="2"/>
            <x v="3"/>
            <x v="4"/>
            <x v="5"/>
          </reference>
          <reference field="2" count="1" selected="0">
            <x v="18"/>
          </reference>
          <reference field="5" count="1" selected="0">
            <x v="13"/>
          </reference>
          <reference field="6" count="1">
            <x v="2"/>
          </reference>
        </references>
      </pivotArea>
    </format>
    <format dxfId="98">
      <pivotArea collapsedLevelsAreSubtotals="1" fieldPosition="0">
        <references count="5">
          <reference field="4294967294" count="6" selected="0">
            <x v="0"/>
            <x v="1"/>
            <x v="2"/>
            <x v="3"/>
            <x v="4"/>
            <x v="5"/>
          </reference>
          <reference field="2" count="1" selected="0">
            <x v="18"/>
          </reference>
          <reference field="5" count="1" selected="0">
            <x v="13"/>
          </reference>
          <reference field="6" count="1" selected="0">
            <x v="2"/>
          </reference>
          <reference field="7" count="1">
            <x v="2"/>
          </reference>
        </references>
      </pivotArea>
    </format>
    <format dxfId="97">
      <pivotArea collapsedLevelsAreSubtotals="1" fieldPosition="0">
        <references count="3">
          <reference field="4294967294" count="6" selected="0">
            <x v="0"/>
            <x v="1"/>
            <x v="2"/>
            <x v="3"/>
            <x v="4"/>
            <x v="5"/>
          </reference>
          <reference field="2" count="1" selected="0">
            <x v="18"/>
          </reference>
          <reference field="5" count="1">
            <x v="14"/>
          </reference>
        </references>
      </pivotArea>
    </format>
    <format dxfId="96">
      <pivotArea collapsedLevelsAreSubtotals="1" fieldPosition="0">
        <references count="4">
          <reference field="4294967294" count="6" selected="0">
            <x v="0"/>
            <x v="1"/>
            <x v="2"/>
            <x v="3"/>
            <x v="4"/>
            <x v="5"/>
          </reference>
          <reference field="2" count="1" selected="0">
            <x v="18"/>
          </reference>
          <reference field="5" count="1" selected="0">
            <x v="14"/>
          </reference>
          <reference field="6" count="1">
            <x v="5"/>
          </reference>
        </references>
      </pivotArea>
    </format>
    <format dxfId="95">
      <pivotArea collapsedLevelsAreSubtotals="1" fieldPosition="0">
        <references count="5">
          <reference field="4294967294" count="6" selected="0">
            <x v="0"/>
            <x v="1"/>
            <x v="2"/>
            <x v="3"/>
            <x v="4"/>
            <x v="5"/>
          </reference>
          <reference field="2" count="1" selected="0">
            <x v="18"/>
          </reference>
          <reference field="5" count="1" selected="0">
            <x v="14"/>
          </reference>
          <reference field="6" count="1" selected="0">
            <x v="5"/>
          </reference>
          <reference field="7" count="1">
            <x v="2"/>
          </reference>
        </references>
      </pivotArea>
    </format>
    <format dxfId="94">
      <pivotArea collapsedLevelsAreSubtotals="1" fieldPosition="0">
        <references count="3">
          <reference field="4294967294" count="6" selected="0">
            <x v="0"/>
            <x v="1"/>
            <x v="2"/>
            <x v="3"/>
            <x v="4"/>
            <x v="5"/>
          </reference>
          <reference field="2" count="1" selected="0">
            <x v="18"/>
          </reference>
          <reference field="5" count="1">
            <x v="15"/>
          </reference>
        </references>
      </pivotArea>
    </format>
    <format dxfId="93">
      <pivotArea collapsedLevelsAreSubtotals="1" fieldPosition="0">
        <references count="4">
          <reference field="4294967294" count="6" selected="0">
            <x v="0"/>
            <x v="1"/>
            <x v="2"/>
            <x v="3"/>
            <x v="4"/>
            <x v="5"/>
          </reference>
          <reference field="2" count="1" selected="0">
            <x v="18"/>
          </reference>
          <reference field="5" count="1" selected="0">
            <x v="15"/>
          </reference>
          <reference field="6" count="1">
            <x v="2"/>
          </reference>
        </references>
      </pivotArea>
    </format>
    <format dxfId="92">
      <pivotArea collapsedLevelsAreSubtotals="1" fieldPosition="0">
        <references count="5">
          <reference field="4294967294" count="6" selected="0">
            <x v="0"/>
            <x v="1"/>
            <x v="2"/>
            <x v="3"/>
            <x v="4"/>
            <x v="5"/>
          </reference>
          <reference field="2" count="1" selected="0">
            <x v="18"/>
          </reference>
          <reference field="5" count="1" selected="0">
            <x v="15"/>
          </reference>
          <reference field="6" count="1" selected="0">
            <x v="2"/>
          </reference>
          <reference field="7" count="1">
            <x v="2"/>
          </reference>
        </references>
      </pivotArea>
    </format>
    <format dxfId="91">
      <pivotArea collapsedLevelsAreSubtotals="1" fieldPosition="0">
        <references count="2">
          <reference field="4294967294" count="6" selected="0">
            <x v="0"/>
            <x v="1"/>
            <x v="2"/>
            <x v="3"/>
            <x v="4"/>
            <x v="5"/>
          </reference>
          <reference field="2" count="1">
            <x v="19"/>
          </reference>
        </references>
      </pivotArea>
    </format>
    <format dxfId="90">
      <pivotArea collapsedLevelsAreSubtotals="1" fieldPosition="0">
        <references count="3">
          <reference field="4294967294" count="6" selected="0">
            <x v="0"/>
            <x v="1"/>
            <x v="2"/>
            <x v="3"/>
            <x v="4"/>
            <x v="5"/>
          </reference>
          <reference field="2" count="1" selected="0">
            <x v="19"/>
          </reference>
          <reference field="5" count="1">
            <x v="0"/>
          </reference>
        </references>
      </pivotArea>
    </format>
    <format dxfId="89">
      <pivotArea collapsedLevelsAreSubtotals="1" fieldPosition="0">
        <references count="4">
          <reference field="4294967294" count="6" selected="0">
            <x v="0"/>
            <x v="1"/>
            <x v="2"/>
            <x v="3"/>
            <x v="4"/>
            <x v="5"/>
          </reference>
          <reference field="2" count="1" selected="0">
            <x v="19"/>
          </reference>
          <reference field="5" count="1" selected="0">
            <x v="0"/>
          </reference>
          <reference field="6" count="1">
            <x v="0"/>
          </reference>
        </references>
      </pivotArea>
    </format>
    <format dxfId="88">
      <pivotArea collapsedLevelsAreSubtotals="1" fieldPosition="0">
        <references count="5">
          <reference field="4294967294" count="6" selected="0">
            <x v="0"/>
            <x v="1"/>
            <x v="2"/>
            <x v="3"/>
            <x v="4"/>
            <x v="5"/>
          </reference>
          <reference field="2" count="1" selected="0">
            <x v="19"/>
          </reference>
          <reference field="5" count="1" selected="0">
            <x v="0"/>
          </reference>
          <reference field="6" count="1" selected="0">
            <x v="0"/>
          </reference>
          <reference field="7" count="1">
            <x v="0"/>
          </reference>
        </references>
      </pivotArea>
    </format>
    <format dxfId="87">
      <pivotArea collapsedLevelsAreSubtotals="1" fieldPosition="0">
        <references count="3">
          <reference field="4294967294" count="6" selected="0">
            <x v="0"/>
            <x v="1"/>
            <x v="2"/>
            <x v="3"/>
            <x v="4"/>
            <x v="5"/>
          </reference>
          <reference field="2" count="1" selected="0">
            <x v="19"/>
          </reference>
          <reference field="5" count="1">
            <x v="3"/>
          </reference>
        </references>
      </pivotArea>
    </format>
    <format dxfId="86">
      <pivotArea collapsedLevelsAreSubtotals="1" fieldPosition="0">
        <references count="4">
          <reference field="4294967294" count="6" selected="0">
            <x v="0"/>
            <x v="1"/>
            <x v="2"/>
            <x v="3"/>
            <x v="4"/>
            <x v="5"/>
          </reference>
          <reference field="2" count="1" selected="0">
            <x v="19"/>
          </reference>
          <reference field="5" count="1" selected="0">
            <x v="3"/>
          </reference>
          <reference field="6" count="1">
            <x v="2"/>
          </reference>
        </references>
      </pivotArea>
    </format>
    <format dxfId="85">
      <pivotArea collapsedLevelsAreSubtotals="1" fieldPosition="0">
        <references count="5">
          <reference field="4294967294" count="6" selected="0">
            <x v="0"/>
            <x v="1"/>
            <x v="2"/>
            <x v="3"/>
            <x v="4"/>
            <x v="5"/>
          </reference>
          <reference field="2" count="1" selected="0">
            <x v="19"/>
          </reference>
          <reference field="5" count="1" selected="0">
            <x v="3"/>
          </reference>
          <reference field="6" count="1" selected="0">
            <x v="2"/>
          </reference>
          <reference field="7" count="1">
            <x v="2"/>
          </reference>
        </references>
      </pivotArea>
    </format>
    <format dxfId="84">
      <pivotArea collapsedLevelsAreSubtotals="1" fieldPosition="0">
        <references count="3">
          <reference field="4294967294" count="6" selected="0">
            <x v="0"/>
            <x v="1"/>
            <x v="2"/>
            <x v="3"/>
            <x v="4"/>
            <x v="5"/>
          </reference>
          <reference field="2" count="1" selected="0">
            <x v="19"/>
          </reference>
          <reference field="5" count="1">
            <x v="9"/>
          </reference>
        </references>
      </pivotArea>
    </format>
    <format dxfId="83">
      <pivotArea collapsedLevelsAreSubtotals="1" fieldPosition="0">
        <references count="4">
          <reference field="4294967294" count="6" selected="0">
            <x v="0"/>
            <x v="1"/>
            <x v="2"/>
            <x v="3"/>
            <x v="4"/>
            <x v="5"/>
          </reference>
          <reference field="2" count="1" selected="0">
            <x v="19"/>
          </reference>
          <reference field="5" count="1" selected="0">
            <x v="9"/>
          </reference>
          <reference field="6" count="1">
            <x v="8"/>
          </reference>
        </references>
      </pivotArea>
    </format>
    <format dxfId="82">
      <pivotArea collapsedLevelsAreSubtotals="1" fieldPosition="0">
        <references count="5">
          <reference field="4294967294" count="6" selected="0">
            <x v="0"/>
            <x v="1"/>
            <x v="2"/>
            <x v="3"/>
            <x v="4"/>
            <x v="5"/>
          </reference>
          <reference field="2" count="1" selected="0">
            <x v="19"/>
          </reference>
          <reference field="5" count="1" selected="0">
            <x v="9"/>
          </reference>
          <reference field="6" count="1" selected="0">
            <x v="8"/>
          </reference>
          <reference field="7" count="1">
            <x v="1"/>
          </reference>
        </references>
      </pivotArea>
    </format>
    <format dxfId="81">
      <pivotArea collapsedLevelsAreSubtotals="1" fieldPosition="0">
        <references count="3">
          <reference field="4294967294" count="6" selected="0">
            <x v="0"/>
            <x v="1"/>
            <x v="2"/>
            <x v="3"/>
            <x v="4"/>
            <x v="5"/>
          </reference>
          <reference field="2" count="1" selected="0">
            <x v="19"/>
          </reference>
          <reference field="5" count="1">
            <x v="16"/>
          </reference>
        </references>
      </pivotArea>
    </format>
    <format dxfId="80">
      <pivotArea collapsedLevelsAreSubtotals="1" fieldPosition="0">
        <references count="4">
          <reference field="4294967294" count="6" selected="0">
            <x v="0"/>
            <x v="1"/>
            <x v="2"/>
            <x v="3"/>
            <x v="4"/>
            <x v="5"/>
          </reference>
          <reference field="2" count="1" selected="0">
            <x v="19"/>
          </reference>
          <reference field="5" count="1" selected="0">
            <x v="16"/>
          </reference>
          <reference field="6" count="1">
            <x v="10"/>
          </reference>
        </references>
      </pivotArea>
    </format>
    <format dxfId="79">
      <pivotArea collapsedLevelsAreSubtotals="1" fieldPosition="0">
        <references count="5">
          <reference field="4294967294" count="6" selected="0">
            <x v="0"/>
            <x v="1"/>
            <x v="2"/>
            <x v="3"/>
            <x v="4"/>
            <x v="5"/>
          </reference>
          <reference field="2" count="1" selected="0">
            <x v="19"/>
          </reference>
          <reference field="5" count="1" selected="0">
            <x v="16"/>
          </reference>
          <reference field="6" count="1" selected="0">
            <x v="10"/>
          </reference>
          <reference field="7" count="1">
            <x v="4"/>
          </reference>
        </references>
      </pivotArea>
    </format>
    <format dxfId="78">
      <pivotArea collapsedLevelsAreSubtotals="1" fieldPosition="0">
        <references count="3">
          <reference field="4294967294" count="6" selected="0">
            <x v="0"/>
            <x v="1"/>
            <x v="2"/>
            <x v="3"/>
            <x v="4"/>
            <x v="5"/>
          </reference>
          <reference field="2" count="1" selected="0">
            <x v="19"/>
          </reference>
          <reference field="5" count="1">
            <x v="17"/>
          </reference>
        </references>
      </pivotArea>
    </format>
    <format dxfId="77">
      <pivotArea collapsedLevelsAreSubtotals="1" fieldPosition="0">
        <references count="4">
          <reference field="4294967294" count="6" selected="0">
            <x v="0"/>
            <x v="1"/>
            <x v="2"/>
            <x v="3"/>
            <x v="4"/>
            <x v="5"/>
          </reference>
          <reference field="2" count="1" selected="0">
            <x v="19"/>
          </reference>
          <reference field="5" count="1" selected="0">
            <x v="17"/>
          </reference>
          <reference field="6" count="1">
            <x v="10"/>
          </reference>
        </references>
      </pivotArea>
    </format>
    <format dxfId="76">
      <pivotArea collapsedLevelsAreSubtotals="1" fieldPosition="0">
        <references count="5">
          <reference field="4294967294" count="6" selected="0">
            <x v="0"/>
            <x v="1"/>
            <x v="2"/>
            <x v="3"/>
            <x v="4"/>
            <x v="5"/>
          </reference>
          <reference field="2" count="1" selected="0">
            <x v="19"/>
          </reference>
          <reference field="5" count="1" selected="0">
            <x v="17"/>
          </reference>
          <reference field="6" count="1" selected="0">
            <x v="10"/>
          </reference>
          <reference field="7" count="1">
            <x v="4"/>
          </reference>
        </references>
      </pivotArea>
    </format>
    <format dxfId="75">
      <pivotArea collapsedLevelsAreSubtotals="1" fieldPosition="0">
        <references count="2">
          <reference field="4294967294" count="6" selected="0">
            <x v="0"/>
            <x v="1"/>
            <x v="2"/>
            <x v="3"/>
            <x v="4"/>
            <x v="5"/>
          </reference>
          <reference field="2" count="1">
            <x v="20"/>
          </reference>
        </references>
      </pivotArea>
    </format>
    <format dxfId="74">
      <pivotArea collapsedLevelsAreSubtotals="1" fieldPosition="0">
        <references count="3">
          <reference field="4294967294" count="6" selected="0">
            <x v="0"/>
            <x v="1"/>
            <x v="2"/>
            <x v="3"/>
            <x v="4"/>
            <x v="5"/>
          </reference>
          <reference field="2" count="1" selected="0">
            <x v="20"/>
          </reference>
          <reference field="5" count="1">
            <x v="0"/>
          </reference>
        </references>
      </pivotArea>
    </format>
    <format dxfId="73">
      <pivotArea collapsedLevelsAreSubtotals="1" fieldPosition="0">
        <references count="4">
          <reference field="4294967294" count="6" selected="0">
            <x v="0"/>
            <x v="1"/>
            <x v="2"/>
            <x v="3"/>
            <x v="4"/>
            <x v="5"/>
          </reference>
          <reference field="2" count="1" selected="0">
            <x v="20"/>
          </reference>
          <reference field="5" count="1" selected="0">
            <x v="0"/>
          </reference>
          <reference field="6" count="1">
            <x v="0"/>
          </reference>
        </references>
      </pivotArea>
    </format>
    <format dxfId="72">
      <pivotArea collapsedLevelsAreSubtotals="1" fieldPosition="0">
        <references count="5">
          <reference field="4294967294" count="6" selected="0">
            <x v="0"/>
            <x v="1"/>
            <x v="2"/>
            <x v="3"/>
            <x v="4"/>
            <x v="5"/>
          </reference>
          <reference field="2" count="1" selected="0">
            <x v="20"/>
          </reference>
          <reference field="5" count="1" selected="0">
            <x v="0"/>
          </reference>
          <reference field="6" count="1" selected="0">
            <x v="0"/>
          </reference>
          <reference field="7" count="1">
            <x v="0"/>
          </reference>
        </references>
      </pivotArea>
    </format>
    <format dxfId="71">
      <pivotArea collapsedLevelsAreSubtotals="1" fieldPosition="0">
        <references count="2">
          <reference field="4294967294" count="6" selected="0">
            <x v="0"/>
            <x v="1"/>
            <x v="2"/>
            <x v="3"/>
            <x v="4"/>
            <x v="5"/>
          </reference>
          <reference field="2" count="1">
            <x v="21"/>
          </reference>
        </references>
      </pivotArea>
    </format>
    <format dxfId="70">
      <pivotArea collapsedLevelsAreSubtotals="1" fieldPosition="0">
        <references count="3">
          <reference field="4294967294" count="6" selected="0">
            <x v="0"/>
            <x v="1"/>
            <x v="2"/>
            <x v="3"/>
            <x v="4"/>
            <x v="5"/>
          </reference>
          <reference field="2" count="1" selected="0">
            <x v="21"/>
          </reference>
          <reference field="5" count="1">
            <x v="0"/>
          </reference>
        </references>
      </pivotArea>
    </format>
    <format dxfId="69">
      <pivotArea collapsedLevelsAreSubtotals="1" fieldPosition="0">
        <references count="4">
          <reference field="4294967294" count="6" selected="0">
            <x v="0"/>
            <x v="1"/>
            <x v="2"/>
            <x v="3"/>
            <x v="4"/>
            <x v="5"/>
          </reference>
          <reference field="2" count="1" selected="0">
            <x v="21"/>
          </reference>
          <reference field="5" count="1" selected="0">
            <x v="0"/>
          </reference>
          <reference field="6" count="1">
            <x v="0"/>
          </reference>
        </references>
      </pivotArea>
    </format>
    <format dxfId="68">
      <pivotArea collapsedLevelsAreSubtotals="1" fieldPosition="0">
        <references count="5">
          <reference field="4294967294" count="6" selected="0">
            <x v="0"/>
            <x v="1"/>
            <x v="2"/>
            <x v="3"/>
            <x v="4"/>
            <x v="5"/>
          </reference>
          <reference field="2" count="1" selected="0">
            <x v="21"/>
          </reference>
          <reference field="5" count="1" selected="0">
            <x v="0"/>
          </reference>
          <reference field="6" count="1" selected="0">
            <x v="0"/>
          </reference>
          <reference field="7" count="1">
            <x v="0"/>
          </reference>
        </references>
      </pivotArea>
    </format>
    <format dxfId="67">
      <pivotArea collapsedLevelsAreSubtotals="1" fieldPosition="0">
        <references count="2">
          <reference field="4294967294" count="6" selected="0">
            <x v="0"/>
            <x v="1"/>
            <x v="2"/>
            <x v="3"/>
            <x v="4"/>
            <x v="5"/>
          </reference>
          <reference field="2" count="1">
            <x v="22"/>
          </reference>
        </references>
      </pivotArea>
    </format>
    <format dxfId="66">
      <pivotArea collapsedLevelsAreSubtotals="1" fieldPosition="0">
        <references count="3">
          <reference field="4294967294" count="6" selected="0">
            <x v="0"/>
            <x v="1"/>
            <x v="2"/>
            <x v="3"/>
            <x v="4"/>
            <x v="5"/>
          </reference>
          <reference field="2" count="1" selected="0">
            <x v="22"/>
          </reference>
          <reference field="5" count="1">
            <x v="0"/>
          </reference>
        </references>
      </pivotArea>
    </format>
    <format dxfId="65">
      <pivotArea collapsedLevelsAreSubtotals="1" fieldPosition="0">
        <references count="4">
          <reference field="4294967294" count="6" selected="0">
            <x v="0"/>
            <x v="1"/>
            <x v="2"/>
            <x v="3"/>
            <x v="4"/>
            <x v="5"/>
          </reference>
          <reference field="2" count="1" selected="0">
            <x v="22"/>
          </reference>
          <reference field="5" count="1" selected="0">
            <x v="0"/>
          </reference>
          <reference field="6" count="1">
            <x v="0"/>
          </reference>
        </references>
      </pivotArea>
    </format>
    <format dxfId="64">
      <pivotArea collapsedLevelsAreSubtotals="1" fieldPosition="0">
        <references count="5">
          <reference field="4294967294" count="6" selected="0">
            <x v="0"/>
            <x v="1"/>
            <x v="2"/>
            <x v="3"/>
            <x v="4"/>
            <x v="5"/>
          </reference>
          <reference field="2" count="1" selected="0">
            <x v="22"/>
          </reference>
          <reference field="5" count="1" selected="0">
            <x v="0"/>
          </reference>
          <reference field="6" count="1" selected="0">
            <x v="0"/>
          </reference>
          <reference field="7" count="1">
            <x v="0"/>
          </reference>
        </references>
      </pivotArea>
    </format>
    <format dxfId="63">
      <pivotArea collapsedLevelsAreSubtotals="1" fieldPosition="0">
        <references count="3">
          <reference field="4294967294" count="6" selected="0">
            <x v="0"/>
            <x v="1"/>
            <x v="2"/>
            <x v="3"/>
            <x v="4"/>
            <x v="5"/>
          </reference>
          <reference field="2" count="1" selected="0">
            <x v="22"/>
          </reference>
          <reference field="5" count="1">
            <x v="3"/>
          </reference>
        </references>
      </pivotArea>
    </format>
    <format dxfId="62">
      <pivotArea collapsedLevelsAreSubtotals="1" fieldPosition="0">
        <references count="4">
          <reference field="4294967294" count="6" selected="0">
            <x v="0"/>
            <x v="1"/>
            <x v="2"/>
            <x v="3"/>
            <x v="4"/>
            <x v="5"/>
          </reference>
          <reference field="2" count="1" selected="0">
            <x v="22"/>
          </reference>
          <reference field="5" count="1" selected="0">
            <x v="3"/>
          </reference>
          <reference field="6" count="1">
            <x v="2"/>
          </reference>
        </references>
      </pivotArea>
    </format>
    <format dxfId="61">
      <pivotArea collapsedLevelsAreSubtotals="1" fieldPosition="0">
        <references count="5">
          <reference field="4294967294" count="6" selected="0">
            <x v="0"/>
            <x v="1"/>
            <x v="2"/>
            <x v="3"/>
            <x v="4"/>
            <x v="5"/>
          </reference>
          <reference field="2" count="1" selected="0">
            <x v="22"/>
          </reference>
          <reference field="5" count="1" selected="0">
            <x v="3"/>
          </reference>
          <reference field="6" count="1" selected="0">
            <x v="2"/>
          </reference>
          <reference field="7" count="1">
            <x v="2"/>
          </reference>
        </references>
      </pivotArea>
    </format>
    <format dxfId="60">
      <pivotArea collapsedLevelsAreSubtotals="1" fieldPosition="0">
        <references count="3">
          <reference field="4294967294" count="6" selected="0">
            <x v="0"/>
            <x v="1"/>
            <x v="2"/>
            <x v="3"/>
            <x v="4"/>
            <x v="5"/>
          </reference>
          <reference field="2" count="1" selected="0">
            <x v="22"/>
          </reference>
          <reference field="5" count="1">
            <x v="14"/>
          </reference>
        </references>
      </pivotArea>
    </format>
    <format dxfId="59">
      <pivotArea collapsedLevelsAreSubtotals="1" fieldPosition="0">
        <references count="4">
          <reference field="4294967294" count="6" selected="0">
            <x v="0"/>
            <x v="1"/>
            <x v="2"/>
            <x v="3"/>
            <x v="4"/>
            <x v="5"/>
          </reference>
          <reference field="2" count="1" selected="0">
            <x v="22"/>
          </reference>
          <reference field="5" count="1" selected="0">
            <x v="14"/>
          </reference>
          <reference field="6" count="1">
            <x v="5"/>
          </reference>
        </references>
      </pivotArea>
    </format>
    <format dxfId="58">
      <pivotArea collapsedLevelsAreSubtotals="1" fieldPosition="0">
        <references count="5">
          <reference field="4294967294" count="6" selected="0">
            <x v="0"/>
            <x v="1"/>
            <x v="2"/>
            <x v="3"/>
            <x v="4"/>
            <x v="5"/>
          </reference>
          <reference field="2" count="1" selected="0">
            <x v="22"/>
          </reference>
          <reference field="5" count="1" selected="0">
            <x v="14"/>
          </reference>
          <reference field="6" count="1" selected="0">
            <x v="5"/>
          </reference>
          <reference field="7" count="1">
            <x v="2"/>
          </reference>
        </references>
      </pivotArea>
    </format>
    <format dxfId="57">
      <pivotArea collapsedLevelsAreSubtotals="1" fieldPosition="0">
        <references count="4">
          <reference field="4294967294" count="6" selected="0">
            <x v="0"/>
            <x v="1"/>
            <x v="2"/>
            <x v="3"/>
            <x v="4"/>
            <x v="5"/>
          </reference>
          <reference field="2" count="1" selected="0">
            <x v="22"/>
          </reference>
          <reference field="5" count="1" selected="0">
            <x v="14"/>
          </reference>
          <reference field="6" count="1">
            <x v="8"/>
          </reference>
        </references>
      </pivotArea>
    </format>
    <format dxfId="56">
      <pivotArea collapsedLevelsAreSubtotals="1" fieldPosition="0">
        <references count="5">
          <reference field="4294967294" count="6" selected="0">
            <x v="0"/>
            <x v="1"/>
            <x v="2"/>
            <x v="3"/>
            <x v="4"/>
            <x v="5"/>
          </reference>
          <reference field="2" count="1" selected="0">
            <x v="22"/>
          </reference>
          <reference field="5" count="1" selected="0">
            <x v="14"/>
          </reference>
          <reference field="6" count="1" selected="0">
            <x v="8"/>
          </reference>
          <reference field="7" count="1">
            <x v="1"/>
          </reference>
        </references>
      </pivotArea>
    </format>
    <format dxfId="55">
      <pivotArea collapsedLevelsAreSubtotals="1" fieldPosition="0">
        <references count="3">
          <reference field="4294967294" count="6" selected="0">
            <x v="0"/>
            <x v="1"/>
            <x v="2"/>
            <x v="3"/>
            <x v="4"/>
            <x v="5"/>
          </reference>
          <reference field="2" count="1" selected="0">
            <x v="22"/>
          </reference>
          <reference field="5" count="1">
            <x v="35"/>
          </reference>
        </references>
      </pivotArea>
    </format>
    <format dxfId="54">
      <pivotArea collapsedLevelsAreSubtotals="1" fieldPosition="0">
        <references count="4">
          <reference field="4294967294" count="6" selected="0">
            <x v="0"/>
            <x v="1"/>
            <x v="2"/>
            <x v="3"/>
            <x v="4"/>
            <x v="5"/>
          </reference>
          <reference field="2" count="1" selected="0">
            <x v="22"/>
          </reference>
          <reference field="5" count="1" selected="0">
            <x v="35"/>
          </reference>
          <reference field="6" count="1">
            <x v="8"/>
          </reference>
        </references>
      </pivotArea>
    </format>
    <format dxfId="53">
      <pivotArea collapsedLevelsAreSubtotals="1" fieldPosition="0">
        <references count="5">
          <reference field="4294967294" count="6" selected="0">
            <x v="0"/>
            <x v="1"/>
            <x v="2"/>
            <x v="3"/>
            <x v="4"/>
            <x v="5"/>
          </reference>
          <reference field="2" count="1" selected="0">
            <x v="22"/>
          </reference>
          <reference field="5" count="1" selected="0">
            <x v="35"/>
          </reference>
          <reference field="6" count="1" selected="0">
            <x v="8"/>
          </reference>
          <reference field="7" count="1">
            <x v="1"/>
          </reference>
        </references>
      </pivotArea>
    </format>
    <format dxfId="52">
      <pivotArea collapsedLevelsAreSubtotals="1" fieldPosition="0">
        <references count="2">
          <reference field="4294967294" count="6" selected="0">
            <x v="0"/>
            <x v="1"/>
            <x v="2"/>
            <x v="3"/>
            <x v="4"/>
            <x v="5"/>
          </reference>
          <reference field="2" count="1">
            <x v="23"/>
          </reference>
        </references>
      </pivotArea>
    </format>
    <format dxfId="51">
      <pivotArea collapsedLevelsAreSubtotals="1" fieldPosition="0">
        <references count="3">
          <reference field="4294967294" count="6" selected="0">
            <x v="0"/>
            <x v="1"/>
            <x v="2"/>
            <x v="3"/>
            <x v="4"/>
            <x v="5"/>
          </reference>
          <reference field="2" count="1" selected="0">
            <x v="23"/>
          </reference>
          <reference field="5" count="1">
            <x v="0"/>
          </reference>
        </references>
      </pivotArea>
    </format>
    <format dxfId="50">
      <pivotArea collapsedLevelsAreSubtotals="1" fieldPosition="0">
        <references count="4">
          <reference field="4294967294" count="6" selected="0">
            <x v="0"/>
            <x v="1"/>
            <x v="2"/>
            <x v="3"/>
            <x v="4"/>
            <x v="5"/>
          </reference>
          <reference field="2" count="1" selected="0">
            <x v="23"/>
          </reference>
          <reference field="5" count="1" selected="0">
            <x v="0"/>
          </reference>
          <reference field="6" count="1">
            <x v="0"/>
          </reference>
        </references>
      </pivotArea>
    </format>
    <format dxfId="49">
      <pivotArea collapsedLevelsAreSubtotals="1" fieldPosition="0">
        <references count="5">
          <reference field="4294967294" count="6" selected="0">
            <x v="0"/>
            <x v="1"/>
            <x v="2"/>
            <x v="3"/>
            <x v="4"/>
            <x v="5"/>
          </reference>
          <reference field="2" count="1" selected="0">
            <x v="23"/>
          </reference>
          <reference field="5" count="1" selected="0">
            <x v="0"/>
          </reference>
          <reference field="6" count="1" selected="0">
            <x v="0"/>
          </reference>
          <reference field="7" count="1">
            <x v="0"/>
          </reference>
        </references>
      </pivotArea>
    </format>
    <format dxfId="48">
      <pivotArea collapsedLevelsAreSubtotals="1" fieldPosition="0">
        <references count="3">
          <reference field="4294967294" count="6" selected="0">
            <x v="0"/>
            <x v="1"/>
            <x v="2"/>
            <x v="3"/>
            <x v="4"/>
            <x v="5"/>
          </reference>
          <reference field="2" count="1" selected="0">
            <x v="23"/>
          </reference>
          <reference field="5" count="1">
            <x v="3"/>
          </reference>
        </references>
      </pivotArea>
    </format>
    <format dxfId="47">
      <pivotArea collapsedLevelsAreSubtotals="1" fieldPosition="0">
        <references count="4">
          <reference field="4294967294" count="6" selected="0">
            <x v="0"/>
            <x v="1"/>
            <x v="2"/>
            <x v="3"/>
            <x v="4"/>
            <x v="5"/>
          </reference>
          <reference field="2" count="1" selected="0">
            <x v="23"/>
          </reference>
          <reference field="5" count="1" selected="0">
            <x v="3"/>
          </reference>
          <reference field="6" count="1">
            <x v="2"/>
          </reference>
        </references>
      </pivotArea>
    </format>
    <format dxfId="46">
      <pivotArea collapsedLevelsAreSubtotals="1" fieldPosition="0">
        <references count="5">
          <reference field="4294967294" count="6" selected="0">
            <x v="0"/>
            <x v="1"/>
            <x v="2"/>
            <x v="3"/>
            <x v="4"/>
            <x v="5"/>
          </reference>
          <reference field="2" count="1" selected="0">
            <x v="23"/>
          </reference>
          <reference field="5" count="1" selected="0">
            <x v="3"/>
          </reference>
          <reference field="6" count="1" selected="0">
            <x v="2"/>
          </reference>
          <reference field="7" count="1">
            <x v="2"/>
          </reference>
        </references>
      </pivotArea>
    </format>
    <format dxfId="45">
      <pivotArea collapsedLevelsAreSubtotals="1" fieldPosition="0">
        <references count="3">
          <reference field="4294967294" count="6" selected="0">
            <x v="0"/>
            <x v="1"/>
            <x v="2"/>
            <x v="3"/>
            <x v="4"/>
            <x v="5"/>
          </reference>
          <reference field="2" count="1" selected="0">
            <x v="23"/>
          </reference>
          <reference field="5" count="1">
            <x v="25"/>
          </reference>
        </references>
      </pivotArea>
    </format>
    <format dxfId="44">
      <pivotArea collapsedLevelsAreSubtotals="1" fieldPosition="0">
        <references count="4">
          <reference field="4294967294" count="6" selected="0">
            <x v="0"/>
            <x v="1"/>
            <x v="2"/>
            <x v="3"/>
            <x v="4"/>
            <x v="5"/>
          </reference>
          <reference field="2" count="1" selected="0">
            <x v="23"/>
          </reference>
          <reference field="5" count="1" selected="0">
            <x v="25"/>
          </reference>
          <reference field="6" count="1">
            <x v="13"/>
          </reference>
        </references>
      </pivotArea>
    </format>
    <format dxfId="43">
      <pivotArea collapsedLevelsAreSubtotals="1" fieldPosition="0">
        <references count="5">
          <reference field="4294967294" count="6" selected="0">
            <x v="0"/>
            <x v="1"/>
            <x v="2"/>
            <x v="3"/>
            <x v="4"/>
            <x v="5"/>
          </reference>
          <reference field="2" count="1" selected="0">
            <x v="23"/>
          </reference>
          <reference field="5" count="1" selected="0">
            <x v="25"/>
          </reference>
          <reference field="6" count="1" selected="0">
            <x v="13"/>
          </reference>
          <reference field="7" count="1">
            <x v="3"/>
          </reference>
        </references>
      </pivotArea>
    </format>
    <format dxfId="42">
      <pivotArea collapsedLevelsAreSubtotals="1" fieldPosition="0">
        <references count="2">
          <reference field="4294967294" count="6" selected="0">
            <x v="0"/>
            <x v="1"/>
            <x v="2"/>
            <x v="3"/>
            <x v="4"/>
            <x v="5"/>
          </reference>
          <reference field="2" count="1">
            <x v="24"/>
          </reference>
        </references>
      </pivotArea>
    </format>
    <format dxfId="41">
      <pivotArea collapsedLevelsAreSubtotals="1" fieldPosition="0">
        <references count="3">
          <reference field="4294967294" count="6" selected="0">
            <x v="0"/>
            <x v="1"/>
            <x v="2"/>
            <x v="3"/>
            <x v="4"/>
            <x v="5"/>
          </reference>
          <reference field="2" count="1" selected="0">
            <x v="24"/>
          </reference>
          <reference field="5" count="1">
            <x v="0"/>
          </reference>
        </references>
      </pivotArea>
    </format>
    <format dxfId="40">
      <pivotArea collapsedLevelsAreSubtotals="1" fieldPosition="0">
        <references count="4">
          <reference field="4294967294" count="6" selected="0">
            <x v="0"/>
            <x v="1"/>
            <x v="2"/>
            <x v="3"/>
            <x v="4"/>
            <x v="5"/>
          </reference>
          <reference field="2" count="1" selected="0">
            <x v="24"/>
          </reference>
          <reference field="5" count="1" selected="0">
            <x v="0"/>
          </reference>
          <reference field="6" count="1">
            <x v="0"/>
          </reference>
        </references>
      </pivotArea>
    </format>
    <format dxfId="39">
      <pivotArea collapsedLevelsAreSubtotals="1" fieldPosition="0">
        <references count="5">
          <reference field="4294967294" count="6" selected="0">
            <x v="0"/>
            <x v="1"/>
            <x v="2"/>
            <x v="3"/>
            <x v="4"/>
            <x v="5"/>
          </reference>
          <reference field="2" count="1" selected="0">
            <x v="24"/>
          </reference>
          <reference field="5" count="1" selected="0">
            <x v="0"/>
          </reference>
          <reference field="6" count="1" selected="0">
            <x v="0"/>
          </reference>
          <reference field="7" count="1">
            <x v="0"/>
          </reference>
        </references>
      </pivotArea>
    </format>
    <format dxfId="38">
      <pivotArea collapsedLevelsAreSubtotals="1" fieldPosition="0">
        <references count="2">
          <reference field="4294967294" count="6" selected="0">
            <x v="0"/>
            <x v="1"/>
            <x v="2"/>
            <x v="3"/>
            <x v="4"/>
            <x v="5"/>
          </reference>
          <reference field="2" count="1">
            <x v="25"/>
          </reference>
        </references>
      </pivotArea>
    </format>
    <format dxfId="37">
      <pivotArea collapsedLevelsAreSubtotals="1" fieldPosition="0">
        <references count="3">
          <reference field="4294967294" count="6" selected="0">
            <x v="0"/>
            <x v="1"/>
            <x v="2"/>
            <x v="3"/>
            <x v="4"/>
            <x v="5"/>
          </reference>
          <reference field="2" count="1" selected="0">
            <x v="25"/>
          </reference>
          <reference field="5" count="1">
            <x v="0"/>
          </reference>
        </references>
      </pivotArea>
    </format>
    <format dxfId="36">
      <pivotArea collapsedLevelsAreSubtotals="1" fieldPosition="0">
        <references count="4">
          <reference field="4294967294" count="6" selected="0">
            <x v="0"/>
            <x v="1"/>
            <x v="2"/>
            <x v="3"/>
            <x v="4"/>
            <x v="5"/>
          </reference>
          <reference field="2" count="1" selected="0">
            <x v="25"/>
          </reference>
          <reference field="5" count="1" selected="0">
            <x v="0"/>
          </reference>
          <reference field="6" count="1">
            <x v="0"/>
          </reference>
        </references>
      </pivotArea>
    </format>
    <format dxfId="35">
      <pivotArea collapsedLevelsAreSubtotals="1" fieldPosition="0">
        <references count="5">
          <reference field="4294967294" count="6" selected="0">
            <x v="0"/>
            <x v="1"/>
            <x v="2"/>
            <x v="3"/>
            <x v="4"/>
            <x v="5"/>
          </reference>
          <reference field="2" count="1" selected="0">
            <x v="25"/>
          </reference>
          <reference field="5" count="1" selected="0">
            <x v="0"/>
          </reference>
          <reference field="6" count="1" selected="0">
            <x v="0"/>
          </reference>
          <reference field="7" count="1">
            <x v="0"/>
          </reference>
        </references>
      </pivotArea>
    </format>
    <format dxfId="34">
      <pivotArea collapsedLevelsAreSubtotals="1" fieldPosition="0">
        <references count="2">
          <reference field="4294967294" count="6" selected="0">
            <x v="0"/>
            <x v="1"/>
            <x v="2"/>
            <x v="3"/>
            <x v="4"/>
            <x v="5"/>
          </reference>
          <reference field="2" count="1">
            <x v="26"/>
          </reference>
        </references>
      </pivotArea>
    </format>
    <format dxfId="33">
      <pivotArea collapsedLevelsAreSubtotals="1" fieldPosition="0">
        <references count="3">
          <reference field="4294967294" count="6" selected="0">
            <x v="0"/>
            <x v="1"/>
            <x v="2"/>
            <x v="3"/>
            <x v="4"/>
            <x v="5"/>
          </reference>
          <reference field="2" count="1" selected="0">
            <x v="26"/>
          </reference>
          <reference field="5" count="1">
            <x v="0"/>
          </reference>
        </references>
      </pivotArea>
    </format>
    <format dxfId="32">
      <pivotArea collapsedLevelsAreSubtotals="1" fieldPosition="0">
        <references count="4">
          <reference field="4294967294" count="6" selected="0">
            <x v="0"/>
            <x v="1"/>
            <x v="2"/>
            <x v="3"/>
            <x v="4"/>
            <x v="5"/>
          </reference>
          <reference field="2" count="1" selected="0">
            <x v="26"/>
          </reference>
          <reference field="5" count="1" selected="0">
            <x v="0"/>
          </reference>
          <reference field="6" count="1">
            <x v="0"/>
          </reference>
        </references>
      </pivotArea>
    </format>
    <format dxfId="31">
      <pivotArea collapsedLevelsAreSubtotals="1" fieldPosition="0">
        <references count="5">
          <reference field="4294967294" count="6" selected="0">
            <x v="0"/>
            <x v="1"/>
            <x v="2"/>
            <x v="3"/>
            <x v="4"/>
            <x v="5"/>
          </reference>
          <reference field="2" count="1" selected="0">
            <x v="26"/>
          </reference>
          <reference field="5" count="1" selected="0">
            <x v="0"/>
          </reference>
          <reference field="6" count="1" selected="0">
            <x v="0"/>
          </reference>
          <reference field="7" count="1">
            <x v="0"/>
          </reference>
        </references>
      </pivotArea>
    </format>
    <format dxfId="30">
      <pivotArea collapsedLevelsAreSubtotals="1" fieldPosition="0">
        <references count="3">
          <reference field="4294967294" count="6" selected="0">
            <x v="0"/>
            <x v="1"/>
            <x v="2"/>
            <x v="3"/>
            <x v="4"/>
            <x v="5"/>
          </reference>
          <reference field="2" count="1" selected="0">
            <x v="26"/>
          </reference>
          <reference field="5" count="1">
            <x v="14"/>
          </reference>
        </references>
      </pivotArea>
    </format>
    <format dxfId="29">
      <pivotArea collapsedLevelsAreSubtotals="1" fieldPosition="0">
        <references count="4">
          <reference field="4294967294" count="6" selected="0">
            <x v="0"/>
            <x v="1"/>
            <x v="2"/>
            <x v="3"/>
            <x v="4"/>
            <x v="5"/>
          </reference>
          <reference field="2" count="1" selected="0">
            <x v="26"/>
          </reference>
          <reference field="5" count="1" selected="0">
            <x v="14"/>
          </reference>
          <reference field="6" count="1">
            <x v="5"/>
          </reference>
        </references>
      </pivotArea>
    </format>
    <format dxfId="28">
      <pivotArea collapsedLevelsAreSubtotals="1" fieldPosition="0">
        <references count="5">
          <reference field="4294967294" count="6" selected="0">
            <x v="0"/>
            <x v="1"/>
            <x v="2"/>
            <x v="3"/>
            <x v="4"/>
            <x v="5"/>
          </reference>
          <reference field="2" count="1" selected="0">
            <x v="26"/>
          </reference>
          <reference field="5" count="1" selected="0">
            <x v="14"/>
          </reference>
          <reference field="6" count="1" selected="0">
            <x v="5"/>
          </reference>
          <reference field="7" count="1">
            <x v="2"/>
          </reference>
        </references>
      </pivotArea>
    </format>
    <format dxfId="27">
      <pivotArea collapsedLevelsAreSubtotals="1" fieldPosition="0">
        <references count="3">
          <reference field="4294967294" count="6" selected="0">
            <x v="0"/>
            <x v="1"/>
            <x v="2"/>
            <x v="3"/>
            <x v="4"/>
            <x v="5"/>
          </reference>
          <reference field="2" count="1" selected="0">
            <x v="26"/>
          </reference>
          <reference field="5" count="1">
            <x v="15"/>
          </reference>
        </references>
      </pivotArea>
    </format>
    <format dxfId="26">
      <pivotArea collapsedLevelsAreSubtotals="1" fieldPosition="0">
        <references count="4">
          <reference field="4294967294" count="6" selected="0">
            <x v="0"/>
            <x v="1"/>
            <x v="2"/>
            <x v="3"/>
            <x v="4"/>
            <x v="5"/>
          </reference>
          <reference field="2" count="1" selected="0">
            <x v="26"/>
          </reference>
          <reference field="5" count="1" selected="0">
            <x v="15"/>
          </reference>
          <reference field="6" count="1">
            <x v="2"/>
          </reference>
        </references>
      </pivotArea>
    </format>
    <format dxfId="25">
      <pivotArea collapsedLevelsAreSubtotals="1" fieldPosition="0">
        <references count="5">
          <reference field="4294967294" count="6" selected="0">
            <x v="0"/>
            <x v="1"/>
            <x v="2"/>
            <x v="3"/>
            <x v="4"/>
            <x v="5"/>
          </reference>
          <reference field="2" count="1" selected="0">
            <x v="26"/>
          </reference>
          <reference field="5" count="1" selected="0">
            <x v="15"/>
          </reference>
          <reference field="6" count="1" selected="0">
            <x v="2"/>
          </reference>
          <reference field="7" count="1">
            <x v="2"/>
          </reference>
        </references>
      </pivotArea>
    </format>
    <format dxfId="24">
      <pivotArea collapsedLevelsAreSubtotals="1" fieldPosition="0">
        <references count="2">
          <reference field="4294967294" count="6" selected="0">
            <x v="0"/>
            <x v="1"/>
            <x v="2"/>
            <x v="3"/>
            <x v="4"/>
            <x v="5"/>
          </reference>
          <reference field="2" count="1">
            <x v="27"/>
          </reference>
        </references>
      </pivotArea>
    </format>
    <format dxfId="23">
      <pivotArea collapsedLevelsAreSubtotals="1" fieldPosition="0">
        <references count="3">
          <reference field="4294967294" count="6" selected="0">
            <x v="0"/>
            <x v="1"/>
            <x v="2"/>
            <x v="3"/>
            <x v="4"/>
            <x v="5"/>
          </reference>
          <reference field="2" count="1" selected="0">
            <x v="27"/>
          </reference>
          <reference field="5" count="1">
            <x v="0"/>
          </reference>
        </references>
      </pivotArea>
    </format>
    <format dxfId="22">
      <pivotArea collapsedLevelsAreSubtotals="1" fieldPosition="0">
        <references count="4">
          <reference field="4294967294" count="6" selected="0">
            <x v="0"/>
            <x v="1"/>
            <x v="2"/>
            <x v="3"/>
            <x v="4"/>
            <x v="5"/>
          </reference>
          <reference field="2" count="1" selected="0">
            <x v="27"/>
          </reference>
          <reference field="5" count="1" selected="0">
            <x v="0"/>
          </reference>
          <reference field="6" count="1">
            <x v="0"/>
          </reference>
        </references>
      </pivotArea>
    </format>
    <format dxfId="21">
      <pivotArea collapsedLevelsAreSubtotals="1" fieldPosition="0">
        <references count="5">
          <reference field="4294967294" count="6" selected="0">
            <x v="0"/>
            <x v="1"/>
            <x v="2"/>
            <x v="3"/>
            <x v="4"/>
            <x v="5"/>
          </reference>
          <reference field="2" count="1" selected="0">
            <x v="27"/>
          </reference>
          <reference field="5" count="1" selected="0">
            <x v="0"/>
          </reference>
          <reference field="6" count="1" selected="0">
            <x v="0"/>
          </reference>
          <reference field="7" count="1">
            <x v="0"/>
          </reference>
        </references>
      </pivotArea>
    </format>
    <format dxfId="20">
      <pivotArea collapsedLevelsAreSubtotals="1" fieldPosition="0">
        <references count="3">
          <reference field="4294967294" count="6" selected="0">
            <x v="0"/>
            <x v="1"/>
            <x v="2"/>
            <x v="3"/>
            <x v="4"/>
            <x v="5"/>
          </reference>
          <reference field="2" count="1" selected="0">
            <x v="27"/>
          </reference>
          <reference field="5" count="1">
            <x v="3"/>
          </reference>
        </references>
      </pivotArea>
    </format>
    <format dxfId="19">
      <pivotArea collapsedLevelsAreSubtotals="1" fieldPosition="0">
        <references count="4">
          <reference field="4294967294" count="6" selected="0">
            <x v="0"/>
            <x v="1"/>
            <x v="2"/>
            <x v="3"/>
            <x v="4"/>
            <x v="5"/>
          </reference>
          <reference field="2" count="1" selected="0">
            <x v="27"/>
          </reference>
          <reference field="5" count="1" selected="0">
            <x v="3"/>
          </reference>
          <reference field="6" count="1">
            <x v="2"/>
          </reference>
        </references>
      </pivotArea>
    </format>
    <format dxfId="18">
      <pivotArea collapsedLevelsAreSubtotals="1" fieldPosition="0">
        <references count="5">
          <reference field="4294967294" count="6" selected="0">
            <x v="0"/>
            <x v="1"/>
            <x v="2"/>
            <x v="3"/>
            <x v="4"/>
            <x v="5"/>
          </reference>
          <reference field="2" count="1" selected="0">
            <x v="27"/>
          </reference>
          <reference field="5" count="1" selected="0">
            <x v="3"/>
          </reference>
          <reference field="6" count="1" selected="0">
            <x v="2"/>
          </reference>
          <reference field="7" count="1">
            <x v="2"/>
          </reference>
        </references>
      </pivotArea>
    </format>
    <format dxfId="17">
      <pivotArea collapsedLevelsAreSubtotals="1" fieldPosition="0">
        <references count="3">
          <reference field="4294967294" count="6" selected="0">
            <x v="0"/>
            <x v="1"/>
            <x v="2"/>
            <x v="3"/>
            <x v="4"/>
            <x v="5"/>
          </reference>
          <reference field="2" count="1" selected="0">
            <x v="27"/>
          </reference>
          <reference field="5" count="1">
            <x v="36"/>
          </reference>
        </references>
      </pivotArea>
    </format>
    <format dxfId="16">
      <pivotArea collapsedLevelsAreSubtotals="1" fieldPosition="0">
        <references count="4">
          <reference field="4294967294" count="6" selected="0">
            <x v="0"/>
            <x v="1"/>
            <x v="2"/>
            <x v="3"/>
            <x v="4"/>
            <x v="5"/>
          </reference>
          <reference field="2" count="1" selected="0">
            <x v="27"/>
          </reference>
          <reference field="5" count="1" selected="0">
            <x v="36"/>
          </reference>
          <reference field="6" count="1">
            <x v="16"/>
          </reference>
        </references>
      </pivotArea>
    </format>
    <format dxfId="15">
      <pivotArea collapsedLevelsAreSubtotals="1" fieldPosition="0">
        <references count="5">
          <reference field="4294967294" count="6" selected="0">
            <x v="0"/>
            <x v="1"/>
            <x v="2"/>
            <x v="3"/>
            <x v="4"/>
            <x v="5"/>
          </reference>
          <reference field="2" count="1" selected="0">
            <x v="27"/>
          </reference>
          <reference field="5" count="1" selected="0">
            <x v="36"/>
          </reference>
          <reference field="6" count="1" selected="0">
            <x v="16"/>
          </reference>
          <reference field="7" count="1">
            <x v="1"/>
          </reference>
        </references>
      </pivotArea>
    </format>
    <format dxfId="14">
      <pivotArea collapsedLevelsAreSubtotals="1" fieldPosition="0">
        <references count="2">
          <reference field="4294967294" count="6" selected="0">
            <x v="0"/>
            <x v="1"/>
            <x v="2"/>
            <x v="3"/>
            <x v="4"/>
            <x v="5"/>
          </reference>
          <reference field="2" count="1">
            <x v="28"/>
          </reference>
        </references>
      </pivotArea>
    </format>
    <format dxfId="13">
      <pivotArea collapsedLevelsAreSubtotals="1" fieldPosition="0">
        <references count="3">
          <reference field="4294967294" count="6" selected="0">
            <x v="0"/>
            <x v="1"/>
            <x v="2"/>
            <x v="3"/>
            <x v="4"/>
            <x v="5"/>
          </reference>
          <reference field="2" count="1" selected="0">
            <x v="28"/>
          </reference>
          <reference field="5" count="1">
            <x v="0"/>
          </reference>
        </references>
      </pivotArea>
    </format>
    <format dxfId="12">
      <pivotArea collapsedLevelsAreSubtotals="1" fieldPosition="0">
        <references count="4">
          <reference field="4294967294" count="6" selected="0">
            <x v="0"/>
            <x v="1"/>
            <x v="2"/>
            <x v="3"/>
            <x v="4"/>
            <x v="5"/>
          </reference>
          <reference field="2" count="1" selected="0">
            <x v="28"/>
          </reference>
          <reference field="5" count="1" selected="0">
            <x v="0"/>
          </reference>
          <reference field="6" count="1">
            <x v="0"/>
          </reference>
        </references>
      </pivotArea>
    </format>
    <format dxfId="11">
      <pivotArea collapsedLevelsAreSubtotals="1" fieldPosition="0">
        <references count="5">
          <reference field="4294967294" count="6" selected="0">
            <x v="0"/>
            <x v="1"/>
            <x v="2"/>
            <x v="3"/>
            <x v="4"/>
            <x v="5"/>
          </reference>
          <reference field="2" count="1" selected="0">
            <x v="28"/>
          </reference>
          <reference field="5" count="1" selected="0">
            <x v="0"/>
          </reference>
          <reference field="6" count="1" selected="0">
            <x v="0"/>
          </reference>
          <reference field="7" count="1">
            <x v="0"/>
          </reference>
        </references>
      </pivotArea>
    </format>
    <format dxfId="10">
      <pivotArea collapsedLevelsAreSubtotals="1" fieldPosition="0">
        <references count="3">
          <reference field="4294967294" count="6" selected="0">
            <x v="0"/>
            <x v="1"/>
            <x v="2"/>
            <x v="3"/>
            <x v="4"/>
            <x v="5"/>
          </reference>
          <reference field="2" count="1" selected="0">
            <x v="28"/>
          </reference>
          <reference field="5" count="1">
            <x v="18"/>
          </reference>
        </references>
      </pivotArea>
    </format>
    <format dxfId="9">
      <pivotArea collapsedLevelsAreSubtotals="1" fieldPosition="0">
        <references count="4">
          <reference field="4294967294" count="6" selected="0">
            <x v="0"/>
            <x v="1"/>
            <x v="2"/>
            <x v="3"/>
            <x v="4"/>
            <x v="5"/>
          </reference>
          <reference field="2" count="1" selected="0">
            <x v="28"/>
          </reference>
          <reference field="5" count="1" selected="0">
            <x v="18"/>
          </reference>
          <reference field="6" count="1">
            <x v="11"/>
          </reference>
        </references>
      </pivotArea>
    </format>
    <format dxfId="8">
      <pivotArea collapsedLevelsAreSubtotals="1" fieldPosition="0">
        <references count="5">
          <reference field="4294967294" count="6" selected="0">
            <x v="0"/>
            <x v="1"/>
            <x v="2"/>
            <x v="3"/>
            <x v="4"/>
            <x v="5"/>
          </reference>
          <reference field="2" count="1" selected="0">
            <x v="28"/>
          </reference>
          <reference field="5" count="1" selected="0">
            <x v="18"/>
          </reference>
          <reference field="6" count="1" selected="0">
            <x v="11"/>
          </reference>
          <reference field="7" count="1">
            <x v="2"/>
          </reference>
        </references>
      </pivotArea>
    </format>
    <format dxfId="7">
      <pivotArea collapsedLevelsAreSubtotals="1" fieldPosition="0">
        <references count="2">
          <reference field="4294967294" count="6" selected="0">
            <x v="0"/>
            <x v="1"/>
            <x v="2"/>
            <x v="3"/>
            <x v="4"/>
            <x v="5"/>
          </reference>
          <reference field="2" count="1">
            <x v="29"/>
          </reference>
        </references>
      </pivotArea>
    </format>
    <format dxfId="6">
      <pivotArea collapsedLevelsAreSubtotals="1" fieldPosition="0">
        <references count="3">
          <reference field="4294967294" count="6" selected="0">
            <x v="0"/>
            <x v="1"/>
            <x v="2"/>
            <x v="3"/>
            <x v="4"/>
            <x v="5"/>
          </reference>
          <reference field="2" count="1" selected="0">
            <x v="29"/>
          </reference>
          <reference field="5" count="1">
            <x v="0"/>
          </reference>
        </references>
      </pivotArea>
    </format>
    <format dxfId="5">
      <pivotArea collapsedLevelsAreSubtotals="1" fieldPosition="0">
        <references count="4">
          <reference field="4294967294" count="6" selected="0">
            <x v="0"/>
            <x v="1"/>
            <x v="2"/>
            <x v="3"/>
            <x v="4"/>
            <x v="5"/>
          </reference>
          <reference field="2" count="1" selected="0">
            <x v="29"/>
          </reference>
          <reference field="5" count="1" selected="0">
            <x v="0"/>
          </reference>
          <reference field="6" count="1">
            <x v="0"/>
          </reference>
        </references>
      </pivotArea>
    </format>
    <format dxfId="4">
      <pivotArea collapsedLevelsAreSubtotals="1" fieldPosition="0">
        <references count="5">
          <reference field="4294967294" count="6" selected="0">
            <x v="0"/>
            <x v="1"/>
            <x v="2"/>
            <x v="3"/>
            <x v="4"/>
            <x v="5"/>
          </reference>
          <reference field="2" count="1" selected="0">
            <x v="29"/>
          </reference>
          <reference field="5" count="1" selected="0">
            <x v="0"/>
          </reference>
          <reference field="6" count="1" selected="0">
            <x v="0"/>
          </reference>
          <reference field="7" count="1">
            <x v="0"/>
          </reference>
        </references>
      </pivotArea>
    </format>
    <format dxfId="3">
      <pivotArea collapsedLevelsAreSubtotals="1" fieldPosition="0">
        <references count="2">
          <reference field="4294967294" count="6" selected="0">
            <x v="0"/>
            <x v="1"/>
            <x v="2"/>
            <x v="3"/>
            <x v="4"/>
            <x v="5"/>
          </reference>
          <reference field="2" count="1">
            <x v="30"/>
          </reference>
        </references>
      </pivotArea>
    </format>
    <format dxfId="2">
      <pivotArea collapsedLevelsAreSubtotals="1" fieldPosition="0">
        <references count="3">
          <reference field="4294967294" count="6" selected="0">
            <x v="0"/>
            <x v="1"/>
            <x v="2"/>
            <x v="3"/>
            <x v="4"/>
            <x v="5"/>
          </reference>
          <reference field="2" count="1" selected="0">
            <x v="30"/>
          </reference>
          <reference field="5" count="1">
            <x v="0"/>
          </reference>
        </references>
      </pivotArea>
    </format>
    <format dxfId="1">
      <pivotArea collapsedLevelsAreSubtotals="1" fieldPosition="0">
        <references count="4">
          <reference field="4294967294" count="6" selected="0">
            <x v="0"/>
            <x v="1"/>
            <x v="2"/>
            <x v="3"/>
            <x v="4"/>
            <x v="5"/>
          </reference>
          <reference field="2" count="1" selected="0">
            <x v="30"/>
          </reference>
          <reference field="5" count="1" selected="0">
            <x v="0"/>
          </reference>
          <reference field="6" count="1">
            <x v="0"/>
          </reference>
        </references>
      </pivotArea>
    </format>
    <format dxfId="0">
      <pivotArea collapsedLevelsAreSubtotals="1" fieldPosition="0">
        <references count="2">
          <reference field="4294967294" count="6" selected="0">
            <x v="0"/>
            <x v="1"/>
            <x v="2"/>
            <x v="3"/>
            <x v="4"/>
            <x v="5"/>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E40861-2ED4-7A40-AE48-2CED68DCCDDF}"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2:AL46" firstHeaderRow="1" firstDataRow="1" firstDataCol="1"/>
  <pivotFields count="38">
    <pivotField showAll="0"/>
    <pivotField numFmtId="14" showAll="0"/>
    <pivotField axis="axisRow"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axis="axisRow" multipleItemSelectionAllowed="1" showAll="0">
      <items count="13">
        <item h="1" x="0"/>
        <item h="1" x="1"/>
        <item h="1" x="2"/>
        <item h="1" x="3"/>
        <item x="4"/>
        <item h="1" x="5"/>
        <item h="1" x="6"/>
        <item h="1" x="7"/>
        <item h="1" x="8"/>
        <item h="1" x="9"/>
        <item h="1" x="10"/>
        <item h="1" x="11"/>
        <item t="default"/>
      </items>
    </pivotField>
    <pivotField axis="axisRow" multipleItemSelectionAllowed="1" showAll="0">
      <items count="5">
        <item h="1" x="0"/>
        <item h="1" x="1"/>
        <item x="2"/>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Fields count="3">
    <field x="4"/>
    <field x="3"/>
    <field x="2"/>
  </rowFields>
  <rowItems count="34">
    <i>
      <x v="2"/>
    </i>
    <i r="1">
      <x v="4"/>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t="grand">
      <x/>
    </i>
  </rowItems>
  <colItems count="1">
    <i/>
  </colItems>
  <dataFields count="1">
    <dataField name="Sum of Totale Portfolio" fld="3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ABDC61F-5FDF-B044-B292-B46210957909}" name="PivotTable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T12:AY44" firstHeaderRow="0" firstDataRow="1" firstDataCol="1" rowPageCount="2" colPageCount="1"/>
  <pivotFields count="38">
    <pivotField showAll="0"/>
    <pivotField numFmtId="14" showAll="0"/>
    <pivotField axis="axisRow"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axis="axisPage" multipleItemSelectionAllowed="1" showAll="0">
      <items count="13">
        <item h="1" x="0"/>
        <item h="1" x="1"/>
        <item h="1" x="2"/>
        <item h="1" x="3"/>
        <item x="4"/>
        <item h="1" x="5"/>
        <item h="1" x="6"/>
        <item h="1" x="7"/>
        <item h="1" x="8"/>
        <item h="1" x="9"/>
        <item h="1" x="10"/>
        <item h="1" x="11"/>
        <item t="default"/>
      </items>
    </pivotField>
    <pivotField axis="axisPage" multipleItemSelectionAllowed="1" showAll="0">
      <items count="5">
        <item h="1" x="0"/>
        <item h="1" x="1"/>
        <item x="2"/>
        <item h="1" x="3"/>
        <item t="default"/>
      </items>
    </pivotField>
    <pivotField showAll="0"/>
    <pivotField showAll="0"/>
    <pivotField showAll="0"/>
    <pivotField showAll="0"/>
    <pivotField showAll="0"/>
    <pivotField showAll="0"/>
    <pivotField showAll="0"/>
    <pivotField showAll="0" sumSubtotal="1"/>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5">
    <i>
      <x/>
    </i>
    <i i="1">
      <x v="1"/>
    </i>
    <i i="2">
      <x v="2"/>
    </i>
    <i i="3">
      <x v="3"/>
    </i>
    <i i="4">
      <x v="4"/>
    </i>
  </colItems>
  <pageFields count="2">
    <pageField fld="4" hier="-1"/>
    <pageField fld="3" hier="-1"/>
  </pageFields>
  <dataFields count="5">
    <dataField name="Sum of Inv. Business" fld="28" baseField="0" baseItem="0"/>
    <dataField name="Sum of Inv. Securities" fld="29" baseField="0" baseItem="0"/>
    <dataField name="Sum of Inv. Gold" fld="30" baseField="0" baseItem="0"/>
    <dataField name="Sum of Inv. Real Estate" fld="31" baseField="0" baseItem="0"/>
    <dataField name="Sum of Inv. Cryptocurrency" fld="3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D08B3CA-D54C-A24C-8B42-D06F02DF24E9}"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ustomListSort="0">
  <location ref="M12:N201" firstHeaderRow="1" firstDataRow="1" firstDataCol="1"/>
  <pivotFields count="38">
    <pivotField axis="axisRow" showAll="0" defaultSubtotal="0">
      <items count="1423">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1"/>
        <item x="842"/>
        <item x="0"/>
        <item x="1"/>
        <item x="2"/>
        <item x="3"/>
        <item x="4"/>
        <item x="5"/>
        <item x="6"/>
        <item x="7"/>
        <item x="8"/>
        <item x="9"/>
        <item x="10"/>
        <item x="11"/>
        <item x="12"/>
        <item x="13"/>
        <item x="14"/>
        <item x="15"/>
        <item x="16"/>
        <item x="17"/>
        <item x="18"/>
        <item x="19"/>
        <item x="843"/>
        <item x="844"/>
        <item x="845"/>
        <item x="846"/>
        <item x="847"/>
        <item x="848"/>
        <item x="849"/>
        <item x="850"/>
        <item x="851"/>
        <item x="852"/>
        <item x="853"/>
        <item x="854"/>
        <item x="855"/>
        <item x="856"/>
        <item x="857"/>
        <item x="858"/>
        <item x="859"/>
        <item x="860"/>
        <item x="862"/>
        <item x="863"/>
        <item x="864"/>
        <item x="865"/>
        <item x="866"/>
        <item x="867"/>
        <item x="868"/>
        <item x="870"/>
        <item x="872"/>
        <item x="875"/>
        <item x="876"/>
        <item x="878"/>
        <item x="880"/>
        <item x="881"/>
        <item x="883"/>
        <item x="885"/>
        <item x="840"/>
        <item x="886"/>
        <item x="887"/>
        <item x="888"/>
        <item x="889"/>
        <item x="891"/>
        <item x="892"/>
        <item x="894"/>
        <item x="895"/>
        <item x="896"/>
        <item x="861"/>
        <item x="897"/>
        <item x="898"/>
        <item x="899"/>
        <item x="900"/>
        <item x="901"/>
        <item x="869"/>
        <item x="871"/>
        <item x="873"/>
        <item x="874"/>
        <item x="877"/>
        <item x="879"/>
        <item x="882"/>
        <item x="884"/>
        <item x="890"/>
        <item x="893"/>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65"/>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059"/>
        <item x="1060"/>
        <item x="1061"/>
        <item x="1062"/>
        <item x="1063"/>
        <item x="1064"/>
        <item x="1066"/>
        <item x="1067"/>
        <item x="1068"/>
        <item x="1413"/>
        <item x="1414"/>
        <item x="1415"/>
        <item x="1416"/>
        <item x="1417"/>
        <item x="1418"/>
        <item x="1419"/>
        <item x="1420"/>
        <item x="1421"/>
        <item x="1422"/>
      </items>
    </pivotField>
    <pivotField showAll="0" defaultSubtotal="0"/>
    <pivotField axis="axisRow" showAll="0" sortType="ascending" defaultSubtota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xis="axisRow" multipleItemSelectionAllowed="1" showAll="0" defaultSubtotal="0">
      <items count="12">
        <item h="1" x="0"/>
        <item h="1" x="1"/>
        <item h="1" x="2"/>
        <item h="1" x="3"/>
        <item x="4"/>
        <item h="1" x="5"/>
        <item h="1" x="6"/>
        <item h="1" x="7"/>
        <item h="1" x="8"/>
        <item h="1" x="9"/>
        <item h="1" x="10"/>
        <item h="1" x="11"/>
      </items>
    </pivotField>
    <pivotField axis="axisRow" multipleItemSelectionAllowed="1" showAll="0" defaultSubtotal="0">
      <items count="4">
        <item h="1" x="0"/>
        <item h="1" x="1"/>
        <item x="2"/>
        <item h="1" x="3"/>
      </items>
    </pivotField>
    <pivotField axis="axisRow" showAll="0" defaultSubtotal="0">
      <items count="174">
        <item x="16"/>
        <item x="17"/>
        <item x="27"/>
        <item x="6"/>
        <item x="12"/>
        <item x="11"/>
        <item x="34"/>
        <item x="29"/>
        <item x="28"/>
        <item x="18"/>
        <item x="24"/>
        <item x="13"/>
        <item x="19"/>
        <item x="10"/>
        <item x="38"/>
        <item x="35"/>
        <item x="36"/>
        <item x="14"/>
        <item x="20"/>
        <item x="33"/>
        <item x="30"/>
        <item x="7"/>
        <item x="37"/>
        <item x="8"/>
        <item x="31"/>
        <item x="23"/>
        <item x="32"/>
        <item x="5"/>
        <item x="21"/>
        <item x="26"/>
        <item x="4"/>
        <item x="25"/>
        <item x="15"/>
        <item x="3"/>
        <item x="9"/>
        <item x="0"/>
        <item x="39"/>
        <item x="40"/>
        <item x="41"/>
        <item x="42"/>
        <item x="43"/>
        <item x="44"/>
        <item x="45"/>
        <item x="46"/>
        <item x="47"/>
        <item x="48"/>
        <item x="51"/>
        <item x="53"/>
        <item x="54"/>
        <item x="55"/>
        <item x="56"/>
        <item x="57"/>
        <item x="58"/>
        <item x="59"/>
        <item x="60"/>
        <item x="61"/>
        <item x="62"/>
        <item x="63"/>
        <item x="64"/>
        <item x="65"/>
        <item x="66"/>
        <item x="67"/>
        <item x="69"/>
        <item x="68"/>
        <item x="22"/>
        <item x="71"/>
        <item x="72"/>
        <item x="73"/>
        <item x="75"/>
        <item x="76"/>
        <item x="77"/>
        <item x="78"/>
        <item x="79"/>
        <item x="80"/>
        <item x="81"/>
        <item x="70"/>
        <item x="74"/>
        <item x="82"/>
        <item x="83"/>
        <item x="84"/>
        <item x="85"/>
        <item x="52"/>
        <item x="86"/>
        <item x="87"/>
        <item x="88"/>
        <item x="89"/>
        <item x="90"/>
        <item x="91"/>
        <item x="92"/>
        <item x="1"/>
        <item x="2"/>
        <item x="93"/>
        <item x="50"/>
        <item x="94"/>
        <item x="95"/>
        <item x="96"/>
        <item x="97"/>
        <item x="98"/>
        <item x="49"/>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70"/>
        <item x="171"/>
        <item x="167"/>
        <item x="168"/>
        <item x="169"/>
        <item x="172"/>
        <item x="173"/>
      </items>
    </pivotField>
    <pivotField axis="axisRow" showAll="0" defaultSubtotal="0">
      <items count="24">
        <item x="13"/>
        <item x="11"/>
        <item x="4"/>
        <item x="12"/>
        <item x="1"/>
        <item x="5"/>
        <item x="3"/>
        <item x="8"/>
        <item x="6"/>
        <item x="14"/>
        <item x="15"/>
        <item x="7"/>
        <item x="2"/>
        <item x="10"/>
        <item x="9"/>
        <item x="0"/>
        <item x="19"/>
        <item x="21"/>
        <item x="17"/>
        <item x="18"/>
        <item x="20"/>
        <item x="22"/>
        <item x="16"/>
        <item x="23"/>
      </items>
    </pivotField>
    <pivotField axis="axisRow" showAll="0" defaultSubtotal="0">
      <items count="11">
        <item x="0"/>
        <item x="1"/>
        <item x="8"/>
        <item x="3"/>
        <item x="7"/>
        <item x="4"/>
        <item x="5"/>
        <item x="2"/>
        <item x="6"/>
        <item x="10"/>
        <item x="9"/>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s>
  <rowFields count="7">
    <field x="4"/>
    <field x="3"/>
    <field x="2"/>
    <field x="0"/>
    <field x="5"/>
    <field x="6"/>
    <field x="7"/>
  </rowFields>
  <rowItems count="189">
    <i>
      <x v="2"/>
    </i>
    <i r="1">
      <x v="4"/>
    </i>
    <i r="2">
      <x/>
    </i>
    <i r="3">
      <x v="1028"/>
    </i>
    <i r="4">
      <x v="35"/>
    </i>
    <i r="5">
      <x v="15"/>
    </i>
    <i r="6">
      <x/>
    </i>
    <i r="2">
      <x v="1"/>
    </i>
    <i r="3">
      <x v="1029"/>
    </i>
    <i r="4">
      <x v="90"/>
    </i>
    <i r="5">
      <x v="4"/>
    </i>
    <i r="6">
      <x v="1"/>
    </i>
    <i r="2">
      <x v="2"/>
    </i>
    <i r="3">
      <x v="1030"/>
    </i>
    <i r="4">
      <x v="35"/>
    </i>
    <i r="5">
      <x v="15"/>
    </i>
    <i r="6">
      <x/>
    </i>
    <i r="2">
      <x v="3"/>
    </i>
    <i r="3">
      <x v="1031"/>
    </i>
    <i r="4">
      <x v="35"/>
    </i>
    <i r="5">
      <x v="15"/>
    </i>
    <i r="6">
      <x/>
    </i>
    <i r="2">
      <x v="4"/>
    </i>
    <i r="3">
      <x v="1032"/>
    </i>
    <i r="4">
      <x v="35"/>
    </i>
    <i r="5">
      <x v="15"/>
    </i>
    <i r="6">
      <x/>
    </i>
    <i r="2">
      <x v="5"/>
    </i>
    <i r="3">
      <x v="1033"/>
    </i>
    <i r="4">
      <x v="35"/>
    </i>
    <i r="5">
      <x v="15"/>
    </i>
    <i r="6">
      <x/>
    </i>
    <i r="2">
      <x v="6"/>
    </i>
    <i r="3">
      <x v="1034"/>
    </i>
    <i r="4">
      <x v="35"/>
    </i>
    <i r="5">
      <x v="15"/>
    </i>
    <i r="6">
      <x/>
    </i>
    <i r="2">
      <x v="7"/>
    </i>
    <i r="3">
      <x v="1035"/>
    </i>
    <i r="4">
      <x v="35"/>
    </i>
    <i r="5">
      <x v="15"/>
    </i>
    <i r="6">
      <x/>
    </i>
    <i r="2">
      <x v="8"/>
    </i>
    <i r="3">
      <x v="1036"/>
    </i>
    <i r="4">
      <x v="35"/>
    </i>
    <i r="5">
      <x v="15"/>
    </i>
    <i r="6">
      <x/>
    </i>
    <i r="2">
      <x v="9"/>
    </i>
    <i r="3">
      <x v="1037"/>
    </i>
    <i r="4">
      <x v="35"/>
    </i>
    <i r="5">
      <x v="15"/>
    </i>
    <i r="6">
      <x/>
    </i>
    <i r="2">
      <x v="10"/>
    </i>
    <i r="3">
      <x v="1038"/>
    </i>
    <i r="4">
      <x v="35"/>
    </i>
    <i r="5">
      <x v="15"/>
    </i>
    <i r="6">
      <x/>
    </i>
    <i r="2">
      <x v="11"/>
    </i>
    <i r="3">
      <x v="1039"/>
    </i>
    <i r="4">
      <x v="35"/>
    </i>
    <i r="5">
      <x v="15"/>
    </i>
    <i r="6">
      <x/>
    </i>
    <i r="2">
      <x v="12"/>
    </i>
    <i r="3">
      <x v="1040"/>
    </i>
    <i r="4">
      <x v="35"/>
    </i>
    <i r="5">
      <x v="15"/>
    </i>
    <i r="6">
      <x/>
    </i>
    <i r="2">
      <x v="13"/>
    </i>
    <i r="3">
      <x v="1041"/>
    </i>
    <i r="4">
      <x v="27"/>
    </i>
    <i r="5">
      <x v="6"/>
    </i>
    <i r="6">
      <x v="3"/>
    </i>
    <i r="4">
      <x v="30"/>
    </i>
    <i r="5">
      <x v="12"/>
    </i>
    <i r="6">
      <x v="7"/>
    </i>
    <i r="4">
      <x v="167"/>
    </i>
    <i r="5">
      <x v="12"/>
    </i>
    <i r="6">
      <x v="7"/>
    </i>
    <i r="4">
      <x v="171"/>
    </i>
    <i r="5">
      <x v="1"/>
    </i>
    <i r="6">
      <x v="6"/>
    </i>
    <i r="2">
      <x v="14"/>
    </i>
    <i r="3">
      <x v="1042"/>
    </i>
    <i r="4">
      <x v="4"/>
    </i>
    <i r="5">
      <x v="12"/>
    </i>
    <i r="6">
      <x v="7"/>
    </i>
    <i r="4">
      <x v="27"/>
    </i>
    <i r="5">
      <x v="6"/>
    </i>
    <i r="6">
      <x v="3"/>
    </i>
    <i r="2">
      <x v="15"/>
    </i>
    <i r="3">
      <x v="1043"/>
    </i>
    <i r="4">
      <x v="27"/>
    </i>
    <i r="5">
      <x v="6"/>
    </i>
    <i r="6">
      <x v="3"/>
    </i>
    <i r="4">
      <x v="168"/>
    </i>
    <i r="5">
      <x v="16"/>
    </i>
    <i r="6">
      <x v="10"/>
    </i>
    <i r="2">
      <x v="16"/>
    </i>
    <i r="3">
      <x v="1044"/>
    </i>
    <i r="4">
      <x v="4"/>
    </i>
    <i r="5">
      <x v="12"/>
    </i>
    <i r="6">
      <x v="7"/>
    </i>
    <i r="4">
      <x v="27"/>
    </i>
    <i r="5">
      <x v="6"/>
    </i>
    <i r="6">
      <x v="3"/>
    </i>
    <i r="2">
      <x v="17"/>
    </i>
    <i r="3">
      <x v="1045"/>
    </i>
    <i r="4">
      <x v="4"/>
    </i>
    <i r="5">
      <x v="12"/>
    </i>
    <i r="6">
      <x v="7"/>
    </i>
    <i r="4">
      <x v="27"/>
    </i>
    <i r="5">
      <x v="6"/>
    </i>
    <i r="6">
      <x v="3"/>
    </i>
    <i r="2">
      <x v="18"/>
    </i>
    <i r="3">
      <x v="1046"/>
    </i>
    <i r="4">
      <x v="35"/>
    </i>
    <i r="5">
      <x v="15"/>
    </i>
    <i r="6">
      <x/>
    </i>
    <i r="2">
      <x v="19"/>
    </i>
    <i r="3">
      <x v="1047"/>
    </i>
    <i r="4">
      <x v="35"/>
    </i>
    <i r="5">
      <x v="15"/>
    </i>
    <i r="6">
      <x/>
    </i>
    <i r="2">
      <x v="20"/>
    </i>
    <i r="3">
      <x v="1048"/>
    </i>
    <i r="4">
      <x v="4"/>
    </i>
    <i r="5">
      <x v="12"/>
    </i>
    <i r="6">
      <x v="7"/>
    </i>
    <i r="4">
      <x v="22"/>
    </i>
    <i r="5">
      <x v="18"/>
    </i>
    <i r="6">
      <x v="8"/>
    </i>
    <i r="5">
      <x v="19"/>
    </i>
    <i r="6">
      <x v="2"/>
    </i>
    <i r="4">
      <x v="27"/>
    </i>
    <i r="5">
      <x v="6"/>
    </i>
    <i r="6">
      <x v="3"/>
    </i>
    <i r="2">
      <x v="21"/>
    </i>
    <i r="3">
      <x v="1049"/>
    </i>
    <i r="4">
      <x v="35"/>
    </i>
    <i r="5">
      <x v="15"/>
    </i>
    <i r="6">
      <x/>
    </i>
    <i r="2">
      <x v="22"/>
    </i>
    <i r="3">
      <x v="1050"/>
    </i>
    <i r="4">
      <x v="1"/>
    </i>
    <i r="5">
      <x v="1"/>
    </i>
    <i r="6">
      <x v="6"/>
    </i>
    <i r="2">
      <x v="23"/>
    </i>
    <i r="3">
      <x v="1051"/>
    </i>
    <i r="4">
      <x v="35"/>
    </i>
    <i r="5">
      <x v="15"/>
    </i>
    <i r="6">
      <x/>
    </i>
    <i r="2">
      <x v="24"/>
    </i>
    <i r="3">
      <x v="1052"/>
    </i>
    <i r="4">
      <x v="35"/>
    </i>
    <i r="5">
      <x v="15"/>
    </i>
    <i r="6">
      <x/>
    </i>
    <i r="2">
      <x v="25"/>
    </i>
    <i r="3">
      <x v="1053"/>
    </i>
    <i r="4">
      <x v="35"/>
    </i>
    <i r="5">
      <x v="15"/>
    </i>
    <i r="6">
      <x/>
    </i>
    <i r="2">
      <x v="26"/>
    </i>
    <i r="3">
      <x v="1054"/>
    </i>
    <i r="4">
      <x v="27"/>
    </i>
    <i r="5">
      <x v="6"/>
    </i>
    <i r="6">
      <x v="3"/>
    </i>
    <i r="4">
      <x v="89"/>
    </i>
    <i r="5">
      <x v="4"/>
    </i>
    <i r="6">
      <x v="1"/>
    </i>
    <i r="2">
      <x v="27"/>
    </i>
    <i r="3">
      <x v="1055"/>
    </i>
    <i r="4">
      <x v="35"/>
    </i>
    <i r="5">
      <x v="15"/>
    </i>
    <i r="6">
      <x/>
    </i>
    <i r="2">
      <x v="28"/>
    </i>
    <i r="3">
      <x v="1056"/>
    </i>
    <i r="4">
      <x v="35"/>
    </i>
    <i r="5">
      <x v="15"/>
    </i>
    <i r="6">
      <x/>
    </i>
    <i r="2">
      <x v="29"/>
    </i>
    <i r="3">
      <x v="1057"/>
    </i>
    <i r="4">
      <x v="35"/>
    </i>
    <i r="5">
      <x v="15"/>
    </i>
    <i r="6">
      <x/>
    </i>
    <i r="2">
      <x v="30"/>
    </i>
    <i r="3">
      <x v="1058"/>
    </i>
    <i r="4">
      <x v="35"/>
    </i>
    <i r="5">
      <x v="15"/>
    </i>
    <i r="6">
      <x/>
    </i>
  </rowItems>
  <colItems count="1">
    <i/>
  </colItems>
  <dataFields count="1">
    <dataField name="Sum of Balance" fld="16" baseField="16" baseItem="104882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3296E4B-2F8A-8242-A021-98FFE4FBC7EF}" name="PivotTable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P12:P43" firstHeaderRow="1" firstDataRow="1" firstDataCol="1"/>
  <pivotFields count="38">
    <pivotField showAll="0" defaultSubtotal="0"/>
    <pivotField showAll="0" defaultSubtotal="0"/>
    <pivotField axis="axisRow" showAll="0" sortType="ascending" defaultSubtota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multipleItemSelectionAllowed="1" showAll="0" defaultSubtotal="0">
      <items count="12">
        <item h="1" x="0"/>
        <item h="1" x="1"/>
        <item h="1" x="2"/>
        <item h="1" x="3"/>
        <item x="4"/>
        <item h="1" x="5"/>
        <item h="1" x="6"/>
        <item h="1" x="7"/>
        <item h="1" x="8"/>
        <item h="1" x="9"/>
        <item h="1" x="10"/>
        <item h="1" x="11"/>
      </items>
    </pivotField>
    <pivotField showAll="0" defaultSubtotal="0">
      <items count="4">
        <item h="1" x="0"/>
        <item h="1" x="1"/>
        <item x="2"/>
        <item h="1" x="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s>
  <rowFields count="1">
    <field x="2"/>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8229D6D-287D-2248-B93F-724CE92027C5}" name="PivotTable10"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A12:BB44" firstHeaderRow="1" firstDataRow="1" firstDataCol="1" rowPageCount="2" colPageCount="1"/>
  <pivotFields count="38">
    <pivotField showAll="0"/>
    <pivotField numFmtId="14" showAll="0"/>
    <pivotField axis="axisRow"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axis="axisPage" multipleItemSelectionAllowed="1" showAll="0">
      <items count="13">
        <item h="1" x="0"/>
        <item h="1" x="1"/>
        <item h="1" x="2"/>
        <item h="1" x="3"/>
        <item x="4"/>
        <item h="1" x="5"/>
        <item h="1" x="6"/>
        <item h="1" x="7"/>
        <item h="1" x="8"/>
        <item h="1" x="9"/>
        <item h="1" x="10"/>
        <item h="1" x="11"/>
        <item t="default"/>
      </items>
    </pivotField>
    <pivotField axis="axisPage" multipleItemSelectionAllowed="1" showAll="0">
      <items count="5">
        <item h="1" x="0"/>
        <item h="1" x="1"/>
        <item x="2"/>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pageFields count="2">
    <pageField fld="4" hier="-1"/>
    <pageField fld="3" hier="-1"/>
  </pageFields>
  <dataFields count="1">
    <dataField name="Sum of Totale Portfolio" fld="3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2B63695-DDDF-614C-9F6E-1E4EAE521293}" name="PivotTable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Q12:AR25" firstHeaderRow="1" firstDataRow="1" firstDataCol="1"/>
  <pivotFields count="38">
    <pivotField showAll="0"/>
    <pivotField numFmtId="14" showAll="0"/>
    <pivotField showAll="0"/>
    <pivotField axis="axisRow" showAll="0">
      <items count="13">
        <item x="0"/>
        <item x="1"/>
        <item x="2"/>
        <item x="3"/>
        <item x="4"/>
        <item x="5"/>
        <item x="6"/>
        <item x="7"/>
        <item x="8"/>
        <item x="9"/>
        <item x="10"/>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Fields count="1">
    <field x="3"/>
  </rowFields>
  <rowItems count="13">
    <i>
      <x/>
    </i>
    <i>
      <x v="1"/>
    </i>
    <i>
      <x v="2"/>
    </i>
    <i>
      <x v="3"/>
    </i>
    <i>
      <x v="4"/>
    </i>
    <i>
      <x v="5"/>
    </i>
    <i>
      <x v="6"/>
    </i>
    <i>
      <x v="7"/>
    </i>
    <i>
      <x v="8"/>
    </i>
    <i>
      <x v="9"/>
    </i>
    <i>
      <x v="10"/>
    </i>
    <i>
      <x v="11"/>
    </i>
    <i t="grand">
      <x/>
    </i>
  </rowItems>
  <colItems count="1">
    <i/>
  </colItems>
  <dataFields count="1">
    <dataField name="Sum of Totale Portfolio" fld="33" showDataAs="difference" baseField="3" baseItem="104882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4AEB005-2B79-F542-B542-D45623623F34}"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D12:AI46" firstHeaderRow="0" firstDataRow="1" firstDataCol="1"/>
  <pivotFields count="38">
    <pivotField showAll="0"/>
    <pivotField numFmtId="14" showAll="0"/>
    <pivotField axis="axisRow"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axis="axisRow" showAll="0">
      <items count="13">
        <item h="1" x="0"/>
        <item h="1" x="1"/>
        <item h="1" x="2"/>
        <item h="1" x="3"/>
        <item x="4"/>
        <item h="1" x="5"/>
        <item h="1" x="6"/>
        <item h="1" x="7"/>
        <item h="1" x="8"/>
        <item h="1" x="9"/>
        <item h="1" x="10"/>
        <item h="1" x="11"/>
        <item t="default"/>
      </items>
    </pivotField>
    <pivotField axis="axisRow" showAll="0">
      <items count="5">
        <item h="1" x="0"/>
        <item h="1" x="1"/>
        <item x="2"/>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s>
  <rowFields count="3">
    <field x="4"/>
    <field x="3"/>
    <field x="2"/>
  </rowFields>
  <rowItems count="34">
    <i>
      <x v="2"/>
    </i>
    <i r="1">
      <x v="4"/>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t="grand">
      <x/>
    </i>
  </rowItems>
  <colFields count="1">
    <field x="-2"/>
  </colFields>
  <colItems count="5">
    <i>
      <x/>
    </i>
    <i i="1">
      <x v="1"/>
    </i>
    <i i="2">
      <x v="2"/>
    </i>
    <i i="3">
      <x v="3"/>
    </i>
    <i i="4">
      <x v="4"/>
    </i>
  </colItems>
  <dataFields count="5">
    <dataField name="Sum of Totale Portfolio" fld="33" showDataAs="difference" baseField="3" baseItem="1048828"/>
    <dataField name="Sum of Mutuo" fld="34" baseField="0" baseItem="0"/>
    <dataField name="Sum of Consumer Credit" fld="36" baseField="0" baseItem="0"/>
    <dataField name="Sum of Leasing Macchina" fld="35" baseField="0" baseItem="0"/>
    <dataField name="Sum of Credit Card" fld="3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6381023-A1A6-1E44-B9A2-84FAAEC9FECC}"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R12:AB44" firstHeaderRow="0" firstDataRow="1" firstDataCol="1" rowPageCount="2" colPageCount="1"/>
  <pivotFields count="38">
    <pivotField showAll="0"/>
    <pivotField numFmtId="14" showAll="0"/>
    <pivotField axis="axisRow"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axis="axisPage" multipleItemSelectionAllowed="1" showAll="0">
      <items count="13">
        <item h="1" x="0"/>
        <item h="1" x="1"/>
        <item h="1" x="2"/>
        <item h="1" x="3"/>
        <item x="4"/>
        <item h="1" x="5"/>
        <item h="1" x="6"/>
        <item h="1" x="7"/>
        <item h="1" x="8"/>
        <item h="1" x="9"/>
        <item h="1" x="10"/>
        <item h="1" x="11"/>
        <item t="default"/>
      </items>
    </pivotField>
    <pivotField axis="axisPage" multipleItemSelectionAllowed="1" showAll="0">
      <items count="5">
        <item h="1" x="0"/>
        <item h="1" x="1"/>
        <item x="2"/>
        <item h="1" x="3"/>
        <item t="default"/>
      </items>
    </pivotField>
    <pivotField showAll="0"/>
    <pivotField showAll="0"/>
    <pivotField showAll="0"/>
    <pivotField showAll="0"/>
    <pivotField showAll="0"/>
    <pivotField showAll="0"/>
    <pivotField showAll="0"/>
    <pivotField showAll="0" sumSubtotal="1"/>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10">
    <i>
      <x/>
    </i>
    <i i="1">
      <x v="1"/>
    </i>
    <i i="2">
      <x v="2"/>
    </i>
    <i i="3">
      <x v="3"/>
    </i>
    <i i="4">
      <x v="4"/>
    </i>
    <i i="5">
      <x v="5"/>
    </i>
    <i i="6">
      <x v="6"/>
    </i>
    <i i="7">
      <x v="7"/>
    </i>
    <i i="8">
      <x v="8"/>
    </i>
    <i i="9">
      <x v="9"/>
    </i>
  </colItems>
  <pageFields count="2">
    <pageField fld="4" hier="-1"/>
    <pageField fld="3" hier="-1"/>
  </pageFields>
  <dataFields count="10">
    <dataField name="Sum of Entrate Fisse Business" fld="18" baseField="0" baseItem="0"/>
    <dataField name="Sum of Entrate Fisse Securities" fld="19" baseField="0" baseItem="0"/>
    <dataField name="Sum of Entrate Fisse Cryptocurrency" fld="22" baseField="0" baseItem="0"/>
    <dataField name="Sum of Entrate Fisse Gold" fld="20" baseField="0" baseItem="0"/>
    <dataField name="Sum of Entrate Securities" fld="24" baseField="0" baseItem="0"/>
    <dataField name="Sum of Entrate Real Estate" fld="26" baseField="0" baseItem="0"/>
    <dataField name="Sum of Entrate Business" fld="23" baseField="0" baseItem="0"/>
    <dataField name="Sum of Entrate Cryptocurrency" fld="27" baseField="0" baseItem="0"/>
    <dataField name="Sum of Entrate Gold" fld="25" baseField="0" baseItem="0"/>
    <dataField name="Sum of Entrate Fisse Real Estate"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se1" xr10:uid="{F0F9F025-7D0D-DB44-BBC9-E62F9A3032AE}" sourceName="Mese">
  <pivotTables>
    <pivotTable tabId="4" name="PivotTable1"/>
    <pivotTable tabId="4" name="PivotTable3"/>
    <pivotTable tabId="4" name="PivotTable2"/>
    <pivotTable tabId="4" name="PivotTable4"/>
    <pivotTable tabId="4" name="PivotTable5"/>
    <pivotTable tabId="4" name="PivotTable7"/>
    <pivotTable tabId="4" name="PivotTable9"/>
    <pivotTable tabId="4" name="PivotTable10"/>
  </pivotTables>
  <data>
    <tabular pivotCacheId="1917001165" showMissing="0" crossFilter="none">
      <items count="12">
        <i x="0"/>
        <i x="1"/>
        <i x="2"/>
        <i x="3"/>
        <i x="4" s="1"/>
        <i x="5"/>
        <i x="6"/>
        <i x="7"/>
        <i x="8"/>
        <i x="9"/>
        <i x="10"/>
        <i x="1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iorno" xr10:uid="{E067D470-E782-6B45-88F2-056546E85680}" sourceName="Giorno">
  <pivotTables>
    <pivotTable tabId="4" name="PivotTable1"/>
    <pivotTable tabId="4" name="PivotTable3"/>
    <pivotTable tabId="4" name="PivotTable2"/>
    <pivotTable tabId="4" name="PivotTable4"/>
    <pivotTable tabId="4" name="PivotTable5"/>
    <pivotTable tabId="4" name="PivotTable7"/>
    <pivotTable tabId="4" name="PivotTable9"/>
    <pivotTable tabId="4" name="PivotTable10"/>
  </pivotTables>
  <data>
    <tabular pivotCacheId="1917001165" showMissing="0" crossFilter="none">
      <items count="31">
        <i x="0" s="1"/>
        <i x="1" s="1"/>
        <i x="2" s="1"/>
        <i x="3" s="1"/>
        <i x="4" s="1"/>
        <i x="5" s="1"/>
        <i x="6" s="1"/>
        <i x="7" s="1"/>
        <i x="8" s="1"/>
        <i x="9" s="1"/>
        <i x="10" s="1"/>
        <i x="11" s="1"/>
        <i x="12" s="1"/>
        <i x="13" s="1"/>
        <i x="14" s="1"/>
        <i x="15" s="1"/>
        <i x="16" s="1"/>
        <i x="17" s="1"/>
        <i x="18" s="1"/>
        <i x="19" s="1"/>
        <i x="20" s="1"/>
        <i x="21" s="1"/>
        <i x="22" s="1"/>
        <i x="23" s="1"/>
        <i x="24" s="1"/>
        <i x="25" s="1"/>
        <i x="26" s="1"/>
        <i x="27" s="1"/>
        <i x="28" s="1"/>
        <i x="29" s="1"/>
        <i x="3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no" xr10:uid="{73A132A0-BBE7-3E4C-8E9B-15948B725104}" sourceName="Anno">
  <pivotTables>
    <pivotTable tabId="4" name="PivotTable1"/>
    <pivotTable tabId="4" name="PivotTable2"/>
    <pivotTable tabId="4" name="PivotTable3"/>
    <pivotTable tabId="4" name="PivotTable4"/>
    <pivotTable tabId="4" name="PivotTable5"/>
    <pivotTable tabId="4" name="PivotTable7"/>
    <pivotTable tabId="4" name="PivotTable6"/>
    <pivotTable tabId="4" name="PivotTable9"/>
    <pivotTable tabId="4" name="PivotTable10"/>
  </pivotTables>
  <data>
    <tabular pivotCacheId="1917001165" showMissing="0">
      <items count="4">
        <i x="0"/>
        <i x="1"/>
        <i x="2"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e 9" xr10:uid="{5C952AAE-BEAF-F548-94F5-A31F7D4DA172}" cache="Slicer_Mese1" caption="Mese" columnCount="12" showCaption="0" rowHeight="251883"/>
  <slicer name="Anno 1" xr10:uid="{38317134-4CF7-8243-A6A9-F1FE424E9A7D}" cache="Slicer_Anno" caption="Anno" columnCount="5" showCaption="0"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e 10" xr10:uid="{BA3D1524-48B4-8948-AFC9-AE21E97EBC36}" cache="Slicer_Mese1" caption="Mese" columnCount="12" showCaption="0" rowHeight="251883"/>
  <slicer name="Giorno 1" xr10:uid="{9FDE17B3-3CCF-4742-BC6D-BB05DA0C90F5}" cache="Slicer_Giorno" caption="Giorno" columnCount="7" showCaption="0" rowHeight="392400"/>
  <slicer name="Anno 2" xr10:uid="{C905A8CA-06F3-6C43-939E-8757ABEF9185}" cache="Slicer_Anno" caption="Anno" columnCount="5" showCaption="0"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e 11" xr10:uid="{F3C874A4-D46E-2D41-886E-819A8CC5380E}" cache="Slicer_Mese1" caption="Mese" columnCount="12" showCaption="0" rowHeight="251883"/>
  <slicer name="Giorno 2" xr10:uid="{A6015C44-2BF6-784E-AB6A-5DE80A756006}" cache="Slicer_Giorno" caption="Giorno" columnCount="7" showCaption="0" rowHeight="396000"/>
  <slicer name="Anno 3" xr10:uid="{3B40CFF5-3008-7349-9B9E-4CEFF166E49E}" cache="Slicer_Anno" caption="Anno" columnCount="5" showCaption="0"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e 12" xr10:uid="{B6631A69-32EC-FC42-908D-601F47D97378}" cache="Slicer_Mese1" caption="Mese" columnCount="12" showCaption="0" rowHeight="251883"/>
  <slicer name="Giorno 3" xr10:uid="{02274F6B-982D-C64D-80EA-10DD2B35543A}" cache="Slicer_Giorno" caption="Giorno" columnCount="7" showCaption="0" rowHeight="396000"/>
  <slicer name="Anno 4" xr10:uid="{D62238FA-CB8B-CD4F-ACBE-D920C70BA145}" cache="Slicer_Anno" caption="Anno" columnCount="5" showCaption="0" rowHeight="251883"/>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e 13" xr10:uid="{9D2FFEC9-6110-714E-92D5-BF41266B0662}" cache="Slicer_Mese1" caption="Mese" columnCount="12" showCaption="0" rowHeight="251883"/>
  <slicer name="Giorno 4" xr10:uid="{8313F0EF-013C-5D48-9932-1DB51D25177D}" cache="Slicer_Giorno" caption="Giorno" columnCount="7" showCaption="0" rowHeight="396000"/>
  <slicer name="Anno 5" xr10:uid="{41355D2C-479B-884F-992D-353E600C8EE6}" cache="Slicer_Anno" caption="Anno" columnCount="5" showCaption="0" rowHeight="251883"/>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e 14" xr10:uid="{05690C8B-D778-964F-9A29-9DAB382EF9DE}" cache="Slicer_Mese1" caption="Mese" columnCount="12" showCaption="0" rowHeight="251883"/>
  <slicer name="Giorno 5" xr10:uid="{75D5D42E-3B54-544F-8C85-A586219ADEFB}" cache="Slicer_Giorno" caption="Giorno" columnCount="7" showCaption="0" rowHeight="396000"/>
  <slicer name="Anno 6" xr10:uid="{DC19F074-6DD0-8A47-BA0B-2DDC1A3D0F9E}" cache="Slicer_Anno" caption="Anno" columnCount="5" showCaption="0" rowHeight="251883"/>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e 15" xr10:uid="{D9B99DD6-6105-A041-AE07-7E793F7C5925}" cache="Slicer_Mese1" caption="Mese" columnCount="12" showCaption="0" rowHeight="251883"/>
  <slicer name="Anno 7" xr10:uid="{9AD7F9BD-6A56-F442-B684-E2D8213BBFF6}" cache="Slicer_Anno" caption="Anno" columnCount="5" showCaption="0" rowHeight="251883"/>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e 7" xr10:uid="{B83D3773-E16F-3641-B252-36E9E989FA3C}" cache="Slicer_Mese1" caption="Mese" columnCount="12" showCaption="0" rowHeight="251883"/>
  <slicer name="Giorno" xr10:uid="{62A4429D-CA73-0448-B276-6D5C251B63BE}" cache="Slicer_Giorno" caption="Giorno" columnCount="7" showCaption="0" rowHeight="324000"/>
  <slicer name="Anno" xr10:uid="{7A07A16D-74BE-F146-97E9-22F55E5AC3C3}" cache="Slicer_Anno" caption="Anno" columnCount="5" showCaption="0"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DED812C-0026-AA4E-B640-2A1828747AB6}" name="SottocategorieUscite" displayName="SottocategorieUscite" ref="B4:I14" totalsRowShown="0" headerRowDxfId="368" dataDxfId="367">
  <autoFilter ref="B4:I14" xr:uid="{6CD9BC3E-D9B5-FE4C-B516-1560EEE51914}">
    <filterColumn colId="0" hiddenButton="1"/>
    <filterColumn colId="1" hiddenButton="1"/>
    <filterColumn colId="2" hiddenButton="1"/>
    <filterColumn colId="3" hiddenButton="1"/>
    <filterColumn colId="4" hiddenButton="1"/>
    <filterColumn colId="5" hiddenButton="1"/>
  </autoFilter>
  <tableColumns count="8">
    <tableColumn id="1" xr3:uid="{339E34E2-DB5D-A243-BA1E-A160AF99E413}" name="Fuori Casa" dataDxfId="366"/>
    <tableColumn id="2" xr3:uid="{4BE6DEF5-9ACD-FC4B-91F1-2085DD6155AC}" name="Varie Uscite" dataDxfId="365"/>
    <tableColumn id="3" xr3:uid="{164F9DF9-430A-4A41-8401-B77FEC03BCD1}" name="Personali" dataDxfId="364"/>
    <tableColumn id="4" xr3:uid="{74ED7C24-4E50-F044-BBBF-F64E2ED37BF8}" name="Lavoro" dataDxfId="363"/>
    <tableColumn id="5" xr3:uid="{5BEE6BDD-1FBD-D94F-8C21-A0311ADAD405}" name="Casa" dataDxfId="362"/>
    <tableColumn id="6" xr3:uid="{58F47157-6239-7743-BC98-27E817A83DFF}" name="Utenze" dataDxfId="361"/>
    <tableColumn id="7" xr3:uid="{2A532330-74CE-C441-A83A-C10AC6DC7892}" name="Business Uscite" dataDxfId="360"/>
    <tableColumn id="8" xr3:uid="{650F7D0C-F351-A64A-A136-84DB9A64E441}" name="Banca" dataDxfId="359"/>
  </tableColumns>
  <tableStyleInfo name="TableStyleLight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C0FF0F8-8A40-A148-A0F2-653FA76B0390}" name="FinancialGoals" displayName="FinancialGoals" ref="U3:Z14" totalsRowShown="0" headerRowDxfId="358" dataDxfId="356" headerRowBorderDxfId="357" tableBorderDxfId="355">
  <autoFilter ref="U3:Z14" xr:uid="{15207F04-C35D-EF4C-99FD-4524F0F3D1D8}">
    <filterColumn colId="0" hiddenButton="1"/>
    <filterColumn colId="1" hiddenButton="1"/>
    <filterColumn colId="2" hiddenButton="1"/>
    <filterColumn colId="3" hiddenButton="1"/>
    <filterColumn colId="4" hiddenButton="1"/>
    <filterColumn colId="5" hiddenButton="1"/>
  </autoFilter>
  <tableColumns count="6">
    <tableColumn id="1" xr3:uid="{D450A47A-3B45-6F4C-85E2-EAC1EEEAE248}" name="Mese" dataDxfId="354"/>
    <tableColumn id="2" xr3:uid="{7ABB3EE0-7DC5-564E-8DE1-E53CE02A481D}" name="Goal1" dataDxfId="353"/>
    <tableColumn id="3" xr3:uid="{789293BA-BC16-5D47-B9E0-19C2FE764587}" name="Goal2" dataDxfId="352"/>
    <tableColumn id="4" xr3:uid="{87D5E98D-8695-3B4A-B2F6-11A12A57E152}" name="Goal3" dataDxfId="351"/>
    <tableColumn id="5" xr3:uid="{9D383BB9-4CFB-3142-A569-3574AEAE50D7}" name="Goal4" dataDxfId="350"/>
    <tableColumn id="6" xr3:uid="{6719213A-599F-B440-B807-2FB95A89525B}" name="Attuale" dataDxfId="349">
      <calculatedColumnFormula>IF(Processing!$F$3="Anno",SUM(Dati[Entrate Fisse Securities]),SUMIF(Dati[Mese],Processing!$F$3,Dati[Entrate Fisse Securities]))</calculatedColumnFormula>
    </tableColumn>
  </tableColumns>
  <tableStyleInfo name="TableStyleLight2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51F0208-B4B4-8442-A52F-94D48B26DC15}" name="Dati" displayName="Dati" ref="B20:AM1613" totalsRowShown="0" headerRowDxfId="348">
  <autoFilter ref="B20:AM1613" xr:uid="{F61C78AB-DE08-5B4A-A052-B40FC235DBE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autoFilter>
  <tableColumns count="38">
    <tableColumn id="1" xr3:uid="{DD500668-D87E-8A4C-AA32-F6E20D4C5F1A}" name="RowID" dataDxfId="347">
      <calculatedColumnFormula>ROW(1:1)</calculatedColumnFormula>
    </tableColumn>
    <tableColumn id="2" xr3:uid="{39E7992E-8875-344A-B4F0-31ADA9B9E63A}" name="Data" dataDxfId="346"/>
    <tableColumn id="3" xr3:uid="{C5587F46-7B95-834C-9C1E-ABBDB8E990C9}" name="Giorno" dataDxfId="345">
      <calculatedColumnFormula>DAY(Dati[[#This Row],[Data]])</calculatedColumnFormula>
    </tableColumn>
    <tableColumn id="4" xr3:uid="{8AAA13E4-AFE2-2B4B-81E7-59BBE7D62595}" name="Mese" dataDxfId="344">
      <calculatedColumnFormula>IF(DAY(Data!$C$21:$C$1327)&gt;0,TEXT(Data!$C$21:$C$1327, "mmmm"),"")</calculatedColumnFormula>
    </tableColumn>
    <tableColumn id="5" xr3:uid="{79C18A4C-F461-C841-8192-F265E156FDF9}" name="Anno" dataDxfId="343">
      <calculatedColumnFormula>IF(DAY(Data!$C$21:$C$1327)&gt;0,TEXT(Data!$C$21:$C$1327, "aaaa"),"")</calculatedColumnFormula>
    </tableColumn>
    <tableColumn id="6" xr3:uid="{D9B2E1A5-86BF-6145-B4DC-91F7510F8420}" name="Descrizione"/>
    <tableColumn id="40" xr3:uid="{F1180425-BA93-0A4E-AFC0-81AB3B5427A4}" name="Categoria"/>
    <tableColumn id="39" xr3:uid="{99959D7F-35E2-D149-A1C5-5382C25ECB96}" name="Sottocategoria" dataDxfId="342">
      <calculatedColumnFormula>IF(OR(H21=$B$5,H21=$B$6,H21=$B$7,H21=$B$8,H21=$B$9,H21=$B$10,H21=$B$11,H21=$B$12,H21=$B$13,H21=$B$14),SottocategorieUscite[[#Headers],[Fuori Casa]],IF(OR(H21=$C$5,H21=$C$6,H21=$C$7,H21=$C$8,H21=$C$9,H21=$C$10,H21=$C$11,H21=$C$12,H21=$C$13,H21=$C$14),SottocategorieUscite[[#Headers],[Varie Uscite]],IF(OR(H21=$D$5,H21=$D$6,H21=$D$7,H21=$D$8,H21=$D$9,H21=$D$10,H21=$D$11,H21=$D$12,H21=$D$13,H21=$D$14),SottocategorieUscite[[#Headers],[Personali]],IF(OR(H21=$E$5,H21=$E$6,H21=$E$7,H21=$E$8,H21=$E$9,H21=$E$10,H21=$E$11,H21=$E$12,H21=$E$13,H21=$E$14),SottocategorieUscite[[#Headers],[Lavoro]],IF(OR(H21=$F$5,H21=$F$6,H21=$F$7,H21=$F$8,H21=$F$9,H21=$F$10,H21=$F$11,H21=$F$12,H21=$F$13,H21=$F$14),SottocategorieUscite[[#Headers],[Casa]],IF(OR(H21=$G$5,H21=$G$6,H21=$G$7,H21=$G$8,H21=$G$9,H21=$G$10,H21=$G$11,H21=$G$12,H21=$G$13,H21=$G$14),SottocategorieUscite[[#Headers],[Utenze]],IF(OR(H21=$H$5,H21=$H$6,H21=$H$7,H21=$H$8,H21=$H$9,H21=$H$10,H21=$H$11,H21=$H$12,H21=$H$13,H21=$H$14),SottocategorieUscite[[#Headers],[Business Uscite]],IF(OR(H21=$I$5,H21=$I$6,H21=$I$7,H21=$I$8,H21=$I$9,H21=$I$10,H21=$I$11,H21=$I$12,H21=$I$13,H21=$I$14),SottocategorieUscite[[#Headers],[Banca]],IF(OR(H21=K$5,H21=K$6,H21=K$7,H21=K$8,H21=K$9,H21=K$10,H21=K$11,H21=K$12,H21=K$13,H21=K$14),SottocategorieEntrate[[#Headers],[Business Entrate]],IF(OR(H21=L$5,H21=L$6,H21=L$7,H21=L$8,H21=L$9,H21=L$10,H21=L$11,H21=L$12,H21=L$13,H21=L$14),SottocategorieEntrate[[#Headers],[Varie Entrate]],IF(OR(H21=M$5,H21=M$6,H21=M$7,H21=M$8,H21=M$9,H21=M$10,H21=M$11,H21=M$12,H21=M$13,H21=M$14),SottocategorieEntrate[[#Headers],[Real Estate]],IF(OR(H21=N$5,H21=N$6,H21=N$7,H21=N$8,H21=N$9,H21=N$10,H21=N$11,H21=N$12,H21=N$13,H21=N$14),SottocategorieEntrate[[#Headers],[Other]],""))))))))))))</calculatedColumnFormula>
    </tableColumn>
    <tableColumn id="7" xr3:uid="{B25AA3FC-AAB6-7441-AA45-F640B6F20216}" name="Metodo" dataDxfId="341">
      <calculatedColumnFormula>IF(OR(Dati[[#This Row],[Categoria]]="Bollette",Dati[[#This Row],[Categoria]]="Conto &amp; Carte BNL",Dati[[#This Row],[Categoria]]="Prelievo",Dati[[#This Row],[Categoria]]="Affitto",Dati[[#This Row],[Categoria]]="BNL(Interessi Creditori)"),"Carta",IF(Dati[[#This Row],[Categoria]]&lt;&gt;0,"Cash",""))</calculatedColumnFormula>
    </tableColumn>
    <tableColumn id="8" xr3:uid="{D1642288-AEEE-DD4D-B653-E6AEF7389164}" name="Uscite" dataDxfId="340">
      <calculatedColumnFormula>IF(OR(Data!$I21=SottocategorieUscite[[#Headers],[Fuori Casa]],Data!$I21=SottocategorieUscite[[#Headers],[Varie Uscite]],Data!$I21=SottocategorieUscite[[#Headers],[Personali]],Data!$I21=SottocategorieUscite[[#Headers],[Lavoro]]),"$ -","")</calculatedColumnFormula>
    </tableColumn>
    <tableColumn id="24" xr3:uid="{93F99206-9892-A148-82F5-02A8C4B048EC}" name="Uscite Fisse" dataDxfId="339">
      <calculatedColumnFormula>IF(OR(Data!$I21=SottocategorieUscite[[#Headers],[Casa]],Data!$I21=SottocategorieUscite[[#Headers],[Utenze]],Data!$I21=SottocategorieUscite[[#Headers],[Business Uscite]],Data!$I21=SottocategorieUscite[[#Headers],[Banca]]),"$ -","")</calculatedColumnFormula>
    </tableColumn>
    <tableColumn id="9" xr3:uid="{990BF43B-0131-1543-8DF2-D13A5AEC4B5E}" name="Altre Uscite" dataDxfId="338">
      <calculatedColumnFormula>IF(OR($I21&lt;&gt;SottocategorieUscite[[#Headers],[Fuori Casa]],$I21&lt;&gt;SottocategorieUscite[[#Headers],[Varie Uscite]],$I21&lt;&gt;SottocategorieUscite[[#Headers],[Personali]],$I21&lt;&gt;SottocategorieUscite[[#Headers],[Lavoro]],$I21&lt;&gt;SottocategorieUscite[[#Headers],[Casa]],$I21&lt;&gt;SottocategorieUscite[[#Headers],[Utenze]],$I21&lt;&gt;SottocategorieUscite[[#Headers],[Business Uscite]],$I21&lt;&gt;SottocategorieUscite[[#Headers],[Banca]]),"","$ -")</calculatedColumnFormula>
    </tableColumn>
    <tableColumn id="10" xr3:uid="{D14461D9-91D5-FD44-BB4D-69812DC9B1B5}" name="Entrate" dataDxfId="337">
      <calculatedColumnFormula>IF(OR(Data!$I21=SottocategorieEntrate[[#Headers],[Business Entrate]],Data!$I21=SottocategorieEntrate[[#Headers],[Varie Entrate]]),"$ -","")</calculatedColumnFormula>
    </tableColumn>
    <tableColumn id="11" xr3:uid="{9791459C-EAEE-A64C-9061-570FD6566AD2}" name="Entrate Fisse" dataDxfId="336">
      <calculatedColumnFormula>IF(OR(Data!$I21=SottocategorieEntrate[[#Headers],[Real Estate]],SottocategorieEntrate[[#Headers],[Other]]),"$ -","")</calculatedColumnFormula>
    </tableColumn>
    <tableColumn id="12" xr3:uid="{2A56A18E-D427-A347-B3F7-5C06FB063531}" name="Altre Entrate" dataDxfId="335">
      <calculatedColumnFormula>IF(OR($I21&lt;&gt;SottocategorieEntrate[[#Headers],[Business Entrate]],$I21&lt;&gt;SottocategorieEntrate[[#Headers],[Varie Entrate]],$I21&lt;&gt;SottocategorieEntrate[[#Headers],[Real Estate]],$I21&lt;&gt;SottocategorieEntrate[[#Headers],[Other]]),"","$ -")</calculatedColumnFormula>
    </tableColumn>
    <tableColumn id="13" xr3:uid="{3696DEFF-10CD-0D47-85AA-E1F26E96A094}" name="Prelievo" dataDxfId="334">
      <calculatedColumnFormula>IF(Dati[[#This Row],[Categoria]]="Prelievo","€ -","")</calculatedColumnFormula>
    </tableColumn>
    <tableColumn id="14" xr3:uid="{9590B5E6-A9B1-A447-B365-A888455AD459}" name="Balance" dataDxfId="333"/>
    <tableColumn id="15" xr3:uid="{CE5BDD43-71E8-B549-9FC7-2DA26A7454D0}" name="Savings" dataDxfId="332">
      <calculatedColumnFormula>IF(Dati[[#This Row],[Categoria]]="Savings",0,"")</calculatedColumnFormula>
    </tableColumn>
    <tableColumn id="17" xr3:uid="{23584E49-1890-C643-81DD-2A5480C22538}" name="Entrate Fisse Business" dataDxfId="331"/>
    <tableColumn id="18" xr3:uid="{B30E078C-B552-6E48-88DD-C7942354B46F}" name="Entrate Fisse Securities" dataDxfId="330"/>
    <tableColumn id="19" xr3:uid="{BAD316B4-0316-A046-AB24-12E9F79E1741}" name="Entrate Fisse Gold" dataDxfId="329"/>
    <tableColumn id="20" xr3:uid="{1CF1E630-D39B-6449-A367-482607A763A0}" name="Entrate Fisse Real Estate" dataDxfId="328"/>
    <tableColumn id="21" xr3:uid="{DA2EE6BA-CC61-9A48-9902-83B36639ADC1}" name="Entrate Fisse Cryptocurrency" dataDxfId="327"/>
    <tableColumn id="22" xr3:uid="{55B73195-7715-2C42-BA25-F6B3FCBD4C96}" name="Entrate Business" dataDxfId="326"/>
    <tableColumn id="23" xr3:uid="{F0648D6F-9749-F842-B686-6A3083141BF8}" name="Entrate Securities" dataDxfId="325"/>
    <tableColumn id="16" xr3:uid="{2074B18B-23FC-2B45-A734-90F753681C41}" name="Entrate Gold" dataDxfId="324"/>
    <tableColumn id="25" xr3:uid="{E42DE3C9-6E1A-2149-ADBB-0125E894529D}" name="Entrate Real Estate" dataDxfId="323"/>
    <tableColumn id="26" xr3:uid="{FB010378-6464-7D42-BF8E-7379AA727673}" name="Entrate Cryptocurrency" dataDxfId="322"/>
    <tableColumn id="27" xr3:uid="{1ACA89E4-EB8D-8A48-8A43-A6DE19F59239}" name="Inv. Business" dataDxfId="321"/>
    <tableColumn id="28" xr3:uid="{FF8F89D1-D2E4-5B47-8F6F-934BA07C2DC5}" name="Inv. Securities" dataDxfId="320"/>
    <tableColumn id="29" xr3:uid="{0E97E72E-8580-C94B-8D80-EDDA1B1CEF96}" name="Inv. Gold" dataDxfId="319"/>
    <tableColumn id="30" xr3:uid="{629E8ED8-1C0D-3F45-8203-9FE41AC35681}" name="Inv. Real Estate" dataDxfId="318"/>
    <tableColumn id="31" xr3:uid="{D27C0E94-99F3-CC4E-ABD7-99F586B86200}" name="Inv. Cryptocurrency" dataDxfId="317"/>
    <tableColumn id="32" xr3:uid="{DACD37D5-BD32-0F4F-8DE9-D1B0F152820C}" name="Totale Portfolio" dataDxfId="316">
      <calculatedColumnFormula>IF(SUM(Dati[[#This Row],[Inv. Business]:[Inv. Cryptocurrency]])=0," ",SUM(Dati[[#This Row],[Inv. Business]:[Inv. Cryptocurrency]]))</calculatedColumnFormula>
    </tableColumn>
    <tableColumn id="33" xr3:uid="{2574C553-F15C-3C4E-AD30-98EA0E9C7546}" name="Mutuo" dataDxfId="315"/>
    <tableColumn id="34" xr3:uid="{C78B1F31-3775-AE4F-899D-658765739214}" name="Leasing Macchina" dataDxfId="314">
      <calculatedColumnFormula>IF(SUM(Dati[[#This Row],[Inv. Gold]:[Mutuo]])=0," ",SUM(Dati[[#This Row],[Inv. Gold]:[Mutuo]]))</calculatedColumnFormula>
    </tableColumn>
    <tableColumn id="35" xr3:uid="{D12F8FA5-F43A-9D49-976A-7FA8B7C4E175}" name="Consumer Credit" dataDxfId="313"/>
    <tableColumn id="36" xr3:uid="{9CFA1D67-CB40-2441-A50A-E27D6A8021E5}" name="Credit Card" dataDxfId="312"/>
  </tableColumns>
  <tableStyleInfo name="TableStyleLight6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55B3AFE-604F-C24C-A673-4DA579AEF108}" name="SottocategorieEntrate" displayName="SottocategorieEntrate" ref="K4:N14" totalsRowShown="0" headerRowDxfId="311" headerRowBorderDxfId="310">
  <autoFilter ref="K4:N14" xr:uid="{28AE99EC-09B0-324E-8111-E293BEA1475E}">
    <filterColumn colId="0" hiddenButton="1"/>
    <filterColumn colId="1" hiddenButton="1"/>
    <filterColumn colId="2" hiddenButton="1"/>
    <filterColumn colId="3" hiddenButton="1"/>
  </autoFilter>
  <tableColumns count="4">
    <tableColumn id="1" xr3:uid="{218C8AF8-D9EA-ED4B-822B-B5A600EAD918}" name="Business Entrate" dataDxfId="309"/>
    <tableColumn id="2" xr3:uid="{77AE8DF8-076A-D443-B79E-3DC93B9656CB}" name="Varie Entrate" dataDxfId="308"/>
    <tableColumn id="3" xr3:uid="{DFB6329C-11C1-FF46-8DD1-D23900BD12AE}" name="Real Estate" dataDxfId="307"/>
    <tableColumn id="4" xr3:uid="{BD5CDB11-D543-144D-8D1B-3FCC45AB61F5}" name="Other" dataDxfId="306"/>
  </tableColumns>
  <tableStyleInfo name="TableStyleLight6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242732"/>
        </a:solidFill>
        <a:ln w="12700" cap="flat" cmpd="sng" algn="ctr">
          <a:noFill/>
          <a:prstDash val="solid"/>
          <a:miter lim="800000"/>
        </a:ln>
        <a:effectLst/>
      </a:spPr>
      <a:bodyPr vertOverflow="clip" horzOverflow="clip" rtlCol="0" anchor="t"/>
      <a:lstStyle>
        <a:defPPr marL="0" marR="0" indent="0" algn="l" defTabSz="914400" eaLnBrk="1" fontAlgn="auto" latinLnBrk="0" hangingPunct="1">
          <a:lnSpc>
            <a:spcPct val="100000"/>
          </a:lnSpc>
          <a:spcBef>
            <a:spcPts val="0"/>
          </a:spcBef>
          <a:spcAft>
            <a:spcPts val="0"/>
          </a:spcAft>
          <a:buClrTx/>
          <a:buSzTx/>
          <a:buFontTx/>
          <a:buNone/>
          <a:tabLst/>
          <a:defRPr kumimoji="0" sz="1100" b="0" i="0" u="none" strike="noStrike" kern="0" cap="none" spc="0" normalizeH="0" baseline="0" noProof="0">
            <a:ln>
              <a:noFill/>
            </a:ln>
            <a:solidFill>
              <a:sysClr val="window" lastClr="FFFFFF"/>
            </a:solidFill>
            <a:effectLst/>
            <a:uLnTx/>
            <a:uFillTx/>
            <a:latin typeface="Calibri" panose="020F0502020204030204"/>
            <a:ea typeface="+mn-ea"/>
            <a:cs typeface="+mn-cs"/>
          </a:defRPr>
        </a:defPPr>
      </a:lst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microsoft.com/office/2007/relationships/slicer" Target="../slicers/slicer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microsoft.com/office/2007/relationships/slicer" Target="../slicers/slicer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microsoft.com/office/2007/relationships/slicer" Target="../slicers/slicer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8.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8.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0.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C7561-0D0B-E841-9027-588B4052A17D}">
  <sheetPr codeName="Sheet2"/>
  <dimension ref="A1"/>
  <sheetViews>
    <sheetView showGridLines="0" showRowColHeaders="0" topLeftCell="A4" workbookViewId="0">
      <selection activeCell="X26" sqref="X26"/>
    </sheetView>
  </sheetViews>
  <sheetFormatPr defaultColWidth="10.83203125" defaultRowHeight="15.5" x14ac:dyDescent="0.35"/>
  <cols>
    <col min="1" max="16384" width="10.83203125" style="3"/>
  </cols>
  <sheetData/>
  <sheetProtection sheet="1"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15FF5-F435-5C43-9F8C-28888599BAA9}">
  <sheetPr codeName="Sheet6"/>
  <dimension ref="A1"/>
  <sheetViews>
    <sheetView showRowColHeaders="0" workbookViewId="0"/>
  </sheetViews>
  <sheetFormatPr defaultColWidth="10.83203125" defaultRowHeight="15.5" x14ac:dyDescent="0.35"/>
  <cols>
    <col min="1" max="16384" width="10.83203125" style="27"/>
  </cols>
  <sheetData/>
  <sheetProtection sheet="1"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48BB9-4B92-2B4C-976A-BD4043FDA73B}">
  <sheetPr codeName="Sheet7"/>
  <dimension ref="A1"/>
  <sheetViews>
    <sheetView showGridLines="0" showRowColHeaders="0" workbookViewId="0"/>
  </sheetViews>
  <sheetFormatPr defaultColWidth="10.83203125" defaultRowHeight="15.5" x14ac:dyDescent="0.35"/>
  <cols>
    <col min="1" max="16384" width="10.83203125" style="27"/>
  </cols>
  <sheetData/>
  <sheetProtection sheet="1"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F41E9-417D-BF4F-8699-608DE1E19668}">
  <sheetPr codeName="Sheet8"/>
  <dimension ref="A1"/>
  <sheetViews>
    <sheetView showGridLines="0" showRowColHeaders="0" topLeftCell="A4" workbookViewId="0">
      <selection activeCell="I14" sqref="I14"/>
    </sheetView>
  </sheetViews>
  <sheetFormatPr defaultColWidth="10.83203125" defaultRowHeight="15.5" x14ac:dyDescent="0.35"/>
  <cols>
    <col min="1" max="16384" width="10.83203125" style="27"/>
  </cols>
  <sheetData/>
  <sheetProtection sheet="1"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268E-F026-FC42-AAF8-37F353B8ADBE}">
  <sheetPr codeName="Sheet9"/>
  <dimension ref="A1"/>
  <sheetViews>
    <sheetView showGridLines="0" showRowColHeaders="0" workbookViewId="0"/>
  </sheetViews>
  <sheetFormatPr defaultColWidth="10.83203125" defaultRowHeight="15.5" x14ac:dyDescent="0.35"/>
  <cols>
    <col min="1" max="16384" width="10.83203125" style="27"/>
  </cols>
  <sheetData/>
  <sheetProtection sheet="1"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BF94E-CB5B-664C-A12B-D17858C4059D}">
  <sheetPr codeName="Sheet10"/>
  <dimension ref="A1"/>
  <sheetViews>
    <sheetView showGridLines="0" showRowColHeaders="0" workbookViewId="0"/>
  </sheetViews>
  <sheetFormatPr defaultColWidth="10.83203125" defaultRowHeight="15.5" x14ac:dyDescent="0.35"/>
  <cols>
    <col min="1" max="16384" width="10.83203125" style="27"/>
  </cols>
  <sheetData/>
  <sheetProtection sheet="1"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18439-74C5-DE4C-9766-CEE9115F8837}">
  <sheetPr codeName="Sheet11"/>
  <dimension ref="A1"/>
  <sheetViews>
    <sheetView showGridLines="0" showRowColHeaders="0" topLeftCell="D5" workbookViewId="0">
      <selection activeCell="D15" sqref="D15"/>
    </sheetView>
  </sheetViews>
  <sheetFormatPr defaultColWidth="10.83203125" defaultRowHeight="15.5" x14ac:dyDescent="0.35"/>
  <cols>
    <col min="1" max="16384" width="10.83203125" style="27"/>
  </cols>
  <sheetData/>
  <sheetProtection sheet="1"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6CA9C-BD7D-AE44-B289-0DDEB58D1EDA}">
  <sheetPr codeName="Sheet1"/>
  <dimension ref="A1:AO1613"/>
  <sheetViews>
    <sheetView tabSelected="1" zoomScale="30" zoomScaleNormal="30" workbookViewId="0">
      <pane xSplit="3" ySplit="20" topLeftCell="D282" activePane="bottomRight" state="frozen"/>
      <selection pane="topRight" activeCell="D1" sqref="D1"/>
      <selection pane="bottomLeft" activeCell="A21" sqref="A21"/>
      <selection pane="bottomRight" activeCell="R293" sqref="R293"/>
    </sheetView>
  </sheetViews>
  <sheetFormatPr defaultColWidth="10.6640625" defaultRowHeight="15.5" x14ac:dyDescent="0.35"/>
  <cols>
    <col min="1" max="1" width="1.83203125" customWidth="1"/>
    <col min="3" max="3" width="15.6640625" bestFit="1" customWidth="1"/>
    <col min="4" max="4" width="12.5" customWidth="1"/>
    <col min="5" max="5" width="11.1640625" bestFit="1" customWidth="1"/>
    <col min="6" max="6" width="15" bestFit="1" customWidth="1"/>
    <col min="7" max="7" width="15.6640625" bestFit="1" customWidth="1"/>
    <col min="8" max="8" width="15.6640625" customWidth="1"/>
    <col min="9" max="9" width="20" bestFit="1" customWidth="1"/>
    <col min="10" max="10" width="13.5" bestFit="1" customWidth="1"/>
    <col min="11" max="11" width="18.1640625" bestFit="1" customWidth="1"/>
    <col min="12" max="12" width="12.1640625" bestFit="1" customWidth="1"/>
    <col min="13" max="13" width="17.33203125" customWidth="1"/>
    <col min="14" max="14" width="17.33203125" bestFit="1" customWidth="1"/>
    <col min="15" max="15" width="13.5" bestFit="1" customWidth="1"/>
    <col min="16" max="17" width="18.6640625" bestFit="1" customWidth="1"/>
    <col min="18" max="18" width="18.6640625" customWidth="1"/>
    <col min="19" max="19" width="17.1640625" bestFit="1" customWidth="1"/>
    <col min="20" max="20" width="20.1640625" bestFit="1" customWidth="1"/>
    <col min="21" max="21" width="21" bestFit="1" customWidth="1"/>
    <col min="22" max="22" width="16.5" bestFit="1" customWidth="1"/>
    <col min="23" max="23" width="22.33203125" bestFit="1" customWidth="1"/>
    <col min="24" max="24" width="26.1640625" bestFit="1" customWidth="1"/>
    <col min="25" max="25" width="15.33203125" bestFit="1" customWidth="1"/>
    <col min="26" max="26" width="16.1640625" bestFit="1" customWidth="1"/>
    <col min="27" max="27" width="11.83203125" bestFit="1" customWidth="1"/>
    <col min="28" max="28" width="17.6640625" bestFit="1" customWidth="1"/>
    <col min="29" max="29" width="21.5" bestFit="1" customWidth="1"/>
    <col min="30" max="30" width="12.5" bestFit="1" customWidth="1"/>
    <col min="31" max="31" width="13.33203125" bestFit="1" customWidth="1"/>
    <col min="32" max="32" width="9" bestFit="1" customWidth="1"/>
    <col min="33" max="33" width="14.5" bestFit="1" customWidth="1"/>
    <col min="34" max="34" width="18.5" bestFit="1" customWidth="1"/>
    <col min="35" max="35" width="14.1640625" bestFit="1" customWidth="1"/>
    <col min="36" max="36" width="7" bestFit="1" customWidth="1"/>
    <col min="37" max="37" width="16.1640625" bestFit="1" customWidth="1"/>
    <col min="38" max="38" width="15.33203125" bestFit="1" customWidth="1"/>
    <col min="39" max="39" width="10.83203125" bestFit="1" customWidth="1"/>
    <col min="40" max="40" width="15.33203125" bestFit="1" customWidth="1"/>
  </cols>
  <sheetData>
    <row r="1" spans="2:29" ht="15" customHeight="1" x14ac:dyDescent="0.35"/>
    <row r="2" spans="2:29" ht="15" customHeight="1" x14ac:dyDescent="0.35">
      <c r="B2" s="252" t="s">
        <v>168</v>
      </c>
      <c r="C2" s="253"/>
      <c r="D2" s="253"/>
      <c r="E2" s="253"/>
      <c r="F2" s="253"/>
      <c r="G2" s="253"/>
      <c r="H2" s="253"/>
      <c r="I2" s="254"/>
      <c r="K2" s="257" t="s">
        <v>168</v>
      </c>
      <c r="L2" s="258"/>
      <c r="M2" s="258"/>
      <c r="N2" s="259"/>
      <c r="P2" s="257" t="s">
        <v>0</v>
      </c>
      <c r="Q2" s="258"/>
      <c r="R2" s="258"/>
      <c r="S2" s="259"/>
      <c r="U2" s="257" t="s">
        <v>68</v>
      </c>
      <c r="V2" s="258"/>
      <c r="W2" s="258"/>
      <c r="X2" s="258"/>
      <c r="Y2" s="258"/>
      <c r="Z2" s="259"/>
    </row>
    <row r="3" spans="2:29" ht="15" customHeight="1" x14ac:dyDescent="0.45">
      <c r="B3" s="273" t="s">
        <v>255</v>
      </c>
      <c r="C3" s="274"/>
      <c r="D3" s="274"/>
      <c r="E3" s="275"/>
      <c r="F3" s="273" t="s">
        <v>14</v>
      </c>
      <c r="G3" s="274"/>
      <c r="H3" s="274"/>
      <c r="I3" s="275"/>
      <c r="K3" s="265" t="s">
        <v>16</v>
      </c>
      <c r="L3" s="266"/>
      <c r="M3" s="267" t="s">
        <v>17</v>
      </c>
      <c r="N3" s="268"/>
      <c r="P3" s="147"/>
      <c r="Q3" s="148"/>
      <c r="R3" s="149" t="s">
        <v>1</v>
      </c>
      <c r="S3" s="149" t="s">
        <v>2</v>
      </c>
      <c r="U3" s="154" t="s">
        <v>9</v>
      </c>
      <c r="V3" s="154" t="s">
        <v>27</v>
      </c>
      <c r="W3" s="154" t="s">
        <v>28</v>
      </c>
      <c r="X3" s="154" t="s">
        <v>29</v>
      </c>
      <c r="Y3" s="154" t="s">
        <v>30</v>
      </c>
      <c r="Z3" s="154" t="s">
        <v>2</v>
      </c>
    </row>
    <row r="4" spans="2:29" ht="15" customHeight="1" thickBot="1" x14ac:dyDescent="0.4">
      <c r="B4" s="153" t="s">
        <v>169</v>
      </c>
      <c r="C4" s="153" t="s">
        <v>193</v>
      </c>
      <c r="D4" s="190" t="s">
        <v>33</v>
      </c>
      <c r="E4" s="190" t="s">
        <v>272</v>
      </c>
      <c r="F4" s="153" t="s">
        <v>34</v>
      </c>
      <c r="G4" s="153" t="s">
        <v>257</v>
      </c>
      <c r="H4" s="153" t="s">
        <v>197</v>
      </c>
      <c r="I4" s="153" t="s">
        <v>195</v>
      </c>
      <c r="K4" s="150" t="s">
        <v>198</v>
      </c>
      <c r="L4" s="150" t="s">
        <v>194</v>
      </c>
      <c r="M4" s="150" t="s">
        <v>25</v>
      </c>
      <c r="N4" s="150" t="s">
        <v>191</v>
      </c>
      <c r="P4" s="271" t="s">
        <v>3</v>
      </c>
      <c r="Q4" s="272"/>
      <c r="R4" s="212">
        <v>4512.71</v>
      </c>
      <c r="S4" s="212">
        <f>SUM(R4,SUMIF(Dati[Metodo],"Carta",Dati[Altre Entrate]),SUMIF(Dati[Metodo],"Carta",Dati[Entrate]),SUMIF(Dati[Metodo],"Carta",Dati[Entrate Fisse])-SUM(SUMIF(Dati[Metodo],"Carta",Dati[Altre Uscite]),SUMIF(Dati[Metodo],"Carta",Dati[Uscite]),SUMIF(Dati[Metodo],"Carta",Dati[Uscite Fisse]),SUMIF(Dati[Categoria],"Prelievo",Dati[Prelievo])))</f>
        <v>4512.71</v>
      </c>
      <c r="U4" s="213" t="s">
        <v>53</v>
      </c>
      <c r="V4" s="214">
        <v>800</v>
      </c>
      <c r="W4" s="215">
        <v>1000</v>
      </c>
      <c r="X4" s="215">
        <v>1200</v>
      </c>
      <c r="Y4" s="215">
        <v>1500</v>
      </c>
      <c r="Z4" s="216">
        <f>IF(Processing!$F$3="Anno",SUM(Dati[Entrate Fisse Securities]),SUMIF(Dati[Mese],Processing!$F$3,Dati[Entrate Fisse Securities]))</f>
        <v>0</v>
      </c>
    </row>
    <row r="5" spans="2:29" ht="15" customHeight="1" thickBot="1" x14ac:dyDescent="0.4">
      <c r="B5" s="151" t="s">
        <v>171</v>
      </c>
      <c r="C5" s="30" t="s">
        <v>32</v>
      </c>
      <c r="D5" s="152" t="s">
        <v>37</v>
      </c>
      <c r="E5" s="30" t="s">
        <v>200</v>
      </c>
      <c r="F5" s="152" t="s">
        <v>143</v>
      </c>
      <c r="G5" s="152" t="s">
        <v>36</v>
      </c>
      <c r="H5" s="151" t="s">
        <v>259</v>
      </c>
      <c r="I5" s="30" t="s">
        <v>196</v>
      </c>
      <c r="K5" s="151" t="s">
        <v>170</v>
      </c>
      <c r="L5" s="30" t="s">
        <v>263</v>
      </c>
      <c r="M5" s="151" t="s">
        <v>188</v>
      </c>
      <c r="N5" s="30" t="s">
        <v>170</v>
      </c>
      <c r="P5" s="269" t="s">
        <v>4</v>
      </c>
      <c r="Q5" s="270"/>
      <c r="R5" s="234">
        <v>2786.14</v>
      </c>
      <c r="S5" s="233">
        <f>SUM(R5,SUM(SUMIF(Dati[Categoria],"Prelievo",Dati[Prelievo]),SUMIF(Dati[Metodo],"Cash",Dati[Entrate]),SUMIF(Dati[Metodo],"Cash",Dati[Entrate Fisse]),SUMIF(Dati[Metodo],"Cash",Dati[Altre Entrate])-SUM(SUMIF(Dati[Metodo],"Cash",Dati[Uscite]),SUMIF(Dati[Metodo],"Cash",Dati[Uscite Fisse]),SUMIF(Dati[Metodo],"Cash",Dati[Altre Uscite]))))</f>
        <v>2786.14</v>
      </c>
      <c r="U5" s="217" t="s">
        <v>54</v>
      </c>
      <c r="V5" s="218">
        <v>800</v>
      </c>
      <c r="W5" s="218">
        <v>1000</v>
      </c>
      <c r="X5" s="218">
        <v>1200</v>
      </c>
      <c r="Y5" s="218">
        <v>1500</v>
      </c>
      <c r="Z5" s="219">
        <f>IF(Processing!$F$3="Anno",SUM(Dati[Entrate Fisse Securities]),SUMIF(Dati[Mese],Processing!$F$3,Dati[Entrate Fisse Securities]))</f>
        <v>0</v>
      </c>
      <c r="AC5" s="211">
        <f ca="1">IFERROR(IF(AND(Dati[[#This Row],[Mese]]=FinancialGoals[[#This Row],[Mese]],Dati[[#This Row],[Anno]]=TEXT(TODAY(),"aaaa"),Dati[[#This Row],[Categoria]]="Savings"),SUM(Dati[Savings]),""),0)</f>
        <v>0</v>
      </c>
    </row>
    <row r="6" spans="2:29" ht="15" customHeight="1" x14ac:dyDescent="0.35">
      <c r="B6" s="152" t="s">
        <v>172</v>
      </c>
      <c r="C6" s="30" t="s">
        <v>176</v>
      </c>
      <c r="D6" s="152" t="s">
        <v>144</v>
      </c>
      <c r="E6" s="152" t="s">
        <v>170</v>
      </c>
      <c r="F6" s="152" t="s">
        <v>190</v>
      </c>
      <c r="G6" s="152" t="s">
        <v>261</v>
      </c>
      <c r="H6" s="152" t="s">
        <v>262</v>
      </c>
      <c r="I6" s="30" t="s">
        <v>170</v>
      </c>
      <c r="K6" s="152" t="s">
        <v>170</v>
      </c>
      <c r="L6" s="30" t="s">
        <v>271</v>
      </c>
      <c r="M6" s="152" t="s">
        <v>170</v>
      </c>
      <c r="N6" s="30" t="s">
        <v>170</v>
      </c>
      <c r="P6" s="289" t="s">
        <v>5</v>
      </c>
      <c r="Q6" s="290"/>
      <c r="R6" s="235">
        <v>0</v>
      </c>
      <c r="S6" s="212">
        <f>SUM(R6,SUMIF(Dati[Metodo],"Conto Trading",Dati[Altre Entrate]),SUMIF(Dati[Metodo],"Conto Trading",Dati[Prelievo]),SUMIF(Dati[Metodo],"Conto Trading",Dati[Balance]))-SUM(SUMIF(Dati[Metodo],"Conto Trading",Dati[Altre Uscite]),SUMIF(Dati[Metodo],"Conto Trading",Dati[Entrate]),SUMIF(Dati[Metodo],"Conto Trading",Dati[Entrate Fisse]))</f>
        <v>0</v>
      </c>
      <c r="U6" s="220" t="s">
        <v>55</v>
      </c>
      <c r="V6" s="221">
        <v>800</v>
      </c>
      <c r="W6" s="222">
        <v>1000</v>
      </c>
      <c r="X6" s="222">
        <v>1200</v>
      </c>
      <c r="Y6" s="222">
        <v>1500</v>
      </c>
      <c r="Z6" s="223">
        <f>IF(Processing!$F$3="Anno",SUM(Dati[Entrate Fisse Securities]),SUMIF(Dati[Mese],Processing!$F$3,Dati[Entrate Fisse Securities]))</f>
        <v>0</v>
      </c>
    </row>
    <row r="7" spans="2:29" ht="15" customHeight="1" x14ac:dyDescent="0.35">
      <c r="B7" s="152" t="s">
        <v>141</v>
      </c>
      <c r="C7" s="30" t="s">
        <v>189</v>
      </c>
      <c r="D7" s="152" t="s">
        <v>173</v>
      </c>
      <c r="E7" s="152" t="s">
        <v>170</v>
      </c>
      <c r="F7" s="152" t="s">
        <v>170</v>
      </c>
      <c r="G7" s="152" t="s">
        <v>273</v>
      </c>
      <c r="H7" s="152" t="s">
        <v>170</v>
      </c>
      <c r="I7" s="30" t="s">
        <v>170</v>
      </c>
      <c r="K7" s="152" t="s">
        <v>170</v>
      </c>
      <c r="L7" s="30" t="s">
        <v>170</v>
      </c>
      <c r="M7" s="152" t="s">
        <v>170</v>
      </c>
      <c r="N7" s="30" t="s">
        <v>170</v>
      </c>
      <c r="P7" s="291" t="s">
        <v>6</v>
      </c>
      <c r="Q7" s="292"/>
      <c r="R7" s="234">
        <f>SUM(R4:R6)</f>
        <v>7298.85</v>
      </c>
      <c r="S7" s="233">
        <f>SUM(S4:S6)</f>
        <v>7298.85</v>
      </c>
      <c r="U7" s="217" t="s">
        <v>57</v>
      </c>
      <c r="V7" s="218">
        <v>1000</v>
      </c>
      <c r="W7" s="218">
        <v>1250</v>
      </c>
      <c r="X7" s="218">
        <v>1500</v>
      </c>
      <c r="Y7" s="218">
        <v>1800</v>
      </c>
      <c r="Z7" s="219">
        <f>IF(Processing!$F$3="Anno",SUM(Dati[Entrate Fisse Securities]),SUMIF(Dati[Mese],Processing!$F$3,Dati[Entrate Fisse Securities]))</f>
        <v>0</v>
      </c>
    </row>
    <row r="8" spans="2:29" ht="15" customHeight="1" x14ac:dyDescent="0.35">
      <c r="B8" s="152" t="s">
        <v>170</v>
      </c>
      <c r="C8" s="30" t="s">
        <v>35</v>
      </c>
      <c r="D8" s="152" t="s">
        <v>174</v>
      </c>
      <c r="E8" s="152" t="s">
        <v>170</v>
      </c>
      <c r="F8" s="152" t="s">
        <v>170</v>
      </c>
      <c r="G8" s="152" t="s">
        <v>170</v>
      </c>
      <c r="H8" s="152" t="s">
        <v>170</v>
      </c>
      <c r="I8" s="30" t="s">
        <v>170</v>
      </c>
      <c r="K8" s="152" t="s">
        <v>170</v>
      </c>
      <c r="L8" s="30" t="s">
        <v>170</v>
      </c>
      <c r="M8" s="152" t="s">
        <v>170</v>
      </c>
      <c r="N8" s="30" t="s">
        <v>170</v>
      </c>
      <c r="U8" s="220" t="s">
        <v>61</v>
      </c>
      <c r="V8" s="221">
        <v>1000</v>
      </c>
      <c r="W8" s="222">
        <v>1250</v>
      </c>
      <c r="X8" s="222">
        <v>1500</v>
      </c>
      <c r="Y8" s="222">
        <v>1800</v>
      </c>
      <c r="Z8" s="223">
        <f>IF(Processing!$F$3="Anno",SUM(Dati[Entrate Fisse Securities]),SUMIF(Dati[Mese],Processing!$F$3,Dati[Entrate Fisse Securities]))</f>
        <v>0</v>
      </c>
    </row>
    <row r="9" spans="2:29" ht="15" customHeight="1" x14ac:dyDescent="0.35">
      <c r="B9" s="152" t="s">
        <v>170</v>
      </c>
      <c r="C9" s="30" t="s">
        <v>258</v>
      </c>
      <c r="D9" s="152" t="s">
        <v>278</v>
      </c>
      <c r="E9" s="152" t="s">
        <v>170</v>
      </c>
      <c r="F9" s="152" t="s">
        <v>170</v>
      </c>
      <c r="G9" s="152" t="s">
        <v>170</v>
      </c>
      <c r="H9" s="152" t="s">
        <v>170</v>
      </c>
      <c r="I9" s="30" t="s">
        <v>170</v>
      </c>
      <c r="K9" s="152" t="s">
        <v>170</v>
      </c>
      <c r="L9" s="30" t="s">
        <v>170</v>
      </c>
      <c r="M9" s="152" t="s">
        <v>170</v>
      </c>
      <c r="N9" s="30" t="s">
        <v>170</v>
      </c>
      <c r="U9" s="217" t="s">
        <v>63</v>
      </c>
      <c r="V9" s="218">
        <v>1000</v>
      </c>
      <c r="W9" s="218">
        <v>1250</v>
      </c>
      <c r="X9" s="218">
        <v>1500</v>
      </c>
      <c r="Y9" s="218">
        <v>1800</v>
      </c>
      <c r="Z9" s="219">
        <f>IF(Processing!$F$3="Anno",SUM(Dati[Entrate Fisse Securities]),SUMIF(Dati[Mese],Processing!$F$3,Dati[Entrate Fisse Securities]))</f>
        <v>0</v>
      </c>
    </row>
    <row r="10" spans="2:29" ht="15" customHeight="1" x14ac:dyDescent="0.35">
      <c r="B10" s="152" t="s">
        <v>170</v>
      </c>
      <c r="C10" s="30" t="s">
        <v>170</v>
      </c>
      <c r="D10" s="152" t="s">
        <v>170</v>
      </c>
      <c r="E10" s="152" t="s">
        <v>170</v>
      </c>
      <c r="F10" s="152" t="s">
        <v>170</v>
      </c>
      <c r="G10" s="152" t="s">
        <v>170</v>
      </c>
      <c r="H10" s="152" t="s">
        <v>170</v>
      </c>
      <c r="I10" s="30" t="s">
        <v>170</v>
      </c>
      <c r="K10" s="152" t="s">
        <v>170</v>
      </c>
      <c r="L10" s="30" t="s">
        <v>170</v>
      </c>
      <c r="M10" s="152" t="s">
        <v>170</v>
      </c>
      <c r="N10" s="30" t="s">
        <v>170</v>
      </c>
      <c r="P10" s="285" t="s">
        <v>13</v>
      </c>
      <c r="Q10" s="287" t="s">
        <v>16</v>
      </c>
      <c r="R10" s="293" t="s">
        <v>74</v>
      </c>
      <c r="S10" s="295" t="s">
        <v>229</v>
      </c>
      <c r="U10" s="220" t="s">
        <v>65</v>
      </c>
      <c r="V10" s="221">
        <v>1000</v>
      </c>
      <c r="W10" s="222">
        <v>1250</v>
      </c>
      <c r="X10" s="222">
        <v>1500</v>
      </c>
      <c r="Y10" s="222">
        <v>1800</v>
      </c>
      <c r="Z10" s="223">
        <f>IF(Processing!$F$3="Anno",SUM(Dati[Entrate Fisse Securities]),SUMIF(Dati[Mese],Processing!$F$3,Dati[Entrate Fisse Securities]))</f>
        <v>0</v>
      </c>
    </row>
    <row r="11" spans="2:29" ht="15" customHeight="1" thickBot="1" x14ac:dyDescent="0.4">
      <c r="B11" s="152" t="s">
        <v>170</v>
      </c>
      <c r="C11" s="30" t="s">
        <v>170</v>
      </c>
      <c r="D11" s="152" t="s">
        <v>170</v>
      </c>
      <c r="E11" s="152" t="s">
        <v>170</v>
      </c>
      <c r="F11" s="152" t="s">
        <v>170</v>
      </c>
      <c r="G11" s="152" t="s">
        <v>170</v>
      </c>
      <c r="H11" s="152" t="s">
        <v>170</v>
      </c>
      <c r="I11" s="30" t="s">
        <v>170</v>
      </c>
      <c r="K11" s="152" t="s">
        <v>170</v>
      </c>
      <c r="L11" s="30" t="s">
        <v>170</v>
      </c>
      <c r="M11" s="152" t="s">
        <v>170</v>
      </c>
      <c r="N11" s="30" t="s">
        <v>170</v>
      </c>
      <c r="P11" s="286"/>
      <c r="Q11" s="288"/>
      <c r="R11" s="294"/>
      <c r="S11" s="296"/>
      <c r="U11" s="217" t="s">
        <v>66</v>
      </c>
      <c r="V11" s="218">
        <v>1200</v>
      </c>
      <c r="W11" s="218">
        <v>1400</v>
      </c>
      <c r="X11" s="218">
        <v>1600</v>
      </c>
      <c r="Y11" s="218">
        <v>2000</v>
      </c>
      <c r="Z11" s="219">
        <f>IF(Processing!$F$3="Anno",SUM(Dati[Entrate Fisse Securities]),SUMIF(Dati[Mese],Processing!$F$3,Dati[Entrate Fisse Securities]))</f>
        <v>0</v>
      </c>
      <c r="AB11" s="129"/>
    </row>
    <row r="12" spans="2:29" ht="15" customHeight="1" thickTop="1" x14ac:dyDescent="0.35">
      <c r="B12" s="152" t="s">
        <v>170</v>
      </c>
      <c r="C12" s="30" t="s">
        <v>170</v>
      </c>
      <c r="D12" s="152" t="s">
        <v>170</v>
      </c>
      <c r="E12" s="152" t="s">
        <v>170</v>
      </c>
      <c r="F12" s="152" t="s">
        <v>170</v>
      </c>
      <c r="G12" s="152" t="s">
        <v>170</v>
      </c>
      <c r="H12" s="152" t="s">
        <v>170</v>
      </c>
      <c r="I12" s="30" t="s">
        <v>170</v>
      </c>
      <c r="K12" s="152" t="s">
        <v>170</v>
      </c>
      <c r="L12" s="30" t="s">
        <v>170</v>
      </c>
      <c r="M12" s="152" t="s">
        <v>170</v>
      </c>
      <c r="N12" s="30" t="s">
        <v>170</v>
      </c>
      <c r="P12" s="260" t="s">
        <v>235</v>
      </c>
      <c r="S12" s="255" t="s">
        <v>232</v>
      </c>
      <c r="U12" s="224" t="s">
        <v>69</v>
      </c>
      <c r="V12" s="222">
        <v>1200</v>
      </c>
      <c r="W12" s="222">
        <v>1400</v>
      </c>
      <c r="X12" s="222">
        <v>1600</v>
      </c>
      <c r="Y12" s="222">
        <v>2000</v>
      </c>
      <c r="Z12" s="223">
        <f>IF(Processing!$F$3="Anno",SUM(Dati[Entrate Fisse Securities]),SUMIF(Dati[Mese],Processing!$F$3,Dati[Entrate Fisse Securities]))</f>
        <v>0</v>
      </c>
      <c r="AB12" s="129"/>
    </row>
    <row r="13" spans="2:29" ht="15" customHeight="1" thickBot="1" x14ac:dyDescent="0.4">
      <c r="B13" s="152" t="s">
        <v>170</v>
      </c>
      <c r="C13" s="30" t="s">
        <v>170</v>
      </c>
      <c r="D13" s="152" t="s">
        <v>170</v>
      </c>
      <c r="E13" s="152" t="s">
        <v>170</v>
      </c>
      <c r="F13" s="152" t="s">
        <v>170</v>
      </c>
      <c r="G13" s="152" t="s">
        <v>170</v>
      </c>
      <c r="H13" s="152" t="s">
        <v>170</v>
      </c>
      <c r="I13" s="30" t="s">
        <v>170</v>
      </c>
      <c r="K13" s="152" t="s">
        <v>170</v>
      </c>
      <c r="L13" s="30" t="s">
        <v>170</v>
      </c>
      <c r="M13" s="152" t="s">
        <v>170</v>
      </c>
      <c r="N13" s="30" t="s">
        <v>170</v>
      </c>
      <c r="P13" s="261"/>
      <c r="S13" s="256"/>
      <c r="U13" s="225" t="s">
        <v>72</v>
      </c>
      <c r="V13" s="226">
        <v>1200</v>
      </c>
      <c r="W13" s="227">
        <v>1400</v>
      </c>
      <c r="X13" s="227">
        <v>1600</v>
      </c>
      <c r="Y13" s="227">
        <v>2000</v>
      </c>
      <c r="Z13" s="228">
        <f>IF(Processing!$F$3="Anno",SUM(Dati[Entrate Fisse Securities]),SUMIF(Dati[Mese],Processing!$F$3,Dati[Entrate Fisse Securities]))</f>
        <v>0</v>
      </c>
      <c r="AB13" s="129"/>
    </row>
    <row r="14" spans="2:29" ht="15" customHeight="1" thickTop="1" x14ac:dyDescent="0.35">
      <c r="B14" s="152" t="s">
        <v>254</v>
      </c>
      <c r="C14" s="30" t="s">
        <v>170</v>
      </c>
      <c r="D14" s="152" t="s">
        <v>170</v>
      </c>
      <c r="E14" s="152" t="s">
        <v>170</v>
      </c>
      <c r="F14" s="152" t="s">
        <v>170</v>
      </c>
      <c r="G14" s="152" t="s">
        <v>170</v>
      </c>
      <c r="H14" s="152" t="s">
        <v>170</v>
      </c>
      <c r="I14" s="30" t="s">
        <v>170</v>
      </c>
      <c r="K14" s="152" t="s">
        <v>170</v>
      </c>
      <c r="L14" s="30" t="s">
        <v>170</v>
      </c>
      <c r="M14" s="152" t="s">
        <v>170</v>
      </c>
      <c r="N14" s="30" t="s">
        <v>170</v>
      </c>
      <c r="U14" s="229" t="s">
        <v>73</v>
      </c>
      <c r="V14" s="230">
        <v>1500</v>
      </c>
      <c r="W14" s="231">
        <v>1700</v>
      </c>
      <c r="X14" s="231">
        <v>1900</v>
      </c>
      <c r="Y14" s="231">
        <v>2500</v>
      </c>
      <c r="Z14" s="232">
        <f>IF(Processing!$F$3="Anno",SUM(Dati[Entrate Fisse Securities]),SUMIF(Dati[Mese],Processing!$F$3,Dati[Entrate Fisse Securities]))</f>
        <v>0</v>
      </c>
      <c r="AB14" s="129"/>
    </row>
    <row r="15" spans="2:29" ht="15" customHeight="1" x14ac:dyDescent="0.35">
      <c r="B15" s="190"/>
      <c r="C15" s="190"/>
      <c r="D15" s="190"/>
      <c r="E15" s="190"/>
      <c r="F15" s="190"/>
      <c r="G15" s="190"/>
      <c r="H15" s="190"/>
      <c r="I15" s="190"/>
      <c r="K15" s="190"/>
      <c r="L15" s="190"/>
      <c r="M15" s="190"/>
      <c r="N15" s="190"/>
      <c r="AB15" s="129"/>
    </row>
    <row r="16" spans="2:29" ht="15" customHeight="1" x14ac:dyDescent="0.35">
      <c r="I16" s="59"/>
    </row>
    <row r="17" spans="1:41" ht="15" customHeight="1" x14ac:dyDescent="0.35">
      <c r="G17" s="59"/>
      <c r="J17" s="59"/>
    </row>
    <row r="18" spans="1:41" ht="15" customHeight="1" x14ac:dyDescent="0.35">
      <c r="F18" s="129"/>
      <c r="H18" s="59"/>
      <c r="K18">
        <f>SUM(Dati[Uscite])</f>
        <v>0</v>
      </c>
      <c r="L18">
        <f>SUM(Dati[Uscite Fisse])</f>
        <v>0</v>
      </c>
      <c r="M18">
        <f>SUM(Dati[Altre Uscite])</f>
        <v>0</v>
      </c>
      <c r="N18">
        <f>SUM(Dati[Entrate])</f>
        <v>0</v>
      </c>
      <c r="O18">
        <f>SUM(Dati[Entrate Fisse])</f>
        <v>0</v>
      </c>
      <c r="P18">
        <f>SUM(Dati[Altre Entrate])</f>
        <v>0</v>
      </c>
      <c r="Q18">
        <f>SUM(Dati[Prelievo])</f>
        <v>0</v>
      </c>
      <c r="S18">
        <f>SUM(Dati[Savings])</f>
        <v>0</v>
      </c>
    </row>
    <row r="19" spans="1:41" ht="15" customHeight="1" x14ac:dyDescent="0.35">
      <c r="K19" s="276" t="s">
        <v>13</v>
      </c>
      <c r="L19" s="277"/>
      <c r="M19" s="278"/>
      <c r="N19" s="279" t="s">
        <v>16</v>
      </c>
      <c r="O19" s="280"/>
      <c r="P19" s="281"/>
      <c r="Q19" s="282" t="s">
        <v>253</v>
      </c>
      <c r="R19" s="283"/>
      <c r="S19" s="284"/>
      <c r="T19" s="262" t="s">
        <v>236</v>
      </c>
      <c r="U19" s="263"/>
      <c r="V19" s="263"/>
      <c r="W19" s="263"/>
      <c r="X19" s="263"/>
      <c r="Y19" s="263"/>
      <c r="Z19" s="263"/>
      <c r="AA19" s="263"/>
      <c r="AB19" s="263"/>
      <c r="AC19" s="264"/>
      <c r="AD19" s="246" t="s">
        <v>229</v>
      </c>
      <c r="AE19" s="247"/>
      <c r="AF19" s="247"/>
      <c r="AG19" s="247"/>
      <c r="AH19" s="247"/>
      <c r="AI19" s="248"/>
      <c r="AJ19" s="249" t="s">
        <v>232</v>
      </c>
      <c r="AK19" s="250"/>
      <c r="AL19" s="250"/>
      <c r="AM19" s="251"/>
    </row>
    <row r="20" spans="1:41" s="29" customFormat="1" x14ac:dyDescent="0.35">
      <c r="A20"/>
      <c r="B20" s="140" t="s">
        <v>175</v>
      </c>
      <c r="C20" s="140" t="s">
        <v>7</v>
      </c>
      <c r="D20" s="140" t="s">
        <v>8</v>
      </c>
      <c r="E20" s="140" t="s">
        <v>9</v>
      </c>
      <c r="F20" s="140" t="s">
        <v>10</v>
      </c>
      <c r="G20" s="140" t="s">
        <v>11</v>
      </c>
      <c r="H20" s="140" t="s">
        <v>12</v>
      </c>
      <c r="I20" s="140" t="s">
        <v>167</v>
      </c>
      <c r="J20" s="140" t="s">
        <v>20</v>
      </c>
      <c r="K20" s="141" t="s">
        <v>13</v>
      </c>
      <c r="L20" s="141" t="s">
        <v>14</v>
      </c>
      <c r="M20" s="141" t="s">
        <v>15</v>
      </c>
      <c r="N20" s="142" t="s">
        <v>16</v>
      </c>
      <c r="O20" s="142" t="s">
        <v>17</v>
      </c>
      <c r="P20" s="142" t="s">
        <v>18</v>
      </c>
      <c r="Q20" s="140" t="s">
        <v>19</v>
      </c>
      <c r="R20" s="236" t="s">
        <v>21</v>
      </c>
      <c r="S20" s="140" t="s">
        <v>154</v>
      </c>
      <c r="T20" s="143" t="s">
        <v>204</v>
      </c>
      <c r="U20" s="143" t="s">
        <v>205</v>
      </c>
      <c r="V20" s="143" t="s">
        <v>206</v>
      </c>
      <c r="W20" s="143" t="s">
        <v>222</v>
      </c>
      <c r="X20" s="143" t="s">
        <v>207</v>
      </c>
      <c r="Y20" s="144" t="s">
        <v>208</v>
      </c>
      <c r="Z20" s="144" t="s">
        <v>209</v>
      </c>
      <c r="AA20" s="144" t="s">
        <v>210</v>
      </c>
      <c r="AB20" s="144" t="s">
        <v>211</v>
      </c>
      <c r="AC20" s="144" t="s">
        <v>212</v>
      </c>
      <c r="AD20" s="145" t="s">
        <v>224</v>
      </c>
      <c r="AE20" s="145" t="s">
        <v>225</v>
      </c>
      <c r="AF20" s="145" t="s">
        <v>226</v>
      </c>
      <c r="AG20" s="145" t="s">
        <v>227</v>
      </c>
      <c r="AH20" s="145" t="s">
        <v>228</v>
      </c>
      <c r="AI20" s="145" t="s">
        <v>230</v>
      </c>
      <c r="AJ20" s="146" t="s">
        <v>233</v>
      </c>
      <c r="AK20" s="146" t="s">
        <v>234</v>
      </c>
      <c r="AL20" s="146" t="s">
        <v>100</v>
      </c>
      <c r="AM20" s="146" t="s">
        <v>114</v>
      </c>
      <c r="AN20"/>
      <c r="AO20"/>
    </row>
    <row r="21" spans="1:41" ht="16" customHeight="1" x14ac:dyDescent="0.35">
      <c r="B21">
        <f t="shared" ref="B21:B84" si="0">ROW(1:1)</f>
        <v>1</v>
      </c>
      <c r="C21" s="49">
        <f>Processing!H2</f>
        <v>44927</v>
      </c>
      <c r="D21" s="29">
        <f>DAY(Dati[[#This Row],[Data]])</f>
        <v>1</v>
      </c>
      <c r="E21" s="29" t="str">
        <f>IF(DAY(Data!$C$21:$C$1327)&gt;0,TEXT(Data!$C$21:$C$1327, "mmmm"),"")</f>
        <v>gennaio</v>
      </c>
      <c r="F21" s="29" t="str">
        <f>IF(DAY(Data!$C$21:$C$1327)&gt;0,TEXT(Data!$C$21:$C$1327, "aaaa"),"")</f>
        <v>2023</v>
      </c>
      <c r="I21" t="str">
        <f>IF(OR(H21=$B$5,H21=$B$6,H21=$B$7,H21=$B$8,H21=$B$9,H21=$B$10,H21=$B$11,H21=$B$12,H21=$B$13,H21=$B$14),SottocategorieUscite[[#Headers],[Fuori Casa]],IF(OR(H21=$C$5,H21=$C$6,H21=$C$7,H21=$C$8,H21=$C$9,H21=$C$10,H21=$C$11,H21=$C$12,H21=$C$13,H21=$C$14),SottocategorieUscite[[#Headers],[Varie Uscite]],IF(OR(H21=$D$5,H21=$D$6,H21=$D$7,H21=$D$8,H21=$D$9,H21=$D$10,H21=$D$11,H21=$D$12,H21=$D$13,H21=$D$14),SottocategorieUscite[[#Headers],[Personali]],IF(OR(H21=$E$5,H21=$E$6,H21=$E$7,H21=$E$8,H21=$E$9,H21=$E$10,H21=$E$11,H21=$E$12,H21=$E$13,H21=$E$14),SottocategorieUscite[[#Headers],[Lavoro]],IF(OR(H21=$F$5,H21=$F$6,H21=$F$7,H21=$F$8,H21=$F$9,H21=$F$10,H21=$F$11,H21=$F$12,H21=$F$13,H21=$F$14),SottocategorieUscite[[#Headers],[Casa]],IF(OR(H21=$G$5,H21=$G$6,H21=$G$7,H21=$G$8,H21=$G$9,H21=$G$10,H21=$G$11,H21=$G$12,H21=$G$13,H21=$G$14),SottocategorieUscite[[#Headers],[Utenze]],IF(OR(H21=$H$5,H21=$H$6,H21=$H$7,H21=$H$8,H21=$H$9,H21=$H$10,H21=$H$11,H21=$H$12,H21=$H$13,H21=$H$14),SottocategorieUscite[[#Headers],[Business Uscite]],IF(OR(H21=$I$5,H21=$I$6,H21=$I$7,H21=$I$8,H21=$I$9,H21=$I$10,H21=$I$11,H21=$I$12,H21=$I$13,H21=$I$14),SottocategorieUscite[[#Headers],[Banca]],IF(OR(H21=K$5,H21=K$6,H21=K$7,H21=K$8,H21=K$9,H21=K$10,H21=K$11,H21=K$12,H21=K$13,H21=K$14),SottocategorieEntrate[[#Headers],[Business Entrate]],IF(OR(H21=L$5,H21=L$6,H21=L$7,H21=L$8,H21=L$9,H21=L$10,H21=L$11,H21=L$12,H21=L$13,H21=L$14),SottocategorieEntrate[[#Headers],[Varie Entrate]],IF(OR(H21=M$5,H21=M$6,H21=M$7,H21=M$8,H21=M$9,H21=M$10,H21=M$11,H21=M$12,H21=M$13,H21=M$14),SottocategorieEntrate[[#Headers],[Real Estate]],IF(OR(H21=N$5,H21=N$6,H21=N$7,H21=N$8,H21=N$9,H21=N$10,H21=N$11,H21=N$12,H21=N$13,H21=N$14),SottocategorieEntrate[[#Headers],[Other]],""))))))))))))</f>
        <v/>
      </c>
      <c r="J21" t="str">
        <f>IF(OR(Dati[[#This Row],[Categoria]]="Bollette",Dati[[#This Row],[Categoria]]="Conto &amp; Carte BNL",Dati[[#This Row],[Categoria]]="Prelievo",Dati[[#This Row],[Categoria]]="Affitto",Dati[[#This Row],[Categoria]]="BNL(Interessi Creditori)"),"Carta",IF(Dati[[#This Row],[Categoria]]&lt;&gt;0,"Cash",""))</f>
        <v/>
      </c>
      <c r="K21" s="59" t="str">
        <f>IF(OR(Data!$I21=SottocategorieUscite[[#Headers],[Fuori Casa]],Data!$I21=SottocategorieUscite[[#Headers],[Varie Uscite]],Data!$I21=SottocategorieUscite[[#Headers],[Personali]],Data!$I21=SottocategorieUscite[[#Headers],[Lavoro]]),0,"")</f>
        <v/>
      </c>
      <c r="L21" s="59" t="str">
        <f>IF(OR(Data!$I21=SottocategorieUscite[[#Headers],[Casa]],Data!$I21=SottocategorieUscite[[#Headers],[Utenze]],Data!$I21=SottocategorieUscite[[#Headers],[Business Uscite]],Data!$I21=SottocategorieUscite[[#Headers],[Banca]]),0,"")</f>
        <v/>
      </c>
      <c r="M21" s="59" t="str">
        <f>IF(OR($I21&lt;&gt;SottocategorieUscite[[#Headers],[Fuori Casa]],$I21&lt;&gt;SottocategorieUscite[[#Headers],[Varie Uscite]],$I21&lt;&gt;SottocategorieUscite[[#Headers],[Personali]],$I21&lt;&gt;SottocategorieUscite[[#Headers],[Lavoro]],$I21&lt;&gt;SottocategorieUscite[[#Headers],[Casa]],$I21&lt;&gt;SottocategorieUscite[[#Headers],[Utenze]],$I21&lt;&gt;SottocategorieUscite[[#Headers],[Business Uscite]],$I21&lt;&gt;SottocategorieUscite[[#Headers],[Banca]]),"",0)</f>
        <v/>
      </c>
      <c r="N21" s="59" t="str">
        <f>IF(OR(Data!$I21=SottocategorieEntrate[[#Headers],[Business Entrate]],Data!$I21=SottocategorieEntrate[[#Headers],[Varie Entrate]]),0,"")</f>
        <v/>
      </c>
      <c r="O21" s="59" t="str">
        <f>IF(OR(Data!$I21=SottocategorieEntrate[[#Headers],[Real Estate]],SottocategorieEntrate[[#Headers],[Other]]),0,"")</f>
        <v/>
      </c>
      <c r="P21" s="59" t="str">
        <f>IF(OR($I21&lt;&gt;SottocategorieEntrate[[#Headers],[Business Entrate]],$I21&lt;&gt;SottocategorieEntrate[[#Headers],[Varie Entrate]],$I21&lt;&gt;SottocategorieEntrate[[#Headers],[Real Estate]],$I21&lt;&gt;SottocategorieEntrate[[#Headers],[Other]]),"",0)</f>
        <v/>
      </c>
      <c r="Q21" s="59" t="str">
        <f>IF(Dati[[#This Row],[Categoria]]="Prelievo",0,"")</f>
        <v/>
      </c>
      <c r="R21" s="243">
        <f>SUM(R7+SUM(Dati[[#This Row],[Entrate]:[Altre Entrate]])-SUM(Dati[[#This Row],[Uscite]:[Altre Uscite]]))</f>
        <v>7298.85</v>
      </c>
      <c r="S21" s="59" t="str">
        <f>IF(Dati[[#This Row],[Categoria]]="Savings",0,"")</f>
        <v/>
      </c>
      <c r="T21" s="59"/>
      <c r="U21" s="59"/>
      <c r="V21" s="59"/>
      <c r="W21" s="59"/>
      <c r="X21" s="59"/>
      <c r="Y21" s="59"/>
      <c r="Z21" s="59"/>
      <c r="AA21" s="59"/>
      <c r="AB21" s="59"/>
      <c r="AC21" s="59"/>
      <c r="AD21" s="59"/>
      <c r="AE21" s="59"/>
      <c r="AF21" s="59"/>
      <c r="AG21" s="59"/>
      <c r="AH21" s="59"/>
      <c r="AI21" s="59" t="str">
        <f>IF(SUM(Dati[[#This Row],[Inv. Business]:[Inv. Cryptocurrency]])=0," ",SUM(Dati[[#This Row],[Inv. Business]:[Inv. Cryptocurrency]]))</f>
        <v xml:space="preserve"> </v>
      </c>
      <c r="AJ21" s="59"/>
      <c r="AK21" s="59" t="str">
        <f>IF(SUM(Dati[[#This Row],[Inv. Gold]:[Mutuo]])=0," ",SUM(Dati[[#This Row],[Inv. Gold]:[Mutuo]]))</f>
        <v xml:space="preserve"> </v>
      </c>
      <c r="AL21" s="59"/>
      <c r="AM21" s="59"/>
    </row>
    <row r="22" spans="1:41" ht="16" customHeight="1" x14ac:dyDescent="0.35">
      <c r="B22">
        <f t="shared" si="0"/>
        <v>2</v>
      </c>
      <c r="C22" s="49">
        <f>C21+1</f>
        <v>44928</v>
      </c>
      <c r="D22" s="29">
        <f>DAY(Dati[[#This Row],[Data]])</f>
        <v>2</v>
      </c>
      <c r="E22" s="29" t="str">
        <f>IF(DAY(Data!$C$21:$C$1327)&gt;0,TEXT(Data!$C$21:$C$1327, "mmmm"),"")</f>
        <v>gennaio</v>
      </c>
      <c r="F22" s="29" t="str">
        <f>IF(DAY(Data!$C$21:$C$1327)&gt;0,TEXT(Data!$C$21:$C$1327, "aaaa"),"")</f>
        <v>2023</v>
      </c>
      <c r="I22" t="str">
        <f>IF(OR(H22=$B$5,H22=$B$6,H22=$B$7,H22=$B$8,H22=$B$9,H22=$B$10,H22=$B$11,H22=$B$12,H22=$B$13,H22=$B$14),SottocategorieUscite[[#Headers],[Fuori Casa]],IF(OR(H22=$C$5,H22=$C$6,H22=$C$7,H22=$C$8,H22=$C$9,H22=$C$10,H22=$C$11,H22=$C$12,H22=$C$13,H22=$C$14),SottocategorieUscite[[#Headers],[Varie Uscite]],IF(OR(H22=$D$5,H22=$D$6,H22=$D$7,H22=$D$8,H22=$D$9,H22=$D$10,H22=$D$11,H22=$D$12,H22=$D$13,H22=$D$14),SottocategorieUscite[[#Headers],[Personali]],IF(OR(H22=$E$5,H22=$E$6,H22=$E$7,H22=$E$8,H22=$E$9,H22=$E$10,H22=$E$11,H22=$E$12,H22=$E$13,H22=$E$14),SottocategorieUscite[[#Headers],[Lavoro]],IF(OR(H22=$F$5,H22=$F$6,H22=$F$7,H22=$F$8,H22=$F$9,H22=$F$10,H22=$F$11,H22=$F$12,H22=$F$13,H22=$F$14),SottocategorieUscite[[#Headers],[Casa]],IF(OR(H22=$G$5,H22=$G$6,H22=$G$7,H22=$G$8,H22=$G$9,H22=$G$10,H22=$G$11,H22=$G$12,H22=$G$13,H22=$G$14),SottocategorieUscite[[#Headers],[Utenze]],IF(OR(H22=$H$5,H22=$H$6,H22=$H$7,H22=$H$8,H22=$H$9,H22=$H$10,H22=$H$11,H22=$H$12,H22=$H$13,H22=$H$14),SottocategorieUscite[[#Headers],[Business Uscite]],IF(OR(H22=$I$5,H22=$I$6,H22=$I$7,H22=$I$8,H22=$I$9,H22=$I$10,H22=$I$11,H22=$I$12,H22=$I$13,H22=$I$14),SottocategorieUscite[[#Headers],[Banca]],IF(OR(H22=K$5,H22=K$6,H22=K$7,H22=K$8,H22=K$9,H22=K$10,H22=K$11,H22=K$12,H22=K$13,H22=K$14),SottocategorieEntrate[[#Headers],[Business Entrate]],IF(OR(H22=L$5,H22=L$6,H22=L$7,H22=L$8,H22=L$9,H22=L$10,H22=L$11,H22=L$12,H22=L$13,H22=L$14),SottocategorieEntrate[[#Headers],[Varie Entrate]],IF(OR(H22=M$5,H22=M$6,H22=M$7,H22=M$8,H22=M$9,H22=M$10,H22=M$11,H22=M$12,H22=M$13,H22=M$14),SottocategorieEntrate[[#Headers],[Real Estate]],IF(OR(H22=N$5,H22=N$6,H22=N$7,H22=N$8,H22=N$9,H22=N$10,H22=N$11,H22=N$12,H22=N$13,H22=N$14),SottocategorieEntrate[[#Headers],[Other]],""))))))))))))</f>
        <v/>
      </c>
      <c r="J22" t="str">
        <f>IF(OR(Dati[[#This Row],[Categoria]]="Bollette",Dati[[#This Row],[Categoria]]="Conto &amp; Carte BNL",Dati[[#This Row],[Categoria]]="Prelievo",Dati[[#This Row],[Categoria]]="Affitto",Dati[[#This Row],[Categoria]]="BNL(Interessi Creditori)"),"Carta",IF(Dati[[#This Row],[Categoria]]&lt;&gt;0,"Cash",""))</f>
        <v/>
      </c>
      <c r="K22" s="59" t="str">
        <f>IF(OR(Data!$I22=SottocategorieUscite[[#Headers],[Fuori Casa]],Data!$I22=SottocategorieUscite[[#Headers],[Varie Uscite]],Data!$I22=SottocategorieUscite[[#Headers],[Personali]],Data!$I22=SottocategorieUscite[[#Headers],[Lavoro]]),"$ -","")</f>
        <v/>
      </c>
      <c r="L22" s="59" t="str">
        <f>IF(OR(Data!$I22=SottocategorieUscite[[#Headers],[Casa]],Data!$I22=SottocategorieUscite[[#Headers],[Utenze]],Data!$I22=SottocategorieUscite[[#Headers],[Business Uscite]],Data!$I22=SottocategorieUscite[[#Headers],[Banca]]),"$ -","")</f>
        <v/>
      </c>
      <c r="M22" s="59" t="str">
        <f>IF(OR($I22&lt;&gt;SottocategorieUscite[[#Headers],[Fuori Casa]],$I22&lt;&gt;SottocategorieUscite[[#Headers],[Varie Uscite]],$I22&lt;&gt;SottocategorieUscite[[#Headers],[Personali]],$I22&lt;&gt;SottocategorieUscite[[#Headers],[Lavoro]],$I22&lt;&gt;SottocategorieUscite[[#Headers],[Casa]],$I22&lt;&gt;SottocategorieUscite[[#Headers],[Utenze]],$I22&lt;&gt;SottocategorieUscite[[#Headers],[Business Uscite]],$I22&lt;&gt;SottocategorieUscite[[#Headers],[Banca]]),"","$ -")</f>
        <v/>
      </c>
      <c r="N22" s="59" t="str">
        <f>IF(OR(Data!$I22=SottocategorieEntrate[[#Headers],[Business Entrate]],Data!$I22=SottocategorieEntrate[[#Headers],[Varie Entrate]]),"$ -","")</f>
        <v/>
      </c>
      <c r="O22" s="59" t="str">
        <f>IF(OR(Data!$I22=SottocategorieEntrate[[#Headers],[Real Estate]],SottocategorieEntrate[[#Headers],[Other]]),"$ -","")</f>
        <v/>
      </c>
      <c r="P22" s="59" t="str">
        <f>IF(OR($I22&lt;&gt;SottocategorieEntrate[[#Headers],[Business Entrate]],$I22&lt;&gt;SottocategorieEntrate[[#Headers],[Varie Entrate]],$I22&lt;&gt;SottocategorieEntrate[[#Headers],[Real Estate]],$I22&lt;&gt;SottocategorieEntrate[[#Headers],[Other]]),"","$ -")</f>
        <v/>
      </c>
      <c r="Q22" s="59" t="str">
        <f>IF(Dati[[#This Row],[Categoria]]="Prelievo","€ -","")</f>
        <v/>
      </c>
      <c r="R22" s="244" t="str">
        <f ca="1">IF(I22="","",IF(AND(I22&lt;&gt;"",COUNTBLANK(OFFSET(R22,-15,0,15,1))=15),SUM(OFFSET(R22,-16,0)+SUM(N22:P22)-SUM(K22:M22)),IF(AND(I22&lt;&gt;"",COUNTBLANK(OFFSET(R22,-14,0,14,1))=14),SUM(OFFSET(R22,-15,0)+SUM(N22:P22)-SUM(K22:M22)),IF(AND(I22&lt;&gt;"",COUNTBLANK(OFFSET(R22,-13,0,13,1))=13),SUM(OFFSET(R22,-14,0)+SUM(N22:P22)-SUM(K22:M22)),IF(AND(I22&lt;&gt;"",COUNTBLANK(OFFSET(R22,-12,0,12,1))=12),SUM(OFFSET(R22,-13,0)+SUM(N22:P22)-SUM(K22:M22)),IF(AND(I22&lt;&gt;"",COUNTBLANK(OFFSET(R22,-11,0,11,1))=11),SUM(OFFSET(R22,-12,0)+SUM(N22:P22)-SUM(K22:M22)),IF(AND(I22&lt;&gt;"",COUNTBLANK(OFFSET(R22,-10,0,10,1))=10),SUM(OFFSET(R22,-11,0)+SUM(N22:P22)-SUM(K22:M22)),IF(AND(I22&lt;&gt;"",COUNTBLANK(OFFSET(R22,-9,0,9,1))=9),SUM(OFFSET(R22,-10,0)+SUM(N22:P22)-SUM(K22:M22)),IF(AND(I22&lt;&gt;"",COUNTBLANK(OFFSET(R22,-8,0,8,1))=8),SUM(OFFSET(R22,-9,0)+SUM(N22:P22)-SUM(K22:M22)),IF(AND(I22&lt;&gt;"",COUNTBLANK(OFFSET(R22,-7,0,7,1))=7),SUM(OFFSET(R22,-8,0)+SUM(N22:P22)-SUM(K22:M22)),IF(AND(I22&lt;&gt;"",COUNTBLANK(OFFSET(R22,-6,0,6,1))=6),SUM(OFFSET(R22,-7,0)+SUM(N22:P22)-SUM(K22:M22)),IF(AND(I22&lt;&gt;"",COUNTBLANK(OFFSET(R22,-5,0,5,1))=5),SUM(OFFSET(R22,-6,0)+SUM(N22:P22)-SUM(K22:M22)),IF(AND(I22&lt;&gt;"",COUNTBLANK(OFFSET(R22,-4,0,4,1))=4),SUM(OFFSET(R22,-5,0)+SUM(N22:P22)-SUM(K22:M22)),IF(AND(I22&lt;&gt;"",COUNTBLANK(OFFSET(R22,-3,0,3,1))=3),SUM(OFFSET(R22,-4,0)+SUM(N22:P22)-SUM(K22:M22)),IF(AND(I22&lt;&gt;"",COUNTBLANK(OFFSET(R22,-2,0,2,1))=2),SUM(OFFSET(R22,-3,0)+SUM(N22:P22)-SUM(K22:M22)),IF(AND(I22&lt;&gt;"",COUNTBLANK(OFFSET(R22,-1,0,1,1))=1),SUM(OFFSET(R22,-2,0)+SUM(N22:P22)-SUM(K22:M22)),IF(AND(I22&lt;&gt;"",OFFSET(R22,-1,0)&gt;0),SUM(OFFSET(R22,-1,0)+SUM(N22:P22)-SUM(K22:M22)))))))))))))))))))</f>
        <v/>
      </c>
      <c r="S22" s="59" t="str">
        <f>IF(Dati[[#This Row],[Categoria]]="Savings",0,"")</f>
        <v/>
      </c>
      <c r="T22" s="59"/>
      <c r="U22" s="59"/>
      <c r="V22" s="59"/>
      <c r="W22" s="59"/>
      <c r="X22" s="59"/>
      <c r="Y22" s="59"/>
      <c r="Z22" s="59"/>
      <c r="AA22" s="59"/>
      <c r="AB22" s="59"/>
      <c r="AC22" s="59"/>
      <c r="AD22" s="59"/>
      <c r="AE22" s="59"/>
      <c r="AF22" s="59"/>
      <c r="AG22" s="59"/>
      <c r="AH22" s="59"/>
      <c r="AI22" s="59" t="str">
        <f>IF(SUM(Dati[[#This Row],[Inv. Business]:[Inv. Cryptocurrency]])=0," ",SUM(Dati[[#This Row],[Inv. Business]:[Inv. Cryptocurrency]]))</f>
        <v xml:space="preserve"> </v>
      </c>
      <c r="AJ22" s="59"/>
      <c r="AK22" s="59" t="str">
        <f>IF(SUM(Dati[[#This Row],[Inv. Gold]:[Mutuo]])=0," ",SUM(Dati[[#This Row],[Inv. Gold]:[Mutuo]]))</f>
        <v xml:space="preserve"> </v>
      </c>
      <c r="AL22" s="59"/>
      <c r="AM22" s="59"/>
    </row>
    <row r="23" spans="1:41" ht="16" customHeight="1" x14ac:dyDescent="0.35">
      <c r="B23">
        <f t="shared" si="0"/>
        <v>3</v>
      </c>
      <c r="C23" s="49">
        <f t="shared" ref="C23:C86" si="1">C22+1</f>
        <v>44929</v>
      </c>
      <c r="D23" s="29">
        <f>DAY(Dati[[#This Row],[Data]])</f>
        <v>3</v>
      </c>
      <c r="E23" s="29" t="str">
        <f>IF(DAY(Data!$C$21:$C$1327)&gt;0,TEXT(Data!$C$21:$C$1327, "mmmm"),"")</f>
        <v>gennaio</v>
      </c>
      <c r="F23" s="29" t="str">
        <f>IF(DAY(Data!$C$21:$C$1327)&gt;0,TEXT(Data!$C$21:$C$1327, "aaaa"),"")</f>
        <v>2023</v>
      </c>
      <c r="I23" t="str">
        <f>IF(OR(H23=$B$5,H23=$B$6,H23=$B$7,H23=$B$8,H23=$B$9,H23=$B$10,H23=$B$11,H23=$B$12,H23=$B$13,H23=$B$14),SottocategorieUscite[[#Headers],[Fuori Casa]],IF(OR(H23=$C$5,H23=$C$6,H23=$C$7,H23=$C$8,H23=$C$9,H23=$C$10,H23=$C$11,H23=$C$12,H23=$C$13,H23=$C$14),SottocategorieUscite[[#Headers],[Varie Uscite]],IF(OR(H23=$D$5,H23=$D$6,H23=$D$7,H23=$D$8,H23=$D$9,H23=$D$10,H23=$D$11,H23=$D$12,H23=$D$13,H23=$D$14),SottocategorieUscite[[#Headers],[Personali]],IF(OR(H23=$E$5,H23=$E$6,H23=$E$7,H23=$E$8,H23=$E$9,H23=$E$10,H23=$E$11,H23=$E$12,H23=$E$13,H23=$E$14),SottocategorieUscite[[#Headers],[Lavoro]],IF(OR(H23=$F$5,H23=$F$6,H23=$F$7,H23=$F$8,H23=$F$9,H23=$F$10,H23=$F$11,H23=$F$12,H23=$F$13,H23=$F$14),SottocategorieUscite[[#Headers],[Casa]],IF(OR(H23=$G$5,H23=$G$6,H23=$G$7,H23=$G$8,H23=$G$9,H23=$G$10,H23=$G$11,H23=$G$12,H23=$G$13,H23=$G$14),SottocategorieUscite[[#Headers],[Utenze]],IF(OR(H23=$H$5,H23=$H$6,H23=$H$7,H23=$H$8,H23=$H$9,H23=$H$10,H23=$H$11,H23=$H$12,H23=$H$13,H23=$H$14),SottocategorieUscite[[#Headers],[Business Uscite]],IF(OR(H23=$I$5,H23=$I$6,H23=$I$7,H23=$I$8,H23=$I$9,H23=$I$10,H23=$I$11,H23=$I$12,H23=$I$13,H23=$I$14),SottocategorieUscite[[#Headers],[Banca]],IF(OR(H23=K$5,H23=K$6,H23=K$7,H23=K$8,H23=K$9,H23=K$10,H23=K$11,H23=K$12,H23=K$13,H23=K$14),SottocategorieEntrate[[#Headers],[Business Entrate]],IF(OR(H23=L$5,H23=L$6,H23=L$7,H23=L$8,H23=L$9,H23=L$10,H23=L$11,H23=L$12,H23=L$13,H23=L$14),SottocategorieEntrate[[#Headers],[Varie Entrate]],IF(OR(H23=M$5,H23=M$6,H23=M$7,H23=M$8,H23=M$9,H23=M$10,H23=M$11,H23=M$12,H23=M$13,H23=M$14),SottocategorieEntrate[[#Headers],[Real Estate]],IF(OR(H23=N$5,H23=N$6,H23=N$7,H23=N$8,H23=N$9,H23=N$10,H23=N$11,H23=N$12,H23=N$13,H23=N$14),SottocategorieEntrate[[#Headers],[Other]],""))))))))))))</f>
        <v/>
      </c>
      <c r="J23" t="str">
        <f>IF(OR(Dati[[#This Row],[Categoria]]="Bollette",Dati[[#This Row],[Categoria]]="Conto &amp; Carte BNL",Dati[[#This Row],[Categoria]]="Prelievo",Dati[[#This Row],[Categoria]]="Affitto",Dati[[#This Row],[Categoria]]="BNL(Interessi Creditori)"),"Carta",IF(Dati[[#This Row],[Categoria]]&lt;&gt;0,"Cash",""))</f>
        <v/>
      </c>
      <c r="K23" s="59" t="str">
        <f>IF(OR(Data!$I23=SottocategorieUscite[[#Headers],[Fuori Casa]],Data!$I23=SottocategorieUscite[[#Headers],[Varie Uscite]],Data!$I23=SottocategorieUscite[[#Headers],[Personali]],Data!$I23=SottocategorieUscite[[#Headers],[Lavoro]]),"$ -","")</f>
        <v/>
      </c>
      <c r="L23" s="59" t="str">
        <f>IF(OR(Data!$I23=SottocategorieUscite[[#Headers],[Casa]],Data!$I23=SottocategorieUscite[[#Headers],[Utenze]],Data!$I23=SottocategorieUscite[[#Headers],[Business Uscite]],Data!$I23=SottocategorieUscite[[#Headers],[Banca]]),"$ -","")</f>
        <v/>
      </c>
      <c r="M23" s="59" t="str">
        <f>IF(OR($I23&lt;&gt;SottocategorieUscite[[#Headers],[Fuori Casa]],$I23&lt;&gt;SottocategorieUscite[[#Headers],[Varie Uscite]],$I23&lt;&gt;SottocategorieUscite[[#Headers],[Personali]],$I23&lt;&gt;SottocategorieUscite[[#Headers],[Lavoro]],$I23&lt;&gt;SottocategorieUscite[[#Headers],[Casa]],$I23&lt;&gt;SottocategorieUscite[[#Headers],[Utenze]],$I23&lt;&gt;SottocategorieUscite[[#Headers],[Business Uscite]],$I23&lt;&gt;SottocategorieUscite[[#Headers],[Banca]]),"","$ -")</f>
        <v/>
      </c>
      <c r="N23" s="59" t="str">
        <f>IF(OR(Data!$I23=SottocategorieEntrate[[#Headers],[Business Entrate]],Data!$I23=SottocategorieEntrate[[#Headers],[Varie Entrate]]),"$ -","")</f>
        <v/>
      </c>
      <c r="O23" s="59" t="str">
        <f>IF(OR(Data!$I23=SottocategorieEntrate[[#Headers],[Real Estate]],SottocategorieEntrate[[#Headers],[Other]]),"$ -","")</f>
        <v/>
      </c>
      <c r="P23" s="59" t="str">
        <f>IF(OR($I23&lt;&gt;SottocategorieEntrate[[#Headers],[Business Entrate]],$I23&lt;&gt;SottocategorieEntrate[[#Headers],[Varie Entrate]],$I23&lt;&gt;SottocategorieEntrate[[#Headers],[Real Estate]],$I23&lt;&gt;SottocategorieEntrate[[#Headers],[Other]]),"","$ -")</f>
        <v/>
      </c>
      <c r="Q23" s="59" t="str">
        <f>IF(Dati[[#This Row],[Categoria]]="Prelievo","€ -","")</f>
        <v/>
      </c>
      <c r="R23" s="244" t="str">
        <f t="shared" ref="R23:R86" ca="1" si="2">IF(I23="","",IF(AND(I23&lt;&gt;"",COUNTBLANK(OFFSET(R23,-15,0,15,1))=15),SUM(OFFSET(R23,-16,0)+SUM(N23:P23)-SUM(K23:M23)),IF(AND(I23&lt;&gt;"",COUNTBLANK(OFFSET(R23,-14,0,14,1))=14),SUM(OFFSET(R23,-15,0)+SUM(N23:P23)-SUM(K23:M23)),IF(AND(I23&lt;&gt;"",COUNTBLANK(OFFSET(R23,-13,0,13,1))=13),SUM(OFFSET(R23,-14,0)+SUM(N23:P23)-SUM(K23:M23)),IF(AND(I23&lt;&gt;"",COUNTBLANK(OFFSET(R23,-12,0,12,1))=12),SUM(OFFSET(R23,-13,0)+SUM(N23:P23)-SUM(K23:M23)),IF(AND(I23&lt;&gt;"",COUNTBLANK(OFFSET(R23,-11,0,11,1))=11),SUM(OFFSET(R23,-12,0)+SUM(N23:P23)-SUM(K23:M23)),IF(AND(I23&lt;&gt;"",COUNTBLANK(OFFSET(R23,-10,0,10,1))=10),SUM(OFFSET(R23,-11,0)+SUM(N23:P23)-SUM(K23:M23)),IF(AND(I23&lt;&gt;"",COUNTBLANK(OFFSET(R23,-9,0,9,1))=9),SUM(OFFSET(R23,-10,0)+SUM(N23:P23)-SUM(K23:M23)),IF(AND(I23&lt;&gt;"",COUNTBLANK(OFFSET(R23,-8,0,8,1))=8),SUM(OFFSET(R23,-9,0)+SUM(N23:P23)-SUM(K23:M23)),IF(AND(I23&lt;&gt;"",COUNTBLANK(OFFSET(R23,-7,0,7,1))=7),SUM(OFFSET(R23,-8,0)+SUM(N23:P23)-SUM(K23:M23)),IF(AND(I23&lt;&gt;"",COUNTBLANK(OFFSET(R23,-6,0,6,1))=6),SUM(OFFSET(R23,-7,0)+SUM(N23:P23)-SUM(K23:M23)),IF(AND(I23&lt;&gt;"",COUNTBLANK(OFFSET(R23,-5,0,5,1))=5),SUM(OFFSET(R23,-6,0)+SUM(N23:P23)-SUM(K23:M23)),IF(AND(I23&lt;&gt;"",COUNTBLANK(OFFSET(R23,-4,0,4,1))=4),SUM(OFFSET(R23,-5,0)+SUM(N23:P23)-SUM(K23:M23)),IF(AND(I23&lt;&gt;"",COUNTBLANK(OFFSET(R23,-3,0,3,1))=3),SUM(OFFSET(R23,-4,0)+SUM(N23:P23)-SUM(K23:M23)),IF(AND(I23&lt;&gt;"",COUNTBLANK(OFFSET(R23,-2,0,2,1))=2),SUM(OFFSET(R23,-3,0)+SUM(N23:P23)-SUM(K23:M23)),IF(AND(I23&lt;&gt;"",COUNTBLANK(OFFSET(R23,-1,0,1,1))=1),SUM(OFFSET(R23,-2,0)+SUM(N23:P23)-SUM(K23:M23)),IF(AND(I23&lt;&gt;"",OFFSET(R23,-1,0)&gt;0),SUM(OFFSET(R23,-1,0)+SUM(N23:P23)-SUM(K23:M23)))))))))))))))))))</f>
        <v/>
      </c>
      <c r="S23" s="59" t="str">
        <f>IF(Dati[[#This Row],[Categoria]]="Savings",0,"")</f>
        <v/>
      </c>
      <c r="T23" s="59"/>
      <c r="U23" s="59"/>
      <c r="V23" s="59"/>
      <c r="W23" s="59"/>
      <c r="X23" s="59"/>
      <c r="Y23" s="59"/>
      <c r="Z23" s="59"/>
      <c r="AA23" s="59"/>
      <c r="AB23" s="59"/>
      <c r="AC23" s="59"/>
      <c r="AD23" s="59"/>
      <c r="AE23" s="59"/>
      <c r="AF23" s="59"/>
      <c r="AG23" s="59"/>
      <c r="AH23" s="59"/>
      <c r="AI23" s="59" t="str">
        <f>IF(SUM(Dati[[#This Row],[Inv. Business]:[Inv. Cryptocurrency]])=0," ",SUM(Dati[[#This Row],[Inv. Business]:[Inv. Cryptocurrency]]))</f>
        <v xml:space="preserve"> </v>
      </c>
      <c r="AJ23" s="59"/>
      <c r="AK23" s="59" t="str">
        <f>IF(SUM(Dati[[#This Row],[Inv. Gold]:[Mutuo]])=0," ",SUM(Dati[[#This Row],[Inv. Gold]:[Mutuo]]))</f>
        <v xml:space="preserve"> </v>
      </c>
      <c r="AL23" s="59"/>
      <c r="AM23" s="59"/>
    </row>
    <row r="24" spans="1:41" ht="16" customHeight="1" x14ac:dyDescent="0.35">
      <c r="B24">
        <f t="shared" si="0"/>
        <v>4</v>
      </c>
      <c r="C24" s="49">
        <f t="shared" si="1"/>
        <v>44930</v>
      </c>
      <c r="D24" s="29">
        <f>DAY(Dati[[#This Row],[Data]])</f>
        <v>4</v>
      </c>
      <c r="E24" s="29" t="str">
        <f>IF(DAY(Data!$C$21:$C$1327)&gt;0,TEXT(Data!$C$21:$C$1327, "mmmm"),"")</f>
        <v>gennaio</v>
      </c>
      <c r="F24" s="29" t="str">
        <f>IF(DAY(Data!$C$21:$C$1327)&gt;0,TEXT(Data!$C$21:$C$1327, "aaaa"),"")</f>
        <v>2023</v>
      </c>
      <c r="I24" t="str">
        <f>IF(OR(H24=$B$5,H24=$B$6,H24=$B$7,H24=$B$8,H24=$B$9,H24=$B$10,H24=$B$11,H24=$B$12,H24=$B$13,H24=$B$14),SottocategorieUscite[[#Headers],[Fuori Casa]],IF(OR(H24=$C$5,H24=$C$6,H24=$C$7,H24=$C$8,H24=$C$9,H24=$C$10,H24=$C$11,H24=$C$12,H24=$C$13,H24=$C$14),SottocategorieUscite[[#Headers],[Varie Uscite]],IF(OR(H24=$D$5,H24=$D$6,H24=$D$7,H24=$D$8,H24=$D$9,H24=$D$10,H24=$D$11,H24=$D$12,H24=$D$13,H24=$D$14),SottocategorieUscite[[#Headers],[Personali]],IF(OR(H24=$E$5,H24=$E$6,H24=$E$7,H24=$E$8,H24=$E$9,H24=$E$10,H24=$E$11,H24=$E$12,H24=$E$13,H24=$E$14),SottocategorieUscite[[#Headers],[Lavoro]],IF(OR(H24=$F$5,H24=$F$6,H24=$F$7,H24=$F$8,H24=$F$9,H24=$F$10,H24=$F$11,H24=$F$12,H24=$F$13,H24=$F$14),SottocategorieUscite[[#Headers],[Casa]],IF(OR(H24=$G$5,H24=$G$6,H24=$G$7,H24=$G$8,H24=$G$9,H24=$G$10,H24=$G$11,H24=$G$12,H24=$G$13,H24=$G$14),SottocategorieUscite[[#Headers],[Utenze]],IF(OR(H24=$H$5,H24=$H$6,H24=$H$7,H24=$H$8,H24=$H$9,H24=$H$10,H24=$H$11,H24=$H$12,H24=$H$13,H24=$H$14),SottocategorieUscite[[#Headers],[Business Uscite]],IF(OR(H24=$I$5,H24=$I$6,H24=$I$7,H24=$I$8,H24=$I$9,H24=$I$10,H24=$I$11,H24=$I$12,H24=$I$13,H24=$I$14),SottocategorieUscite[[#Headers],[Banca]],IF(OR(H24=K$5,H24=K$6,H24=K$7,H24=K$8,H24=K$9,H24=K$10,H24=K$11,H24=K$12,H24=K$13,H24=K$14),SottocategorieEntrate[[#Headers],[Business Entrate]],IF(OR(H24=L$5,H24=L$6,H24=L$7,H24=L$8,H24=L$9,H24=L$10,H24=L$11,H24=L$12,H24=L$13,H24=L$14),SottocategorieEntrate[[#Headers],[Varie Entrate]],IF(OR(H24=M$5,H24=M$6,H24=M$7,H24=M$8,H24=M$9,H24=M$10,H24=M$11,H24=M$12,H24=M$13,H24=M$14),SottocategorieEntrate[[#Headers],[Real Estate]],IF(OR(H24=N$5,H24=N$6,H24=N$7,H24=N$8,H24=N$9,H24=N$10,H24=N$11,H24=N$12,H24=N$13,H24=N$14),SottocategorieEntrate[[#Headers],[Other]],""))))))))))))</f>
        <v/>
      </c>
      <c r="J24" t="str">
        <f>IF(OR(Dati[[#This Row],[Categoria]]="Bollette",Dati[[#This Row],[Categoria]]="Conto &amp; Carte BNL",Dati[[#This Row],[Categoria]]="Prelievo",Dati[[#This Row],[Categoria]]="Affitto",Dati[[#This Row],[Categoria]]="BNL(Interessi Creditori)"),"Carta",IF(Dati[[#This Row],[Categoria]]&lt;&gt;0,"Cash",""))</f>
        <v/>
      </c>
      <c r="K24" s="59" t="str">
        <f>IF(OR(Data!$I24=SottocategorieUscite[[#Headers],[Fuori Casa]],Data!$I24=SottocategorieUscite[[#Headers],[Varie Uscite]],Data!$I24=SottocategorieUscite[[#Headers],[Personali]],Data!$I24=SottocategorieUscite[[#Headers],[Lavoro]]),"$ -","")</f>
        <v/>
      </c>
      <c r="L24" s="59" t="str">
        <f>IF(OR(Data!$I24=SottocategorieUscite[[#Headers],[Casa]],Data!$I24=SottocategorieUscite[[#Headers],[Utenze]],Data!$I24=SottocategorieUscite[[#Headers],[Business Uscite]],Data!$I24=SottocategorieUscite[[#Headers],[Banca]]),"$ -","")</f>
        <v/>
      </c>
      <c r="M24" s="59" t="str">
        <f>IF(OR($I24&lt;&gt;SottocategorieUscite[[#Headers],[Fuori Casa]],$I24&lt;&gt;SottocategorieUscite[[#Headers],[Varie Uscite]],$I24&lt;&gt;SottocategorieUscite[[#Headers],[Personali]],$I24&lt;&gt;SottocategorieUscite[[#Headers],[Lavoro]],$I24&lt;&gt;SottocategorieUscite[[#Headers],[Casa]],$I24&lt;&gt;SottocategorieUscite[[#Headers],[Utenze]],$I24&lt;&gt;SottocategorieUscite[[#Headers],[Business Uscite]],$I24&lt;&gt;SottocategorieUscite[[#Headers],[Banca]]),"","$ -")</f>
        <v/>
      </c>
      <c r="N24" s="59" t="str">
        <f>IF(OR(Data!$I24=SottocategorieEntrate[[#Headers],[Business Entrate]],Data!$I24=SottocategorieEntrate[[#Headers],[Varie Entrate]]),"$ -","")</f>
        <v/>
      </c>
      <c r="O24" s="59" t="str">
        <f>IF(OR(Data!$I24=SottocategorieEntrate[[#Headers],[Real Estate]],SottocategorieEntrate[[#Headers],[Other]]),"$ -","")</f>
        <v/>
      </c>
      <c r="P24" s="59" t="str">
        <f>IF(OR($I24&lt;&gt;SottocategorieEntrate[[#Headers],[Business Entrate]],$I24&lt;&gt;SottocategorieEntrate[[#Headers],[Varie Entrate]],$I24&lt;&gt;SottocategorieEntrate[[#Headers],[Real Estate]],$I24&lt;&gt;SottocategorieEntrate[[#Headers],[Other]]),"","$ -")</f>
        <v/>
      </c>
      <c r="Q24" s="59" t="str">
        <f>IF(Dati[[#This Row],[Categoria]]="Prelievo","€ -","")</f>
        <v/>
      </c>
      <c r="R24" s="244" t="str">
        <f t="shared" ca="1" si="2"/>
        <v/>
      </c>
      <c r="S24" s="59" t="str">
        <f>IF(Dati[[#This Row],[Categoria]]="Savings",0,"")</f>
        <v/>
      </c>
      <c r="T24" s="59"/>
      <c r="U24" s="59"/>
      <c r="V24" s="59"/>
      <c r="W24" s="59"/>
      <c r="X24" s="59"/>
      <c r="Y24" s="59"/>
      <c r="Z24" s="59"/>
      <c r="AA24" s="59"/>
      <c r="AB24" s="59"/>
      <c r="AC24" s="59"/>
      <c r="AD24" s="59"/>
      <c r="AE24" s="59"/>
      <c r="AF24" s="59"/>
      <c r="AG24" s="59"/>
      <c r="AH24" s="59"/>
      <c r="AI24" s="59" t="str">
        <f>IF(SUM(Dati[[#This Row],[Inv. Business]:[Inv. Cryptocurrency]])=0," ",SUM(Dati[[#This Row],[Inv. Business]:[Inv. Cryptocurrency]]))</f>
        <v xml:space="preserve"> </v>
      </c>
      <c r="AJ24" s="59"/>
      <c r="AK24" s="59" t="str">
        <f>IF(SUM(Dati[[#This Row],[Inv. Gold]:[Mutuo]])=0," ",SUM(Dati[[#This Row],[Inv. Gold]:[Mutuo]]))</f>
        <v xml:space="preserve"> </v>
      </c>
      <c r="AL24" s="59"/>
      <c r="AM24" s="59"/>
    </row>
    <row r="25" spans="1:41" ht="16" customHeight="1" x14ac:dyDescent="0.35">
      <c r="B25">
        <f t="shared" si="0"/>
        <v>5</v>
      </c>
      <c r="C25" s="49">
        <f>C24+1</f>
        <v>44931</v>
      </c>
      <c r="D25" s="29">
        <f>DAY(Dati[[#This Row],[Data]])</f>
        <v>5</v>
      </c>
      <c r="E25" s="29" t="str">
        <f>IF(DAY(Data!$C$21:$C$1327)&gt;0,TEXT(Data!$C$21:$C$1327, "mmmm"),"")</f>
        <v>gennaio</v>
      </c>
      <c r="F25" s="29" t="str">
        <f>IF(DAY(Data!$C$21:$C$1327)&gt;0,TEXT(Data!$C$21:$C$1327, "aaaa"),"")</f>
        <v>2023</v>
      </c>
      <c r="I25" t="str">
        <f>IF(OR(H25=$B$5,H25=$B$6,H25=$B$7,H25=$B$8,H25=$B$9,H25=$B$10,H25=$B$11,H25=$B$12,H25=$B$13,H25=$B$14),SottocategorieUscite[[#Headers],[Fuori Casa]],IF(OR(H25=$C$5,H25=$C$6,H25=$C$7,H25=$C$8,H25=$C$9,H25=$C$10,H25=$C$11,H25=$C$12,H25=$C$13,H25=$C$14),SottocategorieUscite[[#Headers],[Varie Uscite]],IF(OR(H25=$D$5,H25=$D$6,H25=$D$7,H25=$D$8,H25=$D$9,H25=$D$10,H25=$D$11,H25=$D$12,H25=$D$13,H25=$D$14),SottocategorieUscite[[#Headers],[Personali]],IF(OR(H25=$E$5,H25=$E$6,H25=$E$7,H25=$E$8,H25=$E$9,H25=$E$10,H25=$E$11,H25=$E$12,H25=$E$13,H25=$E$14),SottocategorieUscite[[#Headers],[Lavoro]],IF(OR(H25=$F$5,H25=$F$6,H25=$F$7,H25=$F$8,H25=$F$9,H25=$F$10,H25=$F$11,H25=$F$12,H25=$F$13,H25=$F$14),SottocategorieUscite[[#Headers],[Casa]],IF(OR(H25=$G$5,H25=$G$6,H25=$G$7,H25=$G$8,H25=$G$9,H25=$G$10,H25=$G$11,H25=$G$12,H25=$G$13,H25=$G$14),SottocategorieUscite[[#Headers],[Utenze]],IF(OR(H25=$H$5,H25=$H$6,H25=$H$7,H25=$H$8,H25=$H$9,H25=$H$10,H25=$H$11,H25=$H$12,H25=$H$13,H25=$H$14),SottocategorieUscite[[#Headers],[Business Uscite]],IF(OR(H25=$I$5,H25=$I$6,H25=$I$7,H25=$I$8,H25=$I$9,H25=$I$10,H25=$I$11,H25=$I$12,H25=$I$13,H25=$I$14),SottocategorieUscite[[#Headers],[Banca]],IF(OR(H25=K$5,H25=K$6,H25=K$7,H25=K$8,H25=K$9,H25=K$10,H25=K$11,H25=K$12,H25=K$13,H25=K$14),SottocategorieEntrate[[#Headers],[Business Entrate]],IF(OR(H25=L$5,H25=L$6,H25=L$7,H25=L$8,H25=L$9,H25=L$10,H25=L$11,H25=L$12,H25=L$13,H25=L$14),SottocategorieEntrate[[#Headers],[Varie Entrate]],IF(OR(H25=M$5,H25=M$6,H25=M$7,H25=M$8,H25=M$9,H25=M$10,H25=M$11,H25=M$12,H25=M$13,H25=M$14),SottocategorieEntrate[[#Headers],[Real Estate]],IF(OR(H25=N$5,H25=N$6,H25=N$7,H25=N$8,H25=N$9,H25=N$10,H25=N$11,H25=N$12,H25=N$13,H25=N$14),SottocategorieEntrate[[#Headers],[Other]],""))))))))))))</f>
        <v/>
      </c>
      <c r="J25" t="str">
        <f>IF(OR(Dati[[#This Row],[Categoria]]="Bollette",Dati[[#This Row],[Categoria]]="Conto &amp; Carte BNL",Dati[[#This Row],[Categoria]]="Prelievo",Dati[[#This Row],[Categoria]]="Affitto",Dati[[#This Row],[Categoria]]="BNL(Interessi Creditori)"),"Carta",IF(Dati[[#This Row],[Categoria]]&lt;&gt;0,"Cash",""))</f>
        <v/>
      </c>
      <c r="K25" s="59" t="str">
        <f>IF(OR(Data!$I25=SottocategorieUscite[[#Headers],[Fuori Casa]],Data!$I25=SottocategorieUscite[[#Headers],[Varie Uscite]],Data!$I25=SottocategorieUscite[[#Headers],[Personali]],Data!$I25=SottocategorieUscite[[#Headers],[Lavoro]]),"$ -","")</f>
        <v/>
      </c>
      <c r="L25" s="59" t="str">
        <f>IF(OR(Data!$I25=SottocategorieUscite[[#Headers],[Casa]],Data!$I25=SottocategorieUscite[[#Headers],[Utenze]],Data!$I25=SottocategorieUscite[[#Headers],[Business Uscite]],Data!$I25=SottocategorieUscite[[#Headers],[Banca]]),"$ -","")</f>
        <v/>
      </c>
      <c r="M25" s="59" t="str">
        <f>IF(OR($I25&lt;&gt;SottocategorieUscite[[#Headers],[Fuori Casa]],$I25&lt;&gt;SottocategorieUscite[[#Headers],[Varie Uscite]],$I25&lt;&gt;SottocategorieUscite[[#Headers],[Personali]],$I25&lt;&gt;SottocategorieUscite[[#Headers],[Lavoro]],$I25&lt;&gt;SottocategorieUscite[[#Headers],[Casa]],$I25&lt;&gt;SottocategorieUscite[[#Headers],[Utenze]],$I25&lt;&gt;SottocategorieUscite[[#Headers],[Business Uscite]],$I25&lt;&gt;SottocategorieUscite[[#Headers],[Banca]]),"","$ -")</f>
        <v/>
      </c>
      <c r="N25" s="59" t="str">
        <f>IF(OR(Data!$I25=SottocategorieEntrate[[#Headers],[Business Entrate]],Data!$I25=SottocategorieEntrate[[#Headers],[Varie Entrate]]),"$ -","")</f>
        <v/>
      </c>
      <c r="O25" s="59" t="str">
        <f>IF(OR(Data!$I25=SottocategorieEntrate[[#Headers],[Real Estate]],SottocategorieEntrate[[#Headers],[Other]]),"$ -","")</f>
        <v/>
      </c>
      <c r="P25" s="59" t="str">
        <f>IF(OR($I25&lt;&gt;SottocategorieEntrate[[#Headers],[Business Entrate]],$I25&lt;&gt;SottocategorieEntrate[[#Headers],[Varie Entrate]],$I25&lt;&gt;SottocategorieEntrate[[#Headers],[Real Estate]],$I25&lt;&gt;SottocategorieEntrate[[#Headers],[Other]]),"","$ -")</f>
        <v/>
      </c>
      <c r="Q25" s="59" t="str">
        <f>IF(Dati[[#This Row],[Categoria]]="Prelievo","€ -","")</f>
        <v/>
      </c>
      <c r="R25" s="244" t="str">
        <f t="shared" ca="1" si="2"/>
        <v/>
      </c>
      <c r="S25" s="59" t="str">
        <f>IF(Dati[[#This Row],[Categoria]]="Savings",0,"")</f>
        <v/>
      </c>
      <c r="T25" s="59"/>
      <c r="U25" s="59"/>
      <c r="V25" s="59"/>
      <c r="W25" s="59"/>
      <c r="X25" s="59"/>
      <c r="Y25" s="59"/>
      <c r="Z25" s="59"/>
      <c r="AA25" s="59"/>
      <c r="AB25" s="59"/>
      <c r="AC25" s="59"/>
      <c r="AD25" s="59"/>
      <c r="AE25" s="59"/>
      <c r="AF25" s="59"/>
      <c r="AG25" s="59"/>
      <c r="AH25" s="59"/>
      <c r="AI25" s="59" t="str">
        <f>IF(SUM(Dati[[#This Row],[Inv. Business]:[Inv. Cryptocurrency]])=0," ",SUM(Dati[[#This Row],[Inv. Business]:[Inv. Cryptocurrency]]))</f>
        <v xml:space="preserve"> </v>
      </c>
      <c r="AJ25" s="59"/>
      <c r="AK25" s="59" t="str">
        <f>IF(SUM(Dati[[#This Row],[Inv. Gold]:[Mutuo]])=0," ",SUM(Dati[[#This Row],[Inv. Gold]:[Mutuo]]))</f>
        <v xml:space="preserve"> </v>
      </c>
      <c r="AL25" s="59"/>
      <c r="AM25" s="59"/>
    </row>
    <row r="26" spans="1:41" ht="16" customHeight="1" x14ac:dyDescent="0.35">
      <c r="B26">
        <f t="shared" si="0"/>
        <v>6</v>
      </c>
      <c r="C26" s="49">
        <f t="shared" si="1"/>
        <v>44932</v>
      </c>
      <c r="D26" s="29">
        <f>DAY(Dati[[#This Row],[Data]])</f>
        <v>6</v>
      </c>
      <c r="E26" s="29" t="str">
        <f>IF(DAY(Data!$C$21:$C$1327)&gt;0,TEXT(Data!$C$21:$C$1327, "mmmm"),"")</f>
        <v>gennaio</v>
      </c>
      <c r="F26" s="29" t="str">
        <f>IF(DAY(Data!$C$21:$C$1327)&gt;0,TEXT(Data!$C$21:$C$1327, "aaaa"),"")</f>
        <v>2023</v>
      </c>
      <c r="I26" t="str">
        <f>IF(OR(H26=$B$5,H26=$B$6,H26=$B$7,H26=$B$8,H26=$B$9,H26=$B$10,H26=$B$11,H26=$B$12,H26=$B$13,H26=$B$14),SottocategorieUscite[[#Headers],[Fuori Casa]],IF(OR(H26=$C$5,H26=$C$6,H26=$C$7,H26=$C$8,H26=$C$9,H26=$C$10,H26=$C$11,H26=$C$12,H26=$C$13,H26=$C$14),SottocategorieUscite[[#Headers],[Varie Uscite]],IF(OR(H26=$D$5,H26=$D$6,H26=$D$7,H26=$D$8,H26=$D$9,H26=$D$10,H26=$D$11,H26=$D$12,H26=$D$13,H26=$D$14),SottocategorieUscite[[#Headers],[Personali]],IF(OR(H26=$E$5,H26=$E$6,H26=$E$7,H26=$E$8,H26=$E$9,H26=$E$10,H26=$E$11,H26=$E$12,H26=$E$13,H26=$E$14),SottocategorieUscite[[#Headers],[Lavoro]],IF(OR(H26=$F$5,H26=$F$6,H26=$F$7,H26=$F$8,H26=$F$9,H26=$F$10,H26=$F$11,H26=$F$12,H26=$F$13,H26=$F$14),SottocategorieUscite[[#Headers],[Casa]],IF(OR(H26=$G$5,H26=$G$6,H26=$G$7,H26=$G$8,H26=$G$9,H26=$G$10,H26=$G$11,H26=$G$12,H26=$G$13,H26=$G$14),SottocategorieUscite[[#Headers],[Utenze]],IF(OR(H26=$H$5,H26=$H$6,H26=$H$7,H26=$H$8,H26=$H$9,H26=$H$10,H26=$H$11,H26=$H$12,H26=$H$13,H26=$H$14),SottocategorieUscite[[#Headers],[Business Uscite]],IF(OR(H26=$I$5,H26=$I$6,H26=$I$7,H26=$I$8,H26=$I$9,H26=$I$10,H26=$I$11,H26=$I$12,H26=$I$13,H26=$I$14),SottocategorieUscite[[#Headers],[Banca]],IF(OR(H26=K$5,H26=K$6,H26=K$7,H26=K$8,H26=K$9,H26=K$10,H26=K$11,H26=K$12,H26=K$13,H26=K$14),SottocategorieEntrate[[#Headers],[Business Entrate]],IF(OR(H26=L$5,H26=L$6,H26=L$7,H26=L$8,H26=L$9,H26=L$10,H26=L$11,H26=L$12,H26=L$13,H26=L$14),SottocategorieEntrate[[#Headers],[Varie Entrate]],IF(OR(H26=M$5,H26=M$6,H26=M$7,H26=M$8,H26=M$9,H26=M$10,H26=M$11,H26=M$12,H26=M$13,H26=M$14),SottocategorieEntrate[[#Headers],[Real Estate]],IF(OR(H26=N$5,H26=N$6,H26=N$7,H26=N$8,H26=N$9,H26=N$10,H26=N$11,H26=N$12,H26=N$13,H26=N$14),SottocategorieEntrate[[#Headers],[Other]],""))))))))))))</f>
        <v/>
      </c>
      <c r="J26" t="str">
        <f>IF(OR(Dati[[#This Row],[Categoria]]="Bollette",Dati[[#This Row],[Categoria]]="Conto &amp; Carte BNL",Dati[[#This Row],[Categoria]]="Prelievo",Dati[[#This Row],[Categoria]]="Affitto",Dati[[#This Row],[Categoria]]="BNL(Interessi Creditori)"),"Carta",IF(Dati[[#This Row],[Categoria]]&lt;&gt;0,"Cash",""))</f>
        <v/>
      </c>
      <c r="K26" s="59" t="str">
        <f>IF(OR(Data!$I26=SottocategorieUscite[[#Headers],[Fuori Casa]],Data!$I26=SottocategorieUscite[[#Headers],[Varie Uscite]],Data!$I26=SottocategorieUscite[[#Headers],[Personali]],Data!$I26=SottocategorieUscite[[#Headers],[Lavoro]]),"$ -","")</f>
        <v/>
      </c>
      <c r="L26" s="59" t="str">
        <f>IF(OR(Data!$I26=SottocategorieUscite[[#Headers],[Casa]],Data!$I26=SottocategorieUscite[[#Headers],[Utenze]],Data!$I26=SottocategorieUscite[[#Headers],[Business Uscite]],Data!$I26=SottocategorieUscite[[#Headers],[Banca]]),"$ -","")</f>
        <v/>
      </c>
      <c r="M26" s="59" t="str">
        <f>IF(OR($I26&lt;&gt;SottocategorieUscite[[#Headers],[Fuori Casa]],$I26&lt;&gt;SottocategorieUscite[[#Headers],[Varie Uscite]],$I26&lt;&gt;SottocategorieUscite[[#Headers],[Personali]],$I26&lt;&gt;SottocategorieUscite[[#Headers],[Lavoro]],$I26&lt;&gt;SottocategorieUscite[[#Headers],[Casa]],$I26&lt;&gt;SottocategorieUscite[[#Headers],[Utenze]],$I26&lt;&gt;SottocategorieUscite[[#Headers],[Business Uscite]],$I26&lt;&gt;SottocategorieUscite[[#Headers],[Banca]]),"","$ -")</f>
        <v/>
      </c>
      <c r="N26" s="59" t="str">
        <f>IF(OR(Data!$I26=SottocategorieEntrate[[#Headers],[Business Entrate]],Data!$I26=SottocategorieEntrate[[#Headers],[Varie Entrate]]),"$ -","")</f>
        <v/>
      </c>
      <c r="O26" s="59" t="str">
        <f>IF(OR(Data!$I26=SottocategorieEntrate[[#Headers],[Real Estate]],SottocategorieEntrate[[#Headers],[Other]]),"$ -","")</f>
        <v/>
      </c>
      <c r="P26" s="59" t="str">
        <f>IF(OR($I26&lt;&gt;SottocategorieEntrate[[#Headers],[Business Entrate]],$I26&lt;&gt;SottocategorieEntrate[[#Headers],[Varie Entrate]],$I26&lt;&gt;SottocategorieEntrate[[#Headers],[Real Estate]],$I26&lt;&gt;SottocategorieEntrate[[#Headers],[Other]]),"","$ -")</f>
        <v/>
      </c>
      <c r="Q26" s="59" t="str">
        <f>IF(Dati[[#This Row],[Categoria]]="Prelievo","€ -","")</f>
        <v/>
      </c>
      <c r="R26" s="244" t="str">
        <f t="shared" ca="1" si="2"/>
        <v/>
      </c>
      <c r="S26" s="59" t="str">
        <f>IF(Dati[[#This Row],[Categoria]]="Savings",0,"")</f>
        <v/>
      </c>
      <c r="T26" s="59"/>
      <c r="U26" s="59"/>
      <c r="V26" s="59"/>
      <c r="W26" s="59"/>
      <c r="X26" s="59"/>
      <c r="Y26" s="59"/>
      <c r="Z26" s="59"/>
      <c r="AA26" s="59"/>
      <c r="AB26" s="59"/>
      <c r="AC26" s="59"/>
      <c r="AD26" s="59"/>
      <c r="AE26" s="59"/>
      <c r="AF26" s="59"/>
      <c r="AG26" s="59"/>
      <c r="AH26" s="59"/>
      <c r="AI26" s="59" t="str">
        <f>IF(SUM(Dati[[#This Row],[Inv. Business]:[Inv. Cryptocurrency]])=0," ",SUM(Dati[[#This Row],[Inv. Business]:[Inv. Cryptocurrency]]))</f>
        <v xml:space="preserve"> </v>
      </c>
      <c r="AJ26" s="59"/>
      <c r="AK26" s="59" t="str">
        <f>IF(SUM(Dati[[#This Row],[Inv. Gold]:[Mutuo]])=0," ",SUM(Dati[[#This Row],[Inv. Gold]:[Mutuo]]))</f>
        <v xml:space="preserve"> </v>
      </c>
      <c r="AL26" s="59"/>
      <c r="AM26" s="59"/>
    </row>
    <row r="27" spans="1:41" ht="16" customHeight="1" x14ac:dyDescent="0.35">
      <c r="B27">
        <f t="shared" si="0"/>
        <v>7</v>
      </c>
      <c r="C27" s="49">
        <f t="shared" si="1"/>
        <v>44933</v>
      </c>
      <c r="D27" s="29">
        <f>DAY(Dati[[#This Row],[Data]])</f>
        <v>7</v>
      </c>
      <c r="E27" s="29" t="str">
        <f>IF(DAY(Data!$C$21:$C$1327)&gt;0,TEXT(Data!$C$21:$C$1327, "mmmm"),"")</f>
        <v>gennaio</v>
      </c>
      <c r="F27" s="29" t="str">
        <f>IF(DAY(Data!$C$21:$C$1327)&gt;0,TEXT(Data!$C$21:$C$1327, "aaaa"),"")</f>
        <v>2023</v>
      </c>
      <c r="I27" t="str">
        <f>IF(OR(H27=$B$5,H27=$B$6,H27=$B$7,H27=$B$8,H27=$B$9,H27=$B$10,H27=$B$11,H27=$B$12,H27=$B$13,H27=$B$14),SottocategorieUscite[[#Headers],[Fuori Casa]],IF(OR(H27=$C$5,H27=$C$6,H27=$C$7,H27=$C$8,H27=$C$9,H27=$C$10,H27=$C$11,H27=$C$12,H27=$C$13,H27=$C$14),SottocategorieUscite[[#Headers],[Varie Uscite]],IF(OR(H27=$D$5,H27=$D$6,H27=$D$7,H27=$D$8,H27=$D$9,H27=$D$10,H27=$D$11,H27=$D$12,H27=$D$13,H27=$D$14),SottocategorieUscite[[#Headers],[Personali]],IF(OR(H27=$E$5,H27=$E$6,H27=$E$7,H27=$E$8,H27=$E$9,H27=$E$10,H27=$E$11,H27=$E$12,H27=$E$13,H27=$E$14),SottocategorieUscite[[#Headers],[Lavoro]],IF(OR(H27=$F$5,H27=$F$6,H27=$F$7,H27=$F$8,H27=$F$9,H27=$F$10,H27=$F$11,H27=$F$12,H27=$F$13,H27=$F$14),SottocategorieUscite[[#Headers],[Casa]],IF(OR(H27=$G$5,H27=$G$6,H27=$G$7,H27=$G$8,H27=$G$9,H27=$G$10,H27=$G$11,H27=$G$12,H27=$G$13,H27=$G$14),SottocategorieUscite[[#Headers],[Utenze]],IF(OR(H27=$H$5,H27=$H$6,H27=$H$7,H27=$H$8,H27=$H$9,H27=$H$10,H27=$H$11,H27=$H$12,H27=$H$13,H27=$H$14),SottocategorieUscite[[#Headers],[Business Uscite]],IF(OR(H27=$I$5,H27=$I$6,H27=$I$7,H27=$I$8,H27=$I$9,H27=$I$10,H27=$I$11,H27=$I$12,H27=$I$13,H27=$I$14),SottocategorieUscite[[#Headers],[Banca]],IF(OR(H27=K$5,H27=K$6,H27=K$7,H27=K$8,H27=K$9,H27=K$10,H27=K$11,H27=K$12,H27=K$13,H27=K$14),SottocategorieEntrate[[#Headers],[Business Entrate]],IF(OR(H27=L$5,H27=L$6,H27=L$7,H27=L$8,H27=L$9,H27=L$10,H27=L$11,H27=L$12,H27=L$13,H27=L$14),SottocategorieEntrate[[#Headers],[Varie Entrate]],IF(OR(H27=M$5,H27=M$6,H27=M$7,H27=M$8,H27=M$9,H27=M$10,H27=M$11,H27=M$12,H27=M$13,H27=M$14),SottocategorieEntrate[[#Headers],[Real Estate]],IF(OR(H27=N$5,H27=N$6,H27=N$7,H27=N$8,H27=N$9,H27=N$10,H27=N$11,H27=N$12,H27=N$13,H27=N$14),SottocategorieEntrate[[#Headers],[Other]],""))))))))))))</f>
        <v/>
      </c>
      <c r="J27" t="str">
        <f>IF(OR(Dati[[#This Row],[Categoria]]="Bollette",Dati[[#This Row],[Categoria]]="Conto &amp; Carte BNL",Dati[[#This Row],[Categoria]]="Prelievo",Dati[[#This Row],[Categoria]]="Affitto",Dati[[#This Row],[Categoria]]="BNL(Interessi Creditori)"),"Carta",IF(Dati[[#This Row],[Categoria]]&lt;&gt;0,"Cash",""))</f>
        <v/>
      </c>
      <c r="K27" s="59" t="str">
        <f>IF(OR(Data!$I27=SottocategorieUscite[[#Headers],[Fuori Casa]],Data!$I27=SottocategorieUscite[[#Headers],[Varie Uscite]],Data!$I27=SottocategorieUscite[[#Headers],[Personali]],Data!$I27=SottocategorieUscite[[#Headers],[Lavoro]]),"$ -","")</f>
        <v/>
      </c>
      <c r="L27" s="59" t="str">
        <f>IF(OR(Data!$I27=SottocategorieUscite[[#Headers],[Casa]],Data!$I27=SottocategorieUscite[[#Headers],[Utenze]],Data!$I27=SottocategorieUscite[[#Headers],[Business Uscite]],Data!$I27=SottocategorieUscite[[#Headers],[Banca]]),"$ -","")</f>
        <v/>
      </c>
      <c r="M27" s="59" t="str">
        <f>IF(OR($I27&lt;&gt;SottocategorieUscite[[#Headers],[Fuori Casa]],$I27&lt;&gt;SottocategorieUscite[[#Headers],[Varie Uscite]],$I27&lt;&gt;SottocategorieUscite[[#Headers],[Personali]],$I27&lt;&gt;SottocategorieUscite[[#Headers],[Lavoro]],$I27&lt;&gt;SottocategorieUscite[[#Headers],[Casa]],$I27&lt;&gt;SottocategorieUscite[[#Headers],[Utenze]],$I27&lt;&gt;SottocategorieUscite[[#Headers],[Business Uscite]],$I27&lt;&gt;SottocategorieUscite[[#Headers],[Banca]]),"","$ -")</f>
        <v/>
      </c>
      <c r="N27" s="59" t="str">
        <f>IF(OR(Data!$I27=SottocategorieEntrate[[#Headers],[Business Entrate]],Data!$I27=SottocategorieEntrate[[#Headers],[Varie Entrate]]),"$ -","")</f>
        <v/>
      </c>
      <c r="O27" s="59" t="str">
        <f>IF(OR(Data!$I27=SottocategorieEntrate[[#Headers],[Real Estate]],SottocategorieEntrate[[#Headers],[Other]]),"$ -","")</f>
        <v/>
      </c>
      <c r="P27" s="59" t="str">
        <f>IF(OR($I27&lt;&gt;SottocategorieEntrate[[#Headers],[Business Entrate]],$I27&lt;&gt;SottocategorieEntrate[[#Headers],[Varie Entrate]],$I27&lt;&gt;SottocategorieEntrate[[#Headers],[Real Estate]],$I27&lt;&gt;SottocategorieEntrate[[#Headers],[Other]]),"","$ -")</f>
        <v/>
      </c>
      <c r="Q27" s="59" t="str">
        <f>IF(Dati[[#This Row],[Categoria]]="Prelievo","€ -","")</f>
        <v/>
      </c>
      <c r="R27" s="244" t="str">
        <f t="shared" ca="1" si="2"/>
        <v/>
      </c>
      <c r="S27" s="59" t="str">
        <f>IF(Dati[[#This Row],[Categoria]]="Savings",0,"")</f>
        <v/>
      </c>
      <c r="T27" s="59"/>
      <c r="U27" s="59"/>
      <c r="V27" s="59"/>
      <c r="W27" s="59"/>
      <c r="X27" s="59"/>
      <c r="Y27" s="59"/>
      <c r="Z27" s="59"/>
      <c r="AA27" s="59"/>
      <c r="AB27" s="59"/>
      <c r="AC27" s="59"/>
      <c r="AD27" s="59"/>
      <c r="AE27" s="59"/>
      <c r="AF27" s="59"/>
      <c r="AG27" s="59"/>
      <c r="AH27" s="59"/>
      <c r="AI27" s="59" t="str">
        <f>IF(SUM(Dati[[#This Row],[Inv. Business]:[Inv. Cryptocurrency]])=0," ",SUM(Dati[[#This Row],[Inv. Business]:[Inv. Cryptocurrency]]))</f>
        <v xml:space="preserve"> </v>
      </c>
      <c r="AJ27" s="59"/>
      <c r="AK27" s="59" t="str">
        <f>IF(SUM(Dati[[#This Row],[Inv. Gold]:[Mutuo]])=0," ",SUM(Dati[[#This Row],[Inv. Gold]:[Mutuo]]))</f>
        <v xml:space="preserve"> </v>
      </c>
      <c r="AL27" s="59"/>
      <c r="AM27" s="59"/>
    </row>
    <row r="28" spans="1:41" ht="16" customHeight="1" x14ac:dyDescent="0.35">
      <c r="B28">
        <f t="shared" si="0"/>
        <v>8</v>
      </c>
      <c r="C28" s="49">
        <f t="shared" si="1"/>
        <v>44934</v>
      </c>
      <c r="D28" s="29">
        <f>DAY(Dati[[#This Row],[Data]])</f>
        <v>8</v>
      </c>
      <c r="E28" s="29" t="str">
        <f>IF(DAY(Data!$C$21:$C$1327)&gt;0,TEXT(Data!$C$21:$C$1327, "mmmm"),"")</f>
        <v>gennaio</v>
      </c>
      <c r="F28" s="29" t="str">
        <f>IF(DAY(Data!$C$21:$C$1327)&gt;0,TEXT(Data!$C$21:$C$1327, "aaaa"),"")</f>
        <v>2023</v>
      </c>
      <c r="I28" t="str">
        <f>IF(OR(H28=$B$5,H28=$B$6,H28=$B$7,H28=$B$8,H28=$B$9,H28=$B$10,H28=$B$11,H28=$B$12,H28=$B$13,H28=$B$14),SottocategorieUscite[[#Headers],[Fuori Casa]],IF(OR(H28=$C$5,H28=$C$6,H28=$C$7,H28=$C$8,H28=$C$9,H28=$C$10,H28=$C$11,H28=$C$12,H28=$C$13,H28=$C$14),SottocategorieUscite[[#Headers],[Varie Uscite]],IF(OR(H28=$D$5,H28=$D$6,H28=$D$7,H28=$D$8,H28=$D$9,H28=$D$10,H28=$D$11,H28=$D$12,H28=$D$13,H28=$D$14),SottocategorieUscite[[#Headers],[Personali]],IF(OR(H28=$E$5,H28=$E$6,H28=$E$7,H28=$E$8,H28=$E$9,H28=$E$10,H28=$E$11,H28=$E$12,H28=$E$13,H28=$E$14),SottocategorieUscite[[#Headers],[Lavoro]],IF(OR(H28=$F$5,H28=$F$6,H28=$F$7,H28=$F$8,H28=$F$9,H28=$F$10,H28=$F$11,H28=$F$12,H28=$F$13,H28=$F$14),SottocategorieUscite[[#Headers],[Casa]],IF(OR(H28=$G$5,H28=$G$6,H28=$G$7,H28=$G$8,H28=$G$9,H28=$G$10,H28=$G$11,H28=$G$12,H28=$G$13,H28=$G$14),SottocategorieUscite[[#Headers],[Utenze]],IF(OR(H28=$H$5,H28=$H$6,H28=$H$7,H28=$H$8,H28=$H$9,H28=$H$10,H28=$H$11,H28=$H$12,H28=$H$13,H28=$H$14),SottocategorieUscite[[#Headers],[Business Uscite]],IF(OR(H28=$I$5,H28=$I$6,H28=$I$7,H28=$I$8,H28=$I$9,H28=$I$10,H28=$I$11,H28=$I$12,H28=$I$13,H28=$I$14),SottocategorieUscite[[#Headers],[Banca]],IF(OR(H28=K$5,H28=K$6,H28=K$7,H28=K$8,H28=K$9,H28=K$10,H28=K$11,H28=K$12,H28=K$13,H28=K$14),SottocategorieEntrate[[#Headers],[Business Entrate]],IF(OR(H28=L$5,H28=L$6,H28=L$7,H28=L$8,H28=L$9,H28=L$10,H28=L$11,H28=L$12,H28=L$13,H28=L$14),SottocategorieEntrate[[#Headers],[Varie Entrate]],IF(OR(H28=M$5,H28=M$6,H28=M$7,H28=M$8,H28=M$9,H28=M$10,H28=M$11,H28=M$12,H28=M$13,H28=M$14),SottocategorieEntrate[[#Headers],[Real Estate]],IF(OR(H28=N$5,H28=N$6,H28=N$7,H28=N$8,H28=N$9,H28=N$10,H28=N$11,H28=N$12,H28=N$13,H28=N$14),SottocategorieEntrate[[#Headers],[Other]],""))))))))))))</f>
        <v/>
      </c>
      <c r="J28" t="str">
        <f>IF(OR(Dati[[#This Row],[Categoria]]="Bollette",Dati[[#This Row],[Categoria]]="Conto &amp; Carte BNL",Dati[[#This Row],[Categoria]]="Prelievo",Dati[[#This Row],[Categoria]]="Affitto",Dati[[#This Row],[Categoria]]="BNL(Interessi Creditori)"),"Carta",IF(Dati[[#This Row],[Categoria]]&lt;&gt;0,"Cash",""))</f>
        <v/>
      </c>
      <c r="K28" s="59" t="str">
        <f>IF(OR(Data!$I28=SottocategorieUscite[[#Headers],[Fuori Casa]],Data!$I28=SottocategorieUscite[[#Headers],[Varie Uscite]],Data!$I28=SottocategorieUscite[[#Headers],[Personali]],Data!$I28=SottocategorieUscite[[#Headers],[Lavoro]]),"$ -","")</f>
        <v/>
      </c>
      <c r="L28" s="59" t="str">
        <f>IF(OR(Data!$I28=SottocategorieUscite[[#Headers],[Casa]],Data!$I28=SottocategorieUscite[[#Headers],[Utenze]],Data!$I28=SottocategorieUscite[[#Headers],[Business Uscite]],Data!$I28=SottocategorieUscite[[#Headers],[Banca]]),"$ -","")</f>
        <v/>
      </c>
      <c r="M28" s="59" t="str">
        <f>IF(OR($I28&lt;&gt;SottocategorieUscite[[#Headers],[Fuori Casa]],$I28&lt;&gt;SottocategorieUscite[[#Headers],[Varie Uscite]],$I28&lt;&gt;SottocategorieUscite[[#Headers],[Personali]],$I28&lt;&gt;SottocategorieUscite[[#Headers],[Lavoro]],$I28&lt;&gt;SottocategorieUscite[[#Headers],[Casa]],$I28&lt;&gt;SottocategorieUscite[[#Headers],[Utenze]],$I28&lt;&gt;SottocategorieUscite[[#Headers],[Business Uscite]],$I28&lt;&gt;SottocategorieUscite[[#Headers],[Banca]]),"","$ -")</f>
        <v/>
      </c>
      <c r="N28" s="59" t="str">
        <f>IF(OR(Data!$I28=SottocategorieEntrate[[#Headers],[Business Entrate]],Data!$I28=SottocategorieEntrate[[#Headers],[Varie Entrate]]),"$ -","")</f>
        <v/>
      </c>
      <c r="O28" s="59" t="str">
        <f>IF(OR(Data!$I28=SottocategorieEntrate[[#Headers],[Real Estate]],SottocategorieEntrate[[#Headers],[Other]]),"$ -","")</f>
        <v/>
      </c>
      <c r="P28" s="59" t="str">
        <f>IF(OR($I28&lt;&gt;SottocategorieEntrate[[#Headers],[Business Entrate]],$I28&lt;&gt;SottocategorieEntrate[[#Headers],[Varie Entrate]],$I28&lt;&gt;SottocategorieEntrate[[#Headers],[Real Estate]],$I28&lt;&gt;SottocategorieEntrate[[#Headers],[Other]]),"","$ -")</f>
        <v/>
      </c>
      <c r="Q28" s="59" t="str">
        <f>IF(Dati[[#This Row],[Categoria]]="Prelievo","€ -","")</f>
        <v/>
      </c>
      <c r="R28" s="244" t="str">
        <f t="shared" ca="1" si="2"/>
        <v/>
      </c>
      <c r="S28" s="59" t="str">
        <f>IF(Dati[[#This Row],[Categoria]]="Savings",0,"")</f>
        <v/>
      </c>
      <c r="T28" s="59"/>
      <c r="U28" s="59"/>
      <c r="V28" s="59"/>
      <c r="W28" s="59"/>
      <c r="X28" s="59"/>
      <c r="Y28" s="59"/>
      <c r="Z28" s="59"/>
      <c r="AA28" s="59"/>
      <c r="AB28" s="59"/>
      <c r="AC28" s="59"/>
      <c r="AD28" s="59"/>
      <c r="AE28" s="59"/>
      <c r="AF28" s="59"/>
      <c r="AG28" s="59"/>
      <c r="AH28" s="59"/>
      <c r="AI28" s="59" t="str">
        <f>IF(SUM(Dati[[#This Row],[Inv. Business]:[Inv. Cryptocurrency]])=0," ",SUM(Dati[[#This Row],[Inv. Business]:[Inv. Cryptocurrency]]))</f>
        <v xml:space="preserve"> </v>
      </c>
      <c r="AJ28" s="59"/>
      <c r="AK28" s="59" t="str">
        <f>IF(SUM(Dati[[#This Row],[Inv. Gold]:[Mutuo]])=0," ",SUM(Dati[[#This Row],[Inv. Gold]:[Mutuo]]))</f>
        <v xml:space="preserve"> </v>
      </c>
      <c r="AL28" s="59"/>
      <c r="AM28" s="59"/>
    </row>
    <row r="29" spans="1:41" ht="16" customHeight="1" x14ac:dyDescent="0.35">
      <c r="B29">
        <f t="shared" si="0"/>
        <v>9</v>
      </c>
      <c r="C29" s="49">
        <f t="shared" si="1"/>
        <v>44935</v>
      </c>
      <c r="D29" s="29">
        <f>DAY(Dati[[#This Row],[Data]])</f>
        <v>9</v>
      </c>
      <c r="E29" s="29" t="str">
        <f>IF(DAY(Data!$C$21:$C$1327)&gt;0,TEXT(Data!$C$21:$C$1327, "mmmm"),"")</f>
        <v>gennaio</v>
      </c>
      <c r="F29" s="29" t="str">
        <f>IF(DAY(Data!$C$21:$C$1327)&gt;0,TEXT(Data!$C$21:$C$1327, "aaaa"),"")</f>
        <v>2023</v>
      </c>
      <c r="I29" t="str">
        <f>IF(OR(H29=$B$5,H29=$B$6,H29=$B$7,H29=$B$8,H29=$B$9,H29=$B$10,H29=$B$11,H29=$B$12,H29=$B$13,H29=$B$14),SottocategorieUscite[[#Headers],[Fuori Casa]],IF(OR(H29=$C$5,H29=$C$6,H29=$C$7,H29=$C$8,H29=$C$9,H29=$C$10,H29=$C$11,H29=$C$12,H29=$C$13,H29=$C$14),SottocategorieUscite[[#Headers],[Varie Uscite]],IF(OR(H29=$D$5,H29=$D$6,H29=$D$7,H29=$D$8,H29=$D$9,H29=$D$10,H29=$D$11,H29=$D$12,H29=$D$13,H29=$D$14),SottocategorieUscite[[#Headers],[Personali]],IF(OR(H29=$E$5,H29=$E$6,H29=$E$7,H29=$E$8,H29=$E$9,H29=$E$10,H29=$E$11,H29=$E$12,H29=$E$13,H29=$E$14),SottocategorieUscite[[#Headers],[Lavoro]],IF(OR(H29=$F$5,H29=$F$6,H29=$F$7,H29=$F$8,H29=$F$9,H29=$F$10,H29=$F$11,H29=$F$12,H29=$F$13,H29=$F$14),SottocategorieUscite[[#Headers],[Casa]],IF(OR(H29=$G$5,H29=$G$6,H29=$G$7,H29=$G$8,H29=$G$9,H29=$G$10,H29=$G$11,H29=$G$12,H29=$G$13,H29=$G$14),SottocategorieUscite[[#Headers],[Utenze]],IF(OR(H29=$H$5,H29=$H$6,H29=$H$7,H29=$H$8,H29=$H$9,H29=$H$10,H29=$H$11,H29=$H$12,H29=$H$13,H29=$H$14),SottocategorieUscite[[#Headers],[Business Uscite]],IF(OR(H29=$I$5,H29=$I$6,H29=$I$7,H29=$I$8,H29=$I$9,H29=$I$10,H29=$I$11,H29=$I$12,H29=$I$13,H29=$I$14),SottocategorieUscite[[#Headers],[Banca]],IF(OR(H29=K$5,H29=K$6,H29=K$7,H29=K$8,H29=K$9,H29=K$10,H29=K$11,H29=K$12,H29=K$13,H29=K$14),SottocategorieEntrate[[#Headers],[Business Entrate]],IF(OR(H29=L$5,H29=L$6,H29=L$7,H29=L$8,H29=L$9,H29=L$10,H29=L$11,H29=L$12,H29=L$13,H29=L$14),SottocategorieEntrate[[#Headers],[Varie Entrate]],IF(OR(H29=M$5,H29=M$6,H29=M$7,H29=M$8,H29=M$9,H29=M$10,H29=M$11,H29=M$12,H29=M$13,H29=M$14),SottocategorieEntrate[[#Headers],[Real Estate]],IF(OR(H29=N$5,H29=N$6,H29=N$7,H29=N$8,H29=N$9,H29=N$10,H29=N$11,H29=N$12,H29=N$13,H29=N$14),SottocategorieEntrate[[#Headers],[Other]],""))))))))))))</f>
        <v/>
      </c>
      <c r="J29" t="str">
        <f>IF(OR(Dati[[#This Row],[Categoria]]="Bollette",Dati[[#This Row],[Categoria]]="Conto &amp; Carte BNL",Dati[[#This Row],[Categoria]]="Prelievo",Dati[[#This Row],[Categoria]]="Affitto",Dati[[#This Row],[Categoria]]="BNL(Interessi Creditori)"),"Carta",IF(Dati[[#This Row],[Categoria]]&lt;&gt;0,"Cash",""))</f>
        <v/>
      </c>
      <c r="K29" s="59" t="str">
        <f>IF(OR(Data!$I29=SottocategorieUscite[[#Headers],[Fuori Casa]],Data!$I29=SottocategorieUscite[[#Headers],[Varie Uscite]],Data!$I29=SottocategorieUscite[[#Headers],[Personali]],Data!$I29=SottocategorieUscite[[#Headers],[Lavoro]]),"$ -","")</f>
        <v/>
      </c>
      <c r="L29" s="59" t="str">
        <f>IF(OR(Data!$I29=SottocategorieUscite[[#Headers],[Casa]],Data!$I29=SottocategorieUscite[[#Headers],[Utenze]],Data!$I29=SottocategorieUscite[[#Headers],[Business Uscite]],Data!$I29=SottocategorieUscite[[#Headers],[Banca]]),"$ -","")</f>
        <v/>
      </c>
      <c r="M29" s="59" t="str">
        <f>IF(OR($I29&lt;&gt;SottocategorieUscite[[#Headers],[Fuori Casa]],$I29&lt;&gt;SottocategorieUscite[[#Headers],[Varie Uscite]],$I29&lt;&gt;SottocategorieUscite[[#Headers],[Personali]],$I29&lt;&gt;SottocategorieUscite[[#Headers],[Lavoro]],$I29&lt;&gt;SottocategorieUscite[[#Headers],[Casa]],$I29&lt;&gt;SottocategorieUscite[[#Headers],[Utenze]],$I29&lt;&gt;SottocategorieUscite[[#Headers],[Business Uscite]],$I29&lt;&gt;SottocategorieUscite[[#Headers],[Banca]]),"","$ -")</f>
        <v/>
      </c>
      <c r="N29" s="59" t="str">
        <f>IF(OR(Data!$I29=SottocategorieEntrate[[#Headers],[Business Entrate]],Data!$I29=SottocategorieEntrate[[#Headers],[Varie Entrate]]),"$ -","")</f>
        <v/>
      </c>
      <c r="O29" s="59" t="str">
        <f>IF(OR(Data!$I29=SottocategorieEntrate[[#Headers],[Real Estate]],SottocategorieEntrate[[#Headers],[Other]]),"$ -","")</f>
        <v/>
      </c>
      <c r="P29" s="59" t="str">
        <f>IF(OR($I29&lt;&gt;SottocategorieEntrate[[#Headers],[Business Entrate]],$I29&lt;&gt;SottocategorieEntrate[[#Headers],[Varie Entrate]],$I29&lt;&gt;SottocategorieEntrate[[#Headers],[Real Estate]],$I29&lt;&gt;SottocategorieEntrate[[#Headers],[Other]]),"","$ -")</f>
        <v/>
      </c>
      <c r="Q29" s="59" t="str">
        <f>IF(Dati[[#This Row],[Categoria]]="Prelievo","€ -","")</f>
        <v/>
      </c>
      <c r="R29" s="244" t="str">
        <f t="shared" ca="1" si="2"/>
        <v/>
      </c>
      <c r="S29" s="59" t="str">
        <f>IF(Dati[[#This Row],[Categoria]]="Savings",0,"")</f>
        <v/>
      </c>
      <c r="T29" s="59"/>
      <c r="U29" s="59"/>
      <c r="V29" s="59"/>
      <c r="W29" s="59"/>
      <c r="X29" s="59"/>
      <c r="Y29" s="59"/>
      <c r="Z29" s="59"/>
      <c r="AA29" s="59"/>
      <c r="AB29" s="59"/>
      <c r="AC29" s="59"/>
      <c r="AD29" s="59"/>
      <c r="AE29" s="59"/>
      <c r="AF29" s="59"/>
      <c r="AG29" s="59"/>
      <c r="AH29" s="59"/>
      <c r="AI29" s="59" t="str">
        <f>IF(SUM(Dati[[#This Row],[Inv. Business]:[Inv. Cryptocurrency]])=0," ",SUM(Dati[[#This Row],[Inv. Business]:[Inv. Cryptocurrency]]))</f>
        <v xml:space="preserve"> </v>
      </c>
      <c r="AJ29" s="59"/>
      <c r="AK29" s="59" t="str">
        <f>IF(SUM(Dati[[#This Row],[Inv. Gold]:[Mutuo]])=0," ",SUM(Dati[[#This Row],[Inv. Gold]:[Mutuo]]))</f>
        <v xml:space="preserve"> </v>
      </c>
      <c r="AL29" s="59"/>
      <c r="AM29" s="59"/>
    </row>
    <row r="30" spans="1:41" ht="16" customHeight="1" x14ac:dyDescent="0.35">
      <c r="B30">
        <f t="shared" si="0"/>
        <v>10</v>
      </c>
      <c r="C30" s="49">
        <f t="shared" si="1"/>
        <v>44936</v>
      </c>
      <c r="D30" s="29">
        <f>DAY(Dati[[#This Row],[Data]])</f>
        <v>10</v>
      </c>
      <c r="E30" s="29" t="str">
        <f>IF(DAY(Data!$C$21:$C$1327)&gt;0,TEXT(Data!$C$21:$C$1327, "mmmm"),"")</f>
        <v>gennaio</v>
      </c>
      <c r="F30" s="29" t="str">
        <f>IF(DAY(Data!$C$21:$C$1327)&gt;0,TEXT(Data!$C$21:$C$1327, "aaaa"),"")</f>
        <v>2023</v>
      </c>
      <c r="I30" t="str">
        <f>IF(OR(H30=$B$5,H30=$B$6,H30=$B$7,H30=$B$8,H30=$B$9,H30=$B$10,H30=$B$11,H30=$B$12,H30=$B$13,H30=$B$14),SottocategorieUscite[[#Headers],[Fuori Casa]],IF(OR(H30=$C$5,H30=$C$6,H30=$C$7,H30=$C$8,H30=$C$9,H30=$C$10,H30=$C$11,H30=$C$12,H30=$C$13,H30=$C$14),SottocategorieUscite[[#Headers],[Varie Uscite]],IF(OR(H30=$D$5,H30=$D$6,H30=$D$7,H30=$D$8,H30=$D$9,H30=$D$10,H30=$D$11,H30=$D$12,H30=$D$13,H30=$D$14),SottocategorieUscite[[#Headers],[Personali]],IF(OR(H30=$E$5,H30=$E$6,H30=$E$7,H30=$E$8,H30=$E$9,H30=$E$10,H30=$E$11,H30=$E$12,H30=$E$13,H30=$E$14),SottocategorieUscite[[#Headers],[Lavoro]],IF(OR(H30=$F$5,H30=$F$6,H30=$F$7,H30=$F$8,H30=$F$9,H30=$F$10,H30=$F$11,H30=$F$12,H30=$F$13,H30=$F$14),SottocategorieUscite[[#Headers],[Casa]],IF(OR(H30=$G$5,H30=$G$6,H30=$G$7,H30=$G$8,H30=$G$9,H30=$G$10,H30=$G$11,H30=$G$12,H30=$G$13,H30=$G$14),SottocategorieUscite[[#Headers],[Utenze]],IF(OR(H30=$H$5,H30=$H$6,H30=$H$7,H30=$H$8,H30=$H$9,H30=$H$10,H30=$H$11,H30=$H$12,H30=$H$13,H30=$H$14),SottocategorieUscite[[#Headers],[Business Uscite]],IF(OR(H30=$I$5,H30=$I$6,H30=$I$7,H30=$I$8,H30=$I$9,H30=$I$10,H30=$I$11,H30=$I$12,H30=$I$13,H30=$I$14),SottocategorieUscite[[#Headers],[Banca]],IF(OR(H30=K$5,H30=K$6,H30=K$7,H30=K$8,H30=K$9,H30=K$10,H30=K$11,H30=K$12,H30=K$13,H30=K$14),SottocategorieEntrate[[#Headers],[Business Entrate]],IF(OR(H30=L$5,H30=L$6,H30=L$7,H30=L$8,H30=L$9,H30=L$10,H30=L$11,H30=L$12,H30=L$13,H30=L$14),SottocategorieEntrate[[#Headers],[Varie Entrate]],IF(OR(H30=M$5,H30=M$6,H30=M$7,H30=M$8,H30=M$9,H30=M$10,H30=M$11,H30=M$12,H30=M$13,H30=M$14),SottocategorieEntrate[[#Headers],[Real Estate]],IF(OR(H30=N$5,H30=N$6,H30=N$7,H30=N$8,H30=N$9,H30=N$10,H30=N$11,H30=N$12,H30=N$13,H30=N$14),SottocategorieEntrate[[#Headers],[Other]],""))))))))))))</f>
        <v/>
      </c>
      <c r="J30" t="str">
        <f>IF(OR(Dati[[#This Row],[Categoria]]="Bollette",Dati[[#This Row],[Categoria]]="Conto &amp; Carte BNL",Dati[[#This Row],[Categoria]]="Prelievo",Dati[[#This Row],[Categoria]]="Affitto",Dati[[#This Row],[Categoria]]="BNL(Interessi Creditori)"),"Carta",IF(Dati[[#This Row],[Categoria]]&lt;&gt;0,"Cash",""))</f>
        <v/>
      </c>
      <c r="K30" s="59" t="str">
        <f>IF(OR(Data!$I30=SottocategorieUscite[[#Headers],[Fuori Casa]],Data!$I30=SottocategorieUscite[[#Headers],[Varie Uscite]],Data!$I30=SottocategorieUscite[[#Headers],[Personali]],Data!$I30=SottocategorieUscite[[#Headers],[Lavoro]]),"$ -","")</f>
        <v/>
      </c>
      <c r="L30" s="59" t="str">
        <f>IF(OR(Data!$I30=SottocategorieUscite[[#Headers],[Casa]],Data!$I30=SottocategorieUscite[[#Headers],[Utenze]],Data!$I30=SottocategorieUscite[[#Headers],[Business Uscite]],Data!$I30=SottocategorieUscite[[#Headers],[Banca]]),"$ -","")</f>
        <v/>
      </c>
      <c r="M30" s="59" t="str">
        <f>IF(OR($I30&lt;&gt;SottocategorieUscite[[#Headers],[Fuori Casa]],$I30&lt;&gt;SottocategorieUscite[[#Headers],[Varie Uscite]],$I30&lt;&gt;SottocategorieUscite[[#Headers],[Personali]],$I30&lt;&gt;SottocategorieUscite[[#Headers],[Lavoro]],$I30&lt;&gt;SottocategorieUscite[[#Headers],[Casa]],$I30&lt;&gt;SottocategorieUscite[[#Headers],[Utenze]],$I30&lt;&gt;SottocategorieUscite[[#Headers],[Business Uscite]],$I30&lt;&gt;SottocategorieUscite[[#Headers],[Banca]]),"","$ -")</f>
        <v/>
      </c>
      <c r="N30" s="59" t="str">
        <f>IF(OR(Data!$I30=SottocategorieEntrate[[#Headers],[Business Entrate]],Data!$I30=SottocategorieEntrate[[#Headers],[Varie Entrate]]),"$ -","")</f>
        <v/>
      </c>
      <c r="O30" s="59" t="str">
        <f>IF(OR(Data!$I30=SottocategorieEntrate[[#Headers],[Real Estate]],SottocategorieEntrate[[#Headers],[Other]]),"$ -","")</f>
        <v/>
      </c>
      <c r="P30" s="59" t="str">
        <f>IF(OR($I30&lt;&gt;SottocategorieEntrate[[#Headers],[Business Entrate]],$I30&lt;&gt;SottocategorieEntrate[[#Headers],[Varie Entrate]],$I30&lt;&gt;SottocategorieEntrate[[#Headers],[Real Estate]],$I30&lt;&gt;SottocategorieEntrate[[#Headers],[Other]]),"","$ -")</f>
        <v/>
      </c>
      <c r="Q30" s="59" t="str">
        <f>IF(Dati[[#This Row],[Categoria]]="Prelievo","€ -","")</f>
        <v/>
      </c>
      <c r="R30" s="244" t="str">
        <f t="shared" ca="1" si="2"/>
        <v/>
      </c>
      <c r="S30" s="59" t="str">
        <f>IF(Dati[[#This Row],[Categoria]]="Savings",0,"")</f>
        <v/>
      </c>
      <c r="T30" s="59"/>
      <c r="U30" s="59"/>
      <c r="V30" s="59"/>
      <c r="W30" s="59"/>
      <c r="X30" s="59"/>
      <c r="Y30" s="59"/>
      <c r="Z30" s="59"/>
      <c r="AA30" s="59"/>
      <c r="AB30" s="59"/>
      <c r="AC30" s="59"/>
      <c r="AD30" s="59"/>
      <c r="AE30" s="59"/>
      <c r="AF30" s="59"/>
      <c r="AG30" s="59"/>
      <c r="AH30" s="59"/>
      <c r="AI30" s="59" t="str">
        <f>IF(SUM(Dati[[#This Row],[Inv. Business]:[Inv. Cryptocurrency]])=0," ",SUM(Dati[[#This Row],[Inv. Business]:[Inv. Cryptocurrency]]))</f>
        <v xml:space="preserve"> </v>
      </c>
      <c r="AJ30" s="59"/>
      <c r="AK30" s="59" t="str">
        <f>IF(SUM(Dati[[#This Row],[Inv. Gold]:[Mutuo]])=0," ",SUM(Dati[[#This Row],[Inv. Gold]:[Mutuo]]))</f>
        <v xml:space="preserve"> </v>
      </c>
      <c r="AL30" s="59"/>
      <c r="AM30" s="59"/>
    </row>
    <row r="31" spans="1:41" ht="16" customHeight="1" x14ac:dyDescent="0.35">
      <c r="B31">
        <f t="shared" si="0"/>
        <v>11</v>
      </c>
      <c r="C31" s="49">
        <f t="shared" si="1"/>
        <v>44937</v>
      </c>
      <c r="D31" s="29">
        <f>DAY(Dati[[#This Row],[Data]])</f>
        <v>11</v>
      </c>
      <c r="E31" s="29" t="str">
        <f>IF(DAY(Data!$C$21:$C$1327)&gt;0,TEXT(Data!$C$21:$C$1327, "mmmm"),"")</f>
        <v>gennaio</v>
      </c>
      <c r="F31" s="29" t="str">
        <f>IF(DAY(Data!$C$21:$C$1327)&gt;0,TEXT(Data!$C$21:$C$1327, "aaaa"),"")</f>
        <v>2023</v>
      </c>
      <c r="I31" t="str">
        <f>IF(OR(H31=$B$5,H31=$B$6,H31=$B$7,H31=$B$8,H31=$B$9,H31=$B$10,H31=$B$11,H31=$B$12,H31=$B$13,H31=$B$14),SottocategorieUscite[[#Headers],[Fuori Casa]],IF(OR(H31=$C$5,H31=$C$6,H31=$C$7,H31=$C$8,H31=$C$9,H31=$C$10,H31=$C$11,H31=$C$12,H31=$C$13,H31=$C$14),SottocategorieUscite[[#Headers],[Varie Uscite]],IF(OR(H31=$D$5,H31=$D$6,H31=$D$7,H31=$D$8,H31=$D$9,H31=$D$10,H31=$D$11,H31=$D$12,H31=$D$13,H31=$D$14),SottocategorieUscite[[#Headers],[Personali]],IF(OR(H31=$E$5,H31=$E$6,H31=$E$7,H31=$E$8,H31=$E$9,H31=$E$10,H31=$E$11,H31=$E$12,H31=$E$13,H31=$E$14),SottocategorieUscite[[#Headers],[Lavoro]],IF(OR(H31=$F$5,H31=$F$6,H31=$F$7,H31=$F$8,H31=$F$9,H31=$F$10,H31=$F$11,H31=$F$12,H31=$F$13,H31=$F$14),SottocategorieUscite[[#Headers],[Casa]],IF(OR(H31=$G$5,H31=$G$6,H31=$G$7,H31=$G$8,H31=$G$9,H31=$G$10,H31=$G$11,H31=$G$12,H31=$G$13,H31=$G$14),SottocategorieUscite[[#Headers],[Utenze]],IF(OR(H31=$H$5,H31=$H$6,H31=$H$7,H31=$H$8,H31=$H$9,H31=$H$10,H31=$H$11,H31=$H$12,H31=$H$13,H31=$H$14),SottocategorieUscite[[#Headers],[Business Uscite]],IF(OR(H31=$I$5,H31=$I$6,H31=$I$7,H31=$I$8,H31=$I$9,H31=$I$10,H31=$I$11,H31=$I$12,H31=$I$13,H31=$I$14),SottocategorieUscite[[#Headers],[Banca]],IF(OR(H31=K$5,H31=K$6,H31=K$7,H31=K$8,H31=K$9,H31=K$10,H31=K$11,H31=K$12,H31=K$13,H31=K$14),SottocategorieEntrate[[#Headers],[Business Entrate]],IF(OR(H31=L$5,H31=L$6,H31=L$7,H31=L$8,H31=L$9,H31=L$10,H31=L$11,H31=L$12,H31=L$13,H31=L$14),SottocategorieEntrate[[#Headers],[Varie Entrate]],IF(OR(H31=M$5,H31=M$6,H31=M$7,H31=M$8,H31=M$9,H31=M$10,H31=M$11,H31=M$12,H31=M$13,H31=M$14),SottocategorieEntrate[[#Headers],[Real Estate]],IF(OR(H31=N$5,H31=N$6,H31=N$7,H31=N$8,H31=N$9,H31=N$10,H31=N$11,H31=N$12,H31=N$13,H31=N$14),SottocategorieEntrate[[#Headers],[Other]],""))))))))))))</f>
        <v/>
      </c>
      <c r="J31" t="str">
        <f>IF(OR(Dati[[#This Row],[Categoria]]="Bollette",Dati[[#This Row],[Categoria]]="Conto &amp; Carte BNL",Dati[[#This Row],[Categoria]]="Prelievo",Dati[[#This Row],[Categoria]]="Affitto",Dati[[#This Row],[Categoria]]="BNL(Interessi Creditori)"),"Carta",IF(Dati[[#This Row],[Categoria]]&lt;&gt;0,"Cash",""))</f>
        <v/>
      </c>
      <c r="K31" s="59" t="str">
        <f>IF(OR(Data!$I31=SottocategorieUscite[[#Headers],[Fuori Casa]],Data!$I31=SottocategorieUscite[[#Headers],[Varie Uscite]],Data!$I31=SottocategorieUscite[[#Headers],[Personali]],Data!$I31=SottocategorieUscite[[#Headers],[Lavoro]]),"$ -","")</f>
        <v/>
      </c>
      <c r="L31" s="59" t="str">
        <f>IF(OR(Data!$I31=SottocategorieUscite[[#Headers],[Casa]],Data!$I31=SottocategorieUscite[[#Headers],[Utenze]],Data!$I31=SottocategorieUscite[[#Headers],[Business Uscite]],Data!$I31=SottocategorieUscite[[#Headers],[Banca]]),"$ -","")</f>
        <v/>
      </c>
      <c r="M31" s="59" t="str">
        <f>IF(OR($I31&lt;&gt;SottocategorieUscite[[#Headers],[Fuori Casa]],$I31&lt;&gt;SottocategorieUscite[[#Headers],[Varie Uscite]],$I31&lt;&gt;SottocategorieUscite[[#Headers],[Personali]],$I31&lt;&gt;SottocategorieUscite[[#Headers],[Lavoro]],$I31&lt;&gt;SottocategorieUscite[[#Headers],[Casa]],$I31&lt;&gt;SottocategorieUscite[[#Headers],[Utenze]],$I31&lt;&gt;SottocategorieUscite[[#Headers],[Business Uscite]],$I31&lt;&gt;SottocategorieUscite[[#Headers],[Banca]]),"","$ -")</f>
        <v/>
      </c>
      <c r="N31" s="59" t="str">
        <f>IF(OR(Data!$I31=SottocategorieEntrate[[#Headers],[Business Entrate]],Data!$I31=SottocategorieEntrate[[#Headers],[Varie Entrate]]),"$ -","")</f>
        <v/>
      </c>
      <c r="O31" s="59" t="str">
        <f>IF(OR(Data!$I31=SottocategorieEntrate[[#Headers],[Real Estate]],SottocategorieEntrate[[#Headers],[Other]]),"$ -","")</f>
        <v/>
      </c>
      <c r="P31" s="59" t="str">
        <f>IF(OR($I31&lt;&gt;SottocategorieEntrate[[#Headers],[Business Entrate]],$I31&lt;&gt;SottocategorieEntrate[[#Headers],[Varie Entrate]],$I31&lt;&gt;SottocategorieEntrate[[#Headers],[Real Estate]],$I31&lt;&gt;SottocategorieEntrate[[#Headers],[Other]]),"","$ -")</f>
        <v/>
      </c>
      <c r="Q31" s="59" t="str">
        <f>IF(Dati[[#This Row],[Categoria]]="Prelievo","€ -","")</f>
        <v/>
      </c>
      <c r="R31" s="244" t="str">
        <f t="shared" ca="1" si="2"/>
        <v/>
      </c>
      <c r="S31" s="59" t="str">
        <f>IF(Dati[[#This Row],[Categoria]]="Savings",0,"")</f>
        <v/>
      </c>
      <c r="T31" s="59"/>
      <c r="U31" s="59"/>
      <c r="V31" s="59"/>
      <c r="W31" s="59"/>
      <c r="X31" s="59"/>
      <c r="Y31" s="59"/>
      <c r="Z31" s="59"/>
      <c r="AA31" s="59"/>
      <c r="AB31" s="59"/>
      <c r="AC31" s="59"/>
      <c r="AD31" s="59"/>
      <c r="AE31" s="59"/>
      <c r="AF31" s="59"/>
      <c r="AG31" s="59"/>
      <c r="AH31" s="59"/>
      <c r="AI31" s="59" t="str">
        <f>IF(SUM(Dati[[#This Row],[Inv. Business]:[Inv. Cryptocurrency]])=0," ",SUM(Dati[[#This Row],[Inv. Business]:[Inv. Cryptocurrency]]))</f>
        <v xml:space="preserve"> </v>
      </c>
      <c r="AJ31" s="59"/>
      <c r="AK31" s="59" t="str">
        <f>IF(SUM(Dati[[#This Row],[Inv. Gold]:[Mutuo]])=0," ",SUM(Dati[[#This Row],[Inv. Gold]:[Mutuo]]))</f>
        <v xml:space="preserve"> </v>
      </c>
      <c r="AL31" s="59"/>
      <c r="AM31" s="59"/>
    </row>
    <row r="32" spans="1:41" ht="16" customHeight="1" x14ac:dyDescent="0.35">
      <c r="B32">
        <f t="shared" si="0"/>
        <v>12</v>
      </c>
      <c r="C32" s="49">
        <f t="shared" si="1"/>
        <v>44938</v>
      </c>
      <c r="D32" s="29">
        <f>DAY(Dati[[#This Row],[Data]])</f>
        <v>12</v>
      </c>
      <c r="E32" s="29" t="str">
        <f>IF(DAY(Data!$C$21:$C$1327)&gt;0,TEXT(Data!$C$21:$C$1327, "mmmm"),"")</f>
        <v>gennaio</v>
      </c>
      <c r="F32" s="29" t="str">
        <f>IF(DAY(Data!$C$21:$C$1327)&gt;0,TEXT(Data!$C$21:$C$1327, "aaaa"),"")</f>
        <v>2023</v>
      </c>
      <c r="I32" t="str">
        <f>IF(OR(H32=$B$5,H32=$B$6,H32=$B$7,H32=$B$8,H32=$B$9,H32=$B$10,H32=$B$11,H32=$B$12,H32=$B$13,H32=$B$14),SottocategorieUscite[[#Headers],[Fuori Casa]],IF(OR(H32=$C$5,H32=$C$6,H32=$C$7,H32=$C$8,H32=$C$9,H32=$C$10,H32=$C$11,H32=$C$12,H32=$C$13,H32=$C$14),SottocategorieUscite[[#Headers],[Varie Uscite]],IF(OR(H32=$D$5,H32=$D$6,H32=$D$7,H32=$D$8,H32=$D$9,H32=$D$10,H32=$D$11,H32=$D$12,H32=$D$13,H32=$D$14),SottocategorieUscite[[#Headers],[Personali]],IF(OR(H32=$E$5,H32=$E$6,H32=$E$7,H32=$E$8,H32=$E$9,H32=$E$10,H32=$E$11,H32=$E$12,H32=$E$13,H32=$E$14),SottocategorieUscite[[#Headers],[Lavoro]],IF(OR(H32=$F$5,H32=$F$6,H32=$F$7,H32=$F$8,H32=$F$9,H32=$F$10,H32=$F$11,H32=$F$12,H32=$F$13,H32=$F$14),SottocategorieUscite[[#Headers],[Casa]],IF(OR(H32=$G$5,H32=$G$6,H32=$G$7,H32=$G$8,H32=$G$9,H32=$G$10,H32=$G$11,H32=$G$12,H32=$G$13,H32=$G$14),SottocategorieUscite[[#Headers],[Utenze]],IF(OR(H32=$H$5,H32=$H$6,H32=$H$7,H32=$H$8,H32=$H$9,H32=$H$10,H32=$H$11,H32=$H$12,H32=$H$13,H32=$H$14),SottocategorieUscite[[#Headers],[Business Uscite]],IF(OR(H32=$I$5,H32=$I$6,H32=$I$7,H32=$I$8,H32=$I$9,H32=$I$10,H32=$I$11,H32=$I$12,H32=$I$13,H32=$I$14),SottocategorieUscite[[#Headers],[Banca]],IF(OR(H32=K$5,H32=K$6,H32=K$7,H32=K$8,H32=K$9,H32=K$10,H32=K$11,H32=K$12,H32=K$13,H32=K$14),SottocategorieEntrate[[#Headers],[Business Entrate]],IF(OR(H32=L$5,H32=L$6,H32=L$7,H32=L$8,H32=L$9,H32=L$10,H32=L$11,H32=L$12,H32=L$13,H32=L$14),SottocategorieEntrate[[#Headers],[Varie Entrate]],IF(OR(H32=M$5,H32=M$6,H32=M$7,H32=M$8,H32=M$9,H32=M$10,H32=M$11,H32=M$12,H32=M$13,H32=M$14),SottocategorieEntrate[[#Headers],[Real Estate]],IF(OR(H32=N$5,H32=N$6,H32=N$7,H32=N$8,H32=N$9,H32=N$10,H32=N$11,H32=N$12,H32=N$13,H32=N$14),SottocategorieEntrate[[#Headers],[Other]],""))))))))))))</f>
        <v/>
      </c>
      <c r="J32" t="str">
        <f>IF(OR(Dati[[#This Row],[Categoria]]="Bollette",Dati[[#This Row],[Categoria]]="Conto &amp; Carte BNL",Dati[[#This Row],[Categoria]]="Prelievo",Dati[[#This Row],[Categoria]]="Affitto",Dati[[#This Row],[Categoria]]="BNL(Interessi Creditori)"),"Carta",IF(Dati[[#This Row],[Categoria]]&lt;&gt;0,"Cash",""))</f>
        <v/>
      </c>
      <c r="K32" s="59" t="str">
        <f>IF(OR(Data!$I32=SottocategorieUscite[[#Headers],[Fuori Casa]],Data!$I32=SottocategorieUscite[[#Headers],[Varie Uscite]],Data!$I32=SottocategorieUscite[[#Headers],[Personali]],Data!$I32=SottocategorieUscite[[#Headers],[Lavoro]]),"$ -","")</f>
        <v/>
      </c>
      <c r="L32" s="59" t="str">
        <f>IF(OR(Data!$I32=SottocategorieUscite[[#Headers],[Casa]],Data!$I32=SottocategorieUscite[[#Headers],[Utenze]],Data!$I32=SottocategorieUscite[[#Headers],[Business Uscite]],Data!$I32=SottocategorieUscite[[#Headers],[Banca]]),"$ -","")</f>
        <v/>
      </c>
      <c r="M32" s="59" t="str">
        <f>IF(OR($I32&lt;&gt;SottocategorieUscite[[#Headers],[Fuori Casa]],$I32&lt;&gt;SottocategorieUscite[[#Headers],[Varie Uscite]],$I32&lt;&gt;SottocategorieUscite[[#Headers],[Personali]],$I32&lt;&gt;SottocategorieUscite[[#Headers],[Lavoro]],$I32&lt;&gt;SottocategorieUscite[[#Headers],[Casa]],$I32&lt;&gt;SottocategorieUscite[[#Headers],[Utenze]],$I32&lt;&gt;SottocategorieUscite[[#Headers],[Business Uscite]],$I32&lt;&gt;SottocategorieUscite[[#Headers],[Banca]]),"","$ -")</f>
        <v/>
      </c>
      <c r="N32" s="59" t="str">
        <f>IF(OR(Data!$I32=SottocategorieEntrate[[#Headers],[Business Entrate]],Data!$I32=SottocategorieEntrate[[#Headers],[Varie Entrate]]),"$ -","")</f>
        <v/>
      </c>
      <c r="O32" s="59" t="str">
        <f>IF(OR(Data!$I32=SottocategorieEntrate[[#Headers],[Real Estate]],SottocategorieEntrate[[#Headers],[Other]]),"$ -","")</f>
        <v/>
      </c>
      <c r="P32" s="59" t="str">
        <f>IF(OR($I32&lt;&gt;SottocategorieEntrate[[#Headers],[Business Entrate]],$I32&lt;&gt;SottocategorieEntrate[[#Headers],[Varie Entrate]],$I32&lt;&gt;SottocategorieEntrate[[#Headers],[Real Estate]],$I32&lt;&gt;SottocategorieEntrate[[#Headers],[Other]]),"","$ -")</f>
        <v/>
      </c>
      <c r="Q32" s="59" t="str">
        <f>IF(Dati[[#This Row],[Categoria]]="Prelievo","€ -","")</f>
        <v/>
      </c>
      <c r="R32" s="244" t="str">
        <f t="shared" ca="1" si="2"/>
        <v/>
      </c>
      <c r="S32" s="59" t="str">
        <f>IF(Dati[[#This Row],[Categoria]]="Savings",0,"")</f>
        <v/>
      </c>
      <c r="T32" s="59"/>
      <c r="U32" s="59"/>
      <c r="V32" s="59"/>
      <c r="W32" s="59"/>
      <c r="X32" s="59"/>
      <c r="Y32" s="59"/>
      <c r="Z32" s="59"/>
      <c r="AA32" s="59"/>
      <c r="AB32" s="59"/>
      <c r="AC32" s="59"/>
      <c r="AD32" s="59"/>
      <c r="AE32" s="59"/>
      <c r="AF32" s="59"/>
      <c r="AG32" s="59"/>
      <c r="AH32" s="59"/>
      <c r="AI32" s="59" t="str">
        <f>IF(SUM(Dati[[#This Row],[Inv. Business]:[Inv. Cryptocurrency]])=0," ",SUM(Dati[[#This Row],[Inv. Business]:[Inv. Cryptocurrency]]))</f>
        <v xml:space="preserve"> </v>
      </c>
      <c r="AJ32" s="59"/>
      <c r="AK32" s="59" t="str">
        <f>IF(SUM(Dati[[#This Row],[Inv. Gold]:[Mutuo]])=0," ",SUM(Dati[[#This Row],[Inv. Gold]:[Mutuo]]))</f>
        <v xml:space="preserve"> </v>
      </c>
      <c r="AL32" s="59"/>
      <c r="AM32" s="59"/>
    </row>
    <row r="33" spans="2:39" ht="16" customHeight="1" x14ac:dyDescent="0.35">
      <c r="B33">
        <f t="shared" si="0"/>
        <v>13</v>
      </c>
      <c r="C33" s="49">
        <f t="shared" si="1"/>
        <v>44939</v>
      </c>
      <c r="D33" s="29">
        <f>DAY(Dati[[#This Row],[Data]])</f>
        <v>13</v>
      </c>
      <c r="E33" s="29" t="str">
        <f>IF(DAY(Data!$C$21:$C$1327)&gt;0,TEXT(Data!$C$21:$C$1327, "mmmm"),"")</f>
        <v>gennaio</v>
      </c>
      <c r="F33" s="29" t="str">
        <f>IF(DAY(Data!$C$21:$C$1327)&gt;0,TEXT(Data!$C$21:$C$1327, "aaaa"),"")</f>
        <v>2023</v>
      </c>
      <c r="I33" t="str">
        <f>IF(OR(H33=$B$5,H33=$B$6,H33=$B$7,H33=$B$8,H33=$B$9,H33=$B$10,H33=$B$11,H33=$B$12,H33=$B$13,H33=$B$14),SottocategorieUscite[[#Headers],[Fuori Casa]],IF(OR(H33=$C$5,H33=$C$6,H33=$C$7,H33=$C$8,H33=$C$9,H33=$C$10,H33=$C$11,H33=$C$12,H33=$C$13,H33=$C$14),SottocategorieUscite[[#Headers],[Varie Uscite]],IF(OR(H33=$D$5,H33=$D$6,H33=$D$7,H33=$D$8,H33=$D$9,H33=$D$10,H33=$D$11,H33=$D$12,H33=$D$13,H33=$D$14),SottocategorieUscite[[#Headers],[Personali]],IF(OR(H33=$E$5,H33=$E$6,H33=$E$7,H33=$E$8,H33=$E$9,H33=$E$10,H33=$E$11,H33=$E$12,H33=$E$13,H33=$E$14),SottocategorieUscite[[#Headers],[Lavoro]],IF(OR(H33=$F$5,H33=$F$6,H33=$F$7,H33=$F$8,H33=$F$9,H33=$F$10,H33=$F$11,H33=$F$12,H33=$F$13,H33=$F$14),SottocategorieUscite[[#Headers],[Casa]],IF(OR(H33=$G$5,H33=$G$6,H33=$G$7,H33=$G$8,H33=$G$9,H33=$G$10,H33=$G$11,H33=$G$12,H33=$G$13,H33=$G$14),SottocategorieUscite[[#Headers],[Utenze]],IF(OR(H33=$H$5,H33=$H$6,H33=$H$7,H33=$H$8,H33=$H$9,H33=$H$10,H33=$H$11,H33=$H$12,H33=$H$13,H33=$H$14),SottocategorieUscite[[#Headers],[Business Uscite]],IF(OR(H33=$I$5,H33=$I$6,H33=$I$7,H33=$I$8,H33=$I$9,H33=$I$10,H33=$I$11,H33=$I$12,H33=$I$13,H33=$I$14),SottocategorieUscite[[#Headers],[Banca]],IF(OR(H33=K$5,H33=K$6,H33=K$7,H33=K$8,H33=K$9,H33=K$10,H33=K$11,H33=K$12,H33=K$13,H33=K$14),SottocategorieEntrate[[#Headers],[Business Entrate]],IF(OR(H33=L$5,H33=L$6,H33=L$7,H33=L$8,H33=L$9,H33=L$10,H33=L$11,H33=L$12,H33=L$13,H33=L$14),SottocategorieEntrate[[#Headers],[Varie Entrate]],IF(OR(H33=M$5,H33=M$6,H33=M$7,H33=M$8,H33=M$9,H33=M$10,H33=M$11,H33=M$12,H33=M$13,H33=M$14),SottocategorieEntrate[[#Headers],[Real Estate]],IF(OR(H33=N$5,H33=N$6,H33=N$7,H33=N$8,H33=N$9,H33=N$10,H33=N$11,H33=N$12,H33=N$13,H33=N$14),SottocategorieEntrate[[#Headers],[Other]],""))))))))))))</f>
        <v/>
      </c>
      <c r="J33" t="str">
        <f>IF(OR(Dati[[#This Row],[Categoria]]="Bollette",Dati[[#This Row],[Categoria]]="Conto &amp; Carte BNL",Dati[[#This Row],[Categoria]]="Prelievo",Dati[[#This Row],[Categoria]]="Affitto",Dati[[#This Row],[Categoria]]="BNL(Interessi Creditori)"),"Carta",IF(Dati[[#This Row],[Categoria]]&lt;&gt;0,"Cash",""))</f>
        <v/>
      </c>
      <c r="K33" s="59" t="str">
        <f>IF(OR(Data!$I33=SottocategorieUscite[[#Headers],[Fuori Casa]],Data!$I33=SottocategorieUscite[[#Headers],[Varie Uscite]],Data!$I33=SottocategorieUscite[[#Headers],[Personali]],Data!$I33=SottocategorieUscite[[#Headers],[Lavoro]]),"$ -","")</f>
        <v/>
      </c>
      <c r="L33" s="59" t="str">
        <f>IF(OR(Data!$I33=SottocategorieUscite[[#Headers],[Casa]],Data!$I33=SottocategorieUscite[[#Headers],[Utenze]],Data!$I33=SottocategorieUscite[[#Headers],[Business Uscite]],Data!$I33=SottocategorieUscite[[#Headers],[Banca]]),"$ -","")</f>
        <v/>
      </c>
      <c r="M33" s="59" t="str">
        <f>IF(OR($I33&lt;&gt;SottocategorieUscite[[#Headers],[Fuori Casa]],$I33&lt;&gt;SottocategorieUscite[[#Headers],[Varie Uscite]],$I33&lt;&gt;SottocategorieUscite[[#Headers],[Personali]],$I33&lt;&gt;SottocategorieUscite[[#Headers],[Lavoro]],$I33&lt;&gt;SottocategorieUscite[[#Headers],[Casa]],$I33&lt;&gt;SottocategorieUscite[[#Headers],[Utenze]],$I33&lt;&gt;SottocategorieUscite[[#Headers],[Business Uscite]],$I33&lt;&gt;SottocategorieUscite[[#Headers],[Banca]]),"","$ -")</f>
        <v/>
      </c>
      <c r="N33" s="59" t="str">
        <f>IF(OR(Data!$I33=SottocategorieEntrate[[#Headers],[Business Entrate]],Data!$I33=SottocategorieEntrate[[#Headers],[Varie Entrate]]),"$ -","")</f>
        <v/>
      </c>
      <c r="O33" s="59" t="str">
        <f>IF(OR(Data!$I33=SottocategorieEntrate[[#Headers],[Real Estate]],SottocategorieEntrate[[#Headers],[Other]]),"$ -","")</f>
        <v/>
      </c>
      <c r="P33" s="59" t="str">
        <f>IF(OR($I33&lt;&gt;SottocategorieEntrate[[#Headers],[Business Entrate]],$I33&lt;&gt;SottocategorieEntrate[[#Headers],[Varie Entrate]],$I33&lt;&gt;SottocategorieEntrate[[#Headers],[Real Estate]],$I33&lt;&gt;SottocategorieEntrate[[#Headers],[Other]]),"","$ -")</f>
        <v/>
      </c>
      <c r="Q33" s="59" t="str">
        <f>IF(Dati[[#This Row],[Categoria]]="Prelievo","€ -","")</f>
        <v/>
      </c>
      <c r="R33" s="244" t="str">
        <f t="shared" ca="1" si="2"/>
        <v/>
      </c>
      <c r="S33" s="59" t="str">
        <f>IF(Dati[[#This Row],[Categoria]]="Savings",0,"")</f>
        <v/>
      </c>
      <c r="T33" s="59"/>
      <c r="U33" s="59"/>
      <c r="V33" s="59"/>
      <c r="W33" s="59"/>
      <c r="X33" s="59"/>
      <c r="Y33" s="59"/>
      <c r="Z33" s="59"/>
      <c r="AA33" s="59"/>
      <c r="AB33" s="59"/>
      <c r="AC33" s="59"/>
      <c r="AD33" s="59"/>
      <c r="AE33" s="59"/>
      <c r="AF33" s="59"/>
      <c r="AG33" s="59"/>
      <c r="AH33" s="59"/>
      <c r="AI33" s="59" t="str">
        <f>IF(SUM(Dati[[#This Row],[Inv. Business]:[Inv. Cryptocurrency]])=0," ",SUM(Dati[[#This Row],[Inv. Business]:[Inv. Cryptocurrency]]))</f>
        <v xml:space="preserve"> </v>
      </c>
      <c r="AJ33" s="59"/>
      <c r="AK33" s="59" t="str">
        <f>IF(SUM(Dati[[#This Row],[Inv. Gold]:[Mutuo]])=0," ",SUM(Dati[[#This Row],[Inv. Gold]:[Mutuo]]))</f>
        <v xml:space="preserve"> </v>
      </c>
      <c r="AL33" s="59"/>
      <c r="AM33" s="59"/>
    </row>
    <row r="34" spans="2:39" ht="16" customHeight="1" x14ac:dyDescent="0.35">
      <c r="B34">
        <f t="shared" si="0"/>
        <v>14</v>
      </c>
      <c r="C34" s="49">
        <f>C33+1</f>
        <v>44940</v>
      </c>
      <c r="D34" s="29">
        <f>DAY(Dati[[#This Row],[Data]])</f>
        <v>14</v>
      </c>
      <c r="E34" s="29" t="str">
        <f>IF(DAY(Data!$C$21:$C$1327)&gt;0,TEXT(Data!$C$21:$C$1327, "mmmm"),"")</f>
        <v>gennaio</v>
      </c>
      <c r="F34" s="29" t="str">
        <f>IF(DAY(Data!$C$21:$C$1327)&gt;0,TEXT(Data!$C$21:$C$1327, "aaaa"),"")</f>
        <v>2023</v>
      </c>
      <c r="I34" t="str">
        <f>IF(OR(H34=$B$5,H34=$B$6,H34=$B$7,H34=$B$8,H34=$B$9,H34=$B$10,H34=$B$11,H34=$B$12,H34=$B$13,H34=$B$14),SottocategorieUscite[[#Headers],[Fuori Casa]],IF(OR(H34=$C$5,H34=$C$6,H34=$C$7,H34=$C$8,H34=$C$9,H34=$C$10,H34=$C$11,H34=$C$12,H34=$C$13,H34=$C$14),SottocategorieUscite[[#Headers],[Varie Uscite]],IF(OR(H34=$D$5,H34=$D$6,H34=$D$7,H34=$D$8,H34=$D$9,H34=$D$10,H34=$D$11,H34=$D$12,H34=$D$13,H34=$D$14),SottocategorieUscite[[#Headers],[Personali]],IF(OR(H34=$E$5,H34=$E$6,H34=$E$7,H34=$E$8,H34=$E$9,H34=$E$10,H34=$E$11,H34=$E$12,H34=$E$13,H34=$E$14),SottocategorieUscite[[#Headers],[Lavoro]],IF(OR(H34=$F$5,H34=$F$6,H34=$F$7,H34=$F$8,H34=$F$9,H34=$F$10,H34=$F$11,H34=$F$12,H34=$F$13,H34=$F$14),SottocategorieUscite[[#Headers],[Casa]],IF(OR(H34=$G$5,H34=$G$6,H34=$G$7,H34=$G$8,H34=$G$9,H34=$G$10,H34=$G$11,H34=$G$12,H34=$G$13,H34=$G$14),SottocategorieUscite[[#Headers],[Utenze]],IF(OR(H34=$H$5,H34=$H$6,H34=$H$7,H34=$H$8,H34=$H$9,H34=$H$10,H34=$H$11,H34=$H$12,H34=$H$13,H34=$H$14),SottocategorieUscite[[#Headers],[Business Uscite]],IF(OR(H34=$I$5,H34=$I$6,H34=$I$7,H34=$I$8,H34=$I$9,H34=$I$10,H34=$I$11,H34=$I$12,H34=$I$13,H34=$I$14),SottocategorieUscite[[#Headers],[Banca]],IF(OR(H34=K$5,H34=K$6,H34=K$7,H34=K$8,H34=K$9,H34=K$10,H34=K$11,H34=K$12,H34=K$13,H34=K$14),SottocategorieEntrate[[#Headers],[Business Entrate]],IF(OR(H34=L$5,H34=L$6,H34=L$7,H34=L$8,H34=L$9,H34=L$10,H34=L$11,H34=L$12,H34=L$13,H34=L$14),SottocategorieEntrate[[#Headers],[Varie Entrate]],IF(OR(H34=M$5,H34=M$6,H34=M$7,H34=M$8,H34=M$9,H34=M$10,H34=M$11,H34=M$12,H34=M$13,H34=M$14),SottocategorieEntrate[[#Headers],[Real Estate]],IF(OR(H34=N$5,H34=N$6,H34=N$7,H34=N$8,H34=N$9,H34=N$10,H34=N$11,H34=N$12,H34=N$13,H34=N$14),SottocategorieEntrate[[#Headers],[Other]],""))))))))))))</f>
        <v/>
      </c>
      <c r="J34" t="str">
        <f>IF(OR(Dati[[#This Row],[Categoria]]="Bollette",Dati[[#This Row],[Categoria]]="Conto &amp; Carte BNL",Dati[[#This Row],[Categoria]]="Prelievo",Dati[[#This Row],[Categoria]]="Affitto",Dati[[#This Row],[Categoria]]="BNL(Interessi Creditori)"),"Carta",IF(Dati[[#This Row],[Categoria]]&lt;&gt;0,"Cash",""))</f>
        <v/>
      </c>
      <c r="K34" s="59" t="str">
        <f>IF(OR(Data!$I34=SottocategorieUscite[[#Headers],[Fuori Casa]],Data!$I34=SottocategorieUscite[[#Headers],[Varie Uscite]],Data!$I34=SottocategorieUscite[[#Headers],[Personali]],Data!$I34=SottocategorieUscite[[#Headers],[Lavoro]]),"$ -","")</f>
        <v/>
      </c>
      <c r="L34" s="59" t="str">
        <f>IF(OR(Data!$I34=SottocategorieUscite[[#Headers],[Casa]],Data!$I34=SottocategorieUscite[[#Headers],[Utenze]],Data!$I34=SottocategorieUscite[[#Headers],[Business Uscite]],Data!$I34=SottocategorieUscite[[#Headers],[Banca]]),"$ -","")</f>
        <v/>
      </c>
      <c r="M34" s="59" t="str">
        <f>IF(OR($I34&lt;&gt;SottocategorieUscite[[#Headers],[Fuori Casa]],$I34&lt;&gt;SottocategorieUscite[[#Headers],[Varie Uscite]],$I34&lt;&gt;SottocategorieUscite[[#Headers],[Personali]],$I34&lt;&gt;SottocategorieUscite[[#Headers],[Lavoro]],$I34&lt;&gt;SottocategorieUscite[[#Headers],[Casa]],$I34&lt;&gt;SottocategorieUscite[[#Headers],[Utenze]],$I34&lt;&gt;SottocategorieUscite[[#Headers],[Business Uscite]],$I34&lt;&gt;SottocategorieUscite[[#Headers],[Banca]]),"","$ -")</f>
        <v/>
      </c>
      <c r="N34" s="59" t="str">
        <f>IF(OR(Data!$I34=SottocategorieEntrate[[#Headers],[Business Entrate]],Data!$I34=SottocategorieEntrate[[#Headers],[Varie Entrate]]),"$ -","")</f>
        <v/>
      </c>
      <c r="O34" s="59" t="str">
        <f>IF(OR(Data!$I34=SottocategorieEntrate[[#Headers],[Real Estate]],SottocategorieEntrate[[#Headers],[Other]]),"$ -","")</f>
        <v/>
      </c>
      <c r="P34" s="59" t="str">
        <f>IF(OR($I34&lt;&gt;SottocategorieEntrate[[#Headers],[Business Entrate]],$I34&lt;&gt;SottocategorieEntrate[[#Headers],[Varie Entrate]],$I34&lt;&gt;SottocategorieEntrate[[#Headers],[Real Estate]],$I34&lt;&gt;SottocategorieEntrate[[#Headers],[Other]]),"","$ -")</f>
        <v/>
      </c>
      <c r="Q34" s="59" t="str">
        <f>IF(Dati[[#This Row],[Categoria]]="Prelievo","€ -","")</f>
        <v/>
      </c>
      <c r="R34" s="244" t="str">
        <f t="shared" ca="1" si="2"/>
        <v/>
      </c>
      <c r="S34" s="59" t="str">
        <f>IF(Dati[[#This Row],[Categoria]]="Savings",0,"")</f>
        <v/>
      </c>
      <c r="T34" s="59"/>
      <c r="U34" s="59"/>
      <c r="V34" s="59"/>
      <c r="W34" s="59"/>
      <c r="X34" s="59"/>
      <c r="Y34" s="59"/>
      <c r="Z34" s="59"/>
      <c r="AA34" s="59"/>
      <c r="AB34" s="59"/>
      <c r="AC34" s="59"/>
      <c r="AD34" s="59"/>
      <c r="AE34" s="59"/>
      <c r="AF34" s="59"/>
      <c r="AG34" s="59"/>
      <c r="AH34" s="59"/>
      <c r="AI34" s="59" t="str">
        <f>IF(SUM(Dati[[#This Row],[Inv. Business]:[Inv. Cryptocurrency]])=0," ",SUM(Dati[[#This Row],[Inv. Business]:[Inv. Cryptocurrency]]))</f>
        <v xml:space="preserve"> </v>
      </c>
      <c r="AJ34" s="59"/>
      <c r="AK34" s="59" t="str">
        <f>IF(SUM(Dati[[#This Row],[Inv. Gold]:[Mutuo]])=0," ",SUM(Dati[[#This Row],[Inv. Gold]:[Mutuo]]))</f>
        <v xml:space="preserve"> </v>
      </c>
      <c r="AL34" s="59"/>
      <c r="AM34" s="59"/>
    </row>
    <row r="35" spans="2:39" ht="16" customHeight="1" x14ac:dyDescent="0.35">
      <c r="B35">
        <f t="shared" si="0"/>
        <v>15</v>
      </c>
      <c r="C35" s="49">
        <f t="shared" si="1"/>
        <v>44941</v>
      </c>
      <c r="D35" s="29">
        <f>DAY(Dati[[#This Row],[Data]])</f>
        <v>15</v>
      </c>
      <c r="E35" s="29" t="str">
        <f>IF(DAY(Data!$C$21:$C$1327)&gt;0,TEXT(Data!$C$21:$C$1327, "mmmm"),"")</f>
        <v>gennaio</v>
      </c>
      <c r="F35" s="29" t="str">
        <f>IF(DAY(Data!$C$21:$C$1327)&gt;0,TEXT(Data!$C$21:$C$1327, "aaaa"),"")</f>
        <v>2023</v>
      </c>
      <c r="I35" t="str">
        <f>IF(OR(H35=$B$5,H35=$B$6,H35=$B$7,H35=$B$8,H35=$B$9,H35=$B$10,H35=$B$11,H35=$B$12,H35=$B$13,H35=$B$14),SottocategorieUscite[[#Headers],[Fuori Casa]],IF(OR(H35=$C$5,H35=$C$6,H35=$C$7,H35=$C$8,H35=$C$9,H35=$C$10,H35=$C$11,H35=$C$12,H35=$C$13,H35=$C$14),SottocategorieUscite[[#Headers],[Varie Uscite]],IF(OR(H35=$D$5,H35=$D$6,H35=$D$7,H35=$D$8,H35=$D$9,H35=$D$10,H35=$D$11,H35=$D$12,H35=$D$13,H35=$D$14),SottocategorieUscite[[#Headers],[Personali]],IF(OR(H35=$E$5,H35=$E$6,H35=$E$7,H35=$E$8,H35=$E$9,H35=$E$10,H35=$E$11,H35=$E$12,H35=$E$13,H35=$E$14),SottocategorieUscite[[#Headers],[Lavoro]],IF(OR(H35=$F$5,H35=$F$6,H35=$F$7,H35=$F$8,H35=$F$9,H35=$F$10,H35=$F$11,H35=$F$12,H35=$F$13,H35=$F$14),SottocategorieUscite[[#Headers],[Casa]],IF(OR(H35=$G$5,H35=$G$6,H35=$G$7,H35=$G$8,H35=$G$9,H35=$G$10,H35=$G$11,H35=$G$12,H35=$G$13,H35=$G$14),SottocategorieUscite[[#Headers],[Utenze]],IF(OR(H35=$H$5,H35=$H$6,H35=$H$7,H35=$H$8,H35=$H$9,H35=$H$10,H35=$H$11,H35=$H$12,H35=$H$13,H35=$H$14),SottocategorieUscite[[#Headers],[Business Uscite]],IF(OR(H35=$I$5,H35=$I$6,H35=$I$7,H35=$I$8,H35=$I$9,H35=$I$10,H35=$I$11,H35=$I$12,H35=$I$13,H35=$I$14),SottocategorieUscite[[#Headers],[Banca]],IF(OR(H35=K$5,H35=K$6,H35=K$7,H35=K$8,H35=K$9,H35=K$10,H35=K$11,H35=K$12,H35=K$13,H35=K$14),SottocategorieEntrate[[#Headers],[Business Entrate]],IF(OR(H35=L$5,H35=L$6,H35=L$7,H35=L$8,H35=L$9,H35=L$10,H35=L$11,H35=L$12,H35=L$13,H35=L$14),SottocategorieEntrate[[#Headers],[Varie Entrate]],IF(OR(H35=M$5,H35=M$6,H35=M$7,H35=M$8,H35=M$9,H35=M$10,H35=M$11,H35=M$12,H35=M$13,H35=M$14),SottocategorieEntrate[[#Headers],[Real Estate]],IF(OR(H35=N$5,H35=N$6,H35=N$7,H35=N$8,H35=N$9,H35=N$10,H35=N$11,H35=N$12,H35=N$13,H35=N$14),SottocategorieEntrate[[#Headers],[Other]],""))))))))))))</f>
        <v/>
      </c>
      <c r="J35" t="str">
        <f>IF(OR(Dati[[#This Row],[Categoria]]="Bollette",Dati[[#This Row],[Categoria]]="Conto &amp; Carte BNL",Dati[[#This Row],[Categoria]]="Prelievo",Dati[[#This Row],[Categoria]]="Affitto",Dati[[#This Row],[Categoria]]="BNL(Interessi Creditori)"),"Carta",IF(Dati[[#This Row],[Categoria]]&lt;&gt;0,"Cash",""))</f>
        <v/>
      </c>
      <c r="K35" s="59" t="str">
        <f>IF(OR(Data!$I35=SottocategorieUscite[[#Headers],[Fuori Casa]],Data!$I35=SottocategorieUscite[[#Headers],[Varie Uscite]],Data!$I35=SottocategorieUscite[[#Headers],[Personali]],Data!$I35=SottocategorieUscite[[#Headers],[Lavoro]]),"$ -","")</f>
        <v/>
      </c>
      <c r="L35" s="59" t="str">
        <f>IF(OR(Data!$I35=SottocategorieUscite[[#Headers],[Casa]],Data!$I35=SottocategorieUscite[[#Headers],[Utenze]],Data!$I35=SottocategorieUscite[[#Headers],[Business Uscite]],Data!$I35=SottocategorieUscite[[#Headers],[Banca]]),"$ -","")</f>
        <v/>
      </c>
      <c r="M35" s="59" t="str">
        <f>IF(OR($I35&lt;&gt;SottocategorieUscite[[#Headers],[Fuori Casa]],$I35&lt;&gt;SottocategorieUscite[[#Headers],[Varie Uscite]],$I35&lt;&gt;SottocategorieUscite[[#Headers],[Personali]],$I35&lt;&gt;SottocategorieUscite[[#Headers],[Lavoro]],$I35&lt;&gt;SottocategorieUscite[[#Headers],[Casa]],$I35&lt;&gt;SottocategorieUscite[[#Headers],[Utenze]],$I35&lt;&gt;SottocategorieUscite[[#Headers],[Business Uscite]],$I35&lt;&gt;SottocategorieUscite[[#Headers],[Banca]]),"","$ -")</f>
        <v/>
      </c>
      <c r="N35" s="59" t="str">
        <f>IF(OR(Data!$I35=SottocategorieEntrate[[#Headers],[Business Entrate]],Data!$I35=SottocategorieEntrate[[#Headers],[Varie Entrate]]),"$ -","")</f>
        <v/>
      </c>
      <c r="O35" s="59" t="str">
        <f>IF(OR(Data!$I35=SottocategorieEntrate[[#Headers],[Real Estate]],SottocategorieEntrate[[#Headers],[Other]]),"$ -","")</f>
        <v/>
      </c>
      <c r="P35" s="59" t="str">
        <f>IF(OR($I35&lt;&gt;SottocategorieEntrate[[#Headers],[Business Entrate]],$I35&lt;&gt;SottocategorieEntrate[[#Headers],[Varie Entrate]],$I35&lt;&gt;SottocategorieEntrate[[#Headers],[Real Estate]],$I35&lt;&gt;SottocategorieEntrate[[#Headers],[Other]]),"","$ -")</f>
        <v/>
      </c>
      <c r="Q35" s="59" t="str">
        <f>IF(Dati[[#This Row],[Categoria]]="Prelievo","€ -","")</f>
        <v/>
      </c>
      <c r="R35" s="244" t="str">
        <f t="shared" ca="1" si="2"/>
        <v/>
      </c>
      <c r="S35" s="59" t="str">
        <f>IF(Dati[[#This Row],[Categoria]]="Savings",0,"")</f>
        <v/>
      </c>
      <c r="T35" s="59"/>
      <c r="U35" s="59"/>
      <c r="V35" s="59"/>
      <c r="W35" s="59"/>
      <c r="X35" s="59"/>
      <c r="Y35" s="59"/>
      <c r="Z35" s="59"/>
      <c r="AA35" s="59"/>
      <c r="AB35" s="59"/>
      <c r="AC35" s="59"/>
      <c r="AD35" s="59"/>
      <c r="AE35" s="59"/>
      <c r="AF35" s="59"/>
      <c r="AG35" s="59"/>
      <c r="AH35" s="59"/>
      <c r="AI35" s="59" t="str">
        <f>IF(SUM(Dati[[#This Row],[Inv. Business]:[Inv. Cryptocurrency]])=0," ",SUM(Dati[[#This Row],[Inv. Business]:[Inv. Cryptocurrency]]))</f>
        <v xml:space="preserve"> </v>
      </c>
      <c r="AJ35" s="59"/>
      <c r="AK35" s="59" t="str">
        <f>IF(SUM(Dati[[#This Row],[Inv. Gold]:[Mutuo]])=0," ",SUM(Dati[[#This Row],[Inv. Gold]:[Mutuo]]))</f>
        <v xml:space="preserve"> </v>
      </c>
      <c r="AL35" s="59"/>
      <c r="AM35" s="59"/>
    </row>
    <row r="36" spans="2:39" ht="16" customHeight="1" x14ac:dyDescent="0.35">
      <c r="B36">
        <f t="shared" si="0"/>
        <v>16</v>
      </c>
      <c r="C36" s="49">
        <f t="shared" si="1"/>
        <v>44942</v>
      </c>
      <c r="D36" s="29">
        <f>DAY(Dati[[#This Row],[Data]])</f>
        <v>16</v>
      </c>
      <c r="E36" s="29" t="str">
        <f>IF(DAY(Data!$C$21:$C$1327)&gt;0,TEXT(Data!$C$21:$C$1327, "mmmm"),"")</f>
        <v>gennaio</v>
      </c>
      <c r="F36" s="29" t="str">
        <f>IF(DAY(Data!$C$21:$C$1327)&gt;0,TEXT(Data!$C$21:$C$1327, "aaaa"),"")</f>
        <v>2023</v>
      </c>
      <c r="I36" t="str">
        <f>IF(OR(H36=$B$5,H36=$B$6,H36=$B$7,H36=$B$8,H36=$B$9,H36=$B$10,H36=$B$11,H36=$B$12,H36=$B$13,H36=$B$14),SottocategorieUscite[[#Headers],[Fuori Casa]],IF(OR(H36=$C$5,H36=$C$6,H36=$C$7,H36=$C$8,H36=$C$9,H36=$C$10,H36=$C$11,H36=$C$12,H36=$C$13,H36=$C$14),SottocategorieUscite[[#Headers],[Varie Uscite]],IF(OR(H36=$D$5,H36=$D$6,H36=$D$7,H36=$D$8,H36=$D$9,H36=$D$10,H36=$D$11,H36=$D$12,H36=$D$13,H36=$D$14),SottocategorieUscite[[#Headers],[Personali]],IF(OR(H36=$E$5,H36=$E$6,H36=$E$7,H36=$E$8,H36=$E$9,H36=$E$10,H36=$E$11,H36=$E$12,H36=$E$13,H36=$E$14),SottocategorieUscite[[#Headers],[Lavoro]],IF(OR(H36=$F$5,H36=$F$6,H36=$F$7,H36=$F$8,H36=$F$9,H36=$F$10,H36=$F$11,H36=$F$12,H36=$F$13,H36=$F$14),SottocategorieUscite[[#Headers],[Casa]],IF(OR(H36=$G$5,H36=$G$6,H36=$G$7,H36=$G$8,H36=$G$9,H36=$G$10,H36=$G$11,H36=$G$12,H36=$G$13,H36=$G$14),SottocategorieUscite[[#Headers],[Utenze]],IF(OR(H36=$H$5,H36=$H$6,H36=$H$7,H36=$H$8,H36=$H$9,H36=$H$10,H36=$H$11,H36=$H$12,H36=$H$13,H36=$H$14),SottocategorieUscite[[#Headers],[Business Uscite]],IF(OR(H36=$I$5,H36=$I$6,H36=$I$7,H36=$I$8,H36=$I$9,H36=$I$10,H36=$I$11,H36=$I$12,H36=$I$13,H36=$I$14),SottocategorieUscite[[#Headers],[Banca]],IF(OR(H36=K$5,H36=K$6,H36=K$7,H36=K$8,H36=K$9,H36=K$10,H36=K$11,H36=K$12,H36=K$13,H36=K$14),SottocategorieEntrate[[#Headers],[Business Entrate]],IF(OR(H36=L$5,H36=L$6,H36=L$7,H36=L$8,H36=L$9,H36=L$10,H36=L$11,H36=L$12,H36=L$13,H36=L$14),SottocategorieEntrate[[#Headers],[Varie Entrate]],IF(OR(H36=M$5,H36=M$6,H36=M$7,H36=M$8,H36=M$9,H36=M$10,H36=M$11,H36=M$12,H36=M$13,H36=M$14),SottocategorieEntrate[[#Headers],[Real Estate]],IF(OR(H36=N$5,H36=N$6,H36=N$7,H36=N$8,H36=N$9,H36=N$10,H36=N$11,H36=N$12,H36=N$13,H36=N$14),SottocategorieEntrate[[#Headers],[Other]],""))))))))))))</f>
        <v/>
      </c>
      <c r="J36" t="str">
        <f>IF(OR(Dati[[#This Row],[Categoria]]="Bollette",Dati[[#This Row],[Categoria]]="Conto &amp; Carte BNL",Dati[[#This Row],[Categoria]]="Prelievo",Dati[[#This Row],[Categoria]]="Affitto",Dati[[#This Row],[Categoria]]="BNL(Interessi Creditori)"),"Carta",IF(Dati[[#This Row],[Categoria]]&lt;&gt;0,"Cash",""))</f>
        <v/>
      </c>
      <c r="K36" s="59" t="str">
        <f>IF(OR(Data!$I36=SottocategorieUscite[[#Headers],[Fuori Casa]],Data!$I36=SottocategorieUscite[[#Headers],[Varie Uscite]],Data!$I36=SottocategorieUscite[[#Headers],[Personali]],Data!$I36=SottocategorieUscite[[#Headers],[Lavoro]]),"$ -","")</f>
        <v/>
      </c>
      <c r="L36" s="59" t="str">
        <f>IF(OR(Data!$I36=SottocategorieUscite[[#Headers],[Casa]],Data!$I36=SottocategorieUscite[[#Headers],[Utenze]],Data!$I36=SottocategorieUscite[[#Headers],[Business Uscite]],Data!$I36=SottocategorieUscite[[#Headers],[Banca]]),"$ -","")</f>
        <v/>
      </c>
      <c r="M36" s="59" t="str">
        <f>IF(OR($I36&lt;&gt;SottocategorieUscite[[#Headers],[Fuori Casa]],$I36&lt;&gt;SottocategorieUscite[[#Headers],[Varie Uscite]],$I36&lt;&gt;SottocategorieUscite[[#Headers],[Personali]],$I36&lt;&gt;SottocategorieUscite[[#Headers],[Lavoro]],$I36&lt;&gt;SottocategorieUscite[[#Headers],[Casa]],$I36&lt;&gt;SottocategorieUscite[[#Headers],[Utenze]],$I36&lt;&gt;SottocategorieUscite[[#Headers],[Business Uscite]],$I36&lt;&gt;SottocategorieUscite[[#Headers],[Banca]]),"","$ -")</f>
        <v/>
      </c>
      <c r="N36" s="59" t="str">
        <f>IF(OR(Data!$I36=SottocategorieEntrate[[#Headers],[Business Entrate]],Data!$I36=SottocategorieEntrate[[#Headers],[Varie Entrate]]),"$ -","")</f>
        <v/>
      </c>
      <c r="O36" s="59" t="str">
        <f>IF(OR(Data!$I36=SottocategorieEntrate[[#Headers],[Real Estate]],SottocategorieEntrate[[#Headers],[Other]]),"$ -","")</f>
        <v/>
      </c>
      <c r="P36" s="59" t="str">
        <f>IF(OR($I36&lt;&gt;SottocategorieEntrate[[#Headers],[Business Entrate]],$I36&lt;&gt;SottocategorieEntrate[[#Headers],[Varie Entrate]],$I36&lt;&gt;SottocategorieEntrate[[#Headers],[Real Estate]],$I36&lt;&gt;SottocategorieEntrate[[#Headers],[Other]]),"","$ -")</f>
        <v/>
      </c>
      <c r="Q36" s="59" t="str">
        <f>IF(Dati[[#This Row],[Categoria]]="Prelievo","€ -","")</f>
        <v/>
      </c>
      <c r="R36" s="244" t="str">
        <f t="shared" ca="1" si="2"/>
        <v/>
      </c>
      <c r="S36" s="59" t="str">
        <f>IF(Dati[[#This Row],[Categoria]]="Savings",0,"")</f>
        <v/>
      </c>
      <c r="T36" s="59"/>
      <c r="U36" s="59"/>
      <c r="V36" s="59"/>
      <c r="W36" s="59"/>
      <c r="X36" s="59"/>
      <c r="Y36" s="59"/>
      <c r="Z36" s="59"/>
      <c r="AA36" s="59"/>
      <c r="AB36" s="59"/>
      <c r="AC36" s="59"/>
      <c r="AD36" s="59"/>
      <c r="AE36" s="59"/>
      <c r="AF36" s="59"/>
      <c r="AG36" s="59"/>
      <c r="AH36" s="59"/>
      <c r="AI36" s="59" t="str">
        <f>IF(SUM(Dati[[#This Row],[Inv. Business]:[Inv. Cryptocurrency]])=0," ",SUM(Dati[[#This Row],[Inv. Business]:[Inv. Cryptocurrency]]))</f>
        <v xml:space="preserve"> </v>
      </c>
      <c r="AJ36" s="59"/>
      <c r="AK36" s="59" t="str">
        <f>IF(SUM(Dati[[#This Row],[Inv. Gold]:[Mutuo]])=0," ",SUM(Dati[[#This Row],[Inv. Gold]:[Mutuo]]))</f>
        <v xml:space="preserve"> </v>
      </c>
      <c r="AL36" s="59"/>
      <c r="AM36" s="59"/>
    </row>
    <row r="37" spans="2:39" ht="16" customHeight="1" x14ac:dyDescent="0.35">
      <c r="B37">
        <f t="shared" si="0"/>
        <v>17</v>
      </c>
      <c r="C37" s="49">
        <f t="shared" si="1"/>
        <v>44943</v>
      </c>
      <c r="D37" s="29">
        <f>DAY(Dati[[#This Row],[Data]])</f>
        <v>17</v>
      </c>
      <c r="E37" s="29" t="str">
        <f>IF(DAY(Data!$C$21:$C$1327)&gt;0,TEXT(Data!$C$21:$C$1327, "mmmm"),"")</f>
        <v>gennaio</v>
      </c>
      <c r="F37" s="29" t="str">
        <f>IF(DAY(Data!$C$21:$C$1327)&gt;0,TEXT(Data!$C$21:$C$1327, "aaaa"),"")</f>
        <v>2023</v>
      </c>
      <c r="I37" t="str">
        <f>IF(OR(H37=$B$5,H37=$B$6,H37=$B$7,H37=$B$8,H37=$B$9,H37=$B$10,H37=$B$11,H37=$B$12,H37=$B$13,H37=$B$14),SottocategorieUscite[[#Headers],[Fuori Casa]],IF(OR(H37=$C$5,H37=$C$6,H37=$C$7,H37=$C$8,H37=$C$9,H37=$C$10,H37=$C$11,H37=$C$12,H37=$C$13,H37=$C$14),SottocategorieUscite[[#Headers],[Varie Uscite]],IF(OR(H37=$D$5,H37=$D$6,H37=$D$7,H37=$D$8,H37=$D$9,H37=$D$10,H37=$D$11,H37=$D$12,H37=$D$13,H37=$D$14),SottocategorieUscite[[#Headers],[Personali]],IF(OR(H37=$E$5,H37=$E$6,H37=$E$7,H37=$E$8,H37=$E$9,H37=$E$10,H37=$E$11,H37=$E$12,H37=$E$13,H37=$E$14),SottocategorieUscite[[#Headers],[Lavoro]],IF(OR(H37=$F$5,H37=$F$6,H37=$F$7,H37=$F$8,H37=$F$9,H37=$F$10,H37=$F$11,H37=$F$12,H37=$F$13,H37=$F$14),SottocategorieUscite[[#Headers],[Casa]],IF(OR(H37=$G$5,H37=$G$6,H37=$G$7,H37=$G$8,H37=$G$9,H37=$G$10,H37=$G$11,H37=$G$12,H37=$G$13,H37=$G$14),SottocategorieUscite[[#Headers],[Utenze]],IF(OR(H37=$H$5,H37=$H$6,H37=$H$7,H37=$H$8,H37=$H$9,H37=$H$10,H37=$H$11,H37=$H$12,H37=$H$13,H37=$H$14),SottocategorieUscite[[#Headers],[Business Uscite]],IF(OR(H37=$I$5,H37=$I$6,H37=$I$7,H37=$I$8,H37=$I$9,H37=$I$10,H37=$I$11,H37=$I$12,H37=$I$13,H37=$I$14),SottocategorieUscite[[#Headers],[Banca]],IF(OR(H37=K$5,H37=K$6,H37=K$7,H37=K$8,H37=K$9,H37=K$10,H37=K$11,H37=K$12,H37=K$13,H37=K$14),SottocategorieEntrate[[#Headers],[Business Entrate]],IF(OR(H37=L$5,H37=L$6,H37=L$7,H37=L$8,H37=L$9,H37=L$10,H37=L$11,H37=L$12,H37=L$13,H37=L$14),SottocategorieEntrate[[#Headers],[Varie Entrate]],IF(OR(H37=M$5,H37=M$6,H37=M$7,H37=M$8,H37=M$9,H37=M$10,H37=M$11,H37=M$12,H37=M$13,H37=M$14),SottocategorieEntrate[[#Headers],[Real Estate]],IF(OR(H37=N$5,H37=N$6,H37=N$7,H37=N$8,H37=N$9,H37=N$10,H37=N$11,H37=N$12,H37=N$13,H37=N$14),SottocategorieEntrate[[#Headers],[Other]],""))))))))))))</f>
        <v/>
      </c>
      <c r="J37" t="str">
        <f>IF(OR(Dati[[#This Row],[Categoria]]="Bollette",Dati[[#This Row],[Categoria]]="Conto &amp; Carte BNL",Dati[[#This Row],[Categoria]]="Prelievo",Dati[[#This Row],[Categoria]]="Affitto",Dati[[#This Row],[Categoria]]="BNL(Interessi Creditori)"),"Carta",IF(Dati[[#This Row],[Categoria]]&lt;&gt;0,"Cash",""))</f>
        <v/>
      </c>
      <c r="K37" s="59" t="str">
        <f>IF(OR(Data!$I37=SottocategorieUscite[[#Headers],[Fuori Casa]],Data!$I37=SottocategorieUscite[[#Headers],[Varie Uscite]],Data!$I37=SottocategorieUscite[[#Headers],[Personali]],Data!$I37=SottocategorieUscite[[#Headers],[Lavoro]]),"$ -","")</f>
        <v/>
      </c>
      <c r="L37" s="59" t="str">
        <f>IF(OR(Data!$I37=SottocategorieUscite[[#Headers],[Casa]],Data!$I37=SottocategorieUscite[[#Headers],[Utenze]],Data!$I37=SottocategorieUscite[[#Headers],[Business Uscite]],Data!$I37=SottocategorieUscite[[#Headers],[Banca]]),"$ -","")</f>
        <v/>
      </c>
      <c r="M37" s="59" t="str">
        <f>IF(OR($I37&lt;&gt;SottocategorieUscite[[#Headers],[Fuori Casa]],$I37&lt;&gt;SottocategorieUscite[[#Headers],[Varie Uscite]],$I37&lt;&gt;SottocategorieUscite[[#Headers],[Personali]],$I37&lt;&gt;SottocategorieUscite[[#Headers],[Lavoro]],$I37&lt;&gt;SottocategorieUscite[[#Headers],[Casa]],$I37&lt;&gt;SottocategorieUscite[[#Headers],[Utenze]],$I37&lt;&gt;SottocategorieUscite[[#Headers],[Business Uscite]],$I37&lt;&gt;SottocategorieUscite[[#Headers],[Banca]]),"","$ -")</f>
        <v/>
      </c>
      <c r="N37" s="59" t="str">
        <f>IF(OR(Data!$I37=SottocategorieEntrate[[#Headers],[Business Entrate]],Data!$I37=SottocategorieEntrate[[#Headers],[Varie Entrate]]),"$ -","")</f>
        <v/>
      </c>
      <c r="O37" s="59" t="str">
        <f>IF(OR(Data!$I37=SottocategorieEntrate[[#Headers],[Real Estate]],SottocategorieEntrate[[#Headers],[Other]]),"$ -","")</f>
        <v/>
      </c>
      <c r="P37" s="59" t="str">
        <f>IF(OR($I37&lt;&gt;SottocategorieEntrate[[#Headers],[Business Entrate]],$I37&lt;&gt;SottocategorieEntrate[[#Headers],[Varie Entrate]],$I37&lt;&gt;SottocategorieEntrate[[#Headers],[Real Estate]],$I37&lt;&gt;SottocategorieEntrate[[#Headers],[Other]]),"","$ -")</f>
        <v/>
      </c>
      <c r="Q37" s="59" t="str">
        <f>IF(Dati[[#This Row],[Categoria]]="Prelievo","€ -","")</f>
        <v/>
      </c>
      <c r="R37" s="244" t="str">
        <f t="shared" ca="1" si="2"/>
        <v/>
      </c>
      <c r="S37" s="59" t="str">
        <f>IF(Dati[[#This Row],[Categoria]]="Savings",0,"")</f>
        <v/>
      </c>
      <c r="T37" s="59"/>
      <c r="U37" s="59"/>
      <c r="V37" s="59"/>
      <c r="W37" s="59"/>
      <c r="X37" s="59"/>
      <c r="Y37" s="59"/>
      <c r="Z37" s="59"/>
      <c r="AA37" s="59"/>
      <c r="AB37" s="59"/>
      <c r="AC37" s="59"/>
      <c r="AD37" s="59"/>
      <c r="AE37" s="59"/>
      <c r="AF37" s="59"/>
      <c r="AG37" s="59"/>
      <c r="AH37" s="59"/>
      <c r="AI37" s="59" t="str">
        <f>IF(SUM(Dati[[#This Row],[Inv. Business]:[Inv. Cryptocurrency]])=0," ",SUM(Dati[[#This Row],[Inv. Business]:[Inv. Cryptocurrency]]))</f>
        <v xml:space="preserve"> </v>
      </c>
      <c r="AJ37" s="59"/>
      <c r="AK37" s="59" t="str">
        <f>IF(SUM(Dati[[#This Row],[Inv. Gold]:[Mutuo]])=0," ",SUM(Dati[[#This Row],[Inv. Gold]:[Mutuo]]))</f>
        <v xml:space="preserve"> </v>
      </c>
      <c r="AL37" s="59"/>
      <c r="AM37" s="59"/>
    </row>
    <row r="38" spans="2:39" ht="16" customHeight="1" x14ac:dyDescent="0.35">
      <c r="B38">
        <f t="shared" si="0"/>
        <v>18</v>
      </c>
      <c r="C38" s="49">
        <f t="shared" si="1"/>
        <v>44944</v>
      </c>
      <c r="D38" s="29">
        <f>DAY(Dati[[#This Row],[Data]])</f>
        <v>18</v>
      </c>
      <c r="E38" s="29" t="str">
        <f>IF(DAY(Data!$C$21:$C$1327)&gt;0,TEXT(Data!$C$21:$C$1327, "mmmm"),"")</f>
        <v>gennaio</v>
      </c>
      <c r="F38" s="29" t="str">
        <f>IF(DAY(Data!$C$21:$C$1327)&gt;0,TEXT(Data!$C$21:$C$1327, "aaaa"),"")</f>
        <v>2023</v>
      </c>
      <c r="I38" t="str">
        <f>IF(OR(H38=$B$5,H38=$B$6,H38=$B$7,H38=$B$8,H38=$B$9,H38=$B$10,H38=$B$11,H38=$B$12,H38=$B$13,H38=$B$14),SottocategorieUscite[[#Headers],[Fuori Casa]],IF(OR(H38=$C$5,H38=$C$6,H38=$C$7,H38=$C$8,H38=$C$9,H38=$C$10,H38=$C$11,H38=$C$12,H38=$C$13,H38=$C$14),SottocategorieUscite[[#Headers],[Varie Uscite]],IF(OR(H38=$D$5,H38=$D$6,H38=$D$7,H38=$D$8,H38=$D$9,H38=$D$10,H38=$D$11,H38=$D$12,H38=$D$13,H38=$D$14),SottocategorieUscite[[#Headers],[Personali]],IF(OR(H38=$E$5,H38=$E$6,H38=$E$7,H38=$E$8,H38=$E$9,H38=$E$10,H38=$E$11,H38=$E$12,H38=$E$13,H38=$E$14),SottocategorieUscite[[#Headers],[Lavoro]],IF(OR(H38=$F$5,H38=$F$6,H38=$F$7,H38=$F$8,H38=$F$9,H38=$F$10,H38=$F$11,H38=$F$12,H38=$F$13,H38=$F$14),SottocategorieUscite[[#Headers],[Casa]],IF(OR(H38=$G$5,H38=$G$6,H38=$G$7,H38=$G$8,H38=$G$9,H38=$G$10,H38=$G$11,H38=$G$12,H38=$G$13,H38=$G$14),SottocategorieUscite[[#Headers],[Utenze]],IF(OR(H38=$H$5,H38=$H$6,H38=$H$7,H38=$H$8,H38=$H$9,H38=$H$10,H38=$H$11,H38=$H$12,H38=$H$13,H38=$H$14),SottocategorieUscite[[#Headers],[Business Uscite]],IF(OR(H38=$I$5,H38=$I$6,H38=$I$7,H38=$I$8,H38=$I$9,H38=$I$10,H38=$I$11,H38=$I$12,H38=$I$13,H38=$I$14),SottocategorieUscite[[#Headers],[Banca]],IF(OR(H38=K$5,H38=K$6,H38=K$7,H38=K$8,H38=K$9,H38=K$10,H38=K$11,H38=K$12,H38=K$13,H38=K$14),SottocategorieEntrate[[#Headers],[Business Entrate]],IF(OR(H38=L$5,H38=L$6,H38=L$7,H38=L$8,H38=L$9,H38=L$10,H38=L$11,H38=L$12,H38=L$13,H38=L$14),SottocategorieEntrate[[#Headers],[Varie Entrate]],IF(OR(H38=M$5,H38=M$6,H38=M$7,H38=M$8,H38=M$9,H38=M$10,H38=M$11,H38=M$12,H38=M$13,H38=M$14),SottocategorieEntrate[[#Headers],[Real Estate]],IF(OR(H38=N$5,H38=N$6,H38=N$7,H38=N$8,H38=N$9,H38=N$10,H38=N$11,H38=N$12,H38=N$13,H38=N$14),SottocategorieEntrate[[#Headers],[Other]],""))))))))))))</f>
        <v/>
      </c>
      <c r="J38" t="str">
        <f>IF(OR(Dati[[#This Row],[Categoria]]="Bollette",Dati[[#This Row],[Categoria]]="Conto &amp; Carte BNL",Dati[[#This Row],[Categoria]]="Prelievo",Dati[[#This Row],[Categoria]]="Affitto",Dati[[#This Row],[Categoria]]="BNL(Interessi Creditori)"),"Carta",IF(Dati[[#This Row],[Categoria]]&lt;&gt;0,"Cash",""))</f>
        <v/>
      </c>
      <c r="K38" s="59" t="str">
        <f>IF(OR(Data!$I38=SottocategorieUscite[[#Headers],[Fuori Casa]],Data!$I38=SottocategorieUscite[[#Headers],[Varie Uscite]],Data!$I38=SottocategorieUscite[[#Headers],[Personali]],Data!$I38=SottocategorieUscite[[#Headers],[Lavoro]]),"$ -","")</f>
        <v/>
      </c>
      <c r="L38" s="59" t="str">
        <f>IF(OR(Data!$I38=SottocategorieUscite[[#Headers],[Casa]],Data!$I38=SottocategorieUscite[[#Headers],[Utenze]],Data!$I38=SottocategorieUscite[[#Headers],[Business Uscite]],Data!$I38=SottocategorieUscite[[#Headers],[Banca]]),"$ -","")</f>
        <v/>
      </c>
      <c r="M38" s="59" t="str">
        <f>IF(OR($I38&lt;&gt;SottocategorieUscite[[#Headers],[Fuori Casa]],$I38&lt;&gt;SottocategorieUscite[[#Headers],[Varie Uscite]],$I38&lt;&gt;SottocategorieUscite[[#Headers],[Personali]],$I38&lt;&gt;SottocategorieUscite[[#Headers],[Lavoro]],$I38&lt;&gt;SottocategorieUscite[[#Headers],[Casa]],$I38&lt;&gt;SottocategorieUscite[[#Headers],[Utenze]],$I38&lt;&gt;SottocategorieUscite[[#Headers],[Business Uscite]],$I38&lt;&gt;SottocategorieUscite[[#Headers],[Banca]]),"","$ -")</f>
        <v/>
      </c>
      <c r="N38" s="59" t="str">
        <f>IF(OR(Data!$I38=SottocategorieEntrate[[#Headers],[Business Entrate]],Data!$I38=SottocategorieEntrate[[#Headers],[Varie Entrate]]),"$ -","")</f>
        <v/>
      </c>
      <c r="O38" s="59" t="str">
        <f>IF(OR(Data!$I38=SottocategorieEntrate[[#Headers],[Real Estate]],SottocategorieEntrate[[#Headers],[Other]]),"$ -","")</f>
        <v/>
      </c>
      <c r="P38" s="59" t="str">
        <f>IF(OR($I38&lt;&gt;SottocategorieEntrate[[#Headers],[Business Entrate]],$I38&lt;&gt;SottocategorieEntrate[[#Headers],[Varie Entrate]],$I38&lt;&gt;SottocategorieEntrate[[#Headers],[Real Estate]],$I38&lt;&gt;SottocategorieEntrate[[#Headers],[Other]]),"","$ -")</f>
        <v/>
      </c>
      <c r="Q38" s="59" t="str">
        <f>IF(Dati[[#This Row],[Categoria]]="Prelievo","€ -","")</f>
        <v/>
      </c>
      <c r="R38" s="244" t="str">
        <f t="shared" ca="1" si="2"/>
        <v/>
      </c>
      <c r="S38" s="59" t="str">
        <f>IF(Dati[[#This Row],[Categoria]]="Savings",0,"")</f>
        <v/>
      </c>
      <c r="T38" s="59"/>
      <c r="U38" s="59"/>
      <c r="V38" s="59"/>
      <c r="W38" s="59"/>
      <c r="X38" s="59"/>
      <c r="Y38" s="59"/>
      <c r="Z38" s="59"/>
      <c r="AA38" s="59"/>
      <c r="AB38" s="59"/>
      <c r="AC38" s="59"/>
      <c r="AD38" s="59"/>
      <c r="AE38" s="59"/>
      <c r="AF38" s="59"/>
      <c r="AG38" s="59"/>
      <c r="AH38" s="59"/>
      <c r="AI38" s="59" t="str">
        <f>IF(SUM(Dati[[#This Row],[Inv. Business]:[Inv. Cryptocurrency]])=0," ",SUM(Dati[[#This Row],[Inv. Business]:[Inv. Cryptocurrency]]))</f>
        <v xml:space="preserve"> </v>
      </c>
      <c r="AJ38" s="59"/>
      <c r="AK38" s="59" t="str">
        <f>IF(SUM(Dati[[#This Row],[Inv. Gold]:[Mutuo]])=0," ",SUM(Dati[[#This Row],[Inv. Gold]:[Mutuo]]))</f>
        <v xml:space="preserve"> </v>
      </c>
      <c r="AL38" s="59"/>
      <c r="AM38" s="59"/>
    </row>
    <row r="39" spans="2:39" ht="16" customHeight="1" x14ac:dyDescent="0.35">
      <c r="B39">
        <f t="shared" si="0"/>
        <v>19</v>
      </c>
      <c r="C39" s="49">
        <f t="shared" si="1"/>
        <v>44945</v>
      </c>
      <c r="D39" s="29">
        <f>DAY(Dati[[#This Row],[Data]])</f>
        <v>19</v>
      </c>
      <c r="E39" s="29" t="str">
        <f>IF(DAY(Data!$C$21:$C$1327)&gt;0,TEXT(Data!$C$21:$C$1327, "mmmm"),"")</f>
        <v>gennaio</v>
      </c>
      <c r="F39" s="29" t="str">
        <f>IF(DAY(Data!$C$21:$C$1327)&gt;0,TEXT(Data!$C$21:$C$1327, "aaaa"),"")</f>
        <v>2023</v>
      </c>
      <c r="I39" t="str">
        <f>IF(OR(H39=$B$5,H39=$B$6,H39=$B$7,H39=$B$8,H39=$B$9,H39=$B$10,H39=$B$11,H39=$B$12,H39=$B$13,H39=$B$14),SottocategorieUscite[[#Headers],[Fuori Casa]],IF(OR(H39=$C$5,H39=$C$6,H39=$C$7,H39=$C$8,H39=$C$9,H39=$C$10,H39=$C$11,H39=$C$12,H39=$C$13,H39=$C$14),SottocategorieUscite[[#Headers],[Varie Uscite]],IF(OR(H39=$D$5,H39=$D$6,H39=$D$7,H39=$D$8,H39=$D$9,H39=$D$10,H39=$D$11,H39=$D$12,H39=$D$13,H39=$D$14),SottocategorieUscite[[#Headers],[Personali]],IF(OR(H39=$E$5,H39=$E$6,H39=$E$7,H39=$E$8,H39=$E$9,H39=$E$10,H39=$E$11,H39=$E$12,H39=$E$13,H39=$E$14),SottocategorieUscite[[#Headers],[Lavoro]],IF(OR(H39=$F$5,H39=$F$6,H39=$F$7,H39=$F$8,H39=$F$9,H39=$F$10,H39=$F$11,H39=$F$12,H39=$F$13,H39=$F$14),SottocategorieUscite[[#Headers],[Casa]],IF(OR(H39=$G$5,H39=$G$6,H39=$G$7,H39=$G$8,H39=$G$9,H39=$G$10,H39=$G$11,H39=$G$12,H39=$G$13,H39=$G$14),SottocategorieUscite[[#Headers],[Utenze]],IF(OR(H39=$H$5,H39=$H$6,H39=$H$7,H39=$H$8,H39=$H$9,H39=$H$10,H39=$H$11,H39=$H$12,H39=$H$13,H39=$H$14),SottocategorieUscite[[#Headers],[Business Uscite]],IF(OR(H39=$I$5,H39=$I$6,H39=$I$7,H39=$I$8,H39=$I$9,H39=$I$10,H39=$I$11,H39=$I$12,H39=$I$13,H39=$I$14),SottocategorieUscite[[#Headers],[Banca]],IF(OR(H39=K$5,H39=K$6,H39=K$7,H39=K$8,H39=K$9,H39=K$10,H39=K$11,H39=K$12,H39=K$13,H39=K$14),SottocategorieEntrate[[#Headers],[Business Entrate]],IF(OR(H39=L$5,H39=L$6,H39=L$7,H39=L$8,H39=L$9,H39=L$10,H39=L$11,H39=L$12,H39=L$13,H39=L$14),SottocategorieEntrate[[#Headers],[Varie Entrate]],IF(OR(H39=M$5,H39=M$6,H39=M$7,H39=M$8,H39=M$9,H39=M$10,H39=M$11,H39=M$12,H39=M$13,H39=M$14),SottocategorieEntrate[[#Headers],[Real Estate]],IF(OR(H39=N$5,H39=N$6,H39=N$7,H39=N$8,H39=N$9,H39=N$10,H39=N$11,H39=N$12,H39=N$13,H39=N$14),SottocategorieEntrate[[#Headers],[Other]],""))))))))))))</f>
        <v/>
      </c>
      <c r="J39" t="str">
        <f>IF(OR(Dati[[#This Row],[Categoria]]="Bollette",Dati[[#This Row],[Categoria]]="Conto &amp; Carte BNL",Dati[[#This Row],[Categoria]]="Prelievo",Dati[[#This Row],[Categoria]]="Affitto",Dati[[#This Row],[Categoria]]="BNL(Interessi Creditori)"),"Carta",IF(Dati[[#This Row],[Categoria]]&lt;&gt;0,"Cash",""))</f>
        <v/>
      </c>
      <c r="K39" s="59" t="str">
        <f>IF(OR(Data!$I39=SottocategorieUscite[[#Headers],[Fuori Casa]],Data!$I39=SottocategorieUscite[[#Headers],[Varie Uscite]],Data!$I39=SottocategorieUscite[[#Headers],[Personali]],Data!$I39=SottocategorieUscite[[#Headers],[Lavoro]]),"$ -","")</f>
        <v/>
      </c>
      <c r="L39" s="59" t="str">
        <f>IF(OR(Data!$I39=SottocategorieUscite[[#Headers],[Casa]],Data!$I39=SottocategorieUscite[[#Headers],[Utenze]],Data!$I39=SottocategorieUscite[[#Headers],[Business Uscite]],Data!$I39=SottocategorieUscite[[#Headers],[Banca]]),"$ -","")</f>
        <v/>
      </c>
      <c r="M39" s="59" t="str">
        <f>IF(OR($I39&lt;&gt;SottocategorieUscite[[#Headers],[Fuori Casa]],$I39&lt;&gt;SottocategorieUscite[[#Headers],[Varie Uscite]],$I39&lt;&gt;SottocategorieUscite[[#Headers],[Personali]],$I39&lt;&gt;SottocategorieUscite[[#Headers],[Lavoro]],$I39&lt;&gt;SottocategorieUscite[[#Headers],[Casa]],$I39&lt;&gt;SottocategorieUscite[[#Headers],[Utenze]],$I39&lt;&gt;SottocategorieUscite[[#Headers],[Business Uscite]],$I39&lt;&gt;SottocategorieUscite[[#Headers],[Banca]]),"","$ -")</f>
        <v/>
      </c>
      <c r="N39" s="59" t="str">
        <f>IF(OR(Data!$I39=SottocategorieEntrate[[#Headers],[Business Entrate]],Data!$I39=SottocategorieEntrate[[#Headers],[Varie Entrate]]),"$ -","")</f>
        <v/>
      </c>
      <c r="O39" s="59" t="str">
        <f>IF(OR(Data!$I39=SottocategorieEntrate[[#Headers],[Real Estate]],SottocategorieEntrate[[#Headers],[Other]]),"$ -","")</f>
        <v/>
      </c>
      <c r="P39" s="59" t="str">
        <f>IF(OR($I39&lt;&gt;SottocategorieEntrate[[#Headers],[Business Entrate]],$I39&lt;&gt;SottocategorieEntrate[[#Headers],[Varie Entrate]],$I39&lt;&gt;SottocategorieEntrate[[#Headers],[Real Estate]],$I39&lt;&gt;SottocategorieEntrate[[#Headers],[Other]]),"","$ -")</f>
        <v/>
      </c>
      <c r="Q39" s="59" t="str">
        <f>IF(Dati[[#This Row],[Categoria]]="Prelievo","€ -","")</f>
        <v/>
      </c>
      <c r="R39" s="244" t="str">
        <f t="shared" ca="1" si="2"/>
        <v/>
      </c>
      <c r="S39" s="59" t="str">
        <f>IF(Dati[[#This Row],[Categoria]]="Savings",0,"")</f>
        <v/>
      </c>
      <c r="T39" s="59"/>
      <c r="U39" s="59"/>
      <c r="V39" s="59"/>
      <c r="W39" s="59"/>
      <c r="X39" s="59"/>
      <c r="Y39" s="59"/>
      <c r="Z39" s="59"/>
      <c r="AA39" s="59"/>
      <c r="AB39" s="59"/>
      <c r="AC39" s="59"/>
      <c r="AD39" s="59"/>
      <c r="AE39" s="59"/>
      <c r="AF39" s="59"/>
      <c r="AG39" s="59"/>
      <c r="AH39" s="59"/>
      <c r="AI39" s="59" t="str">
        <f>IF(SUM(Dati[[#This Row],[Inv. Business]:[Inv. Cryptocurrency]])=0," ",SUM(Dati[[#This Row],[Inv. Business]:[Inv. Cryptocurrency]]))</f>
        <v xml:space="preserve"> </v>
      </c>
      <c r="AJ39" s="59"/>
      <c r="AK39" s="59" t="str">
        <f>IF(SUM(Dati[[#This Row],[Inv. Gold]:[Mutuo]])=0," ",SUM(Dati[[#This Row],[Inv. Gold]:[Mutuo]]))</f>
        <v xml:space="preserve"> </v>
      </c>
      <c r="AL39" s="59"/>
      <c r="AM39" s="59"/>
    </row>
    <row r="40" spans="2:39" ht="16" customHeight="1" x14ac:dyDescent="0.35">
      <c r="B40">
        <f t="shared" si="0"/>
        <v>20</v>
      </c>
      <c r="C40" s="49">
        <f t="shared" si="1"/>
        <v>44946</v>
      </c>
      <c r="D40" s="29">
        <f>DAY(Dati[[#This Row],[Data]])</f>
        <v>20</v>
      </c>
      <c r="E40" s="29" t="str">
        <f>IF(DAY(Data!$C$21:$C$1327)&gt;0,TEXT(Data!$C$21:$C$1327, "mmmm"),"")</f>
        <v>gennaio</v>
      </c>
      <c r="F40" s="29" t="str">
        <f>IF(DAY(Data!$C$21:$C$1327)&gt;0,TEXT(Data!$C$21:$C$1327, "aaaa"),"")</f>
        <v>2023</v>
      </c>
      <c r="I40" t="str">
        <f>IF(OR(H40=$B$5,H40=$B$6,H40=$B$7,H40=$B$8,H40=$B$9,H40=$B$10,H40=$B$11,H40=$B$12,H40=$B$13,H40=$B$14),SottocategorieUscite[[#Headers],[Fuori Casa]],IF(OR(H40=$C$5,H40=$C$6,H40=$C$7,H40=$C$8,H40=$C$9,H40=$C$10,H40=$C$11,H40=$C$12,H40=$C$13,H40=$C$14),SottocategorieUscite[[#Headers],[Varie Uscite]],IF(OR(H40=$D$5,H40=$D$6,H40=$D$7,H40=$D$8,H40=$D$9,H40=$D$10,H40=$D$11,H40=$D$12,H40=$D$13,H40=$D$14),SottocategorieUscite[[#Headers],[Personali]],IF(OR(H40=$E$5,H40=$E$6,H40=$E$7,H40=$E$8,H40=$E$9,H40=$E$10,H40=$E$11,H40=$E$12,H40=$E$13,H40=$E$14),SottocategorieUscite[[#Headers],[Lavoro]],IF(OR(H40=$F$5,H40=$F$6,H40=$F$7,H40=$F$8,H40=$F$9,H40=$F$10,H40=$F$11,H40=$F$12,H40=$F$13,H40=$F$14),SottocategorieUscite[[#Headers],[Casa]],IF(OR(H40=$G$5,H40=$G$6,H40=$G$7,H40=$G$8,H40=$G$9,H40=$G$10,H40=$G$11,H40=$G$12,H40=$G$13,H40=$G$14),SottocategorieUscite[[#Headers],[Utenze]],IF(OR(H40=$H$5,H40=$H$6,H40=$H$7,H40=$H$8,H40=$H$9,H40=$H$10,H40=$H$11,H40=$H$12,H40=$H$13,H40=$H$14),SottocategorieUscite[[#Headers],[Business Uscite]],IF(OR(H40=$I$5,H40=$I$6,H40=$I$7,H40=$I$8,H40=$I$9,H40=$I$10,H40=$I$11,H40=$I$12,H40=$I$13,H40=$I$14),SottocategorieUscite[[#Headers],[Banca]],IF(OR(H40=K$5,H40=K$6,H40=K$7,H40=K$8,H40=K$9,H40=K$10,H40=K$11,H40=K$12,H40=K$13,H40=K$14),SottocategorieEntrate[[#Headers],[Business Entrate]],IF(OR(H40=L$5,H40=L$6,H40=L$7,H40=L$8,H40=L$9,H40=L$10,H40=L$11,H40=L$12,H40=L$13,H40=L$14),SottocategorieEntrate[[#Headers],[Varie Entrate]],IF(OR(H40=M$5,H40=M$6,H40=M$7,H40=M$8,H40=M$9,H40=M$10,H40=M$11,H40=M$12,H40=M$13,H40=M$14),SottocategorieEntrate[[#Headers],[Real Estate]],IF(OR(H40=N$5,H40=N$6,H40=N$7,H40=N$8,H40=N$9,H40=N$10,H40=N$11,H40=N$12,H40=N$13,H40=N$14),SottocategorieEntrate[[#Headers],[Other]],""))))))))))))</f>
        <v/>
      </c>
      <c r="J40" t="str">
        <f>IF(OR(Dati[[#This Row],[Categoria]]="Bollette",Dati[[#This Row],[Categoria]]="Conto &amp; Carte BNL",Dati[[#This Row],[Categoria]]="Prelievo",Dati[[#This Row],[Categoria]]="Affitto",Dati[[#This Row],[Categoria]]="BNL(Interessi Creditori)"),"Carta",IF(Dati[[#This Row],[Categoria]]&lt;&gt;0,"Cash",""))</f>
        <v/>
      </c>
      <c r="K40" s="59" t="str">
        <f>IF(OR(Data!$I40=SottocategorieUscite[[#Headers],[Fuori Casa]],Data!$I40=SottocategorieUscite[[#Headers],[Varie Uscite]],Data!$I40=SottocategorieUscite[[#Headers],[Personali]],Data!$I40=SottocategorieUscite[[#Headers],[Lavoro]]),"$ -","")</f>
        <v/>
      </c>
      <c r="L40" s="59" t="str">
        <f>IF(OR(Data!$I40=SottocategorieUscite[[#Headers],[Casa]],Data!$I40=SottocategorieUscite[[#Headers],[Utenze]],Data!$I40=SottocategorieUscite[[#Headers],[Business Uscite]],Data!$I40=SottocategorieUscite[[#Headers],[Banca]]),"$ -","")</f>
        <v/>
      </c>
      <c r="M40" s="59" t="str">
        <f>IF(OR($I40&lt;&gt;SottocategorieUscite[[#Headers],[Fuori Casa]],$I40&lt;&gt;SottocategorieUscite[[#Headers],[Varie Uscite]],$I40&lt;&gt;SottocategorieUscite[[#Headers],[Personali]],$I40&lt;&gt;SottocategorieUscite[[#Headers],[Lavoro]],$I40&lt;&gt;SottocategorieUscite[[#Headers],[Casa]],$I40&lt;&gt;SottocategorieUscite[[#Headers],[Utenze]],$I40&lt;&gt;SottocategorieUscite[[#Headers],[Business Uscite]],$I40&lt;&gt;SottocategorieUscite[[#Headers],[Banca]]),"","$ -")</f>
        <v/>
      </c>
      <c r="N40" s="59" t="str">
        <f>IF(OR(Data!$I40=SottocategorieEntrate[[#Headers],[Business Entrate]],Data!$I40=SottocategorieEntrate[[#Headers],[Varie Entrate]]),"$ -","")</f>
        <v/>
      </c>
      <c r="O40" s="59" t="str">
        <f>IF(OR(Data!$I40=SottocategorieEntrate[[#Headers],[Real Estate]],SottocategorieEntrate[[#Headers],[Other]]),"$ -","")</f>
        <v/>
      </c>
      <c r="P40" s="59" t="str">
        <f>IF(OR($I40&lt;&gt;SottocategorieEntrate[[#Headers],[Business Entrate]],$I40&lt;&gt;SottocategorieEntrate[[#Headers],[Varie Entrate]],$I40&lt;&gt;SottocategorieEntrate[[#Headers],[Real Estate]],$I40&lt;&gt;SottocategorieEntrate[[#Headers],[Other]]),"","$ -")</f>
        <v/>
      </c>
      <c r="Q40" s="59" t="str">
        <f>IF(Dati[[#This Row],[Categoria]]="Prelievo","€ -","")</f>
        <v/>
      </c>
      <c r="R40" s="244" t="str">
        <f t="shared" ca="1" si="2"/>
        <v/>
      </c>
      <c r="S40" s="59" t="str">
        <f>IF(Dati[[#This Row],[Categoria]]="Savings",0,"")</f>
        <v/>
      </c>
      <c r="T40" s="59"/>
      <c r="U40" s="59"/>
      <c r="V40" s="59"/>
      <c r="W40" s="59"/>
      <c r="X40" s="59"/>
      <c r="Y40" s="59"/>
      <c r="Z40" s="59"/>
      <c r="AA40" s="59"/>
      <c r="AB40" s="59"/>
      <c r="AC40" s="59"/>
      <c r="AD40" s="59"/>
      <c r="AE40" s="59"/>
      <c r="AF40" s="59"/>
      <c r="AG40" s="59"/>
      <c r="AH40" s="59"/>
      <c r="AI40" s="59" t="str">
        <f>IF(SUM(Dati[[#This Row],[Inv. Business]:[Inv. Cryptocurrency]])=0," ",SUM(Dati[[#This Row],[Inv. Business]:[Inv. Cryptocurrency]]))</f>
        <v xml:space="preserve"> </v>
      </c>
      <c r="AJ40" s="59"/>
      <c r="AK40" s="59" t="str">
        <f>IF(SUM(Dati[[#This Row],[Inv. Gold]:[Mutuo]])=0," ",SUM(Dati[[#This Row],[Inv. Gold]:[Mutuo]]))</f>
        <v xml:space="preserve"> </v>
      </c>
      <c r="AL40" s="59"/>
      <c r="AM40" s="59"/>
    </row>
    <row r="41" spans="2:39" ht="16" customHeight="1" x14ac:dyDescent="0.35">
      <c r="B41">
        <f t="shared" si="0"/>
        <v>21</v>
      </c>
      <c r="C41" s="49">
        <f t="shared" si="1"/>
        <v>44947</v>
      </c>
      <c r="D41" s="29">
        <f>DAY(Dati[[#This Row],[Data]])</f>
        <v>21</v>
      </c>
      <c r="E41" s="29" t="str">
        <f>IF(DAY(Data!$C$21:$C$1327)&gt;0,TEXT(Data!$C$21:$C$1327, "mmmm"),"")</f>
        <v>gennaio</v>
      </c>
      <c r="F41" s="29" t="str">
        <f>IF(DAY(Data!$C$21:$C$1327)&gt;0,TEXT(Data!$C$21:$C$1327, "aaaa"),"")</f>
        <v>2023</v>
      </c>
      <c r="I41" t="str">
        <f>IF(OR(H41=$B$5,H41=$B$6,H41=$B$7,H41=$B$8,H41=$B$9,H41=$B$10,H41=$B$11,H41=$B$12,H41=$B$13,H41=$B$14),SottocategorieUscite[[#Headers],[Fuori Casa]],IF(OR(H41=$C$5,H41=$C$6,H41=$C$7,H41=$C$8,H41=$C$9,H41=$C$10,H41=$C$11,H41=$C$12,H41=$C$13,H41=$C$14),SottocategorieUscite[[#Headers],[Varie Uscite]],IF(OR(H41=$D$5,H41=$D$6,H41=$D$7,H41=$D$8,H41=$D$9,H41=$D$10,H41=$D$11,H41=$D$12,H41=$D$13,H41=$D$14),SottocategorieUscite[[#Headers],[Personali]],IF(OR(H41=$E$5,H41=$E$6,H41=$E$7,H41=$E$8,H41=$E$9,H41=$E$10,H41=$E$11,H41=$E$12,H41=$E$13,H41=$E$14),SottocategorieUscite[[#Headers],[Lavoro]],IF(OR(H41=$F$5,H41=$F$6,H41=$F$7,H41=$F$8,H41=$F$9,H41=$F$10,H41=$F$11,H41=$F$12,H41=$F$13,H41=$F$14),SottocategorieUscite[[#Headers],[Casa]],IF(OR(H41=$G$5,H41=$G$6,H41=$G$7,H41=$G$8,H41=$G$9,H41=$G$10,H41=$G$11,H41=$G$12,H41=$G$13,H41=$G$14),SottocategorieUscite[[#Headers],[Utenze]],IF(OR(H41=$H$5,H41=$H$6,H41=$H$7,H41=$H$8,H41=$H$9,H41=$H$10,H41=$H$11,H41=$H$12,H41=$H$13,H41=$H$14),SottocategorieUscite[[#Headers],[Business Uscite]],IF(OR(H41=$I$5,H41=$I$6,H41=$I$7,H41=$I$8,H41=$I$9,H41=$I$10,H41=$I$11,H41=$I$12,H41=$I$13,H41=$I$14),SottocategorieUscite[[#Headers],[Banca]],IF(OR(H41=K$5,H41=K$6,H41=K$7,H41=K$8,H41=K$9,H41=K$10,H41=K$11,H41=K$12,H41=K$13,H41=K$14),SottocategorieEntrate[[#Headers],[Business Entrate]],IF(OR(H41=L$5,H41=L$6,H41=L$7,H41=L$8,H41=L$9,H41=L$10,H41=L$11,H41=L$12,H41=L$13,H41=L$14),SottocategorieEntrate[[#Headers],[Varie Entrate]],IF(OR(H41=M$5,H41=M$6,H41=M$7,H41=M$8,H41=M$9,H41=M$10,H41=M$11,H41=M$12,H41=M$13,H41=M$14),SottocategorieEntrate[[#Headers],[Real Estate]],IF(OR(H41=N$5,H41=N$6,H41=N$7,H41=N$8,H41=N$9,H41=N$10,H41=N$11,H41=N$12,H41=N$13,H41=N$14),SottocategorieEntrate[[#Headers],[Other]],""))))))))))))</f>
        <v/>
      </c>
      <c r="J41" t="str">
        <f>IF(OR(Dati[[#This Row],[Categoria]]="Bollette",Dati[[#This Row],[Categoria]]="Conto &amp; Carte BNL",Dati[[#This Row],[Categoria]]="Prelievo",Dati[[#This Row],[Categoria]]="Affitto",Dati[[#This Row],[Categoria]]="BNL(Interessi Creditori)"),"Carta",IF(Dati[[#This Row],[Categoria]]&lt;&gt;0,"Cash",""))</f>
        <v/>
      </c>
      <c r="K41" s="59" t="str">
        <f>IF(OR(Data!$I41=SottocategorieUscite[[#Headers],[Fuori Casa]],Data!$I41=SottocategorieUscite[[#Headers],[Varie Uscite]],Data!$I41=SottocategorieUscite[[#Headers],[Personali]],Data!$I41=SottocategorieUscite[[#Headers],[Lavoro]]),"$ -","")</f>
        <v/>
      </c>
      <c r="L41" s="59" t="str">
        <f>IF(OR(Data!$I41=SottocategorieUscite[[#Headers],[Casa]],Data!$I41=SottocategorieUscite[[#Headers],[Utenze]],Data!$I41=SottocategorieUscite[[#Headers],[Business Uscite]],Data!$I41=SottocategorieUscite[[#Headers],[Banca]]),"$ -","")</f>
        <v/>
      </c>
      <c r="M41" s="59" t="str">
        <f>IF(OR($I41&lt;&gt;SottocategorieUscite[[#Headers],[Fuori Casa]],$I41&lt;&gt;SottocategorieUscite[[#Headers],[Varie Uscite]],$I41&lt;&gt;SottocategorieUscite[[#Headers],[Personali]],$I41&lt;&gt;SottocategorieUscite[[#Headers],[Lavoro]],$I41&lt;&gt;SottocategorieUscite[[#Headers],[Casa]],$I41&lt;&gt;SottocategorieUscite[[#Headers],[Utenze]],$I41&lt;&gt;SottocategorieUscite[[#Headers],[Business Uscite]],$I41&lt;&gt;SottocategorieUscite[[#Headers],[Banca]]),"","$ -")</f>
        <v/>
      </c>
      <c r="N41" s="59" t="str">
        <f>IF(OR(Data!$I41=SottocategorieEntrate[[#Headers],[Business Entrate]],Data!$I41=SottocategorieEntrate[[#Headers],[Varie Entrate]]),"$ -","")</f>
        <v/>
      </c>
      <c r="O41" s="59" t="str">
        <f>IF(OR(Data!$I41=SottocategorieEntrate[[#Headers],[Real Estate]],SottocategorieEntrate[[#Headers],[Other]]),"$ -","")</f>
        <v/>
      </c>
      <c r="P41" s="59" t="str">
        <f>IF(OR($I41&lt;&gt;SottocategorieEntrate[[#Headers],[Business Entrate]],$I41&lt;&gt;SottocategorieEntrate[[#Headers],[Varie Entrate]],$I41&lt;&gt;SottocategorieEntrate[[#Headers],[Real Estate]],$I41&lt;&gt;SottocategorieEntrate[[#Headers],[Other]]),"","$ -")</f>
        <v/>
      </c>
      <c r="Q41" s="59" t="str">
        <f>IF(Dati[[#This Row],[Categoria]]="Prelievo","€ -","")</f>
        <v/>
      </c>
      <c r="R41" s="244" t="str">
        <f t="shared" ca="1" si="2"/>
        <v/>
      </c>
      <c r="S41" s="59" t="str">
        <f>IF(Dati[[#This Row],[Categoria]]="Savings",0,"")</f>
        <v/>
      </c>
      <c r="T41" s="59"/>
      <c r="U41" s="59"/>
      <c r="V41" s="59"/>
      <c r="W41" s="59"/>
      <c r="X41" s="59"/>
      <c r="Y41" s="59"/>
      <c r="Z41" s="59"/>
      <c r="AA41" s="59"/>
      <c r="AB41" s="59"/>
      <c r="AC41" s="59"/>
      <c r="AD41" s="59"/>
      <c r="AE41" s="59"/>
      <c r="AF41" s="59"/>
      <c r="AG41" s="59"/>
      <c r="AH41" s="59"/>
      <c r="AI41" s="59" t="str">
        <f>IF(SUM(Dati[[#This Row],[Inv. Business]:[Inv. Cryptocurrency]])=0," ",SUM(Dati[[#This Row],[Inv. Business]:[Inv. Cryptocurrency]]))</f>
        <v xml:space="preserve"> </v>
      </c>
      <c r="AJ41" s="59"/>
      <c r="AK41" s="59" t="str">
        <f>IF(SUM(Dati[[#This Row],[Inv. Gold]:[Mutuo]])=0," ",SUM(Dati[[#This Row],[Inv. Gold]:[Mutuo]]))</f>
        <v xml:space="preserve"> </v>
      </c>
      <c r="AL41" s="59"/>
      <c r="AM41" s="59"/>
    </row>
    <row r="42" spans="2:39" ht="16" customHeight="1" x14ac:dyDescent="0.35">
      <c r="B42">
        <f t="shared" si="0"/>
        <v>22</v>
      </c>
      <c r="C42" s="49">
        <f t="shared" si="1"/>
        <v>44948</v>
      </c>
      <c r="D42" s="29">
        <f>DAY(Dati[[#This Row],[Data]])</f>
        <v>22</v>
      </c>
      <c r="E42" s="29" t="str">
        <f>IF(DAY(Data!$C$21:$C$1327)&gt;0,TEXT(Data!$C$21:$C$1327, "mmmm"),"")</f>
        <v>gennaio</v>
      </c>
      <c r="F42" s="29" t="str">
        <f>IF(DAY(Data!$C$21:$C$1327)&gt;0,TEXT(Data!$C$21:$C$1327, "aaaa"),"")</f>
        <v>2023</v>
      </c>
      <c r="I42" t="str">
        <f>IF(OR(H42=$B$5,H42=$B$6,H42=$B$7,H42=$B$8,H42=$B$9,H42=$B$10,H42=$B$11,H42=$B$12,H42=$B$13,H42=$B$14),SottocategorieUscite[[#Headers],[Fuori Casa]],IF(OR(H42=$C$5,H42=$C$6,H42=$C$7,H42=$C$8,H42=$C$9,H42=$C$10,H42=$C$11,H42=$C$12,H42=$C$13,H42=$C$14),SottocategorieUscite[[#Headers],[Varie Uscite]],IF(OR(H42=$D$5,H42=$D$6,H42=$D$7,H42=$D$8,H42=$D$9,H42=$D$10,H42=$D$11,H42=$D$12,H42=$D$13,H42=$D$14),SottocategorieUscite[[#Headers],[Personali]],IF(OR(H42=$E$5,H42=$E$6,H42=$E$7,H42=$E$8,H42=$E$9,H42=$E$10,H42=$E$11,H42=$E$12,H42=$E$13,H42=$E$14),SottocategorieUscite[[#Headers],[Lavoro]],IF(OR(H42=$F$5,H42=$F$6,H42=$F$7,H42=$F$8,H42=$F$9,H42=$F$10,H42=$F$11,H42=$F$12,H42=$F$13,H42=$F$14),SottocategorieUscite[[#Headers],[Casa]],IF(OR(H42=$G$5,H42=$G$6,H42=$G$7,H42=$G$8,H42=$G$9,H42=$G$10,H42=$G$11,H42=$G$12,H42=$G$13,H42=$G$14),SottocategorieUscite[[#Headers],[Utenze]],IF(OR(H42=$H$5,H42=$H$6,H42=$H$7,H42=$H$8,H42=$H$9,H42=$H$10,H42=$H$11,H42=$H$12,H42=$H$13,H42=$H$14),SottocategorieUscite[[#Headers],[Business Uscite]],IF(OR(H42=$I$5,H42=$I$6,H42=$I$7,H42=$I$8,H42=$I$9,H42=$I$10,H42=$I$11,H42=$I$12,H42=$I$13,H42=$I$14),SottocategorieUscite[[#Headers],[Banca]],IF(OR(H42=K$5,H42=K$6,H42=K$7,H42=K$8,H42=K$9,H42=K$10,H42=K$11,H42=K$12,H42=K$13,H42=K$14),SottocategorieEntrate[[#Headers],[Business Entrate]],IF(OR(H42=L$5,H42=L$6,H42=L$7,H42=L$8,H42=L$9,H42=L$10,H42=L$11,H42=L$12,H42=L$13,H42=L$14),SottocategorieEntrate[[#Headers],[Varie Entrate]],IF(OR(H42=M$5,H42=M$6,H42=M$7,H42=M$8,H42=M$9,H42=M$10,H42=M$11,H42=M$12,H42=M$13,H42=M$14),SottocategorieEntrate[[#Headers],[Real Estate]],IF(OR(H42=N$5,H42=N$6,H42=N$7,H42=N$8,H42=N$9,H42=N$10,H42=N$11,H42=N$12,H42=N$13,H42=N$14),SottocategorieEntrate[[#Headers],[Other]],""))))))))))))</f>
        <v/>
      </c>
      <c r="J42" t="str">
        <f>IF(OR(Dati[[#This Row],[Categoria]]="Bollette",Dati[[#This Row],[Categoria]]="Conto &amp; Carte BNL",Dati[[#This Row],[Categoria]]="Prelievo",Dati[[#This Row],[Categoria]]="Affitto",Dati[[#This Row],[Categoria]]="BNL(Interessi Creditori)"),"Carta",IF(Dati[[#This Row],[Categoria]]&lt;&gt;0,"Cash",""))</f>
        <v/>
      </c>
      <c r="K42" s="59" t="str">
        <f>IF(OR(Data!$I42=SottocategorieUscite[[#Headers],[Fuori Casa]],Data!$I42=SottocategorieUscite[[#Headers],[Varie Uscite]],Data!$I42=SottocategorieUscite[[#Headers],[Personali]],Data!$I42=SottocategorieUscite[[#Headers],[Lavoro]]),"$ -","")</f>
        <v/>
      </c>
      <c r="L42" s="59" t="str">
        <f>IF(OR(Data!$I42=SottocategorieUscite[[#Headers],[Casa]],Data!$I42=SottocategorieUscite[[#Headers],[Utenze]],Data!$I42=SottocategorieUscite[[#Headers],[Business Uscite]],Data!$I42=SottocategorieUscite[[#Headers],[Banca]]),"$ -","")</f>
        <v/>
      </c>
      <c r="M42" s="59" t="str">
        <f>IF(OR($I42&lt;&gt;SottocategorieUscite[[#Headers],[Fuori Casa]],$I42&lt;&gt;SottocategorieUscite[[#Headers],[Varie Uscite]],$I42&lt;&gt;SottocategorieUscite[[#Headers],[Personali]],$I42&lt;&gt;SottocategorieUscite[[#Headers],[Lavoro]],$I42&lt;&gt;SottocategorieUscite[[#Headers],[Casa]],$I42&lt;&gt;SottocategorieUscite[[#Headers],[Utenze]],$I42&lt;&gt;SottocategorieUscite[[#Headers],[Business Uscite]],$I42&lt;&gt;SottocategorieUscite[[#Headers],[Banca]]),"","$ -")</f>
        <v/>
      </c>
      <c r="N42" s="59" t="str">
        <f>IF(OR(Data!$I42=SottocategorieEntrate[[#Headers],[Business Entrate]],Data!$I42=SottocategorieEntrate[[#Headers],[Varie Entrate]]),"$ -","")</f>
        <v/>
      </c>
      <c r="O42" s="59" t="str">
        <f>IF(OR(Data!$I42=SottocategorieEntrate[[#Headers],[Real Estate]],SottocategorieEntrate[[#Headers],[Other]]),"$ -","")</f>
        <v/>
      </c>
      <c r="P42" s="59" t="str">
        <f>IF(OR($I42&lt;&gt;SottocategorieEntrate[[#Headers],[Business Entrate]],$I42&lt;&gt;SottocategorieEntrate[[#Headers],[Varie Entrate]],$I42&lt;&gt;SottocategorieEntrate[[#Headers],[Real Estate]],$I42&lt;&gt;SottocategorieEntrate[[#Headers],[Other]]),"","$ -")</f>
        <v/>
      </c>
      <c r="Q42" s="59" t="str">
        <f>IF(Dati[[#This Row],[Categoria]]="Prelievo","€ -","")</f>
        <v/>
      </c>
      <c r="R42" s="244" t="str">
        <f t="shared" ca="1" si="2"/>
        <v/>
      </c>
      <c r="S42" s="59" t="str">
        <f>IF(Dati[[#This Row],[Categoria]]="Savings",0,"")</f>
        <v/>
      </c>
      <c r="T42" s="59"/>
      <c r="U42" s="59"/>
      <c r="V42" s="59"/>
      <c r="W42" s="59"/>
      <c r="X42" s="59"/>
      <c r="Y42" s="59"/>
      <c r="Z42" s="59"/>
      <c r="AA42" s="59"/>
      <c r="AB42" s="59"/>
      <c r="AC42" s="59"/>
      <c r="AD42" s="59"/>
      <c r="AE42" s="59"/>
      <c r="AF42" s="59"/>
      <c r="AG42" s="59"/>
      <c r="AH42" s="59"/>
      <c r="AI42" s="59" t="str">
        <f>IF(SUM(Dati[[#This Row],[Inv. Business]:[Inv. Cryptocurrency]])=0," ",SUM(Dati[[#This Row],[Inv. Business]:[Inv. Cryptocurrency]]))</f>
        <v xml:space="preserve"> </v>
      </c>
      <c r="AJ42" s="59"/>
      <c r="AK42" s="59" t="str">
        <f>IF(SUM(Dati[[#This Row],[Inv. Gold]:[Mutuo]])=0," ",SUM(Dati[[#This Row],[Inv. Gold]:[Mutuo]]))</f>
        <v xml:space="preserve"> </v>
      </c>
      <c r="AL42" s="59"/>
      <c r="AM42" s="59"/>
    </row>
    <row r="43" spans="2:39" ht="16" customHeight="1" x14ac:dyDescent="0.35">
      <c r="B43">
        <f t="shared" si="0"/>
        <v>23</v>
      </c>
      <c r="C43" s="49">
        <f t="shared" si="1"/>
        <v>44949</v>
      </c>
      <c r="D43" s="29">
        <f>DAY(Dati[[#This Row],[Data]])</f>
        <v>23</v>
      </c>
      <c r="E43" s="29" t="str">
        <f>IF(DAY(Data!$C$21:$C$1327)&gt;0,TEXT(Data!$C$21:$C$1327, "mmmm"),"")</f>
        <v>gennaio</v>
      </c>
      <c r="F43" s="29" t="str">
        <f>IF(DAY(Data!$C$21:$C$1327)&gt;0,TEXT(Data!$C$21:$C$1327, "aaaa"),"")</f>
        <v>2023</v>
      </c>
      <c r="I43" t="str">
        <f>IF(OR(H43=$B$5,H43=$B$6,H43=$B$7,H43=$B$8,H43=$B$9,H43=$B$10,H43=$B$11,H43=$B$12,H43=$B$13,H43=$B$14),SottocategorieUscite[[#Headers],[Fuori Casa]],IF(OR(H43=$C$5,H43=$C$6,H43=$C$7,H43=$C$8,H43=$C$9,H43=$C$10,H43=$C$11,H43=$C$12,H43=$C$13,H43=$C$14),SottocategorieUscite[[#Headers],[Varie Uscite]],IF(OR(H43=$D$5,H43=$D$6,H43=$D$7,H43=$D$8,H43=$D$9,H43=$D$10,H43=$D$11,H43=$D$12,H43=$D$13,H43=$D$14),SottocategorieUscite[[#Headers],[Personali]],IF(OR(H43=$E$5,H43=$E$6,H43=$E$7,H43=$E$8,H43=$E$9,H43=$E$10,H43=$E$11,H43=$E$12,H43=$E$13,H43=$E$14),SottocategorieUscite[[#Headers],[Lavoro]],IF(OR(H43=$F$5,H43=$F$6,H43=$F$7,H43=$F$8,H43=$F$9,H43=$F$10,H43=$F$11,H43=$F$12,H43=$F$13,H43=$F$14),SottocategorieUscite[[#Headers],[Casa]],IF(OR(H43=$G$5,H43=$G$6,H43=$G$7,H43=$G$8,H43=$G$9,H43=$G$10,H43=$G$11,H43=$G$12,H43=$G$13,H43=$G$14),SottocategorieUscite[[#Headers],[Utenze]],IF(OR(H43=$H$5,H43=$H$6,H43=$H$7,H43=$H$8,H43=$H$9,H43=$H$10,H43=$H$11,H43=$H$12,H43=$H$13,H43=$H$14),SottocategorieUscite[[#Headers],[Business Uscite]],IF(OR(H43=$I$5,H43=$I$6,H43=$I$7,H43=$I$8,H43=$I$9,H43=$I$10,H43=$I$11,H43=$I$12,H43=$I$13,H43=$I$14),SottocategorieUscite[[#Headers],[Banca]],IF(OR(H43=K$5,H43=K$6,H43=K$7,H43=K$8,H43=K$9,H43=K$10,H43=K$11,H43=K$12,H43=K$13,H43=K$14),SottocategorieEntrate[[#Headers],[Business Entrate]],IF(OR(H43=L$5,H43=L$6,H43=L$7,H43=L$8,H43=L$9,H43=L$10,H43=L$11,H43=L$12,H43=L$13,H43=L$14),SottocategorieEntrate[[#Headers],[Varie Entrate]],IF(OR(H43=M$5,H43=M$6,H43=M$7,H43=M$8,H43=M$9,H43=M$10,H43=M$11,H43=M$12,H43=M$13,H43=M$14),SottocategorieEntrate[[#Headers],[Real Estate]],IF(OR(H43=N$5,H43=N$6,H43=N$7,H43=N$8,H43=N$9,H43=N$10,H43=N$11,H43=N$12,H43=N$13,H43=N$14),SottocategorieEntrate[[#Headers],[Other]],""))))))))))))</f>
        <v/>
      </c>
      <c r="J43" t="str">
        <f>IF(OR(Dati[[#This Row],[Categoria]]="Bollette",Dati[[#This Row],[Categoria]]="Conto &amp; Carte BNL",Dati[[#This Row],[Categoria]]="Prelievo",Dati[[#This Row],[Categoria]]="Affitto",Dati[[#This Row],[Categoria]]="BNL(Interessi Creditori)"),"Carta",IF(Dati[[#This Row],[Categoria]]&lt;&gt;0,"Cash",""))</f>
        <v/>
      </c>
      <c r="K43" s="59" t="str">
        <f>IF(OR(Data!$I43=SottocategorieUscite[[#Headers],[Fuori Casa]],Data!$I43=SottocategorieUscite[[#Headers],[Varie Uscite]],Data!$I43=SottocategorieUscite[[#Headers],[Personali]],Data!$I43=SottocategorieUscite[[#Headers],[Lavoro]]),"$ -","")</f>
        <v/>
      </c>
      <c r="L43" s="59" t="str">
        <f>IF(OR(Data!$I43=SottocategorieUscite[[#Headers],[Casa]],Data!$I43=SottocategorieUscite[[#Headers],[Utenze]],Data!$I43=SottocategorieUscite[[#Headers],[Business Uscite]],Data!$I43=SottocategorieUscite[[#Headers],[Banca]]),"$ -","")</f>
        <v/>
      </c>
      <c r="M43" s="59" t="str">
        <f>IF(OR($I43&lt;&gt;SottocategorieUscite[[#Headers],[Fuori Casa]],$I43&lt;&gt;SottocategorieUscite[[#Headers],[Varie Uscite]],$I43&lt;&gt;SottocategorieUscite[[#Headers],[Personali]],$I43&lt;&gt;SottocategorieUscite[[#Headers],[Lavoro]],$I43&lt;&gt;SottocategorieUscite[[#Headers],[Casa]],$I43&lt;&gt;SottocategorieUscite[[#Headers],[Utenze]],$I43&lt;&gt;SottocategorieUscite[[#Headers],[Business Uscite]],$I43&lt;&gt;SottocategorieUscite[[#Headers],[Banca]]),"","$ -")</f>
        <v/>
      </c>
      <c r="N43" s="59" t="str">
        <f>IF(OR(Data!$I43=SottocategorieEntrate[[#Headers],[Business Entrate]],Data!$I43=SottocategorieEntrate[[#Headers],[Varie Entrate]]),"$ -","")</f>
        <v/>
      </c>
      <c r="O43" s="59" t="str">
        <f>IF(OR(Data!$I43=SottocategorieEntrate[[#Headers],[Real Estate]],SottocategorieEntrate[[#Headers],[Other]]),"$ -","")</f>
        <v/>
      </c>
      <c r="P43" s="59" t="str">
        <f>IF(OR($I43&lt;&gt;SottocategorieEntrate[[#Headers],[Business Entrate]],$I43&lt;&gt;SottocategorieEntrate[[#Headers],[Varie Entrate]],$I43&lt;&gt;SottocategorieEntrate[[#Headers],[Real Estate]],$I43&lt;&gt;SottocategorieEntrate[[#Headers],[Other]]),"","$ -")</f>
        <v/>
      </c>
      <c r="Q43" s="59" t="str">
        <f>IF(Dati[[#This Row],[Categoria]]="Prelievo","€ -","")</f>
        <v/>
      </c>
      <c r="R43" s="244" t="str">
        <f t="shared" ca="1" si="2"/>
        <v/>
      </c>
      <c r="S43" s="59" t="str">
        <f>IF(Dati[[#This Row],[Categoria]]="Savings",0,"")</f>
        <v/>
      </c>
      <c r="T43" s="59"/>
      <c r="U43" s="59"/>
      <c r="V43" s="59"/>
      <c r="W43" s="59"/>
      <c r="X43" s="59"/>
      <c r="Y43" s="59"/>
      <c r="Z43" s="59"/>
      <c r="AA43" s="59"/>
      <c r="AB43" s="59"/>
      <c r="AC43" s="59"/>
      <c r="AD43" s="59"/>
      <c r="AE43" s="59"/>
      <c r="AF43" s="59"/>
      <c r="AG43" s="59"/>
      <c r="AH43" s="59"/>
      <c r="AI43" s="59" t="str">
        <f>IF(SUM(Dati[[#This Row],[Inv. Business]:[Inv. Cryptocurrency]])=0," ",SUM(Dati[[#This Row],[Inv. Business]:[Inv. Cryptocurrency]]))</f>
        <v xml:space="preserve"> </v>
      </c>
      <c r="AJ43" s="59"/>
      <c r="AK43" s="59" t="str">
        <f>IF(SUM(Dati[[#This Row],[Inv. Gold]:[Mutuo]])=0," ",SUM(Dati[[#This Row],[Inv. Gold]:[Mutuo]]))</f>
        <v xml:space="preserve"> </v>
      </c>
      <c r="AL43" s="59"/>
      <c r="AM43" s="59"/>
    </row>
    <row r="44" spans="2:39" ht="16" customHeight="1" x14ac:dyDescent="0.35">
      <c r="B44">
        <f t="shared" si="0"/>
        <v>24</v>
      </c>
      <c r="C44" s="49">
        <f t="shared" si="1"/>
        <v>44950</v>
      </c>
      <c r="D44" s="29">
        <f>DAY(Dati[[#This Row],[Data]])</f>
        <v>24</v>
      </c>
      <c r="E44" s="29" t="str">
        <f>IF(DAY(Data!$C$21:$C$1327)&gt;0,TEXT(Data!$C$21:$C$1327, "mmmm"),"")</f>
        <v>gennaio</v>
      </c>
      <c r="F44" s="29" t="str">
        <f>IF(DAY(Data!$C$21:$C$1327)&gt;0,TEXT(Data!$C$21:$C$1327, "aaaa"),"")</f>
        <v>2023</v>
      </c>
      <c r="I44" t="str">
        <f>IF(OR(H44=$B$5,H44=$B$6,H44=$B$7,H44=$B$8,H44=$B$9,H44=$B$10,H44=$B$11,H44=$B$12,H44=$B$13,H44=$B$14),SottocategorieUscite[[#Headers],[Fuori Casa]],IF(OR(H44=$C$5,H44=$C$6,H44=$C$7,H44=$C$8,H44=$C$9,H44=$C$10,H44=$C$11,H44=$C$12,H44=$C$13,H44=$C$14),SottocategorieUscite[[#Headers],[Varie Uscite]],IF(OR(H44=$D$5,H44=$D$6,H44=$D$7,H44=$D$8,H44=$D$9,H44=$D$10,H44=$D$11,H44=$D$12,H44=$D$13,H44=$D$14),SottocategorieUscite[[#Headers],[Personali]],IF(OR(H44=$E$5,H44=$E$6,H44=$E$7,H44=$E$8,H44=$E$9,H44=$E$10,H44=$E$11,H44=$E$12,H44=$E$13,H44=$E$14),SottocategorieUscite[[#Headers],[Lavoro]],IF(OR(H44=$F$5,H44=$F$6,H44=$F$7,H44=$F$8,H44=$F$9,H44=$F$10,H44=$F$11,H44=$F$12,H44=$F$13,H44=$F$14),SottocategorieUscite[[#Headers],[Casa]],IF(OR(H44=$G$5,H44=$G$6,H44=$G$7,H44=$G$8,H44=$G$9,H44=$G$10,H44=$G$11,H44=$G$12,H44=$G$13,H44=$G$14),SottocategorieUscite[[#Headers],[Utenze]],IF(OR(H44=$H$5,H44=$H$6,H44=$H$7,H44=$H$8,H44=$H$9,H44=$H$10,H44=$H$11,H44=$H$12,H44=$H$13,H44=$H$14),SottocategorieUscite[[#Headers],[Business Uscite]],IF(OR(H44=$I$5,H44=$I$6,H44=$I$7,H44=$I$8,H44=$I$9,H44=$I$10,H44=$I$11,H44=$I$12,H44=$I$13,H44=$I$14),SottocategorieUscite[[#Headers],[Banca]],IF(OR(H44=K$5,H44=K$6,H44=K$7,H44=K$8,H44=K$9,H44=K$10,H44=K$11,H44=K$12,H44=K$13,H44=K$14),SottocategorieEntrate[[#Headers],[Business Entrate]],IF(OR(H44=L$5,H44=L$6,H44=L$7,H44=L$8,H44=L$9,H44=L$10,H44=L$11,H44=L$12,H44=L$13,H44=L$14),SottocategorieEntrate[[#Headers],[Varie Entrate]],IF(OR(H44=M$5,H44=M$6,H44=M$7,H44=M$8,H44=M$9,H44=M$10,H44=M$11,H44=M$12,H44=M$13,H44=M$14),SottocategorieEntrate[[#Headers],[Real Estate]],IF(OR(H44=N$5,H44=N$6,H44=N$7,H44=N$8,H44=N$9,H44=N$10,H44=N$11,H44=N$12,H44=N$13,H44=N$14),SottocategorieEntrate[[#Headers],[Other]],""))))))))))))</f>
        <v/>
      </c>
      <c r="J44" t="str">
        <f>IF(OR(Dati[[#This Row],[Categoria]]="Bollette",Dati[[#This Row],[Categoria]]="Conto &amp; Carte BNL",Dati[[#This Row],[Categoria]]="Prelievo",Dati[[#This Row],[Categoria]]="Affitto",Dati[[#This Row],[Categoria]]="BNL(Interessi Creditori)"),"Carta",IF(Dati[[#This Row],[Categoria]]&lt;&gt;0,"Cash",""))</f>
        <v/>
      </c>
      <c r="K44" s="59" t="str">
        <f>IF(OR(Data!$I44=SottocategorieUscite[[#Headers],[Fuori Casa]],Data!$I44=SottocategorieUscite[[#Headers],[Varie Uscite]],Data!$I44=SottocategorieUscite[[#Headers],[Personali]],Data!$I44=SottocategorieUscite[[#Headers],[Lavoro]]),"$ -","")</f>
        <v/>
      </c>
      <c r="L44" s="59" t="str">
        <f>IF(OR(Data!$I44=SottocategorieUscite[[#Headers],[Casa]],Data!$I44=SottocategorieUscite[[#Headers],[Utenze]],Data!$I44=SottocategorieUscite[[#Headers],[Business Uscite]],Data!$I44=SottocategorieUscite[[#Headers],[Banca]]),"$ -","")</f>
        <v/>
      </c>
      <c r="M44" s="59" t="str">
        <f>IF(OR($I44&lt;&gt;SottocategorieUscite[[#Headers],[Fuori Casa]],$I44&lt;&gt;SottocategorieUscite[[#Headers],[Varie Uscite]],$I44&lt;&gt;SottocategorieUscite[[#Headers],[Personali]],$I44&lt;&gt;SottocategorieUscite[[#Headers],[Lavoro]],$I44&lt;&gt;SottocategorieUscite[[#Headers],[Casa]],$I44&lt;&gt;SottocategorieUscite[[#Headers],[Utenze]],$I44&lt;&gt;SottocategorieUscite[[#Headers],[Business Uscite]],$I44&lt;&gt;SottocategorieUscite[[#Headers],[Banca]]),"","$ -")</f>
        <v/>
      </c>
      <c r="N44" s="59" t="str">
        <f>IF(OR(Data!$I44=SottocategorieEntrate[[#Headers],[Business Entrate]],Data!$I44=SottocategorieEntrate[[#Headers],[Varie Entrate]]),"$ -","")</f>
        <v/>
      </c>
      <c r="O44" s="59" t="str">
        <f>IF(OR(Data!$I44=SottocategorieEntrate[[#Headers],[Real Estate]],SottocategorieEntrate[[#Headers],[Other]]),"$ -","")</f>
        <v/>
      </c>
      <c r="P44" s="59" t="str">
        <f>IF(OR($I44&lt;&gt;SottocategorieEntrate[[#Headers],[Business Entrate]],$I44&lt;&gt;SottocategorieEntrate[[#Headers],[Varie Entrate]],$I44&lt;&gt;SottocategorieEntrate[[#Headers],[Real Estate]],$I44&lt;&gt;SottocategorieEntrate[[#Headers],[Other]]),"","$ -")</f>
        <v/>
      </c>
      <c r="Q44" s="59" t="str">
        <f>IF(Dati[[#This Row],[Categoria]]="Prelievo","€ -","")</f>
        <v/>
      </c>
      <c r="R44" s="244" t="str">
        <f t="shared" ca="1" si="2"/>
        <v/>
      </c>
      <c r="S44" s="59" t="str">
        <f>IF(Dati[[#This Row],[Categoria]]="Savings",0,"")</f>
        <v/>
      </c>
      <c r="T44" s="59"/>
      <c r="U44" s="59"/>
      <c r="V44" s="59"/>
      <c r="W44" s="59"/>
      <c r="X44" s="59"/>
      <c r="Y44" s="59"/>
      <c r="Z44" s="59"/>
      <c r="AA44" s="59"/>
      <c r="AB44" s="59"/>
      <c r="AC44" s="59"/>
      <c r="AD44" s="59"/>
      <c r="AE44" s="59"/>
      <c r="AF44" s="59"/>
      <c r="AG44" s="59"/>
      <c r="AH44" s="59"/>
      <c r="AI44" s="59" t="str">
        <f>IF(SUM(Dati[[#This Row],[Inv. Business]:[Inv. Cryptocurrency]])=0," ",SUM(Dati[[#This Row],[Inv. Business]:[Inv. Cryptocurrency]]))</f>
        <v xml:space="preserve"> </v>
      </c>
      <c r="AJ44" s="59"/>
      <c r="AK44" s="59" t="str">
        <f>IF(SUM(Dati[[#This Row],[Inv. Gold]:[Mutuo]])=0," ",SUM(Dati[[#This Row],[Inv. Gold]:[Mutuo]]))</f>
        <v xml:space="preserve"> </v>
      </c>
      <c r="AL44" s="59"/>
      <c r="AM44" s="59"/>
    </row>
    <row r="45" spans="2:39" ht="16" customHeight="1" x14ac:dyDescent="0.35">
      <c r="B45">
        <f t="shared" si="0"/>
        <v>25</v>
      </c>
      <c r="C45" s="49">
        <f t="shared" si="1"/>
        <v>44951</v>
      </c>
      <c r="D45" s="29">
        <f>DAY(Dati[[#This Row],[Data]])</f>
        <v>25</v>
      </c>
      <c r="E45" s="29" t="str">
        <f>IF(DAY(Data!$C$21:$C$1327)&gt;0,TEXT(Data!$C$21:$C$1327, "mmmm"),"")</f>
        <v>gennaio</v>
      </c>
      <c r="F45" s="29" t="str">
        <f>IF(DAY(Data!$C$21:$C$1327)&gt;0,TEXT(Data!$C$21:$C$1327, "aaaa"),"")</f>
        <v>2023</v>
      </c>
      <c r="I45" t="str">
        <f>IF(OR(H45=$B$5,H45=$B$6,H45=$B$7,H45=$B$8,H45=$B$9,H45=$B$10,H45=$B$11,H45=$B$12,H45=$B$13,H45=$B$14),SottocategorieUscite[[#Headers],[Fuori Casa]],IF(OR(H45=$C$5,H45=$C$6,H45=$C$7,H45=$C$8,H45=$C$9,H45=$C$10,H45=$C$11,H45=$C$12,H45=$C$13,H45=$C$14),SottocategorieUscite[[#Headers],[Varie Uscite]],IF(OR(H45=$D$5,H45=$D$6,H45=$D$7,H45=$D$8,H45=$D$9,H45=$D$10,H45=$D$11,H45=$D$12,H45=$D$13,H45=$D$14),SottocategorieUscite[[#Headers],[Personali]],IF(OR(H45=$E$5,H45=$E$6,H45=$E$7,H45=$E$8,H45=$E$9,H45=$E$10,H45=$E$11,H45=$E$12,H45=$E$13,H45=$E$14),SottocategorieUscite[[#Headers],[Lavoro]],IF(OR(H45=$F$5,H45=$F$6,H45=$F$7,H45=$F$8,H45=$F$9,H45=$F$10,H45=$F$11,H45=$F$12,H45=$F$13,H45=$F$14),SottocategorieUscite[[#Headers],[Casa]],IF(OR(H45=$G$5,H45=$G$6,H45=$G$7,H45=$G$8,H45=$G$9,H45=$G$10,H45=$G$11,H45=$G$12,H45=$G$13,H45=$G$14),SottocategorieUscite[[#Headers],[Utenze]],IF(OR(H45=$H$5,H45=$H$6,H45=$H$7,H45=$H$8,H45=$H$9,H45=$H$10,H45=$H$11,H45=$H$12,H45=$H$13,H45=$H$14),SottocategorieUscite[[#Headers],[Business Uscite]],IF(OR(H45=$I$5,H45=$I$6,H45=$I$7,H45=$I$8,H45=$I$9,H45=$I$10,H45=$I$11,H45=$I$12,H45=$I$13,H45=$I$14),SottocategorieUscite[[#Headers],[Banca]],IF(OR(H45=K$5,H45=K$6,H45=K$7,H45=K$8,H45=K$9,H45=K$10,H45=K$11,H45=K$12,H45=K$13,H45=K$14),SottocategorieEntrate[[#Headers],[Business Entrate]],IF(OR(H45=L$5,H45=L$6,H45=L$7,H45=L$8,H45=L$9,H45=L$10,H45=L$11,H45=L$12,H45=L$13,H45=L$14),SottocategorieEntrate[[#Headers],[Varie Entrate]],IF(OR(H45=M$5,H45=M$6,H45=M$7,H45=M$8,H45=M$9,H45=M$10,H45=M$11,H45=M$12,H45=M$13,H45=M$14),SottocategorieEntrate[[#Headers],[Real Estate]],IF(OR(H45=N$5,H45=N$6,H45=N$7,H45=N$8,H45=N$9,H45=N$10,H45=N$11,H45=N$12,H45=N$13,H45=N$14),SottocategorieEntrate[[#Headers],[Other]],""))))))))))))</f>
        <v/>
      </c>
      <c r="J45" t="str">
        <f>IF(OR(Dati[[#This Row],[Categoria]]="Bollette",Dati[[#This Row],[Categoria]]="Conto &amp; Carte BNL",Dati[[#This Row],[Categoria]]="Prelievo",Dati[[#This Row],[Categoria]]="Affitto",Dati[[#This Row],[Categoria]]="BNL(Interessi Creditori)"),"Carta",IF(Dati[[#This Row],[Categoria]]&lt;&gt;0,"Cash",""))</f>
        <v/>
      </c>
      <c r="K45" s="59" t="str">
        <f>IF(OR(Data!$I45=SottocategorieUscite[[#Headers],[Fuori Casa]],Data!$I45=SottocategorieUscite[[#Headers],[Varie Uscite]],Data!$I45=SottocategorieUscite[[#Headers],[Personali]],Data!$I45=SottocategorieUscite[[#Headers],[Lavoro]]),"$ -","")</f>
        <v/>
      </c>
      <c r="L45" s="59" t="str">
        <f>IF(OR(Data!$I45=SottocategorieUscite[[#Headers],[Casa]],Data!$I45=SottocategorieUscite[[#Headers],[Utenze]],Data!$I45=SottocategorieUscite[[#Headers],[Business Uscite]],Data!$I45=SottocategorieUscite[[#Headers],[Banca]]),"$ -","")</f>
        <v/>
      </c>
      <c r="M45" s="59" t="str">
        <f>IF(OR($I45&lt;&gt;SottocategorieUscite[[#Headers],[Fuori Casa]],$I45&lt;&gt;SottocategorieUscite[[#Headers],[Varie Uscite]],$I45&lt;&gt;SottocategorieUscite[[#Headers],[Personali]],$I45&lt;&gt;SottocategorieUscite[[#Headers],[Lavoro]],$I45&lt;&gt;SottocategorieUscite[[#Headers],[Casa]],$I45&lt;&gt;SottocategorieUscite[[#Headers],[Utenze]],$I45&lt;&gt;SottocategorieUscite[[#Headers],[Business Uscite]],$I45&lt;&gt;SottocategorieUscite[[#Headers],[Banca]]),"","$ -")</f>
        <v/>
      </c>
      <c r="N45" s="59" t="str">
        <f>IF(OR(Data!$I45=SottocategorieEntrate[[#Headers],[Business Entrate]],Data!$I45=SottocategorieEntrate[[#Headers],[Varie Entrate]]),"$ -","")</f>
        <v/>
      </c>
      <c r="O45" s="59" t="str">
        <f>IF(OR(Data!$I45=SottocategorieEntrate[[#Headers],[Real Estate]],SottocategorieEntrate[[#Headers],[Other]]),"$ -","")</f>
        <v/>
      </c>
      <c r="P45" s="59" t="str">
        <f>IF(OR($I45&lt;&gt;SottocategorieEntrate[[#Headers],[Business Entrate]],$I45&lt;&gt;SottocategorieEntrate[[#Headers],[Varie Entrate]],$I45&lt;&gt;SottocategorieEntrate[[#Headers],[Real Estate]],$I45&lt;&gt;SottocategorieEntrate[[#Headers],[Other]]),"","$ -")</f>
        <v/>
      </c>
      <c r="Q45" s="59" t="str">
        <f>IF(Dati[[#This Row],[Categoria]]="Prelievo","€ -","")</f>
        <v/>
      </c>
      <c r="R45" s="244" t="str">
        <f t="shared" ca="1" si="2"/>
        <v/>
      </c>
      <c r="S45" s="59" t="str">
        <f>IF(Dati[[#This Row],[Categoria]]="Savings",0,"")</f>
        <v/>
      </c>
      <c r="T45" s="59"/>
      <c r="U45" s="59"/>
      <c r="V45" s="59"/>
      <c r="W45" s="59"/>
      <c r="X45" s="59"/>
      <c r="Y45" s="59"/>
      <c r="Z45" s="59"/>
      <c r="AA45" s="59"/>
      <c r="AB45" s="59"/>
      <c r="AC45" s="59"/>
      <c r="AD45" s="59"/>
      <c r="AE45" s="59"/>
      <c r="AF45" s="59"/>
      <c r="AG45" s="59"/>
      <c r="AH45" s="59"/>
      <c r="AI45" s="59" t="str">
        <f>IF(SUM(Dati[[#This Row],[Inv. Business]:[Inv. Cryptocurrency]])=0," ",SUM(Dati[[#This Row],[Inv. Business]:[Inv. Cryptocurrency]]))</f>
        <v xml:space="preserve"> </v>
      </c>
      <c r="AJ45" s="59"/>
      <c r="AK45" s="59" t="str">
        <f>IF(SUM(Dati[[#This Row],[Inv. Gold]:[Mutuo]])=0," ",SUM(Dati[[#This Row],[Inv. Gold]:[Mutuo]]))</f>
        <v xml:space="preserve"> </v>
      </c>
      <c r="AL45" s="59"/>
      <c r="AM45" s="59"/>
    </row>
    <row r="46" spans="2:39" ht="16" customHeight="1" x14ac:dyDescent="0.35">
      <c r="B46">
        <f t="shared" si="0"/>
        <v>26</v>
      </c>
      <c r="C46" s="49">
        <f t="shared" si="1"/>
        <v>44952</v>
      </c>
      <c r="D46" s="29">
        <f>DAY(Dati[[#This Row],[Data]])</f>
        <v>26</v>
      </c>
      <c r="E46" s="29" t="str">
        <f>IF(DAY(Data!$C$21:$C$1327)&gt;0,TEXT(Data!$C$21:$C$1327, "mmmm"),"")</f>
        <v>gennaio</v>
      </c>
      <c r="F46" s="29" t="str">
        <f>IF(DAY(Data!$C$21:$C$1327)&gt;0,TEXT(Data!$C$21:$C$1327, "aaaa"),"")</f>
        <v>2023</v>
      </c>
      <c r="I46" t="str">
        <f>IF(OR(H46=$B$5,H46=$B$6,H46=$B$7,H46=$B$8,H46=$B$9,H46=$B$10,H46=$B$11,H46=$B$12,H46=$B$13,H46=$B$14),SottocategorieUscite[[#Headers],[Fuori Casa]],IF(OR(H46=$C$5,H46=$C$6,H46=$C$7,H46=$C$8,H46=$C$9,H46=$C$10,H46=$C$11,H46=$C$12,H46=$C$13,H46=$C$14),SottocategorieUscite[[#Headers],[Varie Uscite]],IF(OR(H46=$D$5,H46=$D$6,H46=$D$7,H46=$D$8,H46=$D$9,H46=$D$10,H46=$D$11,H46=$D$12,H46=$D$13,H46=$D$14),SottocategorieUscite[[#Headers],[Personali]],IF(OR(H46=$E$5,H46=$E$6,H46=$E$7,H46=$E$8,H46=$E$9,H46=$E$10,H46=$E$11,H46=$E$12,H46=$E$13,H46=$E$14),SottocategorieUscite[[#Headers],[Lavoro]],IF(OR(H46=$F$5,H46=$F$6,H46=$F$7,H46=$F$8,H46=$F$9,H46=$F$10,H46=$F$11,H46=$F$12,H46=$F$13,H46=$F$14),SottocategorieUscite[[#Headers],[Casa]],IF(OR(H46=$G$5,H46=$G$6,H46=$G$7,H46=$G$8,H46=$G$9,H46=$G$10,H46=$G$11,H46=$G$12,H46=$G$13,H46=$G$14),SottocategorieUscite[[#Headers],[Utenze]],IF(OR(H46=$H$5,H46=$H$6,H46=$H$7,H46=$H$8,H46=$H$9,H46=$H$10,H46=$H$11,H46=$H$12,H46=$H$13,H46=$H$14),SottocategorieUscite[[#Headers],[Business Uscite]],IF(OR(H46=$I$5,H46=$I$6,H46=$I$7,H46=$I$8,H46=$I$9,H46=$I$10,H46=$I$11,H46=$I$12,H46=$I$13,H46=$I$14),SottocategorieUscite[[#Headers],[Banca]],IF(OR(H46=K$5,H46=K$6,H46=K$7,H46=K$8,H46=K$9,H46=K$10,H46=K$11,H46=K$12,H46=K$13,H46=K$14),SottocategorieEntrate[[#Headers],[Business Entrate]],IF(OR(H46=L$5,H46=L$6,H46=L$7,H46=L$8,H46=L$9,H46=L$10,H46=L$11,H46=L$12,H46=L$13,H46=L$14),SottocategorieEntrate[[#Headers],[Varie Entrate]],IF(OR(H46=M$5,H46=M$6,H46=M$7,H46=M$8,H46=M$9,H46=M$10,H46=M$11,H46=M$12,H46=M$13,H46=M$14),SottocategorieEntrate[[#Headers],[Real Estate]],IF(OR(H46=N$5,H46=N$6,H46=N$7,H46=N$8,H46=N$9,H46=N$10,H46=N$11,H46=N$12,H46=N$13,H46=N$14),SottocategorieEntrate[[#Headers],[Other]],""))))))))))))</f>
        <v/>
      </c>
      <c r="J46" t="str">
        <f>IF(OR(Dati[[#This Row],[Categoria]]="Bollette",Dati[[#This Row],[Categoria]]="Conto &amp; Carte BNL",Dati[[#This Row],[Categoria]]="Prelievo",Dati[[#This Row],[Categoria]]="Affitto",Dati[[#This Row],[Categoria]]="BNL(Interessi Creditori)"),"Carta",IF(Dati[[#This Row],[Categoria]]&lt;&gt;0,"Cash",""))</f>
        <v/>
      </c>
      <c r="K46" s="59" t="str">
        <f>IF(OR(Data!$I46=SottocategorieUscite[[#Headers],[Fuori Casa]],Data!$I46=SottocategorieUscite[[#Headers],[Varie Uscite]],Data!$I46=SottocategorieUscite[[#Headers],[Personali]],Data!$I46=SottocategorieUscite[[#Headers],[Lavoro]]),"$ -","")</f>
        <v/>
      </c>
      <c r="L46" s="59" t="str">
        <f>IF(OR(Data!$I46=SottocategorieUscite[[#Headers],[Casa]],Data!$I46=SottocategorieUscite[[#Headers],[Utenze]],Data!$I46=SottocategorieUscite[[#Headers],[Business Uscite]],Data!$I46=SottocategorieUscite[[#Headers],[Banca]]),"$ -","")</f>
        <v/>
      </c>
      <c r="M46" s="59" t="str">
        <f>IF(OR($I46&lt;&gt;SottocategorieUscite[[#Headers],[Fuori Casa]],$I46&lt;&gt;SottocategorieUscite[[#Headers],[Varie Uscite]],$I46&lt;&gt;SottocategorieUscite[[#Headers],[Personali]],$I46&lt;&gt;SottocategorieUscite[[#Headers],[Lavoro]],$I46&lt;&gt;SottocategorieUscite[[#Headers],[Casa]],$I46&lt;&gt;SottocategorieUscite[[#Headers],[Utenze]],$I46&lt;&gt;SottocategorieUscite[[#Headers],[Business Uscite]],$I46&lt;&gt;SottocategorieUscite[[#Headers],[Banca]]),"","$ -")</f>
        <v/>
      </c>
      <c r="N46" s="59" t="str">
        <f>IF(OR(Data!$I46=SottocategorieEntrate[[#Headers],[Business Entrate]],Data!$I46=SottocategorieEntrate[[#Headers],[Varie Entrate]]),"$ -","")</f>
        <v/>
      </c>
      <c r="O46" s="59" t="str">
        <f>IF(OR(Data!$I46=SottocategorieEntrate[[#Headers],[Real Estate]],SottocategorieEntrate[[#Headers],[Other]]),"$ -","")</f>
        <v/>
      </c>
      <c r="P46" s="59" t="str">
        <f>IF(OR($I46&lt;&gt;SottocategorieEntrate[[#Headers],[Business Entrate]],$I46&lt;&gt;SottocategorieEntrate[[#Headers],[Varie Entrate]],$I46&lt;&gt;SottocategorieEntrate[[#Headers],[Real Estate]],$I46&lt;&gt;SottocategorieEntrate[[#Headers],[Other]]),"","$ -")</f>
        <v/>
      </c>
      <c r="Q46" s="59" t="str">
        <f>IF(Dati[[#This Row],[Categoria]]="Prelievo","€ -","")</f>
        <v/>
      </c>
      <c r="R46" s="244" t="str">
        <f t="shared" ca="1" si="2"/>
        <v/>
      </c>
      <c r="S46" s="59" t="str">
        <f>IF(Dati[[#This Row],[Categoria]]="Savings",0,"")</f>
        <v/>
      </c>
      <c r="T46" s="59"/>
      <c r="U46" s="59"/>
      <c r="V46" s="59"/>
      <c r="W46" s="59"/>
      <c r="X46" s="59"/>
      <c r="Y46" s="59"/>
      <c r="Z46" s="59"/>
      <c r="AA46" s="59"/>
      <c r="AB46" s="59"/>
      <c r="AC46" s="59"/>
      <c r="AD46" s="59"/>
      <c r="AE46" s="59"/>
      <c r="AF46" s="59"/>
      <c r="AG46" s="59"/>
      <c r="AH46" s="59"/>
      <c r="AI46" s="59" t="str">
        <f>IF(SUM(Dati[[#This Row],[Inv. Business]:[Inv. Cryptocurrency]])=0," ",SUM(Dati[[#This Row],[Inv. Business]:[Inv. Cryptocurrency]]))</f>
        <v xml:space="preserve"> </v>
      </c>
      <c r="AJ46" s="59"/>
      <c r="AK46" s="59" t="str">
        <f>IF(SUM(Dati[[#This Row],[Inv. Gold]:[Mutuo]])=0," ",SUM(Dati[[#This Row],[Inv. Gold]:[Mutuo]]))</f>
        <v xml:space="preserve"> </v>
      </c>
      <c r="AL46" s="59"/>
      <c r="AM46" s="59"/>
    </row>
    <row r="47" spans="2:39" ht="16" customHeight="1" x14ac:dyDescent="0.35">
      <c r="B47">
        <f t="shared" si="0"/>
        <v>27</v>
      </c>
      <c r="C47" s="49">
        <f t="shared" si="1"/>
        <v>44953</v>
      </c>
      <c r="D47" s="29">
        <f>DAY(Dati[[#This Row],[Data]])</f>
        <v>27</v>
      </c>
      <c r="E47" s="29" t="str">
        <f>IF(DAY(Data!$C$21:$C$1327)&gt;0,TEXT(Data!$C$21:$C$1327, "mmmm"),"")</f>
        <v>gennaio</v>
      </c>
      <c r="F47" s="29" t="str">
        <f>IF(DAY(Data!$C$21:$C$1327)&gt;0,TEXT(Data!$C$21:$C$1327, "aaaa"),"")</f>
        <v>2023</v>
      </c>
      <c r="I47" t="str">
        <f>IF(OR(H47=$B$5,H47=$B$6,H47=$B$7,H47=$B$8,H47=$B$9,H47=$B$10,H47=$B$11,H47=$B$12,H47=$B$13,H47=$B$14),SottocategorieUscite[[#Headers],[Fuori Casa]],IF(OR(H47=$C$5,H47=$C$6,H47=$C$7,H47=$C$8,H47=$C$9,H47=$C$10,H47=$C$11,H47=$C$12,H47=$C$13,H47=$C$14),SottocategorieUscite[[#Headers],[Varie Uscite]],IF(OR(H47=$D$5,H47=$D$6,H47=$D$7,H47=$D$8,H47=$D$9,H47=$D$10,H47=$D$11,H47=$D$12,H47=$D$13,H47=$D$14),SottocategorieUscite[[#Headers],[Personali]],IF(OR(H47=$E$5,H47=$E$6,H47=$E$7,H47=$E$8,H47=$E$9,H47=$E$10,H47=$E$11,H47=$E$12,H47=$E$13,H47=$E$14),SottocategorieUscite[[#Headers],[Lavoro]],IF(OR(H47=$F$5,H47=$F$6,H47=$F$7,H47=$F$8,H47=$F$9,H47=$F$10,H47=$F$11,H47=$F$12,H47=$F$13,H47=$F$14),SottocategorieUscite[[#Headers],[Casa]],IF(OR(H47=$G$5,H47=$G$6,H47=$G$7,H47=$G$8,H47=$G$9,H47=$G$10,H47=$G$11,H47=$G$12,H47=$G$13,H47=$G$14),SottocategorieUscite[[#Headers],[Utenze]],IF(OR(H47=$H$5,H47=$H$6,H47=$H$7,H47=$H$8,H47=$H$9,H47=$H$10,H47=$H$11,H47=$H$12,H47=$H$13,H47=$H$14),SottocategorieUscite[[#Headers],[Business Uscite]],IF(OR(H47=$I$5,H47=$I$6,H47=$I$7,H47=$I$8,H47=$I$9,H47=$I$10,H47=$I$11,H47=$I$12,H47=$I$13,H47=$I$14),SottocategorieUscite[[#Headers],[Banca]],IF(OR(H47=K$5,H47=K$6,H47=K$7,H47=K$8,H47=K$9,H47=K$10,H47=K$11,H47=K$12,H47=K$13,H47=K$14),SottocategorieEntrate[[#Headers],[Business Entrate]],IF(OR(H47=L$5,H47=L$6,H47=L$7,H47=L$8,H47=L$9,H47=L$10,H47=L$11,H47=L$12,H47=L$13,H47=L$14),SottocategorieEntrate[[#Headers],[Varie Entrate]],IF(OR(H47=M$5,H47=M$6,H47=M$7,H47=M$8,H47=M$9,H47=M$10,H47=M$11,H47=M$12,H47=M$13,H47=M$14),SottocategorieEntrate[[#Headers],[Real Estate]],IF(OR(H47=N$5,H47=N$6,H47=N$7,H47=N$8,H47=N$9,H47=N$10,H47=N$11,H47=N$12,H47=N$13,H47=N$14),SottocategorieEntrate[[#Headers],[Other]],""))))))))))))</f>
        <v/>
      </c>
      <c r="J47" t="str">
        <f>IF(OR(Dati[[#This Row],[Categoria]]="Bollette",Dati[[#This Row],[Categoria]]="Conto &amp; Carte BNL",Dati[[#This Row],[Categoria]]="Prelievo",Dati[[#This Row],[Categoria]]="Affitto",Dati[[#This Row],[Categoria]]="BNL(Interessi Creditori)"),"Carta",IF(Dati[[#This Row],[Categoria]]&lt;&gt;0,"Cash",""))</f>
        <v/>
      </c>
      <c r="K47" s="59" t="str">
        <f>IF(OR(Data!$I47=SottocategorieUscite[[#Headers],[Fuori Casa]],Data!$I47=SottocategorieUscite[[#Headers],[Varie Uscite]],Data!$I47=SottocategorieUscite[[#Headers],[Personali]],Data!$I47=SottocategorieUscite[[#Headers],[Lavoro]]),"$ -","")</f>
        <v/>
      </c>
      <c r="L47" s="59" t="str">
        <f>IF(OR(Data!$I47=SottocategorieUscite[[#Headers],[Casa]],Data!$I47=SottocategorieUscite[[#Headers],[Utenze]],Data!$I47=SottocategorieUscite[[#Headers],[Business Uscite]],Data!$I47=SottocategorieUscite[[#Headers],[Banca]]),"$ -","")</f>
        <v/>
      </c>
      <c r="M47" s="59" t="str">
        <f>IF(OR($I47&lt;&gt;SottocategorieUscite[[#Headers],[Fuori Casa]],$I47&lt;&gt;SottocategorieUscite[[#Headers],[Varie Uscite]],$I47&lt;&gt;SottocategorieUscite[[#Headers],[Personali]],$I47&lt;&gt;SottocategorieUscite[[#Headers],[Lavoro]],$I47&lt;&gt;SottocategorieUscite[[#Headers],[Casa]],$I47&lt;&gt;SottocategorieUscite[[#Headers],[Utenze]],$I47&lt;&gt;SottocategorieUscite[[#Headers],[Business Uscite]],$I47&lt;&gt;SottocategorieUscite[[#Headers],[Banca]]),"","$ -")</f>
        <v/>
      </c>
      <c r="N47" s="59" t="str">
        <f>IF(OR(Data!$I47=SottocategorieEntrate[[#Headers],[Business Entrate]],Data!$I47=SottocategorieEntrate[[#Headers],[Varie Entrate]]),"$ -","")</f>
        <v/>
      </c>
      <c r="O47" s="59" t="str">
        <f>IF(OR(Data!$I47=SottocategorieEntrate[[#Headers],[Real Estate]],SottocategorieEntrate[[#Headers],[Other]]),"$ -","")</f>
        <v/>
      </c>
      <c r="P47" s="59" t="str">
        <f>IF(OR($I47&lt;&gt;SottocategorieEntrate[[#Headers],[Business Entrate]],$I47&lt;&gt;SottocategorieEntrate[[#Headers],[Varie Entrate]],$I47&lt;&gt;SottocategorieEntrate[[#Headers],[Real Estate]],$I47&lt;&gt;SottocategorieEntrate[[#Headers],[Other]]),"","$ -")</f>
        <v/>
      </c>
      <c r="Q47" s="59" t="str">
        <f>IF(Dati[[#This Row],[Categoria]]="Prelievo","€ -","")</f>
        <v/>
      </c>
      <c r="R47" s="244" t="str">
        <f t="shared" ca="1" si="2"/>
        <v/>
      </c>
      <c r="S47" s="59" t="str">
        <f>IF(Dati[[#This Row],[Categoria]]="Savings",0,"")</f>
        <v/>
      </c>
      <c r="T47" s="59"/>
      <c r="U47" s="59"/>
      <c r="V47" s="59"/>
      <c r="W47" s="59"/>
      <c r="X47" s="59"/>
      <c r="Y47" s="59"/>
      <c r="Z47" s="59"/>
      <c r="AA47" s="59"/>
      <c r="AB47" s="59"/>
      <c r="AC47" s="59"/>
      <c r="AD47" s="59"/>
      <c r="AE47" s="59"/>
      <c r="AF47" s="59"/>
      <c r="AG47" s="59"/>
      <c r="AH47" s="59"/>
      <c r="AI47" s="59" t="str">
        <f>IF(SUM(Dati[[#This Row],[Inv. Business]:[Inv. Cryptocurrency]])=0," ",SUM(Dati[[#This Row],[Inv. Business]:[Inv. Cryptocurrency]]))</f>
        <v xml:space="preserve"> </v>
      </c>
      <c r="AJ47" s="59"/>
      <c r="AK47" s="59" t="str">
        <f>IF(SUM(Dati[[#This Row],[Inv. Gold]:[Mutuo]])=0," ",SUM(Dati[[#This Row],[Inv. Gold]:[Mutuo]]))</f>
        <v xml:space="preserve"> </v>
      </c>
      <c r="AL47" s="59"/>
      <c r="AM47" s="59"/>
    </row>
    <row r="48" spans="2:39" ht="16" customHeight="1" x14ac:dyDescent="0.35">
      <c r="B48">
        <f t="shared" si="0"/>
        <v>28</v>
      </c>
      <c r="C48" s="49">
        <f t="shared" si="1"/>
        <v>44954</v>
      </c>
      <c r="D48" s="29">
        <f>DAY(Dati[[#This Row],[Data]])</f>
        <v>28</v>
      </c>
      <c r="E48" s="29" t="str">
        <f>IF(DAY(Data!$C$21:$C$1327)&gt;0,TEXT(Data!$C$21:$C$1327, "mmmm"),"")</f>
        <v>gennaio</v>
      </c>
      <c r="F48" s="29" t="str">
        <f>IF(DAY(Data!$C$21:$C$1327)&gt;0,TEXT(Data!$C$21:$C$1327, "aaaa"),"")</f>
        <v>2023</v>
      </c>
      <c r="I48" t="str">
        <f>IF(OR(H48=$B$5,H48=$B$6,H48=$B$7,H48=$B$8,H48=$B$9,H48=$B$10,H48=$B$11,H48=$B$12,H48=$B$13,H48=$B$14),SottocategorieUscite[[#Headers],[Fuori Casa]],IF(OR(H48=$C$5,H48=$C$6,H48=$C$7,H48=$C$8,H48=$C$9,H48=$C$10,H48=$C$11,H48=$C$12,H48=$C$13,H48=$C$14),SottocategorieUscite[[#Headers],[Varie Uscite]],IF(OR(H48=$D$5,H48=$D$6,H48=$D$7,H48=$D$8,H48=$D$9,H48=$D$10,H48=$D$11,H48=$D$12,H48=$D$13,H48=$D$14),SottocategorieUscite[[#Headers],[Personali]],IF(OR(H48=$E$5,H48=$E$6,H48=$E$7,H48=$E$8,H48=$E$9,H48=$E$10,H48=$E$11,H48=$E$12,H48=$E$13,H48=$E$14),SottocategorieUscite[[#Headers],[Lavoro]],IF(OR(H48=$F$5,H48=$F$6,H48=$F$7,H48=$F$8,H48=$F$9,H48=$F$10,H48=$F$11,H48=$F$12,H48=$F$13,H48=$F$14),SottocategorieUscite[[#Headers],[Casa]],IF(OR(H48=$G$5,H48=$G$6,H48=$G$7,H48=$G$8,H48=$G$9,H48=$G$10,H48=$G$11,H48=$G$12,H48=$G$13,H48=$G$14),SottocategorieUscite[[#Headers],[Utenze]],IF(OR(H48=$H$5,H48=$H$6,H48=$H$7,H48=$H$8,H48=$H$9,H48=$H$10,H48=$H$11,H48=$H$12,H48=$H$13,H48=$H$14),SottocategorieUscite[[#Headers],[Business Uscite]],IF(OR(H48=$I$5,H48=$I$6,H48=$I$7,H48=$I$8,H48=$I$9,H48=$I$10,H48=$I$11,H48=$I$12,H48=$I$13,H48=$I$14),SottocategorieUscite[[#Headers],[Banca]],IF(OR(H48=K$5,H48=K$6,H48=K$7,H48=K$8,H48=K$9,H48=K$10,H48=K$11,H48=K$12,H48=K$13,H48=K$14),SottocategorieEntrate[[#Headers],[Business Entrate]],IF(OR(H48=L$5,H48=L$6,H48=L$7,H48=L$8,H48=L$9,H48=L$10,H48=L$11,H48=L$12,H48=L$13,H48=L$14),SottocategorieEntrate[[#Headers],[Varie Entrate]],IF(OR(H48=M$5,H48=M$6,H48=M$7,H48=M$8,H48=M$9,H48=M$10,H48=M$11,H48=M$12,H48=M$13,H48=M$14),SottocategorieEntrate[[#Headers],[Real Estate]],IF(OR(H48=N$5,H48=N$6,H48=N$7,H48=N$8,H48=N$9,H48=N$10,H48=N$11,H48=N$12,H48=N$13,H48=N$14),SottocategorieEntrate[[#Headers],[Other]],""))))))))))))</f>
        <v/>
      </c>
      <c r="J48" t="str">
        <f>IF(OR(Dati[[#This Row],[Categoria]]="Bollette",Dati[[#This Row],[Categoria]]="Conto &amp; Carte BNL",Dati[[#This Row],[Categoria]]="Prelievo",Dati[[#This Row],[Categoria]]="Affitto",Dati[[#This Row],[Categoria]]="BNL(Interessi Creditori)"),"Carta",IF(Dati[[#This Row],[Categoria]]&lt;&gt;0,"Cash",""))</f>
        <v/>
      </c>
      <c r="K48" s="59" t="str">
        <f>IF(OR(Data!$I48=SottocategorieUscite[[#Headers],[Fuori Casa]],Data!$I48=SottocategorieUscite[[#Headers],[Varie Uscite]],Data!$I48=SottocategorieUscite[[#Headers],[Personali]],Data!$I48=SottocategorieUscite[[#Headers],[Lavoro]]),"$ -","")</f>
        <v/>
      </c>
      <c r="L48" s="59" t="str">
        <f>IF(OR(Data!$I48=SottocategorieUscite[[#Headers],[Casa]],Data!$I48=SottocategorieUscite[[#Headers],[Utenze]],Data!$I48=SottocategorieUscite[[#Headers],[Business Uscite]],Data!$I48=SottocategorieUscite[[#Headers],[Banca]]),"$ -","")</f>
        <v/>
      </c>
      <c r="M48" s="59" t="str">
        <f>IF(OR($I48&lt;&gt;SottocategorieUscite[[#Headers],[Fuori Casa]],$I48&lt;&gt;SottocategorieUscite[[#Headers],[Varie Uscite]],$I48&lt;&gt;SottocategorieUscite[[#Headers],[Personali]],$I48&lt;&gt;SottocategorieUscite[[#Headers],[Lavoro]],$I48&lt;&gt;SottocategorieUscite[[#Headers],[Casa]],$I48&lt;&gt;SottocategorieUscite[[#Headers],[Utenze]],$I48&lt;&gt;SottocategorieUscite[[#Headers],[Business Uscite]],$I48&lt;&gt;SottocategorieUscite[[#Headers],[Banca]]),"","$ -")</f>
        <v/>
      </c>
      <c r="N48" s="59" t="str">
        <f>IF(OR(Data!$I48=SottocategorieEntrate[[#Headers],[Business Entrate]],Data!$I48=SottocategorieEntrate[[#Headers],[Varie Entrate]]),"$ -","")</f>
        <v/>
      </c>
      <c r="O48" s="59" t="str">
        <f>IF(OR(Data!$I48=SottocategorieEntrate[[#Headers],[Real Estate]],SottocategorieEntrate[[#Headers],[Other]]),"$ -","")</f>
        <v/>
      </c>
      <c r="P48" s="59" t="str">
        <f>IF(OR($I48&lt;&gt;SottocategorieEntrate[[#Headers],[Business Entrate]],$I48&lt;&gt;SottocategorieEntrate[[#Headers],[Varie Entrate]],$I48&lt;&gt;SottocategorieEntrate[[#Headers],[Real Estate]],$I48&lt;&gt;SottocategorieEntrate[[#Headers],[Other]]),"","$ -")</f>
        <v/>
      </c>
      <c r="Q48" s="59" t="str">
        <f>IF(Dati[[#This Row],[Categoria]]="Prelievo","€ -","")</f>
        <v/>
      </c>
      <c r="R48" s="244" t="str">
        <f t="shared" ca="1" si="2"/>
        <v/>
      </c>
      <c r="S48" s="59" t="str">
        <f>IF(Dati[[#This Row],[Categoria]]="Savings",0,"")</f>
        <v/>
      </c>
      <c r="T48" s="59"/>
      <c r="U48" s="59"/>
      <c r="V48" s="59"/>
      <c r="W48" s="59"/>
      <c r="X48" s="59"/>
      <c r="Y48" s="59"/>
      <c r="Z48" s="59"/>
      <c r="AA48" s="59"/>
      <c r="AB48" s="59"/>
      <c r="AC48" s="59"/>
      <c r="AD48" s="59"/>
      <c r="AE48" s="59"/>
      <c r="AF48" s="59"/>
      <c r="AG48" s="59"/>
      <c r="AH48" s="59"/>
      <c r="AI48" s="59" t="str">
        <f>IF(SUM(Dati[[#This Row],[Inv. Business]:[Inv. Cryptocurrency]])=0," ",SUM(Dati[[#This Row],[Inv. Business]:[Inv. Cryptocurrency]]))</f>
        <v xml:space="preserve"> </v>
      </c>
      <c r="AJ48" s="59"/>
      <c r="AK48" s="59" t="str">
        <f>IF(SUM(Dati[[#This Row],[Inv. Gold]:[Mutuo]])=0," ",SUM(Dati[[#This Row],[Inv. Gold]:[Mutuo]]))</f>
        <v xml:space="preserve"> </v>
      </c>
      <c r="AL48" s="59"/>
      <c r="AM48" s="59"/>
    </row>
    <row r="49" spans="2:39" ht="16" customHeight="1" x14ac:dyDescent="0.35">
      <c r="B49">
        <f t="shared" si="0"/>
        <v>29</v>
      </c>
      <c r="C49" s="49">
        <f t="shared" si="1"/>
        <v>44955</v>
      </c>
      <c r="D49" s="29">
        <f>DAY(Dati[[#This Row],[Data]])</f>
        <v>29</v>
      </c>
      <c r="E49" s="29" t="str">
        <f>IF(DAY(Data!$C$21:$C$1327)&gt;0,TEXT(Data!$C$21:$C$1327, "mmmm"),"")</f>
        <v>gennaio</v>
      </c>
      <c r="F49" s="29" t="str">
        <f>IF(DAY(Data!$C$21:$C$1327)&gt;0,TEXT(Data!$C$21:$C$1327, "aaaa"),"")</f>
        <v>2023</v>
      </c>
      <c r="I49" t="str">
        <f>IF(OR(H49=$B$5,H49=$B$6,H49=$B$7,H49=$B$8,H49=$B$9,H49=$B$10,H49=$B$11,H49=$B$12,H49=$B$13,H49=$B$14),SottocategorieUscite[[#Headers],[Fuori Casa]],IF(OR(H49=$C$5,H49=$C$6,H49=$C$7,H49=$C$8,H49=$C$9,H49=$C$10,H49=$C$11,H49=$C$12,H49=$C$13,H49=$C$14),SottocategorieUscite[[#Headers],[Varie Uscite]],IF(OR(H49=$D$5,H49=$D$6,H49=$D$7,H49=$D$8,H49=$D$9,H49=$D$10,H49=$D$11,H49=$D$12,H49=$D$13,H49=$D$14),SottocategorieUscite[[#Headers],[Personali]],IF(OR(H49=$E$5,H49=$E$6,H49=$E$7,H49=$E$8,H49=$E$9,H49=$E$10,H49=$E$11,H49=$E$12,H49=$E$13,H49=$E$14),SottocategorieUscite[[#Headers],[Lavoro]],IF(OR(H49=$F$5,H49=$F$6,H49=$F$7,H49=$F$8,H49=$F$9,H49=$F$10,H49=$F$11,H49=$F$12,H49=$F$13,H49=$F$14),SottocategorieUscite[[#Headers],[Casa]],IF(OR(H49=$G$5,H49=$G$6,H49=$G$7,H49=$G$8,H49=$G$9,H49=$G$10,H49=$G$11,H49=$G$12,H49=$G$13,H49=$G$14),SottocategorieUscite[[#Headers],[Utenze]],IF(OR(H49=$H$5,H49=$H$6,H49=$H$7,H49=$H$8,H49=$H$9,H49=$H$10,H49=$H$11,H49=$H$12,H49=$H$13,H49=$H$14),SottocategorieUscite[[#Headers],[Business Uscite]],IF(OR(H49=$I$5,H49=$I$6,H49=$I$7,H49=$I$8,H49=$I$9,H49=$I$10,H49=$I$11,H49=$I$12,H49=$I$13,H49=$I$14),SottocategorieUscite[[#Headers],[Banca]],IF(OR(H49=K$5,H49=K$6,H49=K$7,H49=K$8,H49=K$9,H49=K$10,H49=K$11,H49=K$12,H49=K$13,H49=K$14),SottocategorieEntrate[[#Headers],[Business Entrate]],IF(OR(H49=L$5,H49=L$6,H49=L$7,H49=L$8,H49=L$9,H49=L$10,H49=L$11,H49=L$12,H49=L$13,H49=L$14),SottocategorieEntrate[[#Headers],[Varie Entrate]],IF(OR(H49=M$5,H49=M$6,H49=M$7,H49=M$8,H49=M$9,H49=M$10,H49=M$11,H49=M$12,H49=M$13,H49=M$14),SottocategorieEntrate[[#Headers],[Real Estate]],IF(OR(H49=N$5,H49=N$6,H49=N$7,H49=N$8,H49=N$9,H49=N$10,H49=N$11,H49=N$12,H49=N$13,H49=N$14),SottocategorieEntrate[[#Headers],[Other]],""))))))))))))</f>
        <v/>
      </c>
      <c r="J49" t="str">
        <f>IF(OR(Dati[[#This Row],[Categoria]]="Bollette",Dati[[#This Row],[Categoria]]="Conto &amp; Carte BNL",Dati[[#This Row],[Categoria]]="Prelievo",Dati[[#This Row],[Categoria]]="Affitto",Dati[[#This Row],[Categoria]]="BNL(Interessi Creditori)"),"Carta",IF(Dati[[#This Row],[Categoria]]&lt;&gt;0,"Cash",""))</f>
        <v/>
      </c>
      <c r="K49" s="59" t="str">
        <f>IF(OR(Data!$I49=SottocategorieUscite[[#Headers],[Fuori Casa]],Data!$I49=SottocategorieUscite[[#Headers],[Varie Uscite]],Data!$I49=SottocategorieUscite[[#Headers],[Personali]],Data!$I49=SottocategorieUscite[[#Headers],[Lavoro]]),"$ -","")</f>
        <v/>
      </c>
      <c r="L49" s="59" t="str">
        <f>IF(OR(Data!$I49=SottocategorieUscite[[#Headers],[Casa]],Data!$I49=SottocategorieUscite[[#Headers],[Utenze]],Data!$I49=SottocategorieUscite[[#Headers],[Business Uscite]],Data!$I49=SottocategorieUscite[[#Headers],[Banca]]),"$ -","")</f>
        <v/>
      </c>
      <c r="M49" s="59" t="str">
        <f>IF(OR($I49&lt;&gt;SottocategorieUscite[[#Headers],[Fuori Casa]],$I49&lt;&gt;SottocategorieUscite[[#Headers],[Varie Uscite]],$I49&lt;&gt;SottocategorieUscite[[#Headers],[Personali]],$I49&lt;&gt;SottocategorieUscite[[#Headers],[Lavoro]],$I49&lt;&gt;SottocategorieUscite[[#Headers],[Casa]],$I49&lt;&gt;SottocategorieUscite[[#Headers],[Utenze]],$I49&lt;&gt;SottocategorieUscite[[#Headers],[Business Uscite]],$I49&lt;&gt;SottocategorieUscite[[#Headers],[Banca]]),"","$ -")</f>
        <v/>
      </c>
      <c r="N49" s="59" t="str">
        <f>IF(OR(Data!$I49=SottocategorieEntrate[[#Headers],[Business Entrate]],Data!$I49=SottocategorieEntrate[[#Headers],[Varie Entrate]]),"$ -","")</f>
        <v/>
      </c>
      <c r="O49" s="59" t="str">
        <f>IF(OR(Data!$I49=SottocategorieEntrate[[#Headers],[Real Estate]],SottocategorieEntrate[[#Headers],[Other]]),"$ -","")</f>
        <v/>
      </c>
      <c r="P49" s="59" t="str">
        <f>IF(OR($I49&lt;&gt;SottocategorieEntrate[[#Headers],[Business Entrate]],$I49&lt;&gt;SottocategorieEntrate[[#Headers],[Varie Entrate]],$I49&lt;&gt;SottocategorieEntrate[[#Headers],[Real Estate]],$I49&lt;&gt;SottocategorieEntrate[[#Headers],[Other]]),"","$ -")</f>
        <v/>
      </c>
      <c r="Q49" s="59" t="str">
        <f>IF(Dati[[#This Row],[Categoria]]="Prelievo","€ -","")</f>
        <v/>
      </c>
      <c r="R49" s="244" t="str">
        <f t="shared" ca="1" si="2"/>
        <v/>
      </c>
      <c r="S49" s="59" t="str">
        <f>IF(Dati[[#This Row],[Categoria]]="Savings",0,"")</f>
        <v/>
      </c>
      <c r="T49" s="59"/>
      <c r="U49" s="59"/>
      <c r="V49" s="59"/>
      <c r="W49" s="59"/>
      <c r="X49" s="59"/>
      <c r="Y49" s="59"/>
      <c r="Z49" s="59"/>
      <c r="AA49" s="59"/>
      <c r="AB49" s="59"/>
      <c r="AC49" s="59"/>
      <c r="AD49" s="59"/>
      <c r="AE49" s="59"/>
      <c r="AF49" s="59"/>
      <c r="AG49" s="59"/>
      <c r="AH49" s="59"/>
      <c r="AI49" s="59" t="str">
        <f>IF(SUM(Dati[[#This Row],[Inv. Business]:[Inv. Cryptocurrency]])=0," ",SUM(Dati[[#This Row],[Inv. Business]:[Inv. Cryptocurrency]]))</f>
        <v xml:space="preserve"> </v>
      </c>
      <c r="AJ49" s="59"/>
      <c r="AK49" s="59" t="str">
        <f>IF(SUM(Dati[[#This Row],[Inv. Gold]:[Mutuo]])=0," ",SUM(Dati[[#This Row],[Inv. Gold]:[Mutuo]]))</f>
        <v xml:space="preserve"> </v>
      </c>
      <c r="AL49" s="59"/>
      <c r="AM49" s="59"/>
    </row>
    <row r="50" spans="2:39" ht="16" customHeight="1" x14ac:dyDescent="0.35">
      <c r="B50">
        <f t="shared" si="0"/>
        <v>30</v>
      </c>
      <c r="C50" s="49">
        <f t="shared" si="1"/>
        <v>44956</v>
      </c>
      <c r="D50" s="29">
        <f>DAY(Dati[[#This Row],[Data]])</f>
        <v>30</v>
      </c>
      <c r="E50" s="29" t="str">
        <f>IF(DAY(Data!$C$21:$C$1327)&gt;0,TEXT(Data!$C$21:$C$1327, "mmmm"),"")</f>
        <v>gennaio</v>
      </c>
      <c r="F50" s="29" t="str">
        <f>IF(DAY(Data!$C$21:$C$1327)&gt;0,TEXT(Data!$C$21:$C$1327, "aaaa"),"")</f>
        <v>2023</v>
      </c>
      <c r="I50" t="str">
        <f>IF(OR(H50=$B$5,H50=$B$6,H50=$B$7,H50=$B$8,H50=$B$9,H50=$B$10,H50=$B$11,H50=$B$12,H50=$B$13,H50=$B$14),SottocategorieUscite[[#Headers],[Fuori Casa]],IF(OR(H50=$C$5,H50=$C$6,H50=$C$7,H50=$C$8,H50=$C$9,H50=$C$10,H50=$C$11,H50=$C$12,H50=$C$13,H50=$C$14),SottocategorieUscite[[#Headers],[Varie Uscite]],IF(OR(H50=$D$5,H50=$D$6,H50=$D$7,H50=$D$8,H50=$D$9,H50=$D$10,H50=$D$11,H50=$D$12,H50=$D$13,H50=$D$14),SottocategorieUscite[[#Headers],[Personali]],IF(OR(H50=$E$5,H50=$E$6,H50=$E$7,H50=$E$8,H50=$E$9,H50=$E$10,H50=$E$11,H50=$E$12,H50=$E$13,H50=$E$14),SottocategorieUscite[[#Headers],[Lavoro]],IF(OR(H50=$F$5,H50=$F$6,H50=$F$7,H50=$F$8,H50=$F$9,H50=$F$10,H50=$F$11,H50=$F$12,H50=$F$13,H50=$F$14),SottocategorieUscite[[#Headers],[Casa]],IF(OR(H50=$G$5,H50=$G$6,H50=$G$7,H50=$G$8,H50=$G$9,H50=$G$10,H50=$G$11,H50=$G$12,H50=$G$13,H50=$G$14),SottocategorieUscite[[#Headers],[Utenze]],IF(OR(H50=$H$5,H50=$H$6,H50=$H$7,H50=$H$8,H50=$H$9,H50=$H$10,H50=$H$11,H50=$H$12,H50=$H$13,H50=$H$14),SottocategorieUscite[[#Headers],[Business Uscite]],IF(OR(H50=$I$5,H50=$I$6,H50=$I$7,H50=$I$8,H50=$I$9,H50=$I$10,H50=$I$11,H50=$I$12,H50=$I$13,H50=$I$14),SottocategorieUscite[[#Headers],[Banca]],IF(OR(H50=K$5,H50=K$6,H50=K$7,H50=K$8,H50=K$9,H50=K$10,H50=K$11,H50=K$12,H50=K$13,H50=K$14),SottocategorieEntrate[[#Headers],[Business Entrate]],IF(OR(H50=L$5,H50=L$6,H50=L$7,H50=L$8,H50=L$9,H50=L$10,H50=L$11,H50=L$12,H50=L$13,H50=L$14),SottocategorieEntrate[[#Headers],[Varie Entrate]],IF(OR(H50=M$5,H50=M$6,H50=M$7,H50=M$8,H50=M$9,H50=M$10,H50=M$11,H50=M$12,H50=M$13,H50=M$14),SottocategorieEntrate[[#Headers],[Real Estate]],IF(OR(H50=N$5,H50=N$6,H50=N$7,H50=N$8,H50=N$9,H50=N$10,H50=N$11,H50=N$12,H50=N$13,H50=N$14),SottocategorieEntrate[[#Headers],[Other]],""))))))))))))</f>
        <v/>
      </c>
      <c r="J50" t="str">
        <f>IF(OR(Dati[[#This Row],[Categoria]]="Bollette",Dati[[#This Row],[Categoria]]="Conto &amp; Carte BNL",Dati[[#This Row],[Categoria]]="Prelievo",Dati[[#This Row],[Categoria]]="Affitto",Dati[[#This Row],[Categoria]]="BNL(Interessi Creditori)"),"Carta",IF(Dati[[#This Row],[Categoria]]&lt;&gt;0,"Cash",""))</f>
        <v/>
      </c>
      <c r="K50" s="59" t="str">
        <f>IF(OR(Data!$I50=SottocategorieUscite[[#Headers],[Fuori Casa]],Data!$I50=SottocategorieUscite[[#Headers],[Varie Uscite]],Data!$I50=SottocategorieUscite[[#Headers],[Personali]],Data!$I50=SottocategorieUscite[[#Headers],[Lavoro]]),"$ -","")</f>
        <v/>
      </c>
      <c r="L50" s="59" t="str">
        <f>IF(OR(Data!$I50=SottocategorieUscite[[#Headers],[Casa]],Data!$I50=SottocategorieUscite[[#Headers],[Utenze]],Data!$I50=SottocategorieUscite[[#Headers],[Business Uscite]],Data!$I50=SottocategorieUscite[[#Headers],[Banca]]),"$ -","")</f>
        <v/>
      </c>
      <c r="M50" s="59" t="str">
        <f>IF(OR($I50&lt;&gt;SottocategorieUscite[[#Headers],[Fuori Casa]],$I50&lt;&gt;SottocategorieUscite[[#Headers],[Varie Uscite]],$I50&lt;&gt;SottocategorieUscite[[#Headers],[Personali]],$I50&lt;&gt;SottocategorieUscite[[#Headers],[Lavoro]],$I50&lt;&gt;SottocategorieUscite[[#Headers],[Casa]],$I50&lt;&gt;SottocategorieUscite[[#Headers],[Utenze]],$I50&lt;&gt;SottocategorieUscite[[#Headers],[Business Uscite]],$I50&lt;&gt;SottocategorieUscite[[#Headers],[Banca]]),"","$ -")</f>
        <v/>
      </c>
      <c r="N50" s="59" t="str">
        <f>IF(OR(Data!$I50=SottocategorieEntrate[[#Headers],[Business Entrate]],Data!$I50=SottocategorieEntrate[[#Headers],[Varie Entrate]]),"$ -","")</f>
        <v/>
      </c>
      <c r="O50" s="59" t="str">
        <f>IF(OR(Data!$I50=SottocategorieEntrate[[#Headers],[Real Estate]],SottocategorieEntrate[[#Headers],[Other]]),"$ -","")</f>
        <v/>
      </c>
      <c r="P50" s="59" t="str">
        <f>IF(OR($I50&lt;&gt;SottocategorieEntrate[[#Headers],[Business Entrate]],$I50&lt;&gt;SottocategorieEntrate[[#Headers],[Varie Entrate]],$I50&lt;&gt;SottocategorieEntrate[[#Headers],[Real Estate]],$I50&lt;&gt;SottocategorieEntrate[[#Headers],[Other]]),"","$ -")</f>
        <v/>
      </c>
      <c r="Q50" s="59" t="str">
        <f>IF(Dati[[#This Row],[Categoria]]="Prelievo","€ -","")</f>
        <v/>
      </c>
      <c r="R50" s="244" t="str">
        <f t="shared" ca="1" si="2"/>
        <v/>
      </c>
      <c r="S50" s="59" t="str">
        <f>IF(Dati[[#This Row],[Categoria]]="Savings",0,"")</f>
        <v/>
      </c>
      <c r="T50" s="59"/>
      <c r="U50" s="59"/>
      <c r="V50" s="59"/>
      <c r="W50" s="59"/>
      <c r="X50" s="59"/>
      <c r="Y50" s="59"/>
      <c r="Z50" s="59"/>
      <c r="AA50" s="59"/>
      <c r="AB50" s="59"/>
      <c r="AC50" s="59"/>
      <c r="AD50" s="59"/>
      <c r="AE50" s="59"/>
      <c r="AF50" s="59"/>
      <c r="AG50" s="59"/>
      <c r="AH50" s="59"/>
      <c r="AI50" s="59" t="str">
        <f>IF(SUM(Dati[[#This Row],[Inv. Business]:[Inv. Cryptocurrency]])=0," ",SUM(Dati[[#This Row],[Inv. Business]:[Inv. Cryptocurrency]]))</f>
        <v xml:space="preserve"> </v>
      </c>
      <c r="AJ50" s="59"/>
      <c r="AK50" s="59" t="str">
        <f>IF(SUM(Dati[[#This Row],[Inv. Gold]:[Mutuo]])=0," ",SUM(Dati[[#This Row],[Inv. Gold]:[Mutuo]]))</f>
        <v xml:space="preserve"> </v>
      </c>
      <c r="AL50" s="59"/>
      <c r="AM50" s="59"/>
    </row>
    <row r="51" spans="2:39" ht="16" customHeight="1" x14ac:dyDescent="0.35">
      <c r="B51">
        <f t="shared" si="0"/>
        <v>31</v>
      </c>
      <c r="C51" s="49">
        <f t="shared" si="1"/>
        <v>44957</v>
      </c>
      <c r="D51" s="29">
        <f>DAY(Dati[[#This Row],[Data]])</f>
        <v>31</v>
      </c>
      <c r="E51" s="29" t="str">
        <f>IF(DAY(Data!$C$21:$C$1327)&gt;0,TEXT(Data!$C$21:$C$1327, "mmmm"),"")</f>
        <v>gennaio</v>
      </c>
      <c r="F51" s="29" t="str">
        <f>IF(DAY(Data!$C$21:$C$1327)&gt;0,TEXT(Data!$C$21:$C$1327, "aaaa"),"")</f>
        <v>2023</v>
      </c>
      <c r="I51" t="str">
        <f>IF(OR(H51=$B$5,H51=$B$6,H51=$B$7,H51=$B$8,H51=$B$9,H51=$B$10,H51=$B$11,H51=$B$12,H51=$B$13,H51=$B$14),SottocategorieUscite[[#Headers],[Fuori Casa]],IF(OR(H51=$C$5,H51=$C$6,H51=$C$7,H51=$C$8,H51=$C$9,H51=$C$10,H51=$C$11,H51=$C$12,H51=$C$13,H51=$C$14),SottocategorieUscite[[#Headers],[Varie Uscite]],IF(OR(H51=$D$5,H51=$D$6,H51=$D$7,H51=$D$8,H51=$D$9,H51=$D$10,H51=$D$11,H51=$D$12,H51=$D$13,H51=$D$14),SottocategorieUscite[[#Headers],[Personali]],IF(OR(H51=$E$5,H51=$E$6,H51=$E$7,H51=$E$8,H51=$E$9,H51=$E$10,H51=$E$11,H51=$E$12,H51=$E$13,H51=$E$14),SottocategorieUscite[[#Headers],[Lavoro]],IF(OR(H51=$F$5,H51=$F$6,H51=$F$7,H51=$F$8,H51=$F$9,H51=$F$10,H51=$F$11,H51=$F$12,H51=$F$13,H51=$F$14),SottocategorieUscite[[#Headers],[Casa]],IF(OR(H51=$G$5,H51=$G$6,H51=$G$7,H51=$G$8,H51=$G$9,H51=$G$10,H51=$G$11,H51=$G$12,H51=$G$13,H51=$G$14),SottocategorieUscite[[#Headers],[Utenze]],IF(OR(H51=$H$5,H51=$H$6,H51=$H$7,H51=$H$8,H51=$H$9,H51=$H$10,H51=$H$11,H51=$H$12,H51=$H$13,H51=$H$14),SottocategorieUscite[[#Headers],[Business Uscite]],IF(OR(H51=$I$5,H51=$I$6,H51=$I$7,H51=$I$8,H51=$I$9,H51=$I$10,H51=$I$11,H51=$I$12,H51=$I$13,H51=$I$14),SottocategorieUscite[[#Headers],[Banca]],IF(OR(H51=K$5,H51=K$6,H51=K$7,H51=K$8,H51=K$9,H51=K$10,H51=K$11,H51=K$12,H51=K$13,H51=K$14),SottocategorieEntrate[[#Headers],[Business Entrate]],IF(OR(H51=L$5,H51=L$6,H51=L$7,H51=L$8,H51=L$9,H51=L$10,H51=L$11,H51=L$12,H51=L$13,H51=L$14),SottocategorieEntrate[[#Headers],[Varie Entrate]],IF(OR(H51=M$5,H51=M$6,H51=M$7,H51=M$8,H51=M$9,H51=M$10,H51=M$11,H51=M$12,H51=M$13,H51=M$14),SottocategorieEntrate[[#Headers],[Real Estate]],IF(OR(H51=N$5,H51=N$6,H51=N$7,H51=N$8,H51=N$9,H51=N$10,H51=N$11,H51=N$12,H51=N$13,H51=N$14),SottocategorieEntrate[[#Headers],[Other]],""))))))))))))</f>
        <v/>
      </c>
      <c r="J51" t="str">
        <f>IF(OR(Dati[[#This Row],[Categoria]]="Bollette",Dati[[#This Row],[Categoria]]="Conto &amp; Carte BNL",Dati[[#This Row],[Categoria]]="Prelievo",Dati[[#This Row],[Categoria]]="Affitto",Dati[[#This Row],[Categoria]]="BNL(Interessi Creditori)"),"Carta",IF(Dati[[#This Row],[Categoria]]&lt;&gt;0,"Cash",""))</f>
        <v/>
      </c>
      <c r="K51" s="59" t="str">
        <f>IF(OR(Data!$I51=SottocategorieUscite[[#Headers],[Fuori Casa]],Data!$I51=SottocategorieUscite[[#Headers],[Varie Uscite]],Data!$I51=SottocategorieUscite[[#Headers],[Personali]],Data!$I51=SottocategorieUscite[[#Headers],[Lavoro]]),"$ -","")</f>
        <v/>
      </c>
      <c r="L51" s="59" t="str">
        <f>IF(OR(Data!$I51=SottocategorieUscite[[#Headers],[Casa]],Data!$I51=SottocategorieUscite[[#Headers],[Utenze]],Data!$I51=SottocategorieUscite[[#Headers],[Business Uscite]],Data!$I51=SottocategorieUscite[[#Headers],[Banca]]),"$ -","")</f>
        <v/>
      </c>
      <c r="M51" s="59" t="str">
        <f>IF(OR($I51&lt;&gt;SottocategorieUscite[[#Headers],[Fuori Casa]],$I51&lt;&gt;SottocategorieUscite[[#Headers],[Varie Uscite]],$I51&lt;&gt;SottocategorieUscite[[#Headers],[Personali]],$I51&lt;&gt;SottocategorieUscite[[#Headers],[Lavoro]],$I51&lt;&gt;SottocategorieUscite[[#Headers],[Casa]],$I51&lt;&gt;SottocategorieUscite[[#Headers],[Utenze]],$I51&lt;&gt;SottocategorieUscite[[#Headers],[Business Uscite]],$I51&lt;&gt;SottocategorieUscite[[#Headers],[Banca]]),"","$ -")</f>
        <v/>
      </c>
      <c r="N51" s="59" t="str">
        <f>IF(OR(Data!$I51=SottocategorieEntrate[[#Headers],[Business Entrate]],Data!$I51=SottocategorieEntrate[[#Headers],[Varie Entrate]]),"$ -","")</f>
        <v/>
      </c>
      <c r="O51" s="59" t="str">
        <f>IF(OR(Data!$I51=SottocategorieEntrate[[#Headers],[Real Estate]],SottocategorieEntrate[[#Headers],[Other]]),"$ -","")</f>
        <v/>
      </c>
      <c r="P51" s="59" t="str">
        <f>IF(OR($I51&lt;&gt;SottocategorieEntrate[[#Headers],[Business Entrate]],$I51&lt;&gt;SottocategorieEntrate[[#Headers],[Varie Entrate]],$I51&lt;&gt;SottocategorieEntrate[[#Headers],[Real Estate]],$I51&lt;&gt;SottocategorieEntrate[[#Headers],[Other]]),"","$ -")</f>
        <v/>
      </c>
      <c r="Q51" s="59" t="str">
        <f>IF(Dati[[#This Row],[Categoria]]="Prelievo","€ -","")</f>
        <v/>
      </c>
      <c r="R51" s="244" t="str">
        <f t="shared" ca="1" si="2"/>
        <v/>
      </c>
      <c r="S51" s="59" t="str">
        <f>IF(Dati[[#This Row],[Categoria]]="Savings",0,"")</f>
        <v/>
      </c>
      <c r="T51" s="59"/>
      <c r="U51" s="59"/>
      <c r="V51" s="59"/>
      <c r="W51" s="59"/>
      <c r="X51" s="59"/>
      <c r="Y51" s="59"/>
      <c r="Z51" s="59"/>
      <c r="AA51" s="59"/>
      <c r="AB51" s="59"/>
      <c r="AC51" s="59"/>
      <c r="AD51" s="59"/>
      <c r="AE51" s="59"/>
      <c r="AF51" s="59"/>
      <c r="AG51" s="59"/>
      <c r="AH51" s="59"/>
      <c r="AI51" s="59" t="str">
        <f>IF(SUM(Dati[[#This Row],[Inv. Business]:[Inv. Cryptocurrency]])=0," ",SUM(Dati[[#This Row],[Inv. Business]:[Inv. Cryptocurrency]]))</f>
        <v xml:space="preserve"> </v>
      </c>
      <c r="AJ51" s="59"/>
      <c r="AK51" s="59" t="str">
        <f>IF(SUM(Dati[[#This Row],[Inv. Gold]:[Mutuo]])=0," ",SUM(Dati[[#This Row],[Inv. Gold]:[Mutuo]]))</f>
        <v xml:space="preserve"> </v>
      </c>
      <c r="AL51" s="59"/>
      <c r="AM51" s="59"/>
    </row>
    <row r="52" spans="2:39" ht="16" customHeight="1" x14ac:dyDescent="0.35">
      <c r="B52">
        <f t="shared" si="0"/>
        <v>32</v>
      </c>
      <c r="C52" s="49">
        <f t="shared" si="1"/>
        <v>44958</v>
      </c>
      <c r="D52" s="29">
        <f>DAY(Dati[[#This Row],[Data]])</f>
        <v>1</v>
      </c>
      <c r="E52" s="29" t="str">
        <f>IF(DAY(Data!$C$21:$C$1327)&gt;0,TEXT(Data!$C$21:$C$1327, "mmmm"),"")</f>
        <v>febbraio</v>
      </c>
      <c r="F52" s="29" t="str">
        <f>IF(DAY(Data!$C$21:$C$1327)&gt;0,TEXT(Data!$C$21:$C$1327, "aaaa"),"")</f>
        <v>2023</v>
      </c>
      <c r="I52" t="str">
        <f>IF(OR(H52=$B$5,H52=$B$6,H52=$B$7,H52=$B$8,H52=$B$9,H52=$B$10,H52=$B$11,H52=$B$12,H52=$B$13,H52=$B$14),SottocategorieUscite[[#Headers],[Fuori Casa]],IF(OR(H52=$C$5,H52=$C$6,H52=$C$7,H52=$C$8,H52=$C$9,H52=$C$10,H52=$C$11,H52=$C$12,H52=$C$13,H52=$C$14),SottocategorieUscite[[#Headers],[Varie Uscite]],IF(OR(H52=$D$5,H52=$D$6,H52=$D$7,H52=$D$8,H52=$D$9,H52=$D$10,H52=$D$11,H52=$D$12,H52=$D$13,H52=$D$14),SottocategorieUscite[[#Headers],[Personali]],IF(OR(H52=$E$5,H52=$E$6,H52=$E$7,H52=$E$8,H52=$E$9,H52=$E$10,H52=$E$11,H52=$E$12,H52=$E$13,H52=$E$14),SottocategorieUscite[[#Headers],[Lavoro]],IF(OR(H52=$F$5,H52=$F$6,H52=$F$7,H52=$F$8,H52=$F$9,H52=$F$10,H52=$F$11,H52=$F$12,H52=$F$13,H52=$F$14),SottocategorieUscite[[#Headers],[Casa]],IF(OR(H52=$G$5,H52=$G$6,H52=$G$7,H52=$G$8,H52=$G$9,H52=$G$10,H52=$G$11,H52=$G$12,H52=$G$13,H52=$G$14),SottocategorieUscite[[#Headers],[Utenze]],IF(OR(H52=$H$5,H52=$H$6,H52=$H$7,H52=$H$8,H52=$H$9,H52=$H$10,H52=$H$11,H52=$H$12,H52=$H$13,H52=$H$14),SottocategorieUscite[[#Headers],[Business Uscite]],IF(OR(H52=$I$5,H52=$I$6,H52=$I$7,H52=$I$8,H52=$I$9,H52=$I$10,H52=$I$11,H52=$I$12,H52=$I$13,H52=$I$14),SottocategorieUscite[[#Headers],[Banca]],IF(OR(H52=K$5,H52=K$6,H52=K$7,H52=K$8,H52=K$9,H52=K$10,H52=K$11,H52=K$12,H52=K$13,H52=K$14),SottocategorieEntrate[[#Headers],[Business Entrate]],IF(OR(H52=L$5,H52=L$6,H52=L$7,H52=L$8,H52=L$9,H52=L$10,H52=L$11,H52=L$12,H52=L$13,H52=L$14),SottocategorieEntrate[[#Headers],[Varie Entrate]],IF(OR(H52=M$5,H52=M$6,H52=M$7,H52=M$8,H52=M$9,H52=M$10,H52=M$11,H52=M$12,H52=M$13,H52=M$14),SottocategorieEntrate[[#Headers],[Real Estate]],IF(OR(H52=N$5,H52=N$6,H52=N$7,H52=N$8,H52=N$9,H52=N$10,H52=N$11,H52=N$12,H52=N$13,H52=N$14),SottocategorieEntrate[[#Headers],[Other]],""))))))))))))</f>
        <v/>
      </c>
      <c r="J52" t="str">
        <f>IF(OR(Dati[[#This Row],[Categoria]]="Bollette",Dati[[#This Row],[Categoria]]="Conto &amp; Carte BNL",Dati[[#This Row],[Categoria]]="Prelievo",Dati[[#This Row],[Categoria]]="Affitto",Dati[[#This Row],[Categoria]]="BNL(Interessi Creditori)"),"Carta",IF(Dati[[#This Row],[Categoria]]&lt;&gt;0,"Cash",""))</f>
        <v/>
      </c>
      <c r="K52" s="59" t="str">
        <f>IF(OR(Data!$I52=SottocategorieUscite[[#Headers],[Fuori Casa]],Data!$I52=SottocategorieUscite[[#Headers],[Varie Uscite]],Data!$I52=SottocategorieUscite[[#Headers],[Personali]],Data!$I52=SottocategorieUscite[[#Headers],[Lavoro]]),"$ -","")</f>
        <v/>
      </c>
      <c r="L52" s="59" t="str">
        <f>IF(OR(Data!$I52=SottocategorieUscite[[#Headers],[Casa]],Data!$I52=SottocategorieUscite[[#Headers],[Utenze]],Data!$I52=SottocategorieUscite[[#Headers],[Business Uscite]],Data!$I52=SottocategorieUscite[[#Headers],[Banca]]),"$ -","")</f>
        <v/>
      </c>
      <c r="M52" s="59" t="str">
        <f>IF(OR($I52&lt;&gt;SottocategorieUscite[[#Headers],[Fuori Casa]],$I52&lt;&gt;SottocategorieUscite[[#Headers],[Varie Uscite]],$I52&lt;&gt;SottocategorieUscite[[#Headers],[Personali]],$I52&lt;&gt;SottocategorieUscite[[#Headers],[Lavoro]],$I52&lt;&gt;SottocategorieUscite[[#Headers],[Casa]],$I52&lt;&gt;SottocategorieUscite[[#Headers],[Utenze]],$I52&lt;&gt;SottocategorieUscite[[#Headers],[Business Uscite]],$I52&lt;&gt;SottocategorieUscite[[#Headers],[Banca]]),"","$ -")</f>
        <v/>
      </c>
      <c r="N52" s="59" t="str">
        <f>IF(OR(Data!$I52=SottocategorieEntrate[[#Headers],[Business Entrate]],Data!$I52=SottocategorieEntrate[[#Headers],[Varie Entrate]]),"$ -","")</f>
        <v/>
      </c>
      <c r="O52" s="59" t="str">
        <f>IF(OR(Data!$I52=SottocategorieEntrate[[#Headers],[Real Estate]],SottocategorieEntrate[[#Headers],[Other]]),"$ -","")</f>
        <v/>
      </c>
      <c r="P52" s="59" t="str">
        <f>IF(OR($I52&lt;&gt;SottocategorieEntrate[[#Headers],[Business Entrate]],$I52&lt;&gt;SottocategorieEntrate[[#Headers],[Varie Entrate]],$I52&lt;&gt;SottocategorieEntrate[[#Headers],[Real Estate]],$I52&lt;&gt;SottocategorieEntrate[[#Headers],[Other]]),"","$ -")</f>
        <v/>
      </c>
      <c r="Q52" s="59" t="str">
        <f>IF(Dati[[#This Row],[Categoria]]="Prelievo","€ -","")</f>
        <v/>
      </c>
      <c r="R52" s="244" t="str">
        <f t="shared" ca="1" si="2"/>
        <v/>
      </c>
      <c r="S52" s="59" t="str">
        <f>IF(Dati[[#This Row],[Categoria]]="Savings",0,"")</f>
        <v/>
      </c>
      <c r="T52" s="59"/>
      <c r="U52" s="59"/>
      <c r="V52" s="59"/>
      <c r="W52" s="59"/>
      <c r="X52" s="59"/>
      <c r="Y52" s="59"/>
      <c r="Z52" s="59"/>
      <c r="AA52" s="59"/>
      <c r="AB52" s="59"/>
      <c r="AC52" s="59"/>
      <c r="AD52" s="59"/>
      <c r="AE52" s="59"/>
      <c r="AF52" s="59"/>
      <c r="AG52" s="59"/>
      <c r="AH52" s="59"/>
      <c r="AI52" s="59" t="str">
        <f>IF(SUM(Dati[[#This Row],[Inv. Business]:[Inv. Cryptocurrency]])=0," ",SUM(Dati[[#This Row],[Inv. Business]:[Inv. Cryptocurrency]]))</f>
        <v xml:space="preserve"> </v>
      </c>
      <c r="AJ52" s="59"/>
      <c r="AK52" s="59" t="str">
        <f>IF(SUM(Dati[[#This Row],[Inv. Gold]:[Mutuo]])=0," ",SUM(Dati[[#This Row],[Inv. Gold]:[Mutuo]]))</f>
        <v xml:space="preserve"> </v>
      </c>
      <c r="AL52" s="59"/>
      <c r="AM52" s="59"/>
    </row>
    <row r="53" spans="2:39" ht="16" customHeight="1" x14ac:dyDescent="0.35">
      <c r="B53">
        <f t="shared" si="0"/>
        <v>33</v>
      </c>
      <c r="C53" s="49">
        <f t="shared" si="1"/>
        <v>44959</v>
      </c>
      <c r="D53" s="29">
        <f>DAY(Dati[[#This Row],[Data]])</f>
        <v>2</v>
      </c>
      <c r="E53" s="29" t="str">
        <f>IF(DAY(Data!$C$21:$C$1327)&gt;0,TEXT(Data!$C$21:$C$1327, "mmmm"),"")</f>
        <v>febbraio</v>
      </c>
      <c r="F53" s="29" t="str">
        <f>IF(DAY(Data!$C$21:$C$1327)&gt;0,TEXT(Data!$C$21:$C$1327, "aaaa"),"")</f>
        <v>2023</v>
      </c>
      <c r="I53" t="str">
        <f>IF(OR(H53=$B$5,H53=$B$6,H53=$B$7,H53=$B$8,H53=$B$9,H53=$B$10,H53=$B$11,H53=$B$12,H53=$B$13,H53=$B$14),SottocategorieUscite[[#Headers],[Fuori Casa]],IF(OR(H53=$C$5,H53=$C$6,H53=$C$7,H53=$C$8,H53=$C$9,H53=$C$10,H53=$C$11,H53=$C$12,H53=$C$13,H53=$C$14),SottocategorieUscite[[#Headers],[Varie Uscite]],IF(OR(H53=$D$5,H53=$D$6,H53=$D$7,H53=$D$8,H53=$D$9,H53=$D$10,H53=$D$11,H53=$D$12,H53=$D$13,H53=$D$14),SottocategorieUscite[[#Headers],[Personali]],IF(OR(H53=$E$5,H53=$E$6,H53=$E$7,H53=$E$8,H53=$E$9,H53=$E$10,H53=$E$11,H53=$E$12,H53=$E$13,H53=$E$14),SottocategorieUscite[[#Headers],[Lavoro]],IF(OR(H53=$F$5,H53=$F$6,H53=$F$7,H53=$F$8,H53=$F$9,H53=$F$10,H53=$F$11,H53=$F$12,H53=$F$13,H53=$F$14),SottocategorieUscite[[#Headers],[Casa]],IF(OR(H53=$G$5,H53=$G$6,H53=$G$7,H53=$G$8,H53=$G$9,H53=$G$10,H53=$G$11,H53=$G$12,H53=$G$13,H53=$G$14),SottocategorieUscite[[#Headers],[Utenze]],IF(OR(H53=$H$5,H53=$H$6,H53=$H$7,H53=$H$8,H53=$H$9,H53=$H$10,H53=$H$11,H53=$H$12,H53=$H$13,H53=$H$14),SottocategorieUscite[[#Headers],[Business Uscite]],IF(OR(H53=$I$5,H53=$I$6,H53=$I$7,H53=$I$8,H53=$I$9,H53=$I$10,H53=$I$11,H53=$I$12,H53=$I$13,H53=$I$14),SottocategorieUscite[[#Headers],[Banca]],IF(OR(H53=K$5,H53=K$6,H53=K$7,H53=K$8,H53=K$9,H53=K$10,H53=K$11,H53=K$12,H53=K$13,H53=K$14),SottocategorieEntrate[[#Headers],[Business Entrate]],IF(OR(H53=L$5,H53=L$6,H53=L$7,H53=L$8,H53=L$9,H53=L$10,H53=L$11,H53=L$12,H53=L$13,H53=L$14),SottocategorieEntrate[[#Headers],[Varie Entrate]],IF(OR(H53=M$5,H53=M$6,H53=M$7,H53=M$8,H53=M$9,H53=M$10,H53=M$11,H53=M$12,H53=M$13,H53=M$14),SottocategorieEntrate[[#Headers],[Real Estate]],IF(OR(H53=N$5,H53=N$6,H53=N$7,H53=N$8,H53=N$9,H53=N$10,H53=N$11,H53=N$12,H53=N$13,H53=N$14),SottocategorieEntrate[[#Headers],[Other]],""))))))))))))</f>
        <v/>
      </c>
      <c r="J53" t="str">
        <f>IF(OR(Dati[[#This Row],[Categoria]]="Bollette",Dati[[#This Row],[Categoria]]="Conto &amp; Carte BNL",Dati[[#This Row],[Categoria]]="Prelievo",Dati[[#This Row],[Categoria]]="Affitto",Dati[[#This Row],[Categoria]]="BNL(Interessi Creditori)"),"Carta",IF(Dati[[#This Row],[Categoria]]&lt;&gt;0,"Cash",""))</f>
        <v/>
      </c>
      <c r="K53" s="59" t="str">
        <f>IF(OR(Data!$I53=SottocategorieUscite[[#Headers],[Fuori Casa]],Data!$I53=SottocategorieUscite[[#Headers],[Varie Uscite]],Data!$I53=SottocategorieUscite[[#Headers],[Personali]],Data!$I53=SottocategorieUscite[[#Headers],[Lavoro]]),"$ -","")</f>
        <v/>
      </c>
      <c r="L53" s="59" t="str">
        <f>IF(OR(Data!$I53=SottocategorieUscite[[#Headers],[Casa]],Data!$I53=SottocategorieUscite[[#Headers],[Utenze]],Data!$I53=SottocategorieUscite[[#Headers],[Business Uscite]],Data!$I53=SottocategorieUscite[[#Headers],[Banca]]),"$ -","")</f>
        <v/>
      </c>
      <c r="M53" s="59" t="str">
        <f>IF(OR($I53&lt;&gt;SottocategorieUscite[[#Headers],[Fuori Casa]],$I53&lt;&gt;SottocategorieUscite[[#Headers],[Varie Uscite]],$I53&lt;&gt;SottocategorieUscite[[#Headers],[Personali]],$I53&lt;&gt;SottocategorieUscite[[#Headers],[Lavoro]],$I53&lt;&gt;SottocategorieUscite[[#Headers],[Casa]],$I53&lt;&gt;SottocategorieUscite[[#Headers],[Utenze]],$I53&lt;&gt;SottocategorieUscite[[#Headers],[Business Uscite]],$I53&lt;&gt;SottocategorieUscite[[#Headers],[Banca]]),"","$ -")</f>
        <v/>
      </c>
      <c r="N53" s="59" t="str">
        <f>IF(OR(Data!$I53=SottocategorieEntrate[[#Headers],[Business Entrate]],Data!$I53=SottocategorieEntrate[[#Headers],[Varie Entrate]]),"$ -","")</f>
        <v/>
      </c>
      <c r="O53" s="59" t="str">
        <f>IF(OR(Data!$I53=SottocategorieEntrate[[#Headers],[Real Estate]],SottocategorieEntrate[[#Headers],[Other]]),"$ -","")</f>
        <v/>
      </c>
      <c r="P53" s="59" t="str">
        <f>IF(OR($I53&lt;&gt;SottocategorieEntrate[[#Headers],[Business Entrate]],$I53&lt;&gt;SottocategorieEntrate[[#Headers],[Varie Entrate]],$I53&lt;&gt;SottocategorieEntrate[[#Headers],[Real Estate]],$I53&lt;&gt;SottocategorieEntrate[[#Headers],[Other]]),"","$ -")</f>
        <v/>
      </c>
      <c r="Q53" s="59" t="str">
        <f>IF(Dati[[#This Row],[Categoria]]="Prelievo","€ -","")</f>
        <v/>
      </c>
      <c r="R53" s="244" t="str">
        <f t="shared" ca="1" si="2"/>
        <v/>
      </c>
      <c r="S53" s="59" t="str">
        <f>IF(Dati[[#This Row],[Categoria]]="Savings",0,"")</f>
        <v/>
      </c>
      <c r="T53" s="59"/>
      <c r="U53" s="59"/>
      <c r="V53" s="59"/>
      <c r="W53" s="59"/>
      <c r="X53" s="59"/>
      <c r="Y53" s="59"/>
      <c r="Z53" s="59"/>
      <c r="AA53" s="59"/>
      <c r="AB53" s="59"/>
      <c r="AC53" s="59"/>
      <c r="AD53" s="59"/>
      <c r="AE53" s="59"/>
      <c r="AF53" s="59"/>
      <c r="AG53" s="59"/>
      <c r="AH53" s="59"/>
      <c r="AI53" s="59" t="str">
        <f>IF(SUM(Dati[[#This Row],[Inv. Business]:[Inv. Cryptocurrency]])=0," ",SUM(Dati[[#This Row],[Inv. Business]:[Inv. Cryptocurrency]]))</f>
        <v xml:space="preserve"> </v>
      </c>
      <c r="AJ53" s="59"/>
      <c r="AK53" s="59" t="str">
        <f>IF(SUM(Dati[[#This Row],[Inv. Gold]:[Mutuo]])=0," ",SUM(Dati[[#This Row],[Inv. Gold]:[Mutuo]]))</f>
        <v xml:space="preserve"> </v>
      </c>
      <c r="AL53" s="59"/>
      <c r="AM53" s="59"/>
    </row>
    <row r="54" spans="2:39" ht="16" customHeight="1" x14ac:dyDescent="0.35">
      <c r="B54">
        <f t="shared" si="0"/>
        <v>34</v>
      </c>
      <c r="C54" s="49">
        <f t="shared" si="1"/>
        <v>44960</v>
      </c>
      <c r="D54" s="29">
        <f>DAY(Dati[[#This Row],[Data]])</f>
        <v>3</v>
      </c>
      <c r="E54" s="29" t="str">
        <f>IF(DAY(Data!$C$21:$C$1327)&gt;0,TEXT(Data!$C$21:$C$1327, "mmmm"),"")</f>
        <v>febbraio</v>
      </c>
      <c r="F54" s="29" t="str">
        <f>IF(DAY(Data!$C$21:$C$1327)&gt;0,TEXT(Data!$C$21:$C$1327, "aaaa"),"")</f>
        <v>2023</v>
      </c>
      <c r="I54" t="str">
        <f>IF(OR(H54=$B$5,H54=$B$6,H54=$B$7,H54=$B$8,H54=$B$9,H54=$B$10,H54=$B$11,H54=$B$12,H54=$B$13,H54=$B$14),SottocategorieUscite[[#Headers],[Fuori Casa]],IF(OR(H54=$C$5,H54=$C$6,H54=$C$7,H54=$C$8,H54=$C$9,H54=$C$10,H54=$C$11,H54=$C$12,H54=$C$13,H54=$C$14),SottocategorieUscite[[#Headers],[Varie Uscite]],IF(OR(H54=$D$5,H54=$D$6,H54=$D$7,H54=$D$8,H54=$D$9,H54=$D$10,H54=$D$11,H54=$D$12,H54=$D$13,H54=$D$14),SottocategorieUscite[[#Headers],[Personali]],IF(OR(H54=$E$5,H54=$E$6,H54=$E$7,H54=$E$8,H54=$E$9,H54=$E$10,H54=$E$11,H54=$E$12,H54=$E$13,H54=$E$14),SottocategorieUscite[[#Headers],[Lavoro]],IF(OR(H54=$F$5,H54=$F$6,H54=$F$7,H54=$F$8,H54=$F$9,H54=$F$10,H54=$F$11,H54=$F$12,H54=$F$13,H54=$F$14),SottocategorieUscite[[#Headers],[Casa]],IF(OR(H54=$G$5,H54=$G$6,H54=$G$7,H54=$G$8,H54=$G$9,H54=$G$10,H54=$G$11,H54=$G$12,H54=$G$13,H54=$G$14),SottocategorieUscite[[#Headers],[Utenze]],IF(OR(H54=$H$5,H54=$H$6,H54=$H$7,H54=$H$8,H54=$H$9,H54=$H$10,H54=$H$11,H54=$H$12,H54=$H$13,H54=$H$14),SottocategorieUscite[[#Headers],[Business Uscite]],IF(OR(H54=$I$5,H54=$I$6,H54=$I$7,H54=$I$8,H54=$I$9,H54=$I$10,H54=$I$11,H54=$I$12,H54=$I$13,H54=$I$14),SottocategorieUscite[[#Headers],[Banca]],IF(OR(H54=K$5,H54=K$6,H54=K$7,H54=K$8,H54=K$9,H54=K$10,H54=K$11,H54=K$12,H54=K$13,H54=K$14),SottocategorieEntrate[[#Headers],[Business Entrate]],IF(OR(H54=L$5,H54=L$6,H54=L$7,H54=L$8,H54=L$9,H54=L$10,H54=L$11,H54=L$12,H54=L$13,H54=L$14),SottocategorieEntrate[[#Headers],[Varie Entrate]],IF(OR(H54=M$5,H54=M$6,H54=M$7,H54=M$8,H54=M$9,H54=M$10,H54=M$11,H54=M$12,H54=M$13,H54=M$14),SottocategorieEntrate[[#Headers],[Real Estate]],IF(OR(H54=N$5,H54=N$6,H54=N$7,H54=N$8,H54=N$9,H54=N$10,H54=N$11,H54=N$12,H54=N$13,H54=N$14),SottocategorieEntrate[[#Headers],[Other]],""))))))))))))</f>
        <v/>
      </c>
      <c r="J54" t="str">
        <f>IF(OR(Dati[[#This Row],[Categoria]]="Bollette",Dati[[#This Row],[Categoria]]="Conto &amp; Carte BNL",Dati[[#This Row],[Categoria]]="Prelievo",Dati[[#This Row],[Categoria]]="Affitto",Dati[[#This Row],[Categoria]]="BNL(Interessi Creditori)"),"Carta",IF(Dati[[#This Row],[Categoria]]&lt;&gt;0,"Cash",""))</f>
        <v/>
      </c>
      <c r="K54" s="59" t="str">
        <f>IF(OR(Data!$I54=SottocategorieUscite[[#Headers],[Fuori Casa]],Data!$I54=SottocategorieUscite[[#Headers],[Varie Uscite]],Data!$I54=SottocategorieUscite[[#Headers],[Personali]],Data!$I54=SottocategorieUscite[[#Headers],[Lavoro]]),"$ -","")</f>
        <v/>
      </c>
      <c r="L54" s="59" t="str">
        <f>IF(OR(Data!$I54=SottocategorieUscite[[#Headers],[Casa]],Data!$I54=SottocategorieUscite[[#Headers],[Utenze]],Data!$I54=SottocategorieUscite[[#Headers],[Business Uscite]],Data!$I54=SottocategorieUscite[[#Headers],[Banca]]),"$ -","")</f>
        <v/>
      </c>
      <c r="M54" s="59" t="str">
        <f>IF(OR($I54&lt;&gt;SottocategorieUscite[[#Headers],[Fuori Casa]],$I54&lt;&gt;SottocategorieUscite[[#Headers],[Varie Uscite]],$I54&lt;&gt;SottocategorieUscite[[#Headers],[Personali]],$I54&lt;&gt;SottocategorieUscite[[#Headers],[Lavoro]],$I54&lt;&gt;SottocategorieUscite[[#Headers],[Casa]],$I54&lt;&gt;SottocategorieUscite[[#Headers],[Utenze]],$I54&lt;&gt;SottocategorieUscite[[#Headers],[Business Uscite]],$I54&lt;&gt;SottocategorieUscite[[#Headers],[Banca]]),"","$ -")</f>
        <v/>
      </c>
      <c r="N54" s="59" t="str">
        <f>IF(OR(Data!$I54=SottocategorieEntrate[[#Headers],[Business Entrate]],Data!$I54=SottocategorieEntrate[[#Headers],[Varie Entrate]]),"$ -","")</f>
        <v/>
      </c>
      <c r="O54" s="59" t="str">
        <f>IF(OR(Data!$I54=SottocategorieEntrate[[#Headers],[Real Estate]],SottocategorieEntrate[[#Headers],[Other]]),"$ -","")</f>
        <v/>
      </c>
      <c r="P54" s="59" t="str">
        <f>IF(OR($I54&lt;&gt;SottocategorieEntrate[[#Headers],[Business Entrate]],$I54&lt;&gt;SottocategorieEntrate[[#Headers],[Varie Entrate]],$I54&lt;&gt;SottocategorieEntrate[[#Headers],[Real Estate]],$I54&lt;&gt;SottocategorieEntrate[[#Headers],[Other]]),"","$ -")</f>
        <v/>
      </c>
      <c r="Q54" s="59" t="str">
        <f>IF(Dati[[#This Row],[Categoria]]="Prelievo","€ -","")</f>
        <v/>
      </c>
      <c r="R54" s="244" t="str">
        <f t="shared" ca="1" si="2"/>
        <v/>
      </c>
      <c r="S54" s="59" t="str">
        <f>IF(Dati[[#This Row],[Categoria]]="Savings",0,"")</f>
        <v/>
      </c>
      <c r="T54" s="59"/>
      <c r="U54" s="59"/>
      <c r="V54" s="59"/>
      <c r="W54" s="59"/>
      <c r="X54" s="59"/>
      <c r="Y54" s="59"/>
      <c r="Z54" s="59"/>
      <c r="AA54" s="59"/>
      <c r="AB54" s="59"/>
      <c r="AC54" s="59"/>
      <c r="AD54" s="59"/>
      <c r="AE54" s="59"/>
      <c r="AF54" s="59"/>
      <c r="AG54" s="59"/>
      <c r="AH54" s="59"/>
      <c r="AI54" s="59" t="str">
        <f>IF(SUM(Dati[[#This Row],[Inv. Business]:[Inv. Cryptocurrency]])=0," ",SUM(Dati[[#This Row],[Inv. Business]:[Inv. Cryptocurrency]]))</f>
        <v xml:space="preserve"> </v>
      </c>
      <c r="AJ54" s="59"/>
      <c r="AK54" s="59" t="str">
        <f>IF(SUM(Dati[[#This Row],[Inv. Gold]:[Mutuo]])=0," ",SUM(Dati[[#This Row],[Inv. Gold]:[Mutuo]]))</f>
        <v xml:space="preserve"> </v>
      </c>
      <c r="AL54" s="59"/>
      <c r="AM54" s="59"/>
    </row>
    <row r="55" spans="2:39" ht="16" customHeight="1" x14ac:dyDescent="0.35">
      <c r="B55">
        <f t="shared" si="0"/>
        <v>35</v>
      </c>
      <c r="C55" s="49">
        <f t="shared" si="1"/>
        <v>44961</v>
      </c>
      <c r="D55" s="29">
        <f>DAY(Dati[[#This Row],[Data]])</f>
        <v>4</v>
      </c>
      <c r="E55" s="29" t="str">
        <f>IF(DAY(Data!$C$21:$C$1327)&gt;0,TEXT(Data!$C$21:$C$1327, "mmmm"),"")</f>
        <v>febbraio</v>
      </c>
      <c r="F55" s="29" t="str">
        <f>IF(DAY(Data!$C$21:$C$1327)&gt;0,TEXT(Data!$C$21:$C$1327, "aaaa"),"")</f>
        <v>2023</v>
      </c>
      <c r="I55" t="str">
        <f>IF(OR(H55=$B$5,H55=$B$6,H55=$B$7,H55=$B$8,H55=$B$9,H55=$B$10,H55=$B$11,H55=$B$12,H55=$B$13,H55=$B$14),SottocategorieUscite[[#Headers],[Fuori Casa]],IF(OR(H55=$C$5,H55=$C$6,H55=$C$7,H55=$C$8,H55=$C$9,H55=$C$10,H55=$C$11,H55=$C$12,H55=$C$13,H55=$C$14),SottocategorieUscite[[#Headers],[Varie Uscite]],IF(OR(H55=$D$5,H55=$D$6,H55=$D$7,H55=$D$8,H55=$D$9,H55=$D$10,H55=$D$11,H55=$D$12,H55=$D$13,H55=$D$14),SottocategorieUscite[[#Headers],[Personali]],IF(OR(H55=$E$5,H55=$E$6,H55=$E$7,H55=$E$8,H55=$E$9,H55=$E$10,H55=$E$11,H55=$E$12,H55=$E$13,H55=$E$14),SottocategorieUscite[[#Headers],[Lavoro]],IF(OR(H55=$F$5,H55=$F$6,H55=$F$7,H55=$F$8,H55=$F$9,H55=$F$10,H55=$F$11,H55=$F$12,H55=$F$13,H55=$F$14),SottocategorieUscite[[#Headers],[Casa]],IF(OR(H55=$G$5,H55=$G$6,H55=$G$7,H55=$G$8,H55=$G$9,H55=$G$10,H55=$G$11,H55=$G$12,H55=$G$13,H55=$G$14),SottocategorieUscite[[#Headers],[Utenze]],IF(OR(H55=$H$5,H55=$H$6,H55=$H$7,H55=$H$8,H55=$H$9,H55=$H$10,H55=$H$11,H55=$H$12,H55=$H$13,H55=$H$14),SottocategorieUscite[[#Headers],[Business Uscite]],IF(OR(H55=$I$5,H55=$I$6,H55=$I$7,H55=$I$8,H55=$I$9,H55=$I$10,H55=$I$11,H55=$I$12,H55=$I$13,H55=$I$14),SottocategorieUscite[[#Headers],[Banca]],IF(OR(H55=K$5,H55=K$6,H55=K$7,H55=K$8,H55=K$9,H55=K$10,H55=K$11,H55=K$12,H55=K$13,H55=K$14),SottocategorieEntrate[[#Headers],[Business Entrate]],IF(OR(H55=L$5,H55=L$6,H55=L$7,H55=L$8,H55=L$9,H55=L$10,H55=L$11,H55=L$12,H55=L$13,H55=L$14),SottocategorieEntrate[[#Headers],[Varie Entrate]],IF(OR(H55=M$5,H55=M$6,H55=M$7,H55=M$8,H55=M$9,H55=M$10,H55=M$11,H55=M$12,H55=M$13,H55=M$14),SottocategorieEntrate[[#Headers],[Real Estate]],IF(OR(H55=N$5,H55=N$6,H55=N$7,H55=N$8,H55=N$9,H55=N$10,H55=N$11,H55=N$12,H55=N$13,H55=N$14),SottocategorieEntrate[[#Headers],[Other]],""))))))))))))</f>
        <v/>
      </c>
      <c r="J55" t="str">
        <f>IF(OR(Dati[[#This Row],[Categoria]]="Bollette",Dati[[#This Row],[Categoria]]="Conto &amp; Carte BNL",Dati[[#This Row],[Categoria]]="Prelievo",Dati[[#This Row],[Categoria]]="Affitto",Dati[[#This Row],[Categoria]]="BNL(Interessi Creditori)"),"Carta",IF(Dati[[#This Row],[Categoria]]&lt;&gt;0,"Cash",""))</f>
        <v/>
      </c>
      <c r="K55" s="59" t="str">
        <f>IF(OR(Data!$I55=SottocategorieUscite[[#Headers],[Fuori Casa]],Data!$I55=SottocategorieUscite[[#Headers],[Varie Uscite]],Data!$I55=SottocategorieUscite[[#Headers],[Personali]],Data!$I55=SottocategorieUscite[[#Headers],[Lavoro]]),"$ -","")</f>
        <v/>
      </c>
      <c r="L55" s="59" t="str">
        <f>IF(OR(Data!$I55=SottocategorieUscite[[#Headers],[Casa]],Data!$I55=SottocategorieUscite[[#Headers],[Utenze]],Data!$I55=SottocategorieUscite[[#Headers],[Business Uscite]],Data!$I55=SottocategorieUscite[[#Headers],[Banca]]),"$ -","")</f>
        <v/>
      </c>
      <c r="M55" s="59" t="str">
        <f>IF(OR($I55&lt;&gt;SottocategorieUscite[[#Headers],[Fuori Casa]],$I55&lt;&gt;SottocategorieUscite[[#Headers],[Varie Uscite]],$I55&lt;&gt;SottocategorieUscite[[#Headers],[Personali]],$I55&lt;&gt;SottocategorieUscite[[#Headers],[Lavoro]],$I55&lt;&gt;SottocategorieUscite[[#Headers],[Casa]],$I55&lt;&gt;SottocategorieUscite[[#Headers],[Utenze]],$I55&lt;&gt;SottocategorieUscite[[#Headers],[Business Uscite]],$I55&lt;&gt;SottocategorieUscite[[#Headers],[Banca]]),"","$ -")</f>
        <v/>
      </c>
      <c r="N55" s="59" t="str">
        <f>IF(OR(Data!$I55=SottocategorieEntrate[[#Headers],[Business Entrate]],Data!$I55=SottocategorieEntrate[[#Headers],[Varie Entrate]]),"$ -","")</f>
        <v/>
      </c>
      <c r="O55" s="59" t="str">
        <f>IF(OR(Data!$I55=SottocategorieEntrate[[#Headers],[Real Estate]],SottocategorieEntrate[[#Headers],[Other]]),"$ -","")</f>
        <v/>
      </c>
      <c r="P55" s="59" t="str">
        <f>IF(OR($I55&lt;&gt;SottocategorieEntrate[[#Headers],[Business Entrate]],$I55&lt;&gt;SottocategorieEntrate[[#Headers],[Varie Entrate]],$I55&lt;&gt;SottocategorieEntrate[[#Headers],[Real Estate]],$I55&lt;&gt;SottocategorieEntrate[[#Headers],[Other]]),"","$ -")</f>
        <v/>
      </c>
      <c r="Q55" s="59" t="str">
        <f>IF(Dati[[#This Row],[Categoria]]="Prelievo","€ -","")</f>
        <v/>
      </c>
      <c r="R55" s="244" t="str">
        <f t="shared" ca="1" si="2"/>
        <v/>
      </c>
      <c r="S55" s="59" t="str">
        <f>IF(Dati[[#This Row],[Categoria]]="Savings",0,"")</f>
        <v/>
      </c>
      <c r="T55" s="59"/>
      <c r="U55" s="59"/>
      <c r="V55" s="59"/>
      <c r="W55" s="59"/>
      <c r="X55" s="59"/>
      <c r="Y55" s="59"/>
      <c r="Z55" s="59"/>
      <c r="AA55" s="59"/>
      <c r="AB55" s="59"/>
      <c r="AC55" s="59"/>
      <c r="AD55" s="59"/>
      <c r="AE55" s="59"/>
      <c r="AF55" s="59"/>
      <c r="AG55" s="59"/>
      <c r="AH55" s="59"/>
      <c r="AI55" s="59" t="str">
        <f>IF(SUM(Dati[[#This Row],[Inv. Business]:[Inv. Cryptocurrency]])=0," ",SUM(Dati[[#This Row],[Inv. Business]:[Inv. Cryptocurrency]]))</f>
        <v xml:space="preserve"> </v>
      </c>
      <c r="AJ55" s="59"/>
      <c r="AK55" s="59" t="str">
        <f>IF(SUM(Dati[[#This Row],[Inv. Gold]:[Mutuo]])=0," ",SUM(Dati[[#This Row],[Inv. Gold]:[Mutuo]]))</f>
        <v xml:space="preserve"> </v>
      </c>
      <c r="AL55" s="59"/>
      <c r="AM55" s="59"/>
    </row>
    <row r="56" spans="2:39" ht="16" customHeight="1" x14ac:dyDescent="0.35">
      <c r="B56">
        <f t="shared" si="0"/>
        <v>36</v>
      </c>
      <c r="C56" s="49">
        <f t="shared" si="1"/>
        <v>44962</v>
      </c>
      <c r="D56" s="29">
        <f>DAY(Dati[[#This Row],[Data]])</f>
        <v>5</v>
      </c>
      <c r="E56" s="29" t="str">
        <f>IF(DAY(Data!$C$21:$C$1327)&gt;0,TEXT(Data!$C$21:$C$1327, "mmmm"),"")</f>
        <v>febbraio</v>
      </c>
      <c r="F56" s="29" t="str">
        <f>IF(DAY(Data!$C$21:$C$1327)&gt;0,TEXT(Data!$C$21:$C$1327, "aaaa"),"")</f>
        <v>2023</v>
      </c>
      <c r="I56" t="str">
        <f>IF(OR(H56=$B$5,H56=$B$6,H56=$B$7,H56=$B$8,H56=$B$9,H56=$B$10,H56=$B$11,H56=$B$12,H56=$B$13,H56=$B$14),SottocategorieUscite[[#Headers],[Fuori Casa]],IF(OR(H56=$C$5,H56=$C$6,H56=$C$7,H56=$C$8,H56=$C$9,H56=$C$10,H56=$C$11,H56=$C$12,H56=$C$13,H56=$C$14),SottocategorieUscite[[#Headers],[Varie Uscite]],IF(OR(H56=$D$5,H56=$D$6,H56=$D$7,H56=$D$8,H56=$D$9,H56=$D$10,H56=$D$11,H56=$D$12,H56=$D$13,H56=$D$14),SottocategorieUscite[[#Headers],[Personali]],IF(OR(H56=$E$5,H56=$E$6,H56=$E$7,H56=$E$8,H56=$E$9,H56=$E$10,H56=$E$11,H56=$E$12,H56=$E$13,H56=$E$14),SottocategorieUscite[[#Headers],[Lavoro]],IF(OR(H56=$F$5,H56=$F$6,H56=$F$7,H56=$F$8,H56=$F$9,H56=$F$10,H56=$F$11,H56=$F$12,H56=$F$13,H56=$F$14),SottocategorieUscite[[#Headers],[Casa]],IF(OR(H56=$G$5,H56=$G$6,H56=$G$7,H56=$G$8,H56=$G$9,H56=$G$10,H56=$G$11,H56=$G$12,H56=$G$13,H56=$G$14),SottocategorieUscite[[#Headers],[Utenze]],IF(OR(H56=$H$5,H56=$H$6,H56=$H$7,H56=$H$8,H56=$H$9,H56=$H$10,H56=$H$11,H56=$H$12,H56=$H$13,H56=$H$14),SottocategorieUscite[[#Headers],[Business Uscite]],IF(OR(H56=$I$5,H56=$I$6,H56=$I$7,H56=$I$8,H56=$I$9,H56=$I$10,H56=$I$11,H56=$I$12,H56=$I$13,H56=$I$14),SottocategorieUscite[[#Headers],[Banca]],IF(OR(H56=K$5,H56=K$6,H56=K$7,H56=K$8,H56=K$9,H56=K$10,H56=K$11,H56=K$12,H56=K$13,H56=K$14),SottocategorieEntrate[[#Headers],[Business Entrate]],IF(OR(H56=L$5,H56=L$6,H56=L$7,H56=L$8,H56=L$9,H56=L$10,H56=L$11,H56=L$12,H56=L$13,H56=L$14),SottocategorieEntrate[[#Headers],[Varie Entrate]],IF(OR(H56=M$5,H56=M$6,H56=M$7,H56=M$8,H56=M$9,H56=M$10,H56=M$11,H56=M$12,H56=M$13,H56=M$14),SottocategorieEntrate[[#Headers],[Real Estate]],IF(OR(H56=N$5,H56=N$6,H56=N$7,H56=N$8,H56=N$9,H56=N$10,H56=N$11,H56=N$12,H56=N$13,H56=N$14),SottocategorieEntrate[[#Headers],[Other]],""))))))))))))</f>
        <v/>
      </c>
      <c r="J56" t="str">
        <f>IF(OR(Dati[[#This Row],[Categoria]]="Bollette",Dati[[#This Row],[Categoria]]="Conto &amp; Carte BNL",Dati[[#This Row],[Categoria]]="Prelievo",Dati[[#This Row],[Categoria]]="Affitto",Dati[[#This Row],[Categoria]]="BNL(Interessi Creditori)"),"Carta",IF(Dati[[#This Row],[Categoria]]&lt;&gt;0,"Cash",""))</f>
        <v/>
      </c>
      <c r="K56" s="59" t="str">
        <f>IF(OR(Data!$I56=SottocategorieUscite[[#Headers],[Fuori Casa]],Data!$I56=SottocategorieUscite[[#Headers],[Varie Uscite]],Data!$I56=SottocategorieUscite[[#Headers],[Personali]],Data!$I56=SottocategorieUscite[[#Headers],[Lavoro]]),"$ -","")</f>
        <v/>
      </c>
      <c r="L56" s="59" t="str">
        <f>IF(OR(Data!$I56=SottocategorieUscite[[#Headers],[Casa]],Data!$I56=SottocategorieUscite[[#Headers],[Utenze]],Data!$I56=SottocategorieUscite[[#Headers],[Business Uscite]],Data!$I56=SottocategorieUscite[[#Headers],[Banca]]),"$ -","")</f>
        <v/>
      </c>
      <c r="M56" s="59" t="str">
        <f>IF(OR($I56&lt;&gt;SottocategorieUscite[[#Headers],[Fuori Casa]],$I56&lt;&gt;SottocategorieUscite[[#Headers],[Varie Uscite]],$I56&lt;&gt;SottocategorieUscite[[#Headers],[Personali]],$I56&lt;&gt;SottocategorieUscite[[#Headers],[Lavoro]],$I56&lt;&gt;SottocategorieUscite[[#Headers],[Casa]],$I56&lt;&gt;SottocategorieUscite[[#Headers],[Utenze]],$I56&lt;&gt;SottocategorieUscite[[#Headers],[Business Uscite]],$I56&lt;&gt;SottocategorieUscite[[#Headers],[Banca]]),"","$ -")</f>
        <v/>
      </c>
      <c r="N56" s="59" t="str">
        <f>IF(OR(Data!$I56=SottocategorieEntrate[[#Headers],[Business Entrate]],Data!$I56=SottocategorieEntrate[[#Headers],[Varie Entrate]]),"$ -","")</f>
        <v/>
      </c>
      <c r="O56" s="59" t="str">
        <f>IF(OR(Data!$I56=SottocategorieEntrate[[#Headers],[Real Estate]],SottocategorieEntrate[[#Headers],[Other]]),"$ -","")</f>
        <v/>
      </c>
      <c r="P56" s="59" t="str">
        <f>IF(OR($I56&lt;&gt;SottocategorieEntrate[[#Headers],[Business Entrate]],$I56&lt;&gt;SottocategorieEntrate[[#Headers],[Varie Entrate]],$I56&lt;&gt;SottocategorieEntrate[[#Headers],[Real Estate]],$I56&lt;&gt;SottocategorieEntrate[[#Headers],[Other]]),"","$ -")</f>
        <v/>
      </c>
      <c r="Q56" s="59" t="str">
        <f>IF(Dati[[#This Row],[Categoria]]="Prelievo","€ -","")</f>
        <v/>
      </c>
      <c r="R56" s="244" t="str">
        <f t="shared" ca="1" si="2"/>
        <v/>
      </c>
      <c r="S56" s="59" t="str">
        <f>IF(Dati[[#This Row],[Categoria]]="Savings",0,"")</f>
        <v/>
      </c>
      <c r="T56" s="59"/>
      <c r="U56" s="59"/>
      <c r="V56" s="59"/>
      <c r="W56" s="59"/>
      <c r="X56" s="59"/>
      <c r="Y56" s="59"/>
      <c r="Z56" s="59"/>
      <c r="AA56" s="59"/>
      <c r="AB56" s="59"/>
      <c r="AC56" s="59"/>
      <c r="AD56" s="59"/>
      <c r="AE56" s="59"/>
      <c r="AF56" s="59"/>
      <c r="AG56" s="59"/>
      <c r="AH56" s="59"/>
      <c r="AI56" s="59" t="str">
        <f>IF(SUM(Dati[[#This Row],[Inv. Business]:[Inv. Cryptocurrency]])=0," ",SUM(Dati[[#This Row],[Inv. Business]:[Inv. Cryptocurrency]]))</f>
        <v xml:space="preserve"> </v>
      </c>
      <c r="AJ56" s="59"/>
      <c r="AK56" s="59" t="str">
        <f>IF(SUM(Dati[[#This Row],[Inv. Gold]:[Mutuo]])=0," ",SUM(Dati[[#This Row],[Inv. Gold]:[Mutuo]]))</f>
        <v xml:space="preserve"> </v>
      </c>
      <c r="AL56" s="59"/>
      <c r="AM56" s="59"/>
    </row>
    <row r="57" spans="2:39" ht="16" customHeight="1" x14ac:dyDescent="0.35">
      <c r="B57">
        <f t="shared" si="0"/>
        <v>37</v>
      </c>
      <c r="C57" s="49">
        <f t="shared" si="1"/>
        <v>44963</v>
      </c>
      <c r="D57" s="29">
        <f>DAY(Dati[[#This Row],[Data]])</f>
        <v>6</v>
      </c>
      <c r="E57" s="29" t="str">
        <f>IF(DAY(Data!$C$21:$C$1327)&gt;0,TEXT(Data!$C$21:$C$1327, "mmmm"),"")</f>
        <v>febbraio</v>
      </c>
      <c r="F57" s="29" t="str">
        <f>IF(DAY(Data!$C$21:$C$1327)&gt;0,TEXT(Data!$C$21:$C$1327, "aaaa"),"")</f>
        <v>2023</v>
      </c>
      <c r="I57" t="str">
        <f>IF(OR(H57=$B$5,H57=$B$6,H57=$B$7,H57=$B$8,H57=$B$9,H57=$B$10,H57=$B$11,H57=$B$12,H57=$B$13,H57=$B$14),SottocategorieUscite[[#Headers],[Fuori Casa]],IF(OR(H57=$C$5,H57=$C$6,H57=$C$7,H57=$C$8,H57=$C$9,H57=$C$10,H57=$C$11,H57=$C$12,H57=$C$13,H57=$C$14),SottocategorieUscite[[#Headers],[Varie Uscite]],IF(OR(H57=$D$5,H57=$D$6,H57=$D$7,H57=$D$8,H57=$D$9,H57=$D$10,H57=$D$11,H57=$D$12,H57=$D$13,H57=$D$14),SottocategorieUscite[[#Headers],[Personali]],IF(OR(H57=$E$5,H57=$E$6,H57=$E$7,H57=$E$8,H57=$E$9,H57=$E$10,H57=$E$11,H57=$E$12,H57=$E$13,H57=$E$14),SottocategorieUscite[[#Headers],[Lavoro]],IF(OR(H57=$F$5,H57=$F$6,H57=$F$7,H57=$F$8,H57=$F$9,H57=$F$10,H57=$F$11,H57=$F$12,H57=$F$13,H57=$F$14),SottocategorieUscite[[#Headers],[Casa]],IF(OR(H57=$G$5,H57=$G$6,H57=$G$7,H57=$G$8,H57=$G$9,H57=$G$10,H57=$G$11,H57=$G$12,H57=$G$13,H57=$G$14),SottocategorieUscite[[#Headers],[Utenze]],IF(OR(H57=$H$5,H57=$H$6,H57=$H$7,H57=$H$8,H57=$H$9,H57=$H$10,H57=$H$11,H57=$H$12,H57=$H$13,H57=$H$14),SottocategorieUscite[[#Headers],[Business Uscite]],IF(OR(H57=$I$5,H57=$I$6,H57=$I$7,H57=$I$8,H57=$I$9,H57=$I$10,H57=$I$11,H57=$I$12,H57=$I$13,H57=$I$14),SottocategorieUscite[[#Headers],[Banca]],IF(OR(H57=K$5,H57=K$6,H57=K$7,H57=K$8,H57=K$9,H57=K$10,H57=K$11,H57=K$12,H57=K$13,H57=K$14),SottocategorieEntrate[[#Headers],[Business Entrate]],IF(OR(H57=L$5,H57=L$6,H57=L$7,H57=L$8,H57=L$9,H57=L$10,H57=L$11,H57=L$12,H57=L$13,H57=L$14),SottocategorieEntrate[[#Headers],[Varie Entrate]],IF(OR(H57=M$5,H57=M$6,H57=M$7,H57=M$8,H57=M$9,H57=M$10,H57=M$11,H57=M$12,H57=M$13,H57=M$14),SottocategorieEntrate[[#Headers],[Real Estate]],IF(OR(H57=N$5,H57=N$6,H57=N$7,H57=N$8,H57=N$9,H57=N$10,H57=N$11,H57=N$12,H57=N$13,H57=N$14),SottocategorieEntrate[[#Headers],[Other]],""))))))))))))</f>
        <v/>
      </c>
      <c r="J57" t="str">
        <f>IF(OR(Dati[[#This Row],[Categoria]]="Bollette",Dati[[#This Row],[Categoria]]="Conto &amp; Carte BNL",Dati[[#This Row],[Categoria]]="Prelievo",Dati[[#This Row],[Categoria]]="Affitto",Dati[[#This Row],[Categoria]]="BNL(Interessi Creditori)"),"Carta",IF(Dati[[#This Row],[Categoria]]&lt;&gt;0,"Cash",""))</f>
        <v/>
      </c>
      <c r="K57" s="59" t="str">
        <f>IF(OR(Data!$I57=SottocategorieUscite[[#Headers],[Fuori Casa]],Data!$I57=SottocategorieUscite[[#Headers],[Varie Uscite]],Data!$I57=SottocategorieUscite[[#Headers],[Personali]],Data!$I57=SottocategorieUscite[[#Headers],[Lavoro]]),"$ -","")</f>
        <v/>
      </c>
      <c r="L57" s="59" t="str">
        <f>IF(OR(Data!$I57=SottocategorieUscite[[#Headers],[Casa]],Data!$I57=SottocategorieUscite[[#Headers],[Utenze]],Data!$I57=SottocategorieUscite[[#Headers],[Business Uscite]],Data!$I57=SottocategorieUscite[[#Headers],[Banca]]),"$ -","")</f>
        <v/>
      </c>
      <c r="M57" s="59" t="str">
        <f>IF(OR($I57&lt;&gt;SottocategorieUscite[[#Headers],[Fuori Casa]],$I57&lt;&gt;SottocategorieUscite[[#Headers],[Varie Uscite]],$I57&lt;&gt;SottocategorieUscite[[#Headers],[Personali]],$I57&lt;&gt;SottocategorieUscite[[#Headers],[Lavoro]],$I57&lt;&gt;SottocategorieUscite[[#Headers],[Casa]],$I57&lt;&gt;SottocategorieUscite[[#Headers],[Utenze]],$I57&lt;&gt;SottocategorieUscite[[#Headers],[Business Uscite]],$I57&lt;&gt;SottocategorieUscite[[#Headers],[Banca]]),"","$ -")</f>
        <v/>
      </c>
      <c r="N57" s="59" t="str">
        <f>IF(OR(Data!$I57=SottocategorieEntrate[[#Headers],[Business Entrate]],Data!$I57=SottocategorieEntrate[[#Headers],[Varie Entrate]]),"$ -","")</f>
        <v/>
      </c>
      <c r="O57" s="59" t="str">
        <f>IF(OR(Data!$I57=SottocategorieEntrate[[#Headers],[Real Estate]],SottocategorieEntrate[[#Headers],[Other]]),"$ -","")</f>
        <v/>
      </c>
      <c r="P57" s="59" t="str">
        <f>IF(OR($I57&lt;&gt;SottocategorieEntrate[[#Headers],[Business Entrate]],$I57&lt;&gt;SottocategorieEntrate[[#Headers],[Varie Entrate]],$I57&lt;&gt;SottocategorieEntrate[[#Headers],[Real Estate]],$I57&lt;&gt;SottocategorieEntrate[[#Headers],[Other]]),"","$ -")</f>
        <v/>
      </c>
      <c r="Q57" s="59" t="str">
        <f>IF(Dati[[#This Row],[Categoria]]="Prelievo","€ -","")</f>
        <v/>
      </c>
      <c r="R57" s="244" t="str">
        <f t="shared" ca="1" si="2"/>
        <v/>
      </c>
      <c r="S57" s="59" t="str">
        <f>IF(Dati[[#This Row],[Categoria]]="Savings",0,"")</f>
        <v/>
      </c>
      <c r="T57" s="59"/>
      <c r="U57" s="59"/>
      <c r="V57" s="59"/>
      <c r="W57" s="59"/>
      <c r="X57" s="59"/>
      <c r="Y57" s="59"/>
      <c r="Z57" s="59"/>
      <c r="AA57" s="59"/>
      <c r="AB57" s="59"/>
      <c r="AC57" s="59"/>
      <c r="AD57" s="59"/>
      <c r="AE57" s="59"/>
      <c r="AF57" s="59"/>
      <c r="AG57" s="59"/>
      <c r="AH57" s="59"/>
      <c r="AI57" s="59" t="str">
        <f>IF(SUM(Dati[[#This Row],[Inv. Business]:[Inv. Cryptocurrency]])=0," ",SUM(Dati[[#This Row],[Inv. Business]:[Inv. Cryptocurrency]]))</f>
        <v xml:space="preserve"> </v>
      </c>
      <c r="AJ57" s="59"/>
      <c r="AK57" s="59" t="str">
        <f>IF(SUM(Dati[[#This Row],[Inv. Gold]:[Mutuo]])=0," ",SUM(Dati[[#This Row],[Inv. Gold]:[Mutuo]]))</f>
        <v xml:space="preserve"> </v>
      </c>
      <c r="AL57" s="59"/>
      <c r="AM57" s="59"/>
    </row>
    <row r="58" spans="2:39" ht="16" customHeight="1" x14ac:dyDescent="0.35">
      <c r="B58">
        <f t="shared" si="0"/>
        <v>38</v>
      </c>
      <c r="C58" s="49">
        <f t="shared" si="1"/>
        <v>44964</v>
      </c>
      <c r="D58" s="29">
        <f>DAY(Dati[[#This Row],[Data]])</f>
        <v>7</v>
      </c>
      <c r="E58" s="29" t="str">
        <f>IF(DAY(Data!$C$21:$C$1327)&gt;0,TEXT(Data!$C$21:$C$1327, "mmmm"),"")</f>
        <v>febbraio</v>
      </c>
      <c r="F58" s="29" t="str">
        <f>IF(DAY(Data!$C$21:$C$1327)&gt;0,TEXT(Data!$C$21:$C$1327, "aaaa"),"")</f>
        <v>2023</v>
      </c>
      <c r="I58" t="str">
        <f>IF(OR(H58=$B$5,H58=$B$6,H58=$B$7,H58=$B$8,H58=$B$9,H58=$B$10,H58=$B$11,H58=$B$12,H58=$B$13,H58=$B$14),SottocategorieUscite[[#Headers],[Fuori Casa]],IF(OR(H58=$C$5,H58=$C$6,H58=$C$7,H58=$C$8,H58=$C$9,H58=$C$10,H58=$C$11,H58=$C$12,H58=$C$13,H58=$C$14),SottocategorieUscite[[#Headers],[Varie Uscite]],IF(OR(H58=$D$5,H58=$D$6,H58=$D$7,H58=$D$8,H58=$D$9,H58=$D$10,H58=$D$11,H58=$D$12,H58=$D$13,H58=$D$14),SottocategorieUscite[[#Headers],[Personali]],IF(OR(H58=$E$5,H58=$E$6,H58=$E$7,H58=$E$8,H58=$E$9,H58=$E$10,H58=$E$11,H58=$E$12,H58=$E$13,H58=$E$14),SottocategorieUscite[[#Headers],[Lavoro]],IF(OR(H58=$F$5,H58=$F$6,H58=$F$7,H58=$F$8,H58=$F$9,H58=$F$10,H58=$F$11,H58=$F$12,H58=$F$13,H58=$F$14),SottocategorieUscite[[#Headers],[Casa]],IF(OR(H58=$G$5,H58=$G$6,H58=$G$7,H58=$G$8,H58=$G$9,H58=$G$10,H58=$G$11,H58=$G$12,H58=$G$13,H58=$G$14),SottocategorieUscite[[#Headers],[Utenze]],IF(OR(H58=$H$5,H58=$H$6,H58=$H$7,H58=$H$8,H58=$H$9,H58=$H$10,H58=$H$11,H58=$H$12,H58=$H$13,H58=$H$14),SottocategorieUscite[[#Headers],[Business Uscite]],IF(OR(H58=$I$5,H58=$I$6,H58=$I$7,H58=$I$8,H58=$I$9,H58=$I$10,H58=$I$11,H58=$I$12,H58=$I$13,H58=$I$14),SottocategorieUscite[[#Headers],[Banca]],IF(OR(H58=K$5,H58=K$6,H58=K$7,H58=K$8,H58=K$9,H58=K$10,H58=K$11,H58=K$12,H58=K$13,H58=K$14),SottocategorieEntrate[[#Headers],[Business Entrate]],IF(OR(H58=L$5,H58=L$6,H58=L$7,H58=L$8,H58=L$9,H58=L$10,H58=L$11,H58=L$12,H58=L$13,H58=L$14),SottocategorieEntrate[[#Headers],[Varie Entrate]],IF(OR(H58=M$5,H58=M$6,H58=M$7,H58=M$8,H58=M$9,H58=M$10,H58=M$11,H58=M$12,H58=M$13,H58=M$14),SottocategorieEntrate[[#Headers],[Real Estate]],IF(OR(H58=N$5,H58=N$6,H58=N$7,H58=N$8,H58=N$9,H58=N$10,H58=N$11,H58=N$12,H58=N$13,H58=N$14),SottocategorieEntrate[[#Headers],[Other]],""))))))))))))</f>
        <v/>
      </c>
      <c r="J58" t="str">
        <f>IF(OR(Dati[[#This Row],[Categoria]]="Bollette",Dati[[#This Row],[Categoria]]="Conto &amp; Carte BNL",Dati[[#This Row],[Categoria]]="Prelievo",Dati[[#This Row],[Categoria]]="Affitto",Dati[[#This Row],[Categoria]]="BNL(Interessi Creditori)"),"Carta",IF(Dati[[#This Row],[Categoria]]&lt;&gt;0,"Cash",""))</f>
        <v/>
      </c>
      <c r="K58" s="59" t="str">
        <f>IF(OR(Data!$I58=SottocategorieUscite[[#Headers],[Fuori Casa]],Data!$I58=SottocategorieUscite[[#Headers],[Varie Uscite]],Data!$I58=SottocategorieUscite[[#Headers],[Personali]],Data!$I58=SottocategorieUscite[[#Headers],[Lavoro]]),"$ -","")</f>
        <v/>
      </c>
      <c r="L58" s="59" t="str">
        <f>IF(OR(Data!$I58=SottocategorieUscite[[#Headers],[Casa]],Data!$I58=SottocategorieUscite[[#Headers],[Utenze]],Data!$I58=SottocategorieUscite[[#Headers],[Business Uscite]],Data!$I58=SottocategorieUscite[[#Headers],[Banca]]),"$ -","")</f>
        <v/>
      </c>
      <c r="M58" s="59" t="str">
        <f>IF(OR($I58&lt;&gt;SottocategorieUscite[[#Headers],[Fuori Casa]],$I58&lt;&gt;SottocategorieUscite[[#Headers],[Varie Uscite]],$I58&lt;&gt;SottocategorieUscite[[#Headers],[Personali]],$I58&lt;&gt;SottocategorieUscite[[#Headers],[Lavoro]],$I58&lt;&gt;SottocategorieUscite[[#Headers],[Casa]],$I58&lt;&gt;SottocategorieUscite[[#Headers],[Utenze]],$I58&lt;&gt;SottocategorieUscite[[#Headers],[Business Uscite]],$I58&lt;&gt;SottocategorieUscite[[#Headers],[Banca]]),"","$ -")</f>
        <v/>
      </c>
      <c r="N58" s="59" t="str">
        <f>IF(OR(Data!$I58=SottocategorieEntrate[[#Headers],[Business Entrate]],Data!$I58=SottocategorieEntrate[[#Headers],[Varie Entrate]]),"$ -","")</f>
        <v/>
      </c>
      <c r="O58" s="59" t="str">
        <f>IF(OR(Data!$I58=SottocategorieEntrate[[#Headers],[Real Estate]],SottocategorieEntrate[[#Headers],[Other]]),"$ -","")</f>
        <v/>
      </c>
      <c r="P58" s="59" t="str">
        <f>IF(OR($I58&lt;&gt;SottocategorieEntrate[[#Headers],[Business Entrate]],$I58&lt;&gt;SottocategorieEntrate[[#Headers],[Varie Entrate]],$I58&lt;&gt;SottocategorieEntrate[[#Headers],[Real Estate]],$I58&lt;&gt;SottocategorieEntrate[[#Headers],[Other]]),"","$ -")</f>
        <v/>
      </c>
      <c r="Q58" s="59" t="str">
        <f>IF(Dati[[#This Row],[Categoria]]="Prelievo","€ -","")</f>
        <v/>
      </c>
      <c r="R58" s="244" t="str">
        <f t="shared" ca="1" si="2"/>
        <v/>
      </c>
      <c r="S58" s="59" t="str">
        <f>IF(Dati[[#This Row],[Categoria]]="Savings",0,"")</f>
        <v/>
      </c>
      <c r="T58" s="59"/>
      <c r="U58" s="59"/>
      <c r="V58" s="59"/>
      <c r="W58" s="59"/>
      <c r="X58" s="59"/>
      <c r="Y58" s="59"/>
      <c r="Z58" s="59"/>
      <c r="AA58" s="59"/>
      <c r="AB58" s="59"/>
      <c r="AC58" s="59"/>
      <c r="AD58" s="59"/>
      <c r="AE58" s="59"/>
      <c r="AF58" s="59"/>
      <c r="AG58" s="59"/>
      <c r="AH58" s="59"/>
      <c r="AI58" s="59" t="str">
        <f>IF(SUM(Dati[[#This Row],[Inv. Business]:[Inv. Cryptocurrency]])=0," ",SUM(Dati[[#This Row],[Inv. Business]:[Inv. Cryptocurrency]]))</f>
        <v xml:space="preserve"> </v>
      </c>
      <c r="AJ58" s="59"/>
      <c r="AK58" s="59" t="str">
        <f>IF(SUM(Dati[[#This Row],[Inv. Gold]:[Mutuo]])=0," ",SUM(Dati[[#This Row],[Inv. Gold]:[Mutuo]]))</f>
        <v xml:space="preserve"> </v>
      </c>
      <c r="AL58" s="59"/>
      <c r="AM58" s="59"/>
    </row>
    <row r="59" spans="2:39" ht="16" customHeight="1" x14ac:dyDescent="0.35">
      <c r="B59">
        <f t="shared" si="0"/>
        <v>39</v>
      </c>
      <c r="C59" s="49">
        <f t="shared" si="1"/>
        <v>44965</v>
      </c>
      <c r="D59" s="29">
        <f>DAY(Dati[[#This Row],[Data]])</f>
        <v>8</v>
      </c>
      <c r="E59" s="29" t="str">
        <f>IF(DAY(Data!$C$21:$C$1327)&gt;0,TEXT(Data!$C$21:$C$1327, "mmmm"),"")</f>
        <v>febbraio</v>
      </c>
      <c r="F59" s="29" t="str">
        <f>IF(DAY(Data!$C$21:$C$1327)&gt;0,TEXT(Data!$C$21:$C$1327, "aaaa"),"")</f>
        <v>2023</v>
      </c>
      <c r="I59" t="str">
        <f>IF(OR(H59=$B$5,H59=$B$6,H59=$B$7,H59=$B$8,H59=$B$9,H59=$B$10,H59=$B$11,H59=$B$12,H59=$B$13,H59=$B$14),SottocategorieUscite[[#Headers],[Fuori Casa]],IF(OR(H59=$C$5,H59=$C$6,H59=$C$7,H59=$C$8,H59=$C$9,H59=$C$10,H59=$C$11,H59=$C$12,H59=$C$13,H59=$C$14),SottocategorieUscite[[#Headers],[Varie Uscite]],IF(OR(H59=$D$5,H59=$D$6,H59=$D$7,H59=$D$8,H59=$D$9,H59=$D$10,H59=$D$11,H59=$D$12,H59=$D$13,H59=$D$14),SottocategorieUscite[[#Headers],[Personali]],IF(OR(H59=$E$5,H59=$E$6,H59=$E$7,H59=$E$8,H59=$E$9,H59=$E$10,H59=$E$11,H59=$E$12,H59=$E$13,H59=$E$14),SottocategorieUscite[[#Headers],[Lavoro]],IF(OR(H59=$F$5,H59=$F$6,H59=$F$7,H59=$F$8,H59=$F$9,H59=$F$10,H59=$F$11,H59=$F$12,H59=$F$13,H59=$F$14),SottocategorieUscite[[#Headers],[Casa]],IF(OR(H59=$G$5,H59=$G$6,H59=$G$7,H59=$G$8,H59=$G$9,H59=$G$10,H59=$G$11,H59=$G$12,H59=$G$13,H59=$G$14),SottocategorieUscite[[#Headers],[Utenze]],IF(OR(H59=$H$5,H59=$H$6,H59=$H$7,H59=$H$8,H59=$H$9,H59=$H$10,H59=$H$11,H59=$H$12,H59=$H$13,H59=$H$14),SottocategorieUscite[[#Headers],[Business Uscite]],IF(OR(H59=$I$5,H59=$I$6,H59=$I$7,H59=$I$8,H59=$I$9,H59=$I$10,H59=$I$11,H59=$I$12,H59=$I$13,H59=$I$14),SottocategorieUscite[[#Headers],[Banca]],IF(OR(H59=K$5,H59=K$6,H59=K$7,H59=K$8,H59=K$9,H59=K$10,H59=K$11,H59=K$12,H59=K$13,H59=K$14),SottocategorieEntrate[[#Headers],[Business Entrate]],IF(OR(H59=L$5,H59=L$6,H59=L$7,H59=L$8,H59=L$9,H59=L$10,H59=L$11,H59=L$12,H59=L$13,H59=L$14),SottocategorieEntrate[[#Headers],[Varie Entrate]],IF(OR(H59=M$5,H59=M$6,H59=M$7,H59=M$8,H59=M$9,H59=M$10,H59=M$11,H59=M$12,H59=M$13,H59=M$14),SottocategorieEntrate[[#Headers],[Real Estate]],IF(OR(H59=N$5,H59=N$6,H59=N$7,H59=N$8,H59=N$9,H59=N$10,H59=N$11,H59=N$12,H59=N$13,H59=N$14),SottocategorieEntrate[[#Headers],[Other]],""))))))))))))</f>
        <v/>
      </c>
      <c r="J59" t="str">
        <f>IF(OR(Dati[[#This Row],[Categoria]]="Bollette",Dati[[#This Row],[Categoria]]="Conto &amp; Carte BNL",Dati[[#This Row],[Categoria]]="Prelievo",Dati[[#This Row],[Categoria]]="Affitto",Dati[[#This Row],[Categoria]]="BNL(Interessi Creditori)"),"Carta",IF(Dati[[#This Row],[Categoria]]&lt;&gt;0,"Cash",""))</f>
        <v/>
      </c>
      <c r="K59" s="59" t="str">
        <f>IF(OR(Data!$I59=SottocategorieUscite[[#Headers],[Fuori Casa]],Data!$I59=SottocategorieUscite[[#Headers],[Varie Uscite]],Data!$I59=SottocategorieUscite[[#Headers],[Personali]],Data!$I59=SottocategorieUscite[[#Headers],[Lavoro]]),"$ -","")</f>
        <v/>
      </c>
      <c r="L59" s="59" t="str">
        <f>IF(OR(Data!$I59=SottocategorieUscite[[#Headers],[Casa]],Data!$I59=SottocategorieUscite[[#Headers],[Utenze]],Data!$I59=SottocategorieUscite[[#Headers],[Business Uscite]],Data!$I59=SottocategorieUscite[[#Headers],[Banca]]),"$ -","")</f>
        <v/>
      </c>
      <c r="M59" s="59" t="str">
        <f>IF(OR($I59&lt;&gt;SottocategorieUscite[[#Headers],[Fuori Casa]],$I59&lt;&gt;SottocategorieUscite[[#Headers],[Varie Uscite]],$I59&lt;&gt;SottocategorieUscite[[#Headers],[Personali]],$I59&lt;&gt;SottocategorieUscite[[#Headers],[Lavoro]],$I59&lt;&gt;SottocategorieUscite[[#Headers],[Casa]],$I59&lt;&gt;SottocategorieUscite[[#Headers],[Utenze]],$I59&lt;&gt;SottocategorieUscite[[#Headers],[Business Uscite]],$I59&lt;&gt;SottocategorieUscite[[#Headers],[Banca]]),"","$ -")</f>
        <v/>
      </c>
      <c r="N59" s="59" t="str">
        <f>IF(OR(Data!$I59=SottocategorieEntrate[[#Headers],[Business Entrate]],Data!$I59=SottocategorieEntrate[[#Headers],[Varie Entrate]]),"$ -","")</f>
        <v/>
      </c>
      <c r="O59" s="59" t="str">
        <f>IF(OR(Data!$I59=SottocategorieEntrate[[#Headers],[Real Estate]],SottocategorieEntrate[[#Headers],[Other]]),"$ -","")</f>
        <v/>
      </c>
      <c r="P59" s="59" t="str">
        <f>IF(OR($I59&lt;&gt;SottocategorieEntrate[[#Headers],[Business Entrate]],$I59&lt;&gt;SottocategorieEntrate[[#Headers],[Varie Entrate]],$I59&lt;&gt;SottocategorieEntrate[[#Headers],[Real Estate]],$I59&lt;&gt;SottocategorieEntrate[[#Headers],[Other]]),"","$ -")</f>
        <v/>
      </c>
      <c r="Q59" s="59" t="str">
        <f>IF(Dati[[#This Row],[Categoria]]="Prelievo","€ -","")</f>
        <v/>
      </c>
      <c r="R59" s="244" t="str">
        <f t="shared" ca="1" si="2"/>
        <v/>
      </c>
      <c r="S59" s="59" t="str">
        <f>IF(Dati[[#This Row],[Categoria]]="Savings",0,"")</f>
        <v/>
      </c>
      <c r="T59" s="59"/>
      <c r="U59" s="59"/>
      <c r="V59" s="59"/>
      <c r="W59" s="59"/>
      <c r="X59" s="59"/>
      <c r="Y59" s="59"/>
      <c r="Z59" s="59"/>
      <c r="AA59" s="59"/>
      <c r="AB59" s="59"/>
      <c r="AC59" s="59"/>
      <c r="AD59" s="59"/>
      <c r="AE59" s="59"/>
      <c r="AF59" s="59"/>
      <c r="AG59" s="59"/>
      <c r="AH59" s="59"/>
      <c r="AI59" s="59" t="str">
        <f>IF(SUM(Dati[[#This Row],[Inv. Business]:[Inv. Cryptocurrency]])=0," ",SUM(Dati[[#This Row],[Inv. Business]:[Inv. Cryptocurrency]]))</f>
        <v xml:space="preserve"> </v>
      </c>
      <c r="AJ59" s="59"/>
      <c r="AK59" s="59" t="str">
        <f>IF(SUM(Dati[[#This Row],[Inv. Gold]:[Mutuo]])=0," ",SUM(Dati[[#This Row],[Inv. Gold]:[Mutuo]]))</f>
        <v xml:space="preserve"> </v>
      </c>
      <c r="AL59" s="59"/>
      <c r="AM59" s="59"/>
    </row>
    <row r="60" spans="2:39" ht="16" customHeight="1" x14ac:dyDescent="0.35">
      <c r="B60">
        <f t="shared" si="0"/>
        <v>40</v>
      </c>
      <c r="C60" s="49">
        <f t="shared" si="1"/>
        <v>44966</v>
      </c>
      <c r="D60" s="29">
        <f>DAY(Dati[[#This Row],[Data]])</f>
        <v>9</v>
      </c>
      <c r="E60" s="29" t="str">
        <f>IF(DAY(Data!$C$21:$C$1327)&gt;0,TEXT(Data!$C$21:$C$1327, "mmmm"),"")</f>
        <v>febbraio</v>
      </c>
      <c r="F60" s="29" t="str">
        <f>IF(DAY(Data!$C$21:$C$1327)&gt;0,TEXT(Data!$C$21:$C$1327, "aaaa"),"")</f>
        <v>2023</v>
      </c>
      <c r="I60" t="str">
        <f>IF(OR(H60=$B$5,H60=$B$6,H60=$B$7,H60=$B$8,H60=$B$9,H60=$B$10,H60=$B$11,H60=$B$12,H60=$B$13,H60=$B$14),SottocategorieUscite[[#Headers],[Fuori Casa]],IF(OR(H60=$C$5,H60=$C$6,H60=$C$7,H60=$C$8,H60=$C$9,H60=$C$10,H60=$C$11,H60=$C$12,H60=$C$13,H60=$C$14),SottocategorieUscite[[#Headers],[Varie Uscite]],IF(OR(H60=$D$5,H60=$D$6,H60=$D$7,H60=$D$8,H60=$D$9,H60=$D$10,H60=$D$11,H60=$D$12,H60=$D$13,H60=$D$14),SottocategorieUscite[[#Headers],[Personali]],IF(OR(H60=$E$5,H60=$E$6,H60=$E$7,H60=$E$8,H60=$E$9,H60=$E$10,H60=$E$11,H60=$E$12,H60=$E$13,H60=$E$14),SottocategorieUscite[[#Headers],[Lavoro]],IF(OR(H60=$F$5,H60=$F$6,H60=$F$7,H60=$F$8,H60=$F$9,H60=$F$10,H60=$F$11,H60=$F$12,H60=$F$13,H60=$F$14),SottocategorieUscite[[#Headers],[Casa]],IF(OR(H60=$G$5,H60=$G$6,H60=$G$7,H60=$G$8,H60=$G$9,H60=$G$10,H60=$G$11,H60=$G$12,H60=$G$13,H60=$G$14),SottocategorieUscite[[#Headers],[Utenze]],IF(OR(H60=$H$5,H60=$H$6,H60=$H$7,H60=$H$8,H60=$H$9,H60=$H$10,H60=$H$11,H60=$H$12,H60=$H$13,H60=$H$14),SottocategorieUscite[[#Headers],[Business Uscite]],IF(OR(H60=$I$5,H60=$I$6,H60=$I$7,H60=$I$8,H60=$I$9,H60=$I$10,H60=$I$11,H60=$I$12,H60=$I$13,H60=$I$14),SottocategorieUscite[[#Headers],[Banca]],IF(OR(H60=K$5,H60=K$6,H60=K$7,H60=K$8,H60=K$9,H60=K$10,H60=K$11,H60=K$12,H60=K$13,H60=K$14),SottocategorieEntrate[[#Headers],[Business Entrate]],IF(OR(H60=L$5,H60=L$6,H60=L$7,H60=L$8,H60=L$9,H60=L$10,H60=L$11,H60=L$12,H60=L$13,H60=L$14),SottocategorieEntrate[[#Headers],[Varie Entrate]],IF(OR(H60=M$5,H60=M$6,H60=M$7,H60=M$8,H60=M$9,H60=M$10,H60=M$11,H60=M$12,H60=M$13,H60=M$14),SottocategorieEntrate[[#Headers],[Real Estate]],IF(OR(H60=N$5,H60=N$6,H60=N$7,H60=N$8,H60=N$9,H60=N$10,H60=N$11,H60=N$12,H60=N$13,H60=N$14),SottocategorieEntrate[[#Headers],[Other]],""))))))))))))</f>
        <v/>
      </c>
      <c r="J60" t="str">
        <f>IF(OR(Dati[[#This Row],[Categoria]]="Bollette",Dati[[#This Row],[Categoria]]="Conto &amp; Carte BNL",Dati[[#This Row],[Categoria]]="Prelievo",Dati[[#This Row],[Categoria]]="Affitto",Dati[[#This Row],[Categoria]]="BNL(Interessi Creditori)"),"Carta",IF(Dati[[#This Row],[Categoria]]&lt;&gt;0,"Cash",""))</f>
        <v/>
      </c>
      <c r="K60" s="59" t="str">
        <f>IF(OR(Data!$I60=SottocategorieUscite[[#Headers],[Fuori Casa]],Data!$I60=SottocategorieUscite[[#Headers],[Varie Uscite]],Data!$I60=SottocategorieUscite[[#Headers],[Personali]],Data!$I60=SottocategorieUscite[[#Headers],[Lavoro]]),"$ -","")</f>
        <v/>
      </c>
      <c r="L60" s="59" t="str">
        <f>IF(OR(Data!$I60=SottocategorieUscite[[#Headers],[Casa]],Data!$I60=SottocategorieUscite[[#Headers],[Utenze]],Data!$I60=SottocategorieUscite[[#Headers],[Business Uscite]],Data!$I60=SottocategorieUscite[[#Headers],[Banca]]),"$ -","")</f>
        <v/>
      </c>
      <c r="M60" s="59" t="str">
        <f>IF(OR($I60&lt;&gt;SottocategorieUscite[[#Headers],[Fuori Casa]],$I60&lt;&gt;SottocategorieUscite[[#Headers],[Varie Uscite]],$I60&lt;&gt;SottocategorieUscite[[#Headers],[Personali]],$I60&lt;&gt;SottocategorieUscite[[#Headers],[Lavoro]],$I60&lt;&gt;SottocategorieUscite[[#Headers],[Casa]],$I60&lt;&gt;SottocategorieUscite[[#Headers],[Utenze]],$I60&lt;&gt;SottocategorieUscite[[#Headers],[Business Uscite]],$I60&lt;&gt;SottocategorieUscite[[#Headers],[Banca]]),"","$ -")</f>
        <v/>
      </c>
      <c r="N60" s="59" t="str">
        <f>IF(OR(Data!$I60=SottocategorieEntrate[[#Headers],[Business Entrate]],Data!$I60=SottocategorieEntrate[[#Headers],[Varie Entrate]]),"$ -","")</f>
        <v/>
      </c>
      <c r="O60" s="59" t="str">
        <f>IF(OR(Data!$I60=SottocategorieEntrate[[#Headers],[Real Estate]],SottocategorieEntrate[[#Headers],[Other]]),"$ -","")</f>
        <v/>
      </c>
      <c r="P60" s="59" t="str">
        <f>IF(OR($I60&lt;&gt;SottocategorieEntrate[[#Headers],[Business Entrate]],$I60&lt;&gt;SottocategorieEntrate[[#Headers],[Varie Entrate]],$I60&lt;&gt;SottocategorieEntrate[[#Headers],[Real Estate]],$I60&lt;&gt;SottocategorieEntrate[[#Headers],[Other]]),"","$ -")</f>
        <v/>
      </c>
      <c r="Q60" s="59" t="str">
        <f>IF(Dati[[#This Row],[Categoria]]="Prelievo","€ -","")</f>
        <v/>
      </c>
      <c r="R60" s="244" t="str">
        <f t="shared" ca="1" si="2"/>
        <v/>
      </c>
      <c r="S60" s="59" t="str">
        <f>IF(Dati[[#This Row],[Categoria]]="Savings",0,"")</f>
        <v/>
      </c>
      <c r="T60" s="59"/>
      <c r="U60" s="59"/>
      <c r="V60" s="59"/>
      <c r="W60" s="59"/>
      <c r="X60" s="59"/>
      <c r="Y60" s="59"/>
      <c r="Z60" s="59"/>
      <c r="AA60" s="59"/>
      <c r="AB60" s="59"/>
      <c r="AC60" s="59"/>
      <c r="AD60" s="59"/>
      <c r="AE60" s="59"/>
      <c r="AF60" s="59"/>
      <c r="AG60" s="59"/>
      <c r="AH60" s="59"/>
      <c r="AI60" s="59" t="str">
        <f>IF(SUM(Dati[[#This Row],[Inv. Business]:[Inv. Cryptocurrency]])=0," ",SUM(Dati[[#This Row],[Inv. Business]:[Inv. Cryptocurrency]]))</f>
        <v xml:space="preserve"> </v>
      </c>
      <c r="AJ60" s="59"/>
      <c r="AK60" s="59" t="str">
        <f>IF(SUM(Dati[[#This Row],[Inv. Gold]:[Mutuo]])=0," ",SUM(Dati[[#This Row],[Inv. Gold]:[Mutuo]]))</f>
        <v xml:space="preserve"> </v>
      </c>
      <c r="AL60" s="59"/>
      <c r="AM60" s="59"/>
    </row>
    <row r="61" spans="2:39" ht="16" customHeight="1" x14ac:dyDescent="0.35">
      <c r="B61">
        <f t="shared" si="0"/>
        <v>41</v>
      </c>
      <c r="C61" s="49">
        <f t="shared" si="1"/>
        <v>44967</v>
      </c>
      <c r="D61" s="29">
        <f>DAY(Dati[[#This Row],[Data]])</f>
        <v>10</v>
      </c>
      <c r="E61" s="29" t="str">
        <f>IF(DAY(Data!$C$21:$C$1327)&gt;0,TEXT(Data!$C$21:$C$1327, "mmmm"),"")</f>
        <v>febbraio</v>
      </c>
      <c r="F61" s="29" t="str">
        <f>IF(DAY(Data!$C$21:$C$1327)&gt;0,TEXT(Data!$C$21:$C$1327, "aaaa"),"")</f>
        <v>2023</v>
      </c>
      <c r="I61" t="str">
        <f>IF(OR(H61=$B$5,H61=$B$6,H61=$B$7,H61=$B$8,H61=$B$9,H61=$B$10,H61=$B$11,H61=$B$12,H61=$B$13,H61=$B$14),SottocategorieUscite[[#Headers],[Fuori Casa]],IF(OR(H61=$C$5,H61=$C$6,H61=$C$7,H61=$C$8,H61=$C$9,H61=$C$10,H61=$C$11,H61=$C$12,H61=$C$13,H61=$C$14),SottocategorieUscite[[#Headers],[Varie Uscite]],IF(OR(H61=$D$5,H61=$D$6,H61=$D$7,H61=$D$8,H61=$D$9,H61=$D$10,H61=$D$11,H61=$D$12,H61=$D$13,H61=$D$14),SottocategorieUscite[[#Headers],[Personali]],IF(OR(H61=$E$5,H61=$E$6,H61=$E$7,H61=$E$8,H61=$E$9,H61=$E$10,H61=$E$11,H61=$E$12,H61=$E$13,H61=$E$14),SottocategorieUscite[[#Headers],[Lavoro]],IF(OR(H61=$F$5,H61=$F$6,H61=$F$7,H61=$F$8,H61=$F$9,H61=$F$10,H61=$F$11,H61=$F$12,H61=$F$13,H61=$F$14),SottocategorieUscite[[#Headers],[Casa]],IF(OR(H61=$G$5,H61=$G$6,H61=$G$7,H61=$G$8,H61=$G$9,H61=$G$10,H61=$G$11,H61=$G$12,H61=$G$13,H61=$G$14),SottocategorieUscite[[#Headers],[Utenze]],IF(OR(H61=$H$5,H61=$H$6,H61=$H$7,H61=$H$8,H61=$H$9,H61=$H$10,H61=$H$11,H61=$H$12,H61=$H$13,H61=$H$14),SottocategorieUscite[[#Headers],[Business Uscite]],IF(OR(H61=$I$5,H61=$I$6,H61=$I$7,H61=$I$8,H61=$I$9,H61=$I$10,H61=$I$11,H61=$I$12,H61=$I$13,H61=$I$14),SottocategorieUscite[[#Headers],[Banca]],IF(OR(H61=K$5,H61=K$6,H61=K$7,H61=K$8,H61=K$9,H61=K$10,H61=K$11,H61=K$12,H61=K$13,H61=K$14),SottocategorieEntrate[[#Headers],[Business Entrate]],IF(OR(H61=L$5,H61=L$6,H61=L$7,H61=L$8,H61=L$9,H61=L$10,H61=L$11,H61=L$12,H61=L$13,H61=L$14),SottocategorieEntrate[[#Headers],[Varie Entrate]],IF(OR(H61=M$5,H61=M$6,H61=M$7,H61=M$8,H61=M$9,H61=M$10,H61=M$11,H61=M$12,H61=M$13,H61=M$14),SottocategorieEntrate[[#Headers],[Real Estate]],IF(OR(H61=N$5,H61=N$6,H61=N$7,H61=N$8,H61=N$9,H61=N$10,H61=N$11,H61=N$12,H61=N$13,H61=N$14),SottocategorieEntrate[[#Headers],[Other]],""))))))))))))</f>
        <v/>
      </c>
      <c r="J61" t="str">
        <f>IF(OR(Dati[[#This Row],[Categoria]]="Bollette",Dati[[#This Row],[Categoria]]="Conto &amp; Carte BNL",Dati[[#This Row],[Categoria]]="Prelievo",Dati[[#This Row],[Categoria]]="Affitto",Dati[[#This Row],[Categoria]]="BNL(Interessi Creditori)"),"Carta",IF(Dati[[#This Row],[Categoria]]&lt;&gt;0,"Cash",""))</f>
        <v/>
      </c>
      <c r="K61" s="59" t="str">
        <f>IF(OR(Data!$I61=SottocategorieUscite[[#Headers],[Fuori Casa]],Data!$I61=SottocategorieUscite[[#Headers],[Varie Uscite]],Data!$I61=SottocategorieUscite[[#Headers],[Personali]],Data!$I61=SottocategorieUscite[[#Headers],[Lavoro]]),"$ -","")</f>
        <v/>
      </c>
      <c r="L61" s="59" t="str">
        <f>IF(OR(Data!$I61=SottocategorieUscite[[#Headers],[Casa]],Data!$I61=SottocategorieUscite[[#Headers],[Utenze]],Data!$I61=SottocategorieUscite[[#Headers],[Business Uscite]],Data!$I61=SottocategorieUscite[[#Headers],[Banca]]),"$ -","")</f>
        <v/>
      </c>
      <c r="M61" s="59" t="str">
        <f>IF(OR($I61&lt;&gt;SottocategorieUscite[[#Headers],[Fuori Casa]],$I61&lt;&gt;SottocategorieUscite[[#Headers],[Varie Uscite]],$I61&lt;&gt;SottocategorieUscite[[#Headers],[Personali]],$I61&lt;&gt;SottocategorieUscite[[#Headers],[Lavoro]],$I61&lt;&gt;SottocategorieUscite[[#Headers],[Casa]],$I61&lt;&gt;SottocategorieUscite[[#Headers],[Utenze]],$I61&lt;&gt;SottocategorieUscite[[#Headers],[Business Uscite]],$I61&lt;&gt;SottocategorieUscite[[#Headers],[Banca]]),"","$ -")</f>
        <v/>
      </c>
      <c r="N61" s="59" t="str">
        <f>IF(OR(Data!$I61=SottocategorieEntrate[[#Headers],[Business Entrate]],Data!$I61=SottocategorieEntrate[[#Headers],[Varie Entrate]]),"$ -","")</f>
        <v/>
      </c>
      <c r="O61" s="59" t="str">
        <f>IF(OR(Data!$I61=SottocategorieEntrate[[#Headers],[Real Estate]],SottocategorieEntrate[[#Headers],[Other]]),"$ -","")</f>
        <v/>
      </c>
      <c r="P61" s="59" t="str">
        <f>IF(OR($I61&lt;&gt;SottocategorieEntrate[[#Headers],[Business Entrate]],$I61&lt;&gt;SottocategorieEntrate[[#Headers],[Varie Entrate]],$I61&lt;&gt;SottocategorieEntrate[[#Headers],[Real Estate]],$I61&lt;&gt;SottocategorieEntrate[[#Headers],[Other]]),"","$ -")</f>
        <v/>
      </c>
      <c r="Q61" s="59" t="str">
        <f>IF(Dati[[#This Row],[Categoria]]="Prelievo","€ -","")</f>
        <v/>
      </c>
      <c r="R61" s="244" t="str">
        <f t="shared" ca="1" si="2"/>
        <v/>
      </c>
      <c r="S61" s="59" t="str">
        <f>IF(Dati[[#This Row],[Categoria]]="Savings",0,"")</f>
        <v/>
      </c>
      <c r="T61" s="59"/>
      <c r="U61" s="59"/>
      <c r="V61" s="59"/>
      <c r="W61" s="59"/>
      <c r="X61" s="59"/>
      <c r="Y61" s="59"/>
      <c r="Z61" s="59"/>
      <c r="AA61" s="59"/>
      <c r="AB61" s="59"/>
      <c r="AC61" s="59"/>
      <c r="AD61" s="59"/>
      <c r="AE61" s="59"/>
      <c r="AF61" s="59"/>
      <c r="AG61" s="59"/>
      <c r="AH61" s="59"/>
      <c r="AI61" s="59" t="str">
        <f>IF(SUM(Dati[[#This Row],[Inv. Business]:[Inv. Cryptocurrency]])=0," ",SUM(Dati[[#This Row],[Inv. Business]:[Inv. Cryptocurrency]]))</f>
        <v xml:space="preserve"> </v>
      </c>
      <c r="AJ61" s="59"/>
      <c r="AK61" s="59" t="str">
        <f>IF(SUM(Dati[[#This Row],[Inv. Gold]:[Mutuo]])=0," ",SUM(Dati[[#This Row],[Inv. Gold]:[Mutuo]]))</f>
        <v xml:space="preserve"> </v>
      </c>
      <c r="AL61" s="59"/>
      <c r="AM61" s="59"/>
    </row>
    <row r="62" spans="2:39" ht="16" customHeight="1" x14ac:dyDescent="0.35">
      <c r="B62">
        <f t="shared" si="0"/>
        <v>42</v>
      </c>
      <c r="C62" s="49">
        <f t="shared" si="1"/>
        <v>44968</v>
      </c>
      <c r="D62" s="29">
        <f>DAY(Dati[[#This Row],[Data]])</f>
        <v>11</v>
      </c>
      <c r="E62" s="29" t="str">
        <f>IF(DAY(Data!$C$21:$C$1327)&gt;0,TEXT(Data!$C$21:$C$1327, "mmmm"),"")</f>
        <v>febbraio</v>
      </c>
      <c r="F62" s="29" t="str">
        <f>IF(DAY(Data!$C$21:$C$1327)&gt;0,TEXT(Data!$C$21:$C$1327, "aaaa"),"")</f>
        <v>2023</v>
      </c>
      <c r="I62" t="str">
        <f>IF(OR(H62=$B$5,H62=$B$6,H62=$B$7,H62=$B$8,H62=$B$9,H62=$B$10,H62=$B$11,H62=$B$12,H62=$B$13,H62=$B$14),SottocategorieUscite[[#Headers],[Fuori Casa]],IF(OR(H62=$C$5,H62=$C$6,H62=$C$7,H62=$C$8,H62=$C$9,H62=$C$10,H62=$C$11,H62=$C$12,H62=$C$13,H62=$C$14),SottocategorieUscite[[#Headers],[Varie Uscite]],IF(OR(H62=$D$5,H62=$D$6,H62=$D$7,H62=$D$8,H62=$D$9,H62=$D$10,H62=$D$11,H62=$D$12,H62=$D$13,H62=$D$14),SottocategorieUscite[[#Headers],[Personali]],IF(OR(H62=$E$5,H62=$E$6,H62=$E$7,H62=$E$8,H62=$E$9,H62=$E$10,H62=$E$11,H62=$E$12,H62=$E$13,H62=$E$14),SottocategorieUscite[[#Headers],[Lavoro]],IF(OR(H62=$F$5,H62=$F$6,H62=$F$7,H62=$F$8,H62=$F$9,H62=$F$10,H62=$F$11,H62=$F$12,H62=$F$13,H62=$F$14),SottocategorieUscite[[#Headers],[Casa]],IF(OR(H62=$G$5,H62=$G$6,H62=$G$7,H62=$G$8,H62=$G$9,H62=$G$10,H62=$G$11,H62=$G$12,H62=$G$13,H62=$G$14),SottocategorieUscite[[#Headers],[Utenze]],IF(OR(H62=$H$5,H62=$H$6,H62=$H$7,H62=$H$8,H62=$H$9,H62=$H$10,H62=$H$11,H62=$H$12,H62=$H$13,H62=$H$14),SottocategorieUscite[[#Headers],[Business Uscite]],IF(OR(H62=$I$5,H62=$I$6,H62=$I$7,H62=$I$8,H62=$I$9,H62=$I$10,H62=$I$11,H62=$I$12,H62=$I$13,H62=$I$14),SottocategorieUscite[[#Headers],[Banca]],IF(OR(H62=K$5,H62=K$6,H62=K$7,H62=K$8,H62=K$9,H62=K$10,H62=K$11,H62=K$12,H62=K$13,H62=K$14),SottocategorieEntrate[[#Headers],[Business Entrate]],IF(OR(H62=L$5,H62=L$6,H62=L$7,H62=L$8,H62=L$9,H62=L$10,H62=L$11,H62=L$12,H62=L$13,H62=L$14),SottocategorieEntrate[[#Headers],[Varie Entrate]],IF(OR(H62=M$5,H62=M$6,H62=M$7,H62=M$8,H62=M$9,H62=M$10,H62=M$11,H62=M$12,H62=M$13,H62=M$14),SottocategorieEntrate[[#Headers],[Real Estate]],IF(OR(H62=N$5,H62=N$6,H62=N$7,H62=N$8,H62=N$9,H62=N$10,H62=N$11,H62=N$12,H62=N$13,H62=N$14),SottocategorieEntrate[[#Headers],[Other]],""))))))))))))</f>
        <v/>
      </c>
      <c r="J62" t="str">
        <f>IF(OR(Dati[[#This Row],[Categoria]]="Bollette",Dati[[#This Row],[Categoria]]="Conto &amp; Carte BNL",Dati[[#This Row],[Categoria]]="Prelievo",Dati[[#This Row],[Categoria]]="Affitto",Dati[[#This Row],[Categoria]]="BNL(Interessi Creditori)"),"Carta",IF(Dati[[#This Row],[Categoria]]&lt;&gt;0,"Cash",""))</f>
        <v/>
      </c>
      <c r="K62" s="59" t="str">
        <f>IF(OR(Data!$I62=SottocategorieUscite[[#Headers],[Fuori Casa]],Data!$I62=SottocategorieUscite[[#Headers],[Varie Uscite]],Data!$I62=SottocategorieUscite[[#Headers],[Personali]],Data!$I62=SottocategorieUscite[[#Headers],[Lavoro]]),"$ -","")</f>
        <v/>
      </c>
      <c r="L62" s="59" t="str">
        <f>IF(OR(Data!$I62=SottocategorieUscite[[#Headers],[Casa]],Data!$I62=SottocategorieUscite[[#Headers],[Utenze]],Data!$I62=SottocategorieUscite[[#Headers],[Business Uscite]],Data!$I62=SottocategorieUscite[[#Headers],[Banca]]),"$ -","")</f>
        <v/>
      </c>
      <c r="M62" s="59" t="str">
        <f>IF(OR($I62&lt;&gt;SottocategorieUscite[[#Headers],[Fuori Casa]],$I62&lt;&gt;SottocategorieUscite[[#Headers],[Varie Uscite]],$I62&lt;&gt;SottocategorieUscite[[#Headers],[Personali]],$I62&lt;&gt;SottocategorieUscite[[#Headers],[Lavoro]],$I62&lt;&gt;SottocategorieUscite[[#Headers],[Casa]],$I62&lt;&gt;SottocategorieUscite[[#Headers],[Utenze]],$I62&lt;&gt;SottocategorieUscite[[#Headers],[Business Uscite]],$I62&lt;&gt;SottocategorieUscite[[#Headers],[Banca]]),"","$ -")</f>
        <v/>
      </c>
      <c r="N62" s="59" t="str">
        <f>IF(OR(Data!$I62=SottocategorieEntrate[[#Headers],[Business Entrate]],Data!$I62=SottocategorieEntrate[[#Headers],[Varie Entrate]]),"$ -","")</f>
        <v/>
      </c>
      <c r="O62" s="59" t="str">
        <f>IF(OR(Data!$I62=SottocategorieEntrate[[#Headers],[Real Estate]],SottocategorieEntrate[[#Headers],[Other]]),"$ -","")</f>
        <v/>
      </c>
      <c r="P62" s="59" t="str">
        <f>IF(OR($I62&lt;&gt;SottocategorieEntrate[[#Headers],[Business Entrate]],$I62&lt;&gt;SottocategorieEntrate[[#Headers],[Varie Entrate]],$I62&lt;&gt;SottocategorieEntrate[[#Headers],[Real Estate]],$I62&lt;&gt;SottocategorieEntrate[[#Headers],[Other]]),"","$ -")</f>
        <v/>
      </c>
      <c r="Q62" s="59" t="str">
        <f>IF(Dati[[#This Row],[Categoria]]="Prelievo","€ -","")</f>
        <v/>
      </c>
      <c r="R62" s="244" t="str">
        <f t="shared" ca="1" si="2"/>
        <v/>
      </c>
      <c r="S62" s="59" t="str">
        <f>IF(Dati[[#This Row],[Categoria]]="Savings",0,"")</f>
        <v/>
      </c>
      <c r="T62" s="59"/>
      <c r="U62" s="59"/>
      <c r="V62" s="59"/>
      <c r="W62" s="59"/>
      <c r="X62" s="59"/>
      <c r="Y62" s="59"/>
      <c r="Z62" s="59"/>
      <c r="AA62" s="59"/>
      <c r="AB62" s="59"/>
      <c r="AC62" s="59"/>
      <c r="AD62" s="59"/>
      <c r="AE62" s="59"/>
      <c r="AF62" s="59"/>
      <c r="AG62" s="59"/>
      <c r="AH62" s="59"/>
      <c r="AI62" s="59" t="str">
        <f>IF(SUM(Dati[[#This Row],[Inv. Business]:[Inv. Cryptocurrency]])=0," ",SUM(Dati[[#This Row],[Inv. Business]:[Inv. Cryptocurrency]]))</f>
        <v xml:space="preserve"> </v>
      </c>
      <c r="AJ62" s="59"/>
      <c r="AK62" s="59" t="str">
        <f>IF(SUM(Dati[[#This Row],[Inv. Gold]:[Mutuo]])=0," ",SUM(Dati[[#This Row],[Inv. Gold]:[Mutuo]]))</f>
        <v xml:space="preserve"> </v>
      </c>
      <c r="AL62" s="59"/>
      <c r="AM62" s="59"/>
    </row>
    <row r="63" spans="2:39" ht="16" customHeight="1" x14ac:dyDescent="0.35">
      <c r="B63">
        <f t="shared" si="0"/>
        <v>43</v>
      </c>
      <c r="C63" s="49">
        <f t="shared" si="1"/>
        <v>44969</v>
      </c>
      <c r="D63" s="29">
        <f>DAY(Dati[[#This Row],[Data]])</f>
        <v>12</v>
      </c>
      <c r="E63" s="29" t="str">
        <f>IF(DAY(Data!$C$21:$C$1327)&gt;0,TEXT(Data!$C$21:$C$1327, "mmmm"),"")</f>
        <v>febbraio</v>
      </c>
      <c r="F63" s="29" t="str">
        <f>IF(DAY(Data!$C$21:$C$1327)&gt;0,TEXT(Data!$C$21:$C$1327, "aaaa"),"")</f>
        <v>2023</v>
      </c>
      <c r="I63" t="str">
        <f>IF(OR(H63=$B$5,H63=$B$6,H63=$B$7,H63=$B$8,H63=$B$9,H63=$B$10,H63=$B$11,H63=$B$12,H63=$B$13,H63=$B$14),SottocategorieUscite[[#Headers],[Fuori Casa]],IF(OR(H63=$C$5,H63=$C$6,H63=$C$7,H63=$C$8,H63=$C$9,H63=$C$10,H63=$C$11,H63=$C$12,H63=$C$13,H63=$C$14),SottocategorieUscite[[#Headers],[Varie Uscite]],IF(OR(H63=$D$5,H63=$D$6,H63=$D$7,H63=$D$8,H63=$D$9,H63=$D$10,H63=$D$11,H63=$D$12,H63=$D$13,H63=$D$14),SottocategorieUscite[[#Headers],[Personali]],IF(OR(H63=$E$5,H63=$E$6,H63=$E$7,H63=$E$8,H63=$E$9,H63=$E$10,H63=$E$11,H63=$E$12,H63=$E$13,H63=$E$14),SottocategorieUscite[[#Headers],[Lavoro]],IF(OR(H63=$F$5,H63=$F$6,H63=$F$7,H63=$F$8,H63=$F$9,H63=$F$10,H63=$F$11,H63=$F$12,H63=$F$13,H63=$F$14),SottocategorieUscite[[#Headers],[Casa]],IF(OR(H63=$G$5,H63=$G$6,H63=$G$7,H63=$G$8,H63=$G$9,H63=$G$10,H63=$G$11,H63=$G$12,H63=$G$13,H63=$G$14),SottocategorieUscite[[#Headers],[Utenze]],IF(OR(H63=$H$5,H63=$H$6,H63=$H$7,H63=$H$8,H63=$H$9,H63=$H$10,H63=$H$11,H63=$H$12,H63=$H$13,H63=$H$14),SottocategorieUscite[[#Headers],[Business Uscite]],IF(OR(H63=$I$5,H63=$I$6,H63=$I$7,H63=$I$8,H63=$I$9,H63=$I$10,H63=$I$11,H63=$I$12,H63=$I$13,H63=$I$14),SottocategorieUscite[[#Headers],[Banca]],IF(OR(H63=K$5,H63=K$6,H63=K$7,H63=K$8,H63=K$9,H63=K$10,H63=K$11,H63=K$12,H63=K$13,H63=K$14),SottocategorieEntrate[[#Headers],[Business Entrate]],IF(OR(H63=L$5,H63=L$6,H63=L$7,H63=L$8,H63=L$9,H63=L$10,H63=L$11,H63=L$12,H63=L$13,H63=L$14),SottocategorieEntrate[[#Headers],[Varie Entrate]],IF(OR(H63=M$5,H63=M$6,H63=M$7,H63=M$8,H63=M$9,H63=M$10,H63=M$11,H63=M$12,H63=M$13,H63=M$14),SottocategorieEntrate[[#Headers],[Real Estate]],IF(OR(H63=N$5,H63=N$6,H63=N$7,H63=N$8,H63=N$9,H63=N$10,H63=N$11,H63=N$12,H63=N$13,H63=N$14),SottocategorieEntrate[[#Headers],[Other]],""))))))))))))</f>
        <v/>
      </c>
      <c r="J63" t="str">
        <f>IF(OR(Dati[[#This Row],[Categoria]]="Bollette",Dati[[#This Row],[Categoria]]="Conto &amp; Carte BNL",Dati[[#This Row],[Categoria]]="Prelievo",Dati[[#This Row],[Categoria]]="Affitto",Dati[[#This Row],[Categoria]]="BNL(Interessi Creditori)"),"Carta",IF(Dati[[#This Row],[Categoria]]&lt;&gt;0,"Cash",""))</f>
        <v/>
      </c>
      <c r="K63" s="59" t="str">
        <f>IF(OR(Data!$I63=SottocategorieUscite[[#Headers],[Fuori Casa]],Data!$I63=SottocategorieUscite[[#Headers],[Varie Uscite]],Data!$I63=SottocategorieUscite[[#Headers],[Personali]],Data!$I63=SottocategorieUscite[[#Headers],[Lavoro]]),"$ -","")</f>
        <v/>
      </c>
      <c r="L63" s="59" t="str">
        <f>IF(OR(Data!$I63=SottocategorieUscite[[#Headers],[Casa]],Data!$I63=SottocategorieUscite[[#Headers],[Utenze]],Data!$I63=SottocategorieUscite[[#Headers],[Business Uscite]],Data!$I63=SottocategorieUscite[[#Headers],[Banca]]),"$ -","")</f>
        <v/>
      </c>
      <c r="M63" s="59" t="str">
        <f>IF(OR($I63&lt;&gt;SottocategorieUscite[[#Headers],[Fuori Casa]],$I63&lt;&gt;SottocategorieUscite[[#Headers],[Varie Uscite]],$I63&lt;&gt;SottocategorieUscite[[#Headers],[Personali]],$I63&lt;&gt;SottocategorieUscite[[#Headers],[Lavoro]],$I63&lt;&gt;SottocategorieUscite[[#Headers],[Casa]],$I63&lt;&gt;SottocategorieUscite[[#Headers],[Utenze]],$I63&lt;&gt;SottocategorieUscite[[#Headers],[Business Uscite]],$I63&lt;&gt;SottocategorieUscite[[#Headers],[Banca]]),"","$ -")</f>
        <v/>
      </c>
      <c r="N63" s="59" t="str">
        <f>IF(OR(Data!$I63=SottocategorieEntrate[[#Headers],[Business Entrate]],Data!$I63=SottocategorieEntrate[[#Headers],[Varie Entrate]]),"$ -","")</f>
        <v/>
      </c>
      <c r="O63" s="59" t="str">
        <f>IF(OR(Data!$I63=SottocategorieEntrate[[#Headers],[Real Estate]],SottocategorieEntrate[[#Headers],[Other]]),"$ -","")</f>
        <v/>
      </c>
      <c r="P63" s="59" t="str">
        <f>IF(OR($I63&lt;&gt;SottocategorieEntrate[[#Headers],[Business Entrate]],$I63&lt;&gt;SottocategorieEntrate[[#Headers],[Varie Entrate]],$I63&lt;&gt;SottocategorieEntrate[[#Headers],[Real Estate]],$I63&lt;&gt;SottocategorieEntrate[[#Headers],[Other]]),"","$ -")</f>
        <v/>
      </c>
      <c r="Q63" s="59" t="str">
        <f>IF(Dati[[#This Row],[Categoria]]="Prelievo","€ -","")</f>
        <v/>
      </c>
      <c r="R63" s="244" t="str">
        <f t="shared" ca="1" si="2"/>
        <v/>
      </c>
      <c r="S63" s="59" t="str">
        <f>IF(Dati[[#This Row],[Categoria]]="Savings",0,"")</f>
        <v/>
      </c>
      <c r="T63" s="59"/>
      <c r="U63" s="59"/>
      <c r="V63" s="59"/>
      <c r="W63" s="59"/>
      <c r="X63" s="59"/>
      <c r="Y63" s="59"/>
      <c r="Z63" s="59"/>
      <c r="AA63" s="59"/>
      <c r="AB63" s="59"/>
      <c r="AC63" s="59"/>
      <c r="AD63" s="59"/>
      <c r="AE63" s="59"/>
      <c r="AF63" s="59"/>
      <c r="AG63" s="59"/>
      <c r="AH63" s="59"/>
      <c r="AI63" s="59" t="str">
        <f>IF(SUM(Dati[[#This Row],[Inv. Business]:[Inv. Cryptocurrency]])=0," ",SUM(Dati[[#This Row],[Inv. Business]:[Inv. Cryptocurrency]]))</f>
        <v xml:space="preserve"> </v>
      </c>
      <c r="AJ63" s="59"/>
      <c r="AK63" s="59" t="str">
        <f>IF(SUM(Dati[[#This Row],[Inv. Gold]:[Mutuo]])=0," ",SUM(Dati[[#This Row],[Inv. Gold]:[Mutuo]]))</f>
        <v xml:space="preserve"> </v>
      </c>
      <c r="AL63" s="59"/>
      <c r="AM63" s="59"/>
    </row>
    <row r="64" spans="2:39" ht="16" customHeight="1" x14ac:dyDescent="0.35">
      <c r="B64">
        <f t="shared" si="0"/>
        <v>44</v>
      </c>
      <c r="C64" s="49">
        <f t="shared" si="1"/>
        <v>44970</v>
      </c>
      <c r="D64" s="29">
        <f>DAY(Dati[[#This Row],[Data]])</f>
        <v>13</v>
      </c>
      <c r="E64" s="29" t="str">
        <f>IF(DAY(Data!$C$21:$C$1327)&gt;0,TEXT(Data!$C$21:$C$1327, "mmmm"),"")</f>
        <v>febbraio</v>
      </c>
      <c r="F64" s="29" t="str">
        <f>IF(DAY(Data!$C$21:$C$1327)&gt;0,TEXT(Data!$C$21:$C$1327, "aaaa"),"")</f>
        <v>2023</v>
      </c>
      <c r="I64" t="str">
        <f>IF(OR(H64=$B$5,H64=$B$6,H64=$B$7,H64=$B$8,H64=$B$9,H64=$B$10,H64=$B$11,H64=$B$12,H64=$B$13,H64=$B$14),SottocategorieUscite[[#Headers],[Fuori Casa]],IF(OR(H64=$C$5,H64=$C$6,H64=$C$7,H64=$C$8,H64=$C$9,H64=$C$10,H64=$C$11,H64=$C$12,H64=$C$13,H64=$C$14),SottocategorieUscite[[#Headers],[Varie Uscite]],IF(OR(H64=$D$5,H64=$D$6,H64=$D$7,H64=$D$8,H64=$D$9,H64=$D$10,H64=$D$11,H64=$D$12,H64=$D$13,H64=$D$14),SottocategorieUscite[[#Headers],[Personali]],IF(OR(H64=$E$5,H64=$E$6,H64=$E$7,H64=$E$8,H64=$E$9,H64=$E$10,H64=$E$11,H64=$E$12,H64=$E$13,H64=$E$14),SottocategorieUscite[[#Headers],[Lavoro]],IF(OR(H64=$F$5,H64=$F$6,H64=$F$7,H64=$F$8,H64=$F$9,H64=$F$10,H64=$F$11,H64=$F$12,H64=$F$13,H64=$F$14),SottocategorieUscite[[#Headers],[Casa]],IF(OR(H64=$G$5,H64=$G$6,H64=$G$7,H64=$G$8,H64=$G$9,H64=$G$10,H64=$G$11,H64=$G$12,H64=$G$13,H64=$G$14),SottocategorieUscite[[#Headers],[Utenze]],IF(OR(H64=$H$5,H64=$H$6,H64=$H$7,H64=$H$8,H64=$H$9,H64=$H$10,H64=$H$11,H64=$H$12,H64=$H$13,H64=$H$14),SottocategorieUscite[[#Headers],[Business Uscite]],IF(OR(H64=$I$5,H64=$I$6,H64=$I$7,H64=$I$8,H64=$I$9,H64=$I$10,H64=$I$11,H64=$I$12,H64=$I$13,H64=$I$14),SottocategorieUscite[[#Headers],[Banca]],IF(OR(H64=K$5,H64=K$6,H64=K$7,H64=K$8,H64=K$9,H64=K$10,H64=K$11,H64=K$12,H64=K$13,H64=K$14),SottocategorieEntrate[[#Headers],[Business Entrate]],IF(OR(H64=L$5,H64=L$6,H64=L$7,H64=L$8,H64=L$9,H64=L$10,H64=L$11,H64=L$12,H64=L$13,H64=L$14),SottocategorieEntrate[[#Headers],[Varie Entrate]],IF(OR(H64=M$5,H64=M$6,H64=M$7,H64=M$8,H64=M$9,H64=M$10,H64=M$11,H64=M$12,H64=M$13,H64=M$14),SottocategorieEntrate[[#Headers],[Real Estate]],IF(OR(H64=N$5,H64=N$6,H64=N$7,H64=N$8,H64=N$9,H64=N$10,H64=N$11,H64=N$12,H64=N$13,H64=N$14),SottocategorieEntrate[[#Headers],[Other]],""))))))))))))</f>
        <v/>
      </c>
      <c r="J64" t="str">
        <f>IF(OR(Dati[[#This Row],[Categoria]]="Bollette",Dati[[#This Row],[Categoria]]="Conto &amp; Carte BNL",Dati[[#This Row],[Categoria]]="Prelievo",Dati[[#This Row],[Categoria]]="Affitto",Dati[[#This Row],[Categoria]]="BNL(Interessi Creditori)"),"Carta",IF(Dati[[#This Row],[Categoria]]&lt;&gt;0,"Cash",""))</f>
        <v/>
      </c>
      <c r="K64" s="59" t="str">
        <f>IF(OR(Data!$I64=SottocategorieUscite[[#Headers],[Fuori Casa]],Data!$I64=SottocategorieUscite[[#Headers],[Varie Uscite]],Data!$I64=SottocategorieUscite[[#Headers],[Personali]],Data!$I64=SottocategorieUscite[[#Headers],[Lavoro]]),"$ -","")</f>
        <v/>
      </c>
      <c r="L64" s="59" t="str">
        <f>IF(OR(Data!$I64=SottocategorieUscite[[#Headers],[Casa]],Data!$I64=SottocategorieUscite[[#Headers],[Utenze]],Data!$I64=SottocategorieUscite[[#Headers],[Business Uscite]],Data!$I64=SottocategorieUscite[[#Headers],[Banca]]),"$ -","")</f>
        <v/>
      </c>
      <c r="M64" s="59" t="str">
        <f>IF(OR($I64&lt;&gt;SottocategorieUscite[[#Headers],[Fuori Casa]],$I64&lt;&gt;SottocategorieUscite[[#Headers],[Varie Uscite]],$I64&lt;&gt;SottocategorieUscite[[#Headers],[Personali]],$I64&lt;&gt;SottocategorieUscite[[#Headers],[Lavoro]],$I64&lt;&gt;SottocategorieUscite[[#Headers],[Casa]],$I64&lt;&gt;SottocategorieUscite[[#Headers],[Utenze]],$I64&lt;&gt;SottocategorieUscite[[#Headers],[Business Uscite]],$I64&lt;&gt;SottocategorieUscite[[#Headers],[Banca]]),"","$ -")</f>
        <v/>
      </c>
      <c r="N64" s="59" t="str">
        <f>IF(OR(Data!$I64=SottocategorieEntrate[[#Headers],[Business Entrate]],Data!$I64=SottocategorieEntrate[[#Headers],[Varie Entrate]]),"$ -","")</f>
        <v/>
      </c>
      <c r="O64" s="59" t="str">
        <f>IF(OR(Data!$I64=SottocategorieEntrate[[#Headers],[Real Estate]],SottocategorieEntrate[[#Headers],[Other]]),"$ -","")</f>
        <v/>
      </c>
      <c r="P64" s="59" t="str">
        <f>IF(OR($I64&lt;&gt;SottocategorieEntrate[[#Headers],[Business Entrate]],$I64&lt;&gt;SottocategorieEntrate[[#Headers],[Varie Entrate]],$I64&lt;&gt;SottocategorieEntrate[[#Headers],[Real Estate]],$I64&lt;&gt;SottocategorieEntrate[[#Headers],[Other]]),"","$ -")</f>
        <v/>
      </c>
      <c r="Q64" s="59" t="str">
        <f>IF(Dati[[#This Row],[Categoria]]="Prelievo","€ -","")</f>
        <v/>
      </c>
      <c r="R64" s="244" t="str">
        <f t="shared" ca="1" si="2"/>
        <v/>
      </c>
      <c r="S64" s="59" t="str">
        <f>IF(Dati[[#This Row],[Categoria]]="Savings",0,"")</f>
        <v/>
      </c>
      <c r="T64" s="59"/>
      <c r="U64" s="59"/>
      <c r="V64" s="59"/>
      <c r="W64" s="59"/>
      <c r="X64" s="59"/>
      <c r="Y64" s="59"/>
      <c r="Z64" s="59"/>
      <c r="AA64" s="59"/>
      <c r="AB64" s="59"/>
      <c r="AC64" s="59"/>
      <c r="AD64" s="59"/>
      <c r="AE64" s="59"/>
      <c r="AF64" s="59"/>
      <c r="AG64" s="59"/>
      <c r="AH64" s="59"/>
      <c r="AI64" s="59" t="str">
        <f>IF(SUM(Dati[[#This Row],[Inv. Business]:[Inv. Cryptocurrency]])=0," ",SUM(Dati[[#This Row],[Inv. Business]:[Inv. Cryptocurrency]]))</f>
        <v xml:space="preserve"> </v>
      </c>
      <c r="AJ64" s="59"/>
      <c r="AK64" s="59" t="str">
        <f>IF(SUM(Dati[[#This Row],[Inv. Gold]:[Mutuo]])=0," ",SUM(Dati[[#This Row],[Inv. Gold]:[Mutuo]]))</f>
        <v xml:space="preserve"> </v>
      </c>
      <c r="AL64" s="59"/>
      <c r="AM64" s="59"/>
    </row>
    <row r="65" spans="2:39" ht="16" customHeight="1" x14ac:dyDescent="0.35">
      <c r="B65">
        <f t="shared" si="0"/>
        <v>45</v>
      </c>
      <c r="C65" s="49">
        <f t="shared" si="1"/>
        <v>44971</v>
      </c>
      <c r="D65" s="29">
        <f>DAY(Dati[[#This Row],[Data]])</f>
        <v>14</v>
      </c>
      <c r="E65" s="29" t="str">
        <f>IF(DAY(Data!$C$21:$C$1327)&gt;0,TEXT(Data!$C$21:$C$1327, "mmmm"),"")</f>
        <v>febbraio</v>
      </c>
      <c r="F65" s="29" t="str">
        <f>IF(DAY(Data!$C$21:$C$1327)&gt;0,TEXT(Data!$C$21:$C$1327, "aaaa"),"")</f>
        <v>2023</v>
      </c>
      <c r="I65" t="str">
        <f>IF(OR(H65=$B$5,H65=$B$6,H65=$B$7,H65=$B$8,H65=$B$9,H65=$B$10,H65=$B$11,H65=$B$12,H65=$B$13,H65=$B$14),SottocategorieUscite[[#Headers],[Fuori Casa]],IF(OR(H65=$C$5,H65=$C$6,H65=$C$7,H65=$C$8,H65=$C$9,H65=$C$10,H65=$C$11,H65=$C$12,H65=$C$13,H65=$C$14),SottocategorieUscite[[#Headers],[Varie Uscite]],IF(OR(H65=$D$5,H65=$D$6,H65=$D$7,H65=$D$8,H65=$D$9,H65=$D$10,H65=$D$11,H65=$D$12,H65=$D$13,H65=$D$14),SottocategorieUscite[[#Headers],[Personali]],IF(OR(H65=$E$5,H65=$E$6,H65=$E$7,H65=$E$8,H65=$E$9,H65=$E$10,H65=$E$11,H65=$E$12,H65=$E$13,H65=$E$14),SottocategorieUscite[[#Headers],[Lavoro]],IF(OR(H65=$F$5,H65=$F$6,H65=$F$7,H65=$F$8,H65=$F$9,H65=$F$10,H65=$F$11,H65=$F$12,H65=$F$13,H65=$F$14),SottocategorieUscite[[#Headers],[Casa]],IF(OR(H65=$G$5,H65=$G$6,H65=$G$7,H65=$G$8,H65=$G$9,H65=$G$10,H65=$G$11,H65=$G$12,H65=$G$13,H65=$G$14),SottocategorieUscite[[#Headers],[Utenze]],IF(OR(H65=$H$5,H65=$H$6,H65=$H$7,H65=$H$8,H65=$H$9,H65=$H$10,H65=$H$11,H65=$H$12,H65=$H$13,H65=$H$14),SottocategorieUscite[[#Headers],[Business Uscite]],IF(OR(H65=$I$5,H65=$I$6,H65=$I$7,H65=$I$8,H65=$I$9,H65=$I$10,H65=$I$11,H65=$I$12,H65=$I$13,H65=$I$14),SottocategorieUscite[[#Headers],[Banca]],IF(OR(H65=K$5,H65=K$6,H65=K$7,H65=K$8,H65=K$9,H65=K$10,H65=K$11,H65=K$12,H65=K$13,H65=K$14),SottocategorieEntrate[[#Headers],[Business Entrate]],IF(OR(H65=L$5,H65=L$6,H65=L$7,H65=L$8,H65=L$9,H65=L$10,H65=L$11,H65=L$12,H65=L$13,H65=L$14),SottocategorieEntrate[[#Headers],[Varie Entrate]],IF(OR(H65=M$5,H65=M$6,H65=M$7,H65=M$8,H65=M$9,H65=M$10,H65=M$11,H65=M$12,H65=M$13,H65=M$14),SottocategorieEntrate[[#Headers],[Real Estate]],IF(OR(H65=N$5,H65=N$6,H65=N$7,H65=N$8,H65=N$9,H65=N$10,H65=N$11,H65=N$12,H65=N$13,H65=N$14),SottocategorieEntrate[[#Headers],[Other]],""))))))))))))</f>
        <v/>
      </c>
      <c r="J65" t="str">
        <f>IF(OR(Dati[[#This Row],[Categoria]]="Bollette",Dati[[#This Row],[Categoria]]="Conto &amp; Carte BNL",Dati[[#This Row],[Categoria]]="Prelievo",Dati[[#This Row],[Categoria]]="Affitto",Dati[[#This Row],[Categoria]]="BNL(Interessi Creditori)"),"Carta",IF(Dati[[#This Row],[Categoria]]&lt;&gt;0,"Cash",""))</f>
        <v/>
      </c>
      <c r="K65" s="59" t="str">
        <f>IF(OR(Data!$I65=SottocategorieUscite[[#Headers],[Fuori Casa]],Data!$I65=SottocategorieUscite[[#Headers],[Varie Uscite]],Data!$I65=SottocategorieUscite[[#Headers],[Personali]],Data!$I65=SottocategorieUscite[[#Headers],[Lavoro]]),"$ -","")</f>
        <v/>
      </c>
      <c r="L65" s="59" t="str">
        <f>IF(OR(Data!$I65=SottocategorieUscite[[#Headers],[Casa]],Data!$I65=SottocategorieUscite[[#Headers],[Utenze]],Data!$I65=SottocategorieUscite[[#Headers],[Business Uscite]],Data!$I65=SottocategorieUscite[[#Headers],[Banca]]),"$ -","")</f>
        <v/>
      </c>
      <c r="M65" s="59" t="str">
        <f>IF(OR($I65&lt;&gt;SottocategorieUscite[[#Headers],[Fuori Casa]],$I65&lt;&gt;SottocategorieUscite[[#Headers],[Varie Uscite]],$I65&lt;&gt;SottocategorieUscite[[#Headers],[Personali]],$I65&lt;&gt;SottocategorieUscite[[#Headers],[Lavoro]],$I65&lt;&gt;SottocategorieUscite[[#Headers],[Casa]],$I65&lt;&gt;SottocategorieUscite[[#Headers],[Utenze]],$I65&lt;&gt;SottocategorieUscite[[#Headers],[Business Uscite]],$I65&lt;&gt;SottocategorieUscite[[#Headers],[Banca]]),"","$ -")</f>
        <v/>
      </c>
      <c r="N65" s="59" t="str">
        <f>IF(OR(Data!$I65=SottocategorieEntrate[[#Headers],[Business Entrate]],Data!$I65=SottocategorieEntrate[[#Headers],[Varie Entrate]]),"$ -","")</f>
        <v/>
      </c>
      <c r="O65" s="59" t="str">
        <f>IF(OR(Data!$I65=SottocategorieEntrate[[#Headers],[Real Estate]],SottocategorieEntrate[[#Headers],[Other]]),"$ -","")</f>
        <v/>
      </c>
      <c r="P65" s="59" t="str">
        <f>IF(OR($I65&lt;&gt;SottocategorieEntrate[[#Headers],[Business Entrate]],$I65&lt;&gt;SottocategorieEntrate[[#Headers],[Varie Entrate]],$I65&lt;&gt;SottocategorieEntrate[[#Headers],[Real Estate]],$I65&lt;&gt;SottocategorieEntrate[[#Headers],[Other]]),"","$ -")</f>
        <v/>
      </c>
      <c r="Q65" s="59" t="str">
        <f>IF(Dati[[#This Row],[Categoria]]="Prelievo","€ -","")</f>
        <v/>
      </c>
      <c r="R65" s="244" t="str">
        <f t="shared" ca="1" si="2"/>
        <v/>
      </c>
      <c r="S65" s="59" t="str">
        <f>IF(Dati[[#This Row],[Categoria]]="Savings",0,"")</f>
        <v/>
      </c>
      <c r="T65" s="59"/>
      <c r="U65" s="59"/>
      <c r="V65" s="59"/>
      <c r="W65" s="59"/>
      <c r="X65" s="59"/>
      <c r="Y65" s="59"/>
      <c r="Z65" s="59"/>
      <c r="AA65" s="59"/>
      <c r="AB65" s="59"/>
      <c r="AC65" s="59"/>
      <c r="AD65" s="59"/>
      <c r="AE65" s="59"/>
      <c r="AF65" s="59"/>
      <c r="AG65" s="59"/>
      <c r="AH65" s="59"/>
      <c r="AI65" s="59" t="str">
        <f>IF(SUM(Dati[[#This Row],[Inv. Business]:[Inv. Cryptocurrency]])=0," ",SUM(Dati[[#This Row],[Inv. Business]:[Inv. Cryptocurrency]]))</f>
        <v xml:space="preserve"> </v>
      </c>
      <c r="AJ65" s="59"/>
      <c r="AK65" s="59" t="str">
        <f>IF(SUM(Dati[[#This Row],[Inv. Gold]:[Mutuo]])=0," ",SUM(Dati[[#This Row],[Inv. Gold]:[Mutuo]]))</f>
        <v xml:space="preserve"> </v>
      </c>
      <c r="AL65" s="59"/>
      <c r="AM65" s="59"/>
    </row>
    <row r="66" spans="2:39" ht="16" customHeight="1" x14ac:dyDescent="0.35">
      <c r="B66">
        <f t="shared" si="0"/>
        <v>46</v>
      </c>
      <c r="C66" s="49">
        <f t="shared" si="1"/>
        <v>44972</v>
      </c>
      <c r="D66" s="29">
        <f>DAY(Dati[[#This Row],[Data]])</f>
        <v>15</v>
      </c>
      <c r="E66" s="29" t="str">
        <f>IF(DAY(Data!$C$21:$C$1327)&gt;0,TEXT(Data!$C$21:$C$1327, "mmmm"),"")</f>
        <v>febbraio</v>
      </c>
      <c r="F66" s="29" t="str">
        <f>IF(DAY(Data!$C$21:$C$1327)&gt;0,TEXT(Data!$C$21:$C$1327, "aaaa"),"")</f>
        <v>2023</v>
      </c>
      <c r="I66" t="str">
        <f>IF(OR(H66=$B$5,H66=$B$6,H66=$B$7,H66=$B$8,H66=$B$9,H66=$B$10,H66=$B$11,H66=$B$12,H66=$B$13,H66=$B$14),SottocategorieUscite[[#Headers],[Fuori Casa]],IF(OR(H66=$C$5,H66=$C$6,H66=$C$7,H66=$C$8,H66=$C$9,H66=$C$10,H66=$C$11,H66=$C$12,H66=$C$13,H66=$C$14),SottocategorieUscite[[#Headers],[Varie Uscite]],IF(OR(H66=$D$5,H66=$D$6,H66=$D$7,H66=$D$8,H66=$D$9,H66=$D$10,H66=$D$11,H66=$D$12,H66=$D$13,H66=$D$14),SottocategorieUscite[[#Headers],[Personali]],IF(OR(H66=$E$5,H66=$E$6,H66=$E$7,H66=$E$8,H66=$E$9,H66=$E$10,H66=$E$11,H66=$E$12,H66=$E$13,H66=$E$14),SottocategorieUscite[[#Headers],[Lavoro]],IF(OR(H66=$F$5,H66=$F$6,H66=$F$7,H66=$F$8,H66=$F$9,H66=$F$10,H66=$F$11,H66=$F$12,H66=$F$13,H66=$F$14),SottocategorieUscite[[#Headers],[Casa]],IF(OR(H66=$G$5,H66=$G$6,H66=$G$7,H66=$G$8,H66=$G$9,H66=$G$10,H66=$G$11,H66=$G$12,H66=$G$13,H66=$G$14),SottocategorieUscite[[#Headers],[Utenze]],IF(OR(H66=$H$5,H66=$H$6,H66=$H$7,H66=$H$8,H66=$H$9,H66=$H$10,H66=$H$11,H66=$H$12,H66=$H$13,H66=$H$14),SottocategorieUscite[[#Headers],[Business Uscite]],IF(OR(H66=$I$5,H66=$I$6,H66=$I$7,H66=$I$8,H66=$I$9,H66=$I$10,H66=$I$11,H66=$I$12,H66=$I$13,H66=$I$14),SottocategorieUscite[[#Headers],[Banca]],IF(OR(H66=K$5,H66=K$6,H66=K$7,H66=K$8,H66=K$9,H66=K$10,H66=K$11,H66=K$12,H66=K$13,H66=K$14),SottocategorieEntrate[[#Headers],[Business Entrate]],IF(OR(H66=L$5,H66=L$6,H66=L$7,H66=L$8,H66=L$9,H66=L$10,H66=L$11,H66=L$12,H66=L$13,H66=L$14),SottocategorieEntrate[[#Headers],[Varie Entrate]],IF(OR(H66=M$5,H66=M$6,H66=M$7,H66=M$8,H66=M$9,H66=M$10,H66=M$11,H66=M$12,H66=M$13,H66=M$14),SottocategorieEntrate[[#Headers],[Real Estate]],IF(OR(H66=N$5,H66=N$6,H66=N$7,H66=N$8,H66=N$9,H66=N$10,H66=N$11,H66=N$12,H66=N$13,H66=N$14),SottocategorieEntrate[[#Headers],[Other]],""))))))))))))</f>
        <v/>
      </c>
      <c r="J66" t="str">
        <f>IF(OR(Dati[[#This Row],[Categoria]]="Bollette",Dati[[#This Row],[Categoria]]="Conto &amp; Carte BNL",Dati[[#This Row],[Categoria]]="Prelievo",Dati[[#This Row],[Categoria]]="Affitto",Dati[[#This Row],[Categoria]]="BNL(Interessi Creditori)"),"Carta",IF(Dati[[#This Row],[Categoria]]&lt;&gt;0,"Cash",""))</f>
        <v/>
      </c>
      <c r="K66" s="59" t="str">
        <f>IF(OR(Data!$I66=SottocategorieUscite[[#Headers],[Fuori Casa]],Data!$I66=SottocategorieUscite[[#Headers],[Varie Uscite]],Data!$I66=SottocategorieUscite[[#Headers],[Personali]],Data!$I66=SottocategorieUscite[[#Headers],[Lavoro]]),"$ -","")</f>
        <v/>
      </c>
      <c r="L66" s="59" t="str">
        <f>IF(OR(Data!$I66=SottocategorieUscite[[#Headers],[Casa]],Data!$I66=SottocategorieUscite[[#Headers],[Utenze]],Data!$I66=SottocategorieUscite[[#Headers],[Business Uscite]],Data!$I66=SottocategorieUscite[[#Headers],[Banca]]),"$ -","")</f>
        <v/>
      </c>
      <c r="M66" s="59" t="str">
        <f>IF(OR($I66&lt;&gt;SottocategorieUscite[[#Headers],[Fuori Casa]],$I66&lt;&gt;SottocategorieUscite[[#Headers],[Varie Uscite]],$I66&lt;&gt;SottocategorieUscite[[#Headers],[Personali]],$I66&lt;&gt;SottocategorieUscite[[#Headers],[Lavoro]],$I66&lt;&gt;SottocategorieUscite[[#Headers],[Casa]],$I66&lt;&gt;SottocategorieUscite[[#Headers],[Utenze]],$I66&lt;&gt;SottocategorieUscite[[#Headers],[Business Uscite]],$I66&lt;&gt;SottocategorieUscite[[#Headers],[Banca]]),"","$ -")</f>
        <v/>
      </c>
      <c r="N66" s="59" t="str">
        <f>IF(OR(Data!$I66=SottocategorieEntrate[[#Headers],[Business Entrate]],Data!$I66=SottocategorieEntrate[[#Headers],[Varie Entrate]]),"$ -","")</f>
        <v/>
      </c>
      <c r="O66" s="59" t="str">
        <f>IF(OR(Data!$I66=SottocategorieEntrate[[#Headers],[Real Estate]],SottocategorieEntrate[[#Headers],[Other]]),"$ -","")</f>
        <v/>
      </c>
      <c r="P66" s="59" t="str">
        <f>IF(OR($I66&lt;&gt;SottocategorieEntrate[[#Headers],[Business Entrate]],$I66&lt;&gt;SottocategorieEntrate[[#Headers],[Varie Entrate]],$I66&lt;&gt;SottocategorieEntrate[[#Headers],[Real Estate]],$I66&lt;&gt;SottocategorieEntrate[[#Headers],[Other]]),"","$ -")</f>
        <v/>
      </c>
      <c r="Q66" s="59" t="str">
        <f>IF(Dati[[#This Row],[Categoria]]="Prelievo","€ -","")</f>
        <v/>
      </c>
      <c r="R66" s="244" t="str">
        <f t="shared" ca="1" si="2"/>
        <v/>
      </c>
      <c r="S66" s="59" t="str">
        <f>IF(Dati[[#This Row],[Categoria]]="Savings",0,"")</f>
        <v/>
      </c>
      <c r="T66" s="59"/>
      <c r="U66" s="59"/>
      <c r="V66" s="59"/>
      <c r="W66" s="59"/>
      <c r="X66" s="59"/>
      <c r="Y66" s="59"/>
      <c r="Z66" s="59"/>
      <c r="AA66" s="59"/>
      <c r="AB66" s="59"/>
      <c r="AC66" s="59"/>
      <c r="AD66" s="59"/>
      <c r="AE66" s="59"/>
      <c r="AF66" s="59"/>
      <c r="AG66" s="59"/>
      <c r="AH66" s="59"/>
      <c r="AI66" s="59" t="str">
        <f>IF(SUM(Dati[[#This Row],[Inv. Business]:[Inv. Cryptocurrency]])=0," ",SUM(Dati[[#This Row],[Inv. Business]:[Inv. Cryptocurrency]]))</f>
        <v xml:space="preserve"> </v>
      </c>
      <c r="AJ66" s="59"/>
      <c r="AK66" s="59" t="str">
        <f>IF(SUM(Dati[[#This Row],[Inv. Gold]:[Mutuo]])=0," ",SUM(Dati[[#This Row],[Inv. Gold]:[Mutuo]]))</f>
        <v xml:space="preserve"> </v>
      </c>
      <c r="AL66" s="59"/>
      <c r="AM66" s="59"/>
    </row>
    <row r="67" spans="2:39" ht="16" customHeight="1" x14ac:dyDescent="0.35">
      <c r="B67">
        <f t="shared" si="0"/>
        <v>47</v>
      </c>
      <c r="C67" s="49">
        <f t="shared" si="1"/>
        <v>44973</v>
      </c>
      <c r="D67" s="29">
        <f>DAY(Dati[[#This Row],[Data]])</f>
        <v>16</v>
      </c>
      <c r="E67" s="29" t="str">
        <f>IF(DAY(Data!$C$21:$C$1327)&gt;0,TEXT(Data!$C$21:$C$1327, "mmmm"),"")</f>
        <v>febbraio</v>
      </c>
      <c r="F67" s="29" t="str">
        <f>IF(DAY(Data!$C$21:$C$1327)&gt;0,TEXT(Data!$C$21:$C$1327, "aaaa"),"")</f>
        <v>2023</v>
      </c>
      <c r="I67" t="str">
        <f>IF(OR(H67=$B$5,H67=$B$6,H67=$B$7,H67=$B$8,H67=$B$9,H67=$B$10,H67=$B$11,H67=$B$12,H67=$B$13,H67=$B$14),SottocategorieUscite[[#Headers],[Fuori Casa]],IF(OR(H67=$C$5,H67=$C$6,H67=$C$7,H67=$C$8,H67=$C$9,H67=$C$10,H67=$C$11,H67=$C$12,H67=$C$13,H67=$C$14),SottocategorieUscite[[#Headers],[Varie Uscite]],IF(OR(H67=$D$5,H67=$D$6,H67=$D$7,H67=$D$8,H67=$D$9,H67=$D$10,H67=$D$11,H67=$D$12,H67=$D$13,H67=$D$14),SottocategorieUscite[[#Headers],[Personali]],IF(OR(H67=$E$5,H67=$E$6,H67=$E$7,H67=$E$8,H67=$E$9,H67=$E$10,H67=$E$11,H67=$E$12,H67=$E$13,H67=$E$14),SottocategorieUscite[[#Headers],[Lavoro]],IF(OR(H67=$F$5,H67=$F$6,H67=$F$7,H67=$F$8,H67=$F$9,H67=$F$10,H67=$F$11,H67=$F$12,H67=$F$13,H67=$F$14),SottocategorieUscite[[#Headers],[Casa]],IF(OR(H67=$G$5,H67=$G$6,H67=$G$7,H67=$G$8,H67=$G$9,H67=$G$10,H67=$G$11,H67=$G$12,H67=$G$13,H67=$G$14),SottocategorieUscite[[#Headers],[Utenze]],IF(OR(H67=$H$5,H67=$H$6,H67=$H$7,H67=$H$8,H67=$H$9,H67=$H$10,H67=$H$11,H67=$H$12,H67=$H$13,H67=$H$14),SottocategorieUscite[[#Headers],[Business Uscite]],IF(OR(H67=$I$5,H67=$I$6,H67=$I$7,H67=$I$8,H67=$I$9,H67=$I$10,H67=$I$11,H67=$I$12,H67=$I$13,H67=$I$14),SottocategorieUscite[[#Headers],[Banca]],IF(OR(H67=K$5,H67=K$6,H67=K$7,H67=K$8,H67=K$9,H67=K$10,H67=K$11,H67=K$12,H67=K$13,H67=K$14),SottocategorieEntrate[[#Headers],[Business Entrate]],IF(OR(H67=L$5,H67=L$6,H67=L$7,H67=L$8,H67=L$9,H67=L$10,H67=L$11,H67=L$12,H67=L$13,H67=L$14),SottocategorieEntrate[[#Headers],[Varie Entrate]],IF(OR(H67=M$5,H67=M$6,H67=M$7,H67=M$8,H67=M$9,H67=M$10,H67=M$11,H67=M$12,H67=M$13,H67=M$14),SottocategorieEntrate[[#Headers],[Real Estate]],IF(OR(H67=N$5,H67=N$6,H67=N$7,H67=N$8,H67=N$9,H67=N$10,H67=N$11,H67=N$12,H67=N$13,H67=N$14),SottocategorieEntrate[[#Headers],[Other]],""))))))))))))</f>
        <v/>
      </c>
      <c r="J67" t="str">
        <f>IF(OR(Dati[[#This Row],[Categoria]]="Bollette",Dati[[#This Row],[Categoria]]="Conto &amp; Carte BNL",Dati[[#This Row],[Categoria]]="Prelievo",Dati[[#This Row],[Categoria]]="Affitto",Dati[[#This Row],[Categoria]]="BNL(Interessi Creditori)"),"Carta",IF(Dati[[#This Row],[Categoria]]&lt;&gt;0,"Cash",""))</f>
        <v/>
      </c>
      <c r="K67" s="59" t="str">
        <f>IF(OR(Data!$I67=SottocategorieUscite[[#Headers],[Fuori Casa]],Data!$I67=SottocategorieUscite[[#Headers],[Varie Uscite]],Data!$I67=SottocategorieUscite[[#Headers],[Personali]],Data!$I67=SottocategorieUscite[[#Headers],[Lavoro]]),"$ -","")</f>
        <v/>
      </c>
      <c r="L67" s="59" t="str">
        <f>IF(OR(Data!$I67=SottocategorieUscite[[#Headers],[Casa]],Data!$I67=SottocategorieUscite[[#Headers],[Utenze]],Data!$I67=SottocategorieUscite[[#Headers],[Business Uscite]],Data!$I67=SottocategorieUscite[[#Headers],[Banca]]),"$ -","")</f>
        <v/>
      </c>
      <c r="M67" s="59" t="str">
        <f>IF(OR($I67&lt;&gt;SottocategorieUscite[[#Headers],[Fuori Casa]],$I67&lt;&gt;SottocategorieUscite[[#Headers],[Varie Uscite]],$I67&lt;&gt;SottocategorieUscite[[#Headers],[Personali]],$I67&lt;&gt;SottocategorieUscite[[#Headers],[Lavoro]],$I67&lt;&gt;SottocategorieUscite[[#Headers],[Casa]],$I67&lt;&gt;SottocategorieUscite[[#Headers],[Utenze]],$I67&lt;&gt;SottocategorieUscite[[#Headers],[Business Uscite]],$I67&lt;&gt;SottocategorieUscite[[#Headers],[Banca]]),"","$ -")</f>
        <v/>
      </c>
      <c r="N67" s="59" t="str">
        <f>IF(OR(Data!$I67=SottocategorieEntrate[[#Headers],[Business Entrate]],Data!$I67=SottocategorieEntrate[[#Headers],[Varie Entrate]]),"$ -","")</f>
        <v/>
      </c>
      <c r="O67" s="59" t="str">
        <f>IF(OR(Data!$I67=SottocategorieEntrate[[#Headers],[Real Estate]],SottocategorieEntrate[[#Headers],[Other]]),"$ -","")</f>
        <v/>
      </c>
      <c r="P67" s="59" t="str">
        <f>IF(OR($I67&lt;&gt;SottocategorieEntrate[[#Headers],[Business Entrate]],$I67&lt;&gt;SottocategorieEntrate[[#Headers],[Varie Entrate]],$I67&lt;&gt;SottocategorieEntrate[[#Headers],[Real Estate]],$I67&lt;&gt;SottocategorieEntrate[[#Headers],[Other]]),"","$ -")</f>
        <v/>
      </c>
      <c r="Q67" s="59" t="str">
        <f>IF(Dati[[#This Row],[Categoria]]="Prelievo","€ -","")</f>
        <v/>
      </c>
      <c r="R67" s="244" t="str">
        <f t="shared" ca="1" si="2"/>
        <v/>
      </c>
      <c r="S67" s="59" t="str">
        <f>IF(Dati[[#This Row],[Categoria]]="Savings",0,"")</f>
        <v/>
      </c>
      <c r="T67" s="59"/>
      <c r="U67" s="59"/>
      <c r="V67" s="59"/>
      <c r="W67" s="59"/>
      <c r="X67" s="59"/>
      <c r="Y67" s="59"/>
      <c r="Z67" s="59"/>
      <c r="AA67" s="59"/>
      <c r="AB67" s="59"/>
      <c r="AC67" s="59"/>
      <c r="AD67" s="59"/>
      <c r="AE67" s="59"/>
      <c r="AF67" s="59"/>
      <c r="AG67" s="59"/>
      <c r="AH67" s="59"/>
      <c r="AI67" s="59" t="str">
        <f>IF(SUM(Dati[[#This Row],[Inv. Business]:[Inv. Cryptocurrency]])=0," ",SUM(Dati[[#This Row],[Inv. Business]:[Inv. Cryptocurrency]]))</f>
        <v xml:space="preserve"> </v>
      </c>
      <c r="AJ67" s="59"/>
      <c r="AK67" s="59" t="str">
        <f>IF(SUM(Dati[[#This Row],[Inv. Gold]:[Mutuo]])=0," ",SUM(Dati[[#This Row],[Inv. Gold]:[Mutuo]]))</f>
        <v xml:space="preserve"> </v>
      </c>
      <c r="AL67" s="59"/>
      <c r="AM67" s="59"/>
    </row>
    <row r="68" spans="2:39" ht="16" customHeight="1" x14ac:dyDescent="0.35">
      <c r="B68">
        <f t="shared" si="0"/>
        <v>48</v>
      </c>
      <c r="C68" s="49">
        <f t="shared" si="1"/>
        <v>44974</v>
      </c>
      <c r="D68" s="29">
        <f>DAY(Dati[[#This Row],[Data]])</f>
        <v>17</v>
      </c>
      <c r="E68" s="29" t="str">
        <f>IF(DAY(Data!$C$21:$C$1327)&gt;0,TEXT(Data!$C$21:$C$1327, "mmmm"),"")</f>
        <v>febbraio</v>
      </c>
      <c r="F68" s="29" t="str">
        <f>IF(DAY(Data!$C$21:$C$1327)&gt;0,TEXT(Data!$C$21:$C$1327, "aaaa"),"")</f>
        <v>2023</v>
      </c>
      <c r="I68" t="str">
        <f>IF(OR(H68=$B$5,H68=$B$6,H68=$B$7,H68=$B$8,H68=$B$9,H68=$B$10,H68=$B$11,H68=$B$12,H68=$B$13,H68=$B$14),SottocategorieUscite[[#Headers],[Fuori Casa]],IF(OR(H68=$C$5,H68=$C$6,H68=$C$7,H68=$C$8,H68=$C$9,H68=$C$10,H68=$C$11,H68=$C$12,H68=$C$13,H68=$C$14),SottocategorieUscite[[#Headers],[Varie Uscite]],IF(OR(H68=$D$5,H68=$D$6,H68=$D$7,H68=$D$8,H68=$D$9,H68=$D$10,H68=$D$11,H68=$D$12,H68=$D$13,H68=$D$14),SottocategorieUscite[[#Headers],[Personali]],IF(OR(H68=$E$5,H68=$E$6,H68=$E$7,H68=$E$8,H68=$E$9,H68=$E$10,H68=$E$11,H68=$E$12,H68=$E$13,H68=$E$14),SottocategorieUscite[[#Headers],[Lavoro]],IF(OR(H68=$F$5,H68=$F$6,H68=$F$7,H68=$F$8,H68=$F$9,H68=$F$10,H68=$F$11,H68=$F$12,H68=$F$13,H68=$F$14),SottocategorieUscite[[#Headers],[Casa]],IF(OR(H68=$G$5,H68=$G$6,H68=$G$7,H68=$G$8,H68=$G$9,H68=$G$10,H68=$G$11,H68=$G$12,H68=$G$13,H68=$G$14),SottocategorieUscite[[#Headers],[Utenze]],IF(OR(H68=$H$5,H68=$H$6,H68=$H$7,H68=$H$8,H68=$H$9,H68=$H$10,H68=$H$11,H68=$H$12,H68=$H$13,H68=$H$14),SottocategorieUscite[[#Headers],[Business Uscite]],IF(OR(H68=$I$5,H68=$I$6,H68=$I$7,H68=$I$8,H68=$I$9,H68=$I$10,H68=$I$11,H68=$I$12,H68=$I$13,H68=$I$14),SottocategorieUscite[[#Headers],[Banca]],IF(OR(H68=K$5,H68=K$6,H68=K$7,H68=K$8,H68=K$9,H68=K$10,H68=K$11,H68=K$12,H68=K$13,H68=K$14),SottocategorieEntrate[[#Headers],[Business Entrate]],IF(OR(H68=L$5,H68=L$6,H68=L$7,H68=L$8,H68=L$9,H68=L$10,H68=L$11,H68=L$12,H68=L$13,H68=L$14),SottocategorieEntrate[[#Headers],[Varie Entrate]],IF(OR(H68=M$5,H68=M$6,H68=M$7,H68=M$8,H68=M$9,H68=M$10,H68=M$11,H68=M$12,H68=M$13,H68=M$14),SottocategorieEntrate[[#Headers],[Real Estate]],IF(OR(H68=N$5,H68=N$6,H68=N$7,H68=N$8,H68=N$9,H68=N$10,H68=N$11,H68=N$12,H68=N$13,H68=N$14),SottocategorieEntrate[[#Headers],[Other]],""))))))))))))</f>
        <v/>
      </c>
      <c r="J68" t="str">
        <f>IF(OR(Dati[[#This Row],[Categoria]]="Bollette",Dati[[#This Row],[Categoria]]="Conto &amp; Carte BNL",Dati[[#This Row],[Categoria]]="Prelievo",Dati[[#This Row],[Categoria]]="Affitto",Dati[[#This Row],[Categoria]]="BNL(Interessi Creditori)"),"Carta",IF(Dati[[#This Row],[Categoria]]&lt;&gt;0,"Cash",""))</f>
        <v/>
      </c>
      <c r="K68" s="59" t="str">
        <f>IF(OR(Data!$I68=SottocategorieUscite[[#Headers],[Fuori Casa]],Data!$I68=SottocategorieUscite[[#Headers],[Varie Uscite]],Data!$I68=SottocategorieUscite[[#Headers],[Personali]],Data!$I68=SottocategorieUscite[[#Headers],[Lavoro]]),"$ -","")</f>
        <v/>
      </c>
      <c r="L68" s="59" t="str">
        <f>IF(OR(Data!$I68=SottocategorieUscite[[#Headers],[Casa]],Data!$I68=SottocategorieUscite[[#Headers],[Utenze]],Data!$I68=SottocategorieUscite[[#Headers],[Business Uscite]],Data!$I68=SottocategorieUscite[[#Headers],[Banca]]),"$ -","")</f>
        <v/>
      </c>
      <c r="M68" s="59" t="str">
        <f>IF(OR($I68&lt;&gt;SottocategorieUscite[[#Headers],[Fuori Casa]],$I68&lt;&gt;SottocategorieUscite[[#Headers],[Varie Uscite]],$I68&lt;&gt;SottocategorieUscite[[#Headers],[Personali]],$I68&lt;&gt;SottocategorieUscite[[#Headers],[Lavoro]],$I68&lt;&gt;SottocategorieUscite[[#Headers],[Casa]],$I68&lt;&gt;SottocategorieUscite[[#Headers],[Utenze]],$I68&lt;&gt;SottocategorieUscite[[#Headers],[Business Uscite]],$I68&lt;&gt;SottocategorieUscite[[#Headers],[Banca]]),"","$ -")</f>
        <v/>
      </c>
      <c r="N68" s="59" t="str">
        <f>IF(OR(Data!$I68=SottocategorieEntrate[[#Headers],[Business Entrate]],Data!$I68=SottocategorieEntrate[[#Headers],[Varie Entrate]]),"$ -","")</f>
        <v/>
      </c>
      <c r="O68" s="59" t="str">
        <f>IF(OR(Data!$I68=SottocategorieEntrate[[#Headers],[Real Estate]],SottocategorieEntrate[[#Headers],[Other]]),"$ -","")</f>
        <v/>
      </c>
      <c r="P68" s="59" t="str">
        <f>IF(OR($I68&lt;&gt;SottocategorieEntrate[[#Headers],[Business Entrate]],$I68&lt;&gt;SottocategorieEntrate[[#Headers],[Varie Entrate]],$I68&lt;&gt;SottocategorieEntrate[[#Headers],[Real Estate]],$I68&lt;&gt;SottocategorieEntrate[[#Headers],[Other]]),"","$ -")</f>
        <v/>
      </c>
      <c r="Q68" s="59" t="str">
        <f>IF(Dati[[#This Row],[Categoria]]="Prelievo","€ -","")</f>
        <v/>
      </c>
      <c r="R68" s="244" t="str">
        <f t="shared" ca="1" si="2"/>
        <v/>
      </c>
      <c r="S68" s="59" t="str">
        <f>IF(Dati[[#This Row],[Categoria]]="Savings",0,"")</f>
        <v/>
      </c>
      <c r="T68" s="59"/>
      <c r="U68" s="59"/>
      <c r="V68" s="59"/>
      <c r="W68" s="59"/>
      <c r="X68" s="59"/>
      <c r="Y68" s="59"/>
      <c r="Z68" s="59"/>
      <c r="AA68" s="59"/>
      <c r="AB68" s="59"/>
      <c r="AC68" s="59"/>
      <c r="AD68" s="59"/>
      <c r="AE68" s="59"/>
      <c r="AF68" s="59"/>
      <c r="AG68" s="59"/>
      <c r="AH68" s="59"/>
      <c r="AI68" s="59" t="str">
        <f>IF(SUM(Dati[[#This Row],[Inv. Business]:[Inv. Cryptocurrency]])=0," ",SUM(Dati[[#This Row],[Inv. Business]:[Inv. Cryptocurrency]]))</f>
        <v xml:space="preserve"> </v>
      </c>
      <c r="AJ68" s="59"/>
      <c r="AK68" s="59" t="str">
        <f>IF(SUM(Dati[[#This Row],[Inv. Gold]:[Mutuo]])=0," ",SUM(Dati[[#This Row],[Inv. Gold]:[Mutuo]]))</f>
        <v xml:space="preserve"> </v>
      </c>
      <c r="AL68" s="59"/>
      <c r="AM68" s="59"/>
    </row>
    <row r="69" spans="2:39" ht="16" customHeight="1" x14ac:dyDescent="0.35">
      <c r="B69">
        <f t="shared" si="0"/>
        <v>49</v>
      </c>
      <c r="C69" s="49">
        <f t="shared" si="1"/>
        <v>44975</v>
      </c>
      <c r="D69" s="29">
        <f>DAY(Dati[[#This Row],[Data]])</f>
        <v>18</v>
      </c>
      <c r="E69" s="29" t="str">
        <f>IF(DAY(Data!$C$21:$C$1327)&gt;0,TEXT(Data!$C$21:$C$1327, "mmmm"),"")</f>
        <v>febbraio</v>
      </c>
      <c r="F69" s="29" t="str">
        <f>IF(DAY(Data!$C$21:$C$1327)&gt;0,TEXT(Data!$C$21:$C$1327, "aaaa"),"")</f>
        <v>2023</v>
      </c>
      <c r="I69" t="str">
        <f>IF(OR(H69=$B$5,H69=$B$6,H69=$B$7,H69=$B$8,H69=$B$9,H69=$B$10,H69=$B$11,H69=$B$12,H69=$B$13,H69=$B$14),SottocategorieUscite[[#Headers],[Fuori Casa]],IF(OR(H69=$C$5,H69=$C$6,H69=$C$7,H69=$C$8,H69=$C$9,H69=$C$10,H69=$C$11,H69=$C$12,H69=$C$13,H69=$C$14),SottocategorieUscite[[#Headers],[Varie Uscite]],IF(OR(H69=$D$5,H69=$D$6,H69=$D$7,H69=$D$8,H69=$D$9,H69=$D$10,H69=$D$11,H69=$D$12,H69=$D$13,H69=$D$14),SottocategorieUscite[[#Headers],[Personali]],IF(OR(H69=$E$5,H69=$E$6,H69=$E$7,H69=$E$8,H69=$E$9,H69=$E$10,H69=$E$11,H69=$E$12,H69=$E$13,H69=$E$14),SottocategorieUscite[[#Headers],[Lavoro]],IF(OR(H69=$F$5,H69=$F$6,H69=$F$7,H69=$F$8,H69=$F$9,H69=$F$10,H69=$F$11,H69=$F$12,H69=$F$13,H69=$F$14),SottocategorieUscite[[#Headers],[Casa]],IF(OR(H69=$G$5,H69=$G$6,H69=$G$7,H69=$G$8,H69=$G$9,H69=$G$10,H69=$G$11,H69=$G$12,H69=$G$13,H69=$G$14),SottocategorieUscite[[#Headers],[Utenze]],IF(OR(H69=$H$5,H69=$H$6,H69=$H$7,H69=$H$8,H69=$H$9,H69=$H$10,H69=$H$11,H69=$H$12,H69=$H$13,H69=$H$14),SottocategorieUscite[[#Headers],[Business Uscite]],IF(OR(H69=$I$5,H69=$I$6,H69=$I$7,H69=$I$8,H69=$I$9,H69=$I$10,H69=$I$11,H69=$I$12,H69=$I$13,H69=$I$14),SottocategorieUscite[[#Headers],[Banca]],IF(OR(H69=K$5,H69=K$6,H69=K$7,H69=K$8,H69=K$9,H69=K$10,H69=K$11,H69=K$12,H69=K$13,H69=K$14),SottocategorieEntrate[[#Headers],[Business Entrate]],IF(OR(H69=L$5,H69=L$6,H69=L$7,H69=L$8,H69=L$9,H69=L$10,H69=L$11,H69=L$12,H69=L$13,H69=L$14),SottocategorieEntrate[[#Headers],[Varie Entrate]],IF(OR(H69=M$5,H69=M$6,H69=M$7,H69=M$8,H69=M$9,H69=M$10,H69=M$11,H69=M$12,H69=M$13,H69=M$14),SottocategorieEntrate[[#Headers],[Real Estate]],IF(OR(H69=N$5,H69=N$6,H69=N$7,H69=N$8,H69=N$9,H69=N$10,H69=N$11,H69=N$12,H69=N$13,H69=N$14),SottocategorieEntrate[[#Headers],[Other]],""))))))))))))</f>
        <v/>
      </c>
      <c r="J69" t="str">
        <f>IF(OR(Dati[[#This Row],[Categoria]]="Bollette",Dati[[#This Row],[Categoria]]="Conto &amp; Carte BNL",Dati[[#This Row],[Categoria]]="Prelievo",Dati[[#This Row],[Categoria]]="Affitto",Dati[[#This Row],[Categoria]]="BNL(Interessi Creditori)"),"Carta",IF(Dati[[#This Row],[Categoria]]&lt;&gt;0,"Cash",""))</f>
        <v/>
      </c>
      <c r="K69" s="59" t="str">
        <f>IF(OR(Data!$I69=SottocategorieUscite[[#Headers],[Fuori Casa]],Data!$I69=SottocategorieUscite[[#Headers],[Varie Uscite]],Data!$I69=SottocategorieUscite[[#Headers],[Personali]],Data!$I69=SottocategorieUscite[[#Headers],[Lavoro]]),"$ -","")</f>
        <v/>
      </c>
      <c r="L69" s="59" t="str">
        <f>IF(OR(Data!$I69=SottocategorieUscite[[#Headers],[Casa]],Data!$I69=SottocategorieUscite[[#Headers],[Utenze]],Data!$I69=SottocategorieUscite[[#Headers],[Business Uscite]],Data!$I69=SottocategorieUscite[[#Headers],[Banca]]),"$ -","")</f>
        <v/>
      </c>
      <c r="M69" s="59" t="str">
        <f>IF(OR($I69&lt;&gt;SottocategorieUscite[[#Headers],[Fuori Casa]],$I69&lt;&gt;SottocategorieUscite[[#Headers],[Varie Uscite]],$I69&lt;&gt;SottocategorieUscite[[#Headers],[Personali]],$I69&lt;&gt;SottocategorieUscite[[#Headers],[Lavoro]],$I69&lt;&gt;SottocategorieUscite[[#Headers],[Casa]],$I69&lt;&gt;SottocategorieUscite[[#Headers],[Utenze]],$I69&lt;&gt;SottocategorieUscite[[#Headers],[Business Uscite]],$I69&lt;&gt;SottocategorieUscite[[#Headers],[Banca]]),"","$ -")</f>
        <v/>
      </c>
      <c r="N69" s="59" t="str">
        <f>IF(OR(Data!$I69=SottocategorieEntrate[[#Headers],[Business Entrate]],Data!$I69=SottocategorieEntrate[[#Headers],[Varie Entrate]]),"$ -","")</f>
        <v/>
      </c>
      <c r="O69" s="59" t="str">
        <f>IF(OR(Data!$I69=SottocategorieEntrate[[#Headers],[Real Estate]],SottocategorieEntrate[[#Headers],[Other]]),"$ -","")</f>
        <v/>
      </c>
      <c r="P69" s="59" t="str">
        <f>IF(OR($I69&lt;&gt;SottocategorieEntrate[[#Headers],[Business Entrate]],$I69&lt;&gt;SottocategorieEntrate[[#Headers],[Varie Entrate]],$I69&lt;&gt;SottocategorieEntrate[[#Headers],[Real Estate]],$I69&lt;&gt;SottocategorieEntrate[[#Headers],[Other]]),"","$ -")</f>
        <v/>
      </c>
      <c r="Q69" s="59" t="str">
        <f>IF(Dati[[#This Row],[Categoria]]="Prelievo","€ -","")</f>
        <v/>
      </c>
      <c r="R69" s="244" t="str">
        <f t="shared" ca="1" si="2"/>
        <v/>
      </c>
      <c r="S69" s="59" t="str">
        <f>IF(Dati[[#This Row],[Categoria]]="Savings",0,"")</f>
        <v/>
      </c>
      <c r="T69" s="59"/>
      <c r="U69" s="59"/>
      <c r="V69" s="59"/>
      <c r="W69" s="59"/>
      <c r="X69" s="59"/>
      <c r="Y69" s="59"/>
      <c r="Z69" s="59"/>
      <c r="AA69" s="59"/>
      <c r="AB69" s="59"/>
      <c r="AC69" s="59"/>
      <c r="AD69" s="59"/>
      <c r="AE69" s="59"/>
      <c r="AF69" s="59"/>
      <c r="AG69" s="59"/>
      <c r="AH69" s="59"/>
      <c r="AI69" s="59" t="str">
        <f>IF(SUM(Dati[[#This Row],[Inv. Business]:[Inv. Cryptocurrency]])=0," ",SUM(Dati[[#This Row],[Inv. Business]:[Inv. Cryptocurrency]]))</f>
        <v xml:space="preserve"> </v>
      </c>
      <c r="AJ69" s="59"/>
      <c r="AK69" s="59" t="str">
        <f>IF(SUM(Dati[[#This Row],[Inv. Gold]:[Mutuo]])=0," ",SUM(Dati[[#This Row],[Inv. Gold]:[Mutuo]]))</f>
        <v xml:space="preserve"> </v>
      </c>
      <c r="AL69" s="59"/>
      <c r="AM69" s="59"/>
    </row>
    <row r="70" spans="2:39" ht="16" customHeight="1" x14ac:dyDescent="0.35">
      <c r="B70">
        <f t="shared" si="0"/>
        <v>50</v>
      </c>
      <c r="C70" s="49">
        <f t="shared" si="1"/>
        <v>44976</v>
      </c>
      <c r="D70" s="29">
        <f>DAY(Dati[[#This Row],[Data]])</f>
        <v>19</v>
      </c>
      <c r="E70" s="29" t="str">
        <f>IF(DAY(Data!$C$21:$C$1327)&gt;0,TEXT(Data!$C$21:$C$1327, "mmmm"),"")</f>
        <v>febbraio</v>
      </c>
      <c r="F70" s="29" t="str">
        <f>IF(DAY(Data!$C$21:$C$1327)&gt;0,TEXT(Data!$C$21:$C$1327, "aaaa"),"")</f>
        <v>2023</v>
      </c>
      <c r="I70" t="str">
        <f>IF(OR(H70=$B$5,H70=$B$6,H70=$B$7,H70=$B$8,H70=$B$9,H70=$B$10,H70=$B$11,H70=$B$12,H70=$B$13,H70=$B$14),SottocategorieUscite[[#Headers],[Fuori Casa]],IF(OR(H70=$C$5,H70=$C$6,H70=$C$7,H70=$C$8,H70=$C$9,H70=$C$10,H70=$C$11,H70=$C$12,H70=$C$13,H70=$C$14),SottocategorieUscite[[#Headers],[Varie Uscite]],IF(OR(H70=$D$5,H70=$D$6,H70=$D$7,H70=$D$8,H70=$D$9,H70=$D$10,H70=$D$11,H70=$D$12,H70=$D$13,H70=$D$14),SottocategorieUscite[[#Headers],[Personali]],IF(OR(H70=$E$5,H70=$E$6,H70=$E$7,H70=$E$8,H70=$E$9,H70=$E$10,H70=$E$11,H70=$E$12,H70=$E$13,H70=$E$14),SottocategorieUscite[[#Headers],[Lavoro]],IF(OR(H70=$F$5,H70=$F$6,H70=$F$7,H70=$F$8,H70=$F$9,H70=$F$10,H70=$F$11,H70=$F$12,H70=$F$13,H70=$F$14),SottocategorieUscite[[#Headers],[Casa]],IF(OR(H70=$G$5,H70=$G$6,H70=$G$7,H70=$G$8,H70=$G$9,H70=$G$10,H70=$G$11,H70=$G$12,H70=$G$13,H70=$G$14),SottocategorieUscite[[#Headers],[Utenze]],IF(OR(H70=$H$5,H70=$H$6,H70=$H$7,H70=$H$8,H70=$H$9,H70=$H$10,H70=$H$11,H70=$H$12,H70=$H$13,H70=$H$14),SottocategorieUscite[[#Headers],[Business Uscite]],IF(OR(H70=$I$5,H70=$I$6,H70=$I$7,H70=$I$8,H70=$I$9,H70=$I$10,H70=$I$11,H70=$I$12,H70=$I$13,H70=$I$14),SottocategorieUscite[[#Headers],[Banca]],IF(OR(H70=K$5,H70=K$6,H70=K$7,H70=K$8,H70=K$9,H70=K$10,H70=K$11,H70=K$12,H70=K$13,H70=K$14),SottocategorieEntrate[[#Headers],[Business Entrate]],IF(OR(H70=L$5,H70=L$6,H70=L$7,H70=L$8,H70=L$9,H70=L$10,H70=L$11,H70=L$12,H70=L$13,H70=L$14),SottocategorieEntrate[[#Headers],[Varie Entrate]],IF(OR(H70=M$5,H70=M$6,H70=M$7,H70=M$8,H70=M$9,H70=M$10,H70=M$11,H70=M$12,H70=M$13,H70=M$14),SottocategorieEntrate[[#Headers],[Real Estate]],IF(OR(H70=N$5,H70=N$6,H70=N$7,H70=N$8,H70=N$9,H70=N$10,H70=N$11,H70=N$12,H70=N$13,H70=N$14),SottocategorieEntrate[[#Headers],[Other]],""))))))))))))</f>
        <v/>
      </c>
      <c r="J70" t="str">
        <f>IF(OR(Dati[[#This Row],[Categoria]]="Bollette",Dati[[#This Row],[Categoria]]="Conto &amp; Carte BNL",Dati[[#This Row],[Categoria]]="Prelievo",Dati[[#This Row],[Categoria]]="Affitto",Dati[[#This Row],[Categoria]]="BNL(Interessi Creditori)"),"Carta",IF(Dati[[#This Row],[Categoria]]&lt;&gt;0,"Cash",""))</f>
        <v/>
      </c>
      <c r="K70" s="59" t="str">
        <f>IF(OR(Data!$I70=SottocategorieUscite[[#Headers],[Fuori Casa]],Data!$I70=SottocategorieUscite[[#Headers],[Varie Uscite]],Data!$I70=SottocategorieUscite[[#Headers],[Personali]],Data!$I70=SottocategorieUscite[[#Headers],[Lavoro]]),"$ -","")</f>
        <v/>
      </c>
      <c r="L70" s="59" t="str">
        <f>IF(OR(Data!$I70=SottocategorieUscite[[#Headers],[Casa]],Data!$I70=SottocategorieUscite[[#Headers],[Utenze]],Data!$I70=SottocategorieUscite[[#Headers],[Business Uscite]],Data!$I70=SottocategorieUscite[[#Headers],[Banca]]),"$ -","")</f>
        <v/>
      </c>
      <c r="M70" s="59" t="str">
        <f>IF(OR($I70&lt;&gt;SottocategorieUscite[[#Headers],[Fuori Casa]],$I70&lt;&gt;SottocategorieUscite[[#Headers],[Varie Uscite]],$I70&lt;&gt;SottocategorieUscite[[#Headers],[Personali]],$I70&lt;&gt;SottocategorieUscite[[#Headers],[Lavoro]],$I70&lt;&gt;SottocategorieUscite[[#Headers],[Casa]],$I70&lt;&gt;SottocategorieUscite[[#Headers],[Utenze]],$I70&lt;&gt;SottocategorieUscite[[#Headers],[Business Uscite]],$I70&lt;&gt;SottocategorieUscite[[#Headers],[Banca]]),"","$ -")</f>
        <v/>
      </c>
      <c r="N70" s="59" t="str">
        <f>IF(OR(Data!$I70=SottocategorieEntrate[[#Headers],[Business Entrate]],Data!$I70=SottocategorieEntrate[[#Headers],[Varie Entrate]]),"$ -","")</f>
        <v/>
      </c>
      <c r="O70" s="59" t="str">
        <f>IF(OR(Data!$I70=SottocategorieEntrate[[#Headers],[Real Estate]],SottocategorieEntrate[[#Headers],[Other]]),"$ -","")</f>
        <v/>
      </c>
      <c r="P70" s="59" t="str">
        <f>IF(OR($I70&lt;&gt;SottocategorieEntrate[[#Headers],[Business Entrate]],$I70&lt;&gt;SottocategorieEntrate[[#Headers],[Varie Entrate]],$I70&lt;&gt;SottocategorieEntrate[[#Headers],[Real Estate]],$I70&lt;&gt;SottocategorieEntrate[[#Headers],[Other]]),"","$ -")</f>
        <v/>
      </c>
      <c r="Q70" s="59" t="str">
        <f>IF(Dati[[#This Row],[Categoria]]="Prelievo","€ -","")</f>
        <v/>
      </c>
      <c r="R70" s="244" t="str">
        <f t="shared" ca="1" si="2"/>
        <v/>
      </c>
      <c r="S70" s="59" t="str">
        <f>IF(Dati[[#This Row],[Categoria]]="Savings",0,"")</f>
        <v/>
      </c>
      <c r="T70" s="59"/>
      <c r="U70" s="59"/>
      <c r="V70" s="59"/>
      <c r="W70" s="59"/>
      <c r="X70" s="59"/>
      <c r="Y70" s="59"/>
      <c r="Z70" s="59"/>
      <c r="AA70" s="59"/>
      <c r="AB70" s="59"/>
      <c r="AC70" s="59"/>
      <c r="AD70" s="59"/>
      <c r="AE70" s="59"/>
      <c r="AF70" s="59"/>
      <c r="AG70" s="59"/>
      <c r="AH70" s="59"/>
      <c r="AI70" s="59" t="str">
        <f>IF(SUM(Dati[[#This Row],[Inv. Business]:[Inv. Cryptocurrency]])=0," ",SUM(Dati[[#This Row],[Inv. Business]:[Inv. Cryptocurrency]]))</f>
        <v xml:space="preserve"> </v>
      </c>
      <c r="AJ70" s="59"/>
      <c r="AK70" s="59" t="str">
        <f>IF(SUM(Dati[[#This Row],[Inv. Gold]:[Mutuo]])=0," ",SUM(Dati[[#This Row],[Inv. Gold]:[Mutuo]]))</f>
        <v xml:space="preserve"> </v>
      </c>
      <c r="AL70" s="59"/>
      <c r="AM70" s="59"/>
    </row>
    <row r="71" spans="2:39" ht="16" customHeight="1" x14ac:dyDescent="0.35">
      <c r="B71">
        <f t="shared" si="0"/>
        <v>51</v>
      </c>
      <c r="C71" s="49">
        <f t="shared" si="1"/>
        <v>44977</v>
      </c>
      <c r="D71" s="29">
        <f>DAY(Dati[[#This Row],[Data]])</f>
        <v>20</v>
      </c>
      <c r="E71" s="29" t="str">
        <f>IF(DAY(Data!$C$21:$C$1327)&gt;0,TEXT(Data!$C$21:$C$1327, "mmmm"),"")</f>
        <v>febbraio</v>
      </c>
      <c r="F71" s="29" t="str">
        <f>IF(DAY(Data!$C$21:$C$1327)&gt;0,TEXT(Data!$C$21:$C$1327, "aaaa"),"")</f>
        <v>2023</v>
      </c>
      <c r="I71" t="str">
        <f>IF(OR(H71=$B$5,H71=$B$6,H71=$B$7,H71=$B$8,H71=$B$9,H71=$B$10,H71=$B$11,H71=$B$12,H71=$B$13,H71=$B$14),SottocategorieUscite[[#Headers],[Fuori Casa]],IF(OR(H71=$C$5,H71=$C$6,H71=$C$7,H71=$C$8,H71=$C$9,H71=$C$10,H71=$C$11,H71=$C$12,H71=$C$13,H71=$C$14),SottocategorieUscite[[#Headers],[Varie Uscite]],IF(OR(H71=$D$5,H71=$D$6,H71=$D$7,H71=$D$8,H71=$D$9,H71=$D$10,H71=$D$11,H71=$D$12,H71=$D$13,H71=$D$14),SottocategorieUscite[[#Headers],[Personali]],IF(OR(H71=$E$5,H71=$E$6,H71=$E$7,H71=$E$8,H71=$E$9,H71=$E$10,H71=$E$11,H71=$E$12,H71=$E$13,H71=$E$14),SottocategorieUscite[[#Headers],[Lavoro]],IF(OR(H71=$F$5,H71=$F$6,H71=$F$7,H71=$F$8,H71=$F$9,H71=$F$10,H71=$F$11,H71=$F$12,H71=$F$13,H71=$F$14),SottocategorieUscite[[#Headers],[Casa]],IF(OR(H71=$G$5,H71=$G$6,H71=$G$7,H71=$G$8,H71=$G$9,H71=$G$10,H71=$G$11,H71=$G$12,H71=$G$13,H71=$G$14),SottocategorieUscite[[#Headers],[Utenze]],IF(OR(H71=$H$5,H71=$H$6,H71=$H$7,H71=$H$8,H71=$H$9,H71=$H$10,H71=$H$11,H71=$H$12,H71=$H$13,H71=$H$14),SottocategorieUscite[[#Headers],[Business Uscite]],IF(OR(H71=$I$5,H71=$I$6,H71=$I$7,H71=$I$8,H71=$I$9,H71=$I$10,H71=$I$11,H71=$I$12,H71=$I$13,H71=$I$14),SottocategorieUscite[[#Headers],[Banca]],IF(OR(H71=K$5,H71=K$6,H71=K$7,H71=K$8,H71=K$9,H71=K$10,H71=K$11,H71=K$12,H71=K$13,H71=K$14),SottocategorieEntrate[[#Headers],[Business Entrate]],IF(OR(H71=L$5,H71=L$6,H71=L$7,H71=L$8,H71=L$9,H71=L$10,H71=L$11,H71=L$12,H71=L$13,H71=L$14),SottocategorieEntrate[[#Headers],[Varie Entrate]],IF(OR(H71=M$5,H71=M$6,H71=M$7,H71=M$8,H71=M$9,H71=M$10,H71=M$11,H71=M$12,H71=M$13,H71=M$14),SottocategorieEntrate[[#Headers],[Real Estate]],IF(OR(H71=N$5,H71=N$6,H71=N$7,H71=N$8,H71=N$9,H71=N$10,H71=N$11,H71=N$12,H71=N$13,H71=N$14),SottocategorieEntrate[[#Headers],[Other]],""))))))))))))</f>
        <v/>
      </c>
      <c r="J71" t="str">
        <f>IF(OR(Dati[[#This Row],[Categoria]]="Bollette",Dati[[#This Row],[Categoria]]="Conto &amp; Carte BNL",Dati[[#This Row],[Categoria]]="Prelievo",Dati[[#This Row],[Categoria]]="Affitto",Dati[[#This Row],[Categoria]]="BNL(Interessi Creditori)"),"Carta",IF(Dati[[#This Row],[Categoria]]&lt;&gt;0,"Cash",""))</f>
        <v/>
      </c>
      <c r="K71" s="59" t="str">
        <f>IF(OR(Data!$I71=SottocategorieUscite[[#Headers],[Fuori Casa]],Data!$I71=SottocategorieUscite[[#Headers],[Varie Uscite]],Data!$I71=SottocategorieUscite[[#Headers],[Personali]],Data!$I71=SottocategorieUscite[[#Headers],[Lavoro]]),"$ -","")</f>
        <v/>
      </c>
      <c r="L71" s="59" t="str">
        <f>IF(OR(Data!$I71=SottocategorieUscite[[#Headers],[Casa]],Data!$I71=SottocategorieUscite[[#Headers],[Utenze]],Data!$I71=SottocategorieUscite[[#Headers],[Business Uscite]],Data!$I71=SottocategorieUscite[[#Headers],[Banca]]),"$ -","")</f>
        <v/>
      </c>
      <c r="M71" s="59" t="str">
        <f>IF(OR($I71&lt;&gt;SottocategorieUscite[[#Headers],[Fuori Casa]],$I71&lt;&gt;SottocategorieUscite[[#Headers],[Varie Uscite]],$I71&lt;&gt;SottocategorieUscite[[#Headers],[Personali]],$I71&lt;&gt;SottocategorieUscite[[#Headers],[Lavoro]],$I71&lt;&gt;SottocategorieUscite[[#Headers],[Casa]],$I71&lt;&gt;SottocategorieUscite[[#Headers],[Utenze]],$I71&lt;&gt;SottocategorieUscite[[#Headers],[Business Uscite]],$I71&lt;&gt;SottocategorieUscite[[#Headers],[Banca]]),"","$ -")</f>
        <v/>
      </c>
      <c r="N71" s="59" t="str">
        <f>IF(OR(Data!$I71=SottocategorieEntrate[[#Headers],[Business Entrate]],Data!$I71=SottocategorieEntrate[[#Headers],[Varie Entrate]]),"$ -","")</f>
        <v/>
      </c>
      <c r="O71" s="59" t="str">
        <f>IF(OR(Data!$I71=SottocategorieEntrate[[#Headers],[Real Estate]],SottocategorieEntrate[[#Headers],[Other]]),"$ -","")</f>
        <v/>
      </c>
      <c r="P71" s="59" t="str">
        <f>IF(OR($I71&lt;&gt;SottocategorieEntrate[[#Headers],[Business Entrate]],$I71&lt;&gt;SottocategorieEntrate[[#Headers],[Varie Entrate]],$I71&lt;&gt;SottocategorieEntrate[[#Headers],[Real Estate]],$I71&lt;&gt;SottocategorieEntrate[[#Headers],[Other]]),"","$ -")</f>
        <v/>
      </c>
      <c r="Q71" s="59" t="str">
        <f>IF(Dati[[#This Row],[Categoria]]="Prelievo","€ -","")</f>
        <v/>
      </c>
      <c r="R71" s="244" t="str">
        <f t="shared" ca="1" si="2"/>
        <v/>
      </c>
      <c r="S71" s="59" t="str">
        <f>IF(Dati[[#This Row],[Categoria]]="Savings",0,"")</f>
        <v/>
      </c>
      <c r="T71" s="59"/>
      <c r="U71" s="59"/>
      <c r="V71" s="59"/>
      <c r="W71" s="59"/>
      <c r="X71" s="59"/>
      <c r="Y71" s="59"/>
      <c r="Z71" s="59"/>
      <c r="AA71" s="59"/>
      <c r="AB71" s="59"/>
      <c r="AC71" s="59"/>
      <c r="AD71" s="59"/>
      <c r="AE71" s="59"/>
      <c r="AF71" s="59"/>
      <c r="AG71" s="59"/>
      <c r="AH71" s="59"/>
      <c r="AI71" s="59" t="str">
        <f>IF(SUM(Dati[[#This Row],[Inv. Business]:[Inv. Cryptocurrency]])=0," ",SUM(Dati[[#This Row],[Inv. Business]:[Inv. Cryptocurrency]]))</f>
        <v xml:space="preserve"> </v>
      </c>
      <c r="AJ71" s="59"/>
      <c r="AK71" s="59" t="str">
        <f>IF(SUM(Dati[[#This Row],[Inv. Gold]:[Mutuo]])=0," ",SUM(Dati[[#This Row],[Inv. Gold]:[Mutuo]]))</f>
        <v xml:space="preserve"> </v>
      </c>
      <c r="AL71" s="59"/>
      <c r="AM71" s="59"/>
    </row>
    <row r="72" spans="2:39" ht="16" customHeight="1" x14ac:dyDescent="0.35">
      <c r="B72">
        <f t="shared" si="0"/>
        <v>52</v>
      </c>
      <c r="C72" s="49">
        <f t="shared" si="1"/>
        <v>44978</v>
      </c>
      <c r="D72" s="29">
        <f>DAY(Dati[[#This Row],[Data]])</f>
        <v>21</v>
      </c>
      <c r="E72" s="29" t="str">
        <f>IF(DAY(Data!$C$21:$C$1327)&gt;0,TEXT(Data!$C$21:$C$1327, "mmmm"),"")</f>
        <v>febbraio</v>
      </c>
      <c r="F72" s="29" t="str">
        <f>IF(DAY(Data!$C$21:$C$1327)&gt;0,TEXT(Data!$C$21:$C$1327, "aaaa"),"")</f>
        <v>2023</v>
      </c>
      <c r="I72" t="str">
        <f>IF(OR(H72=$B$5,H72=$B$6,H72=$B$7,H72=$B$8,H72=$B$9,H72=$B$10,H72=$B$11,H72=$B$12,H72=$B$13,H72=$B$14),SottocategorieUscite[[#Headers],[Fuori Casa]],IF(OR(H72=$C$5,H72=$C$6,H72=$C$7,H72=$C$8,H72=$C$9,H72=$C$10,H72=$C$11,H72=$C$12,H72=$C$13,H72=$C$14),SottocategorieUscite[[#Headers],[Varie Uscite]],IF(OR(H72=$D$5,H72=$D$6,H72=$D$7,H72=$D$8,H72=$D$9,H72=$D$10,H72=$D$11,H72=$D$12,H72=$D$13,H72=$D$14),SottocategorieUscite[[#Headers],[Personali]],IF(OR(H72=$E$5,H72=$E$6,H72=$E$7,H72=$E$8,H72=$E$9,H72=$E$10,H72=$E$11,H72=$E$12,H72=$E$13,H72=$E$14),SottocategorieUscite[[#Headers],[Lavoro]],IF(OR(H72=$F$5,H72=$F$6,H72=$F$7,H72=$F$8,H72=$F$9,H72=$F$10,H72=$F$11,H72=$F$12,H72=$F$13,H72=$F$14),SottocategorieUscite[[#Headers],[Casa]],IF(OR(H72=$G$5,H72=$G$6,H72=$G$7,H72=$G$8,H72=$G$9,H72=$G$10,H72=$G$11,H72=$G$12,H72=$G$13,H72=$G$14),SottocategorieUscite[[#Headers],[Utenze]],IF(OR(H72=$H$5,H72=$H$6,H72=$H$7,H72=$H$8,H72=$H$9,H72=$H$10,H72=$H$11,H72=$H$12,H72=$H$13,H72=$H$14),SottocategorieUscite[[#Headers],[Business Uscite]],IF(OR(H72=$I$5,H72=$I$6,H72=$I$7,H72=$I$8,H72=$I$9,H72=$I$10,H72=$I$11,H72=$I$12,H72=$I$13,H72=$I$14),SottocategorieUscite[[#Headers],[Banca]],IF(OR(H72=K$5,H72=K$6,H72=K$7,H72=K$8,H72=K$9,H72=K$10,H72=K$11,H72=K$12,H72=K$13,H72=K$14),SottocategorieEntrate[[#Headers],[Business Entrate]],IF(OR(H72=L$5,H72=L$6,H72=L$7,H72=L$8,H72=L$9,H72=L$10,H72=L$11,H72=L$12,H72=L$13,H72=L$14),SottocategorieEntrate[[#Headers],[Varie Entrate]],IF(OR(H72=M$5,H72=M$6,H72=M$7,H72=M$8,H72=M$9,H72=M$10,H72=M$11,H72=M$12,H72=M$13,H72=M$14),SottocategorieEntrate[[#Headers],[Real Estate]],IF(OR(H72=N$5,H72=N$6,H72=N$7,H72=N$8,H72=N$9,H72=N$10,H72=N$11,H72=N$12,H72=N$13,H72=N$14),SottocategorieEntrate[[#Headers],[Other]],""))))))))))))</f>
        <v/>
      </c>
      <c r="J72" t="str">
        <f>IF(OR(Dati[[#This Row],[Categoria]]="Bollette",Dati[[#This Row],[Categoria]]="Conto &amp; Carte BNL",Dati[[#This Row],[Categoria]]="Prelievo",Dati[[#This Row],[Categoria]]="Affitto",Dati[[#This Row],[Categoria]]="BNL(Interessi Creditori)"),"Carta",IF(Dati[[#This Row],[Categoria]]&lt;&gt;0,"Cash",""))</f>
        <v/>
      </c>
      <c r="K72" s="59" t="str">
        <f>IF(OR(Data!$I72=SottocategorieUscite[[#Headers],[Fuori Casa]],Data!$I72=SottocategorieUscite[[#Headers],[Varie Uscite]],Data!$I72=SottocategorieUscite[[#Headers],[Personali]],Data!$I72=SottocategorieUscite[[#Headers],[Lavoro]]),"$ -","")</f>
        <v/>
      </c>
      <c r="L72" s="59" t="str">
        <f>IF(OR(Data!$I72=SottocategorieUscite[[#Headers],[Casa]],Data!$I72=SottocategorieUscite[[#Headers],[Utenze]],Data!$I72=SottocategorieUscite[[#Headers],[Business Uscite]],Data!$I72=SottocategorieUscite[[#Headers],[Banca]]),"$ -","")</f>
        <v/>
      </c>
      <c r="M72" s="59" t="str">
        <f>IF(OR($I72&lt;&gt;SottocategorieUscite[[#Headers],[Fuori Casa]],$I72&lt;&gt;SottocategorieUscite[[#Headers],[Varie Uscite]],$I72&lt;&gt;SottocategorieUscite[[#Headers],[Personali]],$I72&lt;&gt;SottocategorieUscite[[#Headers],[Lavoro]],$I72&lt;&gt;SottocategorieUscite[[#Headers],[Casa]],$I72&lt;&gt;SottocategorieUscite[[#Headers],[Utenze]],$I72&lt;&gt;SottocategorieUscite[[#Headers],[Business Uscite]],$I72&lt;&gt;SottocategorieUscite[[#Headers],[Banca]]),"","$ -")</f>
        <v/>
      </c>
      <c r="N72" s="59" t="str">
        <f>IF(OR(Data!$I72=SottocategorieEntrate[[#Headers],[Business Entrate]],Data!$I72=SottocategorieEntrate[[#Headers],[Varie Entrate]]),"$ -","")</f>
        <v/>
      </c>
      <c r="O72" s="59" t="str">
        <f>IF(OR(Data!$I72=SottocategorieEntrate[[#Headers],[Real Estate]],SottocategorieEntrate[[#Headers],[Other]]),"$ -","")</f>
        <v/>
      </c>
      <c r="P72" s="59" t="str">
        <f>IF(OR($I72&lt;&gt;SottocategorieEntrate[[#Headers],[Business Entrate]],$I72&lt;&gt;SottocategorieEntrate[[#Headers],[Varie Entrate]],$I72&lt;&gt;SottocategorieEntrate[[#Headers],[Real Estate]],$I72&lt;&gt;SottocategorieEntrate[[#Headers],[Other]]),"","$ -")</f>
        <v/>
      </c>
      <c r="Q72" s="59" t="str">
        <f>IF(Dati[[#This Row],[Categoria]]="Prelievo","€ -","")</f>
        <v/>
      </c>
      <c r="R72" s="244" t="str">
        <f t="shared" ca="1" si="2"/>
        <v/>
      </c>
      <c r="S72" s="59" t="str">
        <f>IF(Dati[[#This Row],[Categoria]]="Savings",0,"")</f>
        <v/>
      </c>
      <c r="T72" s="59"/>
      <c r="U72" s="59"/>
      <c r="V72" s="59"/>
      <c r="W72" s="59"/>
      <c r="X72" s="59"/>
      <c r="Y72" s="59"/>
      <c r="Z72" s="59"/>
      <c r="AA72" s="59"/>
      <c r="AB72" s="59"/>
      <c r="AC72" s="59"/>
      <c r="AD72" s="59"/>
      <c r="AE72" s="59"/>
      <c r="AF72" s="59"/>
      <c r="AG72" s="59"/>
      <c r="AH72" s="59"/>
      <c r="AI72" s="59" t="str">
        <f>IF(SUM(Dati[[#This Row],[Inv. Business]:[Inv. Cryptocurrency]])=0," ",SUM(Dati[[#This Row],[Inv. Business]:[Inv. Cryptocurrency]]))</f>
        <v xml:space="preserve"> </v>
      </c>
      <c r="AJ72" s="59"/>
      <c r="AK72" s="59" t="str">
        <f>IF(SUM(Dati[[#This Row],[Inv. Gold]:[Mutuo]])=0," ",SUM(Dati[[#This Row],[Inv. Gold]:[Mutuo]]))</f>
        <v xml:space="preserve"> </v>
      </c>
      <c r="AL72" s="59"/>
      <c r="AM72" s="59"/>
    </row>
    <row r="73" spans="2:39" ht="16" customHeight="1" x14ac:dyDescent="0.35">
      <c r="B73">
        <f t="shared" si="0"/>
        <v>53</v>
      </c>
      <c r="C73" s="49">
        <f t="shared" si="1"/>
        <v>44979</v>
      </c>
      <c r="D73" s="29">
        <f>DAY(Dati[[#This Row],[Data]])</f>
        <v>22</v>
      </c>
      <c r="E73" s="29" t="str">
        <f>IF(DAY(Data!$C$21:$C$1327)&gt;0,TEXT(Data!$C$21:$C$1327, "mmmm"),"")</f>
        <v>febbraio</v>
      </c>
      <c r="F73" s="29" t="str">
        <f>IF(DAY(Data!$C$21:$C$1327)&gt;0,TEXT(Data!$C$21:$C$1327, "aaaa"),"")</f>
        <v>2023</v>
      </c>
      <c r="I73" t="str">
        <f>IF(OR(H73=$B$5,H73=$B$6,H73=$B$7,H73=$B$8,H73=$B$9,H73=$B$10,H73=$B$11,H73=$B$12,H73=$B$13,H73=$B$14),SottocategorieUscite[[#Headers],[Fuori Casa]],IF(OR(H73=$C$5,H73=$C$6,H73=$C$7,H73=$C$8,H73=$C$9,H73=$C$10,H73=$C$11,H73=$C$12,H73=$C$13,H73=$C$14),SottocategorieUscite[[#Headers],[Varie Uscite]],IF(OR(H73=$D$5,H73=$D$6,H73=$D$7,H73=$D$8,H73=$D$9,H73=$D$10,H73=$D$11,H73=$D$12,H73=$D$13,H73=$D$14),SottocategorieUscite[[#Headers],[Personali]],IF(OR(H73=$E$5,H73=$E$6,H73=$E$7,H73=$E$8,H73=$E$9,H73=$E$10,H73=$E$11,H73=$E$12,H73=$E$13,H73=$E$14),SottocategorieUscite[[#Headers],[Lavoro]],IF(OR(H73=$F$5,H73=$F$6,H73=$F$7,H73=$F$8,H73=$F$9,H73=$F$10,H73=$F$11,H73=$F$12,H73=$F$13,H73=$F$14),SottocategorieUscite[[#Headers],[Casa]],IF(OR(H73=$G$5,H73=$G$6,H73=$G$7,H73=$G$8,H73=$G$9,H73=$G$10,H73=$G$11,H73=$G$12,H73=$G$13,H73=$G$14),SottocategorieUscite[[#Headers],[Utenze]],IF(OR(H73=$H$5,H73=$H$6,H73=$H$7,H73=$H$8,H73=$H$9,H73=$H$10,H73=$H$11,H73=$H$12,H73=$H$13,H73=$H$14),SottocategorieUscite[[#Headers],[Business Uscite]],IF(OR(H73=$I$5,H73=$I$6,H73=$I$7,H73=$I$8,H73=$I$9,H73=$I$10,H73=$I$11,H73=$I$12,H73=$I$13,H73=$I$14),SottocategorieUscite[[#Headers],[Banca]],IF(OR(H73=K$5,H73=K$6,H73=K$7,H73=K$8,H73=K$9,H73=K$10,H73=K$11,H73=K$12,H73=K$13,H73=K$14),SottocategorieEntrate[[#Headers],[Business Entrate]],IF(OR(H73=L$5,H73=L$6,H73=L$7,H73=L$8,H73=L$9,H73=L$10,H73=L$11,H73=L$12,H73=L$13,H73=L$14),SottocategorieEntrate[[#Headers],[Varie Entrate]],IF(OR(H73=M$5,H73=M$6,H73=M$7,H73=M$8,H73=M$9,H73=M$10,H73=M$11,H73=M$12,H73=M$13,H73=M$14),SottocategorieEntrate[[#Headers],[Real Estate]],IF(OR(H73=N$5,H73=N$6,H73=N$7,H73=N$8,H73=N$9,H73=N$10,H73=N$11,H73=N$12,H73=N$13,H73=N$14),SottocategorieEntrate[[#Headers],[Other]],""))))))))))))</f>
        <v/>
      </c>
      <c r="J73" t="str">
        <f>IF(OR(Dati[[#This Row],[Categoria]]="Bollette",Dati[[#This Row],[Categoria]]="Conto &amp; Carte BNL",Dati[[#This Row],[Categoria]]="Prelievo",Dati[[#This Row],[Categoria]]="Affitto",Dati[[#This Row],[Categoria]]="BNL(Interessi Creditori)"),"Carta",IF(Dati[[#This Row],[Categoria]]&lt;&gt;0,"Cash",""))</f>
        <v/>
      </c>
      <c r="K73" s="59" t="str">
        <f>IF(OR(Data!$I73=SottocategorieUscite[[#Headers],[Fuori Casa]],Data!$I73=SottocategorieUscite[[#Headers],[Varie Uscite]],Data!$I73=SottocategorieUscite[[#Headers],[Personali]],Data!$I73=SottocategorieUscite[[#Headers],[Lavoro]]),"$ -","")</f>
        <v/>
      </c>
      <c r="L73" s="59" t="str">
        <f>IF(OR(Data!$I73=SottocategorieUscite[[#Headers],[Casa]],Data!$I73=SottocategorieUscite[[#Headers],[Utenze]],Data!$I73=SottocategorieUscite[[#Headers],[Business Uscite]],Data!$I73=SottocategorieUscite[[#Headers],[Banca]]),"$ -","")</f>
        <v/>
      </c>
      <c r="M73" s="59" t="str">
        <f>IF(OR($I73&lt;&gt;SottocategorieUscite[[#Headers],[Fuori Casa]],$I73&lt;&gt;SottocategorieUscite[[#Headers],[Varie Uscite]],$I73&lt;&gt;SottocategorieUscite[[#Headers],[Personali]],$I73&lt;&gt;SottocategorieUscite[[#Headers],[Lavoro]],$I73&lt;&gt;SottocategorieUscite[[#Headers],[Casa]],$I73&lt;&gt;SottocategorieUscite[[#Headers],[Utenze]],$I73&lt;&gt;SottocategorieUscite[[#Headers],[Business Uscite]],$I73&lt;&gt;SottocategorieUscite[[#Headers],[Banca]]),"","$ -")</f>
        <v/>
      </c>
      <c r="N73" s="59" t="str">
        <f>IF(OR(Data!$I73=SottocategorieEntrate[[#Headers],[Business Entrate]],Data!$I73=SottocategorieEntrate[[#Headers],[Varie Entrate]]),"$ -","")</f>
        <v/>
      </c>
      <c r="O73" s="59" t="str">
        <f>IF(OR(Data!$I73=SottocategorieEntrate[[#Headers],[Real Estate]],SottocategorieEntrate[[#Headers],[Other]]),"$ -","")</f>
        <v/>
      </c>
      <c r="P73" s="59" t="str">
        <f>IF(OR($I73&lt;&gt;SottocategorieEntrate[[#Headers],[Business Entrate]],$I73&lt;&gt;SottocategorieEntrate[[#Headers],[Varie Entrate]],$I73&lt;&gt;SottocategorieEntrate[[#Headers],[Real Estate]],$I73&lt;&gt;SottocategorieEntrate[[#Headers],[Other]]),"","$ -")</f>
        <v/>
      </c>
      <c r="Q73" s="59" t="str">
        <f>IF(Dati[[#This Row],[Categoria]]="Prelievo","€ -","")</f>
        <v/>
      </c>
      <c r="R73" s="244" t="str">
        <f t="shared" ca="1" si="2"/>
        <v/>
      </c>
      <c r="S73" s="59" t="str">
        <f>IF(Dati[[#This Row],[Categoria]]="Savings",0,"")</f>
        <v/>
      </c>
      <c r="T73" s="59"/>
      <c r="U73" s="59"/>
      <c r="V73" s="59"/>
      <c r="W73" s="59"/>
      <c r="X73" s="59"/>
      <c r="Y73" s="59"/>
      <c r="Z73" s="59"/>
      <c r="AA73" s="59"/>
      <c r="AB73" s="59"/>
      <c r="AC73" s="59"/>
      <c r="AD73" s="59"/>
      <c r="AE73" s="59"/>
      <c r="AF73" s="59"/>
      <c r="AG73" s="59"/>
      <c r="AH73" s="59"/>
      <c r="AI73" s="59" t="str">
        <f>IF(SUM(Dati[[#This Row],[Inv. Business]:[Inv. Cryptocurrency]])=0," ",SUM(Dati[[#This Row],[Inv. Business]:[Inv. Cryptocurrency]]))</f>
        <v xml:space="preserve"> </v>
      </c>
      <c r="AJ73" s="59"/>
      <c r="AK73" s="59" t="str">
        <f>IF(SUM(Dati[[#This Row],[Inv. Gold]:[Mutuo]])=0," ",SUM(Dati[[#This Row],[Inv. Gold]:[Mutuo]]))</f>
        <v xml:space="preserve"> </v>
      </c>
      <c r="AL73" s="59"/>
      <c r="AM73" s="59"/>
    </row>
    <row r="74" spans="2:39" ht="16" customHeight="1" x14ac:dyDescent="0.35">
      <c r="B74">
        <f t="shared" si="0"/>
        <v>54</v>
      </c>
      <c r="C74" s="49">
        <f t="shared" si="1"/>
        <v>44980</v>
      </c>
      <c r="D74" s="29">
        <f>DAY(Dati[[#This Row],[Data]])</f>
        <v>23</v>
      </c>
      <c r="E74" s="29" t="str">
        <f>IF(DAY(Data!$C$21:$C$1327)&gt;0,TEXT(Data!$C$21:$C$1327, "mmmm"),"")</f>
        <v>febbraio</v>
      </c>
      <c r="F74" s="29" t="str">
        <f>IF(DAY(Data!$C$21:$C$1327)&gt;0,TEXT(Data!$C$21:$C$1327, "aaaa"),"")</f>
        <v>2023</v>
      </c>
      <c r="I74" t="str">
        <f>IF(OR(H74=$B$5,H74=$B$6,H74=$B$7,H74=$B$8,H74=$B$9,H74=$B$10,H74=$B$11,H74=$B$12,H74=$B$13,H74=$B$14),SottocategorieUscite[[#Headers],[Fuori Casa]],IF(OR(H74=$C$5,H74=$C$6,H74=$C$7,H74=$C$8,H74=$C$9,H74=$C$10,H74=$C$11,H74=$C$12,H74=$C$13,H74=$C$14),SottocategorieUscite[[#Headers],[Varie Uscite]],IF(OR(H74=$D$5,H74=$D$6,H74=$D$7,H74=$D$8,H74=$D$9,H74=$D$10,H74=$D$11,H74=$D$12,H74=$D$13,H74=$D$14),SottocategorieUscite[[#Headers],[Personali]],IF(OR(H74=$E$5,H74=$E$6,H74=$E$7,H74=$E$8,H74=$E$9,H74=$E$10,H74=$E$11,H74=$E$12,H74=$E$13,H74=$E$14),SottocategorieUscite[[#Headers],[Lavoro]],IF(OR(H74=$F$5,H74=$F$6,H74=$F$7,H74=$F$8,H74=$F$9,H74=$F$10,H74=$F$11,H74=$F$12,H74=$F$13,H74=$F$14),SottocategorieUscite[[#Headers],[Casa]],IF(OR(H74=$G$5,H74=$G$6,H74=$G$7,H74=$G$8,H74=$G$9,H74=$G$10,H74=$G$11,H74=$G$12,H74=$G$13,H74=$G$14),SottocategorieUscite[[#Headers],[Utenze]],IF(OR(H74=$H$5,H74=$H$6,H74=$H$7,H74=$H$8,H74=$H$9,H74=$H$10,H74=$H$11,H74=$H$12,H74=$H$13,H74=$H$14),SottocategorieUscite[[#Headers],[Business Uscite]],IF(OR(H74=$I$5,H74=$I$6,H74=$I$7,H74=$I$8,H74=$I$9,H74=$I$10,H74=$I$11,H74=$I$12,H74=$I$13,H74=$I$14),SottocategorieUscite[[#Headers],[Banca]],IF(OR(H74=K$5,H74=K$6,H74=K$7,H74=K$8,H74=K$9,H74=K$10,H74=K$11,H74=K$12,H74=K$13,H74=K$14),SottocategorieEntrate[[#Headers],[Business Entrate]],IF(OR(H74=L$5,H74=L$6,H74=L$7,H74=L$8,H74=L$9,H74=L$10,H74=L$11,H74=L$12,H74=L$13,H74=L$14),SottocategorieEntrate[[#Headers],[Varie Entrate]],IF(OR(H74=M$5,H74=M$6,H74=M$7,H74=M$8,H74=M$9,H74=M$10,H74=M$11,H74=M$12,H74=M$13,H74=M$14),SottocategorieEntrate[[#Headers],[Real Estate]],IF(OR(H74=N$5,H74=N$6,H74=N$7,H74=N$8,H74=N$9,H74=N$10,H74=N$11,H74=N$12,H74=N$13,H74=N$14),SottocategorieEntrate[[#Headers],[Other]],""))))))))))))</f>
        <v/>
      </c>
      <c r="J74" t="str">
        <f>IF(OR(Dati[[#This Row],[Categoria]]="Bollette",Dati[[#This Row],[Categoria]]="Conto &amp; Carte BNL",Dati[[#This Row],[Categoria]]="Prelievo",Dati[[#This Row],[Categoria]]="Affitto",Dati[[#This Row],[Categoria]]="BNL(Interessi Creditori)"),"Carta",IF(Dati[[#This Row],[Categoria]]&lt;&gt;0,"Cash",""))</f>
        <v/>
      </c>
      <c r="K74" s="59" t="str">
        <f>IF(OR(Data!$I74=SottocategorieUscite[[#Headers],[Fuori Casa]],Data!$I74=SottocategorieUscite[[#Headers],[Varie Uscite]],Data!$I74=SottocategorieUscite[[#Headers],[Personali]],Data!$I74=SottocategorieUscite[[#Headers],[Lavoro]]),"$ -","")</f>
        <v/>
      </c>
      <c r="L74" s="59" t="str">
        <f>IF(OR(Data!$I74=SottocategorieUscite[[#Headers],[Casa]],Data!$I74=SottocategorieUscite[[#Headers],[Utenze]],Data!$I74=SottocategorieUscite[[#Headers],[Business Uscite]],Data!$I74=SottocategorieUscite[[#Headers],[Banca]]),"$ -","")</f>
        <v/>
      </c>
      <c r="M74" s="59" t="str">
        <f>IF(OR($I74&lt;&gt;SottocategorieUscite[[#Headers],[Fuori Casa]],$I74&lt;&gt;SottocategorieUscite[[#Headers],[Varie Uscite]],$I74&lt;&gt;SottocategorieUscite[[#Headers],[Personali]],$I74&lt;&gt;SottocategorieUscite[[#Headers],[Lavoro]],$I74&lt;&gt;SottocategorieUscite[[#Headers],[Casa]],$I74&lt;&gt;SottocategorieUscite[[#Headers],[Utenze]],$I74&lt;&gt;SottocategorieUscite[[#Headers],[Business Uscite]],$I74&lt;&gt;SottocategorieUscite[[#Headers],[Banca]]),"","$ -")</f>
        <v/>
      </c>
      <c r="N74" s="59" t="str">
        <f>IF(OR(Data!$I74=SottocategorieEntrate[[#Headers],[Business Entrate]],Data!$I74=SottocategorieEntrate[[#Headers],[Varie Entrate]]),"$ -","")</f>
        <v/>
      </c>
      <c r="O74" s="59" t="str">
        <f>IF(OR(Data!$I74=SottocategorieEntrate[[#Headers],[Real Estate]],SottocategorieEntrate[[#Headers],[Other]]),"$ -","")</f>
        <v/>
      </c>
      <c r="P74" s="59" t="str">
        <f>IF(OR($I74&lt;&gt;SottocategorieEntrate[[#Headers],[Business Entrate]],$I74&lt;&gt;SottocategorieEntrate[[#Headers],[Varie Entrate]],$I74&lt;&gt;SottocategorieEntrate[[#Headers],[Real Estate]],$I74&lt;&gt;SottocategorieEntrate[[#Headers],[Other]]),"","$ -")</f>
        <v/>
      </c>
      <c r="Q74" s="59" t="str">
        <f>IF(Dati[[#This Row],[Categoria]]="Prelievo","€ -","")</f>
        <v/>
      </c>
      <c r="R74" s="244" t="str">
        <f t="shared" ca="1" si="2"/>
        <v/>
      </c>
      <c r="S74" s="59" t="str">
        <f>IF(Dati[[#This Row],[Categoria]]="Savings",0,"")</f>
        <v/>
      </c>
      <c r="T74" s="59"/>
      <c r="U74" s="59"/>
      <c r="V74" s="59"/>
      <c r="W74" s="59"/>
      <c r="X74" s="59"/>
      <c r="Y74" s="59"/>
      <c r="Z74" s="59"/>
      <c r="AA74" s="59"/>
      <c r="AB74" s="59"/>
      <c r="AC74" s="59"/>
      <c r="AD74" s="59"/>
      <c r="AE74" s="59"/>
      <c r="AF74" s="59"/>
      <c r="AG74" s="59"/>
      <c r="AH74" s="59"/>
      <c r="AI74" s="59" t="str">
        <f>IF(SUM(Dati[[#This Row],[Inv. Business]:[Inv. Cryptocurrency]])=0," ",SUM(Dati[[#This Row],[Inv. Business]:[Inv. Cryptocurrency]]))</f>
        <v xml:space="preserve"> </v>
      </c>
      <c r="AJ74" s="59"/>
      <c r="AK74" s="59" t="str">
        <f>IF(SUM(Dati[[#This Row],[Inv. Gold]:[Mutuo]])=0," ",SUM(Dati[[#This Row],[Inv. Gold]:[Mutuo]]))</f>
        <v xml:space="preserve"> </v>
      </c>
      <c r="AL74" s="59"/>
      <c r="AM74" s="59"/>
    </row>
    <row r="75" spans="2:39" ht="16" customHeight="1" x14ac:dyDescent="0.35">
      <c r="B75">
        <f t="shared" si="0"/>
        <v>55</v>
      </c>
      <c r="C75" s="49">
        <f t="shared" si="1"/>
        <v>44981</v>
      </c>
      <c r="D75" s="29">
        <f>DAY(Dati[[#This Row],[Data]])</f>
        <v>24</v>
      </c>
      <c r="E75" s="29" t="str">
        <f>IF(DAY(Data!$C$21:$C$1327)&gt;0,TEXT(Data!$C$21:$C$1327, "mmmm"),"")</f>
        <v>febbraio</v>
      </c>
      <c r="F75" s="29" t="str">
        <f>IF(DAY(Data!$C$21:$C$1327)&gt;0,TEXT(Data!$C$21:$C$1327, "aaaa"),"")</f>
        <v>2023</v>
      </c>
      <c r="I75" t="str">
        <f>IF(OR(H75=$B$5,H75=$B$6,H75=$B$7,H75=$B$8,H75=$B$9,H75=$B$10,H75=$B$11,H75=$B$12,H75=$B$13,H75=$B$14),SottocategorieUscite[[#Headers],[Fuori Casa]],IF(OR(H75=$C$5,H75=$C$6,H75=$C$7,H75=$C$8,H75=$C$9,H75=$C$10,H75=$C$11,H75=$C$12,H75=$C$13,H75=$C$14),SottocategorieUscite[[#Headers],[Varie Uscite]],IF(OR(H75=$D$5,H75=$D$6,H75=$D$7,H75=$D$8,H75=$D$9,H75=$D$10,H75=$D$11,H75=$D$12,H75=$D$13,H75=$D$14),SottocategorieUscite[[#Headers],[Personali]],IF(OR(H75=$E$5,H75=$E$6,H75=$E$7,H75=$E$8,H75=$E$9,H75=$E$10,H75=$E$11,H75=$E$12,H75=$E$13,H75=$E$14),SottocategorieUscite[[#Headers],[Lavoro]],IF(OR(H75=$F$5,H75=$F$6,H75=$F$7,H75=$F$8,H75=$F$9,H75=$F$10,H75=$F$11,H75=$F$12,H75=$F$13,H75=$F$14),SottocategorieUscite[[#Headers],[Casa]],IF(OR(H75=$G$5,H75=$G$6,H75=$G$7,H75=$G$8,H75=$G$9,H75=$G$10,H75=$G$11,H75=$G$12,H75=$G$13,H75=$G$14),SottocategorieUscite[[#Headers],[Utenze]],IF(OR(H75=$H$5,H75=$H$6,H75=$H$7,H75=$H$8,H75=$H$9,H75=$H$10,H75=$H$11,H75=$H$12,H75=$H$13,H75=$H$14),SottocategorieUscite[[#Headers],[Business Uscite]],IF(OR(H75=$I$5,H75=$I$6,H75=$I$7,H75=$I$8,H75=$I$9,H75=$I$10,H75=$I$11,H75=$I$12,H75=$I$13,H75=$I$14),SottocategorieUscite[[#Headers],[Banca]],IF(OR(H75=K$5,H75=K$6,H75=K$7,H75=K$8,H75=K$9,H75=K$10,H75=K$11,H75=K$12,H75=K$13,H75=K$14),SottocategorieEntrate[[#Headers],[Business Entrate]],IF(OR(H75=L$5,H75=L$6,H75=L$7,H75=L$8,H75=L$9,H75=L$10,H75=L$11,H75=L$12,H75=L$13,H75=L$14),SottocategorieEntrate[[#Headers],[Varie Entrate]],IF(OR(H75=M$5,H75=M$6,H75=M$7,H75=M$8,H75=M$9,H75=M$10,H75=M$11,H75=M$12,H75=M$13,H75=M$14),SottocategorieEntrate[[#Headers],[Real Estate]],IF(OR(H75=N$5,H75=N$6,H75=N$7,H75=N$8,H75=N$9,H75=N$10,H75=N$11,H75=N$12,H75=N$13,H75=N$14),SottocategorieEntrate[[#Headers],[Other]],""))))))))))))</f>
        <v/>
      </c>
      <c r="J75" t="str">
        <f>IF(OR(Dati[[#This Row],[Categoria]]="Bollette",Dati[[#This Row],[Categoria]]="Conto &amp; Carte BNL",Dati[[#This Row],[Categoria]]="Prelievo",Dati[[#This Row],[Categoria]]="Affitto",Dati[[#This Row],[Categoria]]="BNL(Interessi Creditori)"),"Carta",IF(Dati[[#This Row],[Categoria]]&lt;&gt;0,"Cash",""))</f>
        <v/>
      </c>
      <c r="K75" s="59" t="str">
        <f>IF(OR(Data!$I75=SottocategorieUscite[[#Headers],[Fuori Casa]],Data!$I75=SottocategorieUscite[[#Headers],[Varie Uscite]],Data!$I75=SottocategorieUscite[[#Headers],[Personali]],Data!$I75=SottocategorieUscite[[#Headers],[Lavoro]]),"$ -","")</f>
        <v/>
      </c>
      <c r="L75" s="59" t="str">
        <f>IF(OR(Data!$I75=SottocategorieUscite[[#Headers],[Casa]],Data!$I75=SottocategorieUscite[[#Headers],[Utenze]],Data!$I75=SottocategorieUscite[[#Headers],[Business Uscite]],Data!$I75=SottocategorieUscite[[#Headers],[Banca]]),"$ -","")</f>
        <v/>
      </c>
      <c r="M75" s="59" t="str">
        <f>IF(OR($I75&lt;&gt;SottocategorieUscite[[#Headers],[Fuori Casa]],$I75&lt;&gt;SottocategorieUscite[[#Headers],[Varie Uscite]],$I75&lt;&gt;SottocategorieUscite[[#Headers],[Personali]],$I75&lt;&gt;SottocategorieUscite[[#Headers],[Lavoro]],$I75&lt;&gt;SottocategorieUscite[[#Headers],[Casa]],$I75&lt;&gt;SottocategorieUscite[[#Headers],[Utenze]],$I75&lt;&gt;SottocategorieUscite[[#Headers],[Business Uscite]],$I75&lt;&gt;SottocategorieUscite[[#Headers],[Banca]]),"","$ -")</f>
        <v/>
      </c>
      <c r="N75" s="59" t="str">
        <f>IF(OR(Data!$I75=SottocategorieEntrate[[#Headers],[Business Entrate]],Data!$I75=SottocategorieEntrate[[#Headers],[Varie Entrate]]),"$ -","")</f>
        <v/>
      </c>
      <c r="O75" s="59" t="str">
        <f>IF(OR(Data!$I75=SottocategorieEntrate[[#Headers],[Real Estate]],SottocategorieEntrate[[#Headers],[Other]]),"$ -","")</f>
        <v/>
      </c>
      <c r="P75" s="59" t="str">
        <f>IF(OR($I75&lt;&gt;SottocategorieEntrate[[#Headers],[Business Entrate]],$I75&lt;&gt;SottocategorieEntrate[[#Headers],[Varie Entrate]],$I75&lt;&gt;SottocategorieEntrate[[#Headers],[Real Estate]],$I75&lt;&gt;SottocategorieEntrate[[#Headers],[Other]]),"","$ -")</f>
        <v/>
      </c>
      <c r="Q75" s="59" t="str">
        <f>IF(Dati[[#This Row],[Categoria]]="Prelievo","€ -","")</f>
        <v/>
      </c>
      <c r="R75" s="244" t="str">
        <f t="shared" ca="1" si="2"/>
        <v/>
      </c>
      <c r="S75" s="59" t="str">
        <f>IF(Dati[[#This Row],[Categoria]]="Savings",0,"")</f>
        <v/>
      </c>
      <c r="T75" s="59"/>
      <c r="U75" s="59"/>
      <c r="V75" s="59"/>
      <c r="W75" s="59"/>
      <c r="X75" s="59"/>
      <c r="Y75" s="59"/>
      <c r="Z75" s="59"/>
      <c r="AA75" s="59"/>
      <c r="AB75" s="59"/>
      <c r="AC75" s="59"/>
      <c r="AD75" s="59"/>
      <c r="AE75" s="59"/>
      <c r="AF75" s="59"/>
      <c r="AG75" s="59"/>
      <c r="AH75" s="59"/>
      <c r="AI75" s="59" t="str">
        <f>IF(SUM(Dati[[#This Row],[Inv. Business]:[Inv. Cryptocurrency]])=0," ",SUM(Dati[[#This Row],[Inv. Business]:[Inv. Cryptocurrency]]))</f>
        <v xml:space="preserve"> </v>
      </c>
      <c r="AJ75" s="59"/>
      <c r="AK75" s="59" t="str">
        <f>IF(SUM(Dati[[#This Row],[Inv. Gold]:[Mutuo]])=0," ",SUM(Dati[[#This Row],[Inv. Gold]:[Mutuo]]))</f>
        <v xml:space="preserve"> </v>
      </c>
      <c r="AL75" s="59"/>
      <c r="AM75" s="59"/>
    </row>
    <row r="76" spans="2:39" ht="16" customHeight="1" x14ac:dyDescent="0.35">
      <c r="B76">
        <f t="shared" si="0"/>
        <v>56</v>
      </c>
      <c r="C76" s="49">
        <f t="shared" si="1"/>
        <v>44982</v>
      </c>
      <c r="D76" s="29">
        <f>DAY(Dati[[#This Row],[Data]])</f>
        <v>25</v>
      </c>
      <c r="E76" s="29" t="str">
        <f>IF(DAY(Data!$C$21:$C$1327)&gt;0,TEXT(Data!$C$21:$C$1327, "mmmm"),"")</f>
        <v>febbraio</v>
      </c>
      <c r="F76" s="29" t="str">
        <f>IF(DAY(Data!$C$21:$C$1327)&gt;0,TEXT(Data!$C$21:$C$1327, "aaaa"),"")</f>
        <v>2023</v>
      </c>
      <c r="I76" t="str">
        <f>IF(OR(H76=$B$5,H76=$B$6,H76=$B$7,H76=$B$8,H76=$B$9,H76=$B$10,H76=$B$11,H76=$B$12,H76=$B$13,H76=$B$14),SottocategorieUscite[[#Headers],[Fuori Casa]],IF(OR(H76=$C$5,H76=$C$6,H76=$C$7,H76=$C$8,H76=$C$9,H76=$C$10,H76=$C$11,H76=$C$12,H76=$C$13,H76=$C$14),SottocategorieUscite[[#Headers],[Varie Uscite]],IF(OR(H76=$D$5,H76=$D$6,H76=$D$7,H76=$D$8,H76=$D$9,H76=$D$10,H76=$D$11,H76=$D$12,H76=$D$13,H76=$D$14),SottocategorieUscite[[#Headers],[Personali]],IF(OR(H76=$E$5,H76=$E$6,H76=$E$7,H76=$E$8,H76=$E$9,H76=$E$10,H76=$E$11,H76=$E$12,H76=$E$13,H76=$E$14),SottocategorieUscite[[#Headers],[Lavoro]],IF(OR(H76=$F$5,H76=$F$6,H76=$F$7,H76=$F$8,H76=$F$9,H76=$F$10,H76=$F$11,H76=$F$12,H76=$F$13,H76=$F$14),SottocategorieUscite[[#Headers],[Casa]],IF(OR(H76=$G$5,H76=$G$6,H76=$G$7,H76=$G$8,H76=$G$9,H76=$G$10,H76=$G$11,H76=$G$12,H76=$G$13,H76=$G$14),SottocategorieUscite[[#Headers],[Utenze]],IF(OR(H76=$H$5,H76=$H$6,H76=$H$7,H76=$H$8,H76=$H$9,H76=$H$10,H76=$H$11,H76=$H$12,H76=$H$13,H76=$H$14),SottocategorieUscite[[#Headers],[Business Uscite]],IF(OR(H76=$I$5,H76=$I$6,H76=$I$7,H76=$I$8,H76=$I$9,H76=$I$10,H76=$I$11,H76=$I$12,H76=$I$13,H76=$I$14),SottocategorieUscite[[#Headers],[Banca]],IF(OR(H76=K$5,H76=K$6,H76=K$7,H76=K$8,H76=K$9,H76=K$10,H76=K$11,H76=K$12,H76=K$13,H76=K$14),SottocategorieEntrate[[#Headers],[Business Entrate]],IF(OR(H76=L$5,H76=L$6,H76=L$7,H76=L$8,H76=L$9,H76=L$10,H76=L$11,H76=L$12,H76=L$13,H76=L$14),SottocategorieEntrate[[#Headers],[Varie Entrate]],IF(OR(H76=M$5,H76=M$6,H76=M$7,H76=M$8,H76=M$9,H76=M$10,H76=M$11,H76=M$12,H76=M$13,H76=M$14),SottocategorieEntrate[[#Headers],[Real Estate]],IF(OR(H76=N$5,H76=N$6,H76=N$7,H76=N$8,H76=N$9,H76=N$10,H76=N$11,H76=N$12,H76=N$13,H76=N$14),SottocategorieEntrate[[#Headers],[Other]],""))))))))))))</f>
        <v/>
      </c>
      <c r="J76" t="str">
        <f>IF(OR(Dati[[#This Row],[Categoria]]="Bollette",Dati[[#This Row],[Categoria]]="Conto &amp; Carte BNL",Dati[[#This Row],[Categoria]]="Prelievo",Dati[[#This Row],[Categoria]]="Affitto",Dati[[#This Row],[Categoria]]="BNL(Interessi Creditori)"),"Carta",IF(Dati[[#This Row],[Categoria]]&lt;&gt;0,"Cash",""))</f>
        <v/>
      </c>
      <c r="K76" s="59" t="str">
        <f>IF(OR(Data!$I76=SottocategorieUscite[[#Headers],[Fuori Casa]],Data!$I76=SottocategorieUscite[[#Headers],[Varie Uscite]],Data!$I76=SottocategorieUscite[[#Headers],[Personali]],Data!$I76=SottocategorieUscite[[#Headers],[Lavoro]]),"$ -","")</f>
        <v/>
      </c>
      <c r="L76" s="59" t="str">
        <f>IF(OR(Data!$I76=SottocategorieUscite[[#Headers],[Casa]],Data!$I76=SottocategorieUscite[[#Headers],[Utenze]],Data!$I76=SottocategorieUscite[[#Headers],[Business Uscite]],Data!$I76=SottocategorieUscite[[#Headers],[Banca]]),"$ -","")</f>
        <v/>
      </c>
      <c r="M76" s="59" t="str">
        <f>IF(OR($I76&lt;&gt;SottocategorieUscite[[#Headers],[Fuori Casa]],$I76&lt;&gt;SottocategorieUscite[[#Headers],[Varie Uscite]],$I76&lt;&gt;SottocategorieUscite[[#Headers],[Personali]],$I76&lt;&gt;SottocategorieUscite[[#Headers],[Lavoro]],$I76&lt;&gt;SottocategorieUscite[[#Headers],[Casa]],$I76&lt;&gt;SottocategorieUscite[[#Headers],[Utenze]],$I76&lt;&gt;SottocategorieUscite[[#Headers],[Business Uscite]],$I76&lt;&gt;SottocategorieUscite[[#Headers],[Banca]]),"","$ -")</f>
        <v/>
      </c>
      <c r="N76" s="59" t="str">
        <f>IF(OR(Data!$I76=SottocategorieEntrate[[#Headers],[Business Entrate]],Data!$I76=SottocategorieEntrate[[#Headers],[Varie Entrate]]),"$ -","")</f>
        <v/>
      </c>
      <c r="O76" s="59" t="str">
        <f>IF(OR(Data!$I76=SottocategorieEntrate[[#Headers],[Real Estate]],SottocategorieEntrate[[#Headers],[Other]]),"$ -","")</f>
        <v/>
      </c>
      <c r="P76" s="59" t="str">
        <f>IF(OR($I76&lt;&gt;SottocategorieEntrate[[#Headers],[Business Entrate]],$I76&lt;&gt;SottocategorieEntrate[[#Headers],[Varie Entrate]],$I76&lt;&gt;SottocategorieEntrate[[#Headers],[Real Estate]],$I76&lt;&gt;SottocategorieEntrate[[#Headers],[Other]]),"","$ -")</f>
        <v/>
      </c>
      <c r="Q76" s="59" t="str">
        <f>IF(Dati[[#This Row],[Categoria]]="Prelievo","€ -","")</f>
        <v/>
      </c>
      <c r="R76" s="244" t="str">
        <f t="shared" ca="1" si="2"/>
        <v/>
      </c>
      <c r="S76" s="59" t="str">
        <f>IF(Dati[[#This Row],[Categoria]]="Savings",0,"")</f>
        <v/>
      </c>
      <c r="T76" s="59"/>
      <c r="U76" s="59"/>
      <c r="V76" s="59"/>
      <c r="W76" s="59"/>
      <c r="X76" s="59"/>
      <c r="Y76" s="59"/>
      <c r="Z76" s="59"/>
      <c r="AA76" s="59"/>
      <c r="AB76" s="59"/>
      <c r="AC76" s="59"/>
      <c r="AD76" s="59"/>
      <c r="AE76" s="59"/>
      <c r="AF76" s="59"/>
      <c r="AG76" s="59"/>
      <c r="AH76" s="59"/>
      <c r="AI76" s="59" t="str">
        <f>IF(SUM(Dati[[#This Row],[Inv. Business]:[Inv. Cryptocurrency]])=0," ",SUM(Dati[[#This Row],[Inv. Business]:[Inv. Cryptocurrency]]))</f>
        <v xml:space="preserve"> </v>
      </c>
      <c r="AJ76" s="59"/>
      <c r="AK76" s="59" t="str">
        <f>IF(SUM(Dati[[#This Row],[Inv. Gold]:[Mutuo]])=0," ",SUM(Dati[[#This Row],[Inv. Gold]:[Mutuo]]))</f>
        <v xml:space="preserve"> </v>
      </c>
      <c r="AL76" s="59"/>
      <c r="AM76" s="59"/>
    </row>
    <row r="77" spans="2:39" ht="16" customHeight="1" x14ac:dyDescent="0.35">
      <c r="B77">
        <f t="shared" si="0"/>
        <v>57</v>
      </c>
      <c r="C77" s="49">
        <f t="shared" si="1"/>
        <v>44983</v>
      </c>
      <c r="D77" s="29">
        <f>DAY(Dati[[#This Row],[Data]])</f>
        <v>26</v>
      </c>
      <c r="E77" s="29" t="str">
        <f>IF(DAY(Data!$C$21:$C$1327)&gt;0,TEXT(Data!$C$21:$C$1327, "mmmm"),"")</f>
        <v>febbraio</v>
      </c>
      <c r="F77" s="29" t="str">
        <f>IF(DAY(Data!$C$21:$C$1327)&gt;0,TEXT(Data!$C$21:$C$1327, "aaaa"),"")</f>
        <v>2023</v>
      </c>
      <c r="I77" t="str">
        <f>IF(OR(H77=$B$5,H77=$B$6,H77=$B$7,H77=$B$8,H77=$B$9,H77=$B$10,H77=$B$11,H77=$B$12,H77=$B$13,H77=$B$14),SottocategorieUscite[[#Headers],[Fuori Casa]],IF(OR(H77=$C$5,H77=$C$6,H77=$C$7,H77=$C$8,H77=$C$9,H77=$C$10,H77=$C$11,H77=$C$12,H77=$C$13,H77=$C$14),SottocategorieUscite[[#Headers],[Varie Uscite]],IF(OR(H77=$D$5,H77=$D$6,H77=$D$7,H77=$D$8,H77=$D$9,H77=$D$10,H77=$D$11,H77=$D$12,H77=$D$13,H77=$D$14),SottocategorieUscite[[#Headers],[Personali]],IF(OR(H77=$E$5,H77=$E$6,H77=$E$7,H77=$E$8,H77=$E$9,H77=$E$10,H77=$E$11,H77=$E$12,H77=$E$13,H77=$E$14),SottocategorieUscite[[#Headers],[Lavoro]],IF(OR(H77=$F$5,H77=$F$6,H77=$F$7,H77=$F$8,H77=$F$9,H77=$F$10,H77=$F$11,H77=$F$12,H77=$F$13,H77=$F$14),SottocategorieUscite[[#Headers],[Casa]],IF(OR(H77=$G$5,H77=$G$6,H77=$G$7,H77=$G$8,H77=$G$9,H77=$G$10,H77=$G$11,H77=$G$12,H77=$G$13,H77=$G$14),SottocategorieUscite[[#Headers],[Utenze]],IF(OR(H77=$H$5,H77=$H$6,H77=$H$7,H77=$H$8,H77=$H$9,H77=$H$10,H77=$H$11,H77=$H$12,H77=$H$13,H77=$H$14),SottocategorieUscite[[#Headers],[Business Uscite]],IF(OR(H77=$I$5,H77=$I$6,H77=$I$7,H77=$I$8,H77=$I$9,H77=$I$10,H77=$I$11,H77=$I$12,H77=$I$13,H77=$I$14),SottocategorieUscite[[#Headers],[Banca]],IF(OR(H77=K$5,H77=K$6,H77=K$7,H77=K$8,H77=K$9,H77=K$10,H77=K$11,H77=K$12,H77=K$13,H77=K$14),SottocategorieEntrate[[#Headers],[Business Entrate]],IF(OR(H77=L$5,H77=L$6,H77=L$7,H77=L$8,H77=L$9,H77=L$10,H77=L$11,H77=L$12,H77=L$13,H77=L$14),SottocategorieEntrate[[#Headers],[Varie Entrate]],IF(OR(H77=M$5,H77=M$6,H77=M$7,H77=M$8,H77=M$9,H77=M$10,H77=M$11,H77=M$12,H77=M$13,H77=M$14),SottocategorieEntrate[[#Headers],[Real Estate]],IF(OR(H77=N$5,H77=N$6,H77=N$7,H77=N$8,H77=N$9,H77=N$10,H77=N$11,H77=N$12,H77=N$13,H77=N$14),SottocategorieEntrate[[#Headers],[Other]],""))))))))))))</f>
        <v/>
      </c>
      <c r="J77" t="str">
        <f>IF(OR(Dati[[#This Row],[Categoria]]="Bollette",Dati[[#This Row],[Categoria]]="Conto &amp; Carte BNL",Dati[[#This Row],[Categoria]]="Prelievo",Dati[[#This Row],[Categoria]]="Affitto",Dati[[#This Row],[Categoria]]="BNL(Interessi Creditori)"),"Carta",IF(Dati[[#This Row],[Categoria]]&lt;&gt;0,"Cash",""))</f>
        <v/>
      </c>
      <c r="K77" s="59" t="str">
        <f>IF(OR(Data!$I77=SottocategorieUscite[[#Headers],[Fuori Casa]],Data!$I77=SottocategorieUscite[[#Headers],[Varie Uscite]],Data!$I77=SottocategorieUscite[[#Headers],[Personali]],Data!$I77=SottocategorieUscite[[#Headers],[Lavoro]]),"$ -","")</f>
        <v/>
      </c>
      <c r="L77" s="59" t="str">
        <f>IF(OR(Data!$I77=SottocategorieUscite[[#Headers],[Casa]],Data!$I77=SottocategorieUscite[[#Headers],[Utenze]],Data!$I77=SottocategorieUscite[[#Headers],[Business Uscite]],Data!$I77=SottocategorieUscite[[#Headers],[Banca]]),"$ -","")</f>
        <v/>
      </c>
      <c r="M77" s="59" t="str">
        <f>IF(OR($I77&lt;&gt;SottocategorieUscite[[#Headers],[Fuori Casa]],$I77&lt;&gt;SottocategorieUscite[[#Headers],[Varie Uscite]],$I77&lt;&gt;SottocategorieUscite[[#Headers],[Personali]],$I77&lt;&gt;SottocategorieUscite[[#Headers],[Lavoro]],$I77&lt;&gt;SottocategorieUscite[[#Headers],[Casa]],$I77&lt;&gt;SottocategorieUscite[[#Headers],[Utenze]],$I77&lt;&gt;SottocategorieUscite[[#Headers],[Business Uscite]],$I77&lt;&gt;SottocategorieUscite[[#Headers],[Banca]]),"","$ -")</f>
        <v/>
      </c>
      <c r="N77" s="59" t="str">
        <f>IF(OR(Data!$I77=SottocategorieEntrate[[#Headers],[Business Entrate]],Data!$I77=SottocategorieEntrate[[#Headers],[Varie Entrate]]),"$ -","")</f>
        <v/>
      </c>
      <c r="O77" s="59" t="str">
        <f>IF(OR(Data!$I77=SottocategorieEntrate[[#Headers],[Real Estate]],SottocategorieEntrate[[#Headers],[Other]]),"$ -","")</f>
        <v/>
      </c>
      <c r="P77" s="59" t="str">
        <f>IF(OR($I77&lt;&gt;SottocategorieEntrate[[#Headers],[Business Entrate]],$I77&lt;&gt;SottocategorieEntrate[[#Headers],[Varie Entrate]],$I77&lt;&gt;SottocategorieEntrate[[#Headers],[Real Estate]],$I77&lt;&gt;SottocategorieEntrate[[#Headers],[Other]]),"","$ -")</f>
        <v/>
      </c>
      <c r="Q77" s="59" t="str">
        <f>IF(Dati[[#This Row],[Categoria]]="Prelievo","€ -","")</f>
        <v/>
      </c>
      <c r="R77" s="244" t="str">
        <f t="shared" ca="1" si="2"/>
        <v/>
      </c>
      <c r="S77" s="59" t="str">
        <f>IF(Dati[[#This Row],[Categoria]]="Savings",0,"")</f>
        <v/>
      </c>
      <c r="T77" s="59"/>
      <c r="U77" s="59"/>
      <c r="V77" s="59"/>
      <c r="W77" s="59"/>
      <c r="X77" s="59"/>
      <c r="Y77" s="59"/>
      <c r="Z77" s="59"/>
      <c r="AA77" s="59"/>
      <c r="AB77" s="59"/>
      <c r="AC77" s="59"/>
      <c r="AD77" s="59"/>
      <c r="AE77" s="59"/>
      <c r="AF77" s="59"/>
      <c r="AG77" s="59"/>
      <c r="AH77" s="59"/>
      <c r="AI77" s="59" t="str">
        <f>IF(SUM(Dati[[#This Row],[Inv. Business]:[Inv. Cryptocurrency]])=0," ",SUM(Dati[[#This Row],[Inv. Business]:[Inv. Cryptocurrency]]))</f>
        <v xml:space="preserve"> </v>
      </c>
      <c r="AJ77" s="59"/>
      <c r="AK77" s="59" t="str">
        <f>IF(SUM(Dati[[#This Row],[Inv. Gold]:[Mutuo]])=0," ",SUM(Dati[[#This Row],[Inv. Gold]:[Mutuo]]))</f>
        <v xml:space="preserve"> </v>
      </c>
      <c r="AL77" s="59"/>
      <c r="AM77" s="59"/>
    </row>
    <row r="78" spans="2:39" ht="16" customHeight="1" x14ac:dyDescent="0.35">
      <c r="B78">
        <f t="shared" si="0"/>
        <v>58</v>
      </c>
      <c r="C78" s="49">
        <f t="shared" si="1"/>
        <v>44984</v>
      </c>
      <c r="D78" s="29">
        <f>DAY(Dati[[#This Row],[Data]])</f>
        <v>27</v>
      </c>
      <c r="E78" s="29" t="str">
        <f>IF(DAY(Data!$C$21:$C$1327)&gt;0,TEXT(Data!$C$21:$C$1327, "mmmm"),"")</f>
        <v>febbraio</v>
      </c>
      <c r="F78" s="29" t="str">
        <f>IF(DAY(Data!$C$21:$C$1327)&gt;0,TEXT(Data!$C$21:$C$1327, "aaaa"),"")</f>
        <v>2023</v>
      </c>
      <c r="I78" t="str">
        <f>IF(OR(H78=$B$5,H78=$B$6,H78=$B$7,H78=$B$8,H78=$B$9,H78=$B$10,H78=$B$11,H78=$B$12,H78=$B$13,H78=$B$14),SottocategorieUscite[[#Headers],[Fuori Casa]],IF(OR(H78=$C$5,H78=$C$6,H78=$C$7,H78=$C$8,H78=$C$9,H78=$C$10,H78=$C$11,H78=$C$12,H78=$C$13,H78=$C$14),SottocategorieUscite[[#Headers],[Varie Uscite]],IF(OR(H78=$D$5,H78=$D$6,H78=$D$7,H78=$D$8,H78=$D$9,H78=$D$10,H78=$D$11,H78=$D$12,H78=$D$13,H78=$D$14),SottocategorieUscite[[#Headers],[Personali]],IF(OR(H78=$E$5,H78=$E$6,H78=$E$7,H78=$E$8,H78=$E$9,H78=$E$10,H78=$E$11,H78=$E$12,H78=$E$13,H78=$E$14),SottocategorieUscite[[#Headers],[Lavoro]],IF(OR(H78=$F$5,H78=$F$6,H78=$F$7,H78=$F$8,H78=$F$9,H78=$F$10,H78=$F$11,H78=$F$12,H78=$F$13,H78=$F$14),SottocategorieUscite[[#Headers],[Casa]],IF(OR(H78=$G$5,H78=$G$6,H78=$G$7,H78=$G$8,H78=$G$9,H78=$G$10,H78=$G$11,H78=$G$12,H78=$G$13,H78=$G$14),SottocategorieUscite[[#Headers],[Utenze]],IF(OR(H78=$H$5,H78=$H$6,H78=$H$7,H78=$H$8,H78=$H$9,H78=$H$10,H78=$H$11,H78=$H$12,H78=$H$13,H78=$H$14),SottocategorieUscite[[#Headers],[Business Uscite]],IF(OR(H78=$I$5,H78=$I$6,H78=$I$7,H78=$I$8,H78=$I$9,H78=$I$10,H78=$I$11,H78=$I$12,H78=$I$13,H78=$I$14),SottocategorieUscite[[#Headers],[Banca]],IF(OR(H78=K$5,H78=K$6,H78=K$7,H78=K$8,H78=K$9,H78=K$10,H78=K$11,H78=K$12,H78=K$13,H78=K$14),SottocategorieEntrate[[#Headers],[Business Entrate]],IF(OR(H78=L$5,H78=L$6,H78=L$7,H78=L$8,H78=L$9,H78=L$10,H78=L$11,H78=L$12,H78=L$13,H78=L$14),SottocategorieEntrate[[#Headers],[Varie Entrate]],IF(OR(H78=M$5,H78=M$6,H78=M$7,H78=M$8,H78=M$9,H78=M$10,H78=M$11,H78=M$12,H78=M$13,H78=M$14),SottocategorieEntrate[[#Headers],[Real Estate]],IF(OR(H78=N$5,H78=N$6,H78=N$7,H78=N$8,H78=N$9,H78=N$10,H78=N$11,H78=N$12,H78=N$13,H78=N$14),SottocategorieEntrate[[#Headers],[Other]],""))))))))))))</f>
        <v/>
      </c>
      <c r="J78" t="str">
        <f>IF(OR(Dati[[#This Row],[Categoria]]="Bollette",Dati[[#This Row],[Categoria]]="Conto &amp; Carte BNL",Dati[[#This Row],[Categoria]]="Prelievo",Dati[[#This Row],[Categoria]]="Affitto",Dati[[#This Row],[Categoria]]="BNL(Interessi Creditori)"),"Carta",IF(Dati[[#This Row],[Categoria]]&lt;&gt;0,"Cash",""))</f>
        <v/>
      </c>
      <c r="K78" s="59" t="str">
        <f>IF(OR(Data!$I78=SottocategorieUscite[[#Headers],[Fuori Casa]],Data!$I78=SottocategorieUscite[[#Headers],[Varie Uscite]],Data!$I78=SottocategorieUscite[[#Headers],[Personali]],Data!$I78=SottocategorieUscite[[#Headers],[Lavoro]]),"$ -","")</f>
        <v/>
      </c>
      <c r="L78" s="59" t="str">
        <f>IF(OR(Data!$I78=SottocategorieUscite[[#Headers],[Casa]],Data!$I78=SottocategorieUscite[[#Headers],[Utenze]],Data!$I78=SottocategorieUscite[[#Headers],[Business Uscite]],Data!$I78=SottocategorieUscite[[#Headers],[Banca]]),"$ -","")</f>
        <v/>
      </c>
      <c r="M78" s="59" t="str">
        <f>IF(OR($I78&lt;&gt;SottocategorieUscite[[#Headers],[Fuori Casa]],$I78&lt;&gt;SottocategorieUscite[[#Headers],[Varie Uscite]],$I78&lt;&gt;SottocategorieUscite[[#Headers],[Personali]],$I78&lt;&gt;SottocategorieUscite[[#Headers],[Lavoro]],$I78&lt;&gt;SottocategorieUscite[[#Headers],[Casa]],$I78&lt;&gt;SottocategorieUscite[[#Headers],[Utenze]],$I78&lt;&gt;SottocategorieUscite[[#Headers],[Business Uscite]],$I78&lt;&gt;SottocategorieUscite[[#Headers],[Banca]]),"","$ -")</f>
        <v/>
      </c>
      <c r="N78" s="59" t="str">
        <f>IF(OR(Data!$I78=SottocategorieEntrate[[#Headers],[Business Entrate]],Data!$I78=SottocategorieEntrate[[#Headers],[Varie Entrate]]),"$ -","")</f>
        <v/>
      </c>
      <c r="O78" s="59" t="str">
        <f>IF(OR(Data!$I78=SottocategorieEntrate[[#Headers],[Real Estate]],SottocategorieEntrate[[#Headers],[Other]]),"$ -","")</f>
        <v/>
      </c>
      <c r="P78" s="59" t="str">
        <f>IF(OR($I78&lt;&gt;SottocategorieEntrate[[#Headers],[Business Entrate]],$I78&lt;&gt;SottocategorieEntrate[[#Headers],[Varie Entrate]],$I78&lt;&gt;SottocategorieEntrate[[#Headers],[Real Estate]],$I78&lt;&gt;SottocategorieEntrate[[#Headers],[Other]]),"","$ -")</f>
        <v/>
      </c>
      <c r="Q78" s="59" t="str">
        <f>IF(Dati[[#This Row],[Categoria]]="Prelievo","€ -","")</f>
        <v/>
      </c>
      <c r="R78" s="244" t="str">
        <f t="shared" ca="1" si="2"/>
        <v/>
      </c>
      <c r="S78" s="59" t="str">
        <f>IF(Dati[[#This Row],[Categoria]]="Savings",0,"")</f>
        <v/>
      </c>
      <c r="T78" s="59"/>
      <c r="U78" s="59"/>
      <c r="V78" s="59"/>
      <c r="W78" s="59"/>
      <c r="X78" s="59"/>
      <c r="Y78" s="59"/>
      <c r="Z78" s="59"/>
      <c r="AA78" s="59"/>
      <c r="AB78" s="59"/>
      <c r="AC78" s="59"/>
      <c r="AD78" s="59"/>
      <c r="AE78" s="59"/>
      <c r="AF78" s="59"/>
      <c r="AG78" s="59"/>
      <c r="AH78" s="59"/>
      <c r="AI78" s="59" t="str">
        <f>IF(SUM(Dati[[#This Row],[Inv. Business]:[Inv. Cryptocurrency]])=0," ",SUM(Dati[[#This Row],[Inv. Business]:[Inv. Cryptocurrency]]))</f>
        <v xml:space="preserve"> </v>
      </c>
      <c r="AJ78" s="59"/>
      <c r="AK78" s="59" t="str">
        <f>IF(SUM(Dati[[#This Row],[Inv. Gold]:[Mutuo]])=0," ",SUM(Dati[[#This Row],[Inv. Gold]:[Mutuo]]))</f>
        <v xml:space="preserve"> </v>
      </c>
      <c r="AL78" s="59"/>
      <c r="AM78" s="59"/>
    </row>
    <row r="79" spans="2:39" ht="16" customHeight="1" x14ac:dyDescent="0.35">
      <c r="B79">
        <f t="shared" si="0"/>
        <v>59</v>
      </c>
      <c r="C79" s="49">
        <f t="shared" si="1"/>
        <v>44985</v>
      </c>
      <c r="D79" s="29">
        <f>DAY(Dati[[#This Row],[Data]])</f>
        <v>28</v>
      </c>
      <c r="E79" s="29" t="str">
        <f>IF(DAY(Data!$C$21:$C$1327)&gt;0,TEXT(Data!$C$21:$C$1327, "mmmm"),"")</f>
        <v>febbraio</v>
      </c>
      <c r="F79" s="29" t="str">
        <f>IF(DAY(Data!$C$21:$C$1327)&gt;0,TEXT(Data!$C$21:$C$1327, "aaaa"),"")</f>
        <v>2023</v>
      </c>
      <c r="I79" t="str">
        <f>IF(OR(H79=$B$5,H79=$B$6,H79=$B$7,H79=$B$8,H79=$B$9,H79=$B$10,H79=$B$11,H79=$B$12,H79=$B$13,H79=$B$14),SottocategorieUscite[[#Headers],[Fuori Casa]],IF(OR(H79=$C$5,H79=$C$6,H79=$C$7,H79=$C$8,H79=$C$9,H79=$C$10,H79=$C$11,H79=$C$12,H79=$C$13,H79=$C$14),SottocategorieUscite[[#Headers],[Varie Uscite]],IF(OR(H79=$D$5,H79=$D$6,H79=$D$7,H79=$D$8,H79=$D$9,H79=$D$10,H79=$D$11,H79=$D$12,H79=$D$13,H79=$D$14),SottocategorieUscite[[#Headers],[Personali]],IF(OR(H79=$E$5,H79=$E$6,H79=$E$7,H79=$E$8,H79=$E$9,H79=$E$10,H79=$E$11,H79=$E$12,H79=$E$13,H79=$E$14),SottocategorieUscite[[#Headers],[Lavoro]],IF(OR(H79=$F$5,H79=$F$6,H79=$F$7,H79=$F$8,H79=$F$9,H79=$F$10,H79=$F$11,H79=$F$12,H79=$F$13,H79=$F$14),SottocategorieUscite[[#Headers],[Casa]],IF(OR(H79=$G$5,H79=$G$6,H79=$G$7,H79=$G$8,H79=$G$9,H79=$G$10,H79=$G$11,H79=$G$12,H79=$G$13,H79=$G$14),SottocategorieUscite[[#Headers],[Utenze]],IF(OR(H79=$H$5,H79=$H$6,H79=$H$7,H79=$H$8,H79=$H$9,H79=$H$10,H79=$H$11,H79=$H$12,H79=$H$13,H79=$H$14),SottocategorieUscite[[#Headers],[Business Uscite]],IF(OR(H79=$I$5,H79=$I$6,H79=$I$7,H79=$I$8,H79=$I$9,H79=$I$10,H79=$I$11,H79=$I$12,H79=$I$13,H79=$I$14),SottocategorieUscite[[#Headers],[Banca]],IF(OR(H79=K$5,H79=K$6,H79=K$7,H79=K$8,H79=K$9,H79=K$10,H79=K$11,H79=K$12,H79=K$13,H79=K$14),SottocategorieEntrate[[#Headers],[Business Entrate]],IF(OR(H79=L$5,H79=L$6,H79=L$7,H79=L$8,H79=L$9,H79=L$10,H79=L$11,H79=L$12,H79=L$13,H79=L$14),SottocategorieEntrate[[#Headers],[Varie Entrate]],IF(OR(H79=M$5,H79=M$6,H79=M$7,H79=M$8,H79=M$9,H79=M$10,H79=M$11,H79=M$12,H79=M$13,H79=M$14),SottocategorieEntrate[[#Headers],[Real Estate]],IF(OR(H79=N$5,H79=N$6,H79=N$7,H79=N$8,H79=N$9,H79=N$10,H79=N$11,H79=N$12,H79=N$13,H79=N$14),SottocategorieEntrate[[#Headers],[Other]],""))))))))))))</f>
        <v/>
      </c>
      <c r="J79" t="str">
        <f>IF(OR(Dati[[#This Row],[Categoria]]="Bollette",Dati[[#This Row],[Categoria]]="Conto &amp; Carte BNL",Dati[[#This Row],[Categoria]]="Prelievo",Dati[[#This Row],[Categoria]]="Affitto",Dati[[#This Row],[Categoria]]="BNL(Interessi Creditori)"),"Carta",IF(Dati[[#This Row],[Categoria]]&lt;&gt;0,"Cash",""))</f>
        <v/>
      </c>
      <c r="K79" s="59" t="str">
        <f>IF(OR(Data!$I79=SottocategorieUscite[[#Headers],[Fuori Casa]],Data!$I79=SottocategorieUscite[[#Headers],[Varie Uscite]],Data!$I79=SottocategorieUscite[[#Headers],[Personali]],Data!$I79=SottocategorieUscite[[#Headers],[Lavoro]]),"$ -","")</f>
        <v/>
      </c>
      <c r="L79" s="59" t="str">
        <f>IF(OR(Data!$I79=SottocategorieUscite[[#Headers],[Casa]],Data!$I79=SottocategorieUscite[[#Headers],[Utenze]],Data!$I79=SottocategorieUscite[[#Headers],[Business Uscite]],Data!$I79=SottocategorieUscite[[#Headers],[Banca]]),"$ -","")</f>
        <v/>
      </c>
      <c r="M79" s="59" t="str">
        <f>IF(OR($I79&lt;&gt;SottocategorieUscite[[#Headers],[Fuori Casa]],$I79&lt;&gt;SottocategorieUscite[[#Headers],[Varie Uscite]],$I79&lt;&gt;SottocategorieUscite[[#Headers],[Personali]],$I79&lt;&gt;SottocategorieUscite[[#Headers],[Lavoro]],$I79&lt;&gt;SottocategorieUscite[[#Headers],[Casa]],$I79&lt;&gt;SottocategorieUscite[[#Headers],[Utenze]],$I79&lt;&gt;SottocategorieUscite[[#Headers],[Business Uscite]],$I79&lt;&gt;SottocategorieUscite[[#Headers],[Banca]]),"","$ -")</f>
        <v/>
      </c>
      <c r="N79" s="59" t="str">
        <f>IF(OR(Data!$I79=SottocategorieEntrate[[#Headers],[Business Entrate]],Data!$I79=SottocategorieEntrate[[#Headers],[Varie Entrate]]),"$ -","")</f>
        <v/>
      </c>
      <c r="O79" s="59" t="str">
        <f>IF(OR(Data!$I79=SottocategorieEntrate[[#Headers],[Real Estate]],SottocategorieEntrate[[#Headers],[Other]]),"$ -","")</f>
        <v/>
      </c>
      <c r="P79" s="59" t="str">
        <f>IF(OR($I79&lt;&gt;SottocategorieEntrate[[#Headers],[Business Entrate]],$I79&lt;&gt;SottocategorieEntrate[[#Headers],[Varie Entrate]],$I79&lt;&gt;SottocategorieEntrate[[#Headers],[Real Estate]],$I79&lt;&gt;SottocategorieEntrate[[#Headers],[Other]]),"","$ -")</f>
        <v/>
      </c>
      <c r="Q79" s="59" t="str">
        <f>IF(Dati[[#This Row],[Categoria]]="Prelievo","€ -","")</f>
        <v/>
      </c>
      <c r="R79" s="244" t="str">
        <f t="shared" ca="1" si="2"/>
        <v/>
      </c>
      <c r="S79" s="59" t="str">
        <f>IF(Dati[[#This Row],[Categoria]]="Savings",0,"")</f>
        <v/>
      </c>
      <c r="T79" s="59"/>
      <c r="U79" s="59"/>
      <c r="V79" s="59"/>
      <c r="W79" s="59"/>
      <c r="X79" s="59"/>
      <c r="Y79" s="59"/>
      <c r="Z79" s="59"/>
      <c r="AA79" s="59"/>
      <c r="AB79" s="59"/>
      <c r="AC79" s="59"/>
      <c r="AD79" s="59"/>
      <c r="AE79" s="59"/>
      <c r="AF79" s="59"/>
      <c r="AG79" s="59"/>
      <c r="AH79" s="59"/>
      <c r="AI79" s="59" t="str">
        <f>IF(SUM(Dati[[#This Row],[Inv. Business]:[Inv. Cryptocurrency]])=0," ",SUM(Dati[[#This Row],[Inv. Business]:[Inv. Cryptocurrency]]))</f>
        <v xml:space="preserve"> </v>
      </c>
      <c r="AJ79" s="59"/>
      <c r="AK79" s="59" t="str">
        <f>IF(SUM(Dati[[#This Row],[Inv. Gold]:[Mutuo]])=0," ",SUM(Dati[[#This Row],[Inv. Gold]:[Mutuo]]))</f>
        <v xml:space="preserve"> </v>
      </c>
      <c r="AL79" s="59"/>
      <c r="AM79" s="59"/>
    </row>
    <row r="80" spans="2:39" ht="16" customHeight="1" x14ac:dyDescent="0.35">
      <c r="B80">
        <f t="shared" si="0"/>
        <v>60</v>
      </c>
      <c r="C80" s="49">
        <f t="shared" si="1"/>
        <v>44986</v>
      </c>
      <c r="D80" s="29">
        <f>DAY(Dati[[#This Row],[Data]])</f>
        <v>1</v>
      </c>
      <c r="E80" s="29" t="str">
        <f>IF(DAY(Data!$C$21:$C$1327)&gt;0,TEXT(Data!$C$21:$C$1327, "mmmm"),"")</f>
        <v>marzo</v>
      </c>
      <c r="F80" s="29" t="str">
        <f>IF(DAY(Data!$C$21:$C$1327)&gt;0,TEXT(Data!$C$21:$C$1327, "aaaa"),"")</f>
        <v>2023</v>
      </c>
      <c r="I80" t="str">
        <f>IF(OR(H80=$B$5,H80=$B$6,H80=$B$7,H80=$B$8,H80=$B$9,H80=$B$10,H80=$B$11,H80=$B$12,H80=$B$13,H80=$B$14),SottocategorieUscite[[#Headers],[Fuori Casa]],IF(OR(H80=$C$5,H80=$C$6,H80=$C$7,H80=$C$8,H80=$C$9,H80=$C$10,H80=$C$11,H80=$C$12,H80=$C$13,H80=$C$14),SottocategorieUscite[[#Headers],[Varie Uscite]],IF(OR(H80=$D$5,H80=$D$6,H80=$D$7,H80=$D$8,H80=$D$9,H80=$D$10,H80=$D$11,H80=$D$12,H80=$D$13,H80=$D$14),SottocategorieUscite[[#Headers],[Personali]],IF(OR(H80=$E$5,H80=$E$6,H80=$E$7,H80=$E$8,H80=$E$9,H80=$E$10,H80=$E$11,H80=$E$12,H80=$E$13,H80=$E$14),SottocategorieUscite[[#Headers],[Lavoro]],IF(OR(H80=$F$5,H80=$F$6,H80=$F$7,H80=$F$8,H80=$F$9,H80=$F$10,H80=$F$11,H80=$F$12,H80=$F$13,H80=$F$14),SottocategorieUscite[[#Headers],[Casa]],IF(OR(H80=$G$5,H80=$G$6,H80=$G$7,H80=$G$8,H80=$G$9,H80=$G$10,H80=$G$11,H80=$G$12,H80=$G$13,H80=$G$14),SottocategorieUscite[[#Headers],[Utenze]],IF(OR(H80=$H$5,H80=$H$6,H80=$H$7,H80=$H$8,H80=$H$9,H80=$H$10,H80=$H$11,H80=$H$12,H80=$H$13,H80=$H$14),SottocategorieUscite[[#Headers],[Business Uscite]],IF(OR(H80=$I$5,H80=$I$6,H80=$I$7,H80=$I$8,H80=$I$9,H80=$I$10,H80=$I$11,H80=$I$12,H80=$I$13,H80=$I$14),SottocategorieUscite[[#Headers],[Banca]],IF(OR(H80=K$5,H80=K$6,H80=K$7,H80=K$8,H80=K$9,H80=K$10,H80=K$11,H80=K$12,H80=K$13,H80=K$14),SottocategorieEntrate[[#Headers],[Business Entrate]],IF(OR(H80=L$5,H80=L$6,H80=L$7,H80=L$8,H80=L$9,H80=L$10,H80=L$11,H80=L$12,H80=L$13,H80=L$14),SottocategorieEntrate[[#Headers],[Varie Entrate]],IF(OR(H80=M$5,H80=M$6,H80=M$7,H80=M$8,H80=M$9,H80=M$10,H80=M$11,H80=M$12,H80=M$13,H80=M$14),SottocategorieEntrate[[#Headers],[Real Estate]],IF(OR(H80=N$5,H80=N$6,H80=N$7,H80=N$8,H80=N$9,H80=N$10,H80=N$11,H80=N$12,H80=N$13,H80=N$14),SottocategorieEntrate[[#Headers],[Other]],""))))))))))))</f>
        <v/>
      </c>
      <c r="J80" t="str">
        <f>IF(OR(Dati[[#This Row],[Categoria]]="Bollette",Dati[[#This Row],[Categoria]]="Conto &amp; Carte BNL",Dati[[#This Row],[Categoria]]="Prelievo",Dati[[#This Row],[Categoria]]="Affitto",Dati[[#This Row],[Categoria]]="BNL(Interessi Creditori)"),"Carta",IF(Dati[[#This Row],[Categoria]]&lt;&gt;0,"Cash",""))</f>
        <v/>
      </c>
      <c r="K80" s="59" t="str">
        <f>IF(OR(Data!$I80=SottocategorieUscite[[#Headers],[Fuori Casa]],Data!$I80=SottocategorieUscite[[#Headers],[Varie Uscite]],Data!$I80=SottocategorieUscite[[#Headers],[Personali]],Data!$I80=SottocategorieUscite[[#Headers],[Lavoro]]),"$ -","")</f>
        <v/>
      </c>
      <c r="L80" s="59" t="str">
        <f>IF(OR(Data!$I80=SottocategorieUscite[[#Headers],[Casa]],Data!$I80=SottocategorieUscite[[#Headers],[Utenze]],Data!$I80=SottocategorieUscite[[#Headers],[Business Uscite]],Data!$I80=SottocategorieUscite[[#Headers],[Banca]]),"$ -","")</f>
        <v/>
      </c>
      <c r="M80" s="59" t="str">
        <f>IF(OR($I80&lt;&gt;SottocategorieUscite[[#Headers],[Fuori Casa]],$I80&lt;&gt;SottocategorieUscite[[#Headers],[Varie Uscite]],$I80&lt;&gt;SottocategorieUscite[[#Headers],[Personali]],$I80&lt;&gt;SottocategorieUscite[[#Headers],[Lavoro]],$I80&lt;&gt;SottocategorieUscite[[#Headers],[Casa]],$I80&lt;&gt;SottocategorieUscite[[#Headers],[Utenze]],$I80&lt;&gt;SottocategorieUscite[[#Headers],[Business Uscite]],$I80&lt;&gt;SottocategorieUscite[[#Headers],[Banca]]),"","$ -")</f>
        <v/>
      </c>
      <c r="N80" s="59" t="str">
        <f>IF(OR(Data!$I80=SottocategorieEntrate[[#Headers],[Business Entrate]],Data!$I80=SottocategorieEntrate[[#Headers],[Varie Entrate]]),"$ -","")</f>
        <v/>
      </c>
      <c r="O80" s="59" t="str">
        <f>IF(OR(Data!$I80=SottocategorieEntrate[[#Headers],[Real Estate]],SottocategorieEntrate[[#Headers],[Other]]),"$ -","")</f>
        <v/>
      </c>
      <c r="P80" s="59" t="str">
        <f>IF(OR($I80&lt;&gt;SottocategorieEntrate[[#Headers],[Business Entrate]],$I80&lt;&gt;SottocategorieEntrate[[#Headers],[Varie Entrate]],$I80&lt;&gt;SottocategorieEntrate[[#Headers],[Real Estate]],$I80&lt;&gt;SottocategorieEntrate[[#Headers],[Other]]),"","$ -")</f>
        <v/>
      </c>
      <c r="Q80" s="59" t="str">
        <f>IF(Dati[[#This Row],[Categoria]]="Prelievo","€ -","")</f>
        <v/>
      </c>
      <c r="R80" s="244" t="str">
        <f t="shared" ca="1" si="2"/>
        <v/>
      </c>
      <c r="S80" s="59" t="str">
        <f>IF(Dati[[#This Row],[Categoria]]="Savings",0,"")</f>
        <v/>
      </c>
      <c r="T80" s="59"/>
      <c r="U80" s="59"/>
      <c r="V80" s="59"/>
      <c r="W80" s="59"/>
      <c r="X80" s="59"/>
      <c r="Y80" s="59"/>
      <c r="Z80" s="59"/>
      <c r="AA80" s="59"/>
      <c r="AB80" s="59"/>
      <c r="AC80" s="59"/>
      <c r="AD80" s="59"/>
      <c r="AE80" s="59"/>
      <c r="AF80" s="59"/>
      <c r="AG80" s="59"/>
      <c r="AH80" s="59"/>
      <c r="AI80" s="59" t="str">
        <f>IF(SUM(Dati[[#This Row],[Inv. Business]:[Inv. Cryptocurrency]])=0," ",SUM(Dati[[#This Row],[Inv. Business]:[Inv. Cryptocurrency]]))</f>
        <v xml:space="preserve"> </v>
      </c>
      <c r="AJ80" s="59"/>
      <c r="AK80" s="59" t="str">
        <f>IF(SUM(Dati[[#This Row],[Inv. Gold]:[Mutuo]])=0," ",SUM(Dati[[#This Row],[Inv. Gold]:[Mutuo]]))</f>
        <v xml:space="preserve"> </v>
      </c>
      <c r="AL80" s="59"/>
      <c r="AM80" s="59"/>
    </row>
    <row r="81" spans="2:39" ht="16" customHeight="1" x14ac:dyDescent="0.35">
      <c r="B81">
        <f t="shared" si="0"/>
        <v>61</v>
      </c>
      <c r="C81" s="49">
        <f t="shared" si="1"/>
        <v>44987</v>
      </c>
      <c r="D81" s="29">
        <f>DAY(Dati[[#This Row],[Data]])</f>
        <v>2</v>
      </c>
      <c r="E81" s="29" t="str">
        <f>IF(DAY(Data!$C$21:$C$1327)&gt;0,TEXT(Data!$C$21:$C$1327, "mmmm"),"")</f>
        <v>marzo</v>
      </c>
      <c r="F81" s="29" t="str">
        <f>IF(DAY(Data!$C$21:$C$1327)&gt;0,TEXT(Data!$C$21:$C$1327, "aaaa"),"")</f>
        <v>2023</v>
      </c>
      <c r="I81" t="str">
        <f>IF(OR(H81=$B$5,H81=$B$6,H81=$B$7,H81=$B$8,H81=$B$9,H81=$B$10,H81=$B$11,H81=$B$12,H81=$B$13,H81=$B$14),SottocategorieUscite[[#Headers],[Fuori Casa]],IF(OR(H81=$C$5,H81=$C$6,H81=$C$7,H81=$C$8,H81=$C$9,H81=$C$10,H81=$C$11,H81=$C$12,H81=$C$13,H81=$C$14),SottocategorieUscite[[#Headers],[Varie Uscite]],IF(OR(H81=$D$5,H81=$D$6,H81=$D$7,H81=$D$8,H81=$D$9,H81=$D$10,H81=$D$11,H81=$D$12,H81=$D$13,H81=$D$14),SottocategorieUscite[[#Headers],[Personali]],IF(OR(H81=$E$5,H81=$E$6,H81=$E$7,H81=$E$8,H81=$E$9,H81=$E$10,H81=$E$11,H81=$E$12,H81=$E$13,H81=$E$14),SottocategorieUscite[[#Headers],[Lavoro]],IF(OR(H81=$F$5,H81=$F$6,H81=$F$7,H81=$F$8,H81=$F$9,H81=$F$10,H81=$F$11,H81=$F$12,H81=$F$13,H81=$F$14),SottocategorieUscite[[#Headers],[Casa]],IF(OR(H81=$G$5,H81=$G$6,H81=$G$7,H81=$G$8,H81=$G$9,H81=$G$10,H81=$G$11,H81=$G$12,H81=$G$13,H81=$G$14),SottocategorieUscite[[#Headers],[Utenze]],IF(OR(H81=$H$5,H81=$H$6,H81=$H$7,H81=$H$8,H81=$H$9,H81=$H$10,H81=$H$11,H81=$H$12,H81=$H$13,H81=$H$14),SottocategorieUscite[[#Headers],[Business Uscite]],IF(OR(H81=$I$5,H81=$I$6,H81=$I$7,H81=$I$8,H81=$I$9,H81=$I$10,H81=$I$11,H81=$I$12,H81=$I$13,H81=$I$14),SottocategorieUscite[[#Headers],[Banca]],IF(OR(H81=K$5,H81=K$6,H81=K$7,H81=K$8,H81=K$9,H81=K$10,H81=K$11,H81=K$12,H81=K$13,H81=K$14),SottocategorieEntrate[[#Headers],[Business Entrate]],IF(OR(H81=L$5,H81=L$6,H81=L$7,H81=L$8,H81=L$9,H81=L$10,H81=L$11,H81=L$12,H81=L$13,H81=L$14),SottocategorieEntrate[[#Headers],[Varie Entrate]],IF(OR(H81=M$5,H81=M$6,H81=M$7,H81=M$8,H81=M$9,H81=M$10,H81=M$11,H81=M$12,H81=M$13,H81=M$14),SottocategorieEntrate[[#Headers],[Real Estate]],IF(OR(H81=N$5,H81=N$6,H81=N$7,H81=N$8,H81=N$9,H81=N$10,H81=N$11,H81=N$12,H81=N$13,H81=N$14),SottocategorieEntrate[[#Headers],[Other]],""))))))))))))</f>
        <v/>
      </c>
      <c r="J81" t="str">
        <f>IF(OR(Dati[[#This Row],[Categoria]]="Bollette",Dati[[#This Row],[Categoria]]="Conto &amp; Carte BNL",Dati[[#This Row],[Categoria]]="Prelievo",Dati[[#This Row],[Categoria]]="Affitto",Dati[[#This Row],[Categoria]]="BNL(Interessi Creditori)"),"Carta",IF(Dati[[#This Row],[Categoria]]&lt;&gt;0,"Cash",""))</f>
        <v/>
      </c>
      <c r="K81" s="59" t="str">
        <f>IF(OR(Data!$I81=SottocategorieUscite[[#Headers],[Fuori Casa]],Data!$I81=SottocategorieUscite[[#Headers],[Varie Uscite]],Data!$I81=SottocategorieUscite[[#Headers],[Personali]],Data!$I81=SottocategorieUscite[[#Headers],[Lavoro]]),"$ -","")</f>
        <v/>
      </c>
      <c r="L81" s="59" t="str">
        <f>IF(OR(Data!$I81=SottocategorieUscite[[#Headers],[Casa]],Data!$I81=SottocategorieUscite[[#Headers],[Utenze]],Data!$I81=SottocategorieUscite[[#Headers],[Business Uscite]],Data!$I81=SottocategorieUscite[[#Headers],[Banca]]),"$ -","")</f>
        <v/>
      </c>
      <c r="M81" s="59" t="str">
        <f>IF(OR($I81&lt;&gt;SottocategorieUscite[[#Headers],[Fuori Casa]],$I81&lt;&gt;SottocategorieUscite[[#Headers],[Varie Uscite]],$I81&lt;&gt;SottocategorieUscite[[#Headers],[Personali]],$I81&lt;&gt;SottocategorieUscite[[#Headers],[Lavoro]],$I81&lt;&gt;SottocategorieUscite[[#Headers],[Casa]],$I81&lt;&gt;SottocategorieUscite[[#Headers],[Utenze]],$I81&lt;&gt;SottocategorieUscite[[#Headers],[Business Uscite]],$I81&lt;&gt;SottocategorieUscite[[#Headers],[Banca]]),"","$ -")</f>
        <v/>
      </c>
      <c r="N81" s="59" t="str">
        <f>IF(OR(Data!$I81=SottocategorieEntrate[[#Headers],[Business Entrate]],Data!$I81=SottocategorieEntrate[[#Headers],[Varie Entrate]]),"$ -","")</f>
        <v/>
      </c>
      <c r="O81" s="59" t="str">
        <f>IF(OR(Data!$I81=SottocategorieEntrate[[#Headers],[Real Estate]],SottocategorieEntrate[[#Headers],[Other]]),"$ -","")</f>
        <v/>
      </c>
      <c r="P81" s="59" t="str">
        <f>IF(OR($I81&lt;&gt;SottocategorieEntrate[[#Headers],[Business Entrate]],$I81&lt;&gt;SottocategorieEntrate[[#Headers],[Varie Entrate]],$I81&lt;&gt;SottocategorieEntrate[[#Headers],[Real Estate]],$I81&lt;&gt;SottocategorieEntrate[[#Headers],[Other]]),"","$ -")</f>
        <v/>
      </c>
      <c r="Q81" s="59" t="str">
        <f>IF(Dati[[#This Row],[Categoria]]="Prelievo","€ -","")</f>
        <v/>
      </c>
      <c r="R81" s="244" t="str">
        <f t="shared" ca="1" si="2"/>
        <v/>
      </c>
      <c r="S81" s="59" t="str">
        <f>IF(Dati[[#This Row],[Categoria]]="Savings",0,"")</f>
        <v/>
      </c>
      <c r="T81" s="59"/>
      <c r="U81" s="59"/>
      <c r="V81" s="59"/>
      <c r="W81" s="59"/>
      <c r="X81" s="59"/>
      <c r="Y81" s="59"/>
      <c r="Z81" s="59"/>
      <c r="AA81" s="59"/>
      <c r="AB81" s="59"/>
      <c r="AC81" s="59"/>
      <c r="AD81" s="59"/>
      <c r="AE81" s="59"/>
      <c r="AF81" s="59"/>
      <c r="AG81" s="59"/>
      <c r="AH81" s="59"/>
      <c r="AI81" s="59" t="str">
        <f>IF(SUM(Dati[[#This Row],[Inv. Business]:[Inv. Cryptocurrency]])=0," ",SUM(Dati[[#This Row],[Inv. Business]:[Inv. Cryptocurrency]]))</f>
        <v xml:space="preserve"> </v>
      </c>
      <c r="AJ81" s="59"/>
      <c r="AK81" s="59" t="str">
        <f>IF(SUM(Dati[[#This Row],[Inv. Gold]:[Mutuo]])=0," ",SUM(Dati[[#This Row],[Inv. Gold]:[Mutuo]]))</f>
        <v xml:space="preserve"> </v>
      </c>
      <c r="AL81" s="59"/>
      <c r="AM81" s="59"/>
    </row>
    <row r="82" spans="2:39" ht="16" customHeight="1" x14ac:dyDescent="0.35">
      <c r="B82">
        <f t="shared" si="0"/>
        <v>62</v>
      </c>
      <c r="C82" s="49">
        <f t="shared" si="1"/>
        <v>44988</v>
      </c>
      <c r="D82" s="29">
        <f>DAY(Dati[[#This Row],[Data]])</f>
        <v>3</v>
      </c>
      <c r="E82" s="29" t="str">
        <f>IF(DAY(Data!$C$21:$C$1327)&gt;0,TEXT(Data!$C$21:$C$1327, "mmmm"),"")</f>
        <v>marzo</v>
      </c>
      <c r="F82" s="29" t="str">
        <f>IF(DAY(Data!$C$21:$C$1327)&gt;0,TEXT(Data!$C$21:$C$1327, "aaaa"),"")</f>
        <v>2023</v>
      </c>
      <c r="I82" t="str">
        <f>IF(OR(H82=$B$5,H82=$B$6,H82=$B$7,H82=$B$8,H82=$B$9,H82=$B$10,H82=$B$11,H82=$B$12,H82=$B$13,H82=$B$14),SottocategorieUscite[[#Headers],[Fuori Casa]],IF(OR(H82=$C$5,H82=$C$6,H82=$C$7,H82=$C$8,H82=$C$9,H82=$C$10,H82=$C$11,H82=$C$12,H82=$C$13,H82=$C$14),SottocategorieUscite[[#Headers],[Varie Uscite]],IF(OR(H82=$D$5,H82=$D$6,H82=$D$7,H82=$D$8,H82=$D$9,H82=$D$10,H82=$D$11,H82=$D$12,H82=$D$13,H82=$D$14),SottocategorieUscite[[#Headers],[Personali]],IF(OR(H82=$E$5,H82=$E$6,H82=$E$7,H82=$E$8,H82=$E$9,H82=$E$10,H82=$E$11,H82=$E$12,H82=$E$13,H82=$E$14),SottocategorieUscite[[#Headers],[Lavoro]],IF(OR(H82=$F$5,H82=$F$6,H82=$F$7,H82=$F$8,H82=$F$9,H82=$F$10,H82=$F$11,H82=$F$12,H82=$F$13,H82=$F$14),SottocategorieUscite[[#Headers],[Casa]],IF(OR(H82=$G$5,H82=$G$6,H82=$G$7,H82=$G$8,H82=$G$9,H82=$G$10,H82=$G$11,H82=$G$12,H82=$G$13,H82=$G$14),SottocategorieUscite[[#Headers],[Utenze]],IF(OR(H82=$H$5,H82=$H$6,H82=$H$7,H82=$H$8,H82=$H$9,H82=$H$10,H82=$H$11,H82=$H$12,H82=$H$13,H82=$H$14),SottocategorieUscite[[#Headers],[Business Uscite]],IF(OR(H82=$I$5,H82=$I$6,H82=$I$7,H82=$I$8,H82=$I$9,H82=$I$10,H82=$I$11,H82=$I$12,H82=$I$13,H82=$I$14),SottocategorieUscite[[#Headers],[Banca]],IF(OR(H82=K$5,H82=K$6,H82=K$7,H82=K$8,H82=K$9,H82=K$10,H82=K$11,H82=K$12,H82=K$13,H82=K$14),SottocategorieEntrate[[#Headers],[Business Entrate]],IF(OR(H82=L$5,H82=L$6,H82=L$7,H82=L$8,H82=L$9,H82=L$10,H82=L$11,H82=L$12,H82=L$13,H82=L$14),SottocategorieEntrate[[#Headers],[Varie Entrate]],IF(OR(H82=M$5,H82=M$6,H82=M$7,H82=M$8,H82=M$9,H82=M$10,H82=M$11,H82=M$12,H82=M$13,H82=M$14),SottocategorieEntrate[[#Headers],[Real Estate]],IF(OR(H82=N$5,H82=N$6,H82=N$7,H82=N$8,H82=N$9,H82=N$10,H82=N$11,H82=N$12,H82=N$13,H82=N$14),SottocategorieEntrate[[#Headers],[Other]],""))))))))))))</f>
        <v/>
      </c>
      <c r="J82" t="str">
        <f>IF(OR(Dati[[#This Row],[Categoria]]="Bollette",Dati[[#This Row],[Categoria]]="Conto &amp; Carte BNL",Dati[[#This Row],[Categoria]]="Prelievo",Dati[[#This Row],[Categoria]]="Affitto",Dati[[#This Row],[Categoria]]="BNL(Interessi Creditori)"),"Carta",IF(Dati[[#This Row],[Categoria]]&lt;&gt;0,"Cash",""))</f>
        <v/>
      </c>
      <c r="K82" s="59" t="str">
        <f>IF(OR(Data!$I82=SottocategorieUscite[[#Headers],[Fuori Casa]],Data!$I82=SottocategorieUscite[[#Headers],[Varie Uscite]],Data!$I82=SottocategorieUscite[[#Headers],[Personali]],Data!$I82=SottocategorieUscite[[#Headers],[Lavoro]]),"$ -","")</f>
        <v/>
      </c>
      <c r="L82" s="59" t="str">
        <f>IF(OR(Data!$I82=SottocategorieUscite[[#Headers],[Casa]],Data!$I82=SottocategorieUscite[[#Headers],[Utenze]],Data!$I82=SottocategorieUscite[[#Headers],[Business Uscite]],Data!$I82=SottocategorieUscite[[#Headers],[Banca]]),"$ -","")</f>
        <v/>
      </c>
      <c r="M82" s="59" t="str">
        <f>IF(OR($I82&lt;&gt;SottocategorieUscite[[#Headers],[Fuori Casa]],$I82&lt;&gt;SottocategorieUscite[[#Headers],[Varie Uscite]],$I82&lt;&gt;SottocategorieUscite[[#Headers],[Personali]],$I82&lt;&gt;SottocategorieUscite[[#Headers],[Lavoro]],$I82&lt;&gt;SottocategorieUscite[[#Headers],[Casa]],$I82&lt;&gt;SottocategorieUscite[[#Headers],[Utenze]],$I82&lt;&gt;SottocategorieUscite[[#Headers],[Business Uscite]],$I82&lt;&gt;SottocategorieUscite[[#Headers],[Banca]]),"","$ -")</f>
        <v/>
      </c>
      <c r="N82" s="59" t="str">
        <f>IF(OR(Data!$I82=SottocategorieEntrate[[#Headers],[Business Entrate]],Data!$I82=SottocategorieEntrate[[#Headers],[Varie Entrate]]),"$ -","")</f>
        <v/>
      </c>
      <c r="O82" s="59" t="str">
        <f>IF(OR(Data!$I82=SottocategorieEntrate[[#Headers],[Real Estate]],SottocategorieEntrate[[#Headers],[Other]]),"$ -","")</f>
        <v/>
      </c>
      <c r="P82" s="59" t="str">
        <f>IF(OR($I82&lt;&gt;SottocategorieEntrate[[#Headers],[Business Entrate]],$I82&lt;&gt;SottocategorieEntrate[[#Headers],[Varie Entrate]],$I82&lt;&gt;SottocategorieEntrate[[#Headers],[Real Estate]],$I82&lt;&gt;SottocategorieEntrate[[#Headers],[Other]]),"","$ -")</f>
        <v/>
      </c>
      <c r="Q82" s="59" t="str">
        <f>IF(Dati[[#This Row],[Categoria]]="Prelievo","€ -","")</f>
        <v/>
      </c>
      <c r="R82" s="244" t="str">
        <f t="shared" ca="1" si="2"/>
        <v/>
      </c>
      <c r="S82" s="59" t="str">
        <f>IF(Dati[[#This Row],[Categoria]]="Savings",0,"")</f>
        <v/>
      </c>
      <c r="T82" s="59"/>
      <c r="U82" s="59"/>
      <c r="V82" s="59"/>
      <c r="W82" s="59"/>
      <c r="X82" s="59"/>
      <c r="Y82" s="59"/>
      <c r="Z82" s="59"/>
      <c r="AA82" s="59"/>
      <c r="AB82" s="59"/>
      <c r="AC82" s="59"/>
      <c r="AD82" s="59"/>
      <c r="AE82" s="59"/>
      <c r="AF82" s="59"/>
      <c r="AG82" s="59"/>
      <c r="AH82" s="59"/>
      <c r="AI82" s="59" t="str">
        <f>IF(SUM(Dati[[#This Row],[Inv. Business]:[Inv. Cryptocurrency]])=0," ",SUM(Dati[[#This Row],[Inv. Business]:[Inv. Cryptocurrency]]))</f>
        <v xml:space="preserve"> </v>
      </c>
      <c r="AJ82" s="59"/>
      <c r="AK82" s="59" t="str">
        <f>IF(SUM(Dati[[#This Row],[Inv. Gold]:[Mutuo]])=0," ",SUM(Dati[[#This Row],[Inv. Gold]:[Mutuo]]))</f>
        <v xml:space="preserve"> </v>
      </c>
      <c r="AL82" s="59"/>
      <c r="AM82" s="59"/>
    </row>
    <row r="83" spans="2:39" ht="16" customHeight="1" x14ac:dyDescent="0.35">
      <c r="B83">
        <f t="shared" si="0"/>
        <v>63</v>
      </c>
      <c r="C83" s="49">
        <f t="shared" si="1"/>
        <v>44989</v>
      </c>
      <c r="D83" s="29">
        <f>DAY(Dati[[#This Row],[Data]])</f>
        <v>4</v>
      </c>
      <c r="E83" s="29" t="str">
        <f>IF(DAY(Data!$C$21:$C$1327)&gt;0,TEXT(Data!$C$21:$C$1327, "mmmm"),"")</f>
        <v>marzo</v>
      </c>
      <c r="F83" s="29" t="str">
        <f>IF(DAY(Data!$C$21:$C$1327)&gt;0,TEXT(Data!$C$21:$C$1327, "aaaa"),"")</f>
        <v>2023</v>
      </c>
      <c r="I83" t="str">
        <f>IF(OR(H83=$B$5,H83=$B$6,H83=$B$7,H83=$B$8,H83=$B$9,H83=$B$10,H83=$B$11,H83=$B$12,H83=$B$13,H83=$B$14),SottocategorieUscite[[#Headers],[Fuori Casa]],IF(OR(H83=$C$5,H83=$C$6,H83=$C$7,H83=$C$8,H83=$C$9,H83=$C$10,H83=$C$11,H83=$C$12,H83=$C$13,H83=$C$14),SottocategorieUscite[[#Headers],[Varie Uscite]],IF(OR(H83=$D$5,H83=$D$6,H83=$D$7,H83=$D$8,H83=$D$9,H83=$D$10,H83=$D$11,H83=$D$12,H83=$D$13,H83=$D$14),SottocategorieUscite[[#Headers],[Personali]],IF(OR(H83=$E$5,H83=$E$6,H83=$E$7,H83=$E$8,H83=$E$9,H83=$E$10,H83=$E$11,H83=$E$12,H83=$E$13,H83=$E$14),SottocategorieUscite[[#Headers],[Lavoro]],IF(OR(H83=$F$5,H83=$F$6,H83=$F$7,H83=$F$8,H83=$F$9,H83=$F$10,H83=$F$11,H83=$F$12,H83=$F$13,H83=$F$14),SottocategorieUscite[[#Headers],[Casa]],IF(OR(H83=$G$5,H83=$G$6,H83=$G$7,H83=$G$8,H83=$G$9,H83=$G$10,H83=$G$11,H83=$G$12,H83=$G$13,H83=$G$14),SottocategorieUscite[[#Headers],[Utenze]],IF(OR(H83=$H$5,H83=$H$6,H83=$H$7,H83=$H$8,H83=$H$9,H83=$H$10,H83=$H$11,H83=$H$12,H83=$H$13,H83=$H$14),SottocategorieUscite[[#Headers],[Business Uscite]],IF(OR(H83=$I$5,H83=$I$6,H83=$I$7,H83=$I$8,H83=$I$9,H83=$I$10,H83=$I$11,H83=$I$12,H83=$I$13,H83=$I$14),SottocategorieUscite[[#Headers],[Banca]],IF(OR(H83=K$5,H83=K$6,H83=K$7,H83=K$8,H83=K$9,H83=K$10,H83=K$11,H83=K$12,H83=K$13,H83=K$14),SottocategorieEntrate[[#Headers],[Business Entrate]],IF(OR(H83=L$5,H83=L$6,H83=L$7,H83=L$8,H83=L$9,H83=L$10,H83=L$11,H83=L$12,H83=L$13,H83=L$14),SottocategorieEntrate[[#Headers],[Varie Entrate]],IF(OR(H83=M$5,H83=M$6,H83=M$7,H83=M$8,H83=M$9,H83=M$10,H83=M$11,H83=M$12,H83=M$13,H83=M$14),SottocategorieEntrate[[#Headers],[Real Estate]],IF(OR(H83=N$5,H83=N$6,H83=N$7,H83=N$8,H83=N$9,H83=N$10,H83=N$11,H83=N$12,H83=N$13,H83=N$14),SottocategorieEntrate[[#Headers],[Other]],""))))))))))))</f>
        <v/>
      </c>
      <c r="J83" t="str">
        <f>IF(OR(Dati[[#This Row],[Categoria]]="Bollette",Dati[[#This Row],[Categoria]]="Conto &amp; Carte BNL",Dati[[#This Row],[Categoria]]="Prelievo",Dati[[#This Row],[Categoria]]="Affitto",Dati[[#This Row],[Categoria]]="BNL(Interessi Creditori)"),"Carta",IF(Dati[[#This Row],[Categoria]]&lt;&gt;0,"Cash",""))</f>
        <v/>
      </c>
      <c r="K83" s="59" t="str">
        <f>IF(OR(Data!$I83=SottocategorieUscite[[#Headers],[Fuori Casa]],Data!$I83=SottocategorieUscite[[#Headers],[Varie Uscite]],Data!$I83=SottocategorieUscite[[#Headers],[Personali]],Data!$I83=SottocategorieUscite[[#Headers],[Lavoro]]),"$ -","")</f>
        <v/>
      </c>
      <c r="L83" s="59" t="str">
        <f>IF(OR(Data!$I83=SottocategorieUscite[[#Headers],[Casa]],Data!$I83=SottocategorieUscite[[#Headers],[Utenze]],Data!$I83=SottocategorieUscite[[#Headers],[Business Uscite]],Data!$I83=SottocategorieUscite[[#Headers],[Banca]]),"$ -","")</f>
        <v/>
      </c>
      <c r="M83" s="59" t="str">
        <f>IF(OR($I83&lt;&gt;SottocategorieUscite[[#Headers],[Fuori Casa]],$I83&lt;&gt;SottocategorieUscite[[#Headers],[Varie Uscite]],$I83&lt;&gt;SottocategorieUscite[[#Headers],[Personali]],$I83&lt;&gt;SottocategorieUscite[[#Headers],[Lavoro]],$I83&lt;&gt;SottocategorieUscite[[#Headers],[Casa]],$I83&lt;&gt;SottocategorieUscite[[#Headers],[Utenze]],$I83&lt;&gt;SottocategorieUscite[[#Headers],[Business Uscite]],$I83&lt;&gt;SottocategorieUscite[[#Headers],[Banca]]),"","$ -")</f>
        <v/>
      </c>
      <c r="N83" s="59" t="str">
        <f>IF(OR(Data!$I83=SottocategorieEntrate[[#Headers],[Business Entrate]],Data!$I83=SottocategorieEntrate[[#Headers],[Varie Entrate]]),"$ -","")</f>
        <v/>
      </c>
      <c r="O83" s="59" t="str">
        <f>IF(OR(Data!$I83=SottocategorieEntrate[[#Headers],[Real Estate]],SottocategorieEntrate[[#Headers],[Other]]),"$ -","")</f>
        <v/>
      </c>
      <c r="P83" s="59" t="str">
        <f>IF(OR($I83&lt;&gt;SottocategorieEntrate[[#Headers],[Business Entrate]],$I83&lt;&gt;SottocategorieEntrate[[#Headers],[Varie Entrate]],$I83&lt;&gt;SottocategorieEntrate[[#Headers],[Real Estate]],$I83&lt;&gt;SottocategorieEntrate[[#Headers],[Other]]),"","$ -")</f>
        <v/>
      </c>
      <c r="Q83" s="59" t="str">
        <f>IF(Dati[[#This Row],[Categoria]]="Prelievo","€ -","")</f>
        <v/>
      </c>
      <c r="R83" s="244" t="str">
        <f t="shared" ca="1" si="2"/>
        <v/>
      </c>
      <c r="S83" s="59" t="str">
        <f>IF(Dati[[#This Row],[Categoria]]="Savings",0,"")</f>
        <v/>
      </c>
      <c r="T83" s="59"/>
      <c r="U83" s="59"/>
      <c r="V83" s="59"/>
      <c r="W83" s="59"/>
      <c r="X83" s="59"/>
      <c r="Y83" s="59"/>
      <c r="Z83" s="59"/>
      <c r="AA83" s="59"/>
      <c r="AB83" s="59"/>
      <c r="AC83" s="59"/>
      <c r="AD83" s="59"/>
      <c r="AE83" s="59"/>
      <c r="AF83" s="59"/>
      <c r="AG83" s="59"/>
      <c r="AH83" s="59"/>
      <c r="AI83" s="59" t="str">
        <f>IF(SUM(Dati[[#This Row],[Inv. Business]:[Inv. Cryptocurrency]])=0," ",SUM(Dati[[#This Row],[Inv. Business]:[Inv. Cryptocurrency]]))</f>
        <v xml:space="preserve"> </v>
      </c>
      <c r="AJ83" s="59"/>
      <c r="AK83" s="59" t="str">
        <f>IF(SUM(Dati[[#This Row],[Inv. Gold]:[Mutuo]])=0," ",SUM(Dati[[#This Row],[Inv. Gold]:[Mutuo]]))</f>
        <v xml:space="preserve"> </v>
      </c>
      <c r="AL83" s="59"/>
      <c r="AM83" s="59"/>
    </row>
    <row r="84" spans="2:39" ht="16" customHeight="1" x14ac:dyDescent="0.35">
      <c r="B84">
        <f t="shared" si="0"/>
        <v>64</v>
      </c>
      <c r="C84" s="49">
        <f t="shared" si="1"/>
        <v>44990</v>
      </c>
      <c r="D84" s="29">
        <f>DAY(Dati[[#This Row],[Data]])</f>
        <v>5</v>
      </c>
      <c r="E84" s="29" t="str">
        <f>IF(DAY(Data!$C$21:$C$1327)&gt;0,TEXT(Data!$C$21:$C$1327, "mmmm"),"")</f>
        <v>marzo</v>
      </c>
      <c r="F84" s="29" t="str">
        <f>IF(DAY(Data!$C$21:$C$1327)&gt;0,TEXT(Data!$C$21:$C$1327, "aaaa"),"")</f>
        <v>2023</v>
      </c>
      <c r="I84" t="str">
        <f>IF(OR(H84=$B$5,H84=$B$6,H84=$B$7,H84=$B$8,H84=$B$9,H84=$B$10,H84=$B$11,H84=$B$12,H84=$B$13,H84=$B$14),SottocategorieUscite[[#Headers],[Fuori Casa]],IF(OR(H84=$C$5,H84=$C$6,H84=$C$7,H84=$C$8,H84=$C$9,H84=$C$10,H84=$C$11,H84=$C$12,H84=$C$13,H84=$C$14),SottocategorieUscite[[#Headers],[Varie Uscite]],IF(OR(H84=$D$5,H84=$D$6,H84=$D$7,H84=$D$8,H84=$D$9,H84=$D$10,H84=$D$11,H84=$D$12,H84=$D$13,H84=$D$14),SottocategorieUscite[[#Headers],[Personali]],IF(OR(H84=$E$5,H84=$E$6,H84=$E$7,H84=$E$8,H84=$E$9,H84=$E$10,H84=$E$11,H84=$E$12,H84=$E$13,H84=$E$14),SottocategorieUscite[[#Headers],[Lavoro]],IF(OR(H84=$F$5,H84=$F$6,H84=$F$7,H84=$F$8,H84=$F$9,H84=$F$10,H84=$F$11,H84=$F$12,H84=$F$13,H84=$F$14),SottocategorieUscite[[#Headers],[Casa]],IF(OR(H84=$G$5,H84=$G$6,H84=$G$7,H84=$G$8,H84=$G$9,H84=$G$10,H84=$G$11,H84=$G$12,H84=$G$13,H84=$G$14),SottocategorieUscite[[#Headers],[Utenze]],IF(OR(H84=$H$5,H84=$H$6,H84=$H$7,H84=$H$8,H84=$H$9,H84=$H$10,H84=$H$11,H84=$H$12,H84=$H$13,H84=$H$14),SottocategorieUscite[[#Headers],[Business Uscite]],IF(OR(H84=$I$5,H84=$I$6,H84=$I$7,H84=$I$8,H84=$I$9,H84=$I$10,H84=$I$11,H84=$I$12,H84=$I$13,H84=$I$14),SottocategorieUscite[[#Headers],[Banca]],IF(OR(H84=K$5,H84=K$6,H84=K$7,H84=K$8,H84=K$9,H84=K$10,H84=K$11,H84=K$12,H84=K$13,H84=K$14),SottocategorieEntrate[[#Headers],[Business Entrate]],IF(OR(H84=L$5,H84=L$6,H84=L$7,H84=L$8,H84=L$9,H84=L$10,H84=L$11,H84=L$12,H84=L$13,H84=L$14),SottocategorieEntrate[[#Headers],[Varie Entrate]],IF(OR(H84=M$5,H84=M$6,H84=M$7,H84=M$8,H84=M$9,H84=M$10,H84=M$11,H84=M$12,H84=M$13,H84=M$14),SottocategorieEntrate[[#Headers],[Real Estate]],IF(OR(H84=N$5,H84=N$6,H84=N$7,H84=N$8,H84=N$9,H84=N$10,H84=N$11,H84=N$12,H84=N$13,H84=N$14),SottocategorieEntrate[[#Headers],[Other]],""))))))))))))</f>
        <v/>
      </c>
      <c r="J84" t="str">
        <f>IF(OR(Dati[[#This Row],[Categoria]]="Bollette",Dati[[#This Row],[Categoria]]="Conto &amp; Carte BNL",Dati[[#This Row],[Categoria]]="Prelievo",Dati[[#This Row],[Categoria]]="Affitto",Dati[[#This Row],[Categoria]]="BNL(Interessi Creditori)"),"Carta",IF(Dati[[#This Row],[Categoria]]&lt;&gt;0,"Cash",""))</f>
        <v/>
      </c>
      <c r="K84" s="59" t="str">
        <f>IF(OR(Data!$I84=SottocategorieUscite[[#Headers],[Fuori Casa]],Data!$I84=SottocategorieUscite[[#Headers],[Varie Uscite]],Data!$I84=SottocategorieUscite[[#Headers],[Personali]],Data!$I84=SottocategorieUscite[[#Headers],[Lavoro]]),"$ -","")</f>
        <v/>
      </c>
      <c r="L84" s="59" t="str">
        <f>IF(OR(Data!$I84=SottocategorieUscite[[#Headers],[Casa]],Data!$I84=SottocategorieUscite[[#Headers],[Utenze]],Data!$I84=SottocategorieUscite[[#Headers],[Business Uscite]],Data!$I84=SottocategorieUscite[[#Headers],[Banca]]),"$ -","")</f>
        <v/>
      </c>
      <c r="M84" s="59" t="str">
        <f>IF(OR($I84&lt;&gt;SottocategorieUscite[[#Headers],[Fuori Casa]],$I84&lt;&gt;SottocategorieUscite[[#Headers],[Varie Uscite]],$I84&lt;&gt;SottocategorieUscite[[#Headers],[Personali]],$I84&lt;&gt;SottocategorieUscite[[#Headers],[Lavoro]],$I84&lt;&gt;SottocategorieUscite[[#Headers],[Casa]],$I84&lt;&gt;SottocategorieUscite[[#Headers],[Utenze]],$I84&lt;&gt;SottocategorieUscite[[#Headers],[Business Uscite]],$I84&lt;&gt;SottocategorieUscite[[#Headers],[Banca]]),"","$ -")</f>
        <v/>
      </c>
      <c r="N84" s="59" t="str">
        <f>IF(OR(Data!$I84=SottocategorieEntrate[[#Headers],[Business Entrate]],Data!$I84=SottocategorieEntrate[[#Headers],[Varie Entrate]]),"$ -","")</f>
        <v/>
      </c>
      <c r="O84" s="59" t="str">
        <f>IF(OR(Data!$I84=SottocategorieEntrate[[#Headers],[Real Estate]],SottocategorieEntrate[[#Headers],[Other]]),"$ -","")</f>
        <v/>
      </c>
      <c r="P84" s="59" t="str">
        <f>IF(OR($I84&lt;&gt;SottocategorieEntrate[[#Headers],[Business Entrate]],$I84&lt;&gt;SottocategorieEntrate[[#Headers],[Varie Entrate]],$I84&lt;&gt;SottocategorieEntrate[[#Headers],[Real Estate]],$I84&lt;&gt;SottocategorieEntrate[[#Headers],[Other]]),"","$ -")</f>
        <v/>
      </c>
      <c r="Q84" s="59" t="str">
        <f>IF(Dati[[#This Row],[Categoria]]="Prelievo","€ -","")</f>
        <v/>
      </c>
      <c r="R84" s="244" t="str">
        <f t="shared" ca="1" si="2"/>
        <v/>
      </c>
      <c r="S84" s="59" t="str">
        <f>IF(Dati[[#This Row],[Categoria]]="Savings",0,"")</f>
        <v/>
      </c>
      <c r="T84" s="59"/>
      <c r="U84" s="59"/>
      <c r="V84" s="59"/>
      <c r="W84" s="59"/>
      <c r="X84" s="59"/>
      <c r="Y84" s="59"/>
      <c r="Z84" s="59"/>
      <c r="AA84" s="59"/>
      <c r="AB84" s="59"/>
      <c r="AC84" s="59"/>
      <c r="AD84" s="59"/>
      <c r="AE84" s="59"/>
      <c r="AF84" s="59"/>
      <c r="AG84" s="59"/>
      <c r="AH84" s="59"/>
      <c r="AI84" s="59" t="str">
        <f>IF(SUM(Dati[[#This Row],[Inv. Business]:[Inv. Cryptocurrency]])=0," ",SUM(Dati[[#This Row],[Inv. Business]:[Inv. Cryptocurrency]]))</f>
        <v xml:space="preserve"> </v>
      </c>
      <c r="AJ84" s="59"/>
      <c r="AK84" s="59" t="str">
        <f>IF(SUM(Dati[[#This Row],[Inv. Gold]:[Mutuo]])=0," ",SUM(Dati[[#This Row],[Inv. Gold]:[Mutuo]]))</f>
        <v xml:space="preserve"> </v>
      </c>
      <c r="AL84" s="59"/>
      <c r="AM84" s="59"/>
    </row>
    <row r="85" spans="2:39" ht="16" customHeight="1" x14ac:dyDescent="0.35">
      <c r="B85">
        <f t="shared" ref="B85:B148" si="3">ROW(65:65)</f>
        <v>65</v>
      </c>
      <c r="C85" s="49">
        <f t="shared" si="1"/>
        <v>44991</v>
      </c>
      <c r="D85" s="29">
        <f>DAY(Dati[[#This Row],[Data]])</f>
        <v>6</v>
      </c>
      <c r="E85" s="29" t="str">
        <f>IF(DAY(Data!$C$21:$C$1327)&gt;0,TEXT(Data!$C$21:$C$1327, "mmmm"),"")</f>
        <v>marzo</v>
      </c>
      <c r="F85" s="29" t="str">
        <f>IF(DAY(Data!$C$21:$C$1327)&gt;0,TEXT(Data!$C$21:$C$1327, "aaaa"),"")</f>
        <v>2023</v>
      </c>
      <c r="I85" t="str">
        <f>IF(OR(H85=$B$5,H85=$B$6,H85=$B$7,H85=$B$8,H85=$B$9,H85=$B$10,H85=$B$11,H85=$B$12,H85=$B$13,H85=$B$14),SottocategorieUscite[[#Headers],[Fuori Casa]],IF(OR(H85=$C$5,H85=$C$6,H85=$C$7,H85=$C$8,H85=$C$9,H85=$C$10,H85=$C$11,H85=$C$12,H85=$C$13,H85=$C$14),SottocategorieUscite[[#Headers],[Varie Uscite]],IF(OR(H85=$D$5,H85=$D$6,H85=$D$7,H85=$D$8,H85=$D$9,H85=$D$10,H85=$D$11,H85=$D$12,H85=$D$13,H85=$D$14),SottocategorieUscite[[#Headers],[Personali]],IF(OR(H85=$E$5,H85=$E$6,H85=$E$7,H85=$E$8,H85=$E$9,H85=$E$10,H85=$E$11,H85=$E$12,H85=$E$13,H85=$E$14),SottocategorieUscite[[#Headers],[Lavoro]],IF(OR(H85=$F$5,H85=$F$6,H85=$F$7,H85=$F$8,H85=$F$9,H85=$F$10,H85=$F$11,H85=$F$12,H85=$F$13,H85=$F$14),SottocategorieUscite[[#Headers],[Casa]],IF(OR(H85=$G$5,H85=$G$6,H85=$G$7,H85=$G$8,H85=$G$9,H85=$G$10,H85=$G$11,H85=$G$12,H85=$G$13,H85=$G$14),SottocategorieUscite[[#Headers],[Utenze]],IF(OR(H85=$H$5,H85=$H$6,H85=$H$7,H85=$H$8,H85=$H$9,H85=$H$10,H85=$H$11,H85=$H$12,H85=$H$13,H85=$H$14),SottocategorieUscite[[#Headers],[Business Uscite]],IF(OR(H85=$I$5,H85=$I$6,H85=$I$7,H85=$I$8,H85=$I$9,H85=$I$10,H85=$I$11,H85=$I$12,H85=$I$13,H85=$I$14),SottocategorieUscite[[#Headers],[Banca]],IF(OR(H85=K$5,H85=K$6,H85=K$7,H85=K$8,H85=K$9,H85=K$10,H85=K$11,H85=K$12,H85=K$13,H85=K$14),SottocategorieEntrate[[#Headers],[Business Entrate]],IF(OR(H85=L$5,H85=L$6,H85=L$7,H85=L$8,H85=L$9,H85=L$10,H85=L$11,H85=L$12,H85=L$13,H85=L$14),SottocategorieEntrate[[#Headers],[Varie Entrate]],IF(OR(H85=M$5,H85=M$6,H85=M$7,H85=M$8,H85=M$9,H85=M$10,H85=M$11,H85=M$12,H85=M$13,H85=M$14),SottocategorieEntrate[[#Headers],[Real Estate]],IF(OR(H85=N$5,H85=N$6,H85=N$7,H85=N$8,H85=N$9,H85=N$10,H85=N$11,H85=N$12,H85=N$13,H85=N$14),SottocategorieEntrate[[#Headers],[Other]],""))))))))))))</f>
        <v/>
      </c>
      <c r="J85" t="str">
        <f>IF(OR(Dati[[#This Row],[Categoria]]="Bollette",Dati[[#This Row],[Categoria]]="Conto &amp; Carte BNL",Dati[[#This Row],[Categoria]]="Prelievo",Dati[[#This Row],[Categoria]]="Affitto",Dati[[#This Row],[Categoria]]="BNL(Interessi Creditori)"),"Carta",IF(Dati[[#This Row],[Categoria]]&lt;&gt;0,"Cash",""))</f>
        <v/>
      </c>
      <c r="K85" s="59" t="str">
        <f>IF(OR(Data!$I85=SottocategorieUscite[[#Headers],[Fuori Casa]],Data!$I85=SottocategorieUscite[[#Headers],[Varie Uscite]],Data!$I85=SottocategorieUscite[[#Headers],[Personali]],Data!$I85=SottocategorieUscite[[#Headers],[Lavoro]]),"$ -","")</f>
        <v/>
      </c>
      <c r="L85" s="59" t="str">
        <f>IF(OR(Data!$I85=SottocategorieUscite[[#Headers],[Casa]],Data!$I85=SottocategorieUscite[[#Headers],[Utenze]],Data!$I85=SottocategorieUscite[[#Headers],[Business Uscite]],Data!$I85=SottocategorieUscite[[#Headers],[Banca]]),"$ -","")</f>
        <v/>
      </c>
      <c r="M85" s="59" t="str">
        <f>IF(OR($I85&lt;&gt;SottocategorieUscite[[#Headers],[Fuori Casa]],$I85&lt;&gt;SottocategorieUscite[[#Headers],[Varie Uscite]],$I85&lt;&gt;SottocategorieUscite[[#Headers],[Personali]],$I85&lt;&gt;SottocategorieUscite[[#Headers],[Lavoro]],$I85&lt;&gt;SottocategorieUscite[[#Headers],[Casa]],$I85&lt;&gt;SottocategorieUscite[[#Headers],[Utenze]],$I85&lt;&gt;SottocategorieUscite[[#Headers],[Business Uscite]],$I85&lt;&gt;SottocategorieUscite[[#Headers],[Banca]]),"","$ -")</f>
        <v/>
      </c>
      <c r="N85" s="59" t="str">
        <f>IF(OR(Data!$I85=SottocategorieEntrate[[#Headers],[Business Entrate]],Data!$I85=SottocategorieEntrate[[#Headers],[Varie Entrate]]),"$ -","")</f>
        <v/>
      </c>
      <c r="O85" s="59" t="str">
        <f>IF(OR(Data!$I85=SottocategorieEntrate[[#Headers],[Real Estate]],SottocategorieEntrate[[#Headers],[Other]]),"$ -","")</f>
        <v/>
      </c>
      <c r="P85" s="59" t="str">
        <f>IF(OR($I85&lt;&gt;SottocategorieEntrate[[#Headers],[Business Entrate]],$I85&lt;&gt;SottocategorieEntrate[[#Headers],[Varie Entrate]],$I85&lt;&gt;SottocategorieEntrate[[#Headers],[Real Estate]],$I85&lt;&gt;SottocategorieEntrate[[#Headers],[Other]]),"","$ -")</f>
        <v/>
      </c>
      <c r="Q85" s="59" t="str">
        <f>IF(Dati[[#This Row],[Categoria]]="Prelievo","€ -","")</f>
        <v/>
      </c>
      <c r="R85" s="244" t="str">
        <f t="shared" ca="1" si="2"/>
        <v/>
      </c>
      <c r="S85" s="59" t="str">
        <f>IF(Dati[[#This Row],[Categoria]]="Savings",0,"")</f>
        <v/>
      </c>
      <c r="T85" s="59"/>
      <c r="U85" s="59"/>
      <c r="V85" s="59"/>
      <c r="W85" s="59"/>
      <c r="X85" s="59"/>
      <c r="Y85" s="59"/>
      <c r="Z85" s="59"/>
      <c r="AA85" s="59"/>
      <c r="AB85" s="59"/>
      <c r="AC85" s="59"/>
      <c r="AD85" s="59"/>
      <c r="AE85" s="59"/>
      <c r="AF85" s="59"/>
      <c r="AG85" s="59"/>
      <c r="AH85" s="59"/>
      <c r="AI85" s="59" t="str">
        <f>IF(SUM(Dati[[#This Row],[Inv. Business]:[Inv. Cryptocurrency]])=0," ",SUM(Dati[[#This Row],[Inv. Business]:[Inv. Cryptocurrency]]))</f>
        <v xml:space="preserve"> </v>
      </c>
      <c r="AJ85" s="59"/>
      <c r="AK85" s="59" t="str">
        <f>IF(SUM(Dati[[#This Row],[Inv. Gold]:[Mutuo]])=0," ",SUM(Dati[[#This Row],[Inv. Gold]:[Mutuo]]))</f>
        <v xml:space="preserve"> </v>
      </c>
      <c r="AL85" s="59"/>
      <c r="AM85" s="59"/>
    </row>
    <row r="86" spans="2:39" ht="16" customHeight="1" x14ac:dyDescent="0.35">
      <c r="B86">
        <f t="shared" si="3"/>
        <v>66</v>
      </c>
      <c r="C86" s="49">
        <f t="shared" si="1"/>
        <v>44992</v>
      </c>
      <c r="D86" s="29">
        <f>DAY(Dati[[#This Row],[Data]])</f>
        <v>7</v>
      </c>
      <c r="E86" s="29" t="str">
        <f>IF(DAY(Data!$C$21:$C$1327)&gt;0,TEXT(Data!$C$21:$C$1327, "mmmm"),"")</f>
        <v>marzo</v>
      </c>
      <c r="F86" s="29" t="str">
        <f>IF(DAY(Data!$C$21:$C$1327)&gt;0,TEXT(Data!$C$21:$C$1327, "aaaa"),"")</f>
        <v>2023</v>
      </c>
      <c r="I86" t="str">
        <f>IF(OR(H86=$B$5,H86=$B$6,H86=$B$7,H86=$B$8,H86=$B$9,H86=$B$10,H86=$B$11,H86=$B$12,H86=$B$13,H86=$B$14),SottocategorieUscite[[#Headers],[Fuori Casa]],IF(OR(H86=$C$5,H86=$C$6,H86=$C$7,H86=$C$8,H86=$C$9,H86=$C$10,H86=$C$11,H86=$C$12,H86=$C$13,H86=$C$14),SottocategorieUscite[[#Headers],[Varie Uscite]],IF(OR(H86=$D$5,H86=$D$6,H86=$D$7,H86=$D$8,H86=$D$9,H86=$D$10,H86=$D$11,H86=$D$12,H86=$D$13,H86=$D$14),SottocategorieUscite[[#Headers],[Personali]],IF(OR(H86=$E$5,H86=$E$6,H86=$E$7,H86=$E$8,H86=$E$9,H86=$E$10,H86=$E$11,H86=$E$12,H86=$E$13,H86=$E$14),SottocategorieUscite[[#Headers],[Lavoro]],IF(OR(H86=$F$5,H86=$F$6,H86=$F$7,H86=$F$8,H86=$F$9,H86=$F$10,H86=$F$11,H86=$F$12,H86=$F$13,H86=$F$14),SottocategorieUscite[[#Headers],[Casa]],IF(OR(H86=$G$5,H86=$G$6,H86=$G$7,H86=$G$8,H86=$G$9,H86=$G$10,H86=$G$11,H86=$G$12,H86=$G$13,H86=$G$14),SottocategorieUscite[[#Headers],[Utenze]],IF(OR(H86=$H$5,H86=$H$6,H86=$H$7,H86=$H$8,H86=$H$9,H86=$H$10,H86=$H$11,H86=$H$12,H86=$H$13,H86=$H$14),SottocategorieUscite[[#Headers],[Business Uscite]],IF(OR(H86=$I$5,H86=$I$6,H86=$I$7,H86=$I$8,H86=$I$9,H86=$I$10,H86=$I$11,H86=$I$12,H86=$I$13,H86=$I$14),SottocategorieUscite[[#Headers],[Banca]],IF(OR(H86=K$5,H86=K$6,H86=K$7,H86=K$8,H86=K$9,H86=K$10,H86=K$11,H86=K$12,H86=K$13,H86=K$14),SottocategorieEntrate[[#Headers],[Business Entrate]],IF(OR(H86=L$5,H86=L$6,H86=L$7,H86=L$8,H86=L$9,H86=L$10,H86=L$11,H86=L$12,H86=L$13,H86=L$14),SottocategorieEntrate[[#Headers],[Varie Entrate]],IF(OR(H86=M$5,H86=M$6,H86=M$7,H86=M$8,H86=M$9,H86=M$10,H86=M$11,H86=M$12,H86=M$13,H86=M$14),SottocategorieEntrate[[#Headers],[Real Estate]],IF(OR(H86=N$5,H86=N$6,H86=N$7,H86=N$8,H86=N$9,H86=N$10,H86=N$11,H86=N$12,H86=N$13,H86=N$14),SottocategorieEntrate[[#Headers],[Other]],""))))))))))))</f>
        <v/>
      </c>
      <c r="J86" t="str">
        <f>IF(OR(Dati[[#This Row],[Categoria]]="Bollette",Dati[[#This Row],[Categoria]]="Conto &amp; Carte BNL",Dati[[#This Row],[Categoria]]="Prelievo",Dati[[#This Row],[Categoria]]="Affitto",Dati[[#This Row],[Categoria]]="BNL(Interessi Creditori)"),"Carta",IF(Dati[[#This Row],[Categoria]]&lt;&gt;0,"Cash",""))</f>
        <v/>
      </c>
      <c r="K86" s="59" t="str">
        <f>IF(OR(Data!$I86=SottocategorieUscite[[#Headers],[Fuori Casa]],Data!$I86=SottocategorieUscite[[#Headers],[Varie Uscite]],Data!$I86=SottocategorieUscite[[#Headers],[Personali]],Data!$I86=SottocategorieUscite[[#Headers],[Lavoro]]),"$ -","")</f>
        <v/>
      </c>
      <c r="L86" s="59" t="str">
        <f>IF(OR(Data!$I86=SottocategorieUscite[[#Headers],[Casa]],Data!$I86=SottocategorieUscite[[#Headers],[Utenze]],Data!$I86=SottocategorieUscite[[#Headers],[Business Uscite]],Data!$I86=SottocategorieUscite[[#Headers],[Banca]]),"$ -","")</f>
        <v/>
      </c>
      <c r="M86" s="59" t="str">
        <f>IF(OR($I86&lt;&gt;SottocategorieUscite[[#Headers],[Fuori Casa]],$I86&lt;&gt;SottocategorieUscite[[#Headers],[Varie Uscite]],$I86&lt;&gt;SottocategorieUscite[[#Headers],[Personali]],$I86&lt;&gt;SottocategorieUscite[[#Headers],[Lavoro]],$I86&lt;&gt;SottocategorieUscite[[#Headers],[Casa]],$I86&lt;&gt;SottocategorieUscite[[#Headers],[Utenze]],$I86&lt;&gt;SottocategorieUscite[[#Headers],[Business Uscite]],$I86&lt;&gt;SottocategorieUscite[[#Headers],[Banca]]),"","$ -")</f>
        <v/>
      </c>
      <c r="N86" s="59" t="str">
        <f>IF(OR(Data!$I86=SottocategorieEntrate[[#Headers],[Business Entrate]],Data!$I86=SottocategorieEntrate[[#Headers],[Varie Entrate]]),"$ -","")</f>
        <v/>
      </c>
      <c r="O86" s="59" t="str">
        <f>IF(OR(Data!$I86=SottocategorieEntrate[[#Headers],[Real Estate]],SottocategorieEntrate[[#Headers],[Other]]),"$ -","")</f>
        <v/>
      </c>
      <c r="P86" s="59" t="str">
        <f>IF(OR($I86&lt;&gt;SottocategorieEntrate[[#Headers],[Business Entrate]],$I86&lt;&gt;SottocategorieEntrate[[#Headers],[Varie Entrate]],$I86&lt;&gt;SottocategorieEntrate[[#Headers],[Real Estate]],$I86&lt;&gt;SottocategorieEntrate[[#Headers],[Other]]),"","$ -")</f>
        <v/>
      </c>
      <c r="Q86" s="59" t="str">
        <f>IF(Dati[[#This Row],[Categoria]]="Prelievo","€ -","")</f>
        <v/>
      </c>
      <c r="R86" s="244" t="str">
        <f t="shared" ca="1" si="2"/>
        <v/>
      </c>
      <c r="S86" s="59" t="str">
        <f>IF(Dati[[#This Row],[Categoria]]="Savings",0,"")</f>
        <v/>
      </c>
      <c r="T86" s="59"/>
      <c r="U86" s="59"/>
      <c r="V86" s="59"/>
      <c r="W86" s="59"/>
      <c r="X86" s="59"/>
      <c r="Y86" s="59"/>
      <c r="Z86" s="59"/>
      <c r="AA86" s="59"/>
      <c r="AB86" s="59"/>
      <c r="AC86" s="59"/>
      <c r="AD86" s="59"/>
      <c r="AE86" s="59"/>
      <c r="AF86" s="59"/>
      <c r="AG86" s="59"/>
      <c r="AH86" s="59"/>
      <c r="AI86" s="59" t="str">
        <f>IF(SUM(Dati[[#This Row],[Inv. Business]:[Inv. Cryptocurrency]])=0," ",SUM(Dati[[#This Row],[Inv. Business]:[Inv. Cryptocurrency]]))</f>
        <v xml:space="preserve"> </v>
      </c>
      <c r="AJ86" s="59"/>
      <c r="AK86" s="59" t="str">
        <f>IF(SUM(Dati[[#This Row],[Inv. Gold]:[Mutuo]])=0," ",SUM(Dati[[#This Row],[Inv. Gold]:[Mutuo]]))</f>
        <v xml:space="preserve"> </v>
      </c>
      <c r="AL86" s="59"/>
      <c r="AM86" s="59"/>
    </row>
    <row r="87" spans="2:39" ht="16" customHeight="1" x14ac:dyDescent="0.35">
      <c r="B87">
        <f t="shared" si="3"/>
        <v>67</v>
      </c>
      <c r="C87" s="49">
        <f t="shared" ref="C87:C150" si="4">C86+1</f>
        <v>44993</v>
      </c>
      <c r="D87" s="29">
        <f>DAY(Dati[[#This Row],[Data]])</f>
        <v>8</v>
      </c>
      <c r="E87" s="29" t="str">
        <f>IF(DAY(Data!$C$21:$C$1327)&gt;0,TEXT(Data!$C$21:$C$1327, "mmmm"),"")</f>
        <v>marzo</v>
      </c>
      <c r="F87" s="29" t="str">
        <f>IF(DAY(Data!$C$21:$C$1327)&gt;0,TEXT(Data!$C$21:$C$1327, "aaaa"),"")</f>
        <v>2023</v>
      </c>
      <c r="I87" t="str">
        <f>IF(OR(H87=$B$5,H87=$B$6,H87=$B$7,H87=$B$8,H87=$B$9,H87=$B$10,H87=$B$11,H87=$B$12,H87=$B$13,H87=$B$14),SottocategorieUscite[[#Headers],[Fuori Casa]],IF(OR(H87=$C$5,H87=$C$6,H87=$C$7,H87=$C$8,H87=$C$9,H87=$C$10,H87=$C$11,H87=$C$12,H87=$C$13,H87=$C$14),SottocategorieUscite[[#Headers],[Varie Uscite]],IF(OR(H87=$D$5,H87=$D$6,H87=$D$7,H87=$D$8,H87=$D$9,H87=$D$10,H87=$D$11,H87=$D$12,H87=$D$13,H87=$D$14),SottocategorieUscite[[#Headers],[Personali]],IF(OR(H87=$E$5,H87=$E$6,H87=$E$7,H87=$E$8,H87=$E$9,H87=$E$10,H87=$E$11,H87=$E$12,H87=$E$13,H87=$E$14),SottocategorieUscite[[#Headers],[Lavoro]],IF(OR(H87=$F$5,H87=$F$6,H87=$F$7,H87=$F$8,H87=$F$9,H87=$F$10,H87=$F$11,H87=$F$12,H87=$F$13,H87=$F$14),SottocategorieUscite[[#Headers],[Casa]],IF(OR(H87=$G$5,H87=$G$6,H87=$G$7,H87=$G$8,H87=$G$9,H87=$G$10,H87=$G$11,H87=$G$12,H87=$G$13,H87=$G$14),SottocategorieUscite[[#Headers],[Utenze]],IF(OR(H87=$H$5,H87=$H$6,H87=$H$7,H87=$H$8,H87=$H$9,H87=$H$10,H87=$H$11,H87=$H$12,H87=$H$13,H87=$H$14),SottocategorieUscite[[#Headers],[Business Uscite]],IF(OR(H87=$I$5,H87=$I$6,H87=$I$7,H87=$I$8,H87=$I$9,H87=$I$10,H87=$I$11,H87=$I$12,H87=$I$13,H87=$I$14),SottocategorieUscite[[#Headers],[Banca]],IF(OR(H87=K$5,H87=K$6,H87=K$7,H87=K$8,H87=K$9,H87=K$10,H87=K$11,H87=K$12,H87=K$13,H87=K$14),SottocategorieEntrate[[#Headers],[Business Entrate]],IF(OR(H87=L$5,H87=L$6,H87=L$7,H87=L$8,H87=L$9,H87=L$10,H87=L$11,H87=L$12,H87=L$13,H87=L$14),SottocategorieEntrate[[#Headers],[Varie Entrate]],IF(OR(H87=M$5,H87=M$6,H87=M$7,H87=M$8,H87=M$9,H87=M$10,H87=M$11,H87=M$12,H87=M$13,H87=M$14),SottocategorieEntrate[[#Headers],[Real Estate]],IF(OR(H87=N$5,H87=N$6,H87=N$7,H87=N$8,H87=N$9,H87=N$10,H87=N$11,H87=N$12,H87=N$13,H87=N$14),SottocategorieEntrate[[#Headers],[Other]],""))))))))))))</f>
        <v/>
      </c>
      <c r="J87" t="str">
        <f>IF(OR(Dati[[#This Row],[Categoria]]="Bollette",Dati[[#This Row],[Categoria]]="Conto &amp; Carte BNL",Dati[[#This Row],[Categoria]]="Prelievo",Dati[[#This Row],[Categoria]]="Affitto",Dati[[#This Row],[Categoria]]="BNL(Interessi Creditori)"),"Carta",IF(Dati[[#This Row],[Categoria]]&lt;&gt;0,"Cash",""))</f>
        <v/>
      </c>
      <c r="K87" s="59" t="str">
        <f>IF(OR(Data!$I87=SottocategorieUscite[[#Headers],[Fuori Casa]],Data!$I87=SottocategorieUscite[[#Headers],[Varie Uscite]],Data!$I87=SottocategorieUscite[[#Headers],[Personali]],Data!$I87=SottocategorieUscite[[#Headers],[Lavoro]]),"$ -","")</f>
        <v/>
      </c>
      <c r="L87" s="59" t="str">
        <f>IF(OR(Data!$I87=SottocategorieUscite[[#Headers],[Casa]],Data!$I87=SottocategorieUscite[[#Headers],[Utenze]],Data!$I87=SottocategorieUscite[[#Headers],[Business Uscite]],Data!$I87=SottocategorieUscite[[#Headers],[Banca]]),"$ -","")</f>
        <v/>
      </c>
      <c r="M87" s="59" t="str">
        <f>IF(OR($I87&lt;&gt;SottocategorieUscite[[#Headers],[Fuori Casa]],$I87&lt;&gt;SottocategorieUscite[[#Headers],[Varie Uscite]],$I87&lt;&gt;SottocategorieUscite[[#Headers],[Personali]],$I87&lt;&gt;SottocategorieUscite[[#Headers],[Lavoro]],$I87&lt;&gt;SottocategorieUscite[[#Headers],[Casa]],$I87&lt;&gt;SottocategorieUscite[[#Headers],[Utenze]],$I87&lt;&gt;SottocategorieUscite[[#Headers],[Business Uscite]],$I87&lt;&gt;SottocategorieUscite[[#Headers],[Banca]]),"","$ -")</f>
        <v/>
      </c>
      <c r="N87" s="59" t="str">
        <f>IF(OR(Data!$I87=SottocategorieEntrate[[#Headers],[Business Entrate]],Data!$I87=SottocategorieEntrate[[#Headers],[Varie Entrate]]),"$ -","")</f>
        <v/>
      </c>
      <c r="O87" s="59" t="str">
        <f>IF(OR(Data!$I87=SottocategorieEntrate[[#Headers],[Real Estate]],SottocategorieEntrate[[#Headers],[Other]]),"$ -","")</f>
        <v/>
      </c>
      <c r="P87" s="59" t="str">
        <f>IF(OR($I87&lt;&gt;SottocategorieEntrate[[#Headers],[Business Entrate]],$I87&lt;&gt;SottocategorieEntrate[[#Headers],[Varie Entrate]],$I87&lt;&gt;SottocategorieEntrate[[#Headers],[Real Estate]],$I87&lt;&gt;SottocategorieEntrate[[#Headers],[Other]]),"","$ -")</f>
        <v/>
      </c>
      <c r="Q87" s="59" t="str">
        <f>IF(Dati[[#This Row],[Categoria]]="Prelievo","€ -","")</f>
        <v/>
      </c>
      <c r="R87" s="244" t="str">
        <f t="shared" ref="R87:R150" ca="1" si="5">IF(I87="","",IF(AND(I87&lt;&gt;"",COUNTBLANK(OFFSET(R87,-15,0,15,1))=15),SUM(OFFSET(R87,-16,0)+SUM(N87:P87)-SUM(K87:M87)),IF(AND(I87&lt;&gt;"",COUNTBLANK(OFFSET(R87,-14,0,14,1))=14),SUM(OFFSET(R87,-15,0)+SUM(N87:P87)-SUM(K87:M87)),IF(AND(I87&lt;&gt;"",COUNTBLANK(OFFSET(R87,-13,0,13,1))=13),SUM(OFFSET(R87,-14,0)+SUM(N87:P87)-SUM(K87:M87)),IF(AND(I87&lt;&gt;"",COUNTBLANK(OFFSET(R87,-12,0,12,1))=12),SUM(OFFSET(R87,-13,0)+SUM(N87:P87)-SUM(K87:M87)),IF(AND(I87&lt;&gt;"",COUNTBLANK(OFFSET(R87,-11,0,11,1))=11),SUM(OFFSET(R87,-12,0)+SUM(N87:P87)-SUM(K87:M87)),IF(AND(I87&lt;&gt;"",COUNTBLANK(OFFSET(R87,-10,0,10,1))=10),SUM(OFFSET(R87,-11,0)+SUM(N87:P87)-SUM(K87:M87)),IF(AND(I87&lt;&gt;"",COUNTBLANK(OFFSET(R87,-9,0,9,1))=9),SUM(OFFSET(R87,-10,0)+SUM(N87:P87)-SUM(K87:M87)),IF(AND(I87&lt;&gt;"",COUNTBLANK(OFFSET(R87,-8,0,8,1))=8),SUM(OFFSET(R87,-9,0)+SUM(N87:P87)-SUM(K87:M87)),IF(AND(I87&lt;&gt;"",COUNTBLANK(OFFSET(R87,-7,0,7,1))=7),SUM(OFFSET(R87,-8,0)+SUM(N87:P87)-SUM(K87:M87)),IF(AND(I87&lt;&gt;"",COUNTBLANK(OFFSET(R87,-6,0,6,1))=6),SUM(OFFSET(R87,-7,0)+SUM(N87:P87)-SUM(K87:M87)),IF(AND(I87&lt;&gt;"",COUNTBLANK(OFFSET(R87,-5,0,5,1))=5),SUM(OFFSET(R87,-6,0)+SUM(N87:P87)-SUM(K87:M87)),IF(AND(I87&lt;&gt;"",COUNTBLANK(OFFSET(R87,-4,0,4,1))=4),SUM(OFFSET(R87,-5,0)+SUM(N87:P87)-SUM(K87:M87)),IF(AND(I87&lt;&gt;"",COUNTBLANK(OFFSET(R87,-3,0,3,1))=3),SUM(OFFSET(R87,-4,0)+SUM(N87:P87)-SUM(K87:M87)),IF(AND(I87&lt;&gt;"",COUNTBLANK(OFFSET(R87,-2,0,2,1))=2),SUM(OFFSET(R87,-3,0)+SUM(N87:P87)-SUM(K87:M87)),IF(AND(I87&lt;&gt;"",COUNTBLANK(OFFSET(R87,-1,0,1,1))=1),SUM(OFFSET(R87,-2,0)+SUM(N87:P87)-SUM(K87:M87)),IF(AND(I87&lt;&gt;"",OFFSET(R87,-1,0)&gt;0),SUM(OFFSET(R87,-1,0)+SUM(N87:P87)-SUM(K87:M87)))))))))))))))))))</f>
        <v/>
      </c>
      <c r="S87" s="59" t="str">
        <f>IF(Dati[[#This Row],[Categoria]]="Savings",0,"")</f>
        <v/>
      </c>
      <c r="T87" s="59"/>
      <c r="U87" s="59"/>
      <c r="V87" s="59"/>
      <c r="W87" s="59"/>
      <c r="X87" s="59"/>
      <c r="Y87" s="59"/>
      <c r="Z87" s="59"/>
      <c r="AA87" s="59"/>
      <c r="AB87" s="59"/>
      <c r="AC87" s="59"/>
      <c r="AD87" s="59"/>
      <c r="AE87" s="59"/>
      <c r="AF87" s="59"/>
      <c r="AG87" s="59"/>
      <c r="AH87" s="59"/>
      <c r="AI87" s="59" t="str">
        <f>IF(SUM(Dati[[#This Row],[Inv. Business]:[Inv. Cryptocurrency]])=0," ",SUM(Dati[[#This Row],[Inv. Business]:[Inv. Cryptocurrency]]))</f>
        <v xml:space="preserve"> </v>
      </c>
      <c r="AJ87" s="59"/>
      <c r="AK87" s="59" t="str">
        <f>IF(SUM(Dati[[#This Row],[Inv. Gold]:[Mutuo]])=0," ",SUM(Dati[[#This Row],[Inv. Gold]:[Mutuo]]))</f>
        <v xml:space="preserve"> </v>
      </c>
      <c r="AL87" s="59"/>
      <c r="AM87" s="59"/>
    </row>
    <row r="88" spans="2:39" ht="16" customHeight="1" x14ac:dyDescent="0.35">
      <c r="B88">
        <f t="shared" si="3"/>
        <v>68</v>
      </c>
      <c r="C88" s="49">
        <f t="shared" si="4"/>
        <v>44994</v>
      </c>
      <c r="D88" s="29">
        <f>DAY(Dati[[#This Row],[Data]])</f>
        <v>9</v>
      </c>
      <c r="E88" s="29" t="str">
        <f>IF(DAY(Data!$C$21:$C$1327)&gt;0,TEXT(Data!$C$21:$C$1327, "mmmm"),"")</f>
        <v>marzo</v>
      </c>
      <c r="F88" s="29" t="str">
        <f>IF(DAY(Data!$C$21:$C$1327)&gt;0,TEXT(Data!$C$21:$C$1327, "aaaa"),"")</f>
        <v>2023</v>
      </c>
      <c r="I88" t="str">
        <f>IF(OR(H88=$B$5,H88=$B$6,H88=$B$7,H88=$B$8,H88=$B$9,H88=$B$10,H88=$B$11,H88=$B$12,H88=$B$13,H88=$B$14),SottocategorieUscite[[#Headers],[Fuori Casa]],IF(OR(H88=$C$5,H88=$C$6,H88=$C$7,H88=$C$8,H88=$C$9,H88=$C$10,H88=$C$11,H88=$C$12,H88=$C$13,H88=$C$14),SottocategorieUscite[[#Headers],[Varie Uscite]],IF(OR(H88=$D$5,H88=$D$6,H88=$D$7,H88=$D$8,H88=$D$9,H88=$D$10,H88=$D$11,H88=$D$12,H88=$D$13,H88=$D$14),SottocategorieUscite[[#Headers],[Personali]],IF(OR(H88=$E$5,H88=$E$6,H88=$E$7,H88=$E$8,H88=$E$9,H88=$E$10,H88=$E$11,H88=$E$12,H88=$E$13,H88=$E$14),SottocategorieUscite[[#Headers],[Lavoro]],IF(OR(H88=$F$5,H88=$F$6,H88=$F$7,H88=$F$8,H88=$F$9,H88=$F$10,H88=$F$11,H88=$F$12,H88=$F$13,H88=$F$14),SottocategorieUscite[[#Headers],[Casa]],IF(OR(H88=$G$5,H88=$G$6,H88=$G$7,H88=$G$8,H88=$G$9,H88=$G$10,H88=$G$11,H88=$G$12,H88=$G$13,H88=$G$14),SottocategorieUscite[[#Headers],[Utenze]],IF(OR(H88=$H$5,H88=$H$6,H88=$H$7,H88=$H$8,H88=$H$9,H88=$H$10,H88=$H$11,H88=$H$12,H88=$H$13,H88=$H$14),SottocategorieUscite[[#Headers],[Business Uscite]],IF(OR(H88=$I$5,H88=$I$6,H88=$I$7,H88=$I$8,H88=$I$9,H88=$I$10,H88=$I$11,H88=$I$12,H88=$I$13,H88=$I$14),SottocategorieUscite[[#Headers],[Banca]],IF(OR(H88=K$5,H88=K$6,H88=K$7,H88=K$8,H88=K$9,H88=K$10,H88=K$11,H88=K$12,H88=K$13,H88=K$14),SottocategorieEntrate[[#Headers],[Business Entrate]],IF(OR(H88=L$5,H88=L$6,H88=L$7,H88=L$8,H88=L$9,H88=L$10,H88=L$11,H88=L$12,H88=L$13,H88=L$14),SottocategorieEntrate[[#Headers],[Varie Entrate]],IF(OR(H88=M$5,H88=M$6,H88=M$7,H88=M$8,H88=M$9,H88=M$10,H88=M$11,H88=M$12,H88=M$13,H88=M$14),SottocategorieEntrate[[#Headers],[Real Estate]],IF(OR(H88=N$5,H88=N$6,H88=N$7,H88=N$8,H88=N$9,H88=N$10,H88=N$11,H88=N$12,H88=N$13,H88=N$14),SottocategorieEntrate[[#Headers],[Other]],""))))))))))))</f>
        <v/>
      </c>
      <c r="J88" t="str">
        <f>IF(OR(Dati[[#This Row],[Categoria]]="Bollette",Dati[[#This Row],[Categoria]]="Conto &amp; Carte BNL",Dati[[#This Row],[Categoria]]="Prelievo",Dati[[#This Row],[Categoria]]="Affitto",Dati[[#This Row],[Categoria]]="BNL(Interessi Creditori)"),"Carta",IF(Dati[[#This Row],[Categoria]]&lt;&gt;0,"Cash",""))</f>
        <v/>
      </c>
      <c r="K88" s="59" t="str">
        <f>IF(OR(Data!$I88=SottocategorieUscite[[#Headers],[Fuori Casa]],Data!$I88=SottocategorieUscite[[#Headers],[Varie Uscite]],Data!$I88=SottocategorieUscite[[#Headers],[Personali]],Data!$I88=SottocategorieUscite[[#Headers],[Lavoro]]),"$ -","")</f>
        <v/>
      </c>
      <c r="L88" s="59" t="str">
        <f>IF(OR(Data!$I88=SottocategorieUscite[[#Headers],[Casa]],Data!$I88=SottocategorieUscite[[#Headers],[Utenze]],Data!$I88=SottocategorieUscite[[#Headers],[Business Uscite]],Data!$I88=SottocategorieUscite[[#Headers],[Banca]]),"$ -","")</f>
        <v/>
      </c>
      <c r="M88" s="59" t="str">
        <f>IF(OR($I88&lt;&gt;SottocategorieUscite[[#Headers],[Fuori Casa]],$I88&lt;&gt;SottocategorieUscite[[#Headers],[Varie Uscite]],$I88&lt;&gt;SottocategorieUscite[[#Headers],[Personali]],$I88&lt;&gt;SottocategorieUscite[[#Headers],[Lavoro]],$I88&lt;&gt;SottocategorieUscite[[#Headers],[Casa]],$I88&lt;&gt;SottocategorieUscite[[#Headers],[Utenze]],$I88&lt;&gt;SottocategorieUscite[[#Headers],[Business Uscite]],$I88&lt;&gt;SottocategorieUscite[[#Headers],[Banca]]),"","$ -")</f>
        <v/>
      </c>
      <c r="N88" s="59" t="str">
        <f>IF(OR(Data!$I88=SottocategorieEntrate[[#Headers],[Business Entrate]],Data!$I88=SottocategorieEntrate[[#Headers],[Varie Entrate]]),"$ -","")</f>
        <v/>
      </c>
      <c r="O88" s="59" t="str">
        <f>IF(OR(Data!$I88=SottocategorieEntrate[[#Headers],[Real Estate]],SottocategorieEntrate[[#Headers],[Other]]),"$ -","")</f>
        <v/>
      </c>
      <c r="P88" s="59" t="str">
        <f>IF(OR($I88&lt;&gt;SottocategorieEntrate[[#Headers],[Business Entrate]],$I88&lt;&gt;SottocategorieEntrate[[#Headers],[Varie Entrate]],$I88&lt;&gt;SottocategorieEntrate[[#Headers],[Real Estate]],$I88&lt;&gt;SottocategorieEntrate[[#Headers],[Other]]),"","$ -")</f>
        <v/>
      </c>
      <c r="Q88" s="59" t="str">
        <f>IF(Dati[[#This Row],[Categoria]]="Prelievo","€ -","")</f>
        <v/>
      </c>
      <c r="R88" s="244" t="str">
        <f t="shared" ca="1" si="5"/>
        <v/>
      </c>
      <c r="S88" s="59" t="str">
        <f>IF(Dati[[#This Row],[Categoria]]="Savings",0,"")</f>
        <v/>
      </c>
      <c r="T88" s="59"/>
      <c r="U88" s="59"/>
      <c r="V88" s="59"/>
      <c r="W88" s="59"/>
      <c r="X88" s="59"/>
      <c r="Y88" s="59"/>
      <c r="Z88" s="59"/>
      <c r="AA88" s="59"/>
      <c r="AB88" s="59"/>
      <c r="AC88" s="59"/>
      <c r="AD88" s="59"/>
      <c r="AE88" s="59"/>
      <c r="AF88" s="59"/>
      <c r="AG88" s="59"/>
      <c r="AH88" s="59"/>
      <c r="AI88" s="59" t="str">
        <f>IF(SUM(Dati[[#This Row],[Inv. Business]:[Inv. Cryptocurrency]])=0," ",SUM(Dati[[#This Row],[Inv. Business]:[Inv. Cryptocurrency]]))</f>
        <v xml:space="preserve"> </v>
      </c>
      <c r="AJ88" s="59"/>
      <c r="AK88" s="59" t="str">
        <f>IF(SUM(Dati[[#This Row],[Inv. Gold]:[Mutuo]])=0," ",SUM(Dati[[#This Row],[Inv. Gold]:[Mutuo]]))</f>
        <v xml:space="preserve"> </v>
      </c>
      <c r="AL88" s="59"/>
      <c r="AM88" s="59"/>
    </row>
    <row r="89" spans="2:39" ht="16" customHeight="1" x14ac:dyDescent="0.35">
      <c r="B89">
        <f t="shared" si="3"/>
        <v>69</v>
      </c>
      <c r="C89" s="49">
        <f t="shared" si="4"/>
        <v>44995</v>
      </c>
      <c r="D89" s="29">
        <f>DAY(Dati[[#This Row],[Data]])</f>
        <v>10</v>
      </c>
      <c r="E89" s="29" t="str">
        <f>IF(DAY(Data!$C$21:$C$1327)&gt;0,TEXT(Data!$C$21:$C$1327, "mmmm"),"")</f>
        <v>marzo</v>
      </c>
      <c r="F89" s="29" t="str">
        <f>IF(DAY(Data!$C$21:$C$1327)&gt;0,TEXT(Data!$C$21:$C$1327, "aaaa"),"")</f>
        <v>2023</v>
      </c>
      <c r="I89" t="str">
        <f>IF(OR(H89=$B$5,H89=$B$6,H89=$B$7,H89=$B$8,H89=$B$9,H89=$B$10,H89=$B$11,H89=$B$12,H89=$B$13,H89=$B$14),SottocategorieUscite[[#Headers],[Fuori Casa]],IF(OR(H89=$C$5,H89=$C$6,H89=$C$7,H89=$C$8,H89=$C$9,H89=$C$10,H89=$C$11,H89=$C$12,H89=$C$13,H89=$C$14),SottocategorieUscite[[#Headers],[Varie Uscite]],IF(OR(H89=$D$5,H89=$D$6,H89=$D$7,H89=$D$8,H89=$D$9,H89=$D$10,H89=$D$11,H89=$D$12,H89=$D$13,H89=$D$14),SottocategorieUscite[[#Headers],[Personali]],IF(OR(H89=$E$5,H89=$E$6,H89=$E$7,H89=$E$8,H89=$E$9,H89=$E$10,H89=$E$11,H89=$E$12,H89=$E$13,H89=$E$14),SottocategorieUscite[[#Headers],[Lavoro]],IF(OR(H89=$F$5,H89=$F$6,H89=$F$7,H89=$F$8,H89=$F$9,H89=$F$10,H89=$F$11,H89=$F$12,H89=$F$13,H89=$F$14),SottocategorieUscite[[#Headers],[Casa]],IF(OR(H89=$G$5,H89=$G$6,H89=$G$7,H89=$G$8,H89=$G$9,H89=$G$10,H89=$G$11,H89=$G$12,H89=$G$13,H89=$G$14),SottocategorieUscite[[#Headers],[Utenze]],IF(OR(H89=$H$5,H89=$H$6,H89=$H$7,H89=$H$8,H89=$H$9,H89=$H$10,H89=$H$11,H89=$H$12,H89=$H$13,H89=$H$14),SottocategorieUscite[[#Headers],[Business Uscite]],IF(OR(H89=$I$5,H89=$I$6,H89=$I$7,H89=$I$8,H89=$I$9,H89=$I$10,H89=$I$11,H89=$I$12,H89=$I$13,H89=$I$14),SottocategorieUscite[[#Headers],[Banca]],IF(OR(H89=K$5,H89=K$6,H89=K$7,H89=K$8,H89=K$9,H89=K$10,H89=K$11,H89=K$12,H89=K$13,H89=K$14),SottocategorieEntrate[[#Headers],[Business Entrate]],IF(OR(H89=L$5,H89=L$6,H89=L$7,H89=L$8,H89=L$9,H89=L$10,H89=L$11,H89=L$12,H89=L$13,H89=L$14),SottocategorieEntrate[[#Headers],[Varie Entrate]],IF(OR(H89=M$5,H89=M$6,H89=M$7,H89=M$8,H89=M$9,H89=M$10,H89=M$11,H89=M$12,H89=M$13,H89=M$14),SottocategorieEntrate[[#Headers],[Real Estate]],IF(OR(H89=N$5,H89=N$6,H89=N$7,H89=N$8,H89=N$9,H89=N$10,H89=N$11,H89=N$12,H89=N$13,H89=N$14),SottocategorieEntrate[[#Headers],[Other]],""))))))))))))</f>
        <v/>
      </c>
      <c r="J89" t="str">
        <f>IF(OR(Dati[[#This Row],[Categoria]]="Bollette",Dati[[#This Row],[Categoria]]="Conto &amp; Carte BNL",Dati[[#This Row],[Categoria]]="Prelievo",Dati[[#This Row],[Categoria]]="Affitto",Dati[[#This Row],[Categoria]]="BNL(Interessi Creditori)"),"Carta",IF(Dati[[#This Row],[Categoria]]&lt;&gt;0,"Cash",""))</f>
        <v/>
      </c>
      <c r="K89" s="59" t="str">
        <f>IF(OR(Data!$I89=SottocategorieUscite[[#Headers],[Fuori Casa]],Data!$I89=SottocategorieUscite[[#Headers],[Varie Uscite]],Data!$I89=SottocategorieUscite[[#Headers],[Personali]],Data!$I89=SottocategorieUscite[[#Headers],[Lavoro]]),"$ -","")</f>
        <v/>
      </c>
      <c r="L89" s="59" t="str">
        <f>IF(OR(Data!$I89=SottocategorieUscite[[#Headers],[Casa]],Data!$I89=SottocategorieUscite[[#Headers],[Utenze]],Data!$I89=SottocategorieUscite[[#Headers],[Business Uscite]],Data!$I89=SottocategorieUscite[[#Headers],[Banca]]),"$ -","")</f>
        <v/>
      </c>
      <c r="M89" s="59" t="str">
        <f>IF(OR($I89&lt;&gt;SottocategorieUscite[[#Headers],[Fuori Casa]],$I89&lt;&gt;SottocategorieUscite[[#Headers],[Varie Uscite]],$I89&lt;&gt;SottocategorieUscite[[#Headers],[Personali]],$I89&lt;&gt;SottocategorieUscite[[#Headers],[Lavoro]],$I89&lt;&gt;SottocategorieUscite[[#Headers],[Casa]],$I89&lt;&gt;SottocategorieUscite[[#Headers],[Utenze]],$I89&lt;&gt;SottocategorieUscite[[#Headers],[Business Uscite]],$I89&lt;&gt;SottocategorieUscite[[#Headers],[Banca]]),"","$ -")</f>
        <v/>
      </c>
      <c r="N89" s="59" t="str">
        <f>IF(OR(Data!$I89=SottocategorieEntrate[[#Headers],[Business Entrate]],Data!$I89=SottocategorieEntrate[[#Headers],[Varie Entrate]]),"$ -","")</f>
        <v/>
      </c>
      <c r="O89" s="59" t="str">
        <f>IF(OR(Data!$I89=SottocategorieEntrate[[#Headers],[Real Estate]],SottocategorieEntrate[[#Headers],[Other]]),"$ -","")</f>
        <v/>
      </c>
      <c r="P89" s="59" t="str">
        <f>IF(OR($I89&lt;&gt;SottocategorieEntrate[[#Headers],[Business Entrate]],$I89&lt;&gt;SottocategorieEntrate[[#Headers],[Varie Entrate]],$I89&lt;&gt;SottocategorieEntrate[[#Headers],[Real Estate]],$I89&lt;&gt;SottocategorieEntrate[[#Headers],[Other]]),"","$ -")</f>
        <v/>
      </c>
      <c r="Q89" s="59" t="str">
        <f>IF(Dati[[#This Row],[Categoria]]="Prelievo","€ -","")</f>
        <v/>
      </c>
      <c r="R89" s="244" t="str">
        <f t="shared" ca="1" si="5"/>
        <v/>
      </c>
      <c r="S89" s="59" t="str">
        <f>IF(Dati[[#This Row],[Categoria]]="Savings",0,"")</f>
        <v/>
      </c>
      <c r="T89" s="59"/>
      <c r="U89" s="59"/>
      <c r="V89" s="59"/>
      <c r="W89" s="59"/>
      <c r="X89" s="59"/>
      <c r="Y89" s="59"/>
      <c r="Z89" s="59"/>
      <c r="AA89" s="59"/>
      <c r="AB89" s="59"/>
      <c r="AC89" s="59"/>
      <c r="AD89" s="59"/>
      <c r="AE89" s="59"/>
      <c r="AF89" s="59"/>
      <c r="AG89" s="59"/>
      <c r="AH89" s="59"/>
      <c r="AI89" s="59" t="str">
        <f>IF(SUM(Dati[[#This Row],[Inv. Business]:[Inv. Cryptocurrency]])=0," ",SUM(Dati[[#This Row],[Inv. Business]:[Inv. Cryptocurrency]]))</f>
        <v xml:space="preserve"> </v>
      </c>
      <c r="AJ89" s="59"/>
      <c r="AK89" s="59" t="str">
        <f>IF(SUM(Dati[[#This Row],[Inv. Gold]:[Mutuo]])=0," ",SUM(Dati[[#This Row],[Inv. Gold]:[Mutuo]]))</f>
        <v xml:space="preserve"> </v>
      </c>
      <c r="AL89" s="59"/>
      <c r="AM89" s="59"/>
    </row>
    <row r="90" spans="2:39" ht="16" customHeight="1" x14ac:dyDescent="0.35">
      <c r="B90">
        <f t="shared" si="3"/>
        <v>70</v>
      </c>
      <c r="C90" s="49">
        <f t="shared" si="4"/>
        <v>44996</v>
      </c>
      <c r="D90" s="29">
        <f>DAY(Dati[[#This Row],[Data]])</f>
        <v>11</v>
      </c>
      <c r="E90" s="29" t="str">
        <f>IF(DAY(Data!$C$21:$C$1327)&gt;0,TEXT(Data!$C$21:$C$1327, "mmmm"),"")</f>
        <v>marzo</v>
      </c>
      <c r="F90" s="29" t="str">
        <f>IF(DAY(Data!$C$21:$C$1327)&gt;0,TEXT(Data!$C$21:$C$1327, "aaaa"),"")</f>
        <v>2023</v>
      </c>
      <c r="I90" t="str">
        <f>IF(OR(H90=$B$5,H90=$B$6,H90=$B$7,H90=$B$8,H90=$B$9,H90=$B$10,H90=$B$11,H90=$B$12,H90=$B$13,H90=$B$14),SottocategorieUscite[[#Headers],[Fuori Casa]],IF(OR(H90=$C$5,H90=$C$6,H90=$C$7,H90=$C$8,H90=$C$9,H90=$C$10,H90=$C$11,H90=$C$12,H90=$C$13,H90=$C$14),SottocategorieUscite[[#Headers],[Varie Uscite]],IF(OR(H90=$D$5,H90=$D$6,H90=$D$7,H90=$D$8,H90=$D$9,H90=$D$10,H90=$D$11,H90=$D$12,H90=$D$13,H90=$D$14),SottocategorieUscite[[#Headers],[Personali]],IF(OR(H90=$E$5,H90=$E$6,H90=$E$7,H90=$E$8,H90=$E$9,H90=$E$10,H90=$E$11,H90=$E$12,H90=$E$13,H90=$E$14),SottocategorieUscite[[#Headers],[Lavoro]],IF(OR(H90=$F$5,H90=$F$6,H90=$F$7,H90=$F$8,H90=$F$9,H90=$F$10,H90=$F$11,H90=$F$12,H90=$F$13,H90=$F$14),SottocategorieUscite[[#Headers],[Casa]],IF(OR(H90=$G$5,H90=$G$6,H90=$G$7,H90=$G$8,H90=$G$9,H90=$G$10,H90=$G$11,H90=$G$12,H90=$G$13,H90=$G$14),SottocategorieUscite[[#Headers],[Utenze]],IF(OR(H90=$H$5,H90=$H$6,H90=$H$7,H90=$H$8,H90=$H$9,H90=$H$10,H90=$H$11,H90=$H$12,H90=$H$13,H90=$H$14),SottocategorieUscite[[#Headers],[Business Uscite]],IF(OR(H90=$I$5,H90=$I$6,H90=$I$7,H90=$I$8,H90=$I$9,H90=$I$10,H90=$I$11,H90=$I$12,H90=$I$13,H90=$I$14),SottocategorieUscite[[#Headers],[Banca]],IF(OR(H90=K$5,H90=K$6,H90=K$7,H90=K$8,H90=K$9,H90=K$10,H90=K$11,H90=K$12,H90=K$13,H90=K$14),SottocategorieEntrate[[#Headers],[Business Entrate]],IF(OR(H90=L$5,H90=L$6,H90=L$7,H90=L$8,H90=L$9,H90=L$10,H90=L$11,H90=L$12,H90=L$13,H90=L$14),SottocategorieEntrate[[#Headers],[Varie Entrate]],IF(OR(H90=M$5,H90=M$6,H90=M$7,H90=M$8,H90=M$9,H90=M$10,H90=M$11,H90=M$12,H90=M$13,H90=M$14),SottocategorieEntrate[[#Headers],[Real Estate]],IF(OR(H90=N$5,H90=N$6,H90=N$7,H90=N$8,H90=N$9,H90=N$10,H90=N$11,H90=N$12,H90=N$13,H90=N$14),SottocategorieEntrate[[#Headers],[Other]],""))))))))))))</f>
        <v/>
      </c>
      <c r="J90" t="str">
        <f>IF(OR(Dati[[#This Row],[Categoria]]="Bollette",Dati[[#This Row],[Categoria]]="Conto &amp; Carte BNL",Dati[[#This Row],[Categoria]]="Prelievo",Dati[[#This Row],[Categoria]]="Affitto",Dati[[#This Row],[Categoria]]="BNL(Interessi Creditori)"),"Carta",IF(Dati[[#This Row],[Categoria]]&lt;&gt;0,"Cash",""))</f>
        <v/>
      </c>
      <c r="K90" s="59" t="str">
        <f>IF(OR(Data!$I90=SottocategorieUscite[[#Headers],[Fuori Casa]],Data!$I90=SottocategorieUscite[[#Headers],[Varie Uscite]],Data!$I90=SottocategorieUscite[[#Headers],[Personali]],Data!$I90=SottocategorieUscite[[#Headers],[Lavoro]]),"$ -","")</f>
        <v/>
      </c>
      <c r="L90" s="59" t="str">
        <f>IF(OR(Data!$I90=SottocategorieUscite[[#Headers],[Casa]],Data!$I90=SottocategorieUscite[[#Headers],[Utenze]],Data!$I90=SottocategorieUscite[[#Headers],[Business Uscite]],Data!$I90=SottocategorieUscite[[#Headers],[Banca]]),"$ -","")</f>
        <v/>
      </c>
      <c r="M90" s="59" t="str">
        <f>IF(OR($I90&lt;&gt;SottocategorieUscite[[#Headers],[Fuori Casa]],$I90&lt;&gt;SottocategorieUscite[[#Headers],[Varie Uscite]],$I90&lt;&gt;SottocategorieUscite[[#Headers],[Personali]],$I90&lt;&gt;SottocategorieUscite[[#Headers],[Lavoro]],$I90&lt;&gt;SottocategorieUscite[[#Headers],[Casa]],$I90&lt;&gt;SottocategorieUscite[[#Headers],[Utenze]],$I90&lt;&gt;SottocategorieUscite[[#Headers],[Business Uscite]],$I90&lt;&gt;SottocategorieUscite[[#Headers],[Banca]]),"","$ -")</f>
        <v/>
      </c>
      <c r="N90" s="59" t="str">
        <f>IF(OR(Data!$I90=SottocategorieEntrate[[#Headers],[Business Entrate]],Data!$I90=SottocategorieEntrate[[#Headers],[Varie Entrate]]),"$ -","")</f>
        <v/>
      </c>
      <c r="O90" s="59" t="str">
        <f>IF(OR(Data!$I90=SottocategorieEntrate[[#Headers],[Real Estate]],SottocategorieEntrate[[#Headers],[Other]]),"$ -","")</f>
        <v/>
      </c>
      <c r="P90" s="59" t="str">
        <f>IF(OR($I90&lt;&gt;SottocategorieEntrate[[#Headers],[Business Entrate]],$I90&lt;&gt;SottocategorieEntrate[[#Headers],[Varie Entrate]],$I90&lt;&gt;SottocategorieEntrate[[#Headers],[Real Estate]],$I90&lt;&gt;SottocategorieEntrate[[#Headers],[Other]]),"","$ -")</f>
        <v/>
      </c>
      <c r="Q90" s="59" t="str">
        <f>IF(Dati[[#This Row],[Categoria]]="Prelievo","€ -","")</f>
        <v/>
      </c>
      <c r="R90" s="244" t="str">
        <f t="shared" ca="1" si="5"/>
        <v/>
      </c>
      <c r="S90" s="59" t="str">
        <f>IF(Dati[[#This Row],[Categoria]]="Savings",0,"")</f>
        <v/>
      </c>
      <c r="T90" s="59"/>
      <c r="U90" s="59"/>
      <c r="V90" s="59"/>
      <c r="W90" s="59"/>
      <c r="X90" s="59"/>
      <c r="Y90" s="59"/>
      <c r="Z90" s="59"/>
      <c r="AA90" s="59"/>
      <c r="AB90" s="59"/>
      <c r="AC90" s="59"/>
      <c r="AD90" s="59"/>
      <c r="AE90" s="59"/>
      <c r="AF90" s="59"/>
      <c r="AG90" s="59"/>
      <c r="AH90" s="59"/>
      <c r="AI90" s="59" t="str">
        <f>IF(SUM(Dati[[#This Row],[Inv. Business]:[Inv. Cryptocurrency]])=0," ",SUM(Dati[[#This Row],[Inv. Business]:[Inv. Cryptocurrency]]))</f>
        <v xml:space="preserve"> </v>
      </c>
      <c r="AJ90" s="59"/>
      <c r="AK90" s="59" t="str">
        <f>IF(SUM(Dati[[#This Row],[Inv. Gold]:[Mutuo]])=0," ",SUM(Dati[[#This Row],[Inv. Gold]:[Mutuo]]))</f>
        <v xml:space="preserve"> </v>
      </c>
      <c r="AL90" s="59"/>
      <c r="AM90" s="59"/>
    </row>
    <row r="91" spans="2:39" ht="16" customHeight="1" x14ac:dyDescent="0.35">
      <c r="B91">
        <f t="shared" si="3"/>
        <v>71</v>
      </c>
      <c r="C91" s="49">
        <f t="shared" si="4"/>
        <v>44997</v>
      </c>
      <c r="D91" s="29">
        <f>DAY(Dati[[#This Row],[Data]])</f>
        <v>12</v>
      </c>
      <c r="E91" s="29" t="str">
        <f>IF(DAY(Data!$C$21:$C$1327)&gt;0,TEXT(Data!$C$21:$C$1327, "mmmm"),"")</f>
        <v>marzo</v>
      </c>
      <c r="F91" s="29" t="str">
        <f>IF(DAY(Data!$C$21:$C$1327)&gt;0,TEXT(Data!$C$21:$C$1327, "aaaa"),"")</f>
        <v>2023</v>
      </c>
      <c r="I91" t="str">
        <f>IF(OR(H91=$B$5,H91=$B$6,H91=$B$7,H91=$B$8,H91=$B$9,H91=$B$10,H91=$B$11,H91=$B$12,H91=$B$13,H91=$B$14),SottocategorieUscite[[#Headers],[Fuori Casa]],IF(OR(H91=$C$5,H91=$C$6,H91=$C$7,H91=$C$8,H91=$C$9,H91=$C$10,H91=$C$11,H91=$C$12,H91=$C$13,H91=$C$14),SottocategorieUscite[[#Headers],[Varie Uscite]],IF(OR(H91=$D$5,H91=$D$6,H91=$D$7,H91=$D$8,H91=$D$9,H91=$D$10,H91=$D$11,H91=$D$12,H91=$D$13,H91=$D$14),SottocategorieUscite[[#Headers],[Personali]],IF(OR(H91=$E$5,H91=$E$6,H91=$E$7,H91=$E$8,H91=$E$9,H91=$E$10,H91=$E$11,H91=$E$12,H91=$E$13,H91=$E$14),SottocategorieUscite[[#Headers],[Lavoro]],IF(OR(H91=$F$5,H91=$F$6,H91=$F$7,H91=$F$8,H91=$F$9,H91=$F$10,H91=$F$11,H91=$F$12,H91=$F$13,H91=$F$14),SottocategorieUscite[[#Headers],[Casa]],IF(OR(H91=$G$5,H91=$G$6,H91=$G$7,H91=$G$8,H91=$G$9,H91=$G$10,H91=$G$11,H91=$G$12,H91=$G$13,H91=$G$14),SottocategorieUscite[[#Headers],[Utenze]],IF(OR(H91=$H$5,H91=$H$6,H91=$H$7,H91=$H$8,H91=$H$9,H91=$H$10,H91=$H$11,H91=$H$12,H91=$H$13,H91=$H$14),SottocategorieUscite[[#Headers],[Business Uscite]],IF(OR(H91=$I$5,H91=$I$6,H91=$I$7,H91=$I$8,H91=$I$9,H91=$I$10,H91=$I$11,H91=$I$12,H91=$I$13,H91=$I$14),SottocategorieUscite[[#Headers],[Banca]],IF(OR(H91=K$5,H91=K$6,H91=K$7,H91=K$8,H91=K$9,H91=K$10,H91=K$11,H91=K$12,H91=K$13,H91=K$14),SottocategorieEntrate[[#Headers],[Business Entrate]],IF(OR(H91=L$5,H91=L$6,H91=L$7,H91=L$8,H91=L$9,H91=L$10,H91=L$11,H91=L$12,H91=L$13,H91=L$14),SottocategorieEntrate[[#Headers],[Varie Entrate]],IF(OR(H91=M$5,H91=M$6,H91=M$7,H91=M$8,H91=M$9,H91=M$10,H91=M$11,H91=M$12,H91=M$13,H91=M$14),SottocategorieEntrate[[#Headers],[Real Estate]],IF(OR(H91=N$5,H91=N$6,H91=N$7,H91=N$8,H91=N$9,H91=N$10,H91=N$11,H91=N$12,H91=N$13,H91=N$14),SottocategorieEntrate[[#Headers],[Other]],""))))))))))))</f>
        <v/>
      </c>
      <c r="J91" t="str">
        <f>IF(OR(Dati[[#This Row],[Categoria]]="Bollette",Dati[[#This Row],[Categoria]]="Conto &amp; Carte BNL",Dati[[#This Row],[Categoria]]="Prelievo",Dati[[#This Row],[Categoria]]="Affitto",Dati[[#This Row],[Categoria]]="BNL(Interessi Creditori)"),"Carta",IF(Dati[[#This Row],[Categoria]]&lt;&gt;0,"Cash",""))</f>
        <v/>
      </c>
      <c r="K91" s="59" t="str">
        <f>IF(OR(Data!$I91=SottocategorieUscite[[#Headers],[Fuori Casa]],Data!$I91=SottocategorieUscite[[#Headers],[Varie Uscite]],Data!$I91=SottocategorieUscite[[#Headers],[Personali]],Data!$I91=SottocategorieUscite[[#Headers],[Lavoro]]),"$ -","")</f>
        <v/>
      </c>
      <c r="L91" s="59" t="str">
        <f>IF(OR(Data!$I91=SottocategorieUscite[[#Headers],[Casa]],Data!$I91=SottocategorieUscite[[#Headers],[Utenze]],Data!$I91=SottocategorieUscite[[#Headers],[Business Uscite]],Data!$I91=SottocategorieUscite[[#Headers],[Banca]]),"$ -","")</f>
        <v/>
      </c>
      <c r="M91" s="59" t="str">
        <f>IF(OR($I91&lt;&gt;SottocategorieUscite[[#Headers],[Fuori Casa]],$I91&lt;&gt;SottocategorieUscite[[#Headers],[Varie Uscite]],$I91&lt;&gt;SottocategorieUscite[[#Headers],[Personali]],$I91&lt;&gt;SottocategorieUscite[[#Headers],[Lavoro]],$I91&lt;&gt;SottocategorieUscite[[#Headers],[Casa]],$I91&lt;&gt;SottocategorieUscite[[#Headers],[Utenze]],$I91&lt;&gt;SottocategorieUscite[[#Headers],[Business Uscite]],$I91&lt;&gt;SottocategorieUscite[[#Headers],[Banca]]),"","$ -")</f>
        <v/>
      </c>
      <c r="N91" s="59" t="str">
        <f>IF(OR(Data!$I91=SottocategorieEntrate[[#Headers],[Business Entrate]],Data!$I91=SottocategorieEntrate[[#Headers],[Varie Entrate]]),"$ -","")</f>
        <v/>
      </c>
      <c r="O91" s="59" t="str">
        <f>IF(OR(Data!$I91=SottocategorieEntrate[[#Headers],[Real Estate]],SottocategorieEntrate[[#Headers],[Other]]),"$ -","")</f>
        <v/>
      </c>
      <c r="P91" s="59" t="str">
        <f>IF(OR($I91&lt;&gt;SottocategorieEntrate[[#Headers],[Business Entrate]],$I91&lt;&gt;SottocategorieEntrate[[#Headers],[Varie Entrate]],$I91&lt;&gt;SottocategorieEntrate[[#Headers],[Real Estate]],$I91&lt;&gt;SottocategorieEntrate[[#Headers],[Other]]),"","$ -")</f>
        <v/>
      </c>
      <c r="Q91" s="59" t="str">
        <f>IF(Dati[[#This Row],[Categoria]]="Prelievo","€ -","")</f>
        <v/>
      </c>
      <c r="R91" s="244" t="str">
        <f t="shared" ca="1" si="5"/>
        <v/>
      </c>
      <c r="S91" s="59" t="str">
        <f>IF(Dati[[#This Row],[Categoria]]="Savings",0,"")</f>
        <v/>
      </c>
      <c r="T91" s="59"/>
      <c r="U91" s="59"/>
      <c r="V91" s="59"/>
      <c r="W91" s="59"/>
      <c r="X91" s="59"/>
      <c r="Y91" s="59"/>
      <c r="Z91" s="59"/>
      <c r="AA91" s="59"/>
      <c r="AB91" s="59"/>
      <c r="AC91" s="59"/>
      <c r="AD91" s="59"/>
      <c r="AE91" s="59"/>
      <c r="AF91" s="59"/>
      <c r="AG91" s="59"/>
      <c r="AH91" s="59"/>
      <c r="AI91" s="59" t="str">
        <f>IF(SUM(Dati[[#This Row],[Inv. Business]:[Inv. Cryptocurrency]])=0," ",SUM(Dati[[#This Row],[Inv. Business]:[Inv. Cryptocurrency]]))</f>
        <v xml:space="preserve"> </v>
      </c>
      <c r="AJ91" s="59"/>
      <c r="AK91" s="59" t="str">
        <f>IF(SUM(Dati[[#This Row],[Inv. Gold]:[Mutuo]])=0," ",SUM(Dati[[#This Row],[Inv. Gold]:[Mutuo]]))</f>
        <v xml:space="preserve"> </v>
      </c>
      <c r="AL91" s="59"/>
      <c r="AM91" s="59"/>
    </row>
    <row r="92" spans="2:39" ht="16" customHeight="1" x14ac:dyDescent="0.35">
      <c r="B92">
        <f t="shared" si="3"/>
        <v>72</v>
      </c>
      <c r="C92" s="49">
        <f t="shared" si="4"/>
        <v>44998</v>
      </c>
      <c r="D92" s="29">
        <f>DAY(Dati[[#This Row],[Data]])</f>
        <v>13</v>
      </c>
      <c r="E92" s="29" t="str">
        <f>IF(DAY(Data!$C$21:$C$1327)&gt;0,TEXT(Data!$C$21:$C$1327, "mmmm"),"")</f>
        <v>marzo</v>
      </c>
      <c r="F92" s="29" t="str">
        <f>IF(DAY(Data!$C$21:$C$1327)&gt;0,TEXT(Data!$C$21:$C$1327, "aaaa"),"")</f>
        <v>2023</v>
      </c>
      <c r="I92" t="str">
        <f>IF(OR(H92=$B$5,H92=$B$6,H92=$B$7,H92=$B$8,H92=$B$9,H92=$B$10,H92=$B$11,H92=$B$12,H92=$B$13,H92=$B$14),SottocategorieUscite[[#Headers],[Fuori Casa]],IF(OR(H92=$C$5,H92=$C$6,H92=$C$7,H92=$C$8,H92=$C$9,H92=$C$10,H92=$C$11,H92=$C$12,H92=$C$13,H92=$C$14),SottocategorieUscite[[#Headers],[Varie Uscite]],IF(OR(H92=$D$5,H92=$D$6,H92=$D$7,H92=$D$8,H92=$D$9,H92=$D$10,H92=$D$11,H92=$D$12,H92=$D$13,H92=$D$14),SottocategorieUscite[[#Headers],[Personali]],IF(OR(H92=$E$5,H92=$E$6,H92=$E$7,H92=$E$8,H92=$E$9,H92=$E$10,H92=$E$11,H92=$E$12,H92=$E$13,H92=$E$14),SottocategorieUscite[[#Headers],[Lavoro]],IF(OR(H92=$F$5,H92=$F$6,H92=$F$7,H92=$F$8,H92=$F$9,H92=$F$10,H92=$F$11,H92=$F$12,H92=$F$13,H92=$F$14),SottocategorieUscite[[#Headers],[Casa]],IF(OR(H92=$G$5,H92=$G$6,H92=$G$7,H92=$G$8,H92=$G$9,H92=$G$10,H92=$G$11,H92=$G$12,H92=$G$13,H92=$G$14),SottocategorieUscite[[#Headers],[Utenze]],IF(OR(H92=$H$5,H92=$H$6,H92=$H$7,H92=$H$8,H92=$H$9,H92=$H$10,H92=$H$11,H92=$H$12,H92=$H$13,H92=$H$14),SottocategorieUscite[[#Headers],[Business Uscite]],IF(OR(H92=$I$5,H92=$I$6,H92=$I$7,H92=$I$8,H92=$I$9,H92=$I$10,H92=$I$11,H92=$I$12,H92=$I$13,H92=$I$14),SottocategorieUscite[[#Headers],[Banca]],IF(OR(H92=K$5,H92=K$6,H92=K$7,H92=K$8,H92=K$9,H92=K$10,H92=K$11,H92=K$12,H92=K$13,H92=K$14),SottocategorieEntrate[[#Headers],[Business Entrate]],IF(OR(H92=L$5,H92=L$6,H92=L$7,H92=L$8,H92=L$9,H92=L$10,H92=L$11,H92=L$12,H92=L$13,H92=L$14),SottocategorieEntrate[[#Headers],[Varie Entrate]],IF(OR(H92=M$5,H92=M$6,H92=M$7,H92=M$8,H92=M$9,H92=M$10,H92=M$11,H92=M$12,H92=M$13,H92=M$14),SottocategorieEntrate[[#Headers],[Real Estate]],IF(OR(H92=N$5,H92=N$6,H92=N$7,H92=N$8,H92=N$9,H92=N$10,H92=N$11,H92=N$12,H92=N$13,H92=N$14),SottocategorieEntrate[[#Headers],[Other]],""))))))))))))</f>
        <v/>
      </c>
      <c r="J92" t="str">
        <f>IF(OR(Dati[[#This Row],[Categoria]]="Bollette",Dati[[#This Row],[Categoria]]="Conto &amp; Carte BNL",Dati[[#This Row],[Categoria]]="Prelievo",Dati[[#This Row],[Categoria]]="Affitto",Dati[[#This Row],[Categoria]]="BNL(Interessi Creditori)"),"Carta",IF(Dati[[#This Row],[Categoria]]&lt;&gt;0,"Cash",""))</f>
        <v/>
      </c>
      <c r="K92" s="59" t="str">
        <f>IF(OR(Data!$I92=SottocategorieUscite[[#Headers],[Fuori Casa]],Data!$I92=SottocategorieUscite[[#Headers],[Varie Uscite]],Data!$I92=SottocategorieUscite[[#Headers],[Personali]],Data!$I92=SottocategorieUscite[[#Headers],[Lavoro]]),"$ -","")</f>
        <v/>
      </c>
      <c r="L92" s="59" t="str">
        <f>IF(OR(Data!$I92=SottocategorieUscite[[#Headers],[Casa]],Data!$I92=SottocategorieUscite[[#Headers],[Utenze]],Data!$I92=SottocategorieUscite[[#Headers],[Business Uscite]],Data!$I92=SottocategorieUscite[[#Headers],[Banca]]),"$ -","")</f>
        <v/>
      </c>
      <c r="M92" s="59" t="str">
        <f>IF(OR($I92&lt;&gt;SottocategorieUscite[[#Headers],[Fuori Casa]],$I92&lt;&gt;SottocategorieUscite[[#Headers],[Varie Uscite]],$I92&lt;&gt;SottocategorieUscite[[#Headers],[Personali]],$I92&lt;&gt;SottocategorieUscite[[#Headers],[Lavoro]],$I92&lt;&gt;SottocategorieUscite[[#Headers],[Casa]],$I92&lt;&gt;SottocategorieUscite[[#Headers],[Utenze]],$I92&lt;&gt;SottocategorieUscite[[#Headers],[Business Uscite]],$I92&lt;&gt;SottocategorieUscite[[#Headers],[Banca]]),"","$ -")</f>
        <v/>
      </c>
      <c r="N92" s="59" t="str">
        <f>IF(OR(Data!$I92=SottocategorieEntrate[[#Headers],[Business Entrate]],Data!$I92=SottocategorieEntrate[[#Headers],[Varie Entrate]]),"$ -","")</f>
        <v/>
      </c>
      <c r="O92" s="59" t="str">
        <f>IF(OR(Data!$I92=SottocategorieEntrate[[#Headers],[Real Estate]],SottocategorieEntrate[[#Headers],[Other]]),"$ -","")</f>
        <v/>
      </c>
      <c r="P92" s="59" t="str">
        <f>IF(OR($I92&lt;&gt;SottocategorieEntrate[[#Headers],[Business Entrate]],$I92&lt;&gt;SottocategorieEntrate[[#Headers],[Varie Entrate]],$I92&lt;&gt;SottocategorieEntrate[[#Headers],[Real Estate]],$I92&lt;&gt;SottocategorieEntrate[[#Headers],[Other]]),"","$ -")</f>
        <v/>
      </c>
      <c r="Q92" s="59" t="str">
        <f>IF(Dati[[#This Row],[Categoria]]="Prelievo","€ -","")</f>
        <v/>
      </c>
      <c r="R92" s="244" t="str">
        <f t="shared" ca="1" si="5"/>
        <v/>
      </c>
      <c r="S92" s="59" t="str">
        <f>IF(Dati[[#This Row],[Categoria]]="Savings",0,"")</f>
        <v/>
      </c>
      <c r="T92" s="59"/>
      <c r="U92" s="59"/>
      <c r="V92" s="59"/>
      <c r="W92" s="59"/>
      <c r="X92" s="59"/>
      <c r="Y92" s="59"/>
      <c r="Z92" s="59"/>
      <c r="AA92" s="59"/>
      <c r="AB92" s="59"/>
      <c r="AC92" s="59"/>
      <c r="AD92" s="59"/>
      <c r="AE92" s="59"/>
      <c r="AF92" s="59"/>
      <c r="AG92" s="59"/>
      <c r="AH92" s="59"/>
      <c r="AI92" s="59" t="str">
        <f>IF(SUM(Dati[[#This Row],[Inv. Business]:[Inv. Cryptocurrency]])=0," ",SUM(Dati[[#This Row],[Inv. Business]:[Inv. Cryptocurrency]]))</f>
        <v xml:space="preserve"> </v>
      </c>
      <c r="AJ92" s="59"/>
      <c r="AK92" s="59" t="str">
        <f>IF(SUM(Dati[[#This Row],[Inv. Gold]:[Mutuo]])=0," ",SUM(Dati[[#This Row],[Inv. Gold]:[Mutuo]]))</f>
        <v xml:space="preserve"> </v>
      </c>
      <c r="AL92" s="59"/>
      <c r="AM92" s="59"/>
    </row>
    <row r="93" spans="2:39" ht="16" customHeight="1" x14ac:dyDescent="0.35">
      <c r="B93">
        <f t="shared" si="3"/>
        <v>73</v>
      </c>
      <c r="C93" s="49">
        <f t="shared" si="4"/>
        <v>44999</v>
      </c>
      <c r="D93" s="29">
        <f>DAY(Dati[[#This Row],[Data]])</f>
        <v>14</v>
      </c>
      <c r="E93" s="29" t="str">
        <f>IF(DAY(Data!$C$21:$C$1327)&gt;0,TEXT(Data!$C$21:$C$1327, "mmmm"),"")</f>
        <v>marzo</v>
      </c>
      <c r="F93" s="29" t="str">
        <f>IF(DAY(Data!$C$21:$C$1327)&gt;0,TEXT(Data!$C$21:$C$1327, "aaaa"),"")</f>
        <v>2023</v>
      </c>
      <c r="I93" t="str">
        <f>IF(OR(H93=$B$5,H93=$B$6,H93=$B$7,H93=$B$8,H93=$B$9,H93=$B$10,H93=$B$11,H93=$B$12,H93=$B$13,H93=$B$14),SottocategorieUscite[[#Headers],[Fuori Casa]],IF(OR(H93=$C$5,H93=$C$6,H93=$C$7,H93=$C$8,H93=$C$9,H93=$C$10,H93=$C$11,H93=$C$12,H93=$C$13,H93=$C$14),SottocategorieUscite[[#Headers],[Varie Uscite]],IF(OR(H93=$D$5,H93=$D$6,H93=$D$7,H93=$D$8,H93=$D$9,H93=$D$10,H93=$D$11,H93=$D$12,H93=$D$13,H93=$D$14),SottocategorieUscite[[#Headers],[Personali]],IF(OR(H93=$E$5,H93=$E$6,H93=$E$7,H93=$E$8,H93=$E$9,H93=$E$10,H93=$E$11,H93=$E$12,H93=$E$13,H93=$E$14),SottocategorieUscite[[#Headers],[Lavoro]],IF(OR(H93=$F$5,H93=$F$6,H93=$F$7,H93=$F$8,H93=$F$9,H93=$F$10,H93=$F$11,H93=$F$12,H93=$F$13,H93=$F$14),SottocategorieUscite[[#Headers],[Casa]],IF(OR(H93=$G$5,H93=$G$6,H93=$G$7,H93=$G$8,H93=$G$9,H93=$G$10,H93=$G$11,H93=$G$12,H93=$G$13,H93=$G$14),SottocategorieUscite[[#Headers],[Utenze]],IF(OR(H93=$H$5,H93=$H$6,H93=$H$7,H93=$H$8,H93=$H$9,H93=$H$10,H93=$H$11,H93=$H$12,H93=$H$13,H93=$H$14),SottocategorieUscite[[#Headers],[Business Uscite]],IF(OR(H93=$I$5,H93=$I$6,H93=$I$7,H93=$I$8,H93=$I$9,H93=$I$10,H93=$I$11,H93=$I$12,H93=$I$13,H93=$I$14),SottocategorieUscite[[#Headers],[Banca]],IF(OR(H93=K$5,H93=K$6,H93=K$7,H93=K$8,H93=K$9,H93=K$10,H93=K$11,H93=K$12,H93=K$13,H93=K$14),SottocategorieEntrate[[#Headers],[Business Entrate]],IF(OR(H93=L$5,H93=L$6,H93=L$7,H93=L$8,H93=L$9,H93=L$10,H93=L$11,H93=L$12,H93=L$13,H93=L$14),SottocategorieEntrate[[#Headers],[Varie Entrate]],IF(OR(H93=M$5,H93=M$6,H93=M$7,H93=M$8,H93=M$9,H93=M$10,H93=M$11,H93=M$12,H93=M$13,H93=M$14),SottocategorieEntrate[[#Headers],[Real Estate]],IF(OR(H93=N$5,H93=N$6,H93=N$7,H93=N$8,H93=N$9,H93=N$10,H93=N$11,H93=N$12,H93=N$13,H93=N$14),SottocategorieEntrate[[#Headers],[Other]],""))))))))))))</f>
        <v/>
      </c>
      <c r="J93" t="str">
        <f>IF(OR(Dati[[#This Row],[Categoria]]="Bollette",Dati[[#This Row],[Categoria]]="Conto &amp; Carte BNL",Dati[[#This Row],[Categoria]]="Prelievo",Dati[[#This Row],[Categoria]]="Affitto",Dati[[#This Row],[Categoria]]="BNL(Interessi Creditori)"),"Carta",IF(Dati[[#This Row],[Categoria]]&lt;&gt;0,"Cash",""))</f>
        <v/>
      </c>
      <c r="K93" s="59" t="str">
        <f>IF(OR(Data!$I93=SottocategorieUscite[[#Headers],[Fuori Casa]],Data!$I93=SottocategorieUscite[[#Headers],[Varie Uscite]],Data!$I93=SottocategorieUscite[[#Headers],[Personali]],Data!$I93=SottocategorieUscite[[#Headers],[Lavoro]]),"$ -","")</f>
        <v/>
      </c>
      <c r="L93" s="59" t="str">
        <f>IF(OR(Data!$I93=SottocategorieUscite[[#Headers],[Casa]],Data!$I93=SottocategorieUscite[[#Headers],[Utenze]],Data!$I93=SottocategorieUscite[[#Headers],[Business Uscite]],Data!$I93=SottocategorieUscite[[#Headers],[Banca]]),"$ -","")</f>
        <v/>
      </c>
      <c r="M93" s="59" t="str">
        <f>IF(OR($I93&lt;&gt;SottocategorieUscite[[#Headers],[Fuori Casa]],$I93&lt;&gt;SottocategorieUscite[[#Headers],[Varie Uscite]],$I93&lt;&gt;SottocategorieUscite[[#Headers],[Personali]],$I93&lt;&gt;SottocategorieUscite[[#Headers],[Lavoro]],$I93&lt;&gt;SottocategorieUscite[[#Headers],[Casa]],$I93&lt;&gt;SottocategorieUscite[[#Headers],[Utenze]],$I93&lt;&gt;SottocategorieUscite[[#Headers],[Business Uscite]],$I93&lt;&gt;SottocategorieUscite[[#Headers],[Banca]]),"","$ -")</f>
        <v/>
      </c>
      <c r="N93" s="59" t="str">
        <f>IF(OR(Data!$I93=SottocategorieEntrate[[#Headers],[Business Entrate]],Data!$I93=SottocategorieEntrate[[#Headers],[Varie Entrate]]),"$ -","")</f>
        <v/>
      </c>
      <c r="O93" s="59" t="str">
        <f>IF(OR(Data!$I93=SottocategorieEntrate[[#Headers],[Real Estate]],SottocategorieEntrate[[#Headers],[Other]]),"$ -","")</f>
        <v/>
      </c>
      <c r="P93" s="59" t="str">
        <f>IF(OR($I93&lt;&gt;SottocategorieEntrate[[#Headers],[Business Entrate]],$I93&lt;&gt;SottocategorieEntrate[[#Headers],[Varie Entrate]],$I93&lt;&gt;SottocategorieEntrate[[#Headers],[Real Estate]],$I93&lt;&gt;SottocategorieEntrate[[#Headers],[Other]]),"","$ -")</f>
        <v/>
      </c>
      <c r="Q93" s="59" t="str">
        <f>IF(Dati[[#This Row],[Categoria]]="Prelievo","€ -","")</f>
        <v/>
      </c>
      <c r="R93" s="244" t="str">
        <f t="shared" ca="1" si="5"/>
        <v/>
      </c>
      <c r="S93" s="59" t="str">
        <f>IF(Dati[[#This Row],[Categoria]]="Savings",0,"")</f>
        <v/>
      </c>
      <c r="T93" s="59"/>
      <c r="U93" s="59"/>
      <c r="V93" s="59"/>
      <c r="W93" s="59"/>
      <c r="X93" s="59"/>
      <c r="Y93" s="59"/>
      <c r="Z93" s="59"/>
      <c r="AA93" s="59"/>
      <c r="AB93" s="59"/>
      <c r="AC93" s="59"/>
      <c r="AD93" s="59"/>
      <c r="AE93" s="59"/>
      <c r="AF93" s="59"/>
      <c r="AG93" s="59"/>
      <c r="AH93" s="59"/>
      <c r="AI93" s="59" t="str">
        <f>IF(SUM(Dati[[#This Row],[Inv. Business]:[Inv. Cryptocurrency]])=0," ",SUM(Dati[[#This Row],[Inv. Business]:[Inv. Cryptocurrency]]))</f>
        <v xml:space="preserve"> </v>
      </c>
      <c r="AJ93" s="59"/>
      <c r="AK93" s="59" t="str">
        <f>IF(SUM(Dati[[#This Row],[Inv. Gold]:[Mutuo]])=0," ",SUM(Dati[[#This Row],[Inv. Gold]:[Mutuo]]))</f>
        <v xml:space="preserve"> </v>
      </c>
      <c r="AL93" s="59"/>
      <c r="AM93" s="59"/>
    </row>
    <row r="94" spans="2:39" ht="16" customHeight="1" x14ac:dyDescent="0.35">
      <c r="B94">
        <f t="shared" si="3"/>
        <v>74</v>
      </c>
      <c r="C94" s="49">
        <f t="shared" si="4"/>
        <v>45000</v>
      </c>
      <c r="D94" s="29">
        <f>DAY(Dati[[#This Row],[Data]])</f>
        <v>15</v>
      </c>
      <c r="E94" s="29" t="str">
        <f>IF(DAY(Data!$C$21:$C$1327)&gt;0,TEXT(Data!$C$21:$C$1327, "mmmm"),"")</f>
        <v>marzo</v>
      </c>
      <c r="F94" s="29" t="str">
        <f>IF(DAY(Data!$C$21:$C$1327)&gt;0,TEXT(Data!$C$21:$C$1327, "aaaa"),"")</f>
        <v>2023</v>
      </c>
      <c r="I94" t="str">
        <f>IF(OR(H94=$B$5,H94=$B$6,H94=$B$7,H94=$B$8,H94=$B$9,H94=$B$10,H94=$B$11,H94=$B$12,H94=$B$13,H94=$B$14),SottocategorieUscite[[#Headers],[Fuori Casa]],IF(OR(H94=$C$5,H94=$C$6,H94=$C$7,H94=$C$8,H94=$C$9,H94=$C$10,H94=$C$11,H94=$C$12,H94=$C$13,H94=$C$14),SottocategorieUscite[[#Headers],[Varie Uscite]],IF(OR(H94=$D$5,H94=$D$6,H94=$D$7,H94=$D$8,H94=$D$9,H94=$D$10,H94=$D$11,H94=$D$12,H94=$D$13,H94=$D$14),SottocategorieUscite[[#Headers],[Personali]],IF(OR(H94=$E$5,H94=$E$6,H94=$E$7,H94=$E$8,H94=$E$9,H94=$E$10,H94=$E$11,H94=$E$12,H94=$E$13,H94=$E$14),SottocategorieUscite[[#Headers],[Lavoro]],IF(OR(H94=$F$5,H94=$F$6,H94=$F$7,H94=$F$8,H94=$F$9,H94=$F$10,H94=$F$11,H94=$F$12,H94=$F$13,H94=$F$14),SottocategorieUscite[[#Headers],[Casa]],IF(OR(H94=$G$5,H94=$G$6,H94=$G$7,H94=$G$8,H94=$G$9,H94=$G$10,H94=$G$11,H94=$G$12,H94=$G$13,H94=$G$14),SottocategorieUscite[[#Headers],[Utenze]],IF(OR(H94=$H$5,H94=$H$6,H94=$H$7,H94=$H$8,H94=$H$9,H94=$H$10,H94=$H$11,H94=$H$12,H94=$H$13,H94=$H$14),SottocategorieUscite[[#Headers],[Business Uscite]],IF(OR(H94=$I$5,H94=$I$6,H94=$I$7,H94=$I$8,H94=$I$9,H94=$I$10,H94=$I$11,H94=$I$12,H94=$I$13,H94=$I$14),SottocategorieUscite[[#Headers],[Banca]],IF(OR(H94=K$5,H94=K$6,H94=K$7,H94=K$8,H94=K$9,H94=K$10,H94=K$11,H94=K$12,H94=K$13,H94=K$14),SottocategorieEntrate[[#Headers],[Business Entrate]],IF(OR(H94=L$5,H94=L$6,H94=L$7,H94=L$8,H94=L$9,H94=L$10,H94=L$11,H94=L$12,H94=L$13,H94=L$14),SottocategorieEntrate[[#Headers],[Varie Entrate]],IF(OR(H94=M$5,H94=M$6,H94=M$7,H94=M$8,H94=M$9,H94=M$10,H94=M$11,H94=M$12,H94=M$13,H94=M$14),SottocategorieEntrate[[#Headers],[Real Estate]],IF(OR(H94=N$5,H94=N$6,H94=N$7,H94=N$8,H94=N$9,H94=N$10,H94=N$11,H94=N$12,H94=N$13,H94=N$14),SottocategorieEntrate[[#Headers],[Other]],""))))))))))))</f>
        <v/>
      </c>
      <c r="J94" t="str">
        <f>IF(OR(Dati[[#This Row],[Categoria]]="Bollette",Dati[[#This Row],[Categoria]]="Conto &amp; Carte BNL",Dati[[#This Row],[Categoria]]="Prelievo",Dati[[#This Row],[Categoria]]="Affitto",Dati[[#This Row],[Categoria]]="BNL(Interessi Creditori)"),"Carta",IF(Dati[[#This Row],[Categoria]]&lt;&gt;0,"Cash",""))</f>
        <v/>
      </c>
      <c r="K94" s="59" t="str">
        <f>IF(OR(Data!$I94=SottocategorieUscite[[#Headers],[Fuori Casa]],Data!$I94=SottocategorieUscite[[#Headers],[Varie Uscite]],Data!$I94=SottocategorieUscite[[#Headers],[Personali]],Data!$I94=SottocategorieUscite[[#Headers],[Lavoro]]),"$ -","")</f>
        <v/>
      </c>
      <c r="L94" s="59" t="str">
        <f>IF(OR(Data!$I94=SottocategorieUscite[[#Headers],[Casa]],Data!$I94=SottocategorieUscite[[#Headers],[Utenze]],Data!$I94=SottocategorieUscite[[#Headers],[Business Uscite]],Data!$I94=SottocategorieUscite[[#Headers],[Banca]]),"$ -","")</f>
        <v/>
      </c>
      <c r="M94" s="59" t="str">
        <f>IF(OR($I94&lt;&gt;SottocategorieUscite[[#Headers],[Fuori Casa]],$I94&lt;&gt;SottocategorieUscite[[#Headers],[Varie Uscite]],$I94&lt;&gt;SottocategorieUscite[[#Headers],[Personali]],$I94&lt;&gt;SottocategorieUscite[[#Headers],[Lavoro]],$I94&lt;&gt;SottocategorieUscite[[#Headers],[Casa]],$I94&lt;&gt;SottocategorieUscite[[#Headers],[Utenze]],$I94&lt;&gt;SottocategorieUscite[[#Headers],[Business Uscite]],$I94&lt;&gt;SottocategorieUscite[[#Headers],[Banca]]),"","$ -")</f>
        <v/>
      </c>
      <c r="N94" s="59" t="str">
        <f>IF(OR(Data!$I94=SottocategorieEntrate[[#Headers],[Business Entrate]],Data!$I94=SottocategorieEntrate[[#Headers],[Varie Entrate]]),"$ -","")</f>
        <v/>
      </c>
      <c r="O94" s="59" t="str">
        <f>IF(OR(Data!$I94=SottocategorieEntrate[[#Headers],[Real Estate]],SottocategorieEntrate[[#Headers],[Other]]),"$ -","")</f>
        <v/>
      </c>
      <c r="P94" s="59" t="str">
        <f>IF(OR($I94&lt;&gt;SottocategorieEntrate[[#Headers],[Business Entrate]],$I94&lt;&gt;SottocategorieEntrate[[#Headers],[Varie Entrate]],$I94&lt;&gt;SottocategorieEntrate[[#Headers],[Real Estate]],$I94&lt;&gt;SottocategorieEntrate[[#Headers],[Other]]),"","$ -")</f>
        <v/>
      </c>
      <c r="Q94" s="59" t="str">
        <f>IF(Dati[[#This Row],[Categoria]]="Prelievo","€ -","")</f>
        <v/>
      </c>
      <c r="R94" s="244" t="str">
        <f t="shared" ca="1" si="5"/>
        <v/>
      </c>
      <c r="S94" s="59" t="str">
        <f>IF(Dati[[#This Row],[Categoria]]="Savings",0,"")</f>
        <v/>
      </c>
      <c r="T94" s="59"/>
      <c r="U94" s="59"/>
      <c r="V94" s="59"/>
      <c r="W94" s="59"/>
      <c r="X94" s="59"/>
      <c r="Y94" s="59"/>
      <c r="Z94" s="59"/>
      <c r="AA94" s="59"/>
      <c r="AB94" s="59"/>
      <c r="AC94" s="59"/>
      <c r="AD94" s="59"/>
      <c r="AE94" s="59"/>
      <c r="AF94" s="59"/>
      <c r="AG94" s="59"/>
      <c r="AH94" s="59"/>
      <c r="AI94" s="59" t="str">
        <f>IF(SUM(Dati[[#This Row],[Inv. Business]:[Inv. Cryptocurrency]])=0," ",SUM(Dati[[#This Row],[Inv. Business]:[Inv. Cryptocurrency]]))</f>
        <v xml:space="preserve"> </v>
      </c>
      <c r="AJ94" s="59"/>
      <c r="AK94" s="59" t="str">
        <f>IF(SUM(Dati[[#This Row],[Inv. Gold]:[Mutuo]])=0," ",SUM(Dati[[#This Row],[Inv. Gold]:[Mutuo]]))</f>
        <v xml:space="preserve"> </v>
      </c>
      <c r="AL94" s="59"/>
      <c r="AM94" s="59"/>
    </row>
    <row r="95" spans="2:39" ht="16" customHeight="1" x14ac:dyDescent="0.35">
      <c r="B95">
        <f t="shared" si="3"/>
        <v>75</v>
      </c>
      <c r="C95" s="49">
        <f t="shared" si="4"/>
        <v>45001</v>
      </c>
      <c r="D95" s="29">
        <f>DAY(Dati[[#This Row],[Data]])</f>
        <v>16</v>
      </c>
      <c r="E95" s="29" t="str">
        <f>IF(DAY(Data!$C$21:$C$1327)&gt;0,TEXT(Data!$C$21:$C$1327, "mmmm"),"")</f>
        <v>marzo</v>
      </c>
      <c r="F95" s="29" t="str">
        <f>IF(DAY(Data!$C$21:$C$1327)&gt;0,TEXT(Data!$C$21:$C$1327, "aaaa"),"")</f>
        <v>2023</v>
      </c>
      <c r="I95" t="str">
        <f>IF(OR(H95=$B$5,H95=$B$6,H95=$B$7,H95=$B$8,H95=$B$9,H95=$B$10,H95=$B$11,H95=$B$12,H95=$B$13,H95=$B$14),SottocategorieUscite[[#Headers],[Fuori Casa]],IF(OR(H95=$C$5,H95=$C$6,H95=$C$7,H95=$C$8,H95=$C$9,H95=$C$10,H95=$C$11,H95=$C$12,H95=$C$13,H95=$C$14),SottocategorieUscite[[#Headers],[Varie Uscite]],IF(OR(H95=$D$5,H95=$D$6,H95=$D$7,H95=$D$8,H95=$D$9,H95=$D$10,H95=$D$11,H95=$D$12,H95=$D$13,H95=$D$14),SottocategorieUscite[[#Headers],[Personali]],IF(OR(H95=$E$5,H95=$E$6,H95=$E$7,H95=$E$8,H95=$E$9,H95=$E$10,H95=$E$11,H95=$E$12,H95=$E$13,H95=$E$14),SottocategorieUscite[[#Headers],[Lavoro]],IF(OR(H95=$F$5,H95=$F$6,H95=$F$7,H95=$F$8,H95=$F$9,H95=$F$10,H95=$F$11,H95=$F$12,H95=$F$13,H95=$F$14),SottocategorieUscite[[#Headers],[Casa]],IF(OR(H95=$G$5,H95=$G$6,H95=$G$7,H95=$G$8,H95=$G$9,H95=$G$10,H95=$G$11,H95=$G$12,H95=$G$13,H95=$G$14),SottocategorieUscite[[#Headers],[Utenze]],IF(OR(H95=$H$5,H95=$H$6,H95=$H$7,H95=$H$8,H95=$H$9,H95=$H$10,H95=$H$11,H95=$H$12,H95=$H$13,H95=$H$14),SottocategorieUscite[[#Headers],[Business Uscite]],IF(OR(H95=$I$5,H95=$I$6,H95=$I$7,H95=$I$8,H95=$I$9,H95=$I$10,H95=$I$11,H95=$I$12,H95=$I$13,H95=$I$14),SottocategorieUscite[[#Headers],[Banca]],IF(OR(H95=K$5,H95=K$6,H95=K$7,H95=K$8,H95=K$9,H95=K$10,H95=K$11,H95=K$12,H95=K$13,H95=K$14),SottocategorieEntrate[[#Headers],[Business Entrate]],IF(OR(H95=L$5,H95=L$6,H95=L$7,H95=L$8,H95=L$9,H95=L$10,H95=L$11,H95=L$12,H95=L$13,H95=L$14),SottocategorieEntrate[[#Headers],[Varie Entrate]],IF(OR(H95=M$5,H95=M$6,H95=M$7,H95=M$8,H95=M$9,H95=M$10,H95=M$11,H95=M$12,H95=M$13,H95=M$14),SottocategorieEntrate[[#Headers],[Real Estate]],IF(OR(H95=N$5,H95=N$6,H95=N$7,H95=N$8,H95=N$9,H95=N$10,H95=N$11,H95=N$12,H95=N$13,H95=N$14),SottocategorieEntrate[[#Headers],[Other]],""))))))))))))</f>
        <v/>
      </c>
      <c r="J95" t="str">
        <f>IF(OR(Dati[[#This Row],[Categoria]]="Bollette",Dati[[#This Row],[Categoria]]="Conto &amp; Carte BNL",Dati[[#This Row],[Categoria]]="Prelievo",Dati[[#This Row],[Categoria]]="Affitto",Dati[[#This Row],[Categoria]]="BNL(Interessi Creditori)"),"Carta",IF(Dati[[#This Row],[Categoria]]&lt;&gt;0,"Cash",""))</f>
        <v/>
      </c>
      <c r="K95" s="59" t="str">
        <f>IF(OR(Data!$I95=SottocategorieUscite[[#Headers],[Fuori Casa]],Data!$I95=SottocategorieUscite[[#Headers],[Varie Uscite]],Data!$I95=SottocategorieUscite[[#Headers],[Personali]],Data!$I95=SottocategorieUscite[[#Headers],[Lavoro]]),"$ -","")</f>
        <v/>
      </c>
      <c r="L95" s="59" t="str">
        <f>IF(OR(Data!$I95=SottocategorieUscite[[#Headers],[Casa]],Data!$I95=SottocategorieUscite[[#Headers],[Utenze]],Data!$I95=SottocategorieUscite[[#Headers],[Business Uscite]],Data!$I95=SottocategorieUscite[[#Headers],[Banca]]),"$ -","")</f>
        <v/>
      </c>
      <c r="M95" s="59" t="str">
        <f>IF(OR($I95&lt;&gt;SottocategorieUscite[[#Headers],[Fuori Casa]],$I95&lt;&gt;SottocategorieUscite[[#Headers],[Varie Uscite]],$I95&lt;&gt;SottocategorieUscite[[#Headers],[Personali]],$I95&lt;&gt;SottocategorieUscite[[#Headers],[Lavoro]],$I95&lt;&gt;SottocategorieUscite[[#Headers],[Casa]],$I95&lt;&gt;SottocategorieUscite[[#Headers],[Utenze]],$I95&lt;&gt;SottocategorieUscite[[#Headers],[Business Uscite]],$I95&lt;&gt;SottocategorieUscite[[#Headers],[Banca]]),"","$ -")</f>
        <v/>
      </c>
      <c r="N95" s="59" t="str">
        <f>IF(OR(Data!$I95=SottocategorieEntrate[[#Headers],[Business Entrate]],Data!$I95=SottocategorieEntrate[[#Headers],[Varie Entrate]]),"$ -","")</f>
        <v/>
      </c>
      <c r="O95" s="59" t="str">
        <f>IF(OR(Data!$I95=SottocategorieEntrate[[#Headers],[Real Estate]],SottocategorieEntrate[[#Headers],[Other]]),"$ -","")</f>
        <v/>
      </c>
      <c r="P95" s="59" t="str">
        <f>IF(OR($I95&lt;&gt;SottocategorieEntrate[[#Headers],[Business Entrate]],$I95&lt;&gt;SottocategorieEntrate[[#Headers],[Varie Entrate]],$I95&lt;&gt;SottocategorieEntrate[[#Headers],[Real Estate]],$I95&lt;&gt;SottocategorieEntrate[[#Headers],[Other]]),"","$ -")</f>
        <v/>
      </c>
      <c r="Q95" s="59" t="str">
        <f>IF(Dati[[#This Row],[Categoria]]="Prelievo","€ -","")</f>
        <v/>
      </c>
      <c r="R95" s="244" t="str">
        <f t="shared" ca="1" si="5"/>
        <v/>
      </c>
      <c r="S95" s="59" t="str">
        <f>IF(Dati[[#This Row],[Categoria]]="Savings",0,"")</f>
        <v/>
      </c>
      <c r="T95" s="59"/>
      <c r="U95" s="59"/>
      <c r="V95" s="59"/>
      <c r="W95" s="59"/>
      <c r="X95" s="59"/>
      <c r="Y95" s="59"/>
      <c r="Z95" s="59"/>
      <c r="AA95" s="59"/>
      <c r="AB95" s="59"/>
      <c r="AC95" s="59"/>
      <c r="AD95" s="59"/>
      <c r="AE95" s="59"/>
      <c r="AF95" s="59"/>
      <c r="AG95" s="59"/>
      <c r="AH95" s="59"/>
      <c r="AI95" s="59" t="str">
        <f>IF(SUM(Dati[[#This Row],[Inv. Business]:[Inv. Cryptocurrency]])=0," ",SUM(Dati[[#This Row],[Inv. Business]:[Inv. Cryptocurrency]]))</f>
        <v xml:space="preserve"> </v>
      </c>
      <c r="AJ95" s="59"/>
      <c r="AK95" s="59" t="str">
        <f>IF(SUM(Dati[[#This Row],[Inv. Gold]:[Mutuo]])=0," ",SUM(Dati[[#This Row],[Inv. Gold]:[Mutuo]]))</f>
        <v xml:space="preserve"> </v>
      </c>
      <c r="AL95" s="59"/>
      <c r="AM95" s="59"/>
    </row>
    <row r="96" spans="2:39" ht="16" customHeight="1" x14ac:dyDescent="0.35">
      <c r="B96">
        <f t="shared" si="3"/>
        <v>76</v>
      </c>
      <c r="C96" s="49">
        <f t="shared" si="4"/>
        <v>45002</v>
      </c>
      <c r="D96" s="29">
        <f>DAY(Dati[[#This Row],[Data]])</f>
        <v>17</v>
      </c>
      <c r="E96" s="29" t="str">
        <f>IF(DAY(Data!$C$21:$C$1327)&gt;0,TEXT(Data!$C$21:$C$1327, "mmmm"),"")</f>
        <v>marzo</v>
      </c>
      <c r="F96" s="29" t="str">
        <f>IF(DAY(Data!$C$21:$C$1327)&gt;0,TEXT(Data!$C$21:$C$1327, "aaaa"),"")</f>
        <v>2023</v>
      </c>
      <c r="I96" t="str">
        <f>IF(OR(H96=$B$5,H96=$B$6,H96=$B$7,H96=$B$8,H96=$B$9,H96=$B$10,H96=$B$11,H96=$B$12,H96=$B$13,H96=$B$14),SottocategorieUscite[[#Headers],[Fuori Casa]],IF(OR(H96=$C$5,H96=$C$6,H96=$C$7,H96=$C$8,H96=$C$9,H96=$C$10,H96=$C$11,H96=$C$12,H96=$C$13,H96=$C$14),SottocategorieUscite[[#Headers],[Varie Uscite]],IF(OR(H96=$D$5,H96=$D$6,H96=$D$7,H96=$D$8,H96=$D$9,H96=$D$10,H96=$D$11,H96=$D$12,H96=$D$13,H96=$D$14),SottocategorieUscite[[#Headers],[Personali]],IF(OR(H96=$E$5,H96=$E$6,H96=$E$7,H96=$E$8,H96=$E$9,H96=$E$10,H96=$E$11,H96=$E$12,H96=$E$13,H96=$E$14),SottocategorieUscite[[#Headers],[Lavoro]],IF(OR(H96=$F$5,H96=$F$6,H96=$F$7,H96=$F$8,H96=$F$9,H96=$F$10,H96=$F$11,H96=$F$12,H96=$F$13,H96=$F$14),SottocategorieUscite[[#Headers],[Casa]],IF(OR(H96=$G$5,H96=$G$6,H96=$G$7,H96=$G$8,H96=$G$9,H96=$G$10,H96=$G$11,H96=$G$12,H96=$G$13,H96=$G$14),SottocategorieUscite[[#Headers],[Utenze]],IF(OR(H96=$H$5,H96=$H$6,H96=$H$7,H96=$H$8,H96=$H$9,H96=$H$10,H96=$H$11,H96=$H$12,H96=$H$13,H96=$H$14),SottocategorieUscite[[#Headers],[Business Uscite]],IF(OR(H96=$I$5,H96=$I$6,H96=$I$7,H96=$I$8,H96=$I$9,H96=$I$10,H96=$I$11,H96=$I$12,H96=$I$13,H96=$I$14),SottocategorieUscite[[#Headers],[Banca]],IF(OR(H96=K$5,H96=K$6,H96=K$7,H96=K$8,H96=K$9,H96=K$10,H96=K$11,H96=K$12,H96=K$13,H96=K$14),SottocategorieEntrate[[#Headers],[Business Entrate]],IF(OR(H96=L$5,H96=L$6,H96=L$7,H96=L$8,H96=L$9,H96=L$10,H96=L$11,H96=L$12,H96=L$13,H96=L$14),SottocategorieEntrate[[#Headers],[Varie Entrate]],IF(OR(H96=M$5,H96=M$6,H96=M$7,H96=M$8,H96=M$9,H96=M$10,H96=M$11,H96=M$12,H96=M$13,H96=M$14),SottocategorieEntrate[[#Headers],[Real Estate]],IF(OR(H96=N$5,H96=N$6,H96=N$7,H96=N$8,H96=N$9,H96=N$10,H96=N$11,H96=N$12,H96=N$13,H96=N$14),SottocategorieEntrate[[#Headers],[Other]],""))))))))))))</f>
        <v/>
      </c>
      <c r="J96" t="str">
        <f>IF(OR(Dati[[#This Row],[Categoria]]="Bollette",Dati[[#This Row],[Categoria]]="Conto &amp; Carte BNL",Dati[[#This Row],[Categoria]]="Prelievo",Dati[[#This Row],[Categoria]]="Affitto",Dati[[#This Row],[Categoria]]="BNL(Interessi Creditori)"),"Carta",IF(Dati[[#This Row],[Categoria]]&lt;&gt;0,"Cash",""))</f>
        <v/>
      </c>
      <c r="K96" s="59" t="str">
        <f>IF(OR(Data!$I96=SottocategorieUscite[[#Headers],[Fuori Casa]],Data!$I96=SottocategorieUscite[[#Headers],[Varie Uscite]],Data!$I96=SottocategorieUscite[[#Headers],[Personali]],Data!$I96=SottocategorieUscite[[#Headers],[Lavoro]]),"$ -","")</f>
        <v/>
      </c>
      <c r="L96" s="59" t="str">
        <f>IF(OR(Data!$I96=SottocategorieUscite[[#Headers],[Casa]],Data!$I96=SottocategorieUscite[[#Headers],[Utenze]],Data!$I96=SottocategorieUscite[[#Headers],[Business Uscite]],Data!$I96=SottocategorieUscite[[#Headers],[Banca]]),"$ -","")</f>
        <v/>
      </c>
      <c r="M96" s="59" t="str">
        <f>IF(OR($I96&lt;&gt;SottocategorieUscite[[#Headers],[Fuori Casa]],$I96&lt;&gt;SottocategorieUscite[[#Headers],[Varie Uscite]],$I96&lt;&gt;SottocategorieUscite[[#Headers],[Personali]],$I96&lt;&gt;SottocategorieUscite[[#Headers],[Lavoro]],$I96&lt;&gt;SottocategorieUscite[[#Headers],[Casa]],$I96&lt;&gt;SottocategorieUscite[[#Headers],[Utenze]],$I96&lt;&gt;SottocategorieUscite[[#Headers],[Business Uscite]],$I96&lt;&gt;SottocategorieUscite[[#Headers],[Banca]]),"","$ -")</f>
        <v/>
      </c>
      <c r="N96" s="59" t="str">
        <f>IF(OR(Data!$I96=SottocategorieEntrate[[#Headers],[Business Entrate]],Data!$I96=SottocategorieEntrate[[#Headers],[Varie Entrate]]),"$ -","")</f>
        <v/>
      </c>
      <c r="O96" s="59" t="str">
        <f>IF(OR(Data!$I96=SottocategorieEntrate[[#Headers],[Real Estate]],SottocategorieEntrate[[#Headers],[Other]]),"$ -","")</f>
        <v/>
      </c>
      <c r="P96" s="59" t="str">
        <f>IF(OR($I96&lt;&gt;SottocategorieEntrate[[#Headers],[Business Entrate]],$I96&lt;&gt;SottocategorieEntrate[[#Headers],[Varie Entrate]],$I96&lt;&gt;SottocategorieEntrate[[#Headers],[Real Estate]],$I96&lt;&gt;SottocategorieEntrate[[#Headers],[Other]]),"","$ -")</f>
        <v/>
      </c>
      <c r="Q96" s="59" t="str">
        <f>IF(Dati[[#This Row],[Categoria]]="Prelievo","€ -","")</f>
        <v/>
      </c>
      <c r="R96" s="244" t="str">
        <f t="shared" ca="1" si="5"/>
        <v/>
      </c>
      <c r="S96" s="59" t="str">
        <f>IF(Dati[[#This Row],[Categoria]]="Savings",0,"")</f>
        <v/>
      </c>
      <c r="T96" s="59"/>
      <c r="U96" s="59"/>
      <c r="V96" s="59"/>
      <c r="W96" s="59"/>
      <c r="X96" s="59"/>
      <c r="Y96" s="59"/>
      <c r="Z96" s="59"/>
      <c r="AA96" s="59"/>
      <c r="AB96" s="59"/>
      <c r="AC96" s="59"/>
      <c r="AD96" s="59"/>
      <c r="AE96" s="59"/>
      <c r="AF96" s="59"/>
      <c r="AG96" s="59"/>
      <c r="AH96" s="59"/>
      <c r="AI96" s="59" t="str">
        <f>IF(SUM(Dati[[#This Row],[Inv. Business]:[Inv. Cryptocurrency]])=0," ",SUM(Dati[[#This Row],[Inv. Business]:[Inv. Cryptocurrency]]))</f>
        <v xml:space="preserve"> </v>
      </c>
      <c r="AJ96" s="59"/>
      <c r="AK96" s="59" t="str">
        <f>IF(SUM(Dati[[#This Row],[Inv. Gold]:[Mutuo]])=0," ",SUM(Dati[[#This Row],[Inv. Gold]:[Mutuo]]))</f>
        <v xml:space="preserve"> </v>
      </c>
      <c r="AL96" s="59"/>
      <c r="AM96" s="59"/>
    </row>
    <row r="97" spans="2:39" ht="16" customHeight="1" x14ac:dyDescent="0.35">
      <c r="B97">
        <f t="shared" si="3"/>
        <v>77</v>
      </c>
      <c r="C97" s="49">
        <f t="shared" si="4"/>
        <v>45003</v>
      </c>
      <c r="D97" s="29">
        <f>DAY(Dati[[#This Row],[Data]])</f>
        <v>18</v>
      </c>
      <c r="E97" s="29" t="str">
        <f>IF(DAY(Data!$C$21:$C$1327)&gt;0,TEXT(Data!$C$21:$C$1327, "mmmm"),"")</f>
        <v>marzo</v>
      </c>
      <c r="F97" s="29" t="str">
        <f>IF(DAY(Data!$C$21:$C$1327)&gt;0,TEXT(Data!$C$21:$C$1327, "aaaa"),"")</f>
        <v>2023</v>
      </c>
      <c r="I97" t="str">
        <f>IF(OR(H97=$B$5,H97=$B$6,H97=$B$7,H97=$B$8,H97=$B$9,H97=$B$10,H97=$B$11,H97=$B$12,H97=$B$13,H97=$B$14),SottocategorieUscite[[#Headers],[Fuori Casa]],IF(OR(H97=$C$5,H97=$C$6,H97=$C$7,H97=$C$8,H97=$C$9,H97=$C$10,H97=$C$11,H97=$C$12,H97=$C$13,H97=$C$14),SottocategorieUscite[[#Headers],[Varie Uscite]],IF(OR(H97=$D$5,H97=$D$6,H97=$D$7,H97=$D$8,H97=$D$9,H97=$D$10,H97=$D$11,H97=$D$12,H97=$D$13,H97=$D$14),SottocategorieUscite[[#Headers],[Personali]],IF(OR(H97=$E$5,H97=$E$6,H97=$E$7,H97=$E$8,H97=$E$9,H97=$E$10,H97=$E$11,H97=$E$12,H97=$E$13,H97=$E$14),SottocategorieUscite[[#Headers],[Lavoro]],IF(OR(H97=$F$5,H97=$F$6,H97=$F$7,H97=$F$8,H97=$F$9,H97=$F$10,H97=$F$11,H97=$F$12,H97=$F$13,H97=$F$14),SottocategorieUscite[[#Headers],[Casa]],IF(OR(H97=$G$5,H97=$G$6,H97=$G$7,H97=$G$8,H97=$G$9,H97=$G$10,H97=$G$11,H97=$G$12,H97=$G$13,H97=$G$14),SottocategorieUscite[[#Headers],[Utenze]],IF(OR(H97=$H$5,H97=$H$6,H97=$H$7,H97=$H$8,H97=$H$9,H97=$H$10,H97=$H$11,H97=$H$12,H97=$H$13,H97=$H$14),SottocategorieUscite[[#Headers],[Business Uscite]],IF(OR(H97=$I$5,H97=$I$6,H97=$I$7,H97=$I$8,H97=$I$9,H97=$I$10,H97=$I$11,H97=$I$12,H97=$I$13,H97=$I$14),SottocategorieUscite[[#Headers],[Banca]],IF(OR(H97=K$5,H97=K$6,H97=K$7,H97=K$8,H97=K$9,H97=K$10,H97=K$11,H97=K$12,H97=K$13,H97=K$14),SottocategorieEntrate[[#Headers],[Business Entrate]],IF(OR(H97=L$5,H97=L$6,H97=L$7,H97=L$8,H97=L$9,H97=L$10,H97=L$11,H97=L$12,H97=L$13,H97=L$14),SottocategorieEntrate[[#Headers],[Varie Entrate]],IF(OR(H97=M$5,H97=M$6,H97=M$7,H97=M$8,H97=M$9,H97=M$10,H97=M$11,H97=M$12,H97=M$13,H97=M$14),SottocategorieEntrate[[#Headers],[Real Estate]],IF(OR(H97=N$5,H97=N$6,H97=N$7,H97=N$8,H97=N$9,H97=N$10,H97=N$11,H97=N$12,H97=N$13,H97=N$14),SottocategorieEntrate[[#Headers],[Other]],""))))))))))))</f>
        <v/>
      </c>
      <c r="J97" t="str">
        <f>IF(OR(Dati[[#This Row],[Categoria]]="Bollette",Dati[[#This Row],[Categoria]]="Conto &amp; Carte BNL",Dati[[#This Row],[Categoria]]="Prelievo",Dati[[#This Row],[Categoria]]="Affitto",Dati[[#This Row],[Categoria]]="BNL(Interessi Creditori)"),"Carta",IF(Dati[[#This Row],[Categoria]]&lt;&gt;0,"Cash",""))</f>
        <v/>
      </c>
      <c r="K97" s="59" t="str">
        <f>IF(OR(Data!$I97=SottocategorieUscite[[#Headers],[Fuori Casa]],Data!$I97=SottocategorieUscite[[#Headers],[Varie Uscite]],Data!$I97=SottocategorieUscite[[#Headers],[Personali]],Data!$I97=SottocategorieUscite[[#Headers],[Lavoro]]),"$ -","")</f>
        <v/>
      </c>
      <c r="L97" s="59" t="str">
        <f>IF(OR(Data!$I97=SottocategorieUscite[[#Headers],[Casa]],Data!$I97=SottocategorieUscite[[#Headers],[Utenze]],Data!$I97=SottocategorieUscite[[#Headers],[Business Uscite]],Data!$I97=SottocategorieUscite[[#Headers],[Banca]]),"$ -","")</f>
        <v/>
      </c>
      <c r="M97" s="59" t="str">
        <f>IF(OR($I97&lt;&gt;SottocategorieUscite[[#Headers],[Fuori Casa]],$I97&lt;&gt;SottocategorieUscite[[#Headers],[Varie Uscite]],$I97&lt;&gt;SottocategorieUscite[[#Headers],[Personali]],$I97&lt;&gt;SottocategorieUscite[[#Headers],[Lavoro]],$I97&lt;&gt;SottocategorieUscite[[#Headers],[Casa]],$I97&lt;&gt;SottocategorieUscite[[#Headers],[Utenze]],$I97&lt;&gt;SottocategorieUscite[[#Headers],[Business Uscite]],$I97&lt;&gt;SottocategorieUscite[[#Headers],[Banca]]),"","$ -")</f>
        <v/>
      </c>
      <c r="N97" s="59" t="str">
        <f>IF(OR(Data!$I97=SottocategorieEntrate[[#Headers],[Business Entrate]],Data!$I97=SottocategorieEntrate[[#Headers],[Varie Entrate]]),"$ -","")</f>
        <v/>
      </c>
      <c r="O97" s="59" t="str">
        <f>IF(OR(Data!$I97=SottocategorieEntrate[[#Headers],[Real Estate]],SottocategorieEntrate[[#Headers],[Other]]),"$ -","")</f>
        <v/>
      </c>
      <c r="P97" s="59" t="str">
        <f>IF(OR($I97&lt;&gt;SottocategorieEntrate[[#Headers],[Business Entrate]],$I97&lt;&gt;SottocategorieEntrate[[#Headers],[Varie Entrate]],$I97&lt;&gt;SottocategorieEntrate[[#Headers],[Real Estate]],$I97&lt;&gt;SottocategorieEntrate[[#Headers],[Other]]),"","$ -")</f>
        <v/>
      </c>
      <c r="Q97" s="59" t="str">
        <f>IF(Dati[[#This Row],[Categoria]]="Prelievo","€ -","")</f>
        <v/>
      </c>
      <c r="R97" s="244" t="str">
        <f t="shared" ca="1" si="5"/>
        <v/>
      </c>
      <c r="S97" s="59" t="str">
        <f>IF(Dati[[#This Row],[Categoria]]="Savings",0,"")</f>
        <v/>
      </c>
      <c r="T97" s="59"/>
      <c r="U97" s="59"/>
      <c r="V97" s="59"/>
      <c r="W97" s="59"/>
      <c r="X97" s="59"/>
      <c r="Y97" s="59"/>
      <c r="Z97" s="59"/>
      <c r="AA97" s="59"/>
      <c r="AB97" s="59"/>
      <c r="AC97" s="59"/>
      <c r="AD97" s="59"/>
      <c r="AE97" s="59"/>
      <c r="AF97" s="59"/>
      <c r="AG97" s="59"/>
      <c r="AH97" s="59"/>
      <c r="AI97" s="59" t="str">
        <f>IF(SUM(Dati[[#This Row],[Inv. Business]:[Inv. Cryptocurrency]])=0," ",SUM(Dati[[#This Row],[Inv. Business]:[Inv. Cryptocurrency]]))</f>
        <v xml:space="preserve"> </v>
      </c>
      <c r="AJ97" s="59"/>
      <c r="AK97" s="59" t="str">
        <f>IF(SUM(Dati[[#This Row],[Inv. Gold]:[Mutuo]])=0," ",SUM(Dati[[#This Row],[Inv. Gold]:[Mutuo]]))</f>
        <v xml:space="preserve"> </v>
      </c>
      <c r="AL97" s="59"/>
      <c r="AM97" s="59"/>
    </row>
    <row r="98" spans="2:39" ht="16" customHeight="1" x14ac:dyDescent="0.35">
      <c r="B98">
        <f t="shared" si="3"/>
        <v>78</v>
      </c>
      <c r="C98" s="49">
        <f t="shared" si="4"/>
        <v>45004</v>
      </c>
      <c r="D98" s="29">
        <f>DAY(Dati[[#This Row],[Data]])</f>
        <v>19</v>
      </c>
      <c r="E98" s="29" t="str">
        <f>IF(DAY(Data!$C$21:$C$1327)&gt;0,TEXT(Data!$C$21:$C$1327, "mmmm"),"")</f>
        <v>marzo</v>
      </c>
      <c r="F98" s="29" t="str">
        <f>IF(DAY(Data!$C$21:$C$1327)&gt;0,TEXT(Data!$C$21:$C$1327, "aaaa"),"")</f>
        <v>2023</v>
      </c>
      <c r="I98" t="str">
        <f>IF(OR(H98=$B$5,H98=$B$6,H98=$B$7,H98=$B$8,H98=$B$9,H98=$B$10,H98=$B$11,H98=$B$12,H98=$B$13,H98=$B$14),SottocategorieUscite[[#Headers],[Fuori Casa]],IF(OR(H98=$C$5,H98=$C$6,H98=$C$7,H98=$C$8,H98=$C$9,H98=$C$10,H98=$C$11,H98=$C$12,H98=$C$13,H98=$C$14),SottocategorieUscite[[#Headers],[Varie Uscite]],IF(OR(H98=$D$5,H98=$D$6,H98=$D$7,H98=$D$8,H98=$D$9,H98=$D$10,H98=$D$11,H98=$D$12,H98=$D$13,H98=$D$14),SottocategorieUscite[[#Headers],[Personali]],IF(OR(H98=$E$5,H98=$E$6,H98=$E$7,H98=$E$8,H98=$E$9,H98=$E$10,H98=$E$11,H98=$E$12,H98=$E$13,H98=$E$14),SottocategorieUscite[[#Headers],[Lavoro]],IF(OR(H98=$F$5,H98=$F$6,H98=$F$7,H98=$F$8,H98=$F$9,H98=$F$10,H98=$F$11,H98=$F$12,H98=$F$13,H98=$F$14),SottocategorieUscite[[#Headers],[Casa]],IF(OR(H98=$G$5,H98=$G$6,H98=$G$7,H98=$G$8,H98=$G$9,H98=$G$10,H98=$G$11,H98=$G$12,H98=$G$13,H98=$G$14),SottocategorieUscite[[#Headers],[Utenze]],IF(OR(H98=$H$5,H98=$H$6,H98=$H$7,H98=$H$8,H98=$H$9,H98=$H$10,H98=$H$11,H98=$H$12,H98=$H$13,H98=$H$14),SottocategorieUscite[[#Headers],[Business Uscite]],IF(OR(H98=$I$5,H98=$I$6,H98=$I$7,H98=$I$8,H98=$I$9,H98=$I$10,H98=$I$11,H98=$I$12,H98=$I$13,H98=$I$14),SottocategorieUscite[[#Headers],[Banca]],IF(OR(H98=K$5,H98=K$6,H98=K$7,H98=K$8,H98=K$9,H98=K$10,H98=K$11,H98=K$12,H98=K$13,H98=K$14),SottocategorieEntrate[[#Headers],[Business Entrate]],IF(OR(H98=L$5,H98=L$6,H98=L$7,H98=L$8,H98=L$9,H98=L$10,H98=L$11,H98=L$12,H98=L$13,H98=L$14),SottocategorieEntrate[[#Headers],[Varie Entrate]],IF(OR(H98=M$5,H98=M$6,H98=M$7,H98=M$8,H98=M$9,H98=M$10,H98=M$11,H98=M$12,H98=M$13,H98=M$14),SottocategorieEntrate[[#Headers],[Real Estate]],IF(OR(H98=N$5,H98=N$6,H98=N$7,H98=N$8,H98=N$9,H98=N$10,H98=N$11,H98=N$12,H98=N$13,H98=N$14),SottocategorieEntrate[[#Headers],[Other]],""))))))))))))</f>
        <v/>
      </c>
      <c r="J98" t="str">
        <f>IF(OR(Dati[[#This Row],[Categoria]]="Bollette",Dati[[#This Row],[Categoria]]="Conto &amp; Carte BNL",Dati[[#This Row],[Categoria]]="Prelievo",Dati[[#This Row],[Categoria]]="Affitto",Dati[[#This Row],[Categoria]]="BNL(Interessi Creditori)"),"Carta",IF(Dati[[#This Row],[Categoria]]&lt;&gt;0,"Cash",""))</f>
        <v/>
      </c>
      <c r="K98" s="59" t="str">
        <f>IF(OR(Data!$I98=SottocategorieUscite[[#Headers],[Fuori Casa]],Data!$I98=SottocategorieUscite[[#Headers],[Varie Uscite]],Data!$I98=SottocategorieUscite[[#Headers],[Personali]],Data!$I98=SottocategorieUscite[[#Headers],[Lavoro]]),"$ -","")</f>
        <v/>
      </c>
      <c r="L98" s="59" t="str">
        <f>IF(OR(Data!$I98=SottocategorieUscite[[#Headers],[Casa]],Data!$I98=SottocategorieUscite[[#Headers],[Utenze]],Data!$I98=SottocategorieUscite[[#Headers],[Business Uscite]],Data!$I98=SottocategorieUscite[[#Headers],[Banca]]),"$ -","")</f>
        <v/>
      </c>
      <c r="M98" s="59" t="str">
        <f>IF(OR($I98&lt;&gt;SottocategorieUscite[[#Headers],[Fuori Casa]],$I98&lt;&gt;SottocategorieUscite[[#Headers],[Varie Uscite]],$I98&lt;&gt;SottocategorieUscite[[#Headers],[Personali]],$I98&lt;&gt;SottocategorieUscite[[#Headers],[Lavoro]],$I98&lt;&gt;SottocategorieUscite[[#Headers],[Casa]],$I98&lt;&gt;SottocategorieUscite[[#Headers],[Utenze]],$I98&lt;&gt;SottocategorieUscite[[#Headers],[Business Uscite]],$I98&lt;&gt;SottocategorieUscite[[#Headers],[Banca]]),"","$ -")</f>
        <v/>
      </c>
      <c r="N98" s="59" t="str">
        <f>IF(OR(Data!$I98=SottocategorieEntrate[[#Headers],[Business Entrate]],Data!$I98=SottocategorieEntrate[[#Headers],[Varie Entrate]]),"$ -","")</f>
        <v/>
      </c>
      <c r="O98" s="59" t="str">
        <f>IF(OR(Data!$I98=SottocategorieEntrate[[#Headers],[Real Estate]],SottocategorieEntrate[[#Headers],[Other]]),"$ -","")</f>
        <v/>
      </c>
      <c r="P98" s="59" t="str">
        <f>IF(OR($I98&lt;&gt;SottocategorieEntrate[[#Headers],[Business Entrate]],$I98&lt;&gt;SottocategorieEntrate[[#Headers],[Varie Entrate]],$I98&lt;&gt;SottocategorieEntrate[[#Headers],[Real Estate]],$I98&lt;&gt;SottocategorieEntrate[[#Headers],[Other]]),"","$ -")</f>
        <v/>
      </c>
      <c r="Q98" s="59" t="str">
        <f>IF(Dati[[#This Row],[Categoria]]="Prelievo","€ -","")</f>
        <v/>
      </c>
      <c r="R98" s="244" t="str">
        <f t="shared" ca="1" si="5"/>
        <v/>
      </c>
      <c r="S98" s="59" t="str">
        <f>IF(Dati[[#This Row],[Categoria]]="Savings",0,"")</f>
        <v/>
      </c>
      <c r="T98" s="59"/>
      <c r="U98" s="59"/>
      <c r="V98" s="59"/>
      <c r="W98" s="59"/>
      <c r="X98" s="59"/>
      <c r="Y98" s="59"/>
      <c r="Z98" s="59"/>
      <c r="AA98" s="59"/>
      <c r="AB98" s="59"/>
      <c r="AC98" s="59"/>
      <c r="AD98" s="59"/>
      <c r="AE98" s="59"/>
      <c r="AF98" s="59"/>
      <c r="AG98" s="59"/>
      <c r="AH98" s="59"/>
      <c r="AI98" s="59" t="str">
        <f>IF(SUM(Dati[[#This Row],[Inv. Business]:[Inv. Cryptocurrency]])=0," ",SUM(Dati[[#This Row],[Inv. Business]:[Inv. Cryptocurrency]]))</f>
        <v xml:space="preserve"> </v>
      </c>
      <c r="AJ98" s="59"/>
      <c r="AK98" s="59" t="str">
        <f>IF(SUM(Dati[[#This Row],[Inv. Gold]:[Mutuo]])=0," ",SUM(Dati[[#This Row],[Inv. Gold]:[Mutuo]]))</f>
        <v xml:space="preserve"> </v>
      </c>
      <c r="AL98" s="59"/>
      <c r="AM98" s="59"/>
    </row>
    <row r="99" spans="2:39" ht="16" customHeight="1" x14ac:dyDescent="0.35">
      <c r="B99">
        <f t="shared" si="3"/>
        <v>79</v>
      </c>
      <c r="C99" s="49">
        <f t="shared" si="4"/>
        <v>45005</v>
      </c>
      <c r="D99" s="29">
        <f>DAY(Dati[[#This Row],[Data]])</f>
        <v>20</v>
      </c>
      <c r="E99" s="29" t="str">
        <f>IF(DAY(Data!$C$21:$C$1327)&gt;0,TEXT(Data!$C$21:$C$1327, "mmmm"),"")</f>
        <v>marzo</v>
      </c>
      <c r="F99" s="29" t="str">
        <f>IF(DAY(Data!$C$21:$C$1327)&gt;0,TEXT(Data!$C$21:$C$1327, "aaaa"),"")</f>
        <v>2023</v>
      </c>
      <c r="I99" t="str">
        <f>IF(OR(H99=$B$5,H99=$B$6,H99=$B$7,H99=$B$8,H99=$B$9,H99=$B$10,H99=$B$11,H99=$B$12,H99=$B$13,H99=$B$14),SottocategorieUscite[[#Headers],[Fuori Casa]],IF(OR(H99=$C$5,H99=$C$6,H99=$C$7,H99=$C$8,H99=$C$9,H99=$C$10,H99=$C$11,H99=$C$12,H99=$C$13,H99=$C$14),SottocategorieUscite[[#Headers],[Varie Uscite]],IF(OR(H99=$D$5,H99=$D$6,H99=$D$7,H99=$D$8,H99=$D$9,H99=$D$10,H99=$D$11,H99=$D$12,H99=$D$13,H99=$D$14),SottocategorieUscite[[#Headers],[Personali]],IF(OR(H99=$E$5,H99=$E$6,H99=$E$7,H99=$E$8,H99=$E$9,H99=$E$10,H99=$E$11,H99=$E$12,H99=$E$13,H99=$E$14),SottocategorieUscite[[#Headers],[Lavoro]],IF(OR(H99=$F$5,H99=$F$6,H99=$F$7,H99=$F$8,H99=$F$9,H99=$F$10,H99=$F$11,H99=$F$12,H99=$F$13,H99=$F$14),SottocategorieUscite[[#Headers],[Casa]],IF(OR(H99=$G$5,H99=$G$6,H99=$G$7,H99=$G$8,H99=$G$9,H99=$G$10,H99=$G$11,H99=$G$12,H99=$G$13,H99=$G$14),SottocategorieUscite[[#Headers],[Utenze]],IF(OR(H99=$H$5,H99=$H$6,H99=$H$7,H99=$H$8,H99=$H$9,H99=$H$10,H99=$H$11,H99=$H$12,H99=$H$13,H99=$H$14),SottocategorieUscite[[#Headers],[Business Uscite]],IF(OR(H99=$I$5,H99=$I$6,H99=$I$7,H99=$I$8,H99=$I$9,H99=$I$10,H99=$I$11,H99=$I$12,H99=$I$13,H99=$I$14),SottocategorieUscite[[#Headers],[Banca]],IF(OR(H99=K$5,H99=K$6,H99=K$7,H99=K$8,H99=K$9,H99=K$10,H99=K$11,H99=K$12,H99=K$13,H99=K$14),SottocategorieEntrate[[#Headers],[Business Entrate]],IF(OR(H99=L$5,H99=L$6,H99=L$7,H99=L$8,H99=L$9,H99=L$10,H99=L$11,H99=L$12,H99=L$13,H99=L$14),SottocategorieEntrate[[#Headers],[Varie Entrate]],IF(OR(H99=M$5,H99=M$6,H99=M$7,H99=M$8,H99=M$9,H99=M$10,H99=M$11,H99=M$12,H99=M$13,H99=M$14),SottocategorieEntrate[[#Headers],[Real Estate]],IF(OR(H99=N$5,H99=N$6,H99=N$7,H99=N$8,H99=N$9,H99=N$10,H99=N$11,H99=N$12,H99=N$13,H99=N$14),SottocategorieEntrate[[#Headers],[Other]],""))))))))))))</f>
        <v/>
      </c>
      <c r="J99" t="str">
        <f>IF(OR(Dati[[#This Row],[Categoria]]="Bollette",Dati[[#This Row],[Categoria]]="Conto &amp; Carte BNL",Dati[[#This Row],[Categoria]]="Prelievo",Dati[[#This Row],[Categoria]]="Affitto",Dati[[#This Row],[Categoria]]="BNL(Interessi Creditori)"),"Carta",IF(Dati[[#This Row],[Categoria]]&lt;&gt;0,"Cash",""))</f>
        <v/>
      </c>
      <c r="K99" s="59" t="str">
        <f>IF(OR(Data!$I99=SottocategorieUscite[[#Headers],[Fuori Casa]],Data!$I99=SottocategorieUscite[[#Headers],[Varie Uscite]],Data!$I99=SottocategorieUscite[[#Headers],[Personali]],Data!$I99=SottocategorieUscite[[#Headers],[Lavoro]]),"$ -","")</f>
        <v/>
      </c>
      <c r="L99" s="59" t="str">
        <f>IF(OR(Data!$I99=SottocategorieUscite[[#Headers],[Casa]],Data!$I99=SottocategorieUscite[[#Headers],[Utenze]],Data!$I99=SottocategorieUscite[[#Headers],[Business Uscite]],Data!$I99=SottocategorieUscite[[#Headers],[Banca]]),"$ -","")</f>
        <v/>
      </c>
      <c r="M99" s="59" t="str">
        <f>IF(OR($I99&lt;&gt;SottocategorieUscite[[#Headers],[Fuori Casa]],$I99&lt;&gt;SottocategorieUscite[[#Headers],[Varie Uscite]],$I99&lt;&gt;SottocategorieUscite[[#Headers],[Personali]],$I99&lt;&gt;SottocategorieUscite[[#Headers],[Lavoro]],$I99&lt;&gt;SottocategorieUscite[[#Headers],[Casa]],$I99&lt;&gt;SottocategorieUscite[[#Headers],[Utenze]],$I99&lt;&gt;SottocategorieUscite[[#Headers],[Business Uscite]],$I99&lt;&gt;SottocategorieUscite[[#Headers],[Banca]]),"","$ -")</f>
        <v/>
      </c>
      <c r="N99" s="59" t="str">
        <f>IF(OR(Data!$I99=SottocategorieEntrate[[#Headers],[Business Entrate]],Data!$I99=SottocategorieEntrate[[#Headers],[Varie Entrate]]),"$ -","")</f>
        <v/>
      </c>
      <c r="O99" s="59" t="str">
        <f>IF(OR(Data!$I99=SottocategorieEntrate[[#Headers],[Real Estate]],SottocategorieEntrate[[#Headers],[Other]]),"$ -","")</f>
        <v/>
      </c>
      <c r="P99" s="59" t="str">
        <f>IF(OR($I99&lt;&gt;SottocategorieEntrate[[#Headers],[Business Entrate]],$I99&lt;&gt;SottocategorieEntrate[[#Headers],[Varie Entrate]],$I99&lt;&gt;SottocategorieEntrate[[#Headers],[Real Estate]],$I99&lt;&gt;SottocategorieEntrate[[#Headers],[Other]]),"","$ -")</f>
        <v/>
      </c>
      <c r="Q99" s="59" t="str">
        <f>IF(Dati[[#This Row],[Categoria]]="Prelievo","€ -","")</f>
        <v/>
      </c>
      <c r="R99" s="244" t="str">
        <f t="shared" ca="1" si="5"/>
        <v/>
      </c>
      <c r="S99" s="59" t="str">
        <f>IF(Dati[[#This Row],[Categoria]]="Savings",0,"")</f>
        <v/>
      </c>
      <c r="T99" s="59"/>
      <c r="U99" s="59"/>
      <c r="V99" s="59"/>
      <c r="W99" s="59"/>
      <c r="X99" s="59"/>
      <c r="Y99" s="59"/>
      <c r="Z99" s="59"/>
      <c r="AA99" s="59"/>
      <c r="AB99" s="59"/>
      <c r="AC99" s="59"/>
      <c r="AD99" s="59"/>
      <c r="AE99" s="59"/>
      <c r="AF99" s="59"/>
      <c r="AG99" s="59"/>
      <c r="AH99" s="59"/>
      <c r="AI99" s="59" t="str">
        <f>IF(SUM(Dati[[#This Row],[Inv. Business]:[Inv. Cryptocurrency]])=0," ",SUM(Dati[[#This Row],[Inv. Business]:[Inv. Cryptocurrency]]))</f>
        <v xml:space="preserve"> </v>
      </c>
      <c r="AJ99" s="59"/>
      <c r="AK99" s="59" t="str">
        <f>IF(SUM(Dati[[#This Row],[Inv. Gold]:[Mutuo]])=0," ",SUM(Dati[[#This Row],[Inv. Gold]:[Mutuo]]))</f>
        <v xml:space="preserve"> </v>
      </c>
      <c r="AL99" s="59"/>
      <c r="AM99" s="59"/>
    </row>
    <row r="100" spans="2:39" ht="16" customHeight="1" x14ac:dyDescent="0.35">
      <c r="B100">
        <f t="shared" si="3"/>
        <v>80</v>
      </c>
      <c r="C100" s="49">
        <f t="shared" si="4"/>
        <v>45006</v>
      </c>
      <c r="D100" s="29">
        <f>DAY(Dati[[#This Row],[Data]])</f>
        <v>21</v>
      </c>
      <c r="E100" s="29" t="str">
        <f>IF(DAY(Data!$C$21:$C$1327)&gt;0,TEXT(Data!$C$21:$C$1327, "mmmm"),"")</f>
        <v>marzo</v>
      </c>
      <c r="F100" s="29" t="str">
        <f>IF(DAY(Data!$C$21:$C$1327)&gt;0,TEXT(Data!$C$21:$C$1327, "aaaa"),"")</f>
        <v>2023</v>
      </c>
      <c r="I100" t="str">
        <f>IF(OR(H100=$B$5,H100=$B$6,H100=$B$7,H100=$B$8,H100=$B$9,H100=$B$10,H100=$B$11,H100=$B$12,H100=$B$13,H100=$B$14),SottocategorieUscite[[#Headers],[Fuori Casa]],IF(OR(H100=$C$5,H100=$C$6,H100=$C$7,H100=$C$8,H100=$C$9,H100=$C$10,H100=$C$11,H100=$C$12,H100=$C$13,H100=$C$14),SottocategorieUscite[[#Headers],[Varie Uscite]],IF(OR(H100=$D$5,H100=$D$6,H100=$D$7,H100=$D$8,H100=$D$9,H100=$D$10,H100=$D$11,H100=$D$12,H100=$D$13,H100=$D$14),SottocategorieUscite[[#Headers],[Personali]],IF(OR(H100=$E$5,H100=$E$6,H100=$E$7,H100=$E$8,H100=$E$9,H100=$E$10,H100=$E$11,H100=$E$12,H100=$E$13,H100=$E$14),SottocategorieUscite[[#Headers],[Lavoro]],IF(OR(H100=$F$5,H100=$F$6,H100=$F$7,H100=$F$8,H100=$F$9,H100=$F$10,H100=$F$11,H100=$F$12,H100=$F$13,H100=$F$14),SottocategorieUscite[[#Headers],[Casa]],IF(OR(H100=$G$5,H100=$G$6,H100=$G$7,H100=$G$8,H100=$G$9,H100=$G$10,H100=$G$11,H100=$G$12,H100=$G$13,H100=$G$14),SottocategorieUscite[[#Headers],[Utenze]],IF(OR(H100=$H$5,H100=$H$6,H100=$H$7,H100=$H$8,H100=$H$9,H100=$H$10,H100=$H$11,H100=$H$12,H100=$H$13,H100=$H$14),SottocategorieUscite[[#Headers],[Business Uscite]],IF(OR(H100=$I$5,H100=$I$6,H100=$I$7,H100=$I$8,H100=$I$9,H100=$I$10,H100=$I$11,H100=$I$12,H100=$I$13,H100=$I$14),SottocategorieUscite[[#Headers],[Banca]],IF(OR(H100=K$5,H100=K$6,H100=K$7,H100=K$8,H100=K$9,H100=K$10,H100=K$11,H100=K$12,H100=K$13,H100=K$14),SottocategorieEntrate[[#Headers],[Business Entrate]],IF(OR(H100=L$5,H100=L$6,H100=L$7,H100=L$8,H100=L$9,H100=L$10,H100=L$11,H100=L$12,H100=L$13,H100=L$14),SottocategorieEntrate[[#Headers],[Varie Entrate]],IF(OR(H100=M$5,H100=M$6,H100=M$7,H100=M$8,H100=M$9,H100=M$10,H100=M$11,H100=M$12,H100=M$13,H100=M$14),SottocategorieEntrate[[#Headers],[Real Estate]],IF(OR(H100=N$5,H100=N$6,H100=N$7,H100=N$8,H100=N$9,H100=N$10,H100=N$11,H100=N$12,H100=N$13,H100=N$14),SottocategorieEntrate[[#Headers],[Other]],""))))))))))))</f>
        <v/>
      </c>
      <c r="J100" t="str">
        <f>IF(OR(Dati[[#This Row],[Categoria]]="Bollette",Dati[[#This Row],[Categoria]]="Conto &amp; Carte BNL",Dati[[#This Row],[Categoria]]="Prelievo",Dati[[#This Row],[Categoria]]="Affitto",Dati[[#This Row],[Categoria]]="BNL(Interessi Creditori)"),"Carta",IF(Dati[[#This Row],[Categoria]]&lt;&gt;0,"Cash",""))</f>
        <v/>
      </c>
      <c r="K100" s="59" t="str">
        <f>IF(OR(Data!$I100=SottocategorieUscite[[#Headers],[Fuori Casa]],Data!$I100=SottocategorieUscite[[#Headers],[Varie Uscite]],Data!$I100=SottocategorieUscite[[#Headers],[Personali]],Data!$I100=SottocategorieUscite[[#Headers],[Lavoro]]),"$ -","")</f>
        <v/>
      </c>
      <c r="L100" s="59" t="str">
        <f>IF(OR(Data!$I100=SottocategorieUscite[[#Headers],[Casa]],Data!$I100=SottocategorieUscite[[#Headers],[Utenze]],Data!$I100=SottocategorieUscite[[#Headers],[Business Uscite]],Data!$I100=SottocategorieUscite[[#Headers],[Banca]]),"$ -","")</f>
        <v/>
      </c>
      <c r="M100" s="59" t="str">
        <f>IF(OR($I100&lt;&gt;SottocategorieUscite[[#Headers],[Fuori Casa]],$I100&lt;&gt;SottocategorieUscite[[#Headers],[Varie Uscite]],$I100&lt;&gt;SottocategorieUscite[[#Headers],[Personali]],$I100&lt;&gt;SottocategorieUscite[[#Headers],[Lavoro]],$I100&lt;&gt;SottocategorieUscite[[#Headers],[Casa]],$I100&lt;&gt;SottocategorieUscite[[#Headers],[Utenze]],$I100&lt;&gt;SottocategorieUscite[[#Headers],[Business Uscite]],$I100&lt;&gt;SottocategorieUscite[[#Headers],[Banca]]),"","$ -")</f>
        <v/>
      </c>
      <c r="N100" s="59" t="str">
        <f>IF(OR(Data!$I100=SottocategorieEntrate[[#Headers],[Business Entrate]],Data!$I100=SottocategorieEntrate[[#Headers],[Varie Entrate]]),"$ -","")</f>
        <v/>
      </c>
      <c r="O100" s="59" t="str">
        <f>IF(OR(Data!$I100=SottocategorieEntrate[[#Headers],[Real Estate]],SottocategorieEntrate[[#Headers],[Other]]),"$ -","")</f>
        <v/>
      </c>
      <c r="P100" s="59" t="str">
        <f>IF(OR($I100&lt;&gt;SottocategorieEntrate[[#Headers],[Business Entrate]],$I100&lt;&gt;SottocategorieEntrate[[#Headers],[Varie Entrate]],$I100&lt;&gt;SottocategorieEntrate[[#Headers],[Real Estate]],$I100&lt;&gt;SottocategorieEntrate[[#Headers],[Other]]),"","$ -")</f>
        <v/>
      </c>
      <c r="Q100" s="59" t="str">
        <f>IF(Dati[[#This Row],[Categoria]]="Prelievo","€ -","")</f>
        <v/>
      </c>
      <c r="R100" s="244" t="str">
        <f t="shared" ca="1" si="5"/>
        <v/>
      </c>
      <c r="S100" s="59" t="str">
        <f>IF(Dati[[#This Row],[Categoria]]="Savings",0,"")</f>
        <v/>
      </c>
      <c r="T100" s="59"/>
      <c r="U100" s="59"/>
      <c r="V100" s="59"/>
      <c r="W100" s="59"/>
      <c r="X100" s="59"/>
      <c r="Y100" s="59"/>
      <c r="Z100" s="59"/>
      <c r="AA100" s="59"/>
      <c r="AB100" s="59"/>
      <c r="AC100" s="59"/>
      <c r="AD100" s="59"/>
      <c r="AE100" s="59"/>
      <c r="AF100" s="59"/>
      <c r="AG100" s="59"/>
      <c r="AH100" s="59"/>
      <c r="AI100" s="59" t="str">
        <f>IF(SUM(Dati[[#This Row],[Inv. Business]:[Inv. Cryptocurrency]])=0," ",SUM(Dati[[#This Row],[Inv. Business]:[Inv. Cryptocurrency]]))</f>
        <v xml:space="preserve"> </v>
      </c>
      <c r="AJ100" s="59"/>
      <c r="AK100" s="59" t="str">
        <f>IF(SUM(Dati[[#This Row],[Inv. Gold]:[Mutuo]])=0," ",SUM(Dati[[#This Row],[Inv. Gold]:[Mutuo]]))</f>
        <v xml:space="preserve"> </v>
      </c>
      <c r="AL100" s="59"/>
      <c r="AM100" s="59"/>
    </row>
    <row r="101" spans="2:39" ht="16" customHeight="1" x14ac:dyDescent="0.35">
      <c r="B101">
        <f t="shared" si="3"/>
        <v>81</v>
      </c>
      <c r="C101" s="49">
        <f t="shared" si="4"/>
        <v>45007</v>
      </c>
      <c r="D101" s="29">
        <f>DAY(Dati[[#This Row],[Data]])</f>
        <v>22</v>
      </c>
      <c r="E101" s="29" t="str">
        <f>IF(DAY(Data!$C$21:$C$1327)&gt;0,TEXT(Data!$C$21:$C$1327, "mmmm"),"")</f>
        <v>marzo</v>
      </c>
      <c r="F101" s="29" t="str">
        <f>IF(DAY(Data!$C$21:$C$1327)&gt;0,TEXT(Data!$C$21:$C$1327, "aaaa"),"")</f>
        <v>2023</v>
      </c>
      <c r="I101" t="str">
        <f>IF(OR(H101=$B$5,H101=$B$6,H101=$B$7,H101=$B$8,H101=$B$9,H101=$B$10,H101=$B$11,H101=$B$12,H101=$B$13,H101=$B$14),SottocategorieUscite[[#Headers],[Fuori Casa]],IF(OR(H101=$C$5,H101=$C$6,H101=$C$7,H101=$C$8,H101=$C$9,H101=$C$10,H101=$C$11,H101=$C$12,H101=$C$13,H101=$C$14),SottocategorieUscite[[#Headers],[Varie Uscite]],IF(OR(H101=$D$5,H101=$D$6,H101=$D$7,H101=$D$8,H101=$D$9,H101=$D$10,H101=$D$11,H101=$D$12,H101=$D$13,H101=$D$14),SottocategorieUscite[[#Headers],[Personali]],IF(OR(H101=$E$5,H101=$E$6,H101=$E$7,H101=$E$8,H101=$E$9,H101=$E$10,H101=$E$11,H101=$E$12,H101=$E$13,H101=$E$14),SottocategorieUscite[[#Headers],[Lavoro]],IF(OR(H101=$F$5,H101=$F$6,H101=$F$7,H101=$F$8,H101=$F$9,H101=$F$10,H101=$F$11,H101=$F$12,H101=$F$13,H101=$F$14),SottocategorieUscite[[#Headers],[Casa]],IF(OR(H101=$G$5,H101=$G$6,H101=$G$7,H101=$G$8,H101=$G$9,H101=$G$10,H101=$G$11,H101=$G$12,H101=$G$13,H101=$G$14),SottocategorieUscite[[#Headers],[Utenze]],IF(OR(H101=$H$5,H101=$H$6,H101=$H$7,H101=$H$8,H101=$H$9,H101=$H$10,H101=$H$11,H101=$H$12,H101=$H$13,H101=$H$14),SottocategorieUscite[[#Headers],[Business Uscite]],IF(OR(H101=$I$5,H101=$I$6,H101=$I$7,H101=$I$8,H101=$I$9,H101=$I$10,H101=$I$11,H101=$I$12,H101=$I$13,H101=$I$14),SottocategorieUscite[[#Headers],[Banca]],IF(OR(H101=K$5,H101=K$6,H101=K$7,H101=K$8,H101=K$9,H101=K$10,H101=K$11,H101=K$12,H101=K$13,H101=K$14),SottocategorieEntrate[[#Headers],[Business Entrate]],IF(OR(H101=L$5,H101=L$6,H101=L$7,H101=L$8,H101=L$9,H101=L$10,H101=L$11,H101=L$12,H101=L$13,H101=L$14),SottocategorieEntrate[[#Headers],[Varie Entrate]],IF(OR(H101=M$5,H101=M$6,H101=M$7,H101=M$8,H101=M$9,H101=M$10,H101=M$11,H101=M$12,H101=M$13,H101=M$14),SottocategorieEntrate[[#Headers],[Real Estate]],IF(OR(H101=N$5,H101=N$6,H101=N$7,H101=N$8,H101=N$9,H101=N$10,H101=N$11,H101=N$12,H101=N$13,H101=N$14),SottocategorieEntrate[[#Headers],[Other]],""))))))))))))</f>
        <v/>
      </c>
      <c r="J101" t="str">
        <f>IF(OR(Dati[[#This Row],[Categoria]]="Bollette",Dati[[#This Row],[Categoria]]="Conto &amp; Carte BNL",Dati[[#This Row],[Categoria]]="Prelievo",Dati[[#This Row],[Categoria]]="Affitto",Dati[[#This Row],[Categoria]]="BNL(Interessi Creditori)"),"Carta",IF(Dati[[#This Row],[Categoria]]&lt;&gt;0,"Cash",""))</f>
        <v/>
      </c>
      <c r="K101" s="59" t="str">
        <f>IF(OR(Data!$I101=SottocategorieUscite[[#Headers],[Fuori Casa]],Data!$I101=SottocategorieUscite[[#Headers],[Varie Uscite]],Data!$I101=SottocategorieUscite[[#Headers],[Personali]],Data!$I101=SottocategorieUscite[[#Headers],[Lavoro]]),"$ -","")</f>
        <v/>
      </c>
      <c r="L101" s="59" t="str">
        <f>IF(OR(Data!$I101=SottocategorieUscite[[#Headers],[Casa]],Data!$I101=SottocategorieUscite[[#Headers],[Utenze]],Data!$I101=SottocategorieUscite[[#Headers],[Business Uscite]],Data!$I101=SottocategorieUscite[[#Headers],[Banca]]),"$ -","")</f>
        <v/>
      </c>
      <c r="M101" s="59" t="str">
        <f>IF(OR($I101&lt;&gt;SottocategorieUscite[[#Headers],[Fuori Casa]],$I101&lt;&gt;SottocategorieUscite[[#Headers],[Varie Uscite]],$I101&lt;&gt;SottocategorieUscite[[#Headers],[Personali]],$I101&lt;&gt;SottocategorieUscite[[#Headers],[Lavoro]],$I101&lt;&gt;SottocategorieUscite[[#Headers],[Casa]],$I101&lt;&gt;SottocategorieUscite[[#Headers],[Utenze]],$I101&lt;&gt;SottocategorieUscite[[#Headers],[Business Uscite]],$I101&lt;&gt;SottocategorieUscite[[#Headers],[Banca]]),"","$ -")</f>
        <v/>
      </c>
      <c r="N101" s="59" t="str">
        <f>IF(OR(Data!$I101=SottocategorieEntrate[[#Headers],[Business Entrate]],Data!$I101=SottocategorieEntrate[[#Headers],[Varie Entrate]]),"$ -","")</f>
        <v/>
      </c>
      <c r="O101" s="59" t="str">
        <f>IF(OR(Data!$I101=SottocategorieEntrate[[#Headers],[Real Estate]],SottocategorieEntrate[[#Headers],[Other]]),"$ -","")</f>
        <v/>
      </c>
      <c r="P101" s="59" t="str">
        <f>IF(OR($I101&lt;&gt;SottocategorieEntrate[[#Headers],[Business Entrate]],$I101&lt;&gt;SottocategorieEntrate[[#Headers],[Varie Entrate]],$I101&lt;&gt;SottocategorieEntrate[[#Headers],[Real Estate]],$I101&lt;&gt;SottocategorieEntrate[[#Headers],[Other]]),"","$ -")</f>
        <v/>
      </c>
      <c r="Q101" s="59" t="str">
        <f>IF(Dati[[#This Row],[Categoria]]="Prelievo","€ -","")</f>
        <v/>
      </c>
      <c r="R101" s="244" t="str">
        <f t="shared" ca="1" si="5"/>
        <v/>
      </c>
      <c r="S101" s="59" t="str">
        <f>IF(Dati[[#This Row],[Categoria]]="Savings",0,"")</f>
        <v/>
      </c>
      <c r="T101" s="59"/>
      <c r="U101" s="59"/>
      <c r="V101" s="59"/>
      <c r="W101" s="59"/>
      <c r="X101" s="59"/>
      <c r="Y101" s="59"/>
      <c r="Z101" s="59"/>
      <c r="AA101" s="59"/>
      <c r="AB101" s="59"/>
      <c r="AC101" s="59"/>
      <c r="AD101" s="59"/>
      <c r="AE101" s="59"/>
      <c r="AF101" s="59"/>
      <c r="AG101" s="59"/>
      <c r="AH101" s="59"/>
      <c r="AI101" s="59" t="str">
        <f>IF(SUM(Dati[[#This Row],[Inv. Business]:[Inv. Cryptocurrency]])=0," ",SUM(Dati[[#This Row],[Inv. Business]:[Inv. Cryptocurrency]]))</f>
        <v xml:space="preserve"> </v>
      </c>
      <c r="AJ101" s="59"/>
      <c r="AK101" s="59" t="str">
        <f>IF(SUM(Dati[[#This Row],[Inv. Gold]:[Mutuo]])=0," ",SUM(Dati[[#This Row],[Inv. Gold]:[Mutuo]]))</f>
        <v xml:space="preserve"> </v>
      </c>
      <c r="AL101" s="59"/>
      <c r="AM101" s="59"/>
    </row>
    <row r="102" spans="2:39" ht="16" customHeight="1" x14ac:dyDescent="0.35">
      <c r="B102">
        <f t="shared" si="3"/>
        <v>82</v>
      </c>
      <c r="C102" s="49">
        <f t="shared" si="4"/>
        <v>45008</v>
      </c>
      <c r="D102" s="29">
        <f>DAY(Dati[[#This Row],[Data]])</f>
        <v>23</v>
      </c>
      <c r="E102" s="29" t="str">
        <f>IF(DAY(Data!$C$21:$C$1327)&gt;0,TEXT(Data!$C$21:$C$1327, "mmmm"),"")</f>
        <v>marzo</v>
      </c>
      <c r="F102" s="29" t="str">
        <f>IF(DAY(Data!$C$21:$C$1327)&gt;0,TEXT(Data!$C$21:$C$1327, "aaaa"),"")</f>
        <v>2023</v>
      </c>
      <c r="I102" t="str">
        <f>IF(OR(H102=$B$5,H102=$B$6,H102=$B$7,H102=$B$8,H102=$B$9,H102=$B$10,H102=$B$11,H102=$B$12,H102=$B$13,H102=$B$14),SottocategorieUscite[[#Headers],[Fuori Casa]],IF(OR(H102=$C$5,H102=$C$6,H102=$C$7,H102=$C$8,H102=$C$9,H102=$C$10,H102=$C$11,H102=$C$12,H102=$C$13,H102=$C$14),SottocategorieUscite[[#Headers],[Varie Uscite]],IF(OR(H102=$D$5,H102=$D$6,H102=$D$7,H102=$D$8,H102=$D$9,H102=$D$10,H102=$D$11,H102=$D$12,H102=$D$13,H102=$D$14),SottocategorieUscite[[#Headers],[Personali]],IF(OR(H102=$E$5,H102=$E$6,H102=$E$7,H102=$E$8,H102=$E$9,H102=$E$10,H102=$E$11,H102=$E$12,H102=$E$13,H102=$E$14),SottocategorieUscite[[#Headers],[Lavoro]],IF(OR(H102=$F$5,H102=$F$6,H102=$F$7,H102=$F$8,H102=$F$9,H102=$F$10,H102=$F$11,H102=$F$12,H102=$F$13,H102=$F$14),SottocategorieUscite[[#Headers],[Casa]],IF(OR(H102=$G$5,H102=$G$6,H102=$G$7,H102=$G$8,H102=$G$9,H102=$G$10,H102=$G$11,H102=$G$12,H102=$G$13,H102=$G$14),SottocategorieUscite[[#Headers],[Utenze]],IF(OR(H102=$H$5,H102=$H$6,H102=$H$7,H102=$H$8,H102=$H$9,H102=$H$10,H102=$H$11,H102=$H$12,H102=$H$13,H102=$H$14),SottocategorieUscite[[#Headers],[Business Uscite]],IF(OR(H102=$I$5,H102=$I$6,H102=$I$7,H102=$I$8,H102=$I$9,H102=$I$10,H102=$I$11,H102=$I$12,H102=$I$13,H102=$I$14),SottocategorieUscite[[#Headers],[Banca]],IF(OR(H102=K$5,H102=K$6,H102=K$7,H102=K$8,H102=K$9,H102=K$10,H102=K$11,H102=K$12,H102=K$13,H102=K$14),SottocategorieEntrate[[#Headers],[Business Entrate]],IF(OR(H102=L$5,H102=L$6,H102=L$7,H102=L$8,H102=L$9,H102=L$10,H102=L$11,H102=L$12,H102=L$13,H102=L$14),SottocategorieEntrate[[#Headers],[Varie Entrate]],IF(OR(H102=M$5,H102=M$6,H102=M$7,H102=M$8,H102=M$9,H102=M$10,H102=M$11,H102=M$12,H102=M$13,H102=M$14),SottocategorieEntrate[[#Headers],[Real Estate]],IF(OR(H102=N$5,H102=N$6,H102=N$7,H102=N$8,H102=N$9,H102=N$10,H102=N$11,H102=N$12,H102=N$13,H102=N$14),SottocategorieEntrate[[#Headers],[Other]],""))))))))))))</f>
        <v/>
      </c>
      <c r="J102" t="str">
        <f>IF(OR(Dati[[#This Row],[Categoria]]="Bollette",Dati[[#This Row],[Categoria]]="Conto &amp; Carte BNL",Dati[[#This Row],[Categoria]]="Prelievo",Dati[[#This Row],[Categoria]]="Affitto",Dati[[#This Row],[Categoria]]="BNL(Interessi Creditori)"),"Carta",IF(Dati[[#This Row],[Categoria]]&lt;&gt;0,"Cash",""))</f>
        <v/>
      </c>
      <c r="K102" s="59" t="str">
        <f>IF(OR(Data!$I102=SottocategorieUscite[[#Headers],[Fuori Casa]],Data!$I102=SottocategorieUscite[[#Headers],[Varie Uscite]],Data!$I102=SottocategorieUscite[[#Headers],[Personali]],Data!$I102=SottocategorieUscite[[#Headers],[Lavoro]]),"$ -","")</f>
        <v/>
      </c>
      <c r="L102" s="59" t="str">
        <f>IF(OR(Data!$I102=SottocategorieUscite[[#Headers],[Casa]],Data!$I102=SottocategorieUscite[[#Headers],[Utenze]],Data!$I102=SottocategorieUscite[[#Headers],[Business Uscite]],Data!$I102=SottocategorieUscite[[#Headers],[Banca]]),"$ -","")</f>
        <v/>
      </c>
      <c r="M102" s="59" t="str">
        <f>IF(OR($I102&lt;&gt;SottocategorieUscite[[#Headers],[Fuori Casa]],$I102&lt;&gt;SottocategorieUscite[[#Headers],[Varie Uscite]],$I102&lt;&gt;SottocategorieUscite[[#Headers],[Personali]],$I102&lt;&gt;SottocategorieUscite[[#Headers],[Lavoro]],$I102&lt;&gt;SottocategorieUscite[[#Headers],[Casa]],$I102&lt;&gt;SottocategorieUscite[[#Headers],[Utenze]],$I102&lt;&gt;SottocategorieUscite[[#Headers],[Business Uscite]],$I102&lt;&gt;SottocategorieUscite[[#Headers],[Banca]]),"","$ -")</f>
        <v/>
      </c>
      <c r="N102" s="59" t="str">
        <f>IF(OR(Data!$I102=SottocategorieEntrate[[#Headers],[Business Entrate]],Data!$I102=SottocategorieEntrate[[#Headers],[Varie Entrate]]),"$ -","")</f>
        <v/>
      </c>
      <c r="O102" s="59" t="str">
        <f>IF(OR(Data!$I102=SottocategorieEntrate[[#Headers],[Real Estate]],SottocategorieEntrate[[#Headers],[Other]]),"$ -","")</f>
        <v/>
      </c>
      <c r="P102" s="59" t="str">
        <f>IF(OR($I102&lt;&gt;SottocategorieEntrate[[#Headers],[Business Entrate]],$I102&lt;&gt;SottocategorieEntrate[[#Headers],[Varie Entrate]],$I102&lt;&gt;SottocategorieEntrate[[#Headers],[Real Estate]],$I102&lt;&gt;SottocategorieEntrate[[#Headers],[Other]]),"","$ -")</f>
        <v/>
      </c>
      <c r="Q102" s="59" t="str">
        <f>IF(Dati[[#This Row],[Categoria]]="Prelievo","€ -","")</f>
        <v/>
      </c>
      <c r="R102" s="244" t="str">
        <f t="shared" ca="1" si="5"/>
        <v/>
      </c>
      <c r="S102" s="59" t="str">
        <f>IF(Dati[[#This Row],[Categoria]]="Savings",0,"")</f>
        <v/>
      </c>
      <c r="T102" s="59"/>
      <c r="U102" s="59"/>
      <c r="V102" s="59"/>
      <c r="W102" s="59"/>
      <c r="X102" s="59"/>
      <c r="Y102" s="59"/>
      <c r="Z102" s="59"/>
      <c r="AA102" s="59"/>
      <c r="AB102" s="59"/>
      <c r="AC102" s="59"/>
      <c r="AD102" s="59"/>
      <c r="AE102" s="59"/>
      <c r="AF102" s="59"/>
      <c r="AG102" s="59"/>
      <c r="AH102" s="59"/>
      <c r="AI102" s="59" t="str">
        <f>IF(SUM(Dati[[#This Row],[Inv. Business]:[Inv. Cryptocurrency]])=0," ",SUM(Dati[[#This Row],[Inv. Business]:[Inv. Cryptocurrency]]))</f>
        <v xml:space="preserve"> </v>
      </c>
      <c r="AJ102" s="59"/>
      <c r="AK102" s="59" t="str">
        <f>IF(SUM(Dati[[#This Row],[Inv. Gold]:[Mutuo]])=0," ",SUM(Dati[[#This Row],[Inv. Gold]:[Mutuo]]))</f>
        <v xml:space="preserve"> </v>
      </c>
      <c r="AL102" s="59"/>
      <c r="AM102" s="59"/>
    </row>
    <row r="103" spans="2:39" ht="16" customHeight="1" x14ac:dyDescent="0.35">
      <c r="B103">
        <f t="shared" si="3"/>
        <v>83</v>
      </c>
      <c r="C103" s="49">
        <f t="shared" si="4"/>
        <v>45009</v>
      </c>
      <c r="D103" s="29">
        <f>DAY(Dati[[#This Row],[Data]])</f>
        <v>24</v>
      </c>
      <c r="E103" s="29" t="str">
        <f>IF(DAY(Data!$C$21:$C$1327)&gt;0,TEXT(Data!$C$21:$C$1327, "mmmm"),"")</f>
        <v>marzo</v>
      </c>
      <c r="F103" s="29" t="str">
        <f>IF(DAY(Data!$C$21:$C$1327)&gt;0,TEXT(Data!$C$21:$C$1327, "aaaa"),"")</f>
        <v>2023</v>
      </c>
      <c r="I103" t="str">
        <f>IF(OR(H103=$B$5,H103=$B$6,H103=$B$7,H103=$B$8,H103=$B$9,H103=$B$10,H103=$B$11,H103=$B$12,H103=$B$13,H103=$B$14),SottocategorieUscite[[#Headers],[Fuori Casa]],IF(OR(H103=$C$5,H103=$C$6,H103=$C$7,H103=$C$8,H103=$C$9,H103=$C$10,H103=$C$11,H103=$C$12,H103=$C$13,H103=$C$14),SottocategorieUscite[[#Headers],[Varie Uscite]],IF(OR(H103=$D$5,H103=$D$6,H103=$D$7,H103=$D$8,H103=$D$9,H103=$D$10,H103=$D$11,H103=$D$12,H103=$D$13,H103=$D$14),SottocategorieUscite[[#Headers],[Personali]],IF(OR(H103=$E$5,H103=$E$6,H103=$E$7,H103=$E$8,H103=$E$9,H103=$E$10,H103=$E$11,H103=$E$12,H103=$E$13,H103=$E$14),SottocategorieUscite[[#Headers],[Lavoro]],IF(OR(H103=$F$5,H103=$F$6,H103=$F$7,H103=$F$8,H103=$F$9,H103=$F$10,H103=$F$11,H103=$F$12,H103=$F$13,H103=$F$14),SottocategorieUscite[[#Headers],[Casa]],IF(OR(H103=$G$5,H103=$G$6,H103=$G$7,H103=$G$8,H103=$G$9,H103=$G$10,H103=$G$11,H103=$G$12,H103=$G$13,H103=$G$14),SottocategorieUscite[[#Headers],[Utenze]],IF(OR(H103=$H$5,H103=$H$6,H103=$H$7,H103=$H$8,H103=$H$9,H103=$H$10,H103=$H$11,H103=$H$12,H103=$H$13,H103=$H$14),SottocategorieUscite[[#Headers],[Business Uscite]],IF(OR(H103=$I$5,H103=$I$6,H103=$I$7,H103=$I$8,H103=$I$9,H103=$I$10,H103=$I$11,H103=$I$12,H103=$I$13,H103=$I$14),SottocategorieUscite[[#Headers],[Banca]],IF(OR(H103=K$5,H103=K$6,H103=K$7,H103=K$8,H103=K$9,H103=K$10,H103=K$11,H103=K$12,H103=K$13,H103=K$14),SottocategorieEntrate[[#Headers],[Business Entrate]],IF(OR(H103=L$5,H103=L$6,H103=L$7,H103=L$8,H103=L$9,H103=L$10,H103=L$11,H103=L$12,H103=L$13,H103=L$14),SottocategorieEntrate[[#Headers],[Varie Entrate]],IF(OR(H103=M$5,H103=M$6,H103=M$7,H103=M$8,H103=M$9,H103=M$10,H103=M$11,H103=M$12,H103=M$13,H103=M$14),SottocategorieEntrate[[#Headers],[Real Estate]],IF(OR(H103=N$5,H103=N$6,H103=N$7,H103=N$8,H103=N$9,H103=N$10,H103=N$11,H103=N$12,H103=N$13,H103=N$14),SottocategorieEntrate[[#Headers],[Other]],""))))))))))))</f>
        <v/>
      </c>
      <c r="J103" t="str">
        <f>IF(OR(Dati[[#This Row],[Categoria]]="Bollette",Dati[[#This Row],[Categoria]]="Conto &amp; Carte BNL",Dati[[#This Row],[Categoria]]="Prelievo",Dati[[#This Row],[Categoria]]="Affitto",Dati[[#This Row],[Categoria]]="BNL(Interessi Creditori)"),"Carta",IF(Dati[[#This Row],[Categoria]]&lt;&gt;0,"Cash",""))</f>
        <v/>
      </c>
      <c r="K103" s="59" t="str">
        <f>IF(OR(Data!$I103=SottocategorieUscite[[#Headers],[Fuori Casa]],Data!$I103=SottocategorieUscite[[#Headers],[Varie Uscite]],Data!$I103=SottocategorieUscite[[#Headers],[Personali]],Data!$I103=SottocategorieUscite[[#Headers],[Lavoro]]),"$ -","")</f>
        <v/>
      </c>
      <c r="L103" s="59" t="str">
        <f>IF(OR(Data!$I103=SottocategorieUscite[[#Headers],[Casa]],Data!$I103=SottocategorieUscite[[#Headers],[Utenze]],Data!$I103=SottocategorieUscite[[#Headers],[Business Uscite]],Data!$I103=SottocategorieUscite[[#Headers],[Banca]]),"$ -","")</f>
        <v/>
      </c>
      <c r="M103" s="59" t="str">
        <f>IF(OR($I103&lt;&gt;SottocategorieUscite[[#Headers],[Fuori Casa]],$I103&lt;&gt;SottocategorieUscite[[#Headers],[Varie Uscite]],$I103&lt;&gt;SottocategorieUscite[[#Headers],[Personali]],$I103&lt;&gt;SottocategorieUscite[[#Headers],[Lavoro]],$I103&lt;&gt;SottocategorieUscite[[#Headers],[Casa]],$I103&lt;&gt;SottocategorieUscite[[#Headers],[Utenze]],$I103&lt;&gt;SottocategorieUscite[[#Headers],[Business Uscite]],$I103&lt;&gt;SottocategorieUscite[[#Headers],[Banca]]),"","$ -")</f>
        <v/>
      </c>
      <c r="N103" s="59" t="str">
        <f>IF(OR(Data!$I103=SottocategorieEntrate[[#Headers],[Business Entrate]],Data!$I103=SottocategorieEntrate[[#Headers],[Varie Entrate]]),"$ -","")</f>
        <v/>
      </c>
      <c r="O103" s="59" t="str">
        <f>IF(OR(Data!$I103=SottocategorieEntrate[[#Headers],[Real Estate]],SottocategorieEntrate[[#Headers],[Other]]),"$ -","")</f>
        <v/>
      </c>
      <c r="P103" s="59" t="str">
        <f>IF(OR($I103&lt;&gt;SottocategorieEntrate[[#Headers],[Business Entrate]],$I103&lt;&gt;SottocategorieEntrate[[#Headers],[Varie Entrate]],$I103&lt;&gt;SottocategorieEntrate[[#Headers],[Real Estate]],$I103&lt;&gt;SottocategorieEntrate[[#Headers],[Other]]),"","$ -")</f>
        <v/>
      </c>
      <c r="Q103" s="59" t="str">
        <f>IF(Dati[[#This Row],[Categoria]]="Prelievo","€ -","")</f>
        <v/>
      </c>
      <c r="R103" s="244" t="str">
        <f t="shared" ca="1" si="5"/>
        <v/>
      </c>
      <c r="S103" s="59" t="str">
        <f>IF(Dati[[#This Row],[Categoria]]="Savings",0,"")</f>
        <v/>
      </c>
      <c r="T103" s="59"/>
      <c r="U103" s="59"/>
      <c r="V103" s="59"/>
      <c r="W103" s="59"/>
      <c r="X103" s="59"/>
      <c r="Y103" s="59"/>
      <c r="Z103" s="59"/>
      <c r="AA103" s="59"/>
      <c r="AB103" s="59"/>
      <c r="AC103" s="59"/>
      <c r="AD103" s="59"/>
      <c r="AE103" s="59"/>
      <c r="AF103" s="59"/>
      <c r="AG103" s="59"/>
      <c r="AH103" s="59"/>
      <c r="AI103" s="59" t="str">
        <f>IF(SUM(Dati[[#This Row],[Inv. Business]:[Inv. Cryptocurrency]])=0," ",SUM(Dati[[#This Row],[Inv. Business]:[Inv. Cryptocurrency]]))</f>
        <v xml:space="preserve"> </v>
      </c>
      <c r="AJ103" s="59"/>
      <c r="AK103" s="59" t="str">
        <f>IF(SUM(Dati[[#This Row],[Inv. Gold]:[Mutuo]])=0," ",SUM(Dati[[#This Row],[Inv. Gold]:[Mutuo]]))</f>
        <v xml:space="preserve"> </v>
      </c>
      <c r="AL103" s="59"/>
      <c r="AM103" s="59"/>
    </row>
    <row r="104" spans="2:39" ht="16" customHeight="1" x14ac:dyDescent="0.35">
      <c r="B104">
        <f t="shared" si="3"/>
        <v>84</v>
      </c>
      <c r="C104" s="49">
        <f t="shared" si="4"/>
        <v>45010</v>
      </c>
      <c r="D104" s="29">
        <f>DAY(Dati[[#This Row],[Data]])</f>
        <v>25</v>
      </c>
      <c r="E104" s="29" t="str">
        <f>IF(DAY(Data!$C$21:$C$1327)&gt;0,TEXT(Data!$C$21:$C$1327, "mmmm"),"")</f>
        <v>marzo</v>
      </c>
      <c r="F104" s="29" t="str">
        <f>IF(DAY(Data!$C$21:$C$1327)&gt;0,TEXT(Data!$C$21:$C$1327, "aaaa"),"")</f>
        <v>2023</v>
      </c>
      <c r="I104" t="str">
        <f>IF(OR(H104=$B$5,H104=$B$6,H104=$B$7,H104=$B$8,H104=$B$9,H104=$B$10,H104=$B$11,H104=$B$12,H104=$B$13,H104=$B$14),SottocategorieUscite[[#Headers],[Fuori Casa]],IF(OR(H104=$C$5,H104=$C$6,H104=$C$7,H104=$C$8,H104=$C$9,H104=$C$10,H104=$C$11,H104=$C$12,H104=$C$13,H104=$C$14),SottocategorieUscite[[#Headers],[Varie Uscite]],IF(OR(H104=$D$5,H104=$D$6,H104=$D$7,H104=$D$8,H104=$D$9,H104=$D$10,H104=$D$11,H104=$D$12,H104=$D$13,H104=$D$14),SottocategorieUscite[[#Headers],[Personali]],IF(OR(H104=$E$5,H104=$E$6,H104=$E$7,H104=$E$8,H104=$E$9,H104=$E$10,H104=$E$11,H104=$E$12,H104=$E$13,H104=$E$14),SottocategorieUscite[[#Headers],[Lavoro]],IF(OR(H104=$F$5,H104=$F$6,H104=$F$7,H104=$F$8,H104=$F$9,H104=$F$10,H104=$F$11,H104=$F$12,H104=$F$13,H104=$F$14),SottocategorieUscite[[#Headers],[Casa]],IF(OR(H104=$G$5,H104=$G$6,H104=$G$7,H104=$G$8,H104=$G$9,H104=$G$10,H104=$G$11,H104=$G$12,H104=$G$13,H104=$G$14),SottocategorieUscite[[#Headers],[Utenze]],IF(OR(H104=$H$5,H104=$H$6,H104=$H$7,H104=$H$8,H104=$H$9,H104=$H$10,H104=$H$11,H104=$H$12,H104=$H$13,H104=$H$14),SottocategorieUscite[[#Headers],[Business Uscite]],IF(OR(H104=$I$5,H104=$I$6,H104=$I$7,H104=$I$8,H104=$I$9,H104=$I$10,H104=$I$11,H104=$I$12,H104=$I$13,H104=$I$14),SottocategorieUscite[[#Headers],[Banca]],IF(OR(H104=K$5,H104=K$6,H104=K$7,H104=K$8,H104=K$9,H104=K$10,H104=K$11,H104=K$12,H104=K$13,H104=K$14),SottocategorieEntrate[[#Headers],[Business Entrate]],IF(OR(H104=L$5,H104=L$6,H104=L$7,H104=L$8,H104=L$9,H104=L$10,H104=L$11,H104=L$12,H104=L$13,H104=L$14),SottocategorieEntrate[[#Headers],[Varie Entrate]],IF(OR(H104=M$5,H104=M$6,H104=M$7,H104=M$8,H104=M$9,H104=M$10,H104=M$11,H104=M$12,H104=M$13,H104=M$14),SottocategorieEntrate[[#Headers],[Real Estate]],IF(OR(H104=N$5,H104=N$6,H104=N$7,H104=N$8,H104=N$9,H104=N$10,H104=N$11,H104=N$12,H104=N$13,H104=N$14),SottocategorieEntrate[[#Headers],[Other]],""))))))))))))</f>
        <v/>
      </c>
      <c r="J104" t="str">
        <f>IF(OR(Dati[[#This Row],[Categoria]]="Bollette",Dati[[#This Row],[Categoria]]="Conto &amp; Carte BNL",Dati[[#This Row],[Categoria]]="Prelievo",Dati[[#This Row],[Categoria]]="Affitto",Dati[[#This Row],[Categoria]]="BNL(Interessi Creditori)"),"Carta",IF(Dati[[#This Row],[Categoria]]&lt;&gt;0,"Cash",""))</f>
        <v/>
      </c>
      <c r="K104" s="59" t="str">
        <f>IF(OR(Data!$I104=SottocategorieUscite[[#Headers],[Fuori Casa]],Data!$I104=SottocategorieUscite[[#Headers],[Varie Uscite]],Data!$I104=SottocategorieUscite[[#Headers],[Personali]],Data!$I104=SottocategorieUscite[[#Headers],[Lavoro]]),"$ -","")</f>
        <v/>
      </c>
      <c r="L104" s="59" t="str">
        <f>IF(OR(Data!$I104=SottocategorieUscite[[#Headers],[Casa]],Data!$I104=SottocategorieUscite[[#Headers],[Utenze]],Data!$I104=SottocategorieUscite[[#Headers],[Business Uscite]],Data!$I104=SottocategorieUscite[[#Headers],[Banca]]),"$ -","")</f>
        <v/>
      </c>
      <c r="M104" s="59" t="str">
        <f>IF(OR($I104&lt;&gt;SottocategorieUscite[[#Headers],[Fuori Casa]],$I104&lt;&gt;SottocategorieUscite[[#Headers],[Varie Uscite]],$I104&lt;&gt;SottocategorieUscite[[#Headers],[Personali]],$I104&lt;&gt;SottocategorieUscite[[#Headers],[Lavoro]],$I104&lt;&gt;SottocategorieUscite[[#Headers],[Casa]],$I104&lt;&gt;SottocategorieUscite[[#Headers],[Utenze]],$I104&lt;&gt;SottocategorieUscite[[#Headers],[Business Uscite]],$I104&lt;&gt;SottocategorieUscite[[#Headers],[Banca]]),"","$ -")</f>
        <v/>
      </c>
      <c r="N104" s="59" t="str">
        <f>IF(OR(Data!$I104=SottocategorieEntrate[[#Headers],[Business Entrate]],Data!$I104=SottocategorieEntrate[[#Headers],[Varie Entrate]]),"$ -","")</f>
        <v/>
      </c>
      <c r="O104" s="59" t="str">
        <f>IF(OR(Data!$I104=SottocategorieEntrate[[#Headers],[Real Estate]],SottocategorieEntrate[[#Headers],[Other]]),"$ -","")</f>
        <v/>
      </c>
      <c r="P104" s="59" t="str">
        <f>IF(OR($I104&lt;&gt;SottocategorieEntrate[[#Headers],[Business Entrate]],$I104&lt;&gt;SottocategorieEntrate[[#Headers],[Varie Entrate]],$I104&lt;&gt;SottocategorieEntrate[[#Headers],[Real Estate]],$I104&lt;&gt;SottocategorieEntrate[[#Headers],[Other]]),"","$ -")</f>
        <v/>
      </c>
      <c r="Q104" s="59" t="str">
        <f>IF(Dati[[#This Row],[Categoria]]="Prelievo","€ -","")</f>
        <v/>
      </c>
      <c r="R104" s="244" t="str">
        <f t="shared" ca="1" si="5"/>
        <v/>
      </c>
      <c r="S104" s="59" t="str">
        <f>IF(Dati[[#This Row],[Categoria]]="Savings",0,"")</f>
        <v/>
      </c>
      <c r="T104" s="59"/>
      <c r="U104" s="59"/>
      <c r="V104" s="59"/>
      <c r="W104" s="59"/>
      <c r="X104" s="59"/>
      <c r="Y104" s="59"/>
      <c r="Z104" s="59"/>
      <c r="AA104" s="59"/>
      <c r="AB104" s="59"/>
      <c r="AC104" s="59"/>
      <c r="AD104" s="59"/>
      <c r="AE104" s="59"/>
      <c r="AF104" s="59"/>
      <c r="AG104" s="59"/>
      <c r="AH104" s="59"/>
      <c r="AI104" s="59" t="str">
        <f>IF(SUM(Dati[[#This Row],[Inv. Business]:[Inv. Cryptocurrency]])=0," ",SUM(Dati[[#This Row],[Inv. Business]:[Inv. Cryptocurrency]]))</f>
        <v xml:space="preserve"> </v>
      </c>
      <c r="AJ104" s="59"/>
      <c r="AK104" s="59" t="str">
        <f>IF(SUM(Dati[[#This Row],[Inv. Gold]:[Mutuo]])=0," ",SUM(Dati[[#This Row],[Inv. Gold]:[Mutuo]]))</f>
        <v xml:space="preserve"> </v>
      </c>
      <c r="AL104" s="59"/>
      <c r="AM104" s="59"/>
    </row>
    <row r="105" spans="2:39" ht="16" customHeight="1" x14ac:dyDescent="0.35">
      <c r="B105">
        <f t="shared" si="3"/>
        <v>85</v>
      </c>
      <c r="C105" s="49">
        <f t="shared" si="4"/>
        <v>45011</v>
      </c>
      <c r="D105" s="29">
        <f>DAY(Dati[[#This Row],[Data]])</f>
        <v>26</v>
      </c>
      <c r="E105" s="29" t="str">
        <f>IF(DAY(Data!$C$21:$C$1327)&gt;0,TEXT(Data!$C$21:$C$1327, "mmmm"),"")</f>
        <v>marzo</v>
      </c>
      <c r="F105" s="29" t="str">
        <f>IF(DAY(Data!$C$21:$C$1327)&gt;0,TEXT(Data!$C$21:$C$1327, "aaaa"),"")</f>
        <v>2023</v>
      </c>
      <c r="I105" t="str">
        <f>IF(OR(H105=$B$5,H105=$B$6,H105=$B$7,H105=$B$8,H105=$B$9,H105=$B$10,H105=$B$11,H105=$B$12,H105=$B$13,H105=$B$14),SottocategorieUscite[[#Headers],[Fuori Casa]],IF(OR(H105=$C$5,H105=$C$6,H105=$C$7,H105=$C$8,H105=$C$9,H105=$C$10,H105=$C$11,H105=$C$12,H105=$C$13,H105=$C$14),SottocategorieUscite[[#Headers],[Varie Uscite]],IF(OR(H105=$D$5,H105=$D$6,H105=$D$7,H105=$D$8,H105=$D$9,H105=$D$10,H105=$D$11,H105=$D$12,H105=$D$13,H105=$D$14),SottocategorieUscite[[#Headers],[Personali]],IF(OR(H105=$E$5,H105=$E$6,H105=$E$7,H105=$E$8,H105=$E$9,H105=$E$10,H105=$E$11,H105=$E$12,H105=$E$13,H105=$E$14),SottocategorieUscite[[#Headers],[Lavoro]],IF(OR(H105=$F$5,H105=$F$6,H105=$F$7,H105=$F$8,H105=$F$9,H105=$F$10,H105=$F$11,H105=$F$12,H105=$F$13,H105=$F$14),SottocategorieUscite[[#Headers],[Casa]],IF(OR(H105=$G$5,H105=$G$6,H105=$G$7,H105=$G$8,H105=$G$9,H105=$G$10,H105=$G$11,H105=$G$12,H105=$G$13,H105=$G$14),SottocategorieUscite[[#Headers],[Utenze]],IF(OR(H105=$H$5,H105=$H$6,H105=$H$7,H105=$H$8,H105=$H$9,H105=$H$10,H105=$H$11,H105=$H$12,H105=$H$13,H105=$H$14),SottocategorieUscite[[#Headers],[Business Uscite]],IF(OR(H105=$I$5,H105=$I$6,H105=$I$7,H105=$I$8,H105=$I$9,H105=$I$10,H105=$I$11,H105=$I$12,H105=$I$13,H105=$I$14),SottocategorieUscite[[#Headers],[Banca]],IF(OR(H105=K$5,H105=K$6,H105=K$7,H105=K$8,H105=K$9,H105=K$10,H105=K$11,H105=K$12,H105=K$13,H105=K$14),SottocategorieEntrate[[#Headers],[Business Entrate]],IF(OR(H105=L$5,H105=L$6,H105=L$7,H105=L$8,H105=L$9,H105=L$10,H105=L$11,H105=L$12,H105=L$13,H105=L$14),SottocategorieEntrate[[#Headers],[Varie Entrate]],IF(OR(H105=M$5,H105=M$6,H105=M$7,H105=M$8,H105=M$9,H105=M$10,H105=M$11,H105=M$12,H105=M$13,H105=M$14),SottocategorieEntrate[[#Headers],[Real Estate]],IF(OR(H105=N$5,H105=N$6,H105=N$7,H105=N$8,H105=N$9,H105=N$10,H105=N$11,H105=N$12,H105=N$13,H105=N$14),SottocategorieEntrate[[#Headers],[Other]],""))))))))))))</f>
        <v/>
      </c>
      <c r="J105" t="str">
        <f>IF(OR(Dati[[#This Row],[Categoria]]="Bollette",Dati[[#This Row],[Categoria]]="Conto &amp; Carte BNL",Dati[[#This Row],[Categoria]]="Prelievo",Dati[[#This Row],[Categoria]]="Affitto",Dati[[#This Row],[Categoria]]="BNL(Interessi Creditori)"),"Carta",IF(Dati[[#This Row],[Categoria]]&lt;&gt;0,"Cash",""))</f>
        <v/>
      </c>
      <c r="K105" s="59" t="str">
        <f>IF(OR(Data!$I105=SottocategorieUscite[[#Headers],[Fuori Casa]],Data!$I105=SottocategorieUscite[[#Headers],[Varie Uscite]],Data!$I105=SottocategorieUscite[[#Headers],[Personali]],Data!$I105=SottocategorieUscite[[#Headers],[Lavoro]]),"$ -","")</f>
        <v/>
      </c>
      <c r="L105" s="59" t="str">
        <f>IF(OR(Data!$I105=SottocategorieUscite[[#Headers],[Casa]],Data!$I105=SottocategorieUscite[[#Headers],[Utenze]],Data!$I105=SottocategorieUscite[[#Headers],[Business Uscite]],Data!$I105=SottocategorieUscite[[#Headers],[Banca]]),"$ -","")</f>
        <v/>
      </c>
      <c r="M105" s="59" t="str">
        <f>IF(OR($I105&lt;&gt;SottocategorieUscite[[#Headers],[Fuori Casa]],$I105&lt;&gt;SottocategorieUscite[[#Headers],[Varie Uscite]],$I105&lt;&gt;SottocategorieUscite[[#Headers],[Personali]],$I105&lt;&gt;SottocategorieUscite[[#Headers],[Lavoro]],$I105&lt;&gt;SottocategorieUscite[[#Headers],[Casa]],$I105&lt;&gt;SottocategorieUscite[[#Headers],[Utenze]],$I105&lt;&gt;SottocategorieUscite[[#Headers],[Business Uscite]],$I105&lt;&gt;SottocategorieUscite[[#Headers],[Banca]]),"","$ -")</f>
        <v/>
      </c>
      <c r="N105" s="59" t="str">
        <f>IF(OR(Data!$I105=SottocategorieEntrate[[#Headers],[Business Entrate]],Data!$I105=SottocategorieEntrate[[#Headers],[Varie Entrate]]),"$ -","")</f>
        <v/>
      </c>
      <c r="O105" s="59" t="str">
        <f>IF(OR(Data!$I105=SottocategorieEntrate[[#Headers],[Real Estate]],SottocategorieEntrate[[#Headers],[Other]]),"$ -","")</f>
        <v/>
      </c>
      <c r="P105" s="59" t="str">
        <f>IF(OR($I105&lt;&gt;SottocategorieEntrate[[#Headers],[Business Entrate]],$I105&lt;&gt;SottocategorieEntrate[[#Headers],[Varie Entrate]],$I105&lt;&gt;SottocategorieEntrate[[#Headers],[Real Estate]],$I105&lt;&gt;SottocategorieEntrate[[#Headers],[Other]]),"","$ -")</f>
        <v/>
      </c>
      <c r="Q105" s="59" t="str">
        <f>IF(Dati[[#This Row],[Categoria]]="Prelievo","€ -","")</f>
        <v/>
      </c>
      <c r="R105" s="244" t="str">
        <f t="shared" ca="1" si="5"/>
        <v/>
      </c>
      <c r="S105" s="59" t="str">
        <f>IF(Dati[[#This Row],[Categoria]]="Savings",0,"")</f>
        <v/>
      </c>
      <c r="T105" s="59"/>
      <c r="U105" s="59"/>
      <c r="V105" s="59"/>
      <c r="W105" s="59"/>
      <c r="X105" s="59"/>
      <c r="Y105" s="59"/>
      <c r="Z105" s="59"/>
      <c r="AA105" s="59"/>
      <c r="AB105" s="59"/>
      <c r="AC105" s="59"/>
      <c r="AD105" s="59"/>
      <c r="AE105" s="59"/>
      <c r="AF105" s="59"/>
      <c r="AG105" s="59"/>
      <c r="AH105" s="59"/>
      <c r="AI105" s="59" t="str">
        <f>IF(SUM(Dati[[#This Row],[Inv. Business]:[Inv. Cryptocurrency]])=0," ",SUM(Dati[[#This Row],[Inv. Business]:[Inv. Cryptocurrency]]))</f>
        <v xml:space="preserve"> </v>
      </c>
      <c r="AJ105" s="59"/>
      <c r="AK105" s="59" t="str">
        <f>IF(SUM(Dati[[#This Row],[Inv. Gold]:[Mutuo]])=0," ",SUM(Dati[[#This Row],[Inv. Gold]:[Mutuo]]))</f>
        <v xml:space="preserve"> </v>
      </c>
      <c r="AL105" s="59"/>
      <c r="AM105" s="59"/>
    </row>
    <row r="106" spans="2:39" ht="16" customHeight="1" x14ac:dyDescent="0.35">
      <c r="B106">
        <f t="shared" si="3"/>
        <v>86</v>
      </c>
      <c r="C106" s="49">
        <f t="shared" si="4"/>
        <v>45012</v>
      </c>
      <c r="D106" s="29">
        <f>DAY(Dati[[#This Row],[Data]])</f>
        <v>27</v>
      </c>
      <c r="E106" s="29" t="str">
        <f>IF(DAY(Data!$C$21:$C$1327)&gt;0,TEXT(Data!$C$21:$C$1327, "mmmm"),"")</f>
        <v>marzo</v>
      </c>
      <c r="F106" s="29" t="str">
        <f>IF(DAY(Data!$C$21:$C$1327)&gt;0,TEXT(Data!$C$21:$C$1327, "aaaa"),"")</f>
        <v>2023</v>
      </c>
      <c r="I106" t="str">
        <f>IF(OR(H106=$B$5,H106=$B$6,H106=$B$7,H106=$B$8,H106=$B$9,H106=$B$10,H106=$B$11,H106=$B$12,H106=$B$13,H106=$B$14),SottocategorieUscite[[#Headers],[Fuori Casa]],IF(OR(H106=$C$5,H106=$C$6,H106=$C$7,H106=$C$8,H106=$C$9,H106=$C$10,H106=$C$11,H106=$C$12,H106=$C$13,H106=$C$14),SottocategorieUscite[[#Headers],[Varie Uscite]],IF(OR(H106=$D$5,H106=$D$6,H106=$D$7,H106=$D$8,H106=$D$9,H106=$D$10,H106=$D$11,H106=$D$12,H106=$D$13,H106=$D$14),SottocategorieUscite[[#Headers],[Personali]],IF(OR(H106=$E$5,H106=$E$6,H106=$E$7,H106=$E$8,H106=$E$9,H106=$E$10,H106=$E$11,H106=$E$12,H106=$E$13,H106=$E$14),SottocategorieUscite[[#Headers],[Lavoro]],IF(OR(H106=$F$5,H106=$F$6,H106=$F$7,H106=$F$8,H106=$F$9,H106=$F$10,H106=$F$11,H106=$F$12,H106=$F$13,H106=$F$14),SottocategorieUscite[[#Headers],[Casa]],IF(OR(H106=$G$5,H106=$G$6,H106=$G$7,H106=$G$8,H106=$G$9,H106=$G$10,H106=$G$11,H106=$G$12,H106=$G$13,H106=$G$14),SottocategorieUscite[[#Headers],[Utenze]],IF(OR(H106=$H$5,H106=$H$6,H106=$H$7,H106=$H$8,H106=$H$9,H106=$H$10,H106=$H$11,H106=$H$12,H106=$H$13,H106=$H$14),SottocategorieUscite[[#Headers],[Business Uscite]],IF(OR(H106=$I$5,H106=$I$6,H106=$I$7,H106=$I$8,H106=$I$9,H106=$I$10,H106=$I$11,H106=$I$12,H106=$I$13,H106=$I$14),SottocategorieUscite[[#Headers],[Banca]],IF(OR(H106=K$5,H106=K$6,H106=K$7,H106=K$8,H106=K$9,H106=K$10,H106=K$11,H106=K$12,H106=K$13,H106=K$14),SottocategorieEntrate[[#Headers],[Business Entrate]],IF(OR(H106=L$5,H106=L$6,H106=L$7,H106=L$8,H106=L$9,H106=L$10,H106=L$11,H106=L$12,H106=L$13,H106=L$14),SottocategorieEntrate[[#Headers],[Varie Entrate]],IF(OR(H106=M$5,H106=M$6,H106=M$7,H106=M$8,H106=M$9,H106=M$10,H106=M$11,H106=M$12,H106=M$13,H106=M$14),SottocategorieEntrate[[#Headers],[Real Estate]],IF(OR(H106=N$5,H106=N$6,H106=N$7,H106=N$8,H106=N$9,H106=N$10,H106=N$11,H106=N$12,H106=N$13,H106=N$14),SottocategorieEntrate[[#Headers],[Other]],""))))))))))))</f>
        <v/>
      </c>
      <c r="J106" t="str">
        <f>IF(OR(Dati[[#This Row],[Categoria]]="Bollette",Dati[[#This Row],[Categoria]]="Conto &amp; Carte BNL",Dati[[#This Row],[Categoria]]="Prelievo",Dati[[#This Row],[Categoria]]="Affitto",Dati[[#This Row],[Categoria]]="BNL(Interessi Creditori)"),"Carta",IF(Dati[[#This Row],[Categoria]]&lt;&gt;0,"Cash",""))</f>
        <v/>
      </c>
      <c r="K106" s="59" t="str">
        <f>IF(OR(Data!$I106=SottocategorieUscite[[#Headers],[Fuori Casa]],Data!$I106=SottocategorieUscite[[#Headers],[Varie Uscite]],Data!$I106=SottocategorieUscite[[#Headers],[Personali]],Data!$I106=SottocategorieUscite[[#Headers],[Lavoro]]),"$ -","")</f>
        <v/>
      </c>
      <c r="L106" s="59" t="str">
        <f>IF(OR(Data!$I106=SottocategorieUscite[[#Headers],[Casa]],Data!$I106=SottocategorieUscite[[#Headers],[Utenze]],Data!$I106=SottocategorieUscite[[#Headers],[Business Uscite]],Data!$I106=SottocategorieUscite[[#Headers],[Banca]]),"$ -","")</f>
        <v/>
      </c>
      <c r="M106" s="59" t="str">
        <f>IF(OR($I106&lt;&gt;SottocategorieUscite[[#Headers],[Fuori Casa]],$I106&lt;&gt;SottocategorieUscite[[#Headers],[Varie Uscite]],$I106&lt;&gt;SottocategorieUscite[[#Headers],[Personali]],$I106&lt;&gt;SottocategorieUscite[[#Headers],[Lavoro]],$I106&lt;&gt;SottocategorieUscite[[#Headers],[Casa]],$I106&lt;&gt;SottocategorieUscite[[#Headers],[Utenze]],$I106&lt;&gt;SottocategorieUscite[[#Headers],[Business Uscite]],$I106&lt;&gt;SottocategorieUscite[[#Headers],[Banca]]),"","$ -")</f>
        <v/>
      </c>
      <c r="N106" s="59" t="str">
        <f>IF(OR(Data!$I106=SottocategorieEntrate[[#Headers],[Business Entrate]],Data!$I106=SottocategorieEntrate[[#Headers],[Varie Entrate]]),"$ -","")</f>
        <v/>
      </c>
      <c r="O106" s="59" t="str">
        <f>IF(OR(Data!$I106=SottocategorieEntrate[[#Headers],[Real Estate]],SottocategorieEntrate[[#Headers],[Other]]),"$ -","")</f>
        <v/>
      </c>
      <c r="P106" s="59" t="str">
        <f>IF(OR($I106&lt;&gt;SottocategorieEntrate[[#Headers],[Business Entrate]],$I106&lt;&gt;SottocategorieEntrate[[#Headers],[Varie Entrate]],$I106&lt;&gt;SottocategorieEntrate[[#Headers],[Real Estate]],$I106&lt;&gt;SottocategorieEntrate[[#Headers],[Other]]),"","$ -")</f>
        <v/>
      </c>
      <c r="Q106" s="59" t="str">
        <f>IF(Dati[[#This Row],[Categoria]]="Prelievo","€ -","")</f>
        <v/>
      </c>
      <c r="R106" s="244" t="str">
        <f t="shared" ca="1" si="5"/>
        <v/>
      </c>
      <c r="S106" s="59" t="str">
        <f>IF(Dati[[#This Row],[Categoria]]="Savings",0,"")</f>
        <v/>
      </c>
      <c r="T106" s="59"/>
      <c r="U106" s="59"/>
      <c r="V106" s="59"/>
      <c r="W106" s="59"/>
      <c r="X106" s="59"/>
      <c r="Y106" s="59"/>
      <c r="Z106" s="59"/>
      <c r="AA106" s="59"/>
      <c r="AB106" s="59"/>
      <c r="AC106" s="59"/>
      <c r="AD106" s="59"/>
      <c r="AE106" s="59"/>
      <c r="AF106" s="59"/>
      <c r="AG106" s="59"/>
      <c r="AH106" s="59"/>
      <c r="AI106" s="59" t="str">
        <f>IF(SUM(Dati[[#This Row],[Inv. Business]:[Inv. Cryptocurrency]])=0," ",SUM(Dati[[#This Row],[Inv. Business]:[Inv. Cryptocurrency]]))</f>
        <v xml:space="preserve"> </v>
      </c>
      <c r="AJ106" s="59"/>
      <c r="AK106" s="59" t="str">
        <f>IF(SUM(Dati[[#This Row],[Inv. Gold]:[Mutuo]])=0," ",SUM(Dati[[#This Row],[Inv. Gold]:[Mutuo]]))</f>
        <v xml:space="preserve"> </v>
      </c>
      <c r="AL106" s="59"/>
      <c r="AM106" s="59"/>
    </row>
    <row r="107" spans="2:39" ht="16" customHeight="1" x14ac:dyDescent="0.35">
      <c r="B107">
        <f t="shared" si="3"/>
        <v>87</v>
      </c>
      <c r="C107" s="49">
        <f t="shared" si="4"/>
        <v>45013</v>
      </c>
      <c r="D107" s="29">
        <f>DAY(Dati[[#This Row],[Data]])</f>
        <v>28</v>
      </c>
      <c r="E107" s="29" t="str">
        <f>IF(DAY(Data!$C$21:$C$1327)&gt;0,TEXT(Data!$C$21:$C$1327, "mmmm"),"")</f>
        <v>marzo</v>
      </c>
      <c r="F107" s="29" t="str">
        <f>IF(DAY(Data!$C$21:$C$1327)&gt;0,TEXT(Data!$C$21:$C$1327, "aaaa"),"")</f>
        <v>2023</v>
      </c>
      <c r="I107" t="str">
        <f>IF(OR(H107=$B$5,H107=$B$6,H107=$B$7,H107=$B$8,H107=$B$9,H107=$B$10,H107=$B$11,H107=$B$12,H107=$B$13,H107=$B$14),SottocategorieUscite[[#Headers],[Fuori Casa]],IF(OR(H107=$C$5,H107=$C$6,H107=$C$7,H107=$C$8,H107=$C$9,H107=$C$10,H107=$C$11,H107=$C$12,H107=$C$13,H107=$C$14),SottocategorieUscite[[#Headers],[Varie Uscite]],IF(OR(H107=$D$5,H107=$D$6,H107=$D$7,H107=$D$8,H107=$D$9,H107=$D$10,H107=$D$11,H107=$D$12,H107=$D$13,H107=$D$14),SottocategorieUscite[[#Headers],[Personali]],IF(OR(H107=$E$5,H107=$E$6,H107=$E$7,H107=$E$8,H107=$E$9,H107=$E$10,H107=$E$11,H107=$E$12,H107=$E$13,H107=$E$14),SottocategorieUscite[[#Headers],[Lavoro]],IF(OR(H107=$F$5,H107=$F$6,H107=$F$7,H107=$F$8,H107=$F$9,H107=$F$10,H107=$F$11,H107=$F$12,H107=$F$13,H107=$F$14),SottocategorieUscite[[#Headers],[Casa]],IF(OR(H107=$G$5,H107=$G$6,H107=$G$7,H107=$G$8,H107=$G$9,H107=$G$10,H107=$G$11,H107=$G$12,H107=$G$13,H107=$G$14),SottocategorieUscite[[#Headers],[Utenze]],IF(OR(H107=$H$5,H107=$H$6,H107=$H$7,H107=$H$8,H107=$H$9,H107=$H$10,H107=$H$11,H107=$H$12,H107=$H$13,H107=$H$14),SottocategorieUscite[[#Headers],[Business Uscite]],IF(OR(H107=$I$5,H107=$I$6,H107=$I$7,H107=$I$8,H107=$I$9,H107=$I$10,H107=$I$11,H107=$I$12,H107=$I$13,H107=$I$14),SottocategorieUscite[[#Headers],[Banca]],IF(OR(H107=K$5,H107=K$6,H107=K$7,H107=K$8,H107=K$9,H107=K$10,H107=K$11,H107=K$12,H107=K$13,H107=K$14),SottocategorieEntrate[[#Headers],[Business Entrate]],IF(OR(H107=L$5,H107=L$6,H107=L$7,H107=L$8,H107=L$9,H107=L$10,H107=L$11,H107=L$12,H107=L$13,H107=L$14),SottocategorieEntrate[[#Headers],[Varie Entrate]],IF(OR(H107=M$5,H107=M$6,H107=M$7,H107=M$8,H107=M$9,H107=M$10,H107=M$11,H107=M$12,H107=M$13,H107=M$14),SottocategorieEntrate[[#Headers],[Real Estate]],IF(OR(H107=N$5,H107=N$6,H107=N$7,H107=N$8,H107=N$9,H107=N$10,H107=N$11,H107=N$12,H107=N$13,H107=N$14),SottocategorieEntrate[[#Headers],[Other]],""))))))))))))</f>
        <v/>
      </c>
      <c r="J107" t="str">
        <f>IF(OR(Dati[[#This Row],[Categoria]]="Bollette",Dati[[#This Row],[Categoria]]="Conto &amp; Carte BNL",Dati[[#This Row],[Categoria]]="Prelievo",Dati[[#This Row],[Categoria]]="Affitto",Dati[[#This Row],[Categoria]]="BNL(Interessi Creditori)"),"Carta",IF(Dati[[#This Row],[Categoria]]&lt;&gt;0,"Cash",""))</f>
        <v/>
      </c>
      <c r="K107" s="59" t="str">
        <f>IF(OR(Data!$I107=SottocategorieUscite[[#Headers],[Fuori Casa]],Data!$I107=SottocategorieUscite[[#Headers],[Varie Uscite]],Data!$I107=SottocategorieUscite[[#Headers],[Personali]],Data!$I107=SottocategorieUscite[[#Headers],[Lavoro]]),"$ -","")</f>
        <v/>
      </c>
      <c r="L107" s="59" t="str">
        <f>IF(OR(Data!$I107=SottocategorieUscite[[#Headers],[Casa]],Data!$I107=SottocategorieUscite[[#Headers],[Utenze]],Data!$I107=SottocategorieUscite[[#Headers],[Business Uscite]],Data!$I107=SottocategorieUscite[[#Headers],[Banca]]),"$ -","")</f>
        <v/>
      </c>
      <c r="M107" s="59" t="str">
        <f>IF(OR($I107&lt;&gt;SottocategorieUscite[[#Headers],[Fuori Casa]],$I107&lt;&gt;SottocategorieUscite[[#Headers],[Varie Uscite]],$I107&lt;&gt;SottocategorieUscite[[#Headers],[Personali]],$I107&lt;&gt;SottocategorieUscite[[#Headers],[Lavoro]],$I107&lt;&gt;SottocategorieUscite[[#Headers],[Casa]],$I107&lt;&gt;SottocategorieUscite[[#Headers],[Utenze]],$I107&lt;&gt;SottocategorieUscite[[#Headers],[Business Uscite]],$I107&lt;&gt;SottocategorieUscite[[#Headers],[Banca]]),"","$ -")</f>
        <v/>
      </c>
      <c r="N107" s="59" t="str">
        <f>IF(OR(Data!$I107=SottocategorieEntrate[[#Headers],[Business Entrate]],Data!$I107=SottocategorieEntrate[[#Headers],[Varie Entrate]]),"$ -","")</f>
        <v/>
      </c>
      <c r="O107" s="59" t="str">
        <f>IF(OR(Data!$I107=SottocategorieEntrate[[#Headers],[Real Estate]],SottocategorieEntrate[[#Headers],[Other]]),"$ -","")</f>
        <v/>
      </c>
      <c r="P107" s="59" t="str">
        <f>IF(OR($I107&lt;&gt;SottocategorieEntrate[[#Headers],[Business Entrate]],$I107&lt;&gt;SottocategorieEntrate[[#Headers],[Varie Entrate]],$I107&lt;&gt;SottocategorieEntrate[[#Headers],[Real Estate]],$I107&lt;&gt;SottocategorieEntrate[[#Headers],[Other]]),"","$ -")</f>
        <v/>
      </c>
      <c r="Q107" s="59" t="str">
        <f>IF(Dati[[#This Row],[Categoria]]="Prelievo","€ -","")</f>
        <v/>
      </c>
      <c r="R107" s="244" t="str">
        <f t="shared" ca="1" si="5"/>
        <v/>
      </c>
      <c r="S107" s="59" t="str">
        <f>IF(Dati[[#This Row],[Categoria]]="Savings",0,"")</f>
        <v/>
      </c>
      <c r="T107" s="59"/>
      <c r="U107" s="59"/>
      <c r="V107" s="59"/>
      <c r="W107" s="59"/>
      <c r="X107" s="59"/>
      <c r="Y107" s="59"/>
      <c r="Z107" s="59"/>
      <c r="AA107" s="59"/>
      <c r="AB107" s="59"/>
      <c r="AC107" s="59"/>
      <c r="AD107" s="59"/>
      <c r="AE107" s="59"/>
      <c r="AF107" s="59"/>
      <c r="AG107" s="59"/>
      <c r="AH107" s="59"/>
      <c r="AI107" s="59" t="str">
        <f>IF(SUM(Dati[[#This Row],[Inv. Business]:[Inv. Cryptocurrency]])=0," ",SUM(Dati[[#This Row],[Inv. Business]:[Inv. Cryptocurrency]]))</f>
        <v xml:space="preserve"> </v>
      </c>
      <c r="AJ107" s="59"/>
      <c r="AK107" s="59" t="str">
        <f>IF(SUM(Dati[[#This Row],[Inv. Gold]:[Mutuo]])=0," ",SUM(Dati[[#This Row],[Inv. Gold]:[Mutuo]]))</f>
        <v xml:space="preserve"> </v>
      </c>
      <c r="AL107" s="59"/>
      <c r="AM107" s="59"/>
    </row>
    <row r="108" spans="2:39" ht="16" customHeight="1" x14ac:dyDescent="0.35">
      <c r="B108">
        <f t="shared" si="3"/>
        <v>88</v>
      </c>
      <c r="C108" s="49">
        <f t="shared" si="4"/>
        <v>45014</v>
      </c>
      <c r="D108" s="29">
        <f>DAY(Dati[[#This Row],[Data]])</f>
        <v>29</v>
      </c>
      <c r="E108" s="29" t="str">
        <f>IF(DAY(Data!$C$21:$C$1327)&gt;0,TEXT(Data!$C$21:$C$1327, "mmmm"),"")</f>
        <v>marzo</v>
      </c>
      <c r="F108" s="29" t="str">
        <f>IF(DAY(Data!$C$21:$C$1327)&gt;0,TEXT(Data!$C$21:$C$1327, "aaaa"),"")</f>
        <v>2023</v>
      </c>
      <c r="I108" t="str">
        <f>IF(OR(H108=$B$5,H108=$B$6,H108=$B$7,H108=$B$8,H108=$B$9,H108=$B$10,H108=$B$11,H108=$B$12,H108=$B$13,H108=$B$14),SottocategorieUscite[[#Headers],[Fuori Casa]],IF(OR(H108=$C$5,H108=$C$6,H108=$C$7,H108=$C$8,H108=$C$9,H108=$C$10,H108=$C$11,H108=$C$12,H108=$C$13,H108=$C$14),SottocategorieUscite[[#Headers],[Varie Uscite]],IF(OR(H108=$D$5,H108=$D$6,H108=$D$7,H108=$D$8,H108=$D$9,H108=$D$10,H108=$D$11,H108=$D$12,H108=$D$13,H108=$D$14),SottocategorieUscite[[#Headers],[Personali]],IF(OR(H108=$E$5,H108=$E$6,H108=$E$7,H108=$E$8,H108=$E$9,H108=$E$10,H108=$E$11,H108=$E$12,H108=$E$13,H108=$E$14),SottocategorieUscite[[#Headers],[Lavoro]],IF(OR(H108=$F$5,H108=$F$6,H108=$F$7,H108=$F$8,H108=$F$9,H108=$F$10,H108=$F$11,H108=$F$12,H108=$F$13,H108=$F$14),SottocategorieUscite[[#Headers],[Casa]],IF(OR(H108=$G$5,H108=$G$6,H108=$G$7,H108=$G$8,H108=$G$9,H108=$G$10,H108=$G$11,H108=$G$12,H108=$G$13,H108=$G$14),SottocategorieUscite[[#Headers],[Utenze]],IF(OR(H108=$H$5,H108=$H$6,H108=$H$7,H108=$H$8,H108=$H$9,H108=$H$10,H108=$H$11,H108=$H$12,H108=$H$13,H108=$H$14),SottocategorieUscite[[#Headers],[Business Uscite]],IF(OR(H108=$I$5,H108=$I$6,H108=$I$7,H108=$I$8,H108=$I$9,H108=$I$10,H108=$I$11,H108=$I$12,H108=$I$13,H108=$I$14),SottocategorieUscite[[#Headers],[Banca]],IF(OR(H108=K$5,H108=K$6,H108=K$7,H108=K$8,H108=K$9,H108=K$10,H108=K$11,H108=K$12,H108=K$13,H108=K$14),SottocategorieEntrate[[#Headers],[Business Entrate]],IF(OR(H108=L$5,H108=L$6,H108=L$7,H108=L$8,H108=L$9,H108=L$10,H108=L$11,H108=L$12,H108=L$13,H108=L$14),SottocategorieEntrate[[#Headers],[Varie Entrate]],IF(OR(H108=M$5,H108=M$6,H108=M$7,H108=M$8,H108=M$9,H108=M$10,H108=M$11,H108=M$12,H108=M$13,H108=M$14),SottocategorieEntrate[[#Headers],[Real Estate]],IF(OR(H108=N$5,H108=N$6,H108=N$7,H108=N$8,H108=N$9,H108=N$10,H108=N$11,H108=N$12,H108=N$13,H108=N$14),SottocategorieEntrate[[#Headers],[Other]],""))))))))))))</f>
        <v/>
      </c>
      <c r="J108" t="str">
        <f>IF(OR(Dati[[#This Row],[Categoria]]="Bollette",Dati[[#This Row],[Categoria]]="Conto &amp; Carte BNL",Dati[[#This Row],[Categoria]]="Prelievo",Dati[[#This Row],[Categoria]]="Affitto",Dati[[#This Row],[Categoria]]="BNL(Interessi Creditori)"),"Carta",IF(Dati[[#This Row],[Categoria]]&lt;&gt;0,"Cash",""))</f>
        <v/>
      </c>
      <c r="K108" s="59" t="str">
        <f>IF(OR(Data!$I108=SottocategorieUscite[[#Headers],[Fuori Casa]],Data!$I108=SottocategorieUscite[[#Headers],[Varie Uscite]],Data!$I108=SottocategorieUscite[[#Headers],[Personali]],Data!$I108=SottocategorieUscite[[#Headers],[Lavoro]]),"$ -","")</f>
        <v/>
      </c>
      <c r="L108" s="59" t="str">
        <f>IF(OR(Data!$I108=SottocategorieUscite[[#Headers],[Casa]],Data!$I108=SottocategorieUscite[[#Headers],[Utenze]],Data!$I108=SottocategorieUscite[[#Headers],[Business Uscite]],Data!$I108=SottocategorieUscite[[#Headers],[Banca]]),"$ -","")</f>
        <v/>
      </c>
      <c r="M108" s="59" t="str">
        <f>IF(OR($I108&lt;&gt;SottocategorieUscite[[#Headers],[Fuori Casa]],$I108&lt;&gt;SottocategorieUscite[[#Headers],[Varie Uscite]],$I108&lt;&gt;SottocategorieUscite[[#Headers],[Personali]],$I108&lt;&gt;SottocategorieUscite[[#Headers],[Lavoro]],$I108&lt;&gt;SottocategorieUscite[[#Headers],[Casa]],$I108&lt;&gt;SottocategorieUscite[[#Headers],[Utenze]],$I108&lt;&gt;SottocategorieUscite[[#Headers],[Business Uscite]],$I108&lt;&gt;SottocategorieUscite[[#Headers],[Banca]]),"","$ -")</f>
        <v/>
      </c>
      <c r="N108" s="59" t="str">
        <f>IF(OR(Data!$I108=SottocategorieEntrate[[#Headers],[Business Entrate]],Data!$I108=SottocategorieEntrate[[#Headers],[Varie Entrate]]),"$ -","")</f>
        <v/>
      </c>
      <c r="O108" s="59" t="str">
        <f>IF(OR(Data!$I108=SottocategorieEntrate[[#Headers],[Real Estate]],SottocategorieEntrate[[#Headers],[Other]]),"$ -","")</f>
        <v/>
      </c>
      <c r="P108" s="59" t="str">
        <f>IF(OR($I108&lt;&gt;SottocategorieEntrate[[#Headers],[Business Entrate]],$I108&lt;&gt;SottocategorieEntrate[[#Headers],[Varie Entrate]],$I108&lt;&gt;SottocategorieEntrate[[#Headers],[Real Estate]],$I108&lt;&gt;SottocategorieEntrate[[#Headers],[Other]]),"","$ -")</f>
        <v/>
      </c>
      <c r="Q108" s="59" t="str">
        <f>IF(Dati[[#This Row],[Categoria]]="Prelievo","€ -","")</f>
        <v/>
      </c>
      <c r="R108" s="244" t="str">
        <f t="shared" ca="1" si="5"/>
        <v/>
      </c>
      <c r="S108" s="59" t="str">
        <f>IF(Dati[[#This Row],[Categoria]]="Savings",0,"")</f>
        <v/>
      </c>
      <c r="T108" s="59"/>
      <c r="U108" s="59"/>
      <c r="V108" s="59"/>
      <c r="W108" s="59"/>
      <c r="X108" s="59"/>
      <c r="Y108" s="59"/>
      <c r="Z108" s="59"/>
      <c r="AA108" s="59"/>
      <c r="AB108" s="59"/>
      <c r="AC108" s="59"/>
      <c r="AD108" s="59"/>
      <c r="AE108" s="59"/>
      <c r="AF108" s="59"/>
      <c r="AG108" s="59"/>
      <c r="AH108" s="59"/>
      <c r="AI108" s="59" t="str">
        <f>IF(SUM(Dati[[#This Row],[Inv. Business]:[Inv. Cryptocurrency]])=0," ",SUM(Dati[[#This Row],[Inv. Business]:[Inv. Cryptocurrency]]))</f>
        <v xml:space="preserve"> </v>
      </c>
      <c r="AJ108" s="59"/>
      <c r="AK108" s="59" t="str">
        <f>IF(SUM(Dati[[#This Row],[Inv. Gold]:[Mutuo]])=0," ",SUM(Dati[[#This Row],[Inv. Gold]:[Mutuo]]))</f>
        <v xml:space="preserve"> </v>
      </c>
      <c r="AL108" s="59"/>
      <c r="AM108" s="59"/>
    </row>
    <row r="109" spans="2:39" ht="16" customHeight="1" x14ac:dyDescent="0.35">
      <c r="B109">
        <f t="shared" si="3"/>
        <v>89</v>
      </c>
      <c r="C109" s="49">
        <f t="shared" si="4"/>
        <v>45015</v>
      </c>
      <c r="D109" s="29">
        <f>DAY(Dati[[#This Row],[Data]])</f>
        <v>30</v>
      </c>
      <c r="E109" s="29" t="str">
        <f>IF(DAY(Data!$C$21:$C$1327)&gt;0,TEXT(Data!$C$21:$C$1327, "mmmm"),"")</f>
        <v>marzo</v>
      </c>
      <c r="F109" s="29" t="str">
        <f>IF(DAY(Data!$C$21:$C$1327)&gt;0,TEXT(Data!$C$21:$C$1327, "aaaa"),"")</f>
        <v>2023</v>
      </c>
      <c r="I109" t="str">
        <f>IF(OR(H109=$B$5,H109=$B$6,H109=$B$7,H109=$B$8,H109=$B$9,H109=$B$10,H109=$B$11,H109=$B$12,H109=$B$13,H109=$B$14),SottocategorieUscite[[#Headers],[Fuori Casa]],IF(OR(H109=$C$5,H109=$C$6,H109=$C$7,H109=$C$8,H109=$C$9,H109=$C$10,H109=$C$11,H109=$C$12,H109=$C$13,H109=$C$14),SottocategorieUscite[[#Headers],[Varie Uscite]],IF(OR(H109=$D$5,H109=$D$6,H109=$D$7,H109=$D$8,H109=$D$9,H109=$D$10,H109=$D$11,H109=$D$12,H109=$D$13,H109=$D$14),SottocategorieUscite[[#Headers],[Personali]],IF(OR(H109=$E$5,H109=$E$6,H109=$E$7,H109=$E$8,H109=$E$9,H109=$E$10,H109=$E$11,H109=$E$12,H109=$E$13,H109=$E$14),SottocategorieUscite[[#Headers],[Lavoro]],IF(OR(H109=$F$5,H109=$F$6,H109=$F$7,H109=$F$8,H109=$F$9,H109=$F$10,H109=$F$11,H109=$F$12,H109=$F$13,H109=$F$14),SottocategorieUscite[[#Headers],[Casa]],IF(OR(H109=$G$5,H109=$G$6,H109=$G$7,H109=$G$8,H109=$G$9,H109=$G$10,H109=$G$11,H109=$G$12,H109=$G$13,H109=$G$14),SottocategorieUscite[[#Headers],[Utenze]],IF(OR(H109=$H$5,H109=$H$6,H109=$H$7,H109=$H$8,H109=$H$9,H109=$H$10,H109=$H$11,H109=$H$12,H109=$H$13,H109=$H$14),SottocategorieUscite[[#Headers],[Business Uscite]],IF(OR(H109=$I$5,H109=$I$6,H109=$I$7,H109=$I$8,H109=$I$9,H109=$I$10,H109=$I$11,H109=$I$12,H109=$I$13,H109=$I$14),SottocategorieUscite[[#Headers],[Banca]],IF(OR(H109=K$5,H109=K$6,H109=K$7,H109=K$8,H109=K$9,H109=K$10,H109=K$11,H109=K$12,H109=K$13,H109=K$14),SottocategorieEntrate[[#Headers],[Business Entrate]],IF(OR(H109=L$5,H109=L$6,H109=L$7,H109=L$8,H109=L$9,H109=L$10,H109=L$11,H109=L$12,H109=L$13,H109=L$14),SottocategorieEntrate[[#Headers],[Varie Entrate]],IF(OR(H109=M$5,H109=M$6,H109=M$7,H109=M$8,H109=M$9,H109=M$10,H109=M$11,H109=M$12,H109=M$13,H109=M$14),SottocategorieEntrate[[#Headers],[Real Estate]],IF(OR(H109=N$5,H109=N$6,H109=N$7,H109=N$8,H109=N$9,H109=N$10,H109=N$11,H109=N$12,H109=N$13,H109=N$14),SottocategorieEntrate[[#Headers],[Other]],""))))))))))))</f>
        <v/>
      </c>
      <c r="J109" t="str">
        <f>IF(OR(Dati[[#This Row],[Categoria]]="Bollette",Dati[[#This Row],[Categoria]]="Conto &amp; Carte BNL",Dati[[#This Row],[Categoria]]="Prelievo",Dati[[#This Row],[Categoria]]="Affitto",Dati[[#This Row],[Categoria]]="BNL(Interessi Creditori)"),"Carta",IF(Dati[[#This Row],[Categoria]]&lt;&gt;0,"Cash",""))</f>
        <v/>
      </c>
      <c r="K109" s="59" t="str">
        <f>IF(OR(Data!$I109=SottocategorieUscite[[#Headers],[Fuori Casa]],Data!$I109=SottocategorieUscite[[#Headers],[Varie Uscite]],Data!$I109=SottocategorieUscite[[#Headers],[Personali]],Data!$I109=SottocategorieUscite[[#Headers],[Lavoro]]),"$ -","")</f>
        <v/>
      </c>
      <c r="L109" s="59" t="str">
        <f>IF(OR(Data!$I109=SottocategorieUscite[[#Headers],[Casa]],Data!$I109=SottocategorieUscite[[#Headers],[Utenze]],Data!$I109=SottocategorieUscite[[#Headers],[Business Uscite]],Data!$I109=SottocategorieUscite[[#Headers],[Banca]]),"$ -","")</f>
        <v/>
      </c>
      <c r="M109" s="59" t="str">
        <f>IF(OR($I109&lt;&gt;SottocategorieUscite[[#Headers],[Fuori Casa]],$I109&lt;&gt;SottocategorieUscite[[#Headers],[Varie Uscite]],$I109&lt;&gt;SottocategorieUscite[[#Headers],[Personali]],$I109&lt;&gt;SottocategorieUscite[[#Headers],[Lavoro]],$I109&lt;&gt;SottocategorieUscite[[#Headers],[Casa]],$I109&lt;&gt;SottocategorieUscite[[#Headers],[Utenze]],$I109&lt;&gt;SottocategorieUscite[[#Headers],[Business Uscite]],$I109&lt;&gt;SottocategorieUscite[[#Headers],[Banca]]),"","$ -")</f>
        <v/>
      </c>
      <c r="N109" s="59" t="str">
        <f>IF(OR(Data!$I109=SottocategorieEntrate[[#Headers],[Business Entrate]],Data!$I109=SottocategorieEntrate[[#Headers],[Varie Entrate]]),"$ -","")</f>
        <v/>
      </c>
      <c r="O109" s="59" t="str">
        <f>IF(OR(Data!$I109=SottocategorieEntrate[[#Headers],[Real Estate]],SottocategorieEntrate[[#Headers],[Other]]),"$ -","")</f>
        <v/>
      </c>
      <c r="P109" s="59" t="str">
        <f>IF(OR($I109&lt;&gt;SottocategorieEntrate[[#Headers],[Business Entrate]],$I109&lt;&gt;SottocategorieEntrate[[#Headers],[Varie Entrate]],$I109&lt;&gt;SottocategorieEntrate[[#Headers],[Real Estate]],$I109&lt;&gt;SottocategorieEntrate[[#Headers],[Other]]),"","$ -")</f>
        <v/>
      </c>
      <c r="Q109" s="59" t="str">
        <f>IF(Dati[[#This Row],[Categoria]]="Prelievo","€ -","")</f>
        <v/>
      </c>
      <c r="R109" s="244" t="str">
        <f t="shared" ca="1" si="5"/>
        <v/>
      </c>
      <c r="S109" s="59" t="str">
        <f>IF(Dati[[#This Row],[Categoria]]="Savings",0,"")</f>
        <v/>
      </c>
      <c r="T109" s="59"/>
      <c r="U109" s="59"/>
      <c r="V109" s="59"/>
      <c r="W109" s="59"/>
      <c r="X109" s="59"/>
      <c r="Y109" s="59"/>
      <c r="Z109" s="59"/>
      <c r="AA109" s="59"/>
      <c r="AB109" s="59"/>
      <c r="AC109" s="59"/>
      <c r="AD109" s="59"/>
      <c r="AE109" s="59"/>
      <c r="AF109" s="59"/>
      <c r="AG109" s="59"/>
      <c r="AH109" s="59"/>
      <c r="AI109" s="59" t="str">
        <f>IF(SUM(Dati[[#This Row],[Inv. Business]:[Inv. Cryptocurrency]])=0," ",SUM(Dati[[#This Row],[Inv. Business]:[Inv. Cryptocurrency]]))</f>
        <v xml:space="preserve"> </v>
      </c>
      <c r="AJ109" s="59"/>
      <c r="AK109" s="59" t="str">
        <f>IF(SUM(Dati[[#This Row],[Inv. Gold]:[Mutuo]])=0," ",SUM(Dati[[#This Row],[Inv. Gold]:[Mutuo]]))</f>
        <v xml:space="preserve"> </v>
      </c>
      <c r="AL109" s="59"/>
      <c r="AM109" s="59"/>
    </row>
    <row r="110" spans="2:39" ht="16" customHeight="1" x14ac:dyDescent="0.35">
      <c r="B110">
        <f t="shared" si="3"/>
        <v>90</v>
      </c>
      <c r="C110" s="49">
        <f t="shared" si="4"/>
        <v>45016</v>
      </c>
      <c r="D110" s="29">
        <f>DAY(Dati[[#This Row],[Data]])</f>
        <v>31</v>
      </c>
      <c r="E110" s="29" t="str">
        <f>IF(DAY(Data!$C$21:$C$1327)&gt;0,TEXT(Data!$C$21:$C$1327, "mmmm"),"")</f>
        <v>marzo</v>
      </c>
      <c r="F110" s="29" t="str">
        <f>IF(DAY(Data!$C$21:$C$1327)&gt;0,TEXT(Data!$C$21:$C$1327, "aaaa"),"")</f>
        <v>2023</v>
      </c>
      <c r="I110" t="str">
        <f>IF(OR(H110=$B$5,H110=$B$6,H110=$B$7,H110=$B$8,H110=$B$9,H110=$B$10,H110=$B$11,H110=$B$12,H110=$B$13,H110=$B$14),SottocategorieUscite[[#Headers],[Fuori Casa]],IF(OR(H110=$C$5,H110=$C$6,H110=$C$7,H110=$C$8,H110=$C$9,H110=$C$10,H110=$C$11,H110=$C$12,H110=$C$13,H110=$C$14),SottocategorieUscite[[#Headers],[Varie Uscite]],IF(OR(H110=$D$5,H110=$D$6,H110=$D$7,H110=$D$8,H110=$D$9,H110=$D$10,H110=$D$11,H110=$D$12,H110=$D$13,H110=$D$14),SottocategorieUscite[[#Headers],[Personali]],IF(OR(H110=$E$5,H110=$E$6,H110=$E$7,H110=$E$8,H110=$E$9,H110=$E$10,H110=$E$11,H110=$E$12,H110=$E$13,H110=$E$14),SottocategorieUscite[[#Headers],[Lavoro]],IF(OR(H110=$F$5,H110=$F$6,H110=$F$7,H110=$F$8,H110=$F$9,H110=$F$10,H110=$F$11,H110=$F$12,H110=$F$13,H110=$F$14),SottocategorieUscite[[#Headers],[Casa]],IF(OR(H110=$G$5,H110=$G$6,H110=$G$7,H110=$G$8,H110=$G$9,H110=$G$10,H110=$G$11,H110=$G$12,H110=$G$13,H110=$G$14),SottocategorieUscite[[#Headers],[Utenze]],IF(OR(H110=$H$5,H110=$H$6,H110=$H$7,H110=$H$8,H110=$H$9,H110=$H$10,H110=$H$11,H110=$H$12,H110=$H$13,H110=$H$14),SottocategorieUscite[[#Headers],[Business Uscite]],IF(OR(H110=$I$5,H110=$I$6,H110=$I$7,H110=$I$8,H110=$I$9,H110=$I$10,H110=$I$11,H110=$I$12,H110=$I$13,H110=$I$14),SottocategorieUscite[[#Headers],[Banca]],IF(OR(H110=K$5,H110=K$6,H110=K$7,H110=K$8,H110=K$9,H110=K$10,H110=K$11,H110=K$12,H110=K$13,H110=K$14),SottocategorieEntrate[[#Headers],[Business Entrate]],IF(OR(H110=L$5,H110=L$6,H110=L$7,H110=L$8,H110=L$9,H110=L$10,H110=L$11,H110=L$12,H110=L$13,H110=L$14),SottocategorieEntrate[[#Headers],[Varie Entrate]],IF(OR(H110=M$5,H110=M$6,H110=M$7,H110=M$8,H110=M$9,H110=M$10,H110=M$11,H110=M$12,H110=M$13,H110=M$14),SottocategorieEntrate[[#Headers],[Real Estate]],IF(OR(H110=N$5,H110=N$6,H110=N$7,H110=N$8,H110=N$9,H110=N$10,H110=N$11,H110=N$12,H110=N$13,H110=N$14),SottocategorieEntrate[[#Headers],[Other]],""))))))))))))</f>
        <v/>
      </c>
      <c r="J110" t="str">
        <f>IF(OR(Dati[[#This Row],[Categoria]]="Bollette",Dati[[#This Row],[Categoria]]="Conto &amp; Carte BNL",Dati[[#This Row],[Categoria]]="Prelievo",Dati[[#This Row],[Categoria]]="Affitto",Dati[[#This Row],[Categoria]]="BNL(Interessi Creditori)"),"Carta",IF(Dati[[#This Row],[Categoria]]&lt;&gt;0,"Cash",""))</f>
        <v/>
      </c>
      <c r="K110" s="59" t="str">
        <f>IF(OR(Data!$I110=SottocategorieUscite[[#Headers],[Fuori Casa]],Data!$I110=SottocategorieUscite[[#Headers],[Varie Uscite]],Data!$I110=SottocategorieUscite[[#Headers],[Personali]],Data!$I110=SottocategorieUscite[[#Headers],[Lavoro]]),"$ -","")</f>
        <v/>
      </c>
      <c r="L110" s="59" t="str">
        <f>IF(OR(Data!$I110=SottocategorieUscite[[#Headers],[Casa]],Data!$I110=SottocategorieUscite[[#Headers],[Utenze]],Data!$I110=SottocategorieUscite[[#Headers],[Business Uscite]],Data!$I110=SottocategorieUscite[[#Headers],[Banca]]),"$ -","")</f>
        <v/>
      </c>
      <c r="M110" s="59" t="str">
        <f>IF(OR($I110&lt;&gt;SottocategorieUscite[[#Headers],[Fuori Casa]],$I110&lt;&gt;SottocategorieUscite[[#Headers],[Varie Uscite]],$I110&lt;&gt;SottocategorieUscite[[#Headers],[Personali]],$I110&lt;&gt;SottocategorieUscite[[#Headers],[Lavoro]],$I110&lt;&gt;SottocategorieUscite[[#Headers],[Casa]],$I110&lt;&gt;SottocategorieUscite[[#Headers],[Utenze]],$I110&lt;&gt;SottocategorieUscite[[#Headers],[Business Uscite]],$I110&lt;&gt;SottocategorieUscite[[#Headers],[Banca]]),"","$ -")</f>
        <v/>
      </c>
      <c r="N110" s="59" t="str">
        <f>IF(OR(Data!$I110=SottocategorieEntrate[[#Headers],[Business Entrate]],Data!$I110=SottocategorieEntrate[[#Headers],[Varie Entrate]]),"$ -","")</f>
        <v/>
      </c>
      <c r="O110" s="59" t="str">
        <f>IF(OR(Data!$I110=SottocategorieEntrate[[#Headers],[Real Estate]],SottocategorieEntrate[[#Headers],[Other]]),"$ -","")</f>
        <v/>
      </c>
      <c r="P110" s="59" t="str">
        <f>IF(OR($I110&lt;&gt;SottocategorieEntrate[[#Headers],[Business Entrate]],$I110&lt;&gt;SottocategorieEntrate[[#Headers],[Varie Entrate]],$I110&lt;&gt;SottocategorieEntrate[[#Headers],[Real Estate]],$I110&lt;&gt;SottocategorieEntrate[[#Headers],[Other]]),"","$ -")</f>
        <v/>
      </c>
      <c r="Q110" s="59" t="str">
        <f>IF(Dati[[#This Row],[Categoria]]="Prelievo","€ -","")</f>
        <v/>
      </c>
      <c r="R110" s="244" t="str">
        <f t="shared" ca="1" si="5"/>
        <v/>
      </c>
      <c r="S110" s="59" t="str">
        <f>IF(Dati[[#This Row],[Categoria]]="Savings",0,"")</f>
        <v/>
      </c>
      <c r="T110" s="59"/>
      <c r="U110" s="59"/>
      <c r="V110" s="59"/>
      <c r="W110" s="59"/>
      <c r="X110" s="59"/>
      <c r="Y110" s="59"/>
      <c r="Z110" s="59"/>
      <c r="AA110" s="59"/>
      <c r="AB110" s="59"/>
      <c r="AC110" s="59"/>
      <c r="AD110" s="59"/>
      <c r="AE110" s="59"/>
      <c r="AF110" s="59"/>
      <c r="AG110" s="59"/>
      <c r="AH110" s="59"/>
      <c r="AI110" s="59" t="str">
        <f>IF(SUM(Dati[[#This Row],[Inv. Business]:[Inv. Cryptocurrency]])=0," ",SUM(Dati[[#This Row],[Inv. Business]:[Inv. Cryptocurrency]]))</f>
        <v xml:space="preserve"> </v>
      </c>
      <c r="AJ110" s="59"/>
      <c r="AK110" s="59" t="str">
        <f>IF(SUM(Dati[[#This Row],[Inv. Gold]:[Mutuo]])=0," ",SUM(Dati[[#This Row],[Inv. Gold]:[Mutuo]]))</f>
        <v xml:space="preserve"> </v>
      </c>
      <c r="AL110" s="59"/>
      <c r="AM110" s="59"/>
    </row>
    <row r="111" spans="2:39" ht="16" customHeight="1" x14ac:dyDescent="0.35">
      <c r="B111">
        <f t="shared" si="3"/>
        <v>91</v>
      </c>
      <c r="C111" s="49">
        <f t="shared" si="4"/>
        <v>45017</v>
      </c>
      <c r="D111" s="29">
        <f>DAY(Dati[[#This Row],[Data]])</f>
        <v>1</v>
      </c>
      <c r="E111" s="29" t="str">
        <f>IF(DAY(Data!$C$21:$C$1327)&gt;0,TEXT(Data!$C$21:$C$1327, "mmmm"),"")</f>
        <v>aprile</v>
      </c>
      <c r="F111" s="29" t="str">
        <f>IF(DAY(Data!$C$21:$C$1327)&gt;0,TEXT(Data!$C$21:$C$1327, "aaaa"),"")</f>
        <v>2023</v>
      </c>
      <c r="I111" t="str">
        <f>IF(OR(H111=$B$5,H111=$B$6,H111=$B$7,H111=$B$8,H111=$B$9,H111=$B$10,H111=$B$11,H111=$B$12,H111=$B$13,H111=$B$14),SottocategorieUscite[[#Headers],[Fuori Casa]],IF(OR(H111=$C$5,H111=$C$6,H111=$C$7,H111=$C$8,H111=$C$9,H111=$C$10,H111=$C$11,H111=$C$12,H111=$C$13,H111=$C$14),SottocategorieUscite[[#Headers],[Varie Uscite]],IF(OR(H111=$D$5,H111=$D$6,H111=$D$7,H111=$D$8,H111=$D$9,H111=$D$10,H111=$D$11,H111=$D$12,H111=$D$13,H111=$D$14),SottocategorieUscite[[#Headers],[Personali]],IF(OR(H111=$E$5,H111=$E$6,H111=$E$7,H111=$E$8,H111=$E$9,H111=$E$10,H111=$E$11,H111=$E$12,H111=$E$13,H111=$E$14),SottocategorieUscite[[#Headers],[Lavoro]],IF(OR(H111=$F$5,H111=$F$6,H111=$F$7,H111=$F$8,H111=$F$9,H111=$F$10,H111=$F$11,H111=$F$12,H111=$F$13,H111=$F$14),SottocategorieUscite[[#Headers],[Casa]],IF(OR(H111=$G$5,H111=$G$6,H111=$G$7,H111=$G$8,H111=$G$9,H111=$G$10,H111=$G$11,H111=$G$12,H111=$G$13,H111=$G$14),SottocategorieUscite[[#Headers],[Utenze]],IF(OR(H111=$H$5,H111=$H$6,H111=$H$7,H111=$H$8,H111=$H$9,H111=$H$10,H111=$H$11,H111=$H$12,H111=$H$13,H111=$H$14),SottocategorieUscite[[#Headers],[Business Uscite]],IF(OR(H111=$I$5,H111=$I$6,H111=$I$7,H111=$I$8,H111=$I$9,H111=$I$10,H111=$I$11,H111=$I$12,H111=$I$13,H111=$I$14),SottocategorieUscite[[#Headers],[Banca]],IF(OR(H111=K$5,H111=K$6,H111=K$7,H111=K$8,H111=K$9,H111=K$10,H111=K$11,H111=K$12,H111=K$13,H111=K$14),SottocategorieEntrate[[#Headers],[Business Entrate]],IF(OR(H111=L$5,H111=L$6,H111=L$7,H111=L$8,H111=L$9,H111=L$10,H111=L$11,H111=L$12,H111=L$13,H111=L$14),SottocategorieEntrate[[#Headers],[Varie Entrate]],IF(OR(H111=M$5,H111=M$6,H111=M$7,H111=M$8,H111=M$9,H111=M$10,H111=M$11,H111=M$12,H111=M$13,H111=M$14),SottocategorieEntrate[[#Headers],[Real Estate]],IF(OR(H111=N$5,H111=N$6,H111=N$7,H111=N$8,H111=N$9,H111=N$10,H111=N$11,H111=N$12,H111=N$13,H111=N$14),SottocategorieEntrate[[#Headers],[Other]],""))))))))))))</f>
        <v/>
      </c>
      <c r="J111" t="str">
        <f>IF(OR(Dati[[#This Row],[Categoria]]="Bollette",Dati[[#This Row],[Categoria]]="Conto &amp; Carte BNL",Dati[[#This Row],[Categoria]]="Prelievo",Dati[[#This Row],[Categoria]]="Affitto",Dati[[#This Row],[Categoria]]="BNL(Interessi Creditori)"),"Carta",IF(Dati[[#This Row],[Categoria]]&lt;&gt;0,"Cash",""))</f>
        <v/>
      </c>
      <c r="K111" s="59" t="str">
        <f>IF(OR(Data!$I111=SottocategorieUscite[[#Headers],[Fuori Casa]],Data!$I111=SottocategorieUscite[[#Headers],[Varie Uscite]],Data!$I111=SottocategorieUscite[[#Headers],[Personali]],Data!$I111=SottocategorieUscite[[#Headers],[Lavoro]]),"$ -","")</f>
        <v/>
      </c>
      <c r="L111" s="59" t="str">
        <f>IF(OR(Data!$I111=SottocategorieUscite[[#Headers],[Casa]],Data!$I111=SottocategorieUscite[[#Headers],[Utenze]],Data!$I111=SottocategorieUscite[[#Headers],[Business Uscite]],Data!$I111=SottocategorieUscite[[#Headers],[Banca]]),"$ -","")</f>
        <v/>
      </c>
      <c r="M111" s="59" t="str">
        <f>IF(OR($I111&lt;&gt;SottocategorieUscite[[#Headers],[Fuori Casa]],$I111&lt;&gt;SottocategorieUscite[[#Headers],[Varie Uscite]],$I111&lt;&gt;SottocategorieUscite[[#Headers],[Personali]],$I111&lt;&gt;SottocategorieUscite[[#Headers],[Lavoro]],$I111&lt;&gt;SottocategorieUscite[[#Headers],[Casa]],$I111&lt;&gt;SottocategorieUscite[[#Headers],[Utenze]],$I111&lt;&gt;SottocategorieUscite[[#Headers],[Business Uscite]],$I111&lt;&gt;SottocategorieUscite[[#Headers],[Banca]]),"","$ -")</f>
        <v/>
      </c>
      <c r="N111" s="59" t="str">
        <f>IF(OR(Data!$I111=SottocategorieEntrate[[#Headers],[Business Entrate]],Data!$I111=SottocategorieEntrate[[#Headers],[Varie Entrate]]),"$ -","")</f>
        <v/>
      </c>
      <c r="O111" s="59" t="str">
        <f>IF(OR(Data!$I111=SottocategorieEntrate[[#Headers],[Real Estate]],SottocategorieEntrate[[#Headers],[Other]]),"$ -","")</f>
        <v/>
      </c>
      <c r="P111" s="59" t="str">
        <f>IF(OR($I111&lt;&gt;SottocategorieEntrate[[#Headers],[Business Entrate]],$I111&lt;&gt;SottocategorieEntrate[[#Headers],[Varie Entrate]],$I111&lt;&gt;SottocategorieEntrate[[#Headers],[Real Estate]],$I111&lt;&gt;SottocategorieEntrate[[#Headers],[Other]]),"","$ -")</f>
        <v/>
      </c>
      <c r="Q111" s="59" t="str">
        <f>IF(Dati[[#This Row],[Categoria]]="Prelievo","€ -","")</f>
        <v/>
      </c>
      <c r="R111" s="244" t="str">
        <f t="shared" ca="1" si="5"/>
        <v/>
      </c>
      <c r="S111" s="59" t="str">
        <f>IF(Dati[[#This Row],[Categoria]]="Savings",0,"")</f>
        <v/>
      </c>
      <c r="T111" s="59"/>
      <c r="U111" s="59"/>
      <c r="V111" s="59"/>
      <c r="W111" s="59"/>
      <c r="X111" s="59"/>
      <c r="Y111" s="59"/>
      <c r="Z111" s="59"/>
      <c r="AA111" s="59"/>
      <c r="AB111" s="59"/>
      <c r="AC111" s="59"/>
      <c r="AD111" s="59"/>
      <c r="AE111" s="59"/>
      <c r="AF111" s="59"/>
      <c r="AG111" s="59"/>
      <c r="AH111" s="59"/>
      <c r="AI111" s="59" t="str">
        <f>IF(SUM(Dati[[#This Row],[Inv. Business]:[Inv. Cryptocurrency]])=0," ",SUM(Dati[[#This Row],[Inv. Business]:[Inv. Cryptocurrency]]))</f>
        <v xml:space="preserve"> </v>
      </c>
      <c r="AJ111" s="59"/>
      <c r="AK111" s="59" t="str">
        <f>IF(SUM(Dati[[#This Row],[Inv. Gold]:[Mutuo]])=0," ",SUM(Dati[[#This Row],[Inv. Gold]:[Mutuo]]))</f>
        <v xml:space="preserve"> </v>
      </c>
      <c r="AL111" s="59"/>
      <c r="AM111" s="59"/>
    </row>
    <row r="112" spans="2:39" ht="16" customHeight="1" x14ac:dyDescent="0.35">
      <c r="B112">
        <f t="shared" si="3"/>
        <v>92</v>
      </c>
      <c r="C112" s="49">
        <f t="shared" si="4"/>
        <v>45018</v>
      </c>
      <c r="D112" s="29">
        <f>DAY(Dati[[#This Row],[Data]])</f>
        <v>2</v>
      </c>
      <c r="E112" s="29" t="str">
        <f>IF(DAY(Data!$C$21:$C$1327)&gt;0,TEXT(Data!$C$21:$C$1327, "mmmm"),"")</f>
        <v>aprile</v>
      </c>
      <c r="F112" s="29" t="str">
        <f>IF(DAY(Data!$C$21:$C$1327)&gt;0,TEXT(Data!$C$21:$C$1327, "aaaa"),"")</f>
        <v>2023</v>
      </c>
      <c r="I112" t="str">
        <f>IF(OR(H112=$B$5,H112=$B$6,H112=$B$7,H112=$B$8,H112=$B$9,H112=$B$10,H112=$B$11,H112=$B$12,H112=$B$13,H112=$B$14),SottocategorieUscite[[#Headers],[Fuori Casa]],IF(OR(H112=$C$5,H112=$C$6,H112=$C$7,H112=$C$8,H112=$C$9,H112=$C$10,H112=$C$11,H112=$C$12,H112=$C$13,H112=$C$14),SottocategorieUscite[[#Headers],[Varie Uscite]],IF(OR(H112=$D$5,H112=$D$6,H112=$D$7,H112=$D$8,H112=$D$9,H112=$D$10,H112=$D$11,H112=$D$12,H112=$D$13,H112=$D$14),SottocategorieUscite[[#Headers],[Personali]],IF(OR(H112=$E$5,H112=$E$6,H112=$E$7,H112=$E$8,H112=$E$9,H112=$E$10,H112=$E$11,H112=$E$12,H112=$E$13,H112=$E$14),SottocategorieUscite[[#Headers],[Lavoro]],IF(OR(H112=$F$5,H112=$F$6,H112=$F$7,H112=$F$8,H112=$F$9,H112=$F$10,H112=$F$11,H112=$F$12,H112=$F$13,H112=$F$14),SottocategorieUscite[[#Headers],[Casa]],IF(OR(H112=$G$5,H112=$G$6,H112=$G$7,H112=$G$8,H112=$G$9,H112=$G$10,H112=$G$11,H112=$G$12,H112=$G$13,H112=$G$14),SottocategorieUscite[[#Headers],[Utenze]],IF(OR(H112=$H$5,H112=$H$6,H112=$H$7,H112=$H$8,H112=$H$9,H112=$H$10,H112=$H$11,H112=$H$12,H112=$H$13,H112=$H$14),SottocategorieUscite[[#Headers],[Business Uscite]],IF(OR(H112=$I$5,H112=$I$6,H112=$I$7,H112=$I$8,H112=$I$9,H112=$I$10,H112=$I$11,H112=$I$12,H112=$I$13,H112=$I$14),SottocategorieUscite[[#Headers],[Banca]],IF(OR(H112=K$5,H112=K$6,H112=K$7,H112=K$8,H112=K$9,H112=K$10,H112=K$11,H112=K$12,H112=K$13,H112=K$14),SottocategorieEntrate[[#Headers],[Business Entrate]],IF(OR(H112=L$5,H112=L$6,H112=L$7,H112=L$8,H112=L$9,H112=L$10,H112=L$11,H112=L$12,H112=L$13,H112=L$14),SottocategorieEntrate[[#Headers],[Varie Entrate]],IF(OR(H112=M$5,H112=M$6,H112=M$7,H112=M$8,H112=M$9,H112=M$10,H112=M$11,H112=M$12,H112=M$13,H112=M$14),SottocategorieEntrate[[#Headers],[Real Estate]],IF(OR(H112=N$5,H112=N$6,H112=N$7,H112=N$8,H112=N$9,H112=N$10,H112=N$11,H112=N$12,H112=N$13,H112=N$14),SottocategorieEntrate[[#Headers],[Other]],""))))))))))))</f>
        <v/>
      </c>
      <c r="J112" t="str">
        <f>IF(OR(Dati[[#This Row],[Categoria]]="Bollette",Dati[[#This Row],[Categoria]]="Conto &amp; Carte BNL",Dati[[#This Row],[Categoria]]="Prelievo",Dati[[#This Row],[Categoria]]="Affitto",Dati[[#This Row],[Categoria]]="BNL(Interessi Creditori)"),"Carta",IF(Dati[[#This Row],[Categoria]]&lt;&gt;0,"Cash",""))</f>
        <v/>
      </c>
      <c r="K112" s="59" t="str">
        <f>IF(OR(Data!$I112=SottocategorieUscite[[#Headers],[Fuori Casa]],Data!$I112=SottocategorieUscite[[#Headers],[Varie Uscite]],Data!$I112=SottocategorieUscite[[#Headers],[Personali]],Data!$I112=SottocategorieUscite[[#Headers],[Lavoro]]),"$ -","")</f>
        <v/>
      </c>
      <c r="L112" s="59" t="str">
        <f>IF(OR(Data!$I112=SottocategorieUscite[[#Headers],[Casa]],Data!$I112=SottocategorieUscite[[#Headers],[Utenze]],Data!$I112=SottocategorieUscite[[#Headers],[Business Uscite]],Data!$I112=SottocategorieUscite[[#Headers],[Banca]]),"$ -","")</f>
        <v/>
      </c>
      <c r="M112" s="59" t="str">
        <f>IF(OR($I112&lt;&gt;SottocategorieUscite[[#Headers],[Fuori Casa]],$I112&lt;&gt;SottocategorieUscite[[#Headers],[Varie Uscite]],$I112&lt;&gt;SottocategorieUscite[[#Headers],[Personali]],$I112&lt;&gt;SottocategorieUscite[[#Headers],[Lavoro]],$I112&lt;&gt;SottocategorieUscite[[#Headers],[Casa]],$I112&lt;&gt;SottocategorieUscite[[#Headers],[Utenze]],$I112&lt;&gt;SottocategorieUscite[[#Headers],[Business Uscite]],$I112&lt;&gt;SottocategorieUscite[[#Headers],[Banca]]),"","$ -")</f>
        <v/>
      </c>
      <c r="N112" s="59" t="str">
        <f>IF(OR(Data!$I112=SottocategorieEntrate[[#Headers],[Business Entrate]],Data!$I112=SottocategorieEntrate[[#Headers],[Varie Entrate]]),"$ -","")</f>
        <v/>
      </c>
      <c r="O112" s="59" t="str">
        <f>IF(OR(Data!$I112=SottocategorieEntrate[[#Headers],[Real Estate]],SottocategorieEntrate[[#Headers],[Other]]),"$ -","")</f>
        <v/>
      </c>
      <c r="P112" s="59" t="str">
        <f>IF(OR($I112&lt;&gt;SottocategorieEntrate[[#Headers],[Business Entrate]],$I112&lt;&gt;SottocategorieEntrate[[#Headers],[Varie Entrate]],$I112&lt;&gt;SottocategorieEntrate[[#Headers],[Real Estate]],$I112&lt;&gt;SottocategorieEntrate[[#Headers],[Other]]),"","$ -")</f>
        <v/>
      </c>
      <c r="Q112" s="59" t="str">
        <f>IF(Dati[[#This Row],[Categoria]]="Prelievo","€ -","")</f>
        <v/>
      </c>
      <c r="R112" s="244" t="str">
        <f t="shared" ca="1" si="5"/>
        <v/>
      </c>
      <c r="S112" s="59" t="str">
        <f>IF(Dati[[#This Row],[Categoria]]="Savings",0,"")</f>
        <v/>
      </c>
      <c r="T112" s="59"/>
      <c r="U112" s="59"/>
      <c r="V112" s="59"/>
      <c r="W112" s="59"/>
      <c r="X112" s="59"/>
      <c r="Y112" s="59"/>
      <c r="Z112" s="59"/>
      <c r="AA112" s="59"/>
      <c r="AB112" s="59"/>
      <c r="AC112" s="59"/>
      <c r="AD112" s="59"/>
      <c r="AE112" s="59"/>
      <c r="AF112" s="59"/>
      <c r="AG112" s="59"/>
      <c r="AH112" s="59"/>
      <c r="AI112" s="59" t="str">
        <f>IF(SUM(Dati[[#This Row],[Inv. Business]:[Inv. Cryptocurrency]])=0," ",SUM(Dati[[#This Row],[Inv. Business]:[Inv. Cryptocurrency]]))</f>
        <v xml:space="preserve"> </v>
      </c>
      <c r="AJ112" s="59"/>
      <c r="AK112" s="59" t="str">
        <f>IF(SUM(Dati[[#This Row],[Inv. Gold]:[Mutuo]])=0," ",SUM(Dati[[#This Row],[Inv. Gold]:[Mutuo]]))</f>
        <v xml:space="preserve"> </v>
      </c>
      <c r="AL112" s="59"/>
      <c r="AM112" s="59"/>
    </row>
    <row r="113" spans="2:39" ht="16" customHeight="1" x14ac:dyDescent="0.35">
      <c r="B113">
        <f t="shared" si="3"/>
        <v>93</v>
      </c>
      <c r="C113" s="49">
        <f t="shared" si="4"/>
        <v>45019</v>
      </c>
      <c r="D113" s="29">
        <f>DAY(Dati[[#This Row],[Data]])</f>
        <v>3</v>
      </c>
      <c r="E113" s="29" t="str">
        <f>IF(DAY(Data!$C$21:$C$1327)&gt;0,TEXT(Data!$C$21:$C$1327, "mmmm"),"")</f>
        <v>aprile</v>
      </c>
      <c r="F113" s="29" t="str">
        <f>IF(DAY(Data!$C$21:$C$1327)&gt;0,TEXT(Data!$C$21:$C$1327, "aaaa"),"")</f>
        <v>2023</v>
      </c>
      <c r="I113" t="str">
        <f>IF(OR(H113=$B$5,H113=$B$6,H113=$B$7,H113=$B$8,H113=$B$9,H113=$B$10,H113=$B$11,H113=$B$12,H113=$B$13,H113=$B$14),SottocategorieUscite[[#Headers],[Fuori Casa]],IF(OR(H113=$C$5,H113=$C$6,H113=$C$7,H113=$C$8,H113=$C$9,H113=$C$10,H113=$C$11,H113=$C$12,H113=$C$13,H113=$C$14),SottocategorieUscite[[#Headers],[Varie Uscite]],IF(OR(H113=$D$5,H113=$D$6,H113=$D$7,H113=$D$8,H113=$D$9,H113=$D$10,H113=$D$11,H113=$D$12,H113=$D$13,H113=$D$14),SottocategorieUscite[[#Headers],[Personali]],IF(OR(H113=$E$5,H113=$E$6,H113=$E$7,H113=$E$8,H113=$E$9,H113=$E$10,H113=$E$11,H113=$E$12,H113=$E$13,H113=$E$14),SottocategorieUscite[[#Headers],[Lavoro]],IF(OR(H113=$F$5,H113=$F$6,H113=$F$7,H113=$F$8,H113=$F$9,H113=$F$10,H113=$F$11,H113=$F$12,H113=$F$13,H113=$F$14),SottocategorieUscite[[#Headers],[Casa]],IF(OR(H113=$G$5,H113=$G$6,H113=$G$7,H113=$G$8,H113=$G$9,H113=$G$10,H113=$G$11,H113=$G$12,H113=$G$13,H113=$G$14),SottocategorieUscite[[#Headers],[Utenze]],IF(OR(H113=$H$5,H113=$H$6,H113=$H$7,H113=$H$8,H113=$H$9,H113=$H$10,H113=$H$11,H113=$H$12,H113=$H$13,H113=$H$14),SottocategorieUscite[[#Headers],[Business Uscite]],IF(OR(H113=$I$5,H113=$I$6,H113=$I$7,H113=$I$8,H113=$I$9,H113=$I$10,H113=$I$11,H113=$I$12,H113=$I$13,H113=$I$14),SottocategorieUscite[[#Headers],[Banca]],IF(OR(H113=K$5,H113=K$6,H113=K$7,H113=K$8,H113=K$9,H113=K$10,H113=K$11,H113=K$12,H113=K$13,H113=K$14),SottocategorieEntrate[[#Headers],[Business Entrate]],IF(OR(H113=L$5,H113=L$6,H113=L$7,H113=L$8,H113=L$9,H113=L$10,H113=L$11,H113=L$12,H113=L$13,H113=L$14),SottocategorieEntrate[[#Headers],[Varie Entrate]],IF(OR(H113=M$5,H113=M$6,H113=M$7,H113=M$8,H113=M$9,H113=M$10,H113=M$11,H113=M$12,H113=M$13,H113=M$14),SottocategorieEntrate[[#Headers],[Real Estate]],IF(OR(H113=N$5,H113=N$6,H113=N$7,H113=N$8,H113=N$9,H113=N$10,H113=N$11,H113=N$12,H113=N$13,H113=N$14),SottocategorieEntrate[[#Headers],[Other]],""))))))))))))</f>
        <v/>
      </c>
      <c r="J113" t="str">
        <f>IF(OR(Dati[[#This Row],[Categoria]]="Bollette",Dati[[#This Row],[Categoria]]="Conto &amp; Carte BNL",Dati[[#This Row],[Categoria]]="Prelievo",Dati[[#This Row],[Categoria]]="Affitto",Dati[[#This Row],[Categoria]]="BNL(Interessi Creditori)"),"Carta",IF(Dati[[#This Row],[Categoria]]&lt;&gt;0,"Cash",""))</f>
        <v/>
      </c>
      <c r="K113" s="59" t="str">
        <f>IF(OR(Data!$I113=SottocategorieUscite[[#Headers],[Fuori Casa]],Data!$I113=SottocategorieUscite[[#Headers],[Varie Uscite]],Data!$I113=SottocategorieUscite[[#Headers],[Personali]],Data!$I113=SottocategorieUscite[[#Headers],[Lavoro]]),"$ -","")</f>
        <v/>
      </c>
      <c r="L113" s="59" t="str">
        <f>IF(OR(Data!$I113=SottocategorieUscite[[#Headers],[Casa]],Data!$I113=SottocategorieUscite[[#Headers],[Utenze]],Data!$I113=SottocategorieUscite[[#Headers],[Business Uscite]],Data!$I113=SottocategorieUscite[[#Headers],[Banca]]),"$ -","")</f>
        <v/>
      </c>
      <c r="M113" s="59" t="str">
        <f>IF(OR($I113&lt;&gt;SottocategorieUscite[[#Headers],[Fuori Casa]],$I113&lt;&gt;SottocategorieUscite[[#Headers],[Varie Uscite]],$I113&lt;&gt;SottocategorieUscite[[#Headers],[Personali]],$I113&lt;&gt;SottocategorieUscite[[#Headers],[Lavoro]],$I113&lt;&gt;SottocategorieUscite[[#Headers],[Casa]],$I113&lt;&gt;SottocategorieUscite[[#Headers],[Utenze]],$I113&lt;&gt;SottocategorieUscite[[#Headers],[Business Uscite]],$I113&lt;&gt;SottocategorieUscite[[#Headers],[Banca]]),"","$ -")</f>
        <v/>
      </c>
      <c r="N113" s="59" t="str">
        <f>IF(OR(Data!$I113=SottocategorieEntrate[[#Headers],[Business Entrate]],Data!$I113=SottocategorieEntrate[[#Headers],[Varie Entrate]]),"$ -","")</f>
        <v/>
      </c>
      <c r="O113" s="59" t="str">
        <f>IF(OR(Data!$I113=SottocategorieEntrate[[#Headers],[Real Estate]],SottocategorieEntrate[[#Headers],[Other]]),"$ -","")</f>
        <v/>
      </c>
      <c r="P113" s="59" t="str">
        <f>IF(OR($I113&lt;&gt;SottocategorieEntrate[[#Headers],[Business Entrate]],$I113&lt;&gt;SottocategorieEntrate[[#Headers],[Varie Entrate]],$I113&lt;&gt;SottocategorieEntrate[[#Headers],[Real Estate]],$I113&lt;&gt;SottocategorieEntrate[[#Headers],[Other]]),"","$ -")</f>
        <v/>
      </c>
      <c r="Q113" s="59" t="str">
        <f>IF(Dati[[#This Row],[Categoria]]="Prelievo","€ -","")</f>
        <v/>
      </c>
      <c r="R113" s="244" t="str">
        <f t="shared" ca="1" si="5"/>
        <v/>
      </c>
      <c r="S113" s="59" t="str">
        <f>IF(Dati[[#This Row],[Categoria]]="Savings",0,"")</f>
        <v/>
      </c>
      <c r="T113" s="59"/>
      <c r="U113" s="59"/>
      <c r="V113" s="59"/>
      <c r="W113" s="59"/>
      <c r="X113" s="59"/>
      <c r="Y113" s="59"/>
      <c r="Z113" s="59"/>
      <c r="AA113" s="59"/>
      <c r="AB113" s="59"/>
      <c r="AC113" s="59"/>
      <c r="AD113" s="59"/>
      <c r="AE113" s="59"/>
      <c r="AF113" s="59"/>
      <c r="AG113" s="59"/>
      <c r="AH113" s="59"/>
      <c r="AI113" s="59" t="str">
        <f>IF(SUM(Dati[[#This Row],[Inv. Business]:[Inv. Cryptocurrency]])=0," ",SUM(Dati[[#This Row],[Inv. Business]:[Inv. Cryptocurrency]]))</f>
        <v xml:space="preserve"> </v>
      </c>
      <c r="AJ113" s="59"/>
      <c r="AK113" s="59" t="str">
        <f>IF(SUM(Dati[[#This Row],[Inv. Gold]:[Mutuo]])=0," ",SUM(Dati[[#This Row],[Inv. Gold]:[Mutuo]]))</f>
        <v xml:space="preserve"> </v>
      </c>
      <c r="AL113" s="59"/>
      <c r="AM113" s="59"/>
    </row>
    <row r="114" spans="2:39" ht="16" customHeight="1" x14ac:dyDescent="0.35">
      <c r="B114">
        <f t="shared" si="3"/>
        <v>94</v>
      </c>
      <c r="C114" s="49">
        <f t="shared" si="4"/>
        <v>45020</v>
      </c>
      <c r="D114" s="29">
        <f>DAY(Dati[[#This Row],[Data]])</f>
        <v>4</v>
      </c>
      <c r="E114" s="29" t="str">
        <f>IF(DAY(Data!$C$21:$C$1327)&gt;0,TEXT(Data!$C$21:$C$1327, "mmmm"),"")</f>
        <v>aprile</v>
      </c>
      <c r="F114" s="29" t="str">
        <f>IF(DAY(Data!$C$21:$C$1327)&gt;0,TEXT(Data!$C$21:$C$1327, "aaaa"),"")</f>
        <v>2023</v>
      </c>
      <c r="I114" t="str">
        <f>IF(OR(H114=$B$5,H114=$B$6,H114=$B$7,H114=$B$8,H114=$B$9,H114=$B$10,H114=$B$11,H114=$B$12,H114=$B$13,H114=$B$14),SottocategorieUscite[[#Headers],[Fuori Casa]],IF(OR(H114=$C$5,H114=$C$6,H114=$C$7,H114=$C$8,H114=$C$9,H114=$C$10,H114=$C$11,H114=$C$12,H114=$C$13,H114=$C$14),SottocategorieUscite[[#Headers],[Varie Uscite]],IF(OR(H114=$D$5,H114=$D$6,H114=$D$7,H114=$D$8,H114=$D$9,H114=$D$10,H114=$D$11,H114=$D$12,H114=$D$13,H114=$D$14),SottocategorieUscite[[#Headers],[Personali]],IF(OR(H114=$E$5,H114=$E$6,H114=$E$7,H114=$E$8,H114=$E$9,H114=$E$10,H114=$E$11,H114=$E$12,H114=$E$13,H114=$E$14),SottocategorieUscite[[#Headers],[Lavoro]],IF(OR(H114=$F$5,H114=$F$6,H114=$F$7,H114=$F$8,H114=$F$9,H114=$F$10,H114=$F$11,H114=$F$12,H114=$F$13,H114=$F$14),SottocategorieUscite[[#Headers],[Casa]],IF(OR(H114=$G$5,H114=$G$6,H114=$G$7,H114=$G$8,H114=$G$9,H114=$G$10,H114=$G$11,H114=$G$12,H114=$G$13,H114=$G$14),SottocategorieUscite[[#Headers],[Utenze]],IF(OR(H114=$H$5,H114=$H$6,H114=$H$7,H114=$H$8,H114=$H$9,H114=$H$10,H114=$H$11,H114=$H$12,H114=$H$13,H114=$H$14),SottocategorieUscite[[#Headers],[Business Uscite]],IF(OR(H114=$I$5,H114=$I$6,H114=$I$7,H114=$I$8,H114=$I$9,H114=$I$10,H114=$I$11,H114=$I$12,H114=$I$13,H114=$I$14),SottocategorieUscite[[#Headers],[Banca]],IF(OR(H114=K$5,H114=K$6,H114=K$7,H114=K$8,H114=K$9,H114=K$10,H114=K$11,H114=K$12,H114=K$13,H114=K$14),SottocategorieEntrate[[#Headers],[Business Entrate]],IF(OR(H114=L$5,H114=L$6,H114=L$7,H114=L$8,H114=L$9,H114=L$10,H114=L$11,H114=L$12,H114=L$13,H114=L$14),SottocategorieEntrate[[#Headers],[Varie Entrate]],IF(OR(H114=M$5,H114=M$6,H114=M$7,H114=M$8,H114=M$9,H114=M$10,H114=M$11,H114=M$12,H114=M$13,H114=M$14),SottocategorieEntrate[[#Headers],[Real Estate]],IF(OR(H114=N$5,H114=N$6,H114=N$7,H114=N$8,H114=N$9,H114=N$10,H114=N$11,H114=N$12,H114=N$13,H114=N$14),SottocategorieEntrate[[#Headers],[Other]],""))))))))))))</f>
        <v/>
      </c>
      <c r="J114" t="str">
        <f>IF(OR(Dati[[#This Row],[Categoria]]="Bollette",Dati[[#This Row],[Categoria]]="Conto &amp; Carte BNL",Dati[[#This Row],[Categoria]]="Prelievo",Dati[[#This Row],[Categoria]]="Affitto",Dati[[#This Row],[Categoria]]="BNL(Interessi Creditori)"),"Carta",IF(Dati[[#This Row],[Categoria]]&lt;&gt;0,"Cash",""))</f>
        <v/>
      </c>
      <c r="K114" s="59" t="str">
        <f>IF(OR(Data!$I114=SottocategorieUscite[[#Headers],[Fuori Casa]],Data!$I114=SottocategorieUscite[[#Headers],[Varie Uscite]],Data!$I114=SottocategorieUscite[[#Headers],[Personali]],Data!$I114=SottocategorieUscite[[#Headers],[Lavoro]]),"$ -","")</f>
        <v/>
      </c>
      <c r="L114" s="59" t="str">
        <f>IF(OR(Data!$I114=SottocategorieUscite[[#Headers],[Casa]],Data!$I114=SottocategorieUscite[[#Headers],[Utenze]],Data!$I114=SottocategorieUscite[[#Headers],[Business Uscite]],Data!$I114=SottocategorieUscite[[#Headers],[Banca]]),"$ -","")</f>
        <v/>
      </c>
      <c r="M114" s="59" t="str">
        <f>IF(OR($I114&lt;&gt;SottocategorieUscite[[#Headers],[Fuori Casa]],$I114&lt;&gt;SottocategorieUscite[[#Headers],[Varie Uscite]],$I114&lt;&gt;SottocategorieUscite[[#Headers],[Personali]],$I114&lt;&gt;SottocategorieUscite[[#Headers],[Lavoro]],$I114&lt;&gt;SottocategorieUscite[[#Headers],[Casa]],$I114&lt;&gt;SottocategorieUscite[[#Headers],[Utenze]],$I114&lt;&gt;SottocategorieUscite[[#Headers],[Business Uscite]],$I114&lt;&gt;SottocategorieUscite[[#Headers],[Banca]]),"","$ -")</f>
        <v/>
      </c>
      <c r="N114" s="59" t="str">
        <f>IF(OR(Data!$I114=SottocategorieEntrate[[#Headers],[Business Entrate]],Data!$I114=SottocategorieEntrate[[#Headers],[Varie Entrate]]),"$ -","")</f>
        <v/>
      </c>
      <c r="O114" s="59" t="str">
        <f>IF(OR(Data!$I114=SottocategorieEntrate[[#Headers],[Real Estate]],SottocategorieEntrate[[#Headers],[Other]]),"$ -","")</f>
        <v/>
      </c>
      <c r="P114" s="59" t="str">
        <f>IF(OR($I114&lt;&gt;SottocategorieEntrate[[#Headers],[Business Entrate]],$I114&lt;&gt;SottocategorieEntrate[[#Headers],[Varie Entrate]],$I114&lt;&gt;SottocategorieEntrate[[#Headers],[Real Estate]],$I114&lt;&gt;SottocategorieEntrate[[#Headers],[Other]]),"","$ -")</f>
        <v/>
      </c>
      <c r="Q114" s="59" t="str">
        <f>IF(Dati[[#This Row],[Categoria]]="Prelievo","€ -","")</f>
        <v/>
      </c>
      <c r="R114" s="244" t="str">
        <f t="shared" ca="1" si="5"/>
        <v/>
      </c>
      <c r="S114" s="59" t="str">
        <f>IF(Dati[[#This Row],[Categoria]]="Savings",0,"")</f>
        <v/>
      </c>
      <c r="T114" s="59"/>
      <c r="U114" s="59"/>
      <c r="V114" s="59"/>
      <c r="W114" s="59"/>
      <c r="X114" s="59"/>
      <c r="Y114" s="59"/>
      <c r="Z114" s="59"/>
      <c r="AA114" s="59"/>
      <c r="AB114" s="59"/>
      <c r="AC114" s="59"/>
      <c r="AD114" s="59"/>
      <c r="AE114" s="59"/>
      <c r="AF114" s="59"/>
      <c r="AG114" s="59"/>
      <c r="AH114" s="59"/>
      <c r="AI114" s="59" t="str">
        <f>IF(SUM(Dati[[#This Row],[Inv. Business]:[Inv. Cryptocurrency]])=0," ",SUM(Dati[[#This Row],[Inv. Business]:[Inv. Cryptocurrency]]))</f>
        <v xml:space="preserve"> </v>
      </c>
      <c r="AJ114" s="59"/>
      <c r="AK114" s="59" t="str">
        <f>IF(SUM(Dati[[#This Row],[Inv. Gold]:[Mutuo]])=0," ",SUM(Dati[[#This Row],[Inv. Gold]:[Mutuo]]))</f>
        <v xml:space="preserve"> </v>
      </c>
      <c r="AL114" s="59"/>
      <c r="AM114" s="59"/>
    </row>
    <row r="115" spans="2:39" ht="16" customHeight="1" x14ac:dyDescent="0.35">
      <c r="B115">
        <f t="shared" si="3"/>
        <v>95</v>
      </c>
      <c r="C115" s="49">
        <f t="shared" si="4"/>
        <v>45021</v>
      </c>
      <c r="D115" s="29">
        <f>DAY(Dati[[#This Row],[Data]])</f>
        <v>5</v>
      </c>
      <c r="E115" s="29" t="str">
        <f>IF(DAY(Data!$C$21:$C$1327)&gt;0,TEXT(Data!$C$21:$C$1327, "mmmm"),"")</f>
        <v>aprile</v>
      </c>
      <c r="F115" s="29" t="str">
        <f>IF(DAY(Data!$C$21:$C$1327)&gt;0,TEXT(Data!$C$21:$C$1327, "aaaa"),"")</f>
        <v>2023</v>
      </c>
      <c r="I115" t="str">
        <f>IF(OR(H115=$B$5,H115=$B$6,H115=$B$7,H115=$B$8,H115=$B$9,H115=$B$10,H115=$B$11,H115=$B$12,H115=$B$13,H115=$B$14),SottocategorieUscite[[#Headers],[Fuori Casa]],IF(OR(H115=$C$5,H115=$C$6,H115=$C$7,H115=$C$8,H115=$C$9,H115=$C$10,H115=$C$11,H115=$C$12,H115=$C$13,H115=$C$14),SottocategorieUscite[[#Headers],[Varie Uscite]],IF(OR(H115=$D$5,H115=$D$6,H115=$D$7,H115=$D$8,H115=$D$9,H115=$D$10,H115=$D$11,H115=$D$12,H115=$D$13,H115=$D$14),SottocategorieUscite[[#Headers],[Personali]],IF(OR(H115=$E$5,H115=$E$6,H115=$E$7,H115=$E$8,H115=$E$9,H115=$E$10,H115=$E$11,H115=$E$12,H115=$E$13,H115=$E$14),SottocategorieUscite[[#Headers],[Lavoro]],IF(OR(H115=$F$5,H115=$F$6,H115=$F$7,H115=$F$8,H115=$F$9,H115=$F$10,H115=$F$11,H115=$F$12,H115=$F$13,H115=$F$14),SottocategorieUscite[[#Headers],[Casa]],IF(OR(H115=$G$5,H115=$G$6,H115=$G$7,H115=$G$8,H115=$G$9,H115=$G$10,H115=$G$11,H115=$G$12,H115=$G$13,H115=$G$14),SottocategorieUscite[[#Headers],[Utenze]],IF(OR(H115=$H$5,H115=$H$6,H115=$H$7,H115=$H$8,H115=$H$9,H115=$H$10,H115=$H$11,H115=$H$12,H115=$H$13,H115=$H$14),SottocategorieUscite[[#Headers],[Business Uscite]],IF(OR(H115=$I$5,H115=$I$6,H115=$I$7,H115=$I$8,H115=$I$9,H115=$I$10,H115=$I$11,H115=$I$12,H115=$I$13,H115=$I$14),SottocategorieUscite[[#Headers],[Banca]],IF(OR(H115=K$5,H115=K$6,H115=K$7,H115=K$8,H115=K$9,H115=K$10,H115=K$11,H115=K$12,H115=K$13,H115=K$14),SottocategorieEntrate[[#Headers],[Business Entrate]],IF(OR(H115=L$5,H115=L$6,H115=L$7,H115=L$8,H115=L$9,H115=L$10,H115=L$11,H115=L$12,H115=L$13,H115=L$14),SottocategorieEntrate[[#Headers],[Varie Entrate]],IF(OR(H115=M$5,H115=M$6,H115=M$7,H115=M$8,H115=M$9,H115=M$10,H115=M$11,H115=M$12,H115=M$13,H115=M$14),SottocategorieEntrate[[#Headers],[Real Estate]],IF(OR(H115=N$5,H115=N$6,H115=N$7,H115=N$8,H115=N$9,H115=N$10,H115=N$11,H115=N$12,H115=N$13,H115=N$14),SottocategorieEntrate[[#Headers],[Other]],""))))))))))))</f>
        <v/>
      </c>
      <c r="J115" t="str">
        <f>IF(OR(Dati[[#This Row],[Categoria]]="Bollette",Dati[[#This Row],[Categoria]]="Conto &amp; Carte BNL",Dati[[#This Row],[Categoria]]="Prelievo",Dati[[#This Row],[Categoria]]="Affitto",Dati[[#This Row],[Categoria]]="BNL(Interessi Creditori)"),"Carta",IF(Dati[[#This Row],[Categoria]]&lt;&gt;0,"Cash",""))</f>
        <v/>
      </c>
      <c r="K115" s="59" t="str">
        <f>IF(OR(Data!$I115=SottocategorieUscite[[#Headers],[Fuori Casa]],Data!$I115=SottocategorieUscite[[#Headers],[Varie Uscite]],Data!$I115=SottocategorieUscite[[#Headers],[Personali]],Data!$I115=SottocategorieUscite[[#Headers],[Lavoro]]),"$ -","")</f>
        <v/>
      </c>
      <c r="L115" s="59" t="str">
        <f>IF(OR(Data!$I115=SottocategorieUscite[[#Headers],[Casa]],Data!$I115=SottocategorieUscite[[#Headers],[Utenze]],Data!$I115=SottocategorieUscite[[#Headers],[Business Uscite]],Data!$I115=SottocategorieUscite[[#Headers],[Banca]]),"$ -","")</f>
        <v/>
      </c>
      <c r="M115" s="59" t="str">
        <f>IF(OR($I115&lt;&gt;SottocategorieUscite[[#Headers],[Fuori Casa]],$I115&lt;&gt;SottocategorieUscite[[#Headers],[Varie Uscite]],$I115&lt;&gt;SottocategorieUscite[[#Headers],[Personali]],$I115&lt;&gt;SottocategorieUscite[[#Headers],[Lavoro]],$I115&lt;&gt;SottocategorieUscite[[#Headers],[Casa]],$I115&lt;&gt;SottocategorieUscite[[#Headers],[Utenze]],$I115&lt;&gt;SottocategorieUscite[[#Headers],[Business Uscite]],$I115&lt;&gt;SottocategorieUscite[[#Headers],[Banca]]),"","$ -")</f>
        <v/>
      </c>
      <c r="N115" s="59" t="str">
        <f>IF(OR(Data!$I115=SottocategorieEntrate[[#Headers],[Business Entrate]],Data!$I115=SottocategorieEntrate[[#Headers],[Varie Entrate]]),"$ -","")</f>
        <v/>
      </c>
      <c r="O115" s="59" t="str">
        <f>IF(OR(Data!$I115=SottocategorieEntrate[[#Headers],[Real Estate]],SottocategorieEntrate[[#Headers],[Other]]),"$ -","")</f>
        <v/>
      </c>
      <c r="P115" s="59" t="str">
        <f>IF(OR($I115&lt;&gt;SottocategorieEntrate[[#Headers],[Business Entrate]],$I115&lt;&gt;SottocategorieEntrate[[#Headers],[Varie Entrate]],$I115&lt;&gt;SottocategorieEntrate[[#Headers],[Real Estate]],$I115&lt;&gt;SottocategorieEntrate[[#Headers],[Other]]),"","$ -")</f>
        <v/>
      </c>
      <c r="Q115" s="59" t="str">
        <f>IF(Dati[[#This Row],[Categoria]]="Prelievo","€ -","")</f>
        <v/>
      </c>
      <c r="R115" s="244" t="str">
        <f t="shared" ca="1" si="5"/>
        <v/>
      </c>
      <c r="S115" s="59" t="str">
        <f>IF(Dati[[#This Row],[Categoria]]="Savings",0,"")</f>
        <v/>
      </c>
      <c r="T115" s="59"/>
      <c r="U115" s="59"/>
      <c r="V115" s="59"/>
      <c r="W115" s="59"/>
      <c r="X115" s="59"/>
      <c r="Y115" s="59"/>
      <c r="Z115" s="59"/>
      <c r="AA115" s="59"/>
      <c r="AB115" s="59"/>
      <c r="AC115" s="59"/>
      <c r="AD115" s="59"/>
      <c r="AE115" s="59"/>
      <c r="AF115" s="59"/>
      <c r="AG115" s="59"/>
      <c r="AH115" s="59"/>
      <c r="AI115" s="59" t="str">
        <f>IF(SUM(Dati[[#This Row],[Inv. Business]:[Inv. Cryptocurrency]])=0," ",SUM(Dati[[#This Row],[Inv. Business]:[Inv. Cryptocurrency]]))</f>
        <v xml:space="preserve"> </v>
      </c>
      <c r="AJ115" s="59"/>
      <c r="AK115" s="59" t="str">
        <f>IF(SUM(Dati[[#This Row],[Inv. Gold]:[Mutuo]])=0," ",SUM(Dati[[#This Row],[Inv. Gold]:[Mutuo]]))</f>
        <v xml:space="preserve"> </v>
      </c>
      <c r="AL115" s="59"/>
      <c r="AM115" s="59"/>
    </row>
    <row r="116" spans="2:39" ht="16" customHeight="1" x14ac:dyDescent="0.35">
      <c r="B116">
        <f t="shared" si="3"/>
        <v>96</v>
      </c>
      <c r="C116" s="49">
        <f t="shared" si="4"/>
        <v>45022</v>
      </c>
      <c r="D116" s="29">
        <f>DAY(Dati[[#This Row],[Data]])</f>
        <v>6</v>
      </c>
      <c r="E116" s="29" t="str">
        <f>IF(DAY(Data!$C$21:$C$1327)&gt;0,TEXT(Data!$C$21:$C$1327, "mmmm"),"")</f>
        <v>aprile</v>
      </c>
      <c r="F116" s="29" t="str">
        <f>IF(DAY(Data!$C$21:$C$1327)&gt;0,TEXT(Data!$C$21:$C$1327, "aaaa"),"")</f>
        <v>2023</v>
      </c>
      <c r="I116" t="str">
        <f>IF(OR(H116=$B$5,H116=$B$6,H116=$B$7,H116=$B$8,H116=$B$9,H116=$B$10,H116=$B$11,H116=$B$12,H116=$B$13,H116=$B$14),SottocategorieUscite[[#Headers],[Fuori Casa]],IF(OR(H116=$C$5,H116=$C$6,H116=$C$7,H116=$C$8,H116=$C$9,H116=$C$10,H116=$C$11,H116=$C$12,H116=$C$13,H116=$C$14),SottocategorieUscite[[#Headers],[Varie Uscite]],IF(OR(H116=$D$5,H116=$D$6,H116=$D$7,H116=$D$8,H116=$D$9,H116=$D$10,H116=$D$11,H116=$D$12,H116=$D$13,H116=$D$14),SottocategorieUscite[[#Headers],[Personali]],IF(OR(H116=$E$5,H116=$E$6,H116=$E$7,H116=$E$8,H116=$E$9,H116=$E$10,H116=$E$11,H116=$E$12,H116=$E$13,H116=$E$14),SottocategorieUscite[[#Headers],[Lavoro]],IF(OR(H116=$F$5,H116=$F$6,H116=$F$7,H116=$F$8,H116=$F$9,H116=$F$10,H116=$F$11,H116=$F$12,H116=$F$13,H116=$F$14),SottocategorieUscite[[#Headers],[Casa]],IF(OR(H116=$G$5,H116=$G$6,H116=$G$7,H116=$G$8,H116=$G$9,H116=$G$10,H116=$G$11,H116=$G$12,H116=$G$13,H116=$G$14),SottocategorieUscite[[#Headers],[Utenze]],IF(OR(H116=$H$5,H116=$H$6,H116=$H$7,H116=$H$8,H116=$H$9,H116=$H$10,H116=$H$11,H116=$H$12,H116=$H$13,H116=$H$14),SottocategorieUscite[[#Headers],[Business Uscite]],IF(OR(H116=$I$5,H116=$I$6,H116=$I$7,H116=$I$8,H116=$I$9,H116=$I$10,H116=$I$11,H116=$I$12,H116=$I$13,H116=$I$14),SottocategorieUscite[[#Headers],[Banca]],IF(OR(H116=K$5,H116=K$6,H116=K$7,H116=K$8,H116=K$9,H116=K$10,H116=K$11,H116=K$12,H116=K$13,H116=K$14),SottocategorieEntrate[[#Headers],[Business Entrate]],IF(OR(H116=L$5,H116=L$6,H116=L$7,H116=L$8,H116=L$9,H116=L$10,H116=L$11,H116=L$12,H116=L$13,H116=L$14),SottocategorieEntrate[[#Headers],[Varie Entrate]],IF(OR(H116=M$5,H116=M$6,H116=M$7,H116=M$8,H116=M$9,H116=M$10,H116=M$11,H116=M$12,H116=M$13,H116=M$14),SottocategorieEntrate[[#Headers],[Real Estate]],IF(OR(H116=N$5,H116=N$6,H116=N$7,H116=N$8,H116=N$9,H116=N$10,H116=N$11,H116=N$12,H116=N$13,H116=N$14),SottocategorieEntrate[[#Headers],[Other]],""))))))))))))</f>
        <v/>
      </c>
      <c r="J116" t="str">
        <f>IF(OR(Dati[[#This Row],[Categoria]]="Bollette",Dati[[#This Row],[Categoria]]="Conto &amp; Carte BNL",Dati[[#This Row],[Categoria]]="Prelievo",Dati[[#This Row],[Categoria]]="Affitto",Dati[[#This Row],[Categoria]]="BNL(Interessi Creditori)"),"Carta",IF(Dati[[#This Row],[Categoria]]&lt;&gt;0,"Cash",""))</f>
        <v/>
      </c>
      <c r="K116" s="59" t="str">
        <f>IF(OR(Data!$I116=SottocategorieUscite[[#Headers],[Fuori Casa]],Data!$I116=SottocategorieUscite[[#Headers],[Varie Uscite]],Data!$I116=SottocategorieUscite[[#Headers],[Personali]],Data!$I116=SottocategorieUscite[[#Headers],[Lavoro]]),"$ -","")</f>
        <v/>
      </c>
      <c r="L116" s="59" t="str">
        <f>IF(OR(Data!$I116=SottocategorieUscite[[#Headers],[Casa]],Data!$I116=SottocategorieUscite[[#Headers],[Utenze]],Data!$I116=SottocategorieUscite[[#Headers],[Business Uscite]],Data!$I116=SottocategorieUscite[[#Headers],[Banca]]),"$ -","")</f>
        <v/>
      </c>
      <c r="M116" s="59" t="str">
        <f>IF(OR($I116&lt;&gt;SottocategorieUscite[[#Headers],[Fuori Casa]],$I116&lt;&gt;SottocategorieUscite[[#Headers],[Varie Uscite]],$I116&lt;&gt;SottocategorieUscite[[#Headers],[Personali]],$I116&lt;&gt;SottocategorieUscite[[#Headers],[Lavoro]],$I116&lt;&gt;SottocategorieUscite[[#Headers],[Casa]],$I116&lt;&gt;SottocategorieUscite[[#Headers],[Utenze]],$I116&lt;&gt;SottocategorieUscite[[#Headers],[Business Uscite]],$I116&lt;&gt;SottocategorieUscite[[#Headers],[Banca]]),"","$ -")</f>
        <v/>
      </c>
      <c r="N116" s="59" t="str">
        <f>IF(OR(Data!$I116=SottocategorieEntrate[[#Headers],[Business Entrate]],Data!$I116=SottocategorieEntrate[[#Headers],[Varie Entrate]]),"$ -","")</f>
        <v/>
      </c>
      <c r="O116" s="59" t="str">
        <f>IF(OR(Data!$I116=SottocategorieEntrate[[#Headers],[Real Estate]],SottocategorieEntrate[[#Headers],[Other]]),"$ -","")</f>
        <v/>
      </c>
      <c r="P116" s="59" t="str">
        <f>IF(OR($I116&lt;&gt;SottocategorieEntrate[[#Headers],[Business Entrate]],$I116&lt;&gt;SottocategorieEntrate[[#Headers],[Varie Entrate]],$I116&lt;&gt;SottocategorieEntrate[[#Headers],[Real Estate]],$I116&lt;&gt;SottocategorieEntrate[[#Headers],[Other]]),"","$ -")</f>
        <v/>
      </c>
      <c r="Q116" s="59" t="str">
        <f>IF(Dati[[#This Row],[Categoria]]="Prelievo","€ -","")</f>
        <v/>
      </c>
      <c r="R116" s="244" t="str">
        <f t="shared" ca="1" si="5"/>
        <v/>
      </c>
      <c r="S116" s="59" t="str">
        <f>IF(Dati[[#This Row],[Categoria]]="Savings",0,"")</f>
        <v/>
      </c>
      <c r="T116" s="59"/>
      <c r="U116" s="59"/>
      <c r="V116" s="59"/>
      <c r="W116" s="59"/>
      <c r="X116" s="59"/>
      <c r="Y116" s="59"/>
      <c r="Z116" s="59"/>
      <c r="AA116" s="59"/>
      <c r="AB116" s="59"/>
      <c r="AC116" s="59"/>
      <c r="AD116" s="59"/>
      <c r="AE116" s="59"/>
      <c r="AF116" s="59"/>
      <c r="AG116" s="59"/>
      <c r="AH116" s="59"/>
      <c r="AI116" s="59" t="str">
        <f>IF(SUM(Dati[[#This Row],[Inv. Business]:[Inv. Cryptocurrency]])=0," ",SUM(Dati[[#This Row],[Inv. Business]:[Inv. Cryptocurrency]]))</f>
        <v xml:space="preserve"> </v>
      </c>
      <c r="AJ116" s="59"/>
      <c r="AK116" s="59" t="str">
        <f>IF(SUM(Dati[[#This Row],[Inv. Gold]:[Mutuo]])=0," ",SUM(Dati[[#This Row],[Inv. Gold]:[Mutuo]]))</f>
        <v xml:space="preserve"> </v>
      </c>
      <c r="AL116" s="59"/>
      <c r="AM116" s="59"/>
    </row>
    <row r="117" spans="2:39" ht="16" customHeight="1" x14ac:dyDescent="0.35">
      <c r="B117">
        <f t="shared" si="3"/>
        <v>97</v>
      </c>
      <c r="C117" s="49">
        <f t="shared" si="4"/>
        <v>45023</v>
      </c>
      <c r="D117" s="29">
        <f>DAY(Dati[[#This Row],[Data]])</f>
        <v>7</v>
      </c>
      <c r="E117" s="29" t="str">
        <f>IF(DAY(Data!$C$21:$C$1327)&gt;0,TEXT(Data!$C$21:$C$1327, "mmmm"),"")</f>
        <v>aprile</v>
      </c>
      <c r="F117" s="29" t="str">
        <f>IF(DAY(Data!$C$21:$C$1327)&gt;0,TEXT(Data!$C$21:$C$1327, "aaaa"),"")</f>
        <v>2023</v>
      </c>
      <c r="I117" t="str">
        <f>IF(OR(H117=$B$5,H117=$B$6,H117=$B$7,H117=$B$8,H117=$B$9,H117=$B$10,H117=$B$11,H117=$B$12,H117=$B$13,H117=$B$14),SottocategorieUscite[[#Headers],[Fuori Casa]],IF(OR(H117=$C$5,H117=$C$6,H117=$C$7,H117=$C$8,H117=$C$9,H117=$C$10,H117=$C$11,H117=$C$12,H117=$C$13,H117=$C$14),SottocategorieUscite[[#Headers],[Varie Uscite]],IF(OR(H117=$D$5,H117=$D$6,H117=$D$7,H117=$D$8,H117=$D$9,H117=$D$10,H117=$D$11,H117=$D$12,H117=$D$13,H117=$D$14),SottocategorieUscite[[#Headers],[Personali]],IF(OR(H117=$E$5,H117=$E$6,H117=$E$7,H117=$E$8,H117=$E$9,H117=$E$10,H117=$E$11,H117=$E$12,H117=$E$13,H117=$E$14),SottocategorieUscite[[#Headers],[Lavoro]],IF(OR(H117=$F$5,H117=$F$6,H117=$F$7,H117=$F$8,H117=$F$9,H117=$F$10,H117=$F$11,H117=$F$12,H117=$F$13,H117=$F$14),SottocategorieUscite[[#Headers],[Casa]],IF(OR(H117=$G$5,H117=$G$6,H117=$G$7,H117=$G$8,H117=$G$9,H117=$G$10,H117=$G$11,H117=$G$12,H117=$G$13,H117=$G$14),SottocategorieUscite[[#Headers],[Utenze]],IF(OR(H117=$H$5,H117=$H$6,H117=$H$7,H117=$H$8,H117=$H$9,H117=$H$10,H117=$H$11,H117=$H$12,H117=$H$13,H117=$H$14),SottocategorieUscite[[#Headers],[Business Uscite]],IF(OR(H117=$I$5,H117=$I$6,H117=$I$7,H117=$I$8,H117=$I$9,H117=$I$10,H117=$I$11,H117=$I$12,H117=$I$13,H117=$I$14),SottocategorieUscite[[#Headers],[Banca]],IF(OR(H117=K$5,H117=K$6,H117=K$7,H117=K$8,H117=K$9,H117=K$10,H117=K$11,H117=K$12,H117=K$13,H117=K$14),SottocategorieEntrate[[#Headers],[Business Entrate]],IF(OR(H117=L$5,H117=L$6,H117=L$7,H117=L$8,H117=L$9,H117=L$10,H117=L$11,H117=L$12,H117=L$13,H117=L$14),SottocategorieEntrate[[#Headers],[Varie Entrate]],IF(OR(H117=M$5,H117=M$6,H117=M$7,H117=M$8,H117=M$9,H117=M$10,H117=M$11,H117=M$12,H117=M$13,H117=M$14),SottocategorieEntrate[[#Headers],[Real Estate]],IF(OR(H117=N$5,H117=N$6,H117=N$7,H117=N$8,H117=N$9,H117=N$10,H117=N$11,H117=N$12,H117=N$13,H117=N$14),SottocategorieEntrate[[#Headers],[Other]],""))))))))))))</f>
        <v/>
      </c>
      <c r="J117" t="str">
        <f>IF(OR(Dati[[#This Row],[Categoria]]="Bollette",Dati[[#This Row],[Categoria]]="Conto &amp; Carte BNL",Dati[[#This Row],[Categoria]]="Prelievo",Dati[[#This Row],[Categoria]]="Affitto",Dati[[#This Row],[Categoria]]="BNL(Interessi Creditori)"),"Carta",IF(Dati[[#This Row],[Categoria]]&lt;&gt;0,"Cash",""))</f>
        <v/>
      </c>
      <c r="K117" s="59" t="str">
        <f>IF(OR(Data!$I117=SottocategorieUscite[[#Headers],[Fuori Casa]],Data!$I117=SottocategorieUscite[[#Headers],[Varie Uscite]],Data!$I117=SottocategorieUscite[[#Headers],[Personali]],Data!$I117=SottocategorieUscite[[#Headers],[Lavoro]]),"$ -","")</f>
        <v/>
      </c>
      <c r="L117" s="59" t="str">
        <f>IF(OR(Data!$I117=SottocategorieUscite[[#Headers],[Casa]],Data!$I117=SottocategorieUscite[[#Headers],[Utenze]],Data!$I117=SottocategorieUscite[[#Headers],[Business Uscite]],Data!$I117=SottocategorieUscite[[#Headers],[Banca]]),"$ -","")</f>
        <v/>
      </c>
      <c r="M117" s="59" t="str">
        <f>IF(OR($I117&lt;&gt;SottocategorieUscite[[#Headers],[Fuori Casa]],$I117&lt;&gt;SottocategorieUscite[[#Headers],[Varie Uscite]],$I117&lt;&gt;SottocategorieUscite[[#Headers],[Personali]],$I117&lt;&gt;SottocategorieUscite[[#Headers],[Lavoro]],$I117&lt;&gt;SottocategorieUscite[[#Headers],[Casa]],$I117&lt;&gt;SottocategorieUscite[[#Headers],[Utenze]],$I117&lt;&gt;SottocategorieUscite[[#Headers],[Business Uscite]],$I117&lt;&gt;SottocategorieUscite[[#Headers],[Banca]]),"","$ -")</f>
        <v/>
      </c>
      <c r="N117" s="59" t="str">
        <f>IF(OR(Data!$I117=SottocategorieEntrate[[#Headers],[Business Entrate]],Data!$I117=SottocategorieEntrate[[#Headers],[Varie Entrate]]),"$ -","")</f>
        <v/>
      </c>
      <c r="O117" s="59" t="str">
        <f>IF(OR(Data!$I117=SottocategorieEntrate[[#Headers],[Real Estate]],SottocategorieEntrate[[#Headers],[Other]]),"$ -","")</f>
        <v/>
      </c>
      <c r="P117" s="59" t="str">
        <f>IF(OR($I117&lt;&gt;SottocategorieEntrate[[#Headers],[Business Entrate]],$I117&lt;&gt;SottocategorieEntrate[[#Headers],[Varie Entrate]],$I117&lt;&gt;SottocategorieEntrate[[#Headers],[Real Estate]],$I117&lt;&gt;SottocategorieEntrate[[#Headers],[Other]]),"","$ -")</f>
        <v/>
      </c>
      <c r="Q117" s="59" t="str">
        <f>IF(Dati[[#This Row],[Categoria]]="Prelievo","€ -","")</f>
        <v/>
      </c>
      <c r="R117" s="244" t="str">
        <f t="shared" ca="1" si="5"/>
        <v/>
      </c>
      <c r="S117" s="59" t="str">
        <f>IF(Dati[[#This Row],[Categoria]]="Savings",0,"")</f>
        <v/>
      </c>
      <c r="T117" s="59"/>
      <c r="U117" s="59"/>
      <c r="V117" s="59"/>
      <c r="W117" s="59"/>
      <c r="X117" s="59"/>
      <c r="Y117" s="59"/>
      <c r="Z117" s="59"/>
      <c r="AA117" s="59"/>
      <c r="AB117" s="59"/>
      <c r="AC117" s="59"/>
      <c r="AD117" s="59"/>
      <c r="AE117" s="59"/>
      <c r="AF117" s="59"/>
      <c r="AG117" s="59"/>
      <c r="AH117" s="59"/>
      <c r="AI117" s="59" t="str">
        <f>IF(SUM(Dati[[#This Row],[Inv. Business]:[Inv. Cryptocurrency]])=0," ",SUM(Dati[[#This Row],[Inv. Business]:[Inv. Cryptocurrency]]))</f>
        <v xml:space="preserve"> </v>
      </c>
      <c r="AJ117" s="59"/>
      <c r="AK117" s="59" t="str">
        <f>IF(SUM(Dati[[#This Row],[Inv. Gold]:[Mutuo]])=0," ",SUM(Dati[[#This Row],[Inv. Gold]:[Mutuo]]))</f>
        <v xml:space="preserve"> </v>
      </c>
      <c r="AL117" s="59"/>
      <c r="AM117" s="59"/>
    </row>
    <row r="118" spans="2:39" ht="16" customHeight="1" x14ac:dyDescent="0.35">
      <c r="B118">
        <f t="shared" si="3"/>
        <v>98</v>
      </c>
      <c r="C118" s="49">
        <f t="shared" si="4"/>
        <v>45024</v>
      </c>
      <c r="D118" s="29">
        <f>DAY(Dati[[#This Row],[Data]])</f>
        <v>8</v>
      </c>
      <c r="E118" s="29" t="str">
        <f>IF(DAY(Data!$C$21:$C$1327)&gt;0,TEXT(Data!$C$21:$C$1327, "mmmm"),"")</f>
        <v>aprile</v>
      </c>
      <c r="F118" s="29" t="str">
        <f>IF(DAY(Data!$C$21:$C$1327)&gt;0,TEXT(Data!$C$21:$C$1327, "aaaa"),"")</f>
        <v>2023</v>
      </c>
      <c r="I118" t="str">
        <f>IF(OR(H118=$B$5,H118=$B$6,H118=$B$7,H118=$B$8,H118=$B$9,H118=$B$10,H118=$B$11,H118=$B$12,H118=$B$13,H118=$B$14),SottocategorieUscite[[#Headers],[Fuori Casa]],IF(OR(H118=$C$5,H118=$C$6,H118=$C$7,H118=$C$8,H118=$C$9,H118=$C$10,H118=$C$11,H118=$C$12,H118=$C$13,H118=$C$14),SottocategorieUscite[[#Headers],[Varie Uscite]],IF(OR(H118=$D$5,H118=$D$6,H118=$D$7,H118=$D$8,H118=$D$9,H118=$D$10,H118=$D$11,H118=$D$12,H118=$D$13,H118=$D$14),SottocategorieUscite[[#Headers],[Personali]],IF(OR(H118=$E$5,H118=$E$6,H118=$E$7,H118=$E$8,H118=$E$9,H118=$E$10,H118=$E$11,H118=$E$12,H118=$E$13,H118=$E$14),SottocategorieUscite[[#Headers],[Lavoro]],IF(OR(H118=$F$5,H118=$F$6,H118=$F$7,H118=$F$8,H118=$F$9,H118=$F$10,H118=$F$11,H118=$F$12,H118=$F$13,H118=$F$14),SottocategorieUscite[[#Headers],[Casa]],IF(OR(H118=$G$5,H118=$G$6,H118=$G$7,H118=$G$8,H118=$G$9,H118=$G$10,H118=$G$11,H118=$G$12,H118=$G$13,H118=$G$14),SottocategorieUscite[[#Headers],[Utenze]],IF(OR(H118=$H$5,H118=$H$6,H118=$H$7,H118=$H$8,H118=$H$9,H118=$H$10,H118=$H$11,H118=$H$12,H118=$H$13,H118=$H$14),SottocategorieUscite[[#Headers],[Business Uscite]],IF(OR(H118=$I$5,H118=$I$6,H118=$I$7,H118=$I$8,H118=$I$9,H118=$I$10,H118=$I$11,H118=$I$12,H118=$I$13,H118=$I$14),SottocategorieUscite[[#Headers],[Banca]],IF(OR(H118=K$5,H118=K$6,H118=K$7,H118=K$8,H118=K$9,H118=K$10,H118=K$11,H118=K$12,H118=K$13,H118=K$14),SottocategorieEntrate[[#Headers],[Business Entrate]],IF(OR(H118=L$5,H118=L$6,H118=L$7,H118=L$8,H118=L$9,H118=L$10,H118=L$11,H118=L$12,H118=L$13,H118=L$14),SottocategorieEntrate[[#Headers],[Varie Entrate]],IF(OR(H118=M$5,H118=M$6,H118=M$7,H118=M$8,H118=M$9,H118=M$10,H118=M$11,H118=M$12,H118=M$13,H118=M$14),SottocategorieEntrate[[#Headers],[Real Estate]],IF(OR(H118=N$5,H118=N$6,H118=N$7,H118=N$8,H118=N$9,H118=N$10,H118=N$11,H118=N$12,H118=N$13,H118=N$14),SottocategorieEntrate[[#Headers],[Other]],""))))))))))))</f>
        <v/>
      </c>
      <c r="J118" t="str">
        <f>IF(OR(Dati[[#This Row],[Categoria]]="Bollette",Dati[[#This Row],[Categoria]]="Conto &amp; Carte BNL",Dati[[#This Row],[Categoria]]="Prelievo",Dati[[#This Row],[Categoria]]="Affitto",Dati[[#This Row],[Categoria]]="BNL(Interessi Creditori)"),"Carta",IF(Dati[[#This Row],[Categoria]]&lt;&gt;0,"Cash",""))</f>
        <v/>
      </c>
      <c r="K118" s="59" t="str">
        <f>IF(OR(Data!$I118=SottocategorieUscite[[#Headers],[Fuori Casa]],Data!$I118=SottocategorieUscite[[#Headers],[Varie Uscite]],Data!$I118=SottocategorieUscite[[#Headers],[Personali]],Data!$I118=SottocategorieUscite[[#Headers],[Lavoro]]),"$ -","")</f>
        <v/>
      </c>
      <c r="L118" s="59" t="str">
        <f>IF(OR(Data!$I118=SottocategorieUscite[[#Headers],[Casa]],Data!$I118=SottocategorieUscite[[#Headers],[Utenze]],Data!$I118=SottocategorieUscite[[#Headers],[Business Uscite]],Data!$I118=SottocategorieUscite[[#Headers],[Banca]]),"$ -","")</f>
        <v/>
      </c>
      <c r="M118" s="59" t="str">
        <f>IF(OR($I118&lt;&gt;SottocategorieUscite[[#Headers],[Fuori Casa]],$I118&lt;&gt;SottocategorieUscite[[#Headers],[Varie Uscite]],$I118&lt;&gt;SottocategorieUscite[[#Headers],[Personali]],$I118&lt;&gt;SottocategorieUscite[[#Headers],[Lavoro]],$I118&lt;&gt;SottocategorieUscite[[#Headers],[Casa]],$I118&lt;&gt;SottocategorieUscite[[#Headers],[Utenze]],$I118&lt;&gt;SottocategorieUscite[[#Headers],[Business Uscite]],$I118&lt;&gt;SottocategorieUscite[[#Headers],[Banca]]),"","$ -")</f>
        <v/>
      </c>
      <c r="N118" s="59" t="str">
        <f>IF(OR(Data!$I118=SottocategorieEntrate[[#Headers],[Business Entrate]],Data!$I118=SottocategorieEntrate[[#Headers],[Varie Entrate]]),"$ -","")</f>
        <v/>
      </c>
      <c r="O118" s="59" t="str">
        <f>IF(OR(Data!$I118=SottocategorieEntrate[[#Headers],[Real Estate]],SottocategorieEntrate[[#Headers],[Other]]),"$ -","")</f>
        <v/>
      </c>
      <c r="P118" s="59" t="str">
        <f>IF(OR($I118&lt;&gt;SottocategorieEntrate[[#Headers],[Business Entrate]],$I118&lt;&gt;SottocategorieEntrate[[#Headers],[Varie Entrate]],$I118&lt;&gt;SottocategorieEntrate[[#Headers],[Real Estate]],$I118&lt;&gt;SottocategorieEntrate[[#Headers],[Other]]),"","$ -")</f>
        <v/>
      </c>
      <c r="Q118" s="59" t="str">
        <f>IF(Dati[[#This Row],[Categoria]]="Prelievo","€ -","")</f>
        <v/>
      </c>
      <c r="R118" s="244" t="str">
        <f t="shared" ca="1" si="5"/>
        <v/>
      </c>
      <c r="S118" s="59" t="str">
        <f>IF(Dati[[#This Row],[Categoria]]="Savings",0,"")</f>
        <v/>
      </c>
      <c r="T118" s="59"/>
      <c r="U118" s="59"/>
      <c r="V118" s="59"/>
      <c r="W118" s="59"/>
      <c r="X118" s="59"/>
      <c r="Y118" s="59"/>
      <c r="Z118" s="59"/>
      <c r="AA118" s="59"/>
      <c r="AB118" s="59"/>
      <c r="AC118" s="59"/>
      <c r="AD118" s="59"/>
      <c r="AE118" s="59"/>
      <c r="AF118" s="59"/>
      <c r="AG118" s="59"/>
      <c r="AH118" s="59"/>
      <c r="AI118" s="59" t="str">
        <f>IF(SUM(Dati[[#This Row],[Inv. Business]:[Inv. Cryptocurrency]])=0," ",SUM(Dati[[#This Row],[Inv. Business]:[Inv. Cryptocurrency]]))</f>
        <v xml:space="preserve"> </v>
      </c>
      <c r="AJ118" s="59"/>
      <c r="AK118" s="59" t="str">
        <f>IF(SUM(Dati[[#This Row],[Inv. Gold]:[Mutuo]])=0," ",SUM(Dati[[#This Row],[Inv. Gold]:[Mutuo]]))</f>
        <v xml:space="preserve"> </v>
      </c>
      <c r="AL118" s="59"/>
      <c r="AM118" s="59"/>
    </row>
    <row r="119" spans="2:39" ht="16" customHeight="1" x14ac:dyDescent="0.35">
      <c r="B119">
        <f t="shared" si="3"/>
        <v>99</v>
      </c>
      <c r="C119" s="49">
        <f t="shared" si="4"/>
        <v>45025</v>
      </c>
      <c r="D119" s="29">
        <f>DAY(Dati[[#This Row],[Data]])</f>
        <v>9</v>
      </c>
      <c r="E119" s="29" t="str">
        <f>IF(DAY(Data!$C$21:$C$1327)&gt;0,TEXT(Data!$C$21:$C$1327, "mmmm"),"")</f>
        <v>aprile</v>
      </c>
      <c r="F119" s="29" t="str">
        <f>IF(DAY(Data!$C$21:$C$1327)&gt;0,TEXT(Data!$C$21:$C$1327, "aaaa"),"")</f>
        <v>2023</v>
      </c>
      <c r="I119" t="str">
        <f>IF(OR(H119=$B$5,H119=$B$6,H119=$B$7,H119=$B$8,H119=$B$9,H119=$B$10,H119=$B$11,H119=$B$12,H119=$B$13,H119=$B$14),SottocategorieUscite[[#Headers],[Fuori Casa]],IF(OR(H119=$C$5,H119=$C$6,H119=$C$7,H119=$C$8,H119=$C$9,H119=$C$10,H119=$C$11,H119=$C$12,H119=$C$13,H119=$C$14),SottocategorieUscite[[#Headers],[Varie Uscite]],IF(OR(H119=$D$5,H119=$D$6,H119=$D$7,H119=$D$8,H119=$D$9,H119=$D$10,H119=$D$11,H119=$D$12,H119=$D$13,H119=$D$14),SottocategorieUscite[[#Headers],[Personali]],IF(OR(H119=$E$5,H119=$E$6,H119=$E$7,H119=$E$8,H119=$E$9,H119=$E$10,H119=$E$11,H119=$E$12,H119=$E$13,H119=$E$14),SottocategorieUscite[[#Headers],[Lavoro]],IF(OR(H119=$F$5,H119=$F$6,H119=$F$7,H119=$F$8,H119=$F$9,H119=$F$10,H119=$F$11,H119=$F$12,H119=$F$13,H119=$F$14),SottocategorieUscite[[#Headers],[Casa]],IF(OR(H119=$G$5,H119=$G$6,H119=$G$7,H119=$G$8,H119=$G$9,H119=$G$10,H119=$G$11,H119=$G$12,H119=$G$13,H119=$G$14),SottocategorieUscite[[#Headers],[Utenze]],IF(OR(H119=$H$5,H119=$H$6,H119=$H$7,H119=$H$8,H119=$H$9,H119=$H$10,H119=$H$11,H119=$H$12,H119=$H$13,H119=$H$14),SottocategorieUscite[[#Headers],[Business Uscite]],IF(OR(H119=$I$5,H119=$I$6,H119=$I$7,H119=$I$8,H119=$I$9,H119=$I$10,H119=$I$11,H119=$I$12,H119=$I$13,H119=$I$14),SottocategorieUscite[[#Headers],[Banca]],IF(OR(H119=K$5,H119=K$6,H119=K$7,H119=K$8,H119=K$9,H119=K$10,H119=K$11,H119=K$12,H119=K$13,H119=K$14),SottocategorieEntrate[[#Headers],[Business Entrate]],IF(OR(H119=L$5,H119=L$6,H119=L$7,H119=L$8,H119=L$9,H119=L$10,H119=L$11,H119=L$12,H119=L$13,H119=L$14),SottocategorieEntrate[[#Headers],[Varie Entrate]],IF(OR(H119=M$5,H119=M$6,H119=M$7,H119=M$8,H119=M$9,H119=M$10,H119=M$11,H119=M$12,H119=M$13,H119=M$14),SottocategorieEntrate[[#Headers],[Real Estate]],IF(OR(H119=N$5,H119=N$6,H119=N$7,H119=N$8,H119=N$9,H119=N$10,H119=N$11,H119=N$12,H119=N$13,H119=N$14),SottocategorieEntrate[[#Headers],[Other]],""))))))))))))</f>
        <v/>
      </c>
      <c r="J119" t="str">
        <f>IF(OR(Dati[[#This Row],[Categoria]]="Bollette",Dati[[#This Row],[Categoria]]="Conto &amp; Carte BNL",Dati[[#This Row],[Categoria]]="Prelievo",Dati[[#This Row],[Categoria]]="Affitto",Dati[[#This Row],[Categoria]]="BNL(Interessi Creditori)"),"Carta",IF(Dati[[#This Row],[Categoria]]&lt;&gt;0,"Cash",""))</f>
        <v/>
      </c>
      <c r="K119" s="59" t="str">
        <f>IF(OR(Data!$I119=SottocategorieUscite[[#Headers],[Fuori Casa]],Data!$I119=SottocategorieUscite[[#Headers],[Varie Uscite]],Data!$I119=SottocategorieUscite[[#Headers],[Personali]],Data!$I119=SottocategorieUscite[[#Headers],[Lavoro]]),"$ -","")</f>
        <v/>
      </c>
      <c r="L119" s="59" t="str">
        <f>IF(OR(Data!$I119=SottocategorieUscite[[#Headers],[Casa]],Data!$I119=SottocategorieUscite[[#Headers],[Utenze]],Data!$I119=SottocategorieUscite[[#Headers],[Business Uscite]],Data!$I119=SottocategorieUscite[[#Headers],[Banca]]),"$ -","")</f>
        <v/>
      </c>
      <c r="M119" s="59" t="str">
        <f>IF(OR($I119&lt;&gt;SottocategorieUscite[[#Headers],[Fuori Casa]],$I119&lt;&gt;SottocategorieUscite[[#Headers],[Varie Uscite]],$I119&lt;&gt;SottocategorieUscite[[#Headers],[Personali]],$I119&lt;&gt;SottocategorieUscite[[#Headers],[Lavoro]],$I119&lt;&gt;SottocategorieUscite[[#Headers],[Casa]],$I119&lt;&gt;SottocategorieUscite[[#Headers],[Utenze]],$I119&lt;&gt;SottocategorieUscite[[#Headers],[Business Uscite]],$I119&lt;&gt;SottocategorieUscite[[#Headers],[Banca]]),"","$ -")</f>
        <v/>
      </c>
      <c r="N119" s="59" t="str">
        <f>IF(OR(Data!$I119=SottocategorieEntrate[[#Headers],[Business Entrate]],Data!$I119=SottocategorieEntrate[[#Headers],[Varie Entrate]]),"$ -","")</f>
        <v/>
      </c>
      <c r="O119" s="59" t="str">
        <f>IF(OR(Data!$I119=SottocategorieEntrate[[#Headers],[Real Estate]],SottocategorieEntrate[[#Headers],[Other]]),"$ -","")</f>
        <v/>
      </c>
      <c r="P119" s="59" t="str">
        <f>IF(OR($I119&lt;&gt;SottocategorieEntrate[[#Headers],[Business Entrate]],$I119&lt;&gt;SottocategorieEntrate[[#Headers],[Varie Entrate]],$I119&lt;&gt;SottocategorieEntrate[[#Headers],[Real Estate]],$I119&lt;&gt;SottocategorieEntrate[[#Headers],[Other]]),"","$ -")</f>
        <v/>
      </c>
      <c r="Q119" s="59" t="str">
        <f>IF(Dati[[#This Row],[Categoria]]="Prelievo","€ -","")</f>
        <v/>
      </c>
      <c r="R119" s="244" t="str">
        <f t="shared" ca="1" si="5"/>
        <v/>
      </c>
      <c r="S119" s="59" t="str">
        <f>IF(Dati[[#This Row],[Categoria]]="Savings",0,"")</f>
        <v/>
      </c>
      <c r="T119" s="59"/>
      <c r="U119" s="59"/>
      <c r="V119" s="59"/>
      <c r="W119" s="59"/>
      <c r="X119" s="59"/>
      <c r="Y119" s="59"/>
      <c r="Z119" s="59"/>
      <c r="AA119" s="59"/>
      <c r="AB119" s="59"/>
      <c r="AC119" s="59"/>
      <c r="AD119" s="59"/>
      <c r="AE119" s="59"/>
      <c r="AF119" s="59"/>
      <c r="AG119" s="59"/>
      <c r="AH119" s="59"/>
      <c r="AI119" s="59" t="str">
        <f>IF(SUM(Dati[[#This Row],[Inv. Business]:[Inv. Cryptocurrency]])=0," ",SUM(Dati[[#This Row],[Inv. Business]:[Inv. Cryptocurrency]]))</f>
        <v xml:space="preserve"> </v>
      </c>
      <c r="AJ119" s="59"/>
      <c r="AK119" s="59" t="str">
        <f>IF(SUM(Dati[[#This Row],[Inv. Gold]:[Mutuo]])=0," ",SUM(Dati[[#This Row],[Inv. Gold]:[Mutuo]]))</f>
        <v xml:space="preserve"> </v>
      </c>
      <c r="AL119" s="59"/>
      <c r="AM119" s="59"/>
    </row>
    <row r="120" spans="2:39" ht="16" customHeight="1" x14ac:dyDescent="0.35">
      <c r="B120">
        <f t="shared" si="3"/>
        <v>100</v>
      </c>
      <c r="C120" s="49">
        <f t="shared" si="4"/>
        <v>45026</v>
      </c>
      <c r="D120" s="29">
        <f>DAY(Dati[[#This Row],[Data]])</f>
        <v>10</v>
      </c>
      <c r="E120" s="29" t="str">
        <f>IF(DAY(Data!$C$21:$C$1327)&gt;0,TEXT(Data!$C$21:$C$1327, "mmmm"),"")</f>
        <v>aprile</v>
      </c>
      <c r="F120" s="29" t="str">
        <f>IF(DAY(Data!$C$21:$C$1327)&gt;0,TEXT(Data!$C$21:$C$1327, "aaaa"),"")</f>
        <v>2023</v>
      </c>
      <c r="I120" t="str">
        <f>IF(OR(H120=$B$5,H120=$B$6,H120=$B$7,H120=$B$8,H120=$B$9,H120=$B$10,H120=$B$11,H120=$B$12,H120=$B$13,H120=$B$14),SottocategorieUscite[[#Headers],[Fuori Casa]],IF(OR(H120=$C$5,H120=$C$6,H120=$C$7,H120=$C$8,H120=$C$9,H120=$C$10,H120=$C$11,H120=$C$12,H120=$C$13,H120=$C$14),SottocategorieUscite[[#Headers],[Varie Uscite]],IF(OR(H120=$D$5,H120=$D$6,H120=$D$7,H120=$D$8,H120=$D$9,H120=$D$10,H120=$D$11,H120=$D$12,H120=$D$13,H120=$D$14),SottocategorieUscite[[#Headers],[Personali]],IF(OR(H120=$E$5,H120=$E$6,H120=$E$7,H120=$E$8,H120=$E$9,H120=$E$10,H120=$E$11,H120=$E$12,H120=$E$13,H120=$E$14),SottocategorieUscite[[#Headers],[Lavoro]],IF(OR(H120=$F$5,H120=$F$6,H120=$F$7,H120=$F$8,H120=$F$9,H120=$F$10,H120=$F$11,H120=$F$12,H120=$F$13,H120=$F$14),SottocategorieUscite[[#Headers],[Casa]],IF(OR(H120=$G$5,H120=$G$6,H120=$G$7,H120=$G$8,H120=$G$9,H120=$G$10,H120=$G$11,H120=$G$12,H120=$G$13,H120=$G$14),SottocategorieUscite[[#Headers],[Utenze]],IF(OR(H120=$H$5,H120=$H$6,H120=$H$7,H120=$H$8,H120=$H$9,H120=$H$10,H120=$H$11,H120=$H$12,H120=$H$13,H120=$H$14),SottocategorieUscite[[#Headers],[Business Uscite]],IF(OR(H120=$I$5,H120=$I$6,H120=$I$7,H120=$I$8,H120=$I$9,H120=$I$10,H120=$I$11,H120=$I$12,H120=$I$13,H120=$I$14),SottocategorieUscite[[#Headers],[Banca]],IF(OR(H120=K$5,H120=K$6,H120=K$7,H120=K$8,H120=K$9,H120=K$10,H120=K$11,H120=K$12,H120=K$13,H120=K$14),SottocategorieEntrate[[#Headers],[Business Entrate]],IF(OR(H120=L$5,H120=L$6,H120=L$7,H120=L$8,H120=L$9,H120=L$10,H120=L$11,H120=L$12,H120=L$13,H120=L$14),SottocategorieEntrate[[#Headers],[Varie Entrate]],IF(OR(H120=M$5,H120=M$6,H120=M$7,H120=M$8,H120=M$9,H120=M$10,H120=M$11,H120=M$12,H120=M$13,H120=M$14),SottocategorieEntrate[[#Headers],[Real Estate]],IF(OR(H120=N$5,H120=N$6,H120=N$7,H120=N$8,H120=N$9,H120=N$10,H120=N$11,H120=N$12,H120=N$13,H120=N$14),SottocategorieEntrate[[#Headers],[Other]],""))))))))))))</f>
        <v/>
      </c>
      <c r="J120" t="str">
        <f>IF(OR(Dati[[#This Row],[Categoria]]="Bollette",Dati[[#This Row],[Categoria]]="Conto &amp; Carte BNL",Dati[[#This Row],[Categoria]]="Prelievo",Dati[[#This Row],[Categoria]]="Affitto",Dati[[#This Row],[Categoria]]="BNL(Interessi Creditori)"),"Carta",IF(Dati[[#This Row],[Categoria]]&lt;&gt;0,"Cash",""))</f>
        <v/>
      </c>
      <c r="K120" s="59" t="str">
        <f>IF(OR(Data!$I120=SottocategorieUscite[[#Headers],[Fuori Casa]],Data!$I120=SottocategorieUscite[[#Headers],[Varie Uscite]],Data!$I120=SottocategorieUscite[[#Headers],[Personali]],Data!$I120=SottocategorieUscite[[#Headers],[Lavoro]]),"$ -","")</f>
        <v/>
      </c>
      <c r="L120" s="59" t="str">
        <f>IF(OR(Data!$I120=SottocategorieUscite[[#Headers],[Casa]],Data!$I120=SottocategorieUscite[[#Headers],[Utenze]],Data!$I120=SottocategorieUscite[[#Headers],[Business Uscite]],Data!$I120=SottocategorieUscite[[#Headers],[Banca]]),"$ -","")</f>
        <v/>
      </c>
      <c r="M120" s="59" t="str">
        <f>IF(OR($I120&lt;&gt;SottocategorieUscite[[#Headers],[Fuori Casa]],$I120&lt;&gt;SottocategorieUscite[[#Headers],[Varie Uscite]],$I120&lt;&gt;SottocategorieUscite[[#Headers],[Personali]],$I120&lt;&gt;SottocategorieUscite[[#Headers],[Lavoro]],$I120&lt;&gt;SottocategorieUscite[[#Headers],[Casa]],$I120&lt;&gt;SottocategorieUscite[[#Headers],[Utenze]],$I120&lt;&gt;SottocategorieUscite[[#Headers],[Business Uscite]],$I120&lt;&gt;SottocategorieUscite[[#Headers],[Banca]]),"","$ -")</f>
        <v/>
      </c>
      <c r="N120" s="59" t="str">
        <f>IF(OR(Data!$I120=SottocategorieEntrate[[#Headers],[Business Entrate]],Data!$I120=SottocategorieEntrate[[#Headers],[Varie Entrate]]),"$ -","")</f>
        <v/>
      </c>
      <c r="O120" s="59" t="str">
        <f>IF(OR(Data!$I120=SottocategorieEntrate[[#Headers],[Real Estate]],SottocategorieEntrate[[#Headers],[Other]]),"$ -","")</f>
        <v/>
      </c>
      <c r="P120" s="59" t="str">
        <f>IF(OR($I120&lt;&gt;SottocategorieEntrate[[#Headers],[Business Entrate]],$I120&lt;&gt;SottocategorieEntrate[[#Headers],[Varie Entrate]],$I120&lt;&gt;SottocategorieEntrate[[#Headers],[Real Estate]],$I120&lt;&gt;SottocategorieEntrate[[#Headers],[Other]]),"","$ -")</f>
        <v/>
      </c>
      <c r="Q120" s="59" t="str">
        <f>IF(Dati[[#This Row],[Categoria]]="Prelievo","€ -","")</f>
        <v/>
      </c>
      <c r="R120" s="244" t="str">
        <f t="shared" ca="1" si="5"/>
        <v/>
      </c>
      <c r="S120" s="59" t="str">
        <f>IF(Dati[[#This Row],[Categoria]]="Savings",0,"")</f>
        <v/>
      </c>
      <c r="T120" s="59"/>
      <c r="U120" s="59"/>
      <c r="V120" s="59"/>
      <c r="W120" s="59"/>
      <c r="X120" s="59"/>
      <c r="Y120" s="59"/>
      <c r="Z120" s="59"/>
      <c r="AA120" s="59"/>
      <c r="AB120" s="59"/>
      <c r="AC120" s="59"/>
      <c r="AD120" s="59"/>
      <c r="AE120" s="59"/>
      <c r="AF120" s="59"/>
      <c r="AG120" s="59"/>
      <c r="AH120" s="59"/>
      <c r="AI120" s="59" t="str">
        <f>IF(SUM(Dati[[#This Row],[Inv. Business]:[Inv. Cryptocurrency]])=0," ",SUM(Dati[[#This Row],[Inv. Business]:[Inv. Cryptocurrency]]))</f>
        <v xml:space="preserve"> </v>
      </c>
      <c r="AJ120" s="59"/>
      <c r="AK120" s="59" t="str">
        <f>IF(SUM(Dati[[#This Row],[Inv. Gold]:[Mutuo]])=0," ",SUM(Dati[[#This Row],[Inv. Gold]:[Mutuo]]))</f>
        <v xml:space="preserve"> </v>
      </c>
      <c r="AL120" s="59"/>
      <c r="AM120" s="59"/>
    </row>
    <row r="121" spans="2:39" ht="16" customHeight="1" x14ac:dyDescent="0.35">
      <c r="B121">
        <f t="shared" si="3"/>
        <v>101</v>
      </c>
      <c r="C121" s="49">
        <f t="shared" si="4"/>
        <v>45027</v>
      </c>
      <c r="D121" s="29">
        <f>DAY(Dati[[#This Row],[Data]])</f>
        <v>11</v>
      </c>
      <c r="E121" s="29" t="str">
        <f>IF(DAY(Data!$C$21:$C$1327)&gt;0,TEXT(Data!$C$21:$C$1327, "mmmm"),"")</f>
        <v>aprile</v>
      </c>
      <c r="F121" s="29" t="str">
        <f>IF(DAY(Data!$C$21:$C$1327)&gt;0,TEXT(Data!$C$21:$C$1327, "aaaa"),"")</f>
        <v>2023</v>
      </c>
      <c r="I121" t="str">
        <f>IF(OR(H121=$B$5,H121=$B$6,H121=$B$7,H121=$B$8,H121=$B$9,H121=$B$10,H121=$B$11,H121=$B$12,H121=$B$13,H121=$B$14),SottocategorieUscite[[#Headers],[Fuori Casa]],IF(OR(H121=$C$5,H121=$C$6,H121=$C$7,H121=$C$8,H121=$C$9,H121=$C$10,H121=$C$11,H121=$C$12,H121=$C$13,H121=$C$14),SottocategorieUscite[[#Headers],[Varie Uscite]],IF(OR(H121=$D$5,H121=$D$6,H121=$D$7,H121=$D$8,H121=$D$9,H121=$D$10,H121=$D$11,H121=$D$12,H121=$D$13,H121=$D$14),SottocategorieUscite[[#Headers],[Personali]],IF(OR(H121=$E$5,H121=$E$6,H121=$E$7,H121=$E$8,H121=$E$9,H121=$E$10,H121=$E$11,H121=$E$12,H121=$E$13,H121=$E$14),SottocategorieUscite[[#Headers],[Lavoro]],IF(OR(H121=$F$5,H121=$F$6,H121=$F$7,H121=$F$8,H121=$F$9,H121=$F$10,H121=$F$11,H121=$F$12,H121=$F$13,H121=$F$14),SottocategorieUscite[[#Headers],[Casa]],IF(OR(H121=$G$5,H121=$G$6,H121=$G$7,H121=$G$8,H121=$G$9,H121=$G$10,H121=$G$11,H121=$G$12,H121=$G$13,H121=$G$14),SottocategorieUscite[[#Headers],[Utenze]],IF(OR(H121=$H$5,H121=$H$6,H121=$H$7,H121=$H$8,H121=$H$9,H121=$H$10,H121=$H$11,H121=$H$12,H121=$H$13,H121=$H$14),SottocategorieUscite[[#Headers],[Business Uscite]],IF(OR(H121=$I$5,H121=$I$6,H121=$I$7,H121=$I$8,H121=$I$9,H121=$I$10,H121=$I$11,H121=$I$12,H121=$I$13,H121=$I$14),SottocategorieUscite[[#Headers],[Banca]],IF(OR(H121=K$5,H121=K$6,H121=K$7,H121=K$8,H121=K$9,H121=K$10,H121=K$11,H121=K$12,H121=K$13,H121=K$14),SottocategorieEntrate[[#Headers],[Business Entrate]],IF(OR(H121=L$5,H121=L$6,H121=L$7,H121=L$8,H121=L$9,H121=L$10,H121=L$11,H121=L$12,H121=L$13,H121=L$14),SottocategorieEntrate[[#Headers],[Varie Entrate]],IF(OR(H121=M$5,H121=M$6,H121=M$7,H121=M$8,H121=M$9,H121=M$10,H121=M$11,H121=M$12,H121=M$13,H121=M$14),SottocategorieEntrate[[#Headers],[Real Estate]],IF(OR(H121=N$5,H121=N$6,H121=N$7,H121=N$8,H121=N$9,H121=N$10,H121=N$11,H121=N$12,H121=N$13,H121=N$14),SottocategorieEntrate[[#Headers],[Other]],""))))))))))))</f>
        <v/>
      </c>
      <c r="J121" t="str">
        <f>IF(OR(Dati[[#This Row],[Categoria]]="Bollette",Dati[[#This Row],[Categoria]]="Conto &amp; Carte BNL",Dati[[#This Row],[Categoria]]="Prelievo",Dati[[#This Row],[Categoria]]="Affitto",Dati[[#This Row],[Categoria]]="BNL(Interessi Creditori)"),"Carta",IF(Dati[[#This Row],[Categoria]]&lt;&gt;0,"Cash",""))</f>
        <v/>
      </c>
      <c r="K121" s="59" t="str">
        <f>IF(OR(Data!$I121=SottocategorieUscite[[#Headers],[Fuori Casa]],Data!$I121=SottocategorieUscite[[#Headers],[Varie Uscite]],Data!$I121=SottocategorieUscite[[#Headers],[Personali]],Data!$I121=SottocategorieUscite[[#Headers],[Lavoro]]),"$ -","")</f>
        <v/>
      </c>
      <c r="L121" s="59" t="str">
        <f>IF(OR(Data!$I121=SottocategorieUscite[[#Headers],[Casa]],Data!$I121=SottocategorieUscite[[#Headers],[Utenze]],Data!$I121=SottocategorieUscite[[#Headers],[Business Uscite]],Data!$I121=SottocategorieUscite[[#Headers],[Banca]]),"$ -","")</f>
        <v/>
      </c>
      <c r="M121" s="59" t="str">
        <f>IF(OR($I121&lt;&gt;SottocategorieUscite[[#Headers],[Fuori Casa]],$I121&lt;&gt;SottocategorieUscite[[#Headers],[Varie Uscite]],$I121&lt;&gt;SottocategorieUscite[[#Headers],[Personali]],$I121&lt;&gt;SottocategorieUscite[[#Headers],[Lavoro]],$I121&lt;&gt;SottocategorieUscite[[#Headers],[Casa]],$I121&lt;&gt;SottocategorieUscite[[#Headers],[Utenze]],$I121&lt;&gt;SottocategorieUscite[[#Headers],[Business Uscite]],$I121&lt;&gt;SottocategorieUscite[[#Headers],[Banca]]),"","$ -")</f>
        <v/>
      </c>
      <c r="N121" s="59" t="str">
        <f>IF(OR(Data!$I121=SottocategorieEntrate[[#Headers],[Business Entrate]],Data!$I121=SottocategorieEntrate[[#Headers],[Varie Entrate]]),"$ -","")</f>
        <v/>
      </c>
      <c r="O121" s="59" t="str">
        <f>IF(OR(Data!$I121=SottocategorieEntrate[[#Headers],[Real Estate]],SottocategorieEntrate[[#Headers],[Other]]),"$ -","")</f>
        <v/>
      </c>
      <c r="P121" s="59" t="str">
        <f>IF(OR($I121&lt;&gt;SottocategorieEntrate[[#Headers],[Business Entrate]],$I121&lt;&gt;SottocategorieEntrate[[#Headers],[Varie Entrate]],$I121&lt;&gt;SottocategorieEntrate[[#Headers],[Real Estate]],$I121&lt;&gt;SottocategorieEntrate[[#Headers],[Other]]),"","$ -")</f>
        <v/>
      </c>
      <c r="Q121" s="59" t="str">
        <f>IF(Dati[[#This Row],[Categoria]]="Prelievo","€ -","")</f>
        <v/>
      </c>
      <c r="R121" s="244" t="str">
        <f t="shared" ca="1" si="5"/>
        <v/>
      </c>
      <c r="S121" s="59" t="str">
        <f>IF(Dati[[#This Row],[Categoria]]="Savings",0,"")</f>
        <v/>
      </c>
      <c r="T121" s="59"/>
      <c r="U121" s="59"/>
      <c r="V121" s="59"/>
      <c r="W121" s="59"/>
      <c r="X121" s="59"/>
      <c r="Y121" s="59"/>
      <c r="Z121" s="59"/>
      <c r="AA121" s="59"/>
      <c r="AB121" s="59"/>
      <c r="AC121" s="59"/>
      <c r="AD121" s="59"/>
      <c r="AE121" s="59"/>
      <c r="AF121" s="59"/>
      <c r="AG121" s="59"/>
      <c r="AH121" s="59"/>
      <c r="AI121" s="59" t="str">
        <f>IF(SUM(Dati[[#This Row],[Inv. Business]:[Inv. Cryptocurrency]])=0," ",SUM(Dati[[#This Row],[Inv. Business]:[Inv. Cryptocurrency]]))</f>
        <v xml:space="preserve"> </v>
      </c>
      <c r="AJ121" s="59"/>
      <c r="AK121" s="59" t="str">
        <f>IF(SUM(Dati[[#This Row],[Inv. Gold]:[Mutuo]])=0," ",SUM(Dati[[#This Row],[Inv. Gold]:[Mutuo]]))</f>
        <v xml:space="preserve"> </v>
      </c>
      <c r="AL121" s="59"/>
      <c r="AM121" s="59"/>
    </row>
    <row r="122" spans="2:39" ht="16" customHeight="1" x14ac:dyDescent="0.35">
      <c r="B122">
        <f t="shared" si="3"/>
        <v>102</v>
      </c>
      <c r="C122" s="49">
        <f t="shared" si="4"/>
        <v>45028</v>
      </c>
      <c r="D122" s="29">
        <f>DAY(Dati[[#This Row],[Data]])</f>
        <v>12</v>
      </c>
      <c r="E122" s="29" t="str">
        <f>IF(DAY(Data!$C$21:$C$1327)&gt;0,TEXT(Data!$C$21:$C$1327, "mmmm"),"")</f>
        <v>aprile</v>
      </c>
      <c r="F122" s="29" t="str">
        <f>IF(DAY(Data!$C$21:$C$1327)&gt;0,TEXT(Data!$C$21:$C$1327, "aaaa"),"")</f>
        <v>2023</v>
      </c>
      <c r="I122" t="str">
        <f>IF(OR(H122=$B$5,H122=$B$6,H122=$B$7,H122=$B$8,H122=$B$9,H122=$B$10,H122=$B$11,H122=$B$12,H122=$B$13,H122=$B$14),SottocategorieUscite[[#Headers],[Fuori Casa]],IF(OR(H122=$C$5,H122=$C$6,H122=$C$7,H122=$C$8,H122=$C$9,H122=$C$10,H122=$C$11,H122=$C$12,H122=$C$13,H122=$C$14),SottocategorieUscite[[#Headers],[Varie Uscite]],IF(OR(H122=$D$5,H122=$D$6,H122=$D$7,H122=$D$8,H122=$D$9,H122=$D$10,H122=$D$11,H122=$D$12,H122=$D$13,H122=$D$14),SottocategorieUscite[[#Headers],[Personali]],IF(OR(H122=$E$5,H122=$E$6,H122=$E$7,H122=$E$8,H122=$E$9,H122=$E$10,H122=$E$11,H122=$E$12,H122=$E$13,H122=$E$14),SottocategorieUscite[[#Headers],[Lavoro]],IF(OR(H122=$F$5,H122=$F$6,H122=$F$7,H122=$F$8,H122=$F$9,H122=$F$10,H122=$F$11,H122=$F$12,H122=$F$13,H122=$F$14),SottocategorieUscite[[#Headers],[Casa]],IF(OR(H122=$G$5,H122=$G$6,H122=$G$7,H122=$G$8,H122=$G$9,H122=$G$10,H122=$G$11,H122=$G$12,H122=$G$13,H122=$G$14),SottocategorieUscite[[#Headers],[Utenze]],IF(OR(H122=$H$5,H122=$H$6,H122=$H$7,H122=$H$8,H122=$H$9,H122=$H$10,H122=$H$11,H122=$H$12,H122=$H$13,H122=$H$14),SottocategorieUscite[[#Headers],[Business Uscite]],IF(OR(H122=$I$5,H122=$I$6,H122=$I$7,H122=$I$8,H122=$I$9,H122=$I$10,H122=$I$11,H122=$I$12,H122=$I$13,H122=$I$14),SottocategorieUscite[[#Headers],[Banca]],IF(OR(H122=K$5,H122=K$6,H122=K$7,H122=K$8,H122=K$9,H122=K$10,H122=K$11,H122=K$12,H122=K$13,H122=K$14),SottocategorieEntrate[[#Headers],[Business Entrate]],IF(OR(H122=L$5,H122=L$6,H122=L$7,H122=L$8,H122=L$9,H122=L$10,H122=L$11,H122=L$12,H122=L$13,H122=L$14),SottocategorieEntrate[[#Headers],[Varie Entrate]],IF(OR(H122=M$5,H122=M$6,H122=M$7,H122=M$8,H122=M$9,H122=M$10,H122=M$11,H122=M$12,H122=M$13,H122=M$14),SottocategorieEntrate[[#Headers],[Real Estate]],IF(OR(H122=N$5,H122=N$6,H122=N$7,H122=N$8,H122=N$9,H122=N$10,H122=N$11,H122=N$12,H122=N$13,H122=N$14),SottocategorieEntrate[[#Headers],[Other]],""))))))))))))</f>
        <v/>
      </c>
      <c r="J122" t="str">
        <f>IF(OR(Dati[[#This Row],[Categoria]]="Bollette",Dati[[#This Row],[Categoria]]="Conto &amp; Carte BNL",Dati[[#This Row],[Categoria]]="Prelievo",Dati[[#This Row],[Categoria]]="Affitto",Dati[[#This Row],[Categoria]]="BNL(Interessi Creditori)"),"Carta",IF(Dati[[#This Row],[Categoria]]&lt;&gt;0,"Cash",""))</f>
        <v/>
      </c>
      <c r="K122" s="59" t="str">
        <f>IF(OR(Data!$I122=SottocategorieUscite[[#Headers],[Fuori Casa]],Data!$I122=SottocategorieUscite[[#Headers],[Varie Uscite]],Data!$I122=SottocategorieUscite[[#Headers],[Personali]],Data!$I122=SottocategorieUscite[[#Headers],[Lavoro]]),"$ -","")</f>
        <v/>
      </c>
      <c r="L122" s="59" t="str">
        <f>IF(OR(Data!$I122=SottocategorieUscite[[#Headers],[Casa]],Data!$I122=SottocategorieUscite[[#Headers],[Utenze]],Data!$I122=SottocategorieUscite[[#Headers],[Business Uscite]],Data!$I122=SottocategorieUscite[[#Headers],[Banca]]),"$ -","")</f>
        <v/>
      </c>
      <c r="M122" s="59" t="str">
        <f>IF(OR($I122&lt;&gt;SottocategorieUscite[[#Headers],[Fuori Casa]],$I122&lt;&gt;SottocategorieUscite[[#Headers],[Varie Uscite]],$I122&lt;&gt;SottocategorieUscite[[#Headers],[Personali]],$I122&lt;&gt;SottocategorieUscite[[#Headers],[Lavoro]],$I122&lt;&gt;SottocategorieUscite[[#Headers],[Casa]],$I122&lt;&gt;SottocategorieUscite[[#Headers],[Utenze]],$I122&lt;&gt;SottocategorieUscite[[#Headers],[Business Uscite]],$I122&lt;&gt;SottocategorieUscite[[#Headers],[Banca]]),"","$ -")</f>
        <v/>
      </c>
      <c r="N122" s="59" t="str">
        <f>IF(OR(Data!$I122=SottocategorieEntrate[[#Headers],[Business Entrate]],Data!$I122=SottocategorieEntrate[[#Headers],[Varie Entrate]]),"$ -","")</f>
        <v/>
      </c>
      <c r="O122" s="59" t="str">
        <f>IF(OR(Data!$I122=SottocategorieEntrate[[#Headers],[Real Estate]],SottocategorieEntrate[[#Headers],[Other]]),"$ -","")</f>
        <v/>
      </c>
      <c r="P122" s="59" t="str">
        <f>IF(OR($I122&lt;&gt;SottocategorieEntrate[[#Headers],[Business Entrate]],$I122&lt;&gt;SottocategorieEntrate[[#Headers],[Varie Entrate]],$I122&lt;&gt;SottocategorieEntrate[[#Headers],[Real Estate]],$I122&lt;&gt;SottocategorieEntrate[[#Headers],[Other]]),"","$ -")</f>
        <v/>
      </c>
      <c r="Q122" s="59" t="str">
        <f>IF(Dati[[#This Row],[Categoria]]="Prelievo","€ -","")</f>
        <v/>
      </c>
      <c r="R122" s="244" t="str">
        <f t="shared" ca="1" si="5"/>
        <v/>
      </c>
      <c r="S122" s="59" t="str">
        <f>IF(Dati[[#This Row],[Categoria]]="Savings",0,"")</f>
        <v/>
      </c>
      <c r="T122" s="59"/>
      <c r="U122" s="59"/>
      <c r="V122" s="59"/>
      <c r="W122" s="59"/>
      <c r="X122" s="59"/>
      <c r="Y122" s="59"/>
      <c r="Z122" s="59"/>
      <c r="AA122" s="59"/>
      <c r="AB122" s="59"/>
      <c r="AC122" s="59"/>
      <c r="AD122" s="59"/>
      <c r="AE122" s="59"/>
      <c r="AF122" s="59"/>
      <c r="AG122" s="59"/>
      <c r="AH122" s="59"/>
      <c r="AI122" s="59" t="str">
        <f>IF(SUM(Dati[[#This Row],[Inv. Business]:[Inv. Cryptocurrency]])=0," ",SUM(Dati[[#This Row],[Inv. Business]:[Inv. Cryptocurrency]]))</f>
        <v xml:space="preserve"> </v>
      </c>
      <c r="AJ122" s="59"/>
      <c r="AK122" s="59" t="str">
        <f>IF(SUM(Dati[[#This Row],[Inv. Gold]:[Mutuo]])=0," ",SUM(Dati[[#This Row],[Inv. Gold]:[Mutuo]]))</f>
        <v xml:space="preserve"> </v>
      </c>
      <c r="AL122" s="59"/>
      <c r="AM122" s="59"/>
    </row>
    <row r="123" spans="2:39" ht="16" customHeight="1" x14ac:dyDescent="0.35">
      <c r="B123">
        <f t="shared" si="3"/>
        <v>103</v>
      </c>
      <c r="C123" s="49">
        <f t="shared" si="4"/>
        <v>45029</v>
      </c>
      <c r="D123" s="29">
        <f>DAY(Dati[[#This Row],[Data]])</f>
        <v>13</v>
      </c>
      <c r="E123" s="29" t="str">
        <f>IF(DAY(Data!$C$21:$C$1327)&gt;0,TEXT(Data!$C$21:$C$1327, "mmmm"),"")</f>
        <v>aprile</v>
      </c>
      <c r="F123" s="29" t="str">
        <f>IF(DAY(Data!$C$21:$C$1327)&gt;0,TEXT(Data!$C$21:$C$1327, "aaaa"),"")</f>
        <v>2023</v>
      </c>
      <c r="I123" t="str">
        <f>IF(OR(H123=$B$5,H123=$B$6,H123=$B$7,H123=$B$8,H123=$B$9,H123=$B$10,H123=$B$11,H123=$B$12,H123=$B$13,H123=$B$14),SottocategorieUscite[[#Headers],[Fuori Casa]],IF(OR(H123=$C$5,H123=$C$6,H123=$C$7,H123=$C$8,H123=$C$9,H123=$C$10,H123=$C$11,H123=$C$12,H123=$C$13,H123=$C$14),SottocategorieUscite[[#Headers],[Varie Uscite]],IF(OR(H123=$D$5,H123=$D$6,H123=$D$7,H123=$D$8,H123=$D$9,H123=$D$10,H123=$D$11,H123=$D$12,H123=$D$13,H123=$D$14),SottocategorieUscite[[#Headers],[Personali]],IF(OR(H123=$E$5,H123=$E$6,H123=$E$7,H123=$E$8,H123=$E$9,H123=$E$10,H123=$E$11,H123=$E$12,H123=$E$13,H123=$E$14),SottocategorieUscite[[#Headers],[Lavoro]],IF(OR(H123=$F$5,H123=$F$6,H123=$F$7,H123=$F$8,H123=$F$9,H123=$F$10,H123=$F$11,H123=$F$12,H123=$F$13,H123=$F$14),SottocategorieUscite[[#Headers],[Casa]],IF(OR(H123=$G$5,H123=$G$6,H123=$G$7,H123=$G$8,H123=$G$9,H123=$G$10,H123=$G$11,H123=$G$12,H123=$G$13,H123=$G$14),SottocategorieUscite[[#Headers],[Utenze]],IF(OR(H123=$H$5,H123=$H$6,H123=$H$7,H123=$H$8,H123=$H$9,H123=$H$10,H123=$H$11,H123=$H$12,H123=$H$13,H123=$H$14),SottocategorieUscite[[#Headers],[Business Uscite]],IF(OR(H123=$I$5,H123=$I$6,H123=$I$7,H123=$I$8,H123=$I$9,H123=$I$10,H123=$I$11,H123=$I$12,H123=$I$13,H123=$I$14),SottocategorieUscite[[#Headers],[Banca]],IF(OR(H123=K$5,H123=K$6,H123=K$7,H123=K$8,H123=K$9,H123=K$10,H123=K$11,H123=K$12,H123=K$13,H123=K$14),SottocategorieEntrate[[#Headers],[Business Entrate]],IF(OR(H123=L$5,H123=L$6,H123=L$7,H123=L$8,H123=L$9,H123=L$10,H123=L$11,H123=L$12,H123=L$13,H123=L$14),SottocategorieEntrate[[#Headers],[Varie Entrate]],IF(OR(H123=M$5,H123=M$6,H123=M$7,H123=M$8,H123=M$9,H123=M$10,H123=M$11,H123=M$12,H123=M$13,H123=M$14),SottocategorieEntrate[[#Headers],[Real Estate]],IF(OR(H123=N$5,H123=N$6,H123=N$7,H123=N$8,H123=N$9,H123=N$10,H123=N$11,H123=N$12,H123=N$13,H123=N$14),SottocategorieEntrate[[#Headers],[Other]],""))))))))))))</f>
        <v/>
      </c>
      <c r="J123" t="str">
        <f>IF(OR(Dati[[#This Row],[Categoria]]="Bollette",Dati[[#This Row],[Categoria]]="Conto &amp; Carte BNL",Dati[[#This Row],[Categoria]]="Prelievo",Dati[[#This Row],[Categoria]]="Affitto",Dati[[#This Row],[Categoria]]="BNL(Interessi Creditori)"),"Carta",IF(Dati[[#This Row],[Categoria]]&lt;&gt;0,"Cash",""))</f>
        <v/>
      </c>
      <c r="K123" s="59" t="str">
        <f>IF(OR(Data!$I123=SottocategorieUscite[[#Headers],[Fuori Casa]],Data!$I123=SottocategorieUscite[[#Headers],[Varie Uscite]],Data!$I123=SottocategorieUscite[[#Headers],[Personali]],Data!$I123=SottocategorieUscite[[#Headers],[Lavoro]]),"$ -","")</f>
        <v/>
      </c>
      <c r="L123" s="59" t="str">
        <f>IF(OR(Data!$I123=SottocategorieUscite[[#Headers],[Casa]],Data!$I123=SottocategorieUscite[[#Headers],[Utenze]],Data!$I123=SottocategorieUscite[[#Headers],[Business Uscite]],Data!$I123=SottocategorieUscite[[#Headers],[Banca]]),"$ -","")</f>
        <v/>
      </c>
      <c r="M123" s="59" t="str">
        <f>IF(OR($I123&lt;&gt;SottocategorieUscite[[#Headers],[Fuori Casa]],$I123&lt;&gt;SottocategorieUscite[[#Headers],[Varie Uscite]],$I123&lt;&gt;SottocategorieUscite[[#Headers],[Personali]],$I123&lt;&gt;SottocategorieUscite[[#Headers],[Lavoro]],$I123&lt;&gt;SottocategorieUscite[[#Headers],[Casa]],$I123&lt;&gt;SottocategorieUscite[[#Headers],[Utenze]],$I123&lt;&gt;SottocategorieUscite[[#Headers],[Business Uscite]],$I123&lt;&gt;SottocategorieUscite[[#Headers],[Banca]]),"","$ -")</f>
        <v/>
      </c>
      <c r="N123" s="59" t="str">
        <f>IF(OR(Data!$I123=SottocategorieEntrate[[#Headers],[Business Entrate]],Data!$I123=SottocategorieEntrate[[#Headers],[Varie Entrate]]),"$ -","")</f>
        <v/>
      </c>
      <c r="O123" s="59" t="str">
        <f>IF(OR(Data!$I123=SottocategorieEntrate[[#Headers],[Real Estate]],SottocategorieEntrate[[#Headers],[Other]]),"$ -","")</f>
        <v/>
      </c>
      <c r="P123" s="59" t="str">
        <f>IF(OR($I123&lt;&gt;SottocategorieEntrate[[#Headers],[Business Entrate]],$I123&lt;&gt;SottocategorieEntrate[[#Headers],[Varie Entrate]],$I123&lt;&gt;SottocategorieEntrate[[#Headers],[Real Estate]],$I123&lt;&gt;SottocategorieEntrate[[#Headers],[Other]]),"","$ -")</f>
        <v/>
      </c>
      <c r="Q123" s="59" t="str">
        <f>IF(Dati[[#This Row],[Categoria]]="Prelievo","€ -","")</f>
        <v/>
      </c>
      <c r="R123" s="244" t="str">
        <f t="shared" ca="1" si="5"/>
        <v/>
      </c>
      <c r="S123" s="59" t="str">
        <f>IF(Dati[[#This Row],[Categoria]]="Savings",0,"")</f>
        <v/>
      </c>
      <c r="T123" s="59"/>
      <c r="U123" s="59"/>
      <c r="V123" s="59"/>
      <c r="W123" s="59"/>
      <c r="X123" s="59"/>
      <c r="Y123" s="59"/>
      <c r="Z123" s="59"/>
      <c r="AA123" s="59"/>
      <c r="AB123" s="59"/>
      <c r="AC123" s="59"/>
      <c r="AD123" s="59"/>
      <c r="AE123" s="59"/>
      <c r="AF123" s="59"/>
      <c r="AG123" s="59"/>
      <c r="AH123" s="59"/>
      <c r="AI123" s="59" t="str">
        <f>IF(SUM(Dati[[#This Row],[Inv. Business]:[Inv. Cryptocurrency]])=0," ",SUM(Dati[[#This Row],[Inv. Business]:[Inv. Cryptocurrency]]))</f>
        <v xml:space="preserve"> </v>
      </c>
      <c r="AJ123" s="59"/>
      <c r="AK123" s="59" t="str">
        <f>IF(SUM(Dati[[#This Row],[Inv. Gold]:[Mutuo]])=0," ",SUM(Dati[[#This Row],[Inv. Gold]:[Mutuo]]))</f>
        <v xml:space="preserve"> </v>
      </c>
      <c r="AL123" s="59"/>
      <c r="AM123" s="59"/>
    </row>
    <row r="124" spans="2:39" ht="16" customHeight="1" x14ac:dyDescent="0.35">
      <c r="B124">
        <f t="shared" si="3"/>
        <v>104</v>
      </c>
      <c r="C124" s="49">
        <f t="shared" si="4"/>
        <v>45030</v>
      </c>
      <c r="D124" s="29">
        <f>DAY(Dati[[#This Row],[Data]])</f>
        <v>14</v>
      </c>
      <c r="E124" s="29" t="str">
        <f>IF(DAY(Data!$C$21:$C$1327)&gt;0,TEXT(Data!$C$21:$C$1327, "mmmm"),"")</f>
        <v>aprile</v>
      </c>
      <c r="F124" s="29" t="str">
        <f>IF(DAY(Data!$C$21:$C$1327)&gt;0,TEXT(Data!$C$21:$C$1327, "aaaa"),"")</f>
        <v>2023</v>
      </c>
      <c r="I124" t="str">
        <f>IF(OR(H124=$B$5,H124=$B$6,H124=$B$7,H124=$B$8,H124=$B$9,H124=$B$10,H124=$B$11,H124=$B$12,H124=$B$13,H124=$B$14),SottocategorieUscite[[#Headers],[Fuori Casa]],IF(OR(H124=$C$5,H124=$C$6,H124=$C$7,H124=$C$8,H124=$C$9,H124=$C$10,H124=$C$11,H124=$C$12,H124=$C$13,H124=$C$14),SottocategorieUscite[[#Headers],[Varie Uscite]],IF(OR(H124=$D$5,H124=$D$6,H124=$D$7,H124=$D$8,H124=$D$9,H124=$D$10,H124=$D$11,H124=$D$12,H124=$D$13,H124=$D$14),SottocategorieUscite[[#Headers],[Personali]],IF(OR(H124=$E$5,H124=$E$6,H124=$E$7,H124=$E$8,H124=$E$9,H124=$E$10,H124=$E$11,H124=$E$12,H124=$E$13,H124=$E$14),SottocategorieUscite[[#Headers],[Lavoro]],IF(OR(H124=$F$5,H124=$F$6,H124=$F$7,H124=$F$8,H124=$F$9,H124=$F$10,H124=$F$11,H124=$F$12,H124=$F$13,H124=$F$14),SottocategorieUscite[[#Headers],[Casa]],IF(OR(H124=$G$5,H124=$G$6,H124=$G$7,H124=$G$8,H124=$G$9,H124=$G$10,H124=$G$11,H124=$G$12,H124=$G$13,H124=$G$14),SottocategorieUscite[[#Headers],[Utenze]],IF(OR(H124=$H$5,H124=$H$6,H124=$H$7,H124=$H$8,H124=$H$9,H124=$H$10,H124=$H$11,H124=$H$12,H124=$H$13,H124=$H$14),SottocategorieUscite[[#Headers],[Business Uscite]],IF(OR(H124=$I$5,H124=$I$6,H124=$I$7,H124=$I$8,H124=$I$9,H124=$I$10,H124=$I$11,H124=$I$12,H124=$I$13,H124=$I$14),SottocategorieUscite[[#Headers],[Banca]],IF(OR(H124=K$5,H124=K$6,H124=K$7,H124=K$8,H124=K$9,H124=K$10,H124=K$11,H124=K$12,H124=K$13,H124=K$14),SottocategorieEntrate[[#Headers],[Business Entrate]],IF(OR(H124=L$5,H124=L$6,H124=L$7,H124=L$8,H124=L$9,H124=L$10,H124=L$11,H124=L$12,H124=L$13,H124=L$14),SottocategorieEntrate[[#Headers],[Varie Entrate]],IF(OR(H124=M$5,H124=M$6,H124=M$7,H124=M$8,H124=M$9,H124=M$10,H124=M$11,H124=M$12,H124=M$13,H124=M$14),SottocategorieEntrate[[#Headers],[Real Estate]],IF(OR(H124=N$5,H124=N$6,H124=N$7,H124=N$8,H124=N$9,H124=N$10,H124=N$11,H124=N$12,H124=N$13,H124=N$14),SottocategorieEntrate[[#Headers],[Other]],""))))))))))))</f>
        <v/>
      </c>
      <c r="J124" t="str">
        <f>IF(OR(Dati[[#This Row],[Categoria]]="Bollette",Dati[[#This Row],[Categoria]]="Conto &amp; Carte BNL",Dati[[#This Row],[Categoria]]="Prelievo",Dati[[#This Row],[Categoria]]="Affitto",Dati[[#This Row],[Categoria]]="BNL(Interessi Creditori)"),"Carta",IF(Dati[[#This Row],[Categoria]]&lt;&gt;0,"Cash",""))</f>
        <v/>
      </c>
      <c r="K124" s="59" t="str">
        <f>IF(OR(Data!$I124=SottocategorieUscite[[#Headers],[Fuori Casa]],Data!$I124=SottocategorieUscite[[#Headers],[Varie Uscite]],Data!$I124=SottocategorieUscite[[#Headers],[Personali]],Data!$I124=SottocategorieUscite[[#Headers],[Lavoro]]),"$ -","")</f>
        <v/>
      </c>
      <c r="L124" s="59" t="str">
        <f>IF(OR(Data!$I124=SottocategorieUscite[[#Headers],[Casa]],Data!$I124=SottocategorieUscite[[#Headers],[Utenze]],Data!$I124=SottocategorieUscite[[#Headers],[Business Uscite]],Data!$I124=SottocategorieUscite[[#Headers],[Banca]]),"$ -","")</f>
        <v/>
      </c>
      <c r="M124" s="59" t="str">
        <f>IF(OR($I124&lt;&gt;SottocategorieUscite[[#Headers],[Fuori Casa]],$I124&lt;&gt;SottocategorieUscite[[#Headers],[Varie Uscite]],$I124&lt;&gt;SottocategorieUscite[[#Headers],[Personali]],$I124&lt;&gt;SottocategorieUscite[[#Headers],[Lavoro]],$I124&lt;&gt;SottocategorieUscite[[#Headers],[Casa]],$I124&lt;&gt;SottocategorieUscite[[#Headers],[Utenze]],$I124&lt;&gt;SottocategorieUscite[[#Headers],[Business Uscite]],$I124&lt;&gt;SottocategorieUscite[[#Headers],[Banca]]),"","$ -")</f>
        <v/>
      </c>
      <c r="N124" s="59" t="str">
        <f>IF(OR(Data!$I124=SottocategorieEntrate[[#Headers],[Business Entrate]],Data!$I124=SottocategorieEntrate[[#Headers],[Varie Entrate]]),"$ -","")</f>
        <v/>
      </c>
      <c r="O124" s="59" t="str">
        <f>IF(OR(Data!$I124=SottocategorieEntrate[[#Headers],[Real Estate]],SottocategorieEntrate[[#Headers],[Other]]),"$ -","")</f>
        <v/>
      </c>
      <c r="P124" s="59" t="str">
        <f>IF(OR($I124&lt;&gt;SottocategorieEntrate[[#Headers],[Business Entrate]],$I124&lt;&gt;SottocategorieEntrate[[#Headers],[Varie Entrate]],$I124&lt;&gt;SottocategorieEntrate[[#Headers],[Real Estate]],$I124&lt;&gt;SottocategorieEntrate[[#Headers],[Other]]),"","$ -")</f>
        <v/>
      </c>
      <c r="Q124" s="59" t="str">
        <f>IF(Dati[[#This Row],[Categoria]]="Prelievo","€ -","")</f>
        <v/>
      </c>
      <c r="R124" s="244" t="str">
        <f t="shared" ca="1" si="5"/>
        <v/>
      </c>
      <c r="S124" s="59" t="str">
        <f>IF(Dati[[#This Row],[Categoria]]="Savings",0,"")</f>
        <v/>
      </c>
      <c r="T124" s="59"/>
      <c r="U124" s="59"/>
      <c r="V124" s="59"/>
      <c r="W124" s="59"/>
      <c r="X124" s="59"/>
      <c r="Y124" s="59"/>
      <c r="Z124" s="59"/>
      <c r="AA124" s="59"/>
      <c r="AB124" s="59"/>
      <c r="AC124" s="59"/>
      <c r="AD124" s="59"/>
      <c r="AE124" s="59"/>
      <c r="AF124" s="59"/>
      <c r="AG124" s="59"/>
      <c r="AH124" s="59"/>
      <c r="AI124" s="59" t="str">
        <f>IF(SUM(Dati[[#This Row],[Inv. Business]:[Inv. Cryptocurrency]])=0," ",SUM(Dati[[#This Row],[Inv. Business]:[Inv. Cryptocurrency]]))</f>
        <v xml:space="preserve"> </v>
      </c>
      <c r="AJ124" s="59"/>
      <c r="AK124" s="59" t="str">
        <f>IF(SUM(Dati[[#This Row],[Inv. Gold]:[Mutuo]])=0," ",SUM(Dati[[#This Row],[Inv. Gold]:[Mutuo]]))</f>
        <v xml:space="preserve"> </v>
      </c>
      <c r="AL124" s="59"/>
      <c r="AM124" s="59"/>
    </row>
    <row r="125" spans="2:39" ht="16" customHeight="1" x14ac:dyDescent="0.35">
      <c r="B125">
        <f t="shared" si="3"/>
        <v>105</v>
      </c>
      <c r="C125" s="49">
        <f t="shared" si="4"/>
        <v>45031</v>
      </c>
      <c r="D125" s="29">
        <f>DAY(Dati[[#This Row],[Data]])</f>
        <v>15</v>
      </c>
      <c r="E125" s="29" t="str">
        <f>IF(DAY(Data!$C$21:$C$1327)&gt;0,TEXT(Data!$C$21:$C$1327, "mmmm"),"")</f>
        <v>aprile</v>
      </c>
      <c r="F125" s="29" t="str">
        <f>IF(DAY(Data!$C$21:$C$1327)&gt;0,TEXT(Data!$C$21:$C$1327, "aaaa"),"")</f>
        <v>2023</v>
      </c>
      <c r="I125" t="str">
        <f>IF(OR(H125=$B$5,H125=$B$6,H125=$B$7,H125=$B$8,H125=$B$9,H125=$B$10,H125=$B$11,H125=$B$12,H125=$B$13,H125=$B$14),SottocategorieUscite[[#Headers],[Fuori Casa]],IF(OR(H125=$C$5,H125=$C$6,H125=$C$7,H125=$C$8,H125=$C$9,H125=$C$10,H125=$C$11,H125=$C$12,H125=$C$13,H125=$C$14),SottocategorieUscite[[#Headers],[Varie Uscite]],IF(OR(H125=$D$5,H125=$D$6,H125=$D$7,H125=$D$8,H125=$D$9,H125=$D$10,H125=$D$11,H125=$D$12,H125=$D$13,H125=$D$14),SottocategorieUscite[[#Headers],[Personali]],IF(OR(H125=$E$5,H125=$E$6,H125=$E$7,H125=$E$8,H125=$E$9,H125=$E$10,H125=$E$11,H125=$E$12,H125=$E$13,H125=$E$14),SottocategorieUscite[[#Headers],[Lavoro]],IF(OR(H125=$F$5,H125=$F$6,H125=$F$7,H125=$F$8,H125=$F$9,H125=$F$10,H125=$F$11,H125=$F$12,H125=$F$13,H125=$F$14),SottocategorieUscite[[#Headers],[Casa]],IF(OR(H125=$G$5,H125=$G$6,H125=$G$7,H125=$G$8,H125=$G$9,H125=$G$10,H125=$G$11,H125=$G$12,H125=$G$13,H125=$G$14),SottocategorieUscite[[#Headers],[Utenze]],IF(OR(H125=$H$5,H125=$H$6,H125=$H$7,H125=$H$8,H125=$H$9,H125=$H$10,H125=$H$11,H125=$H$12,H125=$H$13,H125=$H$14),SottocategorieUscite[[#Headers],[Business Uscite]],IF(OR(H125=$I$5,H125=$I$6,H125=$I$7,H125=$I$8,H125=$I$9,H125=$I$10,H125=$I$11,H125=$I$12,H125=$I$13,H125=$I$14),SottocategorieUscite[[#Headers],[Banca]],IF(OR(H125=K$5,H125=K$6,H125=K$7,H125=K$8,H125=K$9,H125=K$10,H125=K$11,H125=K$12,H125=K$13,H125=K$14),SottocategorieEntrate[[#Headers],[Business Entrate]],IF(OR(H125=L$5,H125=L$6,H125=L$7,H125=L$8,H125=L$9,H125=L$10,H125=L$11,H125=L$12,H125=L$13,H125=L$14),SottocategorieEntrate[[#Headers],[Varie Entrate]],IF(OR(H125=M$5,H125=M$6,H125=M$7,H125=M$8,H125=M$9,H125=M$10,H125=M$11,H125=M$12,H125=M$13,H125=M$14),SottocategorieEntrate[[#Headers],[Real Estate]],IF(OR(H125=N$5,H125=N$6,H125=N$7,H125=N$8,H125=N$9,H125=N$10,H125=N$11,H125=N$12,H125=N$13,H125=N$14),SottocategorieEntrate[[#Headers],[Other]],""))))))))))))</f>
        <v/>
      </c>
      <c r="J125" t="str">
        <f>IF(OR(Dati[[#This Row],[Categoria]]="Bollette",Dati[[#This Row],[Categoria]]="Conto &amp; Carte BNL",Dati[[#This Row],[Categoria]]="Prelievo",Dati[[#This Row],[Categoria]]="Affitto",Dati[[#This Row],[Categoria]]="BNL(Interessi Creditori)"),"Carta",IF(Dati[[#This Row],[Categoria]]&lt;&gt;0,"Cash",""))</f>
        <v/>
      </c>
      <c r="K125" s="59" t="str">
        <f>IF(OR(Data!$I125=SottocategorieUscite[[#Headers],[Fuori Casa]],Data!$I125=SottocategorieUscite[[#Headers],[Varie Uscite]],Data!$I125=SottocategorieUscite[[#Headers],[Personali]],Data!$I125=SottocategorieUscite[[#Headers],[Lavoro]]),"$ -","")</f>
        <v/>
      </c>
      <c r="L125" s="59" t="str">
        <f>IF(OR(Data!$I125=SottocategorieUscite[[#Headers],[Casa]],Data!$I125=SottocategorieUscite[[#Headers],[Utenze]],Data!$I125=SottocategorieUscite[[#Headers],[Business Uscite]],Data!$I125=SottocategorieUscite[[#Headers],[Banca]]),"$ -","")</f>
        <v/>
      </c>
      <c r="M125" s="59" t="str">
        <f>IF(OR($I125&lt;&gt;SottocategorieUscite[[#Headers],[Fuori Casa]],$I125&lt;&gt;SottocategorieUscite[[#Headers],[Varie Uscite]],$I125&lt;&gt;SottocategorieUscite[[#Headers],[Personali]],$I125&lt;&gt;SottocategorieUscite[[#Headers],[Lavoro]],$I125&lt;&gt;SottocategorieUscite[[#Headers],[Casa]],$I125&lt;&gt;SottocategorieUscite[[#Headers],[Utenze]],$I125&lt;&gt;SottocategorieUscite[[#Headers],[Business Uscite]],$I125&lt;&gt;SottocategorieUscite[[#Headers],[Banca]]),"","$ -")</f>
        <v/>
      </c>
      <c r="N125" s="59" t="str">
        <f>IF(OR(Data!$I125=SottocategorieEntrate[[#Headers],[Business Entrate]],Data!$I125=SottocategorieEntrate[[#Headers],[Varie Entrate]]),"$ -","")</f>
        <v/>
      </c>
      <c r="O125" s="59" t="str">
        <f>IF(OR(Data!$I125=SottocategorieEntrate[[#Headers],[Real Estate]],SottocategorieEntrate[[#Headers],[Other]]),"$ -","")</f>
        <v/>
      </c>
      <c r="P125" s="59" t="str">
        <f>IF(OR($I125&lt;&gt;SottocategorieEntrate[[#Headers],[Business Entrate]],$I125&lt;&gt;SottocategorieEntrate[[#Headers],[Varie Entrate]],$I125&lt;&gt;SottocategorieEntrate[[#Headers],[Real Estate]],$I125&lt;&gt;SottocategorieEntrate[[#Headers],[Other]]),"","$ -")</f>
        <v/>
      </c>
      <c r="Q125" s="59" t="str">
        <f>IF(Dati[[#This Row],[Categoria]]="Prelievo","€ -","")</f>
        <v/>
      </c>
      <c r="R125" s="244" t="str">
        <f t="shared" ca="1" si="5"/>
        <v/>
      </c>
      <c r="S125" s="59" t="str">
        <f>IF(Dati[[#This Row],[Categoria]]="Savings",0,"")</f>
        <v/>
      </c>
      <c r="T125" s="59"/>
      <c r="U125" s="59"/>
      <c r="V125" s="59"/>
      <c r="W125" s="59"/>
      <c r="X125" s="59"/>
      <c r="Y125" s="59"/>
      <c r="Z125" s="59"/>
      <c r="AA125" s="59"/>
      <c r="AB125" s="59"/>
      <c r="AC125" s="59"/>
      <c r="AD125" s="59"/>
      <c r="AE125" s="59"/>
      <c r="AF125" s="59"/>
      <c r="AG125" s="59"/>
      <c r="AH125" s="59"/>
      <c r="AI125" s="59" t="str">
        <f>IF(SUM(Dati[[#This Row],[Inv. Business]:[Inv. Cryptocurrency]])=0," ",SUM(Dati[[#This Row],[Inv. Business]:[Inv. Cryptocurrency]]))</f>
        <v xml:space="preserve"> </v>
      </c>
      <c r="AJ125" s="59"/>
      <c r="AK125" s="59" t="str">
        <f>IF(SUM(Dati[[#This Row],[Inv. Gold]:[Mutuo]])=0," ",SUM(Dati[[#This Row],[Inv. Gold]:[Mutuo]]))</f>
        <v xml:space="preserve"> </v>
      </c>
      <c r="AL125" s="59"/>
      <c r="AM125" s="59"/>
    </row>
    <row r="126" spans="2:39" ht="16" customHeight="1" x14ac:dyDescent="0.35">
      <c r="B126">
        <f t="shared" si="3"/>
        <v>106</v>
      </c>
      <c r="C126" s="49">
        <f t="shared" si="4"/>
        <v>45032</v>
      </c>
      <c r="D126" s="29">
        <f>DAY(Dati[[#This Row],[Data]])</f>
        <v>16</v>
      </c>
      <c r="E126" s="29" t="str">
        <f>IF(DAY(Data!$C$21:$C$1327)&gt;0,TEXT(Data!$C$21:$C$1327, "mmmm"),"")</f>
        <v>aprile</v>
      </c>
      <c r="F126" s="29" t="str">
        <f>IF(DAY(Data!$C$21:$C$1327)&gt;0,TEXT(Data!$C$21:$C$1327, "aaaa"),"")</f>
        <v>2023</v>
      </c>
      <c r="I126" t="str">
        <f>IF(OR(H126=$B$5,H126=$B$6,H126=$B$7,H126=$B$8,H126=$B$9,H126=$B$10,H126=$B$11,H126=$B$12,H126=$B$13,H126=$B$14),SottocategorieUscite[[#Headers],[Fuori Casa]],IF(OR(H126=$C$5,H126=$C$6,H126=$C$7,H126=$C$8,H126=$C$9,H126=$C$10,H126=$C$11,H126=$C$12,H126=$C$13,H126=$C$14),SottocategorieUscite[[#Headers],[Varie Uscite]],IF(OR(H126=$D$5,H126=$D$6,H126=$D$7,H126=$D$8,H126=$D$9,H126=$D$10,H126=$D$11,H126=$D$12,H126=$D$13,H126=$D$14),SottocategorieUscite[[#Headers],[Personali]],IF(OR(H126=$E$5,H126=$E$6,H126=$E$7,H126=$E$8,H126=$E$9,H126=$E$10,H126=$E$11,H126=$E$12,H126=$E$13,H126=$E$14),SottocategorieUscite[[#Headers],[Lavoro]],IF(OR(H126=$F$5,H126=$F$6,H126=$F$7,H126=$F$8,H126=$F$9,H126=$F$10,H126=$F$11,H126=$F$12,H126=$F$13,H126=$F$14),SottocategorieUscite[[#Headers],[Casa]],IF(OR(H126=$G$5,H126=$G$6,H126=$G$7,H126=$G$8,H126=$G$9,H126=$G$10,H126=$G$11,H126=$G$12,H126=$G$13,H126=$G$14),SottocategorieUscite[[#Headers],[Utenze]],IF(OR(H126=$H$5,H126=$H$6,H126=$H$7,H126=$H$8,H126=$H$9,H126=$H$10,H126=$H$11,H126=$H$12,H126=$H$13,H126=$H$14),SottocategorieUscite[[#Headers],[Business Uscite]],IF(OR(H126=$I$5,H126=$I$6,H126=$I$7,H126=$I$8,H126=$I$9,H126=$I$10,H126=$I$11,H126=$I$12,H126=$I$13,H126=$I$14),SottocategorieUscite[[#Headers],[Banca]],IF(OR(H126=K$5,H126=K$6,H126=K$7,H126=K$8,H126=K$9,H126=K$10,H126=K$11,H126=K$12,H126=K$13,H126=K$14),SottocategorieEntrate[[#Headers],[Business Entrate]],IF(OR(H126=L$5,H126=L$6,H126=L$7,H126=L$8,H126=L$9,H126=L$10,H126=L$11,H126=L$12,H126=L$13,H126=L$14),SottocategorieEntrate[[#Headers],[Varie Entrate]],IF(OR(H126=M$5,H126=M$6,H126=M$7,H126=M$8,H126=M$9,H126=M$10,H126=M$11,H126=M$12,H126=M$13,H126=M$14),SottocategorieEntrate[[#Headers],[Real Estate]],IF(OR(H126=N$5,H126=N$6,H126=N$7,H126=N$8,H126=N$9,H126=N$10,H126=N$11,H126=N$12,H126=N$13,H126=N$14),SottocategorieEntrate[[#Headers],[Other]],""))))))))))))</f>
        <v/>
      </c>
      <c r="J126" t="str">
        <f>IF(OR(Dati[[#This Row],[Categoria]]="Bollette",Dati[[#This Row],[Categoria]]="Conto &amp; Carte BNL",Dati[[#This Row],[Categoria]]="Prelievo",Dati[[#This Row],[Categoria]]="Affitto",Dati[[#This Row],[Categoria]]="BNL(Interessi Creditori)"),"Carta",IF(Dati[[#This Row],[Categoria]]&lt;&gt;0,"Cash",""))</f>
        <v/>
      </c>
      <c r="K126" s="59" t="str">
        <f>IF(OR(Data!$I126=SottocategorieUscite[[#Headers],[Fuori Casa]],Data!$I126=SottocategorieUscite[[#Headers],[Varie Uscite]],Data!$I126=SottocategorieUscite[[#Headers],[Personali]],Data!$I126=SottocategorieUscite[[#Headers],[Lavoro]]),"$ -","")</f>
        <v/>
      </c>
      <c r="L126" s="59" t="str">
        <f>IF(OR(Data!$I126=SottocategorieUscite[[#Headers],[Casa]],Data!$I126=SottocategorieUscite[[#Headers],[Utenze]],Data!$I126=SottocategorieUscite[[#Headers],[Business Uscite]],Data!$I126=SottocategorieUscite[[#Headers],[Banca]]),"$ -","")</f>
        <v/>
      </c>
      <c r="M126" s="59" t="str">
        <f>IF(OR($I126&lt;&gt;SottocategorieUscite[[#Headers],[Fuori Casa]],$I126&lt;&gt;SottocategorieUscite[[#Headers],[Varie Uscite]],$I126&lt;&gt;SottocategorieUscite[[#Headers],[Personali]],$I126&lt;&gt;SottocategorieUscite[[#Headers],[Lavoro]],$I126&lt;&gt;SottocategorieUscite[[#Headers],[Casa]],$I126&lt;&gt;SottocategorieUscite[[#Headers],[Utenze]],$I126&lt;&gt;SottocategorieUscite[[#Headers],[Business Uscite]],$I126&lt;&gt;SottocategorieUscite[[#Headers],[Banca]]),"","$ -")</f>
        <v/>
      </c>
      <c r="N126" s="59" t="str">
        <f>IF(OR(Data!$I126=SottocategorieEntrate[[#Headers],[Business Entrate]],Data!$I126=SottocategorieEntrate[[#Headers],[Varie Entrate]]),"$ -","")</f>
        <v/>
      </c>
      <c r="O126" s="59" t="str">
        <f>IF(OR(Data!$I126=SottocategorieEntrate[[#Headers],[Real Estate]],SottocategorieEntrate[[#Headers],[Other]]),"$ -","")</f>
        <v/>
      </c>
      <c r="P126" s="59" t="str">
        <f>IF(OR($I126&lt;&gt;SottocategorieEntrate[[#Headers],[Business Entrate]],$I126&lt;&gt;SottocategorieEntrate[[#Headers],[Varie Entrate]],$I126&lt;&gt;SottocategorieEntrate[[#Headers],[Real Estate]],$I126&lt;&gt;SottocategorieEntrate[[#Headers],[Other]]),"","$ -")</f>
        <v/>
      </c>
      <c r="Q126" s="59" t="str">
        <f>IF(Dati[[#This Row],[Categoria]]="Prelievo","€ -","")</f>
        <v/>
      </c>
      <c r="R126" s="244" t="str">
        <f t="shared" ca="1" si="5"/>
        <v/>
      </c>
      <c r="S126" s="59" t="str">
        <f>IF(Dati[[#This Row],[Categoria]]="Savings",0,"")</f>
        <v/>
      </c>
      <c r="T126" s="59"/>
      <c r="U126" s="59"/>
      <c r="V126" s="59"/>
      <c r="W126" s="59"/>
      <c r="X126" s="59"/>
      <c r="Y126" s="59"/>
      <c r="Z126" s="59"/>
      <c r="AA126" s="59"/>
      <c r="AB126" s="59"/>
      <c r="AC126" s="59"/>
      <c r="AD126" s="59"/>
      <c r="AE126" s="59"/>
      <c r="AF126" s="59"/>
      <c r="AG126" s="59"/>
      <c r="AH126" s="59"/>
      <c r="AI126" s="59" t="str">
        <f>IF(SUM(Dati[[#This Row],[Inv. Business]:[Inv. Cryptocurrency]])=0," ",SUM(Dati[[#This Row],[Inv. Business]:[Inv. Cryptocurrency]]))</f>
        <v xml:space="preserve"> </v>
      </c>
      <c r="AJ126" s="59"/>
      <c r="AK126" s="59" t="str">
        <f>IF(SUM(Dati[[#This Row],[Inv. Gold]:[Mutuo]])=0," ",SUM(Dati[[#This Row],[Inv. Gold]:[Mutuo]]))</f>
        <v xml:space="preserve"> </v>
      </c>
      <c r="AL126" s="59"/>
      <c r="AM126" s="59"/>
    </row>
    <row r="127" spans="2:39" ht="16" customHeight="1" x14ac:dyDescent="0.35">
      <c r="B127">
        <f t="shared" si="3"/>
        <v>107</v>
      </c>
      <c r="C127" s="49">
        <f t="shared" si="4"/>
        <v>45033</v>
      </c>
      <c r="D127" s="29">
        <f>DAY(Dati[[#This Row],[Data]])</f>
        <v>17</v>
      </c>
      <c r="E127" s="29" t="str">
        <f>IF(DAY(Data!$C$21:$C$1327)&gt;0,TEXT(Data!$C$21:$C$1327, "mmmm"),"")</f>
        <v>aprile</v>
      </c>
      <c r="F127" s="29" t="str">
        <f>IF(DAY(Data!$C$21:$C$1327)&gt;0,TEXT(Data!$C$21:$C$1327, "aaaa"),"")</f>
        <v>2023</v>
      </c>
      <c r="I127" t="str">
        <f>IF(OR(H127=$B$5,H127=$B$6,H127=$B$7,H127=$B$8,H127=$B$9,H127=$B$10,H127=$B$11,H127=$B$12,H127=$B$13,H127=$B$14),SottocategorieUscite[[#Headers],[Fuori Casa]],IF(OR(H127=$C$5,H127=$C$6,H127=$C$7,H127=$C$8,H127=$C$9,H127=$C$10,H127=$C$11,H127=$C$12,H127=$C$13,H127=$C$14),SottocategorieUscite[[#Headers],[Varie Uscite]],IF(OR(H127=$D$5,H127=$D$6,H127=$D$7,H127=$D$8,H127=$D$9,H127=$D$10,H127=$D$11,H127=$D$12,H127=$D$13,H127=$D$14),SottocategorieUscite[[#Headers],[Personali]],IF(OR(H127=$E$5,H127=$E$6,H127=$E$7,H127=$E$8,H127=$E$9,H127=$E$10,H127=$E$11,H127=$E$12,H127=$E$13,H127=$E$14),SottocategorieUscite[[#Headers],[Lavoro]],IF(OR(H127=$F$5,H127=$F$6,H127=$F$7,H127=$F$8,H127=$F$9,H127=$F$10,H127=$F$11,H127=$F$12,H127=$F$13,H127=$F$14),SottocategorieUscite[[#Headers],[Casa]],IF(OR(H127=$G$5,H127=$G$6,H127=$G$7,H127=$G$8,H127=$G$9,H127=$G$10,H127=$G$11,H127=$G$12,H127=$G$13,H127=$G$14),SottocategorieUscite[[#Headers],[Utenze]],IF(OR(H127=$H$5,H127=$H$6,H127=$H$7,H127=$H$8,H127=$H$9,H127=$H$10,H127=$H$11,H127=$H$12,H127=$H$13,H127=$H$14),SottocategorieUscite[[#Headers],[Business Uscite]],IF(OR(H127=$I$5,H127=$I$6,H127=$I$7,H127=$I$8,H127=$I$9,H127=$I$10,H127=$I$11,H127=$I$12,H127=$I$13,H127=$I$14),SottocategorieUscite[[#Headers],[Banca]],IF(OR(H127=K$5,H127=K$6,H127=K$7,H127=K$8,H127=K$9,H127=K$10,H127=K$11,H127=K$12,H127=K$13,H127=K$14),SottocategorieEntrate[[#Headers],[Business Entrate]],IF(OR(H127=L$5,H127=L$6,H127=L$7,H127=L$8,H127=L$9,H127=L$10,H127=L$11,H127=L$12,H127=L$13,H127=L$14),SottocategorieEntrate[[#Headers],[Varie Entrate]],IF(OR(H127=M$5,H127=M$6,H127=M$7,H127=M$8,H127=M$9,H127=M$10,H127=M$11,H127=M$12,H127=M$13,H127=M$14),SottocategorieEntrate[[#Headers],[Real Estate]],IF(OR(H127=N$5,H127=N$6,H127=N$7,H127=N$8,H127=N$9,H127=N$10,H127=N$11,H127=N$12,H127=N$13,H127=N$14),SottocategorieEntrate[[#Headers],[Other]],""))))))))))))</f>
        <v/>
      </c>
      <c r="J127" t="str">
        <f>IF(OR(Dati[[#This Row],[Categoria]]="Bollette",Dati[[#This Row],[Categoria]]="Conto &amp; Carte BNL",Dati[[#This Row],[Categoria]]="Prelievo",Dati[[#This Row],[Categoria]]="Affitto",Dati[[#This Row],[Categoria]]="BNL(Interessi Creditori)"),"Carta",IF(Dati[[#This Row],[Categoria]]&lt;&gt;0,"Cash",""))</f>
        <v/>
      </c>
      <c r="K127" s="59" t="str">
        <f>IF(OR(Data!$I127=SottocategorieUscite[[#Headers],[Fuori Casa]],Data!$I127=SottocategorieUscite[[#Headers],[Varie Uscite]],Data!$I127=SottocategorieUscite[[#Headers],[Personali]],Data!$I127=SottocategorieUscite[[#Headers],[Lavoro]]),"$ -","")</f>
        <v/>
      </c>
      <c r="L127" s="59" t="str">
        <f>IF(OR(Data!$I127=SottocategorieUscite[[#Headers],[Casa]],Data!$I127=SottocategorieUscite[[#Headers],[Utenze]],Data!$I127=SottocategorieUscite[[#Headers],[Business Uscite]],Data!$I127=SottocategorieUscite[[#Headers],[Banca]]),"$ -","")</f>
        <v/>
      </c>
      <c r="M127" s="59" t="str">
        <f>IF(OR($I127&lt;&gt;SottocategorieUscite[[#Headers],[Fuori Casa]],$I127&lt;&gt;SottocategorieUscite[[#Headers],[Varie Uscite]],$I127&lt;&gt;SottocategorieUscite[[#Headers],[Personali]],$I127&lt;&gt;SottocategorieUscite[[#Headers],[Lavoro]],$I127&lt;&gt;SottocategorieUscite[[#Headers],[Casa]],$I127&lt;&gt;SottocategorieUscite[[#Headers],[Utenze]],$I127&lt;&gt;SottocategorieUscite[[#Headers],[Business Uscite]],$I127&lt;&gt;SottocategorieUscite[[#Headers],[Banca]]),"","$ -")</f>
        <v/>
      </c>
      <c r="N127" s="59" t="str">
        <f>IF(OR(Data!$I127=SottocategorieEntrate[[#Headers],[Business Entrate]],Data!$I127=SottocategorieEntrate[[#Headers],[Varie Entrate]]),"$ -","")</f>
        <v/>
      </c>
      <c r="O127" s="59" t="str">
        <f>IF(OR(Data!$I127=SottocategorieEntrate[[#Headers],[Real Estate]],SottocategorieEntrate[[#Headers],[Other]]),"$ -","")</f>
        <v/>
      </c>
      <c r="P127" s="59" t="str">
        <f>IF(OR($I127&lt;&gt;SottocategorieEntrate[[#Headers],[Business Entrate]],$I127&lt;&gt;SottocategorieEntrate[[#Headers],[Varie Entrate]],$I127&lt;&gt;SottocategorieEntrate[[#Headers],[Real Estate]],$I127&lt;&gt;SottocategorieEntrate[[#Headers],[Other]]),"","$ -")</f>
        <v/>
      </c>
      <c r="Q127" s="59" t="str">
        <f>IF(Dati[[#This Row],[Categoria]]="Prelievo","€ -","")</f>
        <v/>
      </c>
      <c r="R127" s="244" t="str">
        <f t="shared" ca="1" si="5"/>
        <v/>
      </c>
      <c r="S127" s="59" t="str">
        <f>IF(Dati[[#This Row],[Categoria]]="Savings",0,"")</f>
        <v/>
      </c>
      <c r="T127" s="59"/>
      <c r="U127" s="59"/>
      <c r="V127" s="59"/>
      <c r="W127" s="59"/>
      <c r="X127" s="59"/>
      <c r="Y127" s="59"/>
      <c r="Z127" s="59"/>
      <c r="AA127" s="59"/>
      <c r="AB127" s="59"/>
      <c r="AC127" s="59"/>
      <c r="AD127" s="59"/>
      <c r="AE127" s="59"/>
      <c r="AF127" s="59"/>
      <c r="AG127" s="59"/>
      <c r="AH127" s="59"/>
      <c r="AI127" s="59" t="str">
        <f>IF(SUM(Dati[[#This Row],[Inv. Business]:[Inv. Cryptocurrency]])=0," ",SUM(Dati[[#This Row],[Inv. Business]:[Inv. Cryptocurrency]]))</f>
        <v xml:space="preserve"> </v>
      </c>
      <c r="AJ127" s="59"/>
      <c r="AK127" s="59" t="str">
        <f>IF(SUM(Dati[[#This Row],[Inv. Gold]:[Mutuo]])=0," ",SUM(Dati[[#This Row],[Inv. Gold]:[Mutuo]]))</f>
        <v xml:space="preserve"> </v>
      </c>
      <c r="AL127" s="59"/>
      <c r="AM127" s="59"/>
    </row>
    <row r="128" spans="2:39" ht="16" customHeight="1" x14ac:dyDescent="0.35">
      <c r="B128">
        <f t="shared" si="3"/>
        <v>108</v>
      </c>
      <c r="C128" s="49">
        <f t="shared" si="4"/>
        <v>45034</v>
      </c>
      <c r="D128" s="29">
        <f>DAY(Dati[[#This Row],[Data]])</f>
        <v>18</v>
      </c>
      <c r="E128" s="29" t="str">
        <f>IF(DAY(Data!$C$21:$C$1327)&gt;0,TEXT(Data!$C$21:$C$1327, "mmmm"),"")</f>
        <v>aprile</v>
      </c>
      <c r="F128" s="29" t="str">
        <f>IF(DAY(Data!$C$21:$C$1327)&gt;0,TEXT(Data!$C$21:$C$1327, "aaaa"),"")</f>
        <v>2023</v>
      </c>
      <c r="I128" t="str">
        <f>IF(OR(H128=$B$5,H128=$B$6,H128=$B$7,H128=$B$8,H128=$B$9,H128=$B$10,H128=$B$11,H128=$B$12,H128=$B$13,H128=$B$14),SottocategorieUscite[[#Headers],[Fuori Casa]],IF(OR(H128=$C$5,H128=$C$6,H128=$C$7,H128=$C$8,H128=$C$9,H128=$C$10,H128=$C$11,H128=$C$12,H128=$C$13,H128=$C$14),SottocategorieUscite[[#Headers],[Varie Uscite]],IF(OR(H128=$D$5,H128=$D$6,H128=$D$7,H128=$D$8,H128=$D$9,H128=$D$10,H128=$D$11,H128=$D$12,H128=$D$13,H128=$D$14),SottocategorieUscite[[#Headers],[Personali]],IF(OR(H128=$E$5,H128=$E$6,H128=$E$7,H128=$E$8,H128=$E$9,H128=$E$10,H128=$E$11,H128=$E$12,H128=$E$13,H128=$E$14),SottocategorieUscite[[#Headers],[Lavoro]],IF(OR(H128=$F$5,H128=$F$6,H128=$F$7,H128=$F$8,H128=$F$9,H128=$F$10,H128=$F$11,H128=$F$12,H128=$F$13,H128=$F$14),SottocategorieUscite[[#Headers],[Casa]],IF(OR(H128=$G$5,H128=$G$6,H128=$G$7,H128=$G$8,H128=$G$9,H128=$G$10,H128=$G$11,H128=$G$12,H128=$G$13,H128=$G$14),SottocategorieUscite[[#Headers],[Utenze]],IF(OR(H128=$H$5,H128=$H$6,H128=$H$7,H128=$H$8,H128=$H$9,H128=$H$10,H128=$H$11,H128=$H$12,H128=$H$13,H128=$H$14),SottocategorieUscite[[#Headers],[Business Uscite]],IF(OR(H128=$I$5,H128=$I$6,H128=$I$7,H128=$I$8,H128=$I$9,H128=$I$10,H128=$I$11,H128=$I$12,H128=$I$13,H128=$I$14),SottocategorieUscite[[#Headers],[Banca]],IF(OR(H128=K$5,H128=K$6,H128=K$7,H128=K$8,H128=K$9,H128=K$10,H128=K$11,H128=K$12,H128=K$13,H128=K$14),SottocategorieEntrate[[#Headers],[Business Entrate]],IF(OR(H128=L$5,H128=L$6,H128=L$7,H128=L$8,H128=L$9,H128=L$10,H128=L$11,H128=L$12,H128=L$13,H128=L$14),SottocategorieEntrate[[#Headers],[Varie Entrate]],IF(OR(H128=M$5,H128=M$6,H128=M$7,H128=M$8,H128=M$9,H128=M$10,H128=M$11,H128=M$12,H128=M$13,H128=M$14),SottocategorieEntrate[[#Headers],[Real Estate]],IF(OR(H128=N$5,H128=N$6,H128=N$7,H128=N$8,H128=N$9,H128=N$10,H128=N$11,H128=N$12,H128=N$13,H128=N$14),SottocategorieEntrate[[#Headers],[Other]],""))))))))))))</f>
        <v/>
      </c>
      <c r="J128" t="str">
        <f>IF(OR(Dati[[#This Row],[Categoria]]="Bollette",Dati[[#This Row],[Categoria]]="Conto &amp; Carte BNL",Dati[[#This Row],[Categoria]]="Prelievo",Dati[[#This Row],[Categoria]]="Affitto",Dati[[#This Row],[Categoria]]="BNL(Interessi Creditori)"),"Carta",IF(Dati[[#This Row],[Categoria]]&lt;&gt;0,"Cash",""))</f>
        <v/>
      </c>
      <c r="K128" s="59" t="str">
        <f>IF(OR(Data!$I128=SottocategorieUscite[[#Headers],[Fuori Casa]],Data!$I128=SottocategorieUscite[[#Headers],[Varie Uscite]],Data!$I128=SottocategorieUscite[[#Headers],[Personali]],Data!$I128=SottocategorieUscite[[#Headers],[Lavoro]]),"$ -","")</f>
        <v/>
      </c>
      <c r="L128" s="59" t="str">
        <f>IF(OR(Data!$I128=SottocategorieUscite[[#Headers],[Casa]],Data!$I128=SottocategorieUscite[[#Headers],[Utenze]],Data!$I128=SottocategorieUscite[[#Headers],[Business Uscite]],Data!$I128=SottocategorieUscite[[#Headers],[Banca]]),"$ -","")</f>
        <v/>
      </c>
      <c r="M128" s="59" t="str">
        <f>IF(OR($I128&lt;&gt;SottocategorieUscite[[#Headers],[Fuori Casa]],$I128&lt;&gt;SottocategorieUscite[[#Headers],[Varie Uscite]],$I128&lt;&gt;SottocategorieUscite[[#Headers],[Personali]],$I128&lt;&gt;SottocategorieUscite[[#Headers],[Lavoro]],$I128&lt;&gt;SottocategorieUscite[[#Headers],[Casa]],$I128&lt;&gt;SottocategorieUscite[[#Headers],[Utenze]],$I128&lt;&gt;SottocategorieUscite[[#Headers],[Business Uscite]],$I128&lt;&gt;SottocategorieUscite[[#Headers],[Banca]]),"","$ -")</f>
        <v/>
      </c>
      <c r="N128" s="59" t="str">
        <f>IF(OR(Data!$I128=SottocategorieEntrate[[#Headers],[Business Entrate]],Data!$I128=SottocategorieEntrate[[#Headers],[Varie Entrate]]),"$ -","")</f>
        <v/>
      </c>
      <c r="O128" s="59" t="str">
        <f>IF(OR(Data!$I128=SottocategorieEntrate[[#Headers],[Real Estate]],SottocategorieEntrate[[#Headers],[Other]]),"$ -","")</f>
        <v/>
      </c>
      <c r="P128" s="59" t="str">
        <f>IF(OR($I128&lt;&gt;SottocategorieEntrate[[#Headers],[Business Entrate]],$I128&lt;&gt;SottocategorieEntrate[[#Headers],[Varie Entrate]],$I128&lt;&gt;SottocategorieEntrate[[#Headers],[Real Estate]],$I128&lt;&gt;SottocategorieEntrate[[#Headers],[Other]]),"","$ -")</f>
        <v/>
      </c>
      <c r="Q128" s="59" t="str">
        <f>IF(Dati[[#This Row],[Categoria]]="Prelievo","€ -","")</f>
        <v/>
      </c>
      <c r="R128" s="244" t="str">
        <f t="shared" ca="1" si="5"/>
        <v/>
      </c>
      <c r="S128" s="59" t="str">
        <f>IF(Dati[[#This Row],[Categoria]]="Savings",0,"")</f>
        <v/>
      </c>
      <c r="T128" s="59"/>
      <c r="U128" s="59"/>
      <c r="V128" s="59"/>
      <c r="W128" s="59"/>
      <c r="X128" s="59"/>
      <c r="Y128" s="59"/>
      <c r="Z128" s="59"/>
      <c r="AA128" s="59"/>
      <c r="AB128" s="59"/>
      <c r="AC128" s="59"/>
      <c r="AD128" s="59"/>
      <c r="AE128" s="59"/>
      <c r="AF128" s="59"/>
      <c r="AG128" s="59"/>
      <c r="AH128" s="59"/>
      <c r="AI128" s="59" t="str">
        <f>IF(SUM(Dati[[#This Row],[Inv. Business]:[Inv. Cryptocurrency]])=0," ",SUM(Dati[[#This Row],[Inv. Business]:[Inv. Cryptocurrency]]))</f>
        <v xml:space="preserve"> </v>
      </c>
      <c r="AJ128" s="59"/>
      <c r="AK128" s="59" t="str">
        <f>IF(SUM(Dati[[#This Row],[Inv. Gold]:[Mutuo]])=0," ",SUM(Dati[[#This Row],[Inv. Gold]:[Mutuo]]))</f>
        <v xml:space="preserve"> </v>
      </c>
      <c r="AL128" s="59"/>
      <c r="AM128" s="59"/>
    </row>
    <row r="129" spans="2:39" ht="16" customHeight="1" x14ac:dyDescent="0.35">
      <c r="B129">
        <f t="shared" si="3"/>
        <v>109</v>
      </c>
      <c r="C129" s="49">
        <f t="shared" si="4"/>
        <v>45035</v>
      </c>
      <c r="D129" s="29">
        <f>DAY(Dati[[#This Row],[Data]])</f>
        <v>19</v>
      </c>
      <c r="E129" s="29" t="str">
        <f>IF(DAY(Data!$C$21:$C$1327)&gt;0,TEXT(Data!$C$21:$C$1327, "mmmm"),"")</f>
        <v>aprile</v>
      </c>
      <c r="F129" s="29" t="str">
        <f>IF(DAY(Data!$C$21:$C$1327)&gt;0,TEXT(Data!$C$21:$C$1327, "aaaa"),"")</f>
        <v>2023</v>
      </c>
      <c r="I129" t="str">
        <f>IF(OR(H129=$B$5,H129=$B$6,H129=$B$7,H129=$B$8,H129=$B$9,H129=$B$10,H129=$B$11,H129=$B$12,H129=$B$13,H129=$B$14),SottocategorieUscite[[#Headers],[Fuori Casa]],IF(OR(H129=$C$5,H129=$C$6,H129=$C$7,H129=$C$8,H129=$C$9,H129=$C$10,H129=$C$11,H129=$C$12,H129=$C$13,H129=$C$14),SottocategorieUscite[[#Headers],[Varie Uscite]],IF(OR(H129=$D$5,H129=$D$6,H129=$D$7,H129=$D$8,H129=$D$9,H129=$D$10,H129=$D$11,H129=$D$12,H129=$D$13,H129=$D$14),SottocategorieUscite[[#Headers],[Personali]],IF(OR(H129=$E$5,H129=$E$6,H129=$E$7,H129=$E$8,H129=$E$9,H129=$E$10,H129=$E$11,H129=$E$12,H129=$E$13,H129=$E$14),SottocategorieUscite[[#Headers],[Lavoro]],IF(OR(H129=$F$5,H129=$F$6,H129=$F$7,H129=$F$8,H129=$F$9,H129=$F$10,H129=$F$11,H129=$F$12,H129=$F$13,H129=$F$14),SottocategorieUscite[[#Headers],[Casa]],IF(OR(H129=$G$5,H129=$G$6,H129=$G$7,H129=$G$8,H129=$G$9,H129=$G$10,H129=$G$11,H129=$G$12,H129=$G$13,H129=$G$14),SottocategorieUscite[[#Headers],[Utenze]],IF(OR(H129=$H$5,H129=$H$6,H129=$H$7,H129=$H$8,H129=$H$9,H129=$H$10,H129=$H$11,H129=$H$12,H129=$H$13,H129=$H$14),SottocategorieUscite[[#Headers],[Business Uscite]],IF(OR(H129=$I$5,H129=$I$6,H129=$I$7,H129=$I$8,H129=$I$9,H129=$I$10,H129=$I$11,H129=$I$12,H129=$I$13,H129=$I$14),SottocategorieUscite[[#Headers],[Banca]],IF(OR(H129=K$5,H129=K$6,H129=K$7,H129=K$8,H129=K$9,H129=K$10,H129=K$11,H129=K$12,H129=K$13,H129=K$14),SottocategorieEntrate[[#Headers],[Business Entrate]],IF(OR(H129=L$5,H129=L$6,H129=L$7,H129=L$8,H129=L$9,H129=L$10,H129=L$11,H129=L$12,H129=L$13,H129=L$14),SottocategorieEntrate[[#Headers],[Varie Entrate]],IF(OR(H129=M$5,H129=M$6,H129=M$7,H129=M$8,H129=M$9,H129=M$10,H129=M$11,H129=M$12,H129=M$13,H129=M$14),SottocategorieEntrate[[#Headers],[Real Estate]],IF(OR(H129=N$5,H129=N$6,H129=N$7,H129=N$8,H129=N$9,H129=N$10,H129=N$11,H129=N$12,H129=N$13,H129=N$14),SottocategorieEntrate[[#Headers],[Other]],""))))))))))))</f>
        <v/>
      </c>
      <c r="J129" t="str">
        <f>IF(OR(Dati[[#This Row],[Categoria]]="Bollette",Dati[[#This Row],[Categoria]]="Conto &amp; Carte BNL",Dati[[#This Row],[Categoria]]="Prelievo",Dati[[#This Row],[Categoria]]="Affitto",Dati[[#This Row],[Categoria]]="BNL(Interessi Creditori)"),"Carta",IF(Dati[[#This Row],[Categoria]]&lt;&gt;0,"Cash",""))</f>
        <v/>
      </c>
      <c r="K129" s="59" t="str">
        <f>IF(OR(Data!$I129=SottocategorieUscite[[#Headers],[Fuori Casa]],Data!$I129=SottocategorieUscite[[#Headers],[Varie Uscite]],Data!$I129=SottocategorieUscite[[#Headers],[Personali]],Data!$I129=SottocategorieUscite[[#Headers],[Lavoro]]),"$ -","")</f>
        <v/>
      </c>
      <c r="L129" s="59" t="str">
        <f>IF(OR(Data!$I129=SottocategorieUscite[[#Headers],[Casa]],Data!$I129=SottocategorieUscite[[#Headers],[Utenze]],Data!$I129=SottocategorieUscite[[#Headers],[Business Uscite]],Data!$I129=SottocategorieUscite[[#Headers],[Banca]]),"$ -","")</f>
        <v/>
      </c>
      <c r="M129" s="59" t="str">
        <f>IF(OR($I129&lt;&gt;SottocategorieUscite[[#Headers],[Fuori Casa]],$I129&lt;&gt;SottocategorieUscite[[#Headers],[Varie Uscite]],$I129&lt;&gt;SottocategorieUscite[[#Headers],[Personali]],$I129&lt;&gt;SottocategorieUscite[[#Headers],[Lavoro]],$I129&lt;&gt;SottocategorieUscite[[#Headers],[Casa]],$I129&lt;&gt;SottocategorieUscite[[#Headers],[Utenze]],$I129&lt;&gt;SottocategorieUscite[[#Headers],[Business Uscite]],$I129&lt;&gt;SottocategorieUscite[[#Headers],[Banca]]),"","$ -")</f>
        <v/>
      </c>
      <c r="N129" s="59" t="str">
        <f>IF(OR(Data!$I129=SottocategorieEntrate[[#Headers],[Business Entrate]],Data!$I129=SottocategorieEntrate[[#Headers],[Varie Entrate]]),"$ -","")</f>
        <v/>
      </c>
      <c r="O129" s="59" t="str">
        <f>IF(OR(Data!$I129=SottocategorieEntrate[[#Headers],[Real Estate]],SottocategorieEntrate[[#Headers],[Other]]),"$ -","")</f>
        <v/>
      </c>
      <c r="P129" s="59" t="str">
        <f>IF(OR($I129&lt;&gt;SottocategorieEntrate[[#Headers],[Business Entrate]],$I129&lt;&gt;SottocategorieEntrate[[#Headers],[Varie Entrate]],$I129&lt;&gt;SottocategorieEntrate[[#Headers],[Real Estate]],$I129&lt;&gt;SottocategorieEntrate[[#Headers],[Other]]),"","$ -")</f>
        <v/>
      </c>
      <c r="Q129" s="59" t="str">
        <f>IF(Dati[[#This Row],[Categoria]]="Prelievo","€ -","")</f>
        <v/>
      </c>
      <c r="R129" s="244" t="str">
        <f t="shared" ca="1" si="5"/>
        <v/>
      </c>
      <c r="S129" s="59" t="str">
        <f>IF(Dati[[#This Row],[Categoria]]="Savings",0,"")</f>
        <v/>
      </c>
      <c r="T129" s="59"/>
      <c r="U129" s="59"/>
      <c r="V129" s="59"/>
      <c r="W129" s="59"/>
      <c r="X129" s="59"/>
      <c r="Y129" s="59"/>
      <c r="Z129" s="59"/>
      <c r="AA129" s="59"/>
      <c r="AB129" s="59"/>
      <c r="AC129" s="59"/>
      <c r="AD129" s="59"/>
      <c r="AE129" s="59"/>
      <c r="AF129" s="59"/>
      <c r="AG129" s="59"/>
      <c r="AH129" s="59"/>
      <c r="AI129" s="59" t="str">
        <f>IF(SUM(Dati[[#This Row],[Inv. Business]:[Inv. Cryptocurrency]])=0," ",SUM(Dati[[#This Row],[Inv. Business]:[Inv. Cryptocurrency]]))</f>
        <v xml:space="preserve"> </v>
      </c>
      <c r="AJ129" s="59"/>
      <c r="AK129" s="59" t="str">
        <f>IF(SUM(Dati[[#This Row],[Inv. Gold]:[Mutuo]])=0," ",SUM(Dati[[#This Row],[Inv. Gold]:[Mutuo]]))</f>
        <v xml:space="preserve"> </v>
      </c>
      <c r="AL129" s="59"/>
      <c r="AM129" s="59"/>
    </row>
    <row r="130" spans="2:39" ht="16" customHeight="1" x14ac:dyDescent="0.35">
      <c r="B130">
        <f t="shared" si="3"/>
        <v>110</v>
      </c>
      <c r="C130" s="49">
        <f t="shared" si="4"/>
        <v>45036</v>
      </c>
      <c r="D130" s="29">
        <f>DAY(Dati[[#This Row],[Data]])</f>
        <v>20</v>
      </c>
      <c r="E130" s="29" t="str">
        <f>IF(DAY(Data!$C$21:$C$1327)&gt;0,TEXT(Data!$C$21:$C$1327, "mmmm"),"")</f>
        <v>aprile</v>
      </c>
      <c r="F130" s="29" t="str">
        <f>IF(DAY(Data!$C$21:$C$1327)&gt;0,TEXT(Data!$C$21:$C$1327, "aaaa"),"")</f>
        <v>2023</v>
      </c>
      <c r="I130" t="str">
        <f>IF(OR(H130=$B$5,H130=$B$6,H130=$B$7,H130=$B$8,H130=$B$9,H130=$B$10,H130=$B$11,H130=$B$12,H130=$B$13,H130=$B$14),SottocategorieUscite[[#Headers],[Fuori Casa]],IF(OR(H130=$C$5,H130=$C$6,H130=$C$7,H130=$C$8,H130=$C$9,H130=$C$10,H130=$C$11,H130=$C$12,H130=$C$13,H130=$C$14),SottocategorieUscite[[#Headers],[Varie Uscite]],IF(OR(H130=$D$5,H130=$D$6,H130=$D$7,H130=$D$8,H130=$D$9,H130=$D$10,H130=$D$11,H130=$D$12,H130=$D$13,H130=$D$14),SottocategorieUscite[[#Headers],[Personali]],IF(OR(H130=$E$5,H130=$E$6,H130=$E$7,H130=$E$8,H130=$E$9,H130=$E$10,H130=$E$11,H130=$E$12,H130=$E$13,H130=$E$14),SottocategorieUscite[[#Headers],[Lavoro]],IF(OR(H130=$F$5,H130=$F$6,H130=$F$7,H130=$F$8,H130=$F$9,H130=$F$10,H130=$F$11,H130=$F$12,H130=$F$13,H130=$F$14),SottocategorieUscite[[#Headers],[Casa]],IF(OR(H130=$G$5,H130=$G$6,H130=$G$7,H130=$G$8,H130=$G$9,H130=$G$10,H130=$G$11,H130=$G$12,H130=$G$13,H130=$G$14),SottocategorieUscite[[#Headers],[Utenze]],IF(OR(H130=$H$5,H130=$H$6,H130=$H$7,H130=$H$8,H130=$H$9,H130=$H$10,H130=$H$11,H130=$H$12,H130=$H$13,H130=$H$14),SottocategorieUscite[[#Headers],[Business Uscite]],IF(OR(H130=$I$5,H130=$I$6,H130=$I$7,H130=$I$8,H130=$I$9,H130=$I$10,H130=$I$11,H130=$I$12,H130=$I$13,H130=$I$14),SottocategorieUscite[[#Headers],[Banca]],IF(OR(H130=K$5,H130=K$6,H130=K$7,H130=K$8,H130=K$9,H130=K$10,H130=K$11,H130=K$12,H130=K$13,H130=K$14),SottocategorieEntrate[[#Headers],[Business Entrate]],IF(OR(H130=L$5,H130=L$6,H130=L$7,H130=L$8,H130=L$9,H130=L$10,H130=L$11,H130=L$12,H130=L$13,H130=L$14),SottocategorieEntrate[[#Headers],[Varie Entrate]],IF(OR(H130=M$5,H130=M$6,H130=M$7,H130=M$8,H130=M$9,H130=M$10,H130=M$11,H130=M$12,H130=M$13,H130=M$14),SottocategorieEntrate[[#Headers],[Real Estate]],IF(OR(H130=N$5,H130=N$6,H130=N$7,H130=N$8,H130=N$9,H130=N$10,H130=N$11,H130=N$12,H130=N$13,H130=N$14),SottocategorieEntrate[[#Headers],[Other]],""))))))))))))</f>
        <v/>
      </c>
      <c r="J130" t="str">
        <f>IF(OR(Dati[[#This Row],[Categoria]]="Bollette",Dati[[#This Row],[Categoria]]="Conto &amp; Carte BNL",Dati[[#This Row],[Categoria]]="Prelievo",Dati[[#This Row],[Categoria]]="Affitto",Dati[[#This Row],[Categoria]]="BNL(Interessi Creditori)"),"Carta",IF(Dati[[#This Row],[Categoria]]&lt;&gt;0,"Cash",""))</f>
        <v/>
      </c>
      <c r="K130" s="59" t="str">
        <f>IF(OR(Data!$I130=SottocategorieUscite[[#Headers],[Fuori Casa]],Data!$I130=SottocategorieUscite[[#Headers],[Varie Uscite]],Data!$I130=SottocategorieUscite[[#Headers],[Personali]],Data!$I130=SottocategorieUscite[[#Headers],[Lavoro]]),"$ -","")</f>
        <v/>
      </c>
      <c r="L130" s="59" t="str">
        <f>IF(OR(Data!$I130=SottocategorieUscite[[#Headers],[Casa]],Data!$I130=SottocategorieUscite[[#Headers],[Utenze]],Data!$I130=SottocategorieUscite[[#Headers],[Business Uscite]],Data!$I130=SottocategorieUscite[[#Headers],[Banca]]),"$ -","")</f>
        <v/>
      </c>
      <c r="M130" s="59" t="str">
        <f>IF(OR($I130&lt;&gt;SottocategorieUscite[[#Headers],[Fuori Casa]],$I130&lt;&gt;SottocategorieUscite[[#Headers],[Varie Uscite]],$I130&lt;&gt;SottocategorieUscite[[#Headers],[Personali]],$I130&lt;&gt;SottocategorieUscite[[#Headers],[Lavoro]],$I130&lt;&gt;SottocategorieUscite[[#Headers],[Casa]],$I130&lt;&gt;SottocategorieUscite[[#Headers],[Utenze]],$I130&lt;&gt;SottocategorieUscite[[#Headers],[Business Uscite]],$I130&lt;&gt;SottocategorieUscite[[#Headers],[Banca]]),"","$ -")</f>
        <v/>
      </c>
      <c r="N130" s="59" t="str">
        <f>IF(OR(Data!$I130=SottocategorieEntrate[[#Headers],[Business Entrate]],Data!$I130=SottocategorieEntrate[[#Headers],[Varie Entrate]]),"$ -","")</f>
        <v/>
      </c>
      <c r="O130" s="59" t="str">
        <f>IF(OR(Data!$I130=SottocategorieEntrate[[#Headers],[Real Estate]],SottocategorieEntrate[[#Headers],[Other]]),"$ -","")</f>
        <v/>
      </c>
      <c r="P130" s="59" t="str">
        <f>IF(OR($I130&lt;&gt;SottocategorieEntrate[[#Headers],[Business Entrate]],$I130&lt;&gt;SottocategorieEntrate[[#Headers],[Varie Entrate]],$I130&lt;&gt;SottocategorieEntrate[[#Headers],[Real Estate]],$I130&lt;&gt;SottocategorieEntrate[[#Headers],[Other]]),"","$ -")</f>
        <v/>
      </c>
      <c r="Q130" s="59" t="str">
        <f>IF(Dati[[#This Row],[Categoria]]="Prelievo","€ -","")</f>
        <v/>
      </c>
      <c r="R130" s="244" t="str">
        <f t="shared" ca="1" si="5"/>
        <v/>
      </c>
      <c r="S130" s="59" t="str">
        <f>IF(Dati[[#This Row],[Categoria]]="Savings",0,"")</f>
        <v/>
      </c>
      <c r="T130" s="59"/>
      <c r="U130" s="59"/>
      <c r="V130" s="59"/>
      <c r="W130" s="59"/>
      <c r="X130" s="59"/>
      <c r="Y130" s="59"/>
      <c r="Z130" s="59"/>
      <c r="AA130" s="59"/>
      <c r="AB130" s="59"/>
      <c r="AC130" s="59"/>
      <c r="AD130" s="59"/>
      <c r="AE130" s="59"/>
      <c r="AF130" s="59"/>
      <c r="AG130" s="59"/>
      <c r="AH130" s="59"/>
      <c r="AI130" s="59" t="str">
        <f>IF(SUM(Dati[[#This Row],[Inv. Business]:[Inv. Cryptocurrency]])=0," ",SUM(Dati[[#This Row],[Inv. Business]:[Inv. Cryptocurrency]]))</f>
        <v xml:space="preserve"> </v>
      </c>
      <c r="AJ130" s="59"/>
      <c r="AK130" s="59" t="str">
        <f>IF(SUM(Dati[[#This Row],[Inv. Gold]:[Mutuo]])=0," ",SUM(Dati[[#This Row],[Inv. Gold]:[Mutuo]]))</f>
        <v xml:space="preserve"> </v>
      </c>
      <c r="AL130" s="59"/>
      <c r="AM130" s="59"/>
    </row>
    <row r="131" spans="2:39" ht="16" customHeight="1" x14ac:dyDescent="0.35">
      <c r="B131">
        <f t="shared" si="3"/>
        <v>111</v>
      </c>
      <c r="C131" s="49">
        <f t="shared" si="4"/>
        <v>45037</v>
      </c>
      <c r="D131" s="29">
        <f>DAY(Dati[[#This Row],[Data]])</f>
        <v>21</v>
      </c>
      <c r="E131" s="29" t="str">
        <f>IF(DAY(Data!$C$21:$C$1327)&gt;0,TEXT(Data!$C$21:$C$1327, "mmmm"),"")</f>
        <v>aprile</v>
      </c>
      <c r="F131" s="29" t="str">
        <f>IF(DAY(Data!$C$21:$C$1327)&gt;0,TEXT(Data!$C$21:$C$1327, "aaaa"),"")</f>
        <v>2023</v>
      </c>
      <c r="I131" t="str">
        <f>IF(OR(H131=$B$5,H131=$B$6,H131=$B$7,H131=$B$8,H131=$B$9,H131=$B$10,H131=$B$11,H131=$B$12,H131=$B$13,H131=$B$14),SottocategorieUscite[[#Headers],[Fuori Casa]],IF(OR(H131=$C$5,H131=$C$6,H131=$C$7,H131=$C$8,H131=$C$9,H131=$C$10,H131=$C$11,H131=$C$12,H131=$C$13,H131=$C$14),SottocategorieUscite[[#Headers],[Varie Uscite]],IF(OR(H131=$D$5,H131=$D$6,H131=$D$7,H131=$D$8,H131=$D$9,H131=$D$10,H131=$D$11,H131=$D$12,H131=$D$13,H131=$D$14),SottocategorieUscite[[#Headers],[Personali]],IF(OR(H131=$E$5,H131=$E$6,H131=$E$7,H131=$E$8,H131=$E$9,H131=$E$10,H131=$E$11,H131=$E$12,H131=$E$13,H131=$E$14),SottocategorieUscite[[#Headers],[Lavoro]],IF(OR(H131=$F$5,H131=$F$6,H131=$F$7,H131=$F$8,H131=$F$9,H131=$F$10,H131=$F$11,H131=$F$12,H131=$F$13,H131=$F$14),SottocategorieUscite[[#Headers],[Casa]],IF(OR(H131=$G$5,H131=$G$6,H131=$G$7,H131=$G$8,H131=$G$9,H131=$G$10,H131=$G$11,H131=$G$12,H131=$G$13,H131=$G$14),SottocategorieUscite[[#Headers],[Utenze]],IF(OR(H131=$H$5,H131=$H$6,H131=$H$7,H131=$H$8,H131=$H$9,H131=$H$10,H131=$H$11,H131=$H$12,H131=$H$13,H131=$H$14),SottocategorieUscite[[#Headers],[Business Uscite]],IF(OR(H131=$I$5,H131=$I$6,H131=$I$7,H131=$I$8,H131=$I$9,H131=$I$10,H131=$I$11,H131=$I$12,H131=$I$13,H131=$I$14),SottocategorieUscite[[#Headers],[Banca]],IF(OR(H131=K$5,H131=K$6,H131=K$7,H131=K$8,H131=K$9,H131=K$10,H131=K$11,H131=K$12,H131=K$13,H131=K$14),SottocategorieEntrate[[#Headers],[Business Entrate]],IF(OR(H131=L$5,H131=L$6,H131=L$7,H131=L$8,H131=L$9,H131=L$10,H131=L$11,H131=L$12,H131=L$13,H131=L$14),SottocategorieEntrate[[#Headers],[Varie Entrate]],IF(OR(H131=M$5,H131=M$6,H131=M$7,H131=M$8,H131=M$9,H131=M$10,H131=M$11,H131=M$12,H131=M$13,H131=M$14),SottocategorieEntrate[[#Headers],[Real Estate]],IF(OR(H131=N$5,H131=N$6,H131=N$7,H131=N$8,H131=N$9,H131=N$10,H131=N$11,H131=N$12,H131=N$13,H131=N$14),SottocategorieEntrate[[#Headers],[Other]],""))))))))))))</f>
        <v/>
      </c>
      <c r="J131" t="str">
        <f>IF(OR(Dati[[#This Row],[Categoria]]="Bollette",Dati[[#This Row],[Categoria]]="Conto &amp; Carte BNL",Dati[[#This Row],[Categoria]]="Prelievo",Dati[[#This Row],[Categoria]]="Affitto",Dati[[#This Row],[Categoria]]="BNL(Interessi Creditori)"),"Carta",IF(Dati[[#This Row],[Categoria]]&lt;&gt;0,"Cash",""))</f>
        <v/>
      </c>
      <c r="K131" s="59" t="str">
        <f>IF(OR(Data!$I131=SottocategorieUscite[[#Headers],[Fuori Casa]],Data!$I131=SottocategorieUscite[[#Headers],[Varie Uscite]],Data!$I131=SottocategorieUscite[[#Headers],[Personali]],Data!$I131=SottocategorieUscite[[#Headers],[Lavoro]]),"$ -","")</f>
        <v/>
      </c>
      <c r="L131" s="59" t="str">
        <f>IF(OR(Data!$I131=SottocategorieUscite[[#Headers],[Casa]],Data!$I131=SottocategorieUscite[[#Headers],[Utenze]],Data!$I131=SottocategorieUscite[[#Headers],[Business Uscite]],Data!$I131=SottocategorieUscite[[#Headers],[Banca]]),"$ -","")</f>
        <v/>
      </c>
      <c r="M131" s="59" t="str">
        <f>IF(OR($I131&lt;&gt;SottocategorieUscite[[#Headers],[Fuori Casa]],$I131&lt;&gt;SottocategorieUscite[[#Headers],[Varie Uscite]],$I131&lt;&gt;SottocategorieUscite[[#Headers],[Personali]],$I131&lt;&gt;SottocategorieUscite[[#Headers],[Lavoro]],$I131&lt;&gt;SottocategorieUscite[[#Headers],[Casa]],$I131&lt;&gt;SottocategorieUscite[[#Headers],[Utenze]],$I131&lt;&gt;SottocategorieUscite[[#Headers],[Business Uscite]],$I131&lt;&gt;SottocategorieUscite[[#Headers],[Banca]]),"","$ -")</f>
        <v/>
      </c>
      <c r="N131" s="59" t="str">
        <f>IF(OR(Data!$I131=SottocategorieEntrate[[#Headers],[Business Entrate]],Data!$I131=SottocategorieEntrate[[#Headers],[Varie Entrate]]),"$ -","")</f>
        <v/>
      </c>
      <c r="O131" s="59" t="str">
        <f>IF(OR(Data!$I131=SottocategorieEntrate[[#Headers],[Real Estate]],SottocategorieEntrate[[#Headers],[Other]]),"$ -","")</f>
        <v/>
      </c>
      <c r="P131" s="59" t="str">
        <f>IF(OR($I131&lt;&gt;SottocategorieEntrate[[#Headers],[Business Entrate]],$I131&lt;&gt;SottocategorieEntrate[[#Headers],[Varie Entrate]],$I131&lt;&gt;SottocategorieEntrate[[#Headers],[Real Estate]],$I131&lt;&gt;SottocategorieEntrate[[#Headers],[Other]]),"","$ -")</f>
        <v/>
      </c>
      <c r="Q131" s="59" t="str">
        <f>IF(Dati[[#This Row],[Categoria]]="Prelievo","€ -","")</f>
        <v/>
      </c>
      <c r="R131" s="244" t="str">
        <f t="shared" ca="1" si="5"/>
        <v/>
      </c>
      <c r="S131" s="59" t="str">
        <f>IF(Dati[[#This Row],[Categoria]]="Savings",0,"")</f>
        <v/>
      </c>
      <c r="T131" s="59"/>
      <c r="U131" s="59"/>
      <c r="V131" s="59"/>
      <c r="W131" s="59"/>
      <c r="X131" s="59"/>
      <c r="Y131" s="59"/>
      <c r="Z131" s="59"/>
      <c r="AA131" s="59"/>
      <c r="AB131" s="59"/>
      <c r="AC131" s="59"/>
      <c r="AD131" s="59"/>
      <c r="AE131" s="59"/>
      <c r="AF131" s="59"/>
      <c r="AG131" s="59"/>
      <c r="AH131" s="59"/>
      <c r="AI131" s="59" t="str">
        <f>IF(SUM(Dati[[#This Row],[Inv. Business]:[Inv. Cryptocurrency]])=0," ",SUM(Dati[[#This Row],[Inv. Business]:[Inv. Cryptocurrency]]))</f>
        <v xml:space="preserve"> </v>
      </c>
      <c r="AJ131" s="59"/>
      <c r="AK131" s="59" t="str">
        <f>IF(SUM(Dati[[#This Row],[Inv. Gold]:[Mutuo]])=0," ",SUM(Dati[[#This Row],[Inv. Gold]:[Mutuo]]))</f>
        <v xml:space="preserve"> </v>
      </c>
      <c r="AL131" s="59"/>
      <c r="AM131" s="59"/>
    </row>
    <row r="132" spans="2:39" ht="16" customHeight="1" x14ac:dyDescent="0.35">
      <c r="B132">
        <f t="shared" si="3"/>
        <v>112</v>
      </c>
      <c r="C132" s="49">
        <f t="shared" si="4"/>
        <v>45038</v>
      </c>
      <c r="D132" s="29">
        <f>DAY(Dati[[#This Row],[Data]])</f>
        <v>22</v>
      </c>
      <c r="E132" s="29" t="str">
        <f>IF(DAY(Data!$C$21:$C$1327)&gt;0,TEXT(Data!$C$21:$C$1327, "mmmm"),"")</f>
        <v>aprile</v>
      </c>
      <c r="F132" s="29" t="str">
        <f>IF(DAY(Data!$C$21:$C$1327)&gt;0,TEXT(Data!$C$21:$C$1327, "aaaa"),"")</f>
        <v>2023</v>
      </c>
      <c r="I132" t="str">
        <f>IF(OR(H132=$B$5,H132=$B$6,H132=$B$7,H132=$B$8,H132=$B$9,H132=$B$10,H132=$B$11,H132=$B$12,H132=$B$13,H132=$B$14),SottocategorieUscite[[#Headers],[Fuori Casa]],IF(OR(H132=$C$5,H132=$C$6,H132=$C$7,H132=$C$8,H132=$C$9,H132=$C$10,H132=$C$11,H132=$C$12,H132=$C$13,H132=$C$14),SottocategorieUscite[[#Headers],[Varie Uscite]],IF(OR(H132=$D$5,H132=$D$6,H132=$D$7,H132=$D$8,H132=$D$9,H132=$D$10,H132=$D$11,H132=$D$12,H132=$D$13,H132=$D$14),SottocategorieUscite[[#Headers],[Personali]],IF(OR(H132=$E$5,H132=$E$6,H132=$E$7,H132=$E$8,H132=$E$9,H132=$E$10,H132=$E$11,H132=$E$12,H132=$E$13,H132=$E$14),SottocategorieUscite[[#Headers],[Lavoro]],IF(OR(H132=$F$5,H132=$F$6,H132=$F$7,H132=$F$8,H132=$F$9,H132=$F$10,H132=$F$11,H132=$F$12,H132=$F$13,H132=$F$14),SottocategorieUscite[[#Headers],[Casa]],IF(OR(H132=$G$5,H132=$G$6,H132=$G$7,H132=$G$8,H132=$G$9,H132=$G$10,H132=$G$11,H132=$G$12,H132=$G$13,H132=$G$14),SottocategorieUscite[[#Headers],[Utenze]],IF(OR(H132=$H$5,H132=$H$6,H132=$H$7,H132=$H$8,H132=$H$9,H132=$H$10,H132=$H$11,H132=$H$12,H132=$H$13,H132=$H$14),SottocategorieUscite[[#Headers],[Business Uscite]],IF(OR(H132=$I$5,H132=$I$6,H132=$I$7,H132=$I$8,H132=$I$9,H132=$I$10,H132=$I$11,H132=$I$12,H132=$I$13,H132=$I$14),SottocategorieUscite[[#Headers],[Banca]],IF(OR(H132=K$5,H132=K$6,H132=K$7,H132=K$8,H132=K$9,H132=K$10,H132=K$11,H132=K$12,H132=K$13,H132=K$14),SottocategorieEntrate[[#Headers],[Business Entrate]],IF(OR(H132=L$5,H132=L$6,H132=L$7,H132=L$8,H132=L$9,H132=L$10,H132=L$11,H132=L$12,H132=L$13,H132=L$14),SottocategorieEntrate[[#Headers],[Varie Entrate]],IF(OR(H132=M$5,H132=M$6,H132=M$7,H132=M$8,H132=M$9,H132=M$10,H132=M$11,H132=M$12,H132=M$13,H132=M$14),SottocategorieEntrate[[#Headers],[Real Estate]],IF(OR(H132=N$5,H132=N$6,H132=N$7,H132=N$8,H132=N$9,H132=N$10,H132=N$11,H132=N$12,H132=N$13,H132=N$14),SottocategorieEntrate[[#Headers],[Other]],""))))))))))))</f>
        <v/>
      </c>
      <c r="J132" t="str">
        <f>IF(OR(Dati[[#This Row],[Categoria]]="Bollette",Dati[[#This Row],[Categoria]]="Conto &amp; Carte BNL",Dati[[#This Row],[Categoria]]="Prelievo",Dati[[#This Row],[Categoria]]="Affitto",Dati[[#This Row],[Categoria]]="BNL(Interessi Creditori)"),"Carta",IF(Dati[[#This Row],[Categoria]]&lt;&gt;0,"Cash",""))</f>
        <v/>
      </c>
      <c r="K132" s="59" t="str">
        <f>IF(OR(Data!$I132=SottocategorieUscite[[#Headers],[Fuori Casa]],Data!$I132=SottocategorieUscite[[#Headers],[Varie Uscite]],Data!$I132=SottocategorieUscite[[#Headers],[Personali]],Data!$I132=SottocategorieUscite[[#Headers],[Lavoro]]),"$ -","")</f>
        <v/>
      </c>
      <c r="L132" s="59" t="str">
        <f>IF(OR(Data!$I132=SottocategorieUscite[[#Headers],[Casa]],Data!$I132=SottocategorieUscite[[#Headers],[Utenze]],Data!$I132=SottocategorieUscite[[#Headers],[Business Uscite]],Data!$I132=SottocategorieUscite[[#Headers],[Banca]]),"$ -","")</f>
        <v/>
      </c>
      <c r="M132" s="59" t="str">
        <f>IF(OR($I132&lt;&gt;SottocategorieUscite[[#Headers],[Fuori Casa]],$I132&lt;&gt;SottocategorieUscite[[#Headers],[Varie Uscite]],$I132&lt;&gt;SottocategorieUscite[[#Headers],[Personali]],$I132&lt;&gt;SottocategorieUscite[[#Headers],[Lavoro]],$I132&lt;&gt;SottocategorieUscite[[#Headers],[Casa]],$I132&lt;&gt;SottocategorieUscite[[#Headers],[Utenze]],$I132&lt;&gt;SottocategorieUscite[[#Headers],[Business Uscite]],$I132&lt;&gt;SottocategorieUscite[[#Headers],[Banca]]),"","$ -")</f>
        <v/>
      </c>
      <c r="N132" s="59" t="str">
        <f>IF(OR(Data!$I132=SottocategorieEntrate[[#Headers],[Business Entrate]],Data!$I132=SottocategorieEntrate[[#Headers],[Varie Entrate]]),"$ -","")</f>
        <v/>
      </c>
      <c r="O132" s="59" t="str">
        <f>IF(OR(Data!$I132=SottocategorieEntrate[[#Headers],[Real Estate]],SottocategorieEntrate[[#Headers],[Other]]),"$ -","")</f>
        <v/>
      </c>
      <c r="P132" s="59" t="str">
        <f>IF(OR($I132&lt;&gt;SottocategorieEntrate[[#Headers],[Business Entrate]],$I132&lt;&gt;SottocategorieEntrate[[#Headers],[Varie Entrate]],$I132&lt;&gt;SottocategorieEntrate[[#Headers],[Real Estate]],$I132&lt;&gt;SottocategorieEntrate[[#Headers],[Other]]),"","$ -")</f>
        <v/>
      </c>
      <c r="Q132" s="59" t="str">
        <f>IF(Dati[[#This Row],[Categoria]]="Prelievo","€ -","")</f>
        <v/>
      </c>
      <c r="R132" s="244" t="str">
        <f t="shared" ca="1" si="5"/>
        <v/>
      </c>
      <c r="S132" s="59" t="str">
        <f>IF(Dati[[#This Row],[Categoria]]="Savings",0,"")</f>
        <v/>
      </c>
      <c r="T132" s="59"/>
      <c r="U132" s="59"/>
      <c r="V132" s="59"/>
      <c r="W132" s="59"/>
      <c r="X132" s="59"/>
      <c r="Y132" s="59"/>
      <c r="Z132" s="59"/>
      <c r="AA132" s="59"/>
      <c r="AB132" s="59"/>
      <c r="AC132" s="59"/>
      <c r="AD132" s="59"/>
      <c r="AE132" s="59"/>
      <c r="AF132" s="59"/>
      <c r="AG132" s="59"/>
      <c r="AH132" s="59"/>
      <c r="AI132" s="59" t="str">
        <f>IF(SUM(Dati[[#This Row],[Inv. Business]:[Inv. Cryptocurrency]])=0," ",SUM(Dati[[#This Row],[Inv. Business]:[Inv. Cryptocurrency]]))</f>
        <v xml:space="preserve"> </v>
      </c>
      <c r="AJ132" s="59"/>
      <c r="AK132" s="59" t="str">
        <f>IF(SUM(Dati[[#This Row],[Inv. Gold]:[Mutuo]])=0," ",SUM(Dati[[#This Row],[Inv. Gold]:[Mutuo]]))</f>
        <v xml:space="preserve"> </v>
      </c>
      <c r="AL132" s="59"/>
      <c r="AM132" s="59"/>
    </row>
    <row r="133" spans="2:39" ht="16" customHeight="1" x14ac:dyDescent="0.35">
      <c r="B133">
        <f t="shared" si="3"/>
        <v>113</v>
      </c>
      <c r="C133" s="49">
        <f t="shared" si="4"/>
        <v>45039</v>
      </c>
      <c r="D133" s="29">
        <f>DAY(Dati[[#This Row],[Data]])</f>
        <v>23</v>
      </c>
      <c r="E133" s="29" t="str">
        <f>IF(DAY(Data!$C$21:$C$1327)&gt;0,TEXT(Data!$C$21:$C$1327, "mmmm"),"")</f>
        <v>aprile</v>
      </c>
      <c r="F133" s="29" t="str">
        <f>IF(DAY(Data!$C$21:$C$1327)&gt;0,TEXT(Data!$C$21:$C$1327, "aaaa"),"")</f>
        <v>2023</v>
      </c>
      <c r="I133" t="str">
        <f>IF(OR(H133=$B$5,H133=$B$6,H133=$B$7,H133=$B$8,H133=$B$9,H133=$B$10,H133=$B$11,H133=$B$12,H133=$B$13,H133=$B$14),SottocategorieUscite[[#Headers],[Fuori Casa]],IF(OR(H133=$C$5,H133=$C$6,H133=$C$7,H133=$C$8,H133=$C$9,H133=$C$10,H133=$C$11,H133=$C$12,H133=$C$13,H133=$C$14),SottocategorieUscite[[#Headers],[Varie Uscite]],IF(OR(H133=$D$5,H133=$D$6,H133=$D$7,H133=$D$8,H133=$D$9,H133=$D$10,H133=$D$11,H133=$D$12,H133=$D$13,H133=$D$14),SottocategorieUscite[[#Headers],[Personali]],IF(OR(H133=$E$5,H133=$E$6,H133=$E$7,H133=$E$8,H133=$E$9,H133=$E$10,H133=$E$11,H133=$E$12,H133=$E$13,H133=$E$14),SottocategorieUscite[[#Headers],[Lavoro]],IF(OR(H133=$F$5,H133=$F$6,H133=$F$7,H133=$F$8,H133=$F$9,H133=$F$10,H133=$F$11,H133=$F$12,H133=$F$13,H133=$F$14),SottocategorieUscite[[#Headers],[Casa]],IF(OR(H133=$G$5,H133=$G$6,H133=$G$7,H133=$G$8,H133=$G$9,H133=$G$10,H133=$G$11,H133=$G$12,H133=$G$13,H133=$G$14),SottocategorieUscite[[#Headers],[Utenze]],IF(OR(H133=$H$5,H133=$H$6,H133=$H$7,H133=$H$8,H133=$H$9,H133=$H$10,H133=$H$11,H133=$H$12,H133=$H$13,H133=$H$14),SottocategorieUscite[[#Headers],[Business Uscite]],IF(OR(H133=$I$5,H133=$I$6,H133=$I$7,H133=$I$8,H133=$I$9,H133=$I$10,H133=$I$11,H133=$I$12,H133=$I$13,H133=$I$14),SottocategorieUscite[[#Headers],[Banca]],IF(OR(H133=K$5,H133=K$6,H133=K$7,H133=K$8,H133=K$9,H133=K$10,H133=K$11,H133=K$12,H133=K$13,H133=K$14),SottocategorieEntrate[[#Headers],[Business Entrate]],IF(OR(H133=L$5,H133=L$6,H133=L$7,H133=L$8,H133=L$9,H133=L$10,H133=L$11,H133=L$12,H133=L$13,H133=L$14),SottocategorieEntrate[[#Headers],[Varie Entrate]],IF(OR(H133=M$5,H133=M$6,H133=M$7,H133=M$8,H133=M$9,H133=M$10,H133=M$11,H133=M$12,H133=M$13,H133=M$14),SottocategorieEntrate[[#Headers],[Real Estate]],IF(OR(H133=N$5,H133=N$6,H133=N$7,H133=N$8,H133=N$9,H133=N$10,H133=N$11,H133=N$12,H133=N$13,H133=N$14),SottocategorieEntrate[[#Headers],[Other]],""))))))))))))</f>
        <v/>
      </c>
      <c r="J133" t="str">
        <f>IF(OR(Dati[[#This Row],[Categoria]]="Bollette",Dati[[#This Row],[Categoria]]="Conto &amp; Carte BNL",Dati[[#This Row],[Categoria]]="Prelievo",Dati[[#This Row],[Categoria]]="Affitto",Dati[[#This Row],[Categoria]]="BNL(Interessi Creditori)"),"Carta",IF(Dati[[#This Row],[Categoria]]&lt;&gt;0,"Cash",""))</f>
        <v/>
      </c>
      <c r="K133" s="59" t="str">
        <f>IF(OR(Data!$I133=SottocategorieUscite[[#Headers],[Fuori Casa]],Data!$I133=SottocategorieUscite[[#Headers],[Varie Uscite]],Data!$I133=SottocategorieUscite[[#Headers],[Personali]],Data!$I133=SottocategorieUscite[[#Headers],[Lavoro]]),"$ -","")</f>
        <v/>
      </c>
      <c r="L133" s="59" t="str">
        <f>IF(OR(Data!$I133=SottocategorieUscite[[#Headers],[Casa]],Data!$I133=SottocategorieUscite[[#Headers],[Utenze]],Data!$I133=SottocategorieUscite[[#Headers],[Business Uscite]],Data!$I133=SottocategorieUscite[[#Headers],[Banca]]),"$ -","")</f>
        <v/>
      </c>
      <c r="M133" s="59" t="str">
        <f>IF(OR($I133&lt;&gt;SottocategorieUscite[[#Headers],[Fuori Casa]],$I133&lt;&gt;SottocategorieUscite[[#Headers],[Varie Uscite]],$I133&lt;&gt;SottocategorieUscite[[#Headers],[Personali]],$I133&lt;&gt;SottocategorieUscite[[#Headers],[Lavoro]],$I133&lt;&gt;SottocategorieUscite[[#Headers],[Casa]],$I133&lt;&gt;SottocategorieUscite[[#Headers],[Utenze]],$I133&lt;&gt;SottocategorieUscite[[#Headers],[Business Uscite]],$I133&lt;&gt;SottocategorieUscite[[#Headers],[Banca]]),"","$ -")</f>
        <v/>
      </c>
      <c r="N133" s="59" t="str">
        <f>IF(OR(Data!$I133=SottocategorieEntrate[[#Headers],[Business Entrate]],Data!$I133=SottocategorieEntrate[[#Headers],[Varie Entrate]]),"$ -","")</f>
        <v/>
      </c>
      <c r="O133" s="59" t="str">
        <f>IF(OR(Data!$I133=SottocategorieEntrate[[#Headers],[Real Estate]],SottocategorieEntrate[[#Headers],[Other]]),"$ -","")</f>
        <v/>
      </c>
      <c r="P133" s="59" t="str">
        <f>IF(OR($I133&lt;&gt;SottocategorieEntrate[[#Headers],[Business Entrate]],$I133&lt;&gt;SottocategorieEntrate[[#Headers],[Varie Entrate]],$I133&lt;&gt;SottocategorieEntrate[[#Headers],[Real Estate]],$I133&lt;&gt;SottocategorieEntrate[[#Headers],[Other]]),"","$ -")</f>
        <v/>
      </c>
      <c r="Q133" s="59" t="str">
        <f>IF(Dati[[#This Row],[Categoria]]="Prelievo","€ -","")</f>
        <v/>
      </c>
      <c r="R133" s="244" t="str">
        <f t="shared" ca="1" si="5"/>
        <v/>
      </c>
      <c r="S133" s="59" t="str">
        <f>IF(Dati[[#This Row],[Categoria]]="Savings",0,"")</f>
        <v/>
      </c>
      <c r="T133" s="59"/>
      <c r="U133" s="59"/>
      <c r="V133" s="59"/>
      <c r="W133" s="59"/>
      <c r="X133" s="59"/>
      <c r="Y133" s="59"/>
      <c r="Z133" s="59"/>
      <c r="AA133" s="59"/>
      <c r="AB133" s="59"/>
      <c r="AC133" s="59"/>
      <c r="AD133" s="59"/>
      <c r="AE133" s="59"/>
      <c r="AF133" s="59"/>
      <c r="AG133" s="59"/>
      <c r="AH133" s="59"/>
      <c r="AI133" s="59" t="str">
        <f>IF(SUM(Dati[[#This Row],[Inv. Business]:[Inv. Cryptocurrency]])=0," ",SUM(Dati[[#This Row],[Inv. Business]:[Inv. Cryptocurrency]]))</f>
        <v xml:space="preserve"> </v>
      </c>
      <c r="AJ133" s="59"/>
      <c r="AK133" s="59" t="str">
        <f>IF(SUM(Dati[[#This Row],[Inv. Gold]:[Mutuo]])=0," ",SUM(Dati[[#This Row],[Inv. Gold]:[Mutuo]]))</f>
        <v xml:space="preserve"> </v>
      </c>
      <c r="AL133" s="59"/>
      <c r="AM133" s="59"/>
    </row>
    <row r="134" spans="2:39" ht="16" customHeight="1" x14ac:dyDescent="0.35">
      <c r="B134">
        <f t="shared" si="3"/>
        <v>114</v>
      </c>
      <c r="C134" s="49">
        <f t="shared" si="4"/>
        <v>45040</v>
      </c>
      <c r="D134" s="29">
        <f>DAY(Dati[[#This Row],[Data]])</f>
        <v>24</v>
      </c>
      <c r="E134" s="29" t="str">
        <f>IF(DAY(Data!$C$21:$C$1327)&gt;0,TEXT(Data!$C$21:$C$1327, "mmmm"),"")</f>
        <v>aprile</v>
      </c>
      <c r="F134" s="29" t="str">
        <f>IF(DAY(Data!$C$21:$C$1327)&gt;0,TEXT(Data!$C$21:$C$1327, "aaaa"),"")</f>
        <v>2023</v>
      </c>
      <c r="I134" t="str">
        <f>IF(OR(H134=$B$5,H134=$B$6,H134=$B$7,H134=$B$8,H134=$B$9,H134=$B$10,H134=$B$11,H134=$B$12,H134=$B$13,H134=$B$14),SottocategorieUscite[[#Headers],[Fuori Casa]],IF(OR(H134=$C$5,H134=$C$6,H134=$C$7,H134=$C$8,H134=$C$9,H134=$C$10,H134=$C$11,H134=$C$12,H134=$C$13,H134=$C$14),SottocategorieUscite[[#Headers],[Varie Uscite]],IF(OR(H134=$D$5,H134=$D$6,H134=$D$7,H134=$D$8,H134=$D$9,H134=$D$10,H134=$D$11,H134=$D$12,H134=$D$13,H134=$D$14),SottocategorieUscite[[#Headers],[Personali]],IF(OR(H134=$E$5,H134=$E$6,H134=$E$7,H134=$E$8,H134=$E$9,H134=$E$10,H134=$E$11,H134=$E$12,H134=$E$13,H134=$E$14),SottocategorieUscite[[#Headers],[Lavoro]],IF(OR(H134=$F$5,H134=$F$6,H134=$F$7,H134=$F$8,H134=$F$9,H134=$F$10,H134=$F$11,H134=$F$12,H134=$F$13,H134=$F$14),SottocategorieUscite[[#Headers],[Casa]],IF(OR(H134=$G$5,H134=$G$6,H134=$G$7,H134=$G$8,H134=$G$9,H134=$G$10,H134=$G$11,H134=$G$12,H134=$G$13,H134=$G$14),SottocategorieUscite[[#Headers],[Utenze]],IF(OR(H134=$H$5,H134=$H$6,H134=$H$7,H134=$H$8,H134=$H$9,H134=$H$10,H134=$H$11,H134=$H$12,H134=$H$13,H134=$H$14),SottocategorieUscite[[#Headers],[Business Uscite]],IF(OR(H134=$I$5,H134=$I$6,H134=$I$7,H134=$I$8,H134=$I$9,H134=$I$10,H134=$I$11,H134=$I$12,H134=$I$13,H134=$I$14),SottocategorieUscite[[#Headers],[Banca]],IF(OR(H134=K$5,H134=K$6,H134=K$7,H134=K$8,H134=K$9,H134=K$10,H134=K$11,H134=K$12,H134=K$13,H134=K$14),SottocategorieEntrate[[#Headers],[Business Entrate]],IF(OR(H134=L$5,H134=L$6,H134=L$7,H134=L$8,H134=L$9,H134=L$10,H134=L$11,H134=L$12,H134=L$13,H134=L$14),SottocategorieEntrate[[#Headers],[Varie Entrate]],IF(OR(H134=M$5,H134=M$6,H134=M$7,H134=M$8,H134=M$9,H134=M$10,H134=M$11,H134=M$12,H134=M$13,H134=M$14),SottocategorieEntrate[[#Headers],[Real Estate]],IF(OR(H134=N$5,H134=N$6,H134=N$7,H134=N$8,H134=N$9,H134=N$10,H134=N$11,H134=N$12,H134=N$13,H134=N$14),SottocategorieEntrate[[#Headers],[Other]],""))))))))))))</f>
        <v/>
      </c>
      <c r="J134" t="str">
        <f>IF(OR(Dati[[#This Row],[Categoria]]="Bollette",Dati[[#This Row],[Categoria]]="Conto &amp; Carte BNL",Dati[[#This Row],[Categoria]]="Prelievo",Dati[[#This Row],[Categoria]]="Affitto",Dati[[#This Row],[Categoria]]="BNL(Interessi Creditori)"),"Carta",IF(Dati[[#This Row],[Categoria]]&lt;&gt;0,"Cash",""))</f>
        <v/>
      </c>
      <c r="K134" s="59" t="str">
        <f>IF(OR(Data!$I134=SottocategorieUscite[[#Headers],[Fuori Casa]],Data!$I134=SottocategorieUscite[[#Headers],[Varie Uscite]],Data!$I134=SottocategorieUscite[[#Headers],[Personali]],Data!$I134=SottocategorieUscite[[#Headers],[Lavoro]]),"$ -","")</f>
        <v/>
      </c>
      <c r="L134" s="59" t="str">
        <f>IF(OR(Data!$I134=SottocategorieUscite[[#Headers],[Casa]],Data!$I134=SottocategorieUscite[[#Headers],[Utenze]],Data!$I134=SottocategorieUscite[[#Headers],[Business Uscite]],Data!$I134=SottocategorieUscite[[#Headers],[Banca]]),"$ -","")</f>
        <v/>
      </c>
      <c r="M134" s="59" t="str">
        <f>IF(OR($I134&lt;&gt;SottocategorieUscite[[#Headers],[Fuori Casa]],$I134&lt;&gt;SottocategorieUscite[[#Headers],[Varie Uscite]],$I134&lt;&gt;SottocategorieUscite[[#Headers],[Personali]],$I134&lt;&gt;SottocategorieUscite[[#Headers],[Lavoro]],$I134&lt;&gt;SottocategorieUscite[[#Headers],[Casa]],$I134&lt;&gt;SottocategorieUscite[[#Headers],[Utenze]],$I134&lt;&gt;SottocategorieUscite[[#Headers],[Business Uscite]],$I134&lt;&gt;SottocategorieUscite[[#Headers],[Banca]]),"","$ -")</f>
        <v/>
      </c>
      <c r="N134" s="59" t="str">
        <f>IF(OR(Data!$I134=SottocategorieEntrate[[#Headers],[Business Entrate]],Data!$I134=SottocategorieEntrate[[#Headers],[Varie Entrate]]),"$ -","")</f>
        <v/>
      </c>
      <c r="O134" s="59" t="str">
        <f>IF(OR(Data!$I134=SottocategorieEntrate[[#Headers],[Real Estate]],SottocategorieEntrate[[#Headers],[Other]]),"$ -","")</f>
        <v/>
      </c>
      <c r="P134" s="59" t="str">
        <f>IF(OR($I134&lt;&gt;SottocategorieEntrate[[#Headers],[Business Entrate]],$I134&lt;&gt;SottocategorieEntrate[[#Headers],[Varie Entrate]],$I134&lt;&gt;SottocategorieEntrate[[#Headers],[Real Estate]],$I134&lt;&gt;SottocategorieEntrate[[#Headers],[Other]]),"","$ -")</f>
        <v/>
      </c>
      <c r="Q134" s="59" t="str">
        <f>IF(Dati[[#This Row],[Categoria]]="Prelievo","€ -","")</f>
        <v/>
      </c>
      <c r="R134" s="244" t="str">
        <f t="shared" ca="1" si="5"/>
        <v/>
      </c>
      <c r="S134" s="59" t="str">
        <f>IF(Dati[[#This Row],[Categoria]]="Savings",0,"")</f>
        <v/>
      </c>
      <c r="T134" s="59"/>
      <c r="U134" s="59"/>
      <c r="V134" s="59"/>
      <c r="W134" s="59"/>
      <c r="X134" s="59"/>
      <c r="Y134" s="59"/>
      <c r="Z134" s="59"/>
      <c r="AA134" s="59"/>
      <c r="AB134" s="59"/>
      <c r="AC134" s="59"/>
      <c r="AD134" s="59"/>
      <c r="AE134" s="59"/>
      <c r="AF134" s="59"/>
      <c r="AG134" s="59"/>
      <c r="AH134" s="59"/>
      <c r="AI134" s="59" t="str">
        <f>IF(SUM(Dati[[#This Row],[Inv. Business]:[Inv. Cryptocurrency]])=0," ",SUM(Dati[[#This Row],[Inv. Business]:[Inv. Cryptocurrency]]))</f>
        <v xml:space="preserve"> </v>
      </c>
      <c r="AJ134" s="59"/>
      <c r="AK134" s="59" t="str">
        <f>IF(SUM(Dati[[#This Row],[Inv. Gold]:[Mutuo]])=0," ",SUM(Dati[[#This Row],[Inv. Gold]:[Mutuo]]))</f>
        <v xml:space="preserve"> </v>
      </c>
      <c r="AL134" s="59"/>
      <c r="AM134" s="59"/>
    </row>
    <row r="135" spans="2:39" ht="16" customHeight="1" x14ac:dyDescent="0.35">
      <c r="B135">
        <f t="shared" si="3"/>
        <v>115</v>
      </c>
      <c r="C135" s="49">
        <f t="shared" si="4"/>
        <v>45041</v>
      </c>
      <c r="D135" s="29">
        <f>DAY(Dati[[#This Row],[Data]])</f>
        <v>25</v>
      </c>
      <c r="E135" s="29" t="str">
        <f>IF(DAY(Data!$C$21:$C$1327)&gt;0,TEXT(Data!$C$21:$C$1327, "mmmm"),"")</f>
        <v>aprile</v>
      </c>
      <c r="F135" s="29" t="str">
        <f>IF(DAY(Data!$C$21:$C$1327)&gt;0,TEXT(Data!$C$21:$C$1327, "aaaa"),"")</f>
        <v>2023</v>
      </c>
      <c r="I135" t="str">
        <f>IF(OR(H135=$B$5,H135=$B$6,H135=$B$7,H135=$B$8,H135=$B$9,H135=$B$10,H135=$B$11,H135=$B$12,H135=$B$13,H135=$B$14),SottocategorieUscite[[#Headers],[Fuori Casa]],IF(OR(H135=$C$5,H135=$C$6,H135=$C$7,H135=$C$8,H135=$C$9,H135=$C$10,H135=$C$11,H135=$C$12,H135=$C$13,H135=$C$14),SottocategorieUscite[[#Headers],[Varie Uscite]],IF(OR(H135=$D$5,H135=$D$6,H135=$D$7,H135=$D$8,H135=$D$9,H135=$D$10,H135=$D$11,H135=$D$12,H135=$D$13,H135=$D$14),SottocategorieUscite[[#Headers],[Personali]],IF(OR(H135=$E$5,H135=$E$6,H135=$E$7,H135=$E$8,H135=$E$9,H135=$E$10,H135=$E$11,H135=$E$12,H135=$E$13,H135=$E$14),SottocategorieUscite[[#Headers],[Lavoro]],IF(OR(H135=$F$5,H135=$F$6,H135=$F$7,H135=$F$8,H135=$F$9,H135=$F$10,H135=$F$11,H135=$F$12,H135=$F$13,H135=$F$14),SottocategorieUscite[[#Headers],[Casa]],IF(OR(H135=$G$5,H135=$G$6,H135=$G$7,H135=$G$8,H135=$G$9,H135=$G$10,H135=$G$11,H135=$G$12,H135=$G$13,H135=$G$14),SottocategorieUscite[[#Headers],[Utenze]],IF(OR(H135=$H$5,H135=$H$6,H135=$H$7,H135=$H$8,H135=$H$9,H135=$H$10,H135=$H$11,H135=$H$12,H135=$H$13,H135=$H$14),SottocategorieUscite[[#Headers],[Business Uscite]],IF(OR(H135=$I$5,H135=$I$6,H135=$I$7,H135=$I$8,H135=$I$9,H135=$I$10,H135=$I$11,H135=$I$12,H135=$I$13,H135=$I$14),SottocategorieUscite[[#Headers],[Banca]],IF(OR(H135=K$5,H135=K$6,H135=K$7,H135=K$8,H135=K$9,H135=K$10,H135=K$11,H135=K$12,H135=K$13,H135=K$14),SottocategorieEntrate[[#Headers],[Business Entrate]],IF(OR(H135=L$5,H135=L$6,H135=L$7,H135=L$8,H135=L$9,H135=L$10,H135=L$11,H135=L$12,H135=L$13,H135=L$14),SottocategorieEntrate[[#Headers],[Varie Entrate]],IF(OR(H135=M$5,H135=M$6,H135=M$7,H135=M$8,H135=M$9,H135=M$10,H135=M$11,H135=M$12,H135=M$13,H135=M$14),SottocategorieEntrate[[#Headers],[Real Estate]],IF(OR(H135=N$5,H135=N$6,H135=N$7,H135=N$8,H135=N$9,H135=N$10,H135=N$11,H135=N$12,H135=N$13,H135=N$14),SottocategorieEntrate[[#Headers],[Other]],""))))))))))))</f>
        <v/>
      </c>
      <c r="J135" t="str">
        <f>IF(OR(Dati[[#This Row],[Categoria]]="Bollette",Dati[[#This Row],[Categoria]]="Conto &amp; Carte BNL",Dati[[#This Row],[Categoria]]="Prelievo",Dati[[#This Row],[Categoria]]="Affitto",Dati[[#This Row],[Categoria]]="BNL(Interessi Creditori)"),"Carta",IF(Dati[[#This Row],[Categoria]]&lt;&gt;0,"Cash",""))</f>
        <v/>
      </c>
      <c r="K135" s="59" t="str">
        <f>IF(OR(Data!$I135=SottocategorieUscite[[#Headers],[Fuori Casa]],Data!$I135=SottocategorieUscite[[#Headers],[Varie Uscite]],Data!$I135=SottocategorieUscite[[#Headers],[Personali]],Data!$I135=SottocategorieUscite[[#Headers],[Lavoro]]),"$ -","")</f>
        <v/>
      </c>
      <c r="L135" s="59" t="str">
        <f>IF(OR(Data!$I135=SottocategorieUscite[[#Headers],[Casa]],Data!$I135=SottocategorieUscite[[#Headers],[Utenze]],Data!$I135=SottocategorieUscite[[#Headers],[Business Uscite]],Data!$I135=SottocategorieUscite[[#Headers],[Banca]]),"$ -","")</f>
        <v/>
      </c>
      <c r="M135" s="59" t="str">
        <f>IF(OR($I135&lt;&gt;SottocategorieUscite[[#Headers],[Fuori Casa]],$I135&lt;&gt;SottocategorieUscite[[#Headers],[Varie Uscite]],$I135&lt;&gt;SottocategorieUscite[[#Headers],[Personali]],$I135&lt;&gt;SottocategorieUscite[[#Headers],[Lavoro]],$I135&lt;&gt;SottocategorieUscite[[#Headers],[Casa]],$I135&lt;&gt;SottocategorieUscite[[#Headers],[Utenze]],$I135&lt;&gt;SottocategorieUscite[[#Headers],[Business Uscite]],$I135&lt;&gt;SottocategorieUscite[[#Headers],[Banca]]),"","$ -")</f>
        <v/>
      </c>
      <c r="N135" s="59" t="str">
        <f>IF(OR(Data!$I135=SottocategorieEntrate[[#Headers],[Business Entrate]],Data!$I135=SottocategorieEntrate[[#Headers],[Varie Entrate]]),"$ -","")</f>
        <v/>
      </c>
      <c r="O135" s="59" t="str">
        <f>IF(OR(Data!$I135=SottocategorieEntrate[[#Headers],[Real Estate]],SottocategorieEntrate[[#Headers],[Other]]),"$ -","")</f>
        <v/>
      </c>
      <c r="P135" s="59" t="str">
        <f>IF(OR($I135&lt;&gt;SottocategorieEntrate[[#Headers],[Business Entrate]],$I135&lt;&gt;SottocategorieEntrate[[#Headers],[Varie Entrate]],$I135&lt;&gt;SottocategorieEntrate[[#Headers],[Real Estate]],$I135&lt;&gt;SottocategorieEntrate[[#Headers],[Other]]),"","$ -")</f>
        <v/>
      </c>
      <c r="Q135" s="59" t="str">
        <f>IF(Dati[[#This Row],[Categoria]]="Prelievo","€ -","")</f>
        <v/>
      </c>
      <c r="R135" s="244" t="str">
        <f t="shared" ca="1" si="5"/>
        <v/>
      </c>
      <c r="S135" s="59" t="str">
        <f>IF(Dati[[#This Row],[Categoria]]="Savings",0,"")</f>
        <v/>
      </c>
      <c r="T135" s="59"/>
      <c r="U135" s="59"/>
      <c r="V135" s="59"/>
      <c r="W135" s="59"/>
      <c r="X135" s="59"/>
      <c r="Y135" s="59"/>
      <c r="Z135" s="59"/>
      <c r="AA135" s="59"/>
      <c r="AB135" s="59"/>
      <c r="AC135" s="59"/>
      <c r="AD135" s="59"/>
      <c r="AE135" s="59"/>
      <c r="AF135" s="59"/>
      <c r="AG135" s="59"/>
      <c r="AH135" s="59"/>
      <c r="AI135" s="59" t="str">
        <f>IF(SUM(Dati[[#This Row],[Inv. Business]:[Inv. Cryptocurrency]])=0," ",SUM(Dati[[#This Row],[Inv. Business]:[Inv. Cryptocurrency]]))</f>
        <v xml:space="preserve"> </v>
      </c>
      <c r="AJ135" s="59"/>
      <c r="AK135" s="59" t="str">
        <f>IF(SUM(Dati[[#This Row],[Inv. Gold]:[Mutuo]])=0," ",SUM(Dati[[#This Row],[Inv. Gold]:[Mutuo]]))</f>
        <v xml:space="preserve"> </v>
      </c>
      <c r="AL135" s="59"/>
      <c r="AM135" s="59"/>
    </row>
    <row r="136" spans="2:39" ht="16" customHeight="1" x14ac:dyDescent="0.35">
      <c r="B136">
        <f t="shared" si="3"/>
        <v>116</v>
      </c>
      <c r="C136" s="49">
        <f t="shared" si="4"/>
        <v>45042</v>
      </c>
      <c r="D136" s="29">
        <f>DAY(Dati[[#This Row],[Data]])</f>
        <v>26</v>
      </c>
      <c r="E136" s="29" t="str">
        <f>IF(DAY(Data!$C$21:$C$1327)&gt;0,TEXT(Data!$C$21:$C$1327, "mmmm"),"")</f>
        <v>aprile</v>
      </c>
      <c r="F136" s="29" t="str">
        <f>IF(DAY(Data!$C$21:$C$1327)&gt;0,TEXT(Data!$C$21:$C$1327, "aaaa"),"")</f>
        <v>2023</v>
      </c>
      <c r="I136" t="str">
        <f>IF(OR(H136=$B$5,H136=$B$6,H136=$B$7,H136=$B$8,H136=$B$9,H136=$B$10,H136=$B$11,H136=$B$12,H136=$B$13,H136=$B$14),SottocategorieUscite[[#Headers],[Fuori Casa]],IF(OR(H136=$C$5,H136=$C$6,H136=$C$7,H136=$C$8,H136=$C$9,H136=$C$10,H136=$C$11,H136=$C$12,H136=$C$13,H136=$C$14),SottocategorieUscite[[#Headers],[Varie Uscite]],IF(OR(H136=$D$5,H136=$D$6,H136=$D$7,H136=$D$8,H136=$D$9,H136=$D$10,H136=$D$11,H136=$D$12,H136=$D$13,H136=$D$14),SottocategorieUscite[[#Headers],[Personali]],IF(OR(H136=$E$5,H136=$E$6,H136=$E$7,H136=$E$8,H136=$E$9,H136=$E$10,H136=$E$11,H136=$E$12,H136=$E$13,H136=$E$14),SottocategorieUscite[[#Headers],[Lavoro]],IF(OR(H136=$F$5,H136=$F$6,H136=$F$7,H136=$F$8,H136=$F$9,H136=$F$10,H136=$F$11,H136=$F$12,H136=$F$13,H136=$F$14),SottocategorieUscite[[#Headers],[Casa]],IF(OR(H136=$G$5,H136=$G$6,H136=$G$7,H136=$G$8,H136=$G$9,H136=$G$10,H136=$G$11,H136=$G$12,H136=$G$13,H136=$G$14),SottocategorieUscite[[#Headers],[Utenze]],IF(OR(H136=$H$5,H136=$H$6,H136=$H$7,H136=$H$8,H136=$H$9,H136=$H$10,H136=$H$11,H136=$H$12,H136=$H$13,H136=$H$14),SottocategorieUscite[[#Headers],[Business Uscite]],IF(OR(H136=$I$5,H136=$I$6,H136=$I$7,H136=$I$8,H136=$I$9,H136=$I$10,H136=$I$11,H136=$I$12,H136=$I$13,H136=$I$14),SottocategorieUscite[[#Headers],[Banca]],IF(OR(H136=K$5,H136=K$6,H136=K$7,H136=K$8,H136=K$9,H136=K$10,H136=K$11,H136=K$12,H136=K$13,H136=K$14),SottocategorieEntrate[[#Headers],[Business Entrate]],IF(OR(H136=L$5,H136=L$6,H136=L$7,H136=L$8,H136=L$9,H136=L$10,H136=L$11,H136=L$12,H136=L$13,H136=L$14),SottocategorieEntrate[[#Headers],[Varie Entrate]],IF(OR(H136=M$5,H136=M$6,H136=M$7,H136=M$8,H136=M$9,H136=M$10,H136=M$11,H136=M$12,H136=M$13,H136=M$14),SottocategorieEntrate[[#Headers],[Real Estate]],IF(OR(H136=N$5,H136=N$6,H136=N$7,H136=N$8,H136=N$9,H136=N$10,H136=N$11,H136=N$12,H136=N$13,H136=N$14),SottocategorieEntrate[[#Headers],[Other]],""))))))))))))</f>
        <v/>
      </c>
      <c r="J136" t="str">
        <f>IF(OR(Dati[[#This Row],[Categoria]]="Bollette",Dati[[#This Row],[Categoria]]="Conto &amp; Carte BNL",Dati[[#This Row],[Categoria]]="Prelievo",Dati[[#This Row],[Categoria]]="Affitto",Dati[[#This Row],[Categoria]]="BNL(Interessi Creditori)"),"Carta",IF(Dati[[#This Row],[Categoria]]&lt;&gt;0,"Cash",""))</f>
        <v/>
      </c>
      <c r="K136" s="59" t="str">
        <f>IF(OR(Data!$I136=SottocategorieUscite[[#Headers],[Fuori Casa]],Data!$I136=SottocategorieUscite[[#Headers],[Varie Uscite]],Data!$I136=SottocategorieUscite[[#Headers],[Personali]],Data!$I136=SottocategorieUscite[[#Headers],[Lavoro]]),"$ -","")</f>
        <v/>
      </c>
      <c r="L136" s="59" t="str">
        <f>IF(OR(Data!$I136=SottocategorieUscite[[#Headers],[Casa]],Data!$I136=SottocategorieUscite[[#Headers],[Utenze]],Data!$I136=SottocategorieUscite[[#Headers],[Business Uscite]],Data!$I136=SottocategorieUscite[[#Headers],[Banca]]),"$ -","")</f>
        <v/>
      </c>
      <c r="M136" s="59" t="str">
        <f>IF(OR($I136&lt;&gt;SottocategorieUscite[[#Headers],[Fuori Casa]],$I136&lt;&gt;SottocategorieUscite[[#Headers],[Varie Uscite]],$I136&lt;&gt;SottocategorieUscite[[#Headers],[Personali]],$I136&lt;&gt;SottocategorieUscite[[#Headers],[Lavoro]],$I136&lt;&gt;SottocategorieUscite[[#Headers],[Casa]],$I136&lt;&gt;SottocategorieUscite[[#Headers],[Utenze]],$I136&lt;&gt;SottocategorieUscite[[#Headers],[Business Uscite]],$I136&lt;&gt;SottocategorieUscite[[#Headers],[Banca]]),"","$ -")</f>
        <v/>
      </c>
      <c r="N136" s="59" t="str">
        <f>IF(OR(Data!$I136=SottocategorieEntrate[[#Headers],[Business Entrate]],Data!$I136=SottocategorieEntrate[[#Headers],[Varie Entrate]]),"$ -","")</f>
        <v/>
      </c>
      <c r="O136" s="59" t="str">
        <f>IF(OR(Data!$I136=SottocategorieEntrate[[#Headers],[Real Estate]],SottocategorieEntrate[[#Headers],[Other]]),"$ -","")</f>
        <v/>
      </c>
      <c r="P136" s="59" t="str">
        <f>IF(OR($I136&lt;&gt;SottocategorieEntrate[[#Headers],[Business Entrate]],$I136&lt;&gt;SottocategorieEntrate[[#Headers],[Varie Entrate]],$I136&lt;&gt;SottocategorieEntrate[[#Headers],[Real Estate]],$I136&lt;&gt;SottocategorieEntrate[[#Headers],[Other]]),"","$ -")</f>
        <v/>
      </c>
      <c r="Q136" s="59" t="str">
        <f>IF(Dati[[#This Row],[Categoria]]="Prelievo","€ -","")</f>
        <v/>
      </c>
      <c r="R136" s="244" t="str">
        <f t="shared" ca="1" si="5"/>
        <v/>
      </c>
      <c r="S136" s="59" t="str">
        <f>IF(Dati[[#This Row],[Categoria]]="Savings",0,"")</f>
        <v/>
      </c>
      <c r="T136" s="59"/>
      <c r="U136" s="59"/>
      <c r="V136" s="59"/>
      <c r="W136" s="59"/>
      <c r="X136" s="59"/>
      <c r="Y136" s="59"/>
      <c r="Z136" s="59"/>
      <c r="AA136" s="59"/>
      <c r="AB136" s="59"/>
      <c r="AC136" s="59"/>
      <c r="AD136" s="59"/>
      <c r="AE136" s="59"/>
      <c r="AF136" s="59"/>
      <c r="AG136" s="59"/>
      <c r="AH136" s="59"/>
      <c r="AI136" s="59" t="str">
        <f>IF(SUM(Dati[[#This Row],[Inv. Business]:[Inv. Cryptocurrency]])=0," ",SUM(Dati[[#This Row],[Inv. Business]:[Inv. Cryptocurrency]]))</f>
        <v xml:space="preserve"> </v>
      </c>
      <c r="AJ136" s="59"/>
      <c r="AK136" s="59" t="str">
        <f>IF(SUM(Dati[[#This Row],[Inv. Gold]:[Mutuo]])=0," ",SUM(Dati[[#This Row],[Inv. Gold]:[Mutuo]]))</f>
        <v xml:space="preserve"> </v>
      </c>
      <c r="AL136" s="59"/>
      <c r="AM136" s="59"/>
    </row>
    <row r="137" spans="2:39" ht="16" customHeight="1" x14ac:dyDescent="0.35">
      <c r="B137">
        <f t="shared" si="3"/>
        <v>117</v>
      </c>
      <c r="C137" s="49">
        <f t="shared" si="4"/>
        <v>45043</v>
      </c>
      <c r="D137" s="29">
        <f>DAY(Dati[[#This Row],[Data]])</f>
        <v>27</v>
      </c>
      <c r="E137" s="29" t="str">
        <f>IF(DAY(Data!$C$21:$C$1327)&gt;0,TEXT(Data!$C$21:$C$1327, "mmmm"),"")</f>
        <v>aprile</v>
      </c>
      <c r="F137" s="29" t="str">
        <f>IF(DAY(Data!$C$21:$C$1327)&gt;0,TEXT(Data!$C$21:$C$1327, "aaaa"),"")</f>
        <v>2023</v>
      </c>
      <c r="I137" t="str">
        <f>IF(OR(H137=$B$5,H137=$B$6,H137=$B$7,H137=$B$8,H137=$B$9,H137=$B$10,H137=$B$11,H137=$B$12,H137=$B$13,H137=$B$14),SottocategorieUscite[[#Headers],[Fuori Casa]],IF(OR(H137=$C$5,H137=$C$6,H137=$C$7,H137=$C$8,H137=$C$9,H137=$C$10,H137=$C$11,H137=$C$12,H137=$C$13,H137=$C$14),SottocategorieUscite[[#Headers],[Varie Uscite]],IF(OR(H137=$D$5,H137=$D$6,H137=$D$7,H137=$D$8,H137=$D$9,H137=$D$10,H137=$D$11,H137=$D$12,H137=$D$13,H137=$D$14),SottocategorieUscite[[#Headers],[Personali]],IF(OR(H137=$E$5,H137=$E$6,H137=$E$7,H137=$E$8,H137=$E$9,H137=$E$10,H137=$E$11,H137=$E$12,H137=$E$13,H137=$E$14),SottocategorieUscite[[#Headers],[Lavoro]],IF(OR(H137=$F$5,H137=$F$6,H137=$F$7,H137=$F$8,H137=$F$9,H137=$F$10,H137=$F$11,H137=$F$12,H137=$F$13,H137=$F$14),SottocategorieUscite[[#Headers],[Casa]],IF(OR(H137=$G$5,H137=$G$6,H137=$G$7,H137=$G$8,H137=$G$9,H137=$G$10,H137=$G$11,H137=$G$12,H137=$G$13,H137=$G$14),SottocategorieUscite[[#Headers],[Utenze]],IF(OR(H137=$H$5,H137=$H$6,H137=$H$7,H137=$H$8,H137=$H$9,H137=$H$10,H137=$H$11,H137=$H$12,H137=$H$13,H137=$H$14),SottocategorieUscite[[#Headers],[Business Uscite]],IF(OR(H137=$I$5,H137=$I$6,H137=$I$7,H137=$I$8,H137=$I$9,H137=$I$10,H137=$I$11,H137=$I$12,H137=$I$13,H137=$I$14),SottocategorieUscite[[#Headers],[Banca]],IF(OR(H137=K$5,H137=K$6,H137=K$7,H137=K$8,H137=K$9,H137=K$10,H137=K$11,H137=K$12,H137=K$13,H137=K$14),SottocategorieEntrate[[#Headers],[Business Entrate]],IF(OR(H137=L$5,H137=L$6,H137=L$7,H137=L$8,H137=L$9,H137=L$10,H137=L$11,H137=L$12,H137=L$13,H137=L$14),SottocategorieEntrate[[#Headers],[Varie Entrate]],IF(OR(H137=M$5,H137=M$6,H137=M$7,H137=M$8,H137=M$9,H137=M$10,H137=M$11,H137=M$12,H137=M$13,H137=M$14),SottocategorieEntrate[[#Headers],[Real Estate]],IF(OR(H137=N$5,H137=N$6,H137=N$7,H137=N$8,H137=N$9,H137=N$10,H137=N$11,H137=N$12,H137=N$13,H137=N$14),SottocategorieEntrate[[#Headers],[Other]],""))))))))))))</f>
        <v/>
      </c>
      <c r="J137" t="str">
        <f>IF(OR(Dati[[#This Row],[Categoria]]="Bollette",Dati[[#This Row],[Categoria]]="Conto &amp; Carte BNL",Dati[[#This Row],[Categoria]]="Prelievo",Dati[[#This Row],[Categoria]]="Affitto",Dati[[#This Row],[Categoria]]="BNL(Interessi Creditori)"),"Carta",IF(Dati[[#This Row],[Categoria]]&lt;&gt;0,"Cash",""))</f>
        <v/>
      </c>
      <c r="K137" s="59" t="str">
        <f>IF(OR(Data!$I137=SottocategorieUscite[[#Headers],[Fuori Casa]],Data!$I137=SottocategorieUscite[[#Headers],[Varie Uscite]],Data!$I137=SottocategorieUscite[[#Headers],[Personali]],Data!$I137=SottocategorieUscite[[#Headers],[Lavoro]]),"$ -","")</f>
        <v/>
      </c>
      <c r="L137" s="59" t="str">
        <f>IF(OR(Data!$I137=SottocategorieUscite[[#Headers],[Casa]],Data!$I137=SottocategorieUscite[[#Headers],[Utenze]],Data!$I137=SottocategorieUscite[[#Headers],[Business Uscite]],Data!$I137=SottocategorieUscite[[#Headers],[Banca]]),"$ -","")</f>
        <v/>
      </c>
      <c r="M137" s="59" t="str">
        <f>IF(OR($I137&lt;&gt;SottocategorieUscite[[#Headers],[Fuori Casa]],$I137&lt;&gt;SottocategorieUscite[[#Headers],[Varie Uscite]],$I137&lt;&gt;SottocategorieUscite[[#Headers],[Personali]],$I137&lt;&gt;SottocategorieUscite[[#Headers],[Lavoro]],$I137&lt;&gt;SottocategorieUscite[[#Headers],[Casa]],$I137&lt;&gt;SottocategorieUscite[[#Headers],[Utenze]],$I137&lt;&gt;SottocategorieUscite[[#Headers],[Business Uscite]],$I137&lt;&gt;SottocategorieUscite[[#Headers],[Banca]]),"","$ -")</f>
        <v/>
      </c>
      <c r="N137" s="59" t="str">
        <f>IF(OR(Data!$I137=SottocategorieEntrate[[#Headers],[Business Entrate]],Data!$I137=SottocategorieEntrate[[#Headers],[Varie Entrate]]),"$ -","")</f>
        <v/>
      </c>
      <c r="O137" s="59" t="str">
        <f>IF(OR(Data!$I137=SottocategorieEntrate[[#Headers],[Real Estate]],SottocategorieEntrate[[#Headers],[Other]]),"$ -","")</f>
        <v/>
      </c>
      <c r="P137" s="59" t="str">
        <f>IF(OR($I137&lt;&gt;SottocategorieEntrate[[#Headers],[Business Entrate]],$I137&lt;&gt;SottocategorieEntrate[[#Headers],[Varie Entrate]],$I137&lt;&gt;SottocategorieEntrate[[#Headers],[Real Estate]],$I137&lt;&gt;SottocategorieEntrate[[#Headers],[Other]]),"","$ -")</f>
        <v/>
      </c>
      <c r="Q137" s="59" t="str">
        <f>IF(Dati[[#This Row],[Categoria]]="Prelievo","€ -","")</f>
        <v/>
      </c>
      <c r="R137" s="244" t="str">
        <f t="shared" ca="1" si="5"/>
        <v/>
      </c>
      <c r="S137" s="59" t="str">
        <f>IF(Dati[[#This Row],[Categoria]]="Savings",0,"")</f>
        <v/>
      </c>
      <c r="T137" s="59"/>
      <c r="U137" s="59"/>
      <c r="V137" s="59"/>
      <c r="W137" s="59"/>
      <c r="X137" s="59"/>
      <c r="Y137" s="59"/>
      <c r="Z137" s="59"/>
      <c r="AA137" s="59"/>
      <c r="AB137" s="59"/>
      <c r="AC137" s="59"/>
      <c r="AD137" s="59"/>
      <c r="AE137" s="59"/>
      <c r="AF137" s="59"/>
      <c r="AG137" s="59"/>
      <c r="AH137" s="59"/>
      <c r="AI137" s="59" t="str">
        <f>IF(SUM(Dati[[#This Row],[Inv. Business]:[Inv. Cryptocurrency]])=0," ",SUM(Dati[[#This Row],[Inv. Business]:[Inv. Cryptocurrency]]))</f>
        <v xml:space="preserve"> </v>
      </c>
      <c r="AJ137" s="59"/>
      <c r="AK137" s="59" t="str">
        <f>IF(SUM(Dati[[#This Row],[Inv. Gold]:[Mutuo]])=0," ",SUM(Dati[[#This Row],[Inv. Gold]:[Mutuo]]))</f>
        <v xml:space="preserve"> </v>
      </c>
      <c r="AL137" s="59"/>
      <c r="AM137" s="59"/>
    </row>
    <row r="138" spans="2:39" ht="16" customHeight="1" x14ac:dyDescent="0.35">
      <c r="B138">
        <f t="shared" si="3"/>
        <v>118</v>
      </c>
      <c r="C138" s="49">
        <f t="shared" si="4"/>
        <v>45044</v>
      </c>
      <c r="D138" s="29">
        <f>DAY(Dati[[#This Row],[Data]])</f>
        <v>28</v>
      </c>
      <c r="E138" s="29" t="str">
        <f>IF(DAY(Data!$C$21:$C$1327)&gt;0,TEXT(Data!$C$21:$C$1327, "mmmm"),"")</f>
        <v>aprile</v>
      </c>
      <c r="F138" s="29" t="str">
        <f>IF(DAY(Data!$C$21:$C$1327)&gt;0,TEXT(Data!$C$21:$C$1327, "aaaa"),"")</f>
        <v>2023</v>
      </c>
      <c r="I138" t="str">
        <f>IF(OR(H138=$B$5,H138=$B$6,H138=$B$7,H138=$B$8,H138=$B$9,H138=$B$10,H138=$B$11,H138=$B$12,H138=$B$13,H138=$B$14),SottocategorieUscite[[#Headers],[Fuori Casa]],IF(OR(H138=$C$5,H138=$C$6,H138=$C$7,H138=$C$8,H138=$C$9,H138=$C$10,H138=$C$11,H138=$C$12,H138=$C$13,H138=$C$14),SottocategorieUscite[[#Headers],[Varie Uscite]],IF(OR(H138=$D$5,H138=$D$6,H138=$D$7,H138=$D$8,H138=$D$9,H138=$D$10,H138=$D$11,H138=$D$12,H138=$D$13,H138=$D$14),SottocategorieUscite[[#Headers],[Personali]],IF(OR(H138=$E$5,H138=$E$6,H138=$E$7,H138=$E$8,H138=$E$9,H138=$E$10,H138=$E$11,H138=$E$12,H138=$E$13,H138=$E$14),SottocategorieUscite[[#Headers],[Lavoro]],IF(OR(H138=$F$5,H138=$F$6,H138=$F$7,H138=$F$8,H138=$F$9,H138=$F$10,H138=$F$11,H138=$F$12,H138=$F$13,H138=$F$14),SottocategorieUscite[[#Headers],[Casa]],IF(OR(H138=$G$5,H138=$G$6,H138=$G$7,H138=$G$8,H138=$G$9,H138=$G$10,H138=$G$11,H138=$G$12,H138=$G$13,H138=$G$14),SottocategorieUscite[[#Headers],[Utenze]],IF(OR(H138=$H$5,H138=$H$6,H138=$H$7,H138=$H$8,H138=$H$9,H138=$H$10,H138=$H$11,H138=$H$12,H138=$H$13,H138=$H$14),SottocategorieUscite[[#Headers],[Business Uscite]],IF(OR(H138=$I$5,H138=$I$6,H138=$I$7,H138=$I$8,H138=$I$9,H138=$I$10,H138=$I$11,H138=$I$12,H138=$I$13,H138=$I$14),SottocategorieUscite[[#Headers],[Banca]],IF(OR(H138=K$5,H138=K$6,H138=K$7,H138=K$8,H138=K$9,H138=K$10,H138=K$11,H138=K$12,H138=K$13,H138=K$14),SottocategorieEntrate[[#Headers],[Business Entrate]],IF(OR(H138=L$5,H138=L$6,H138=L$7,H138=L$8,H138=L$9,H138=L$10,H138=L$11,H138=L$12,H138=L$13,H138=L$14),SottocategorieEntrate[[#Headers],[Varie Entrate]],IF(OR(H138=M$5,H138=M$6,H138=M$7,H138=M$8,H138=M$9,H138=M$10,H138=M$11,H138=M$12,H138=M$13,H138=M$14),SottocategorieEntrate[[#Headers],[Real Estate]],IF(OR(H138=N$5,H138=N$6,H138=N$7,H138=N$8,H138=N$9,H138=N$10,H138=N$11,H138=N$12,H138=N$13,H138=N$14),SottocategorieEntrate[[#Headers],[Other]],""))))))))))))</f>
        <v/>
      </c>
      <c r="J138" t="str">
        <f>IF(OR(Dati[[#This Row],[Categoria]]="Bollette",Dati[[#This Row],[Categoria]]="Conto &amp; Carte BNL",Dati[[#This Row],[Categoria]]="Prelievo",Dati[[#This Row],[Categoria]]="Affitto",Dati[[#This Row],[Categoria]]="BNL(Interessi Creditori)"),"Carta",IF(Dati[[#This Row],[Categoria]]&lt;&gt;0,"Cash",""))</f>
        <v/>
      </c>
      <c r="K138" s="59" t="str">
        <f>IF(OR(Data!$I138=SottocategorieUscite[[#Headers],[Fuori Casa]],Data!$I138=SottocategorieUscite[[#Headers],[Varie Uscite]],Data!$I138=SottocategorieUscite[[#Headers],[Personali]],Data!$I138=SottocategorieUscite[[#Headers],[Lavoro]]),"$ -","")</f>
        <v/>
      </c>
      <c r="L138" s="59" t="str">
        <f>IF(OR(Data!$I138=SottocategorieUscite[[#Headers],[Casa]],Data!$I138=SottocategorieUscite[[#Headers],[Utenze]],Data!$I138=SottocategorieUscite[[#Headers],[Business Uscite]],Data!$I138=SottocategorieUscite[[#Headers],[Banca]]),"$ -","")</f>
        <v/>
      </c>
      <c r="M138" s="59" t="str">
        <f>IF(OR($I138&lt;&gt;SottocategorieUscite[[#Headers],[Fuori Casa]],$I138&lt;&gt;SottocategorieUscite[[#Headers],[Varie Uscite]],$I138&lt;&gt;SottocategorieUscite[[#Headers],[Personali]],$I138&lt;&gt;SottocategorieUscite[[#Headers],[Lavoro]],$I138&lt;&gt;SottocategorieUscite[[#Headers],[Casa]],$I138&lt;&gt;SottocategorieUscite[[#Headers],[Utenze]],$I138&lt;&gt;SottocategorieUscite[[#Headers],[Business Uscite]],$I138&lt;&gt;SottocategorieUscite[[#Headers],[Banca]]),"","$ -")</f>
        <v/>
      </c>
      <c r="N138" s="59" t="str">
        <f>IF(OR(Data!$I138=SottocategorieEntrate[[#Headers],[Business Entrate]],Data!$I138=SottocategorieEntrate[[#Headers],[Varie Entrate]]),"$ -","")</f>
        <v/>
      </c>
      <c r="O138" s="59" t="str">
        <f>IF(OR(Data!$I138=SottocategorieEntrate[[#Headers],[Real Estate]],SottocategorieEntrate[[#Headers],[Other]]),"$ -","")</f>
        <v/>
      </c>
      <c r="P138" s="59" t="str">
        <f>IF(OR($I138&lt;&gt;SottocategorieEntrate[[#Headers],[Business Entrate]],$I138&lt;&gt;SottocategorieEntrate[[#Headers],[Varie Entrate]],$I138&lt;&gt;SottocategorieEntrate[[#Headers],[Real Estate]],$I138&lt;&gt;SottocategorieEntrate[[#Headers],[Other]]),"","$ -")</f>
        <v/>
      </c>
      <c r="Q138" s="59" t="str">
        <f>IF(Dati[[#This Row],[Categoria]]="Prelievo","€ -","")</f>
        <v/>
      </c>
      <c r="R138" s="244" t="str">
        <f t="shared" ca="1" si="5"/>
        <v/>
      </c>
      <c r="S138" s="59" t="str">
        <f>IF(Dati[[#This Row],[Categoria]]="Savings",0,"")</f>
        <v/>
      </c>
      <c r="T138" s="59"/>
      <c r="U138" s="59"/>
      <c r="V138" s="59"/>
      <c r="W138" s="59"/>
      <c r="X138" s="59"/>
      <c r="Y138" s="59"/>
      <c r="Z138" s="59"/>
      <c r="AA138" s="59"/>
      <c r="AB138" s="59"/>
      <c r="AC138" s="59"/>
      <c r="AD138" s="59"/>
      <c r="AE138" s="59"/>
      <c r="AF138" s="59"/>
      <c r="AG138" s="59"/>
      <c r="AH138" s="59"/>
      <c r="AI138" s="59" t="str">
        <f>IF(SUM(Dati[[#This Row],[Inv. Business]:[Inv. Cryptocurrency]])=0," ",SUM(Dati[[#This Row],[Inv. Business]:[Inv. Cryptocurrency]]))</f>
        <v xml:space="preserve"> </v>
      </c>
      <c r="AJ138" s="59"/>
      <c r="AK138" s="59" t="str">
        <f>IF(SUM(Dati[[#This Row],[Inv. Gold]:[Mutuo]])=0," ",SUM(Dati[[#This Row],[Inv. Gold]:[Mutuo]]))</f>
        <v xml:space="preserve"> </v>
      </c>
      <c r="AL138" s="59"/>
      <c r="AM138" s="59"/>
    </row>
    <row r="139" spans="2:39" ht="16" customHeight="1" x14ac:dyDescent="0.35">
      <c r="B139">
        <f t="shared" si="3"/>
        <v>119</v>
      </c>
      <c r="C139" s="49">
        <f t="shared" si="4"/>
        <v>45045</v>
      </c>
      <c r="D139" s="29">
        <f>DAY(Dati[[#This Row],[Data]])</f>
        <v>29</v>
      </c>
      <c r="E139" s="29" t="str">
        <f>IF(DAY(Data!$C$21:$C$1327)&gt;0,TEXT(Data!$C$21:$C$1327, "mmmm"),"")</f>
        <v>aprile</v>
      </c>
      <c r="F139" s="29" t="str">
        <f>IF(DAY(Data!$C$21:$C$1327)&gt;0,TEXT(Data!$C$21:$C$1327, "aaaa"),"")</f>
        <v>2023</v>
      </c>
      <c r="I139" t="str">
        <f>IF(OR(H139=$B$5,H139=$B$6,H139=$B$7,H139=$B$8,H139=$B$9,H139=$B$10,H139=$B$11,H139=$B$12,H139=$B$13,H139=$B$14),SottocategorieUscite[[#Headers],[Fuori Casa]],IF(OR(H139=$C$5,H139=$C$6,H139=$C$7,H139=$C$8,H139=$C$9,H139=$C$10,H139=$C$11,H139=$C$12,H139=$C$13,H139=$C$14),SottocategorieUscite[[#Headers],[Varie Uscite]],IF(OR(H139=$D$5,H139=$D$6,H139=$D$7,H139=$D$8,H139=$D$9,H139=$D$10,H139=$D$11,H139=$D$12,H139=$D$13,H139=$D$14),SottocategorieUscite[[#Headers],[Personali]],IF(OR(H139=$E$5,H139=$E$6,H139=$E$7,H139=$E$8,H139=$E$9,H139=$E$10,H139=$E$11,H139=$E$12,H139=$E$13,H139=$E$14),SottocategorieUscite[[#Headers],[Lavoro]],IF(OR(H139=$F$5,H139=$F$6,H139=$F$7,H139=$F$8,H139=$F$9,H139=$F$10,H139=$F$11,H139=$F$12,H139=$F$13,H139=$F$14),SottocategorieUscite[[#Headers],[Casa]],IF(OR(H139=$G$5,H139=$G$6,H139=$G$7,H139=$G$8,H139=$G$9,H139=$G$10,H139=$G$11,H139=$G$12,H139=$G$13,H139=$G$14),SottocategorieUscite[[#Headers],[Utenze]],IF(OR(H139=$H$5,H139=$H$6,H139=$H$7,H139=$H$8,H139=$H$9,H139=$H$10,H139=$H$11,H139=$H$12,H139=$H$13,H139=$H$14),SottocategorieUscite[[#Headers],[Business Uscite]],IF(OR(H139=$I$5,H139=$I$6,H139=$I$7,H139=$I$8,H139=$I$9,H139=$I$10,H139=$I$11,H139=$I$12,H139=$I$13,H139=$I$14),SottocategorieUscite[[#Headers],[Banca]],IF(OR(H139=K$5,H139=K$6,H139=K$7,H139=K$8,H139=K$9,H139=K$10,H139=K$11,H139=K$12,H139=K$13,H139=K$14),SottocategorieEntrate[[#Headers],[Business Entrate]],IF(OR(H139=L$5,H139=L$6,H139=L$7,H139=L$8,H139=L$9,H139=L$10,H139=L$11,H139=L$12,H139=L$13,H139=L$14),SottocategorieEntrate[[#Headers],[Varie Entrate]],IF(OR(H139=M$5,H139=M$6,H139=M$7,H139=M$8,H139=M$9,H139=M$10,H139=M$11,H139=M$12,H139=M$13,H139=M$14),SottocategorieEntrate[[#Headers],[Real Estate]],IF(OR(H139=N$5,H139=N$6,H139=N$7,H139=N$8,H139=N$9,H139=N$10,H139=N$11,H139=N$12,H139=N$13,H139=N$14),SottocategorieEntrate[[#Headers],[Other]],""))))))))))))</f>
        <v/>
      </c>
      <c r="J139" t="str">
        <f>IF(OR(Dati[[#This Row],[Categoria]]="Bollette",Dati[[#This Row],[Categoria]]="Conto &amp; Carte BNL",Dati[[#This Row],[Categoria]]="Prelievo",Dati[[#This Row],[Categoria]]="Affitto",Dati[[#This Row],[Categoria]]="BNL(Interessi Creditori)"),"Carta",IF(Dati[[#This Row],[Categoria]]&lt;&gt;0,"Cash",""))</f>
        <v/>
      </c>
      <c r="K139" s="59" t="str">
        <f>IF(OR(Data!$I139=SottocategorieUscite[[#Headers],[Fuori Casa]],Data!$I139=SottocategorieUscite[[#Headers],[Varie Uscite]],Data!$I139=SottocategorieUscite[[#Headers],[Personali]],Data!$I139=SottocategorieUscite[[#Headers],[Lavoro]]),"$ -","")</f>
        <v/>
      </c>
      <c r="L139" s="59" t="str">
        <f>IF(OR(Data!$I139=SottocategorieUscite[[#Headers],[Casa]],Data!$I139=SottocategorieUscite[[#Headers],[Utenze]],Data!$I139=SottocategorieUscite[[#Headers],[Business Uscite]],Data!$I139=SottocategorieUscite[[#Headers],[Banca]]),"$ -","")</f>
        <v/>
      </c>
      <c r="M139" s="59" t="str">
        <f>IF(OR($I139&lt;&gt;SottocategorieUscite[[#Headers],[Fuori Casa]],$I139&lt;&gt;SottocategorieUscite[[#Headers],[Varie Uscite]],$I139&lt;&gt;SottocategorieUscite[[#Headers],[Personali]],$I139&lt;&gt;SottocategorieUscite[[#Headers],[Lavoro]],$I139&lt;&gt;SottocategorieUscite[[#Headers],[Casa]],$I139&lt;&gt;SottocategorieUscite[[#Headers],[Utenze]],$I139&lt;&gt;SottocategorieUscite[[#Headers],[Business Uscite]],$I139&lt;&gt;SottocategorieUscite[[#Headers],[Banca]]),"","$ -")</f>
        <v/>
      </c>
      <c r="N139" s="59" t="str">
        <f>IF(OR(Data!$I139=SottocategorieEntrate[[#Headers],[Business Entrate]],Data!$I139=SottocategorieEntrate[[#Headers],[Varie Entrate]]),"$ -","")</f>
        <v/>
      </c>
      <c r="O139" s="59" t="str">
        <f>IF(OR(Data!$I139=SottocategorieEntrate[[#Headers],[Real Estate]],SottocategorieEntrate[[#Headers],[Other]]),"$ -","")</f>
        <v/>
      </c>
      <c r="P139" s="59" t="str">
        <f>IF(OR($I139&lt;&gt;SottocategorieEntrate[[#Headers],[Business Entrate]],$I139&lt;&gt;SottocategorieEntrate[[#Headers],[Varie Entrate]],$I139&lt;&gt;SottocategorieEntrate[[#Headers],[Real Estate]],$I139&lt;&gt;SottocategorieEntrate[[#Headers],[Other]]),"","$ -")</f>
        <v/>
      </c>
      <c r="Q139" s="59" t="str">
        <f>IF(Dati[[#This Row],[Categoria]]="Prelievo","€ -","")</f>
        <v/>
      </c>
      <c r="R139" s="244" t="str">
        <f t="shared" ca="1" si="5"/>
        <v/>
      </c>
      <c r="S139" s="59" t="str">
        <f>IF(Dati[[#This Row],[Categoria]]="Savings",0,"")</f>
        <v/>
      </c>
      <c r="T139" s="59"/>
      <c r="U139" s="59"/>
      <c r="V139" s="59"/>
      <c r="W139" s="59"/>
      <c r="X139" s="59"/>
      <c r="Y139" s="59"/>
      <c r="Z139" s="59"/>
      <c r="AA139" s="59"/>
      <c r="AB139" s="59"/>
      <c r="AC139" s="59"/>
      <c r="AD139" s="59"/>
      <c r="AE139" s="59"/>
      <c r="AF139" s="59"/>
      <c r="AG139" s="59"/>
      <c r="AH139" s="59"/>
      <c r="AI139" s="59" t="str">
        <f>IF(SUM(Dati[[#This Row],[Inv. Business]:[Inv. Cryptocurrency]])=0," ",SUM(Dati[[#This Row],[Inv. Business]:[Inv. Cryptocurrency]]))</f>
        <v xml:space="preserve"> </v>
      </c>
      <c r="AJ139" s="59"/>
      <c r="AK139" s="59" t="str">
        <f>IF(SUM(Dati[[#This Row],[Inv. Gold]:[Mutuo]])=0," ",SUM(Dati[[#This Row],[Inv. Gold]:[Mutuo]]))</f>
        <v xml:space="preserve"> </v>
      </c>
      <c r="AL139" s="59"/>
      <c r="AM139" s="59"/>
    </row>
    <row r="140" spans="2:39" ht="16" customHeight="1" x14ac:dyDescent="0.35">
      <c r="B140">
        <f t="shared" si="3"/>
        <v>120</v>
      </c>
      <c r="C140" s="49">
        <f t="shared" si="4"/>
        <v>45046</v>
      </c>
      <c r="D140" s="29">
        <f>DAY(Dati[[#This Row],[Data]])</f>
        <v>30</v>
      </c>
      <c r="E140" s="29" t="str">
        <f>IF(DAY(Data!$C$21:$C$1327)&gt;0,TEXT(Data!$C$21:$C$1327, "mmmm"),"")</f>
        <v>aprile</v>
      </c>
      <c r="F140" s="29" t="str">
        <f>IF(DAY(Data!$C$21:$C$1327)&gt;0,TEXT(Data!$C$21:$C$1327, "aaaa"),"")</f>
        <v>2023</v>
      </c>
      <c r="I140" t="str">
        <f>IF(OR(H140=$B$5,H140=$B$6,H140=$B$7,H140=$B$8,H140=$B$9,H140=$B$10,H140=$B$11,H140=$B$12,H140=$B$13,H140=$B$14),SottocategorieUscite[[#Headers],[Fuori Casa]],IF(OR(H140=$C$5,H140=$C$6,H140=$C$7,H140=$C$8,H140=$C$9,H140=$C$10,H140=$C$11,H140=$C$12,H140=$C$13,H140=$C$14),SottocategorieUscite[[#Headers],[Varie Uscite]],IF(OR(H140=$D$5,H140=$D$6,H140=$D$7,H140=$D$8,H140=$D$9,H140=$D$10,H140=$D$11,H140=$D$12,H140=$D$13,H140=$D$14),SottocategorieUscite[[#Headers],[Personali]],IF(OR(H140=$E$5,H140=$E$6,H140=$E$7,H140=$E$8,H140=$E$9,H140=$E$10,H140=$E$11,H140=$E$12,H140=$E$13,H140=$E$14),SottocategorieUscite[[#Headers],[Lavoro]],IF(OR(H140=$F$5,H140=$F$6,H140=$F$7,H140=$F$8,H140=$F$9,H140=$F$10,H140=$F$11,H140=$F$12,H140=$F$13,H140=$F$14),SottocategorieUscite[[#Headers],[Casa]],IF(OR(H140=$G$5,H140=$G$6,H140=$G$7,H140=$G$8,H140=$G$9,H140=$G$10,H140=$G$11,H140=$G$12,H140=$G$13,H140=$G$14),SottocategorieUscite[[#Headers],[Utenze]],IF(OR(H140=$H$5,H140=$H$6,H140=$H$7,H140=$H$8,H140=$H$9,H140=$H$10,H140=$H$11,H140=$H$12,H140=$H$13,H140=$H$14),SottocategorieUscite[[#Headers],[Business Uscite]],IF(OR(H140=$I$5,H140=$I$6,H140=$I$7,H140=$I$8,H140=$I$9,H140=$I$10,H140=$I$11,H140=$I$12,H140=$I$13,H140=$I$14),SottocategorieUscite[[#Headers],[Banca]],IF(OR(H140=K$5,H140=K$6,H140=K$7,H140=K$8,H140=K$9,H140=K$10,H140=K$11,H140=K$12,H140=K$13,H140=K$14),SottocategorieEntrate[[#Headers],[Business Entrate]],IF(OR(H140=L$5,H140=L$6,H140=L$7,H140=L$8,H140=L$9,H140=L$10,H140=L$11,H140=L$12,H140=L$13,H140=L$14),SottocategorieEntrate[[#Headers],[Varie Entrate]],IF(OR(H140=M$5,H140=M$6,H140=M$7,H140=M$8,H140=M$9,H140=M$10,H140=M$11,H140=M$12,H140=M$13,H140=M$14),SottocategorieEntrate[[#Headers],[Real Estate]],IF(OR(H140=N$5,H140=N$6,H140=N$7,H140=N$8,H140=N$9,H140=N$10,H140=N$11,H140=N$12,H140=N$13,H140=N$14),SottocategorieEntrate[[#Headers],[Other]],""))))))))))))</f>
        <v/>
      </c>
      <c r="J140" t="str">
        <f>IF(OR(Dati[[#This Row],[Categoria]]="Bollette",Dati[[#This Row],[Categoria]]="Conto &amp; Carte BNL",Dati[[#This Row],[Categoria]]="Prelievo",Dati[[#This Row],[Categoria]]="Affitto",Dati[[#This Row],[Categoria]]="BNL(Interessi Creditori)"),"Carta",IF(Dati[[#This Row],[Categoria]]&lt;&gt;0,"Cash",""))</f>
        <v/>
      </c>
      <c r="K140" s="59" t="str">
        <f>IF(OR(Data!$I140=SottocategorieUscite[[#Headers],[Fuori Casa]],Data!$I140=SottocategorieUscite[[#Headers],[Varie Uscite]],Data!$I140=SottocategorieUscite[[#Headers],[Personali]],Data!$I140=SottocategorieUscite[[#Headers],[Lavoro]]),"$ -","")</f>
        <v/>
      </c>
      <c r="L140" s="59" t="str">
        <f>IF(OR(Data!$I140=SottocategorieUscite[[#Headers],[Casa]],Data!$I140=SottocategorieUscite[[#Headers],[Utenze]],Data!$I140=SottocategorieUscite[[#Headers],[Business Uscite]],Data!$I140=SottocategorieUscite[[#Headers],[Banca]]),"$ -","")</f>
        <v/>
      </c>
      <c r="M140" s="59" t="str">
        <f>IF(OR($I140&lt;&gt;SottocategorieUscite[[#Headers],[Fuori Casa]],$I140&lt;&gt;SottocategorieUscite[[#Headers],[Varie Uscite]],$I140&lt;&gt;SottocategorieUscite[[#Headers],[Personali]],$I140&lt;&gt;SottocategorieUscite[[#Headers],[Lavoro]],$I140&lt;&gt;SottocategorieUscite[[#Headers],[Casa]],$I140&lt;&gt;SottocategorieUscite[[#Headers],[Utenze]],$I140&lt;&gt;SottocategorieUscite[[#Headers],[Business Uscite]],$I140&lt;&gt;SottocategorieUscite[[#Headers],[Banca]]),"","$ -")</f>
        <v/>
      </c>
      <c r="N140" s="59" t="str">
        <f>IF(OR(Data!$I140=SottocategorieEntrate[[#Headers],[Business Entrate]],Data!$I140=SottocategorieEntrate[[#Headers],[Varie Entrate]]),"$ -","")</f>
        <v/>
      </c>
      <c r="O140" s="59" t="str">
        <f>IF(OR(Data!$I140=SottocategorieEntrate[[#Headers],[Real Estate]],SottocategorieEntrate[[#Headers],[Other]]),"$ -","")</f>
        <v/>
      </c>
      <c r="P140" s="59" t="str">
        <f>IF(OR($I140&lt;&gt;SottocategorieEntrate[[#Headers],[Business Entrate]],$I140&lt;&gt;SottocategorieEntrate[[#Headers],[Varie Entrate]],$I140&lt;&gt;SottocategorieEntrate[[#Headers],[Real Estate]],$I140&lt;&gt;SottocategorieEntrate[[#Headers],[Other]]),"","$ -")</f>
        <v/>
      </c>
      <c r="Q140" s="59" t="str">
        <f>IF(Dati[[#This Row],[Categoria]]="Prelievo","€ -","")</f>
        <v/>
      </c>
      <c r="R140" s="244" t="str">
        <f t="shared" ca="1" si="5"/>
        <v/>
      </c>
      <c r="S140" s="59" t="str">
        <f>IF(Dati[[#This Row],[Categoria]]="Savings",0,"")</f>
        <v/>
      </c>
      <c r="T140" s="59"/>
      <c r="U140" s="59"/>
      <c r="V140" s="59"/>
      <c r="W140" s="59"/>
      <c r="X140" s="59"/>
      <c r="Y140" s="59"/>
      <c r="Z140" s="59"/>
      <c r="AA140" s="59"/>
      <c r="AB140" s="59"/>
      <c r="AC140" s="59"/>
      <c r="AD140" s="59"/>
      <c r="AE140" s="59"/>
      <c r="AF140" s="59"/>
      <c r="AG140" s="59"/>
      <c r="AH140" s="59"/>
      <c r="AI140" s="59" t="str">
        <f>IF(SUM(Dati[[#This Row],[Inv. Business]:[Inv. Cryptocurrency]])=0," ",SUM(Dati[[#This Row],[Inv. Business]:[Inv. Cryptocurrency]]))</f>
        <v xml:space="preserve"> </v>
      </c>
      <c r="AJ140" s="59"/>
      <c r="AK140" s="59" t="str">
        <f>IF(SUM(Dati[[#This Row],[Inv. Gold]:[Mutuo]])=0," ",SUM(Dati[[#This Row],[Inv. Gold]:[Mutuo]]))</f>
        <v xml:space="preserve"> </v>
      </c>
      <c r="AL140" s="59"/>
      <c r="AM140" s="59"/>
    </row>
    <row r="141" spans="2:39" ht="16" customHeight="1" x14ac:dyDescent="0.35">
      <c r="B141">
        <f t="shared" si="3"/>
        <v>121</v>
      </c>
      <c r="C141" s="49">
        <f t="shared" si="4"/>
        <v>45047</v>
      </c>
      <c r="D141" s="29">
        <f>DAY(Dati[[#This Row],[Data]])</f>
        <v>1</v>
      </c>
      <c r="E141" s="29" t="str">
        <f>IF(DAY(Data!$C$21:$C$1327)&gt;0,TEXT(Data!$C$21:$C$1327, "mmmm"),"")</f>
        <v>maggio</v>
      </c>
      <c r="F141" s="29" t="str">
        <f>IF(DAY(Data!$C$21:$C$1327)&gt;0,TEXT(Data!$C$21:$C$1327, "aaaa"),"")</f>
        <v>2023</v>
      </c>
      <c r="I141" t="str">
        <f>IF(OR(H141=$B$5,H141=$B$6,H141=$B$7,H141=$B$8,H141=$B$9,H141=$B$10,H141=$B$11,H141=$B$12,H141=$B$13,H141=$B$14),SottocategorieUscite[[#Headers],[Fuori Casa]],IF(OR(H141=$C$5,H141=$C$6,H141=$C$7,H141=$C$8,H141=$C$9,H141=$C$10,H141=$C$11,H141=$C$12,H141=$C$13,H141=$C$14),SottocategorieUscite[[#Headers],[Varie Uscite]],IF(OR(H141=$D$5,H141=$D$6,H141=$D$7,H141=$D$8,H141=$D$9,H141=$D$10,H141=$D$11,H141=$D$12,H141=$D$13,H141=$D$14),SottocategorieUscite[[#Headers],[Personali]],IF(OR(H141=$E$5,H141=$E$6,H141=$E$7,H141=$E$8,H141=$E$9,H141=$E$10,H141=$E$11,H141=$E$12,H141=$E$13,H141=$E$14),SottocategorieUscite[[#Headers],[Lavoro]],IF(OR(H141=$F$5,H141=$F$6,H141=$F$7,H141=$F$8,H141=$F$9,H141=$F$10,H141=$F$11,H141=$F$12,H141=$F$13,H141=$F$14),SottocategorieUscite[[#Headers],[Casa]],IF(OR(H141=$G$5,H141=$G$6,H141=$G$7,H141=$G$8,H141=$G$9,H141=$G$10,H141=$G$11,H141=$G$12,H141=$G$13,H141=$G$14),SottocategorieUscite[[#Headers],[Utenze]],IF(OR(H141=$H$5,H141=$H$6,H141=$H$7,H141=$H$8,H141=$H$9,H141=$H$10,H141=$H$11,H141=$H$12,H141=$H$13,H141=$H$14),SottocategorieUscite[[#Headers],[Business Uscite]],IF(OR(H141=$I$5,H141=$I$6,H141=$I$7,H141=$I$8,H141=$I$9,H141=$I$10,H141=$I$11,H141=$I$12,H141=$I$13,H141=$I$14),SottocategorieUscite[[#Headers],[Banca]],IF(OR(H141=K$5,H141=K$6,H141=K$7,H141=K$8,H141=K$9,H141=K$10,H141=K$11,H141=K$12,H141=K$13,H141=K$14),SottocategorieEntrate[[#Headers],[Business Entrate]],IF(OR(H141=L$5,H141=L$6,H141=L$7,H141=L$8,H141=L$9,H141=L$10,H141=L$11,H141=L$12,H141=L$13,H141=L$14),SottocategorieEntrate[[#Headers],[Varie Entrate]],IF(OR(H141=M$5,H141=M$6,H141=M$7,H141=M$8,H141=M$9,H141=M$10,H141=M$11,H141=M$12,H141=M$13,H141=M$14),SottocategorieEntrate[[#Headers],[Real Estate]],IF(OR(H141=N$5,H141=N$6,H141=N$7,H141=N$8,H141=N$9,H141=N$10,H141=N$11,H141=N$12,H141=N$13,H141=N$14),SottocategorieEntrate[[#Headers],[Other]],""))))))))))))</f>
        <v/>
      </c>
      <c r="J141" t="str">
        <f>IF(OR(Dati[[#This Row],[Categoria]]="Bollette",Dati[[#This Row],[Categoria]]="Conto &amp; Carte BNL",Dati[[#This Row],[Categoria]]="Prelievo",Dati[[#This Row],[Categoria]]="Affitto",Dati[[#This Row],[Categoria]]="BNL(Interessi Creditori)"),"Carta",IF(Dati[[#This Row],[Categoria]]&lt;&gt;0,"Cash",""))</f>
        <v/>
      </c>
      <c r="K141" s="59" t="str">
        <f>IF(OR(Data!$I141=SottocategorieUscite[[#Headers],[Fuori Casa]],Data!$I141=SottocategorieUscite[[#Headers],[Varie Uscite]],Data!$I141=SottocategorieUscite[[#Headers],[Personali]],Data!$I141=SottocategorieUscite[[#Headers],[Lavoro]]),"$ -","")</f>
        <v/>
      </c>
      <c r="L141" s="59" t="str">
        <f>IF(OR(Data!$I141=SottocategorieUscite[[#Headers],[Casa]],Data!$I141=SottocategorieUscite[[#Headers],[Utenze]],Data!$I141=SottocategorieUscite[[#Headers],[Business Uscite]],Data!$I141=SottocategorieUscite[[#Headers],[Banca]]),"$ -","")</f>
        <v/>
      </c>
      <c r="M141" s="59" t="str">
        <f>IF(OR($I141&lt;&gt;SottocategorieUscite[[#Headers],[Fuori Casa]],$I141&lt;&gt;SottocategorieUscite[[#Headers],[Varie Uscite]],$I141&lt;&gt;SottocategorieUscite[[#Headers],[Personali]],$I141&lt;&gt;SottocategorieUscite[[#Headers],[Lavoro]],$I141&lt;&gt;SottocategorieUscite[[#Headers],[Casa]],$I141&lt;&gt;SottocategorieUscite[[#Headers],[Utenze]],$I141&lt;&gt;SottocategorieUscite[[#Headers],[Business Uscite]],$I141&lt;&gt;SottocategorieUscite[[#Headers],[Banca]]),"","$ -")</f>
        <v/>
      </c>
      <c r="N141" s="59" t="str">
        <f>IF(OR(Data!$I141=SottocategorieEntrate[[#Headers],[Business Entrate]],Data!$I141=SottocategorieEntrate[[#Headers],[Varie Entrate]]),"$ -","")</f>
        <v/>
      </c>
      <c r="O141" s="59" t="str">
        <f>IF(OR(Data!$I141=SottocategorieEntrate[[#Headers],[Real Estate]],SottocategorieEntrate[[#Headers],[Other]]),"$ -","")</f>
        <v/>
      </c>
      <c r="P141" s="59" t="str">
        <f>IF(OR($I141&lt;&gt;SottocategorieEntrate[[#Headers],[Business Entrate]],$I141&lt;&gt;SottocategorieEntrate[[#Headers],[Varie Entrate]],$I141&lt;&gt;SottocategorieEntrate[[#Headers],[Real Estate]],$I141&lt;&gt;SottocategorieEntrate[[#Headers],[Other]]),"","$ -")</f>
        <v/>
      </c>
      <c r="Q141" s="59" t="str">
        <f>IF(Dati[[#This Row],[Categoria]]="Prelievo","€ -","")</f>
        <v/>
      </c>
      <c r="R141" s="244" t="str">
        <f t="shared" ca="1" si="5"/>
        <v/>
      </c>
      <c r="S141" s="59" t="str">
        <f>IF(Dati[[#This Row],[Categoria]]="Savings",0,"")</f>
        <v/>
      </c>
      <c r="T141" s="59"/>
      <c r="U141" s="59"/>
      <c r="V141" s="59"/>
      <c r="W141" s="59"/>
      <c r="X141" s="59"/>
      <c r="Y141" s="59"/>
      <c r="Z141" s="59"/>
      <c r="AA141" s="59"/>
      <c r="AB141" s="59"/>
      <c r="AC141" s="59"/>
      <c r="AD141" s="59"/>
      <c r="AE141" s="59"/>
      <c r="AF141" s="59"/>
      <c r="AG141" s="59"/>
      <c r="AH141" s="59"/>
      <c r="AI141" s="59" t="str">
        <f>IF(SUM(Dati[[#This Row],[Inv. Business]:[Inv. Cryptocurrency]])=0," ",SUM(Dati[[#This Row],[Inv. Business]:[Inv. Cryptocurrency]]))</f>
        <v xml:space="preserve"> </v>
      </c>
      <c r="AJ141" s="59"/>
      <c r="AK141" s="59" t="str">
        <f>IF(SUM(Dati[[#This Row],[Inv. Gold]:[Mutuo]])=0," ",SUM(Dati[[#This Row],[Inv. Gold]:[Mutuo]]))</f>
        <v xml:space="preserve"> </v>
      </c>
      <c r="AL141" s="59"/>
      <c r="AM141" s="59"/>
    </row>
    <row r="142" spans="2:39" ht="16" customHeight="1" x14ac:dyDescent="0.35">
      <c r="B142">
        <f t="shared" si="3"/>
        <v>122</v>
      </c>
      <c r="C142" s="49">
        <f t="shared" si="4"/>
        <v>45048</v>
      </c>
      <c r="D142" s="29">
        <f>DAY(Dati[[#This Row],[Data]])</f>
        <v>2</v>
      </c>
      <c r="E142" s="29" t="str">
        <f>IF(DAY(Data!$C$21:$C$1327)&gt;0,TEXT(Data!$C$21:$C$1327, "mmmm"),"")</f>
        <v>maggio</v>
      </c>
      <c r="F142" s="29" t="str">
        <f>IF(DAY(Data!$C$21:$C$1327)&gt;0,TEXT(Data!$C$21:$C$1327, "aaaa"),"")</f>
        <v>2023</v>
      </c>
      <c r="I142" t="str">
        <f>IF(OR(H142=$B$5,H142=$B$6,H142=$B$7,H142=$B$8,H142=$B$9,H142=$B$10,H142=$B$11,H142=$B$12,H142=$B$13,H142=$B$14),SottocategorieUscite[[#Headers],[Fuori Casa]],IF(OR(H142=$C$5,H142=$C$6,H142=$C$7,H142=$C$8,H142=$C$9,H142=$C$10,H142=$C$11,H142=$C$12,H142=$C$13,H142=$C$14),SottocategorieUscite[[#Headers],[Varie Uscite]],IF(OR(H142=$D$5,H142=$D$6,H142=$D$7,H142=$D$8,H142=$D$9,H142=$D$10,H142=$D$11,H142=$D$12,H142=$D$13,H142=$D$14),SottocategorieUscite[[#Headers],[Personali]],IF(OR(H142=$E$5,H142=$E$6,H142=$E$7,H142=$E$8,H142=$E$9,H142=$E$10,H142=$E$11,H142=$E$12,H142=$E$13,H142=$E$14),SottocategorieUscite[[#Headers],[Lavoro]],IF(OR(H142=$F$5,H142=$F$6,H142=$F$7,H142=$F$8,H142=$F$9,H142=$F$10,H142=$F$11,H142=$F$12,H142=$F$13,H142=$F$14),SottocategorieUscite[[#Headers],[Casa]],IF(OR(H142=$G$5,H142=$G$6,H142=$G$7,H142=$G$8,H142=$G$9,H142=$G$10,H142=$G$11,H142=$G$12,H142=$G$13,H142=$G$14),SottocategorieUscite[[#Headers],[Utenze]],IF(OR(H142=$H$5,H142=$H$6,H142=$H$7,H142=$H$8,H142=$H$9,H142=$H$10,H142=$H$11,H142=$H$12,H142=$H$13,H142=$H$14),SottocategorieUscite[[#Headers],[Business Uscite]],IF(OR(H142=$I$5,H142=$I$6,H142=$I$7,H142=$I$8,H142=$I$9,H142=$I$10,H142=$I$11,H142=$I$12,H142=$I$13,H142=$I$14),SottocategorieUscite[[#Headers],[Banca]],IF(OR(H142=K$5,H142=K$6,H142=K$7,H142=K$8,H142=K$9,H142=K$10,H142=K$11,H142=K$12,H142=K$13,H142=K$14),SottocategorieEntrate[[#Headers],[Business Entrate]],IF(OR(H142=L$5,H142=L$6,H142=L$7,H142=L$8,H142=L$9,H142=L$10,H142=L$11,H142=L$12,H142=L$13,H142=L$14),SottocategorieEntrate[[#Headers],[Varie Entrate]],IF(OR(H142=M$5,H142=M$6,H142=M$7,H142=M$8,H142=M$9,H142=M$10,H142=M$11,H142=M$12,H142=M$13,H142=M$14),SottocategorieEntrate[[#Headers],[Real Estate]],IF(OR(H142=N$5,H142=N$6,H142=N$7,H142=N$8,H142=N$9,H142=N$10,H142=N$11,H142=N$12,H142=N$13,H142=N$14),SottocategorieEntrate[[#Headers],[Other]],""))))))))))))</f>
        <v/>
      </c>
      <c r="J142" t="str">
        <f>IF(OR(Dati[[#This Row],[Categoria]]="Bollette",Dati[[#This Row],[Categoria]]="Conto &amp; Carte BNL",Dati[[#This Row],[Categoria]]="Prelievo",Dati[[#This Row],[Categoria]]="Affitto",Dati[[#This Row],[Categoria]]="BNL(Interessi Creditori)"),"Carta",IF(Dati[[#This Row],[Categoria]]&lt;&gt;0,"Cash",""))</f>
        <v/>
      </c>
      <c r="K142" s="59" t="str">
        <f>IF(OR(Data!$I142=SottocategorieUscite[[#Headers],[Fuori Casa]],Data!$I142=SottocategorieUscite[[#Headers],[Varie Uscite]],Data!$I142=SottocategorieUscite[[#Headers],[Personali]],Data!$I142=SottocategorieUscite[[#Headers],[Lavoro]]),"$ -","")</f>
        <v/>
      </c>
      <c r="L142" s="59" t="str">
        <f>IF(OR(Data!$I142=SottocategorieUscite[[#Headers],[Casa]],Data!$I142=SottocategorieUscite[[#Headers],[Utenze]],Data!$I142=SottocategorieUscite[[#Headers],[Business Uscite]],Data!$I142=SottocategorieUscite[[#Headers],[Banca]]),"$ -","")</f>
        <v/>
      </c>
      <c r="M142" s="59" t="str">
        <f>IF(OR($I142&lt;&gt;SottocategorieUscite[[#Headers],[Fuori Casa]],$I142&lt;&gt;SottocategorieUscite[[#Headers],[Varie Uscite]],$I142&lt;&gt;SottocategorieUscite[[#Headers],[Personali]],$I142&lt;&gt;SottocategorieUscite[[#Headers],[Lavoro]],$I142&lt;&gt;SottocategorieUscite[[#Headers],[Casa]],$I142&lt;&gt;SottocategorieUscite[[#Headers],[Utenze]],$I142&lt;&gt;SottocategorieUscite[[#Headers],[Business Uscite]],$I142&lt;&gt;SottocategorieUscite[[#Headers],[Banca]]),"","$ -")</f>
        <v/>
      </c>
      <c r="N142" s="59" t="str">
        <f>IF(OR(Data!$I142=SottocategorieEntrate[[#Headers],[Business Entrate]],Data!$I142=SottocategorieEntrate[[#Headers],[Varie Entrate]]),"$ -","")</f>
        <v/>
      </c>
      <c r="O142" s="59" t="str">
        <f>IF(OR(Data!$I142=SottocategorieEntrate[[#Headers],[Real Estate]],SottocategorieEntrate[[#Headers],[Other]]),"$ -","")</f>
        <v/>
      </c>
      <c r="P142" s="59" t="str">
        <f>IF(OR($I142&lt;&gt;SottocategorieEntrate[[#Headers],[Business Entrate]],$I142&lt;&gt;SottocategorieEntrate[[#Headers],[Varie Entrate]],$I142&lt;&gt;SottocategorieEntrate[[#Headers],[Real Estate]],$I142&lt;&gt;SottocategorieEntrate[[#Headers],[Other]]),"","$ -")</f>
        <v/>
      </c>
      <c r="Q142" s="59" t="str">
        <f>IF(Dati[[#This Row],[Categoria]]="Prelievo","€ -","")</f>
        <v/>
      </c>
      <c r="R142" s="244" t="str">
        <f t="shared" ca="1" si="5"/>
        <v/>
      </c>
      <c r="S142" s="59" t="str">
        <f>IF(Dati[[#This Row],[Categoria]]="Savings",0,"")</f>
        <v/>
      </c>
      <c r="T142" s="59"/>
      <c r="U142" s="59"/>
      <c r="V142" s="59"/>
      <c r="W142" s="59"/>
      <c r="X142" s="59"/>
      <c r="Y142" s="59"/>
      <c r="Z142" s="59"/>
      <c r="AA142" s="59"/>
      <c r="AB142" s="59"/>
      <c r="AC142" s="59"/>
      <c r="AD142" s="59"/>
      <c r="AE142" s="59"/>
      <c r="AF142" s="59"/>
      <c r="AG142" s="59"/>
      <c r="AH142" s="59"/>
      <c r="AI142" s="59" t="str">
        <f>IF(SUM(Dati[[#This Row],[Inv. Business]:[Inv. Cryptocurrency]])=0," ",SUM(Dati[[#This Row],[Inv. Business]:[Inv. Cryptocurrency]]))</f>
        <v xml:space="preserve"> </v>
      </c>
      <c r="AJ142" s="59"/>
      <c r="AK142" s="59" t="str">
        <f>IF(SUM(Dati[[#This Row],[Inv. Gold]:[Mutuo]])=0," ",SUM(Dati[[#This Row],[Inv. Gold]:[Mutuo]]))</f>
        <v xml:space="preserve"> </v>
      </c>
      <c r="AL142" s="59"/>
      <c r="AM142" s="59"/>
    </row>
    <row r="143" spans="2:39" ht="16" customHeight="1" x14ac:dyDescent="0.35">
      <c r="B143">
        <f t="shared" si="3"/>
        <v>123</v>
      </c>
      <c r="C143" s="49">
        <f t="shared" si="4"/>
        <v>45049</v>
      </c>
      <c r="D143" s="29">
        <f>DAY(Dati[[#This Row],[Data]])</f>
        <v>3</v>
      </c>
      <c r="E143" s="29" t="str">
        <f>IF(DAY(Data!$C$21:$C$1327)&gt;0,TEXT(Data!$C$21:$C$1327, "mmmm"),"")</f>
        <v>maggio</v>
      </c>
      <c r="F143" s="29" t="str">
        <f>IF(DAY(Data!$C$21:$C$1327)&gt;0,TEXT(Data!$C$21:$C$1327, "aaaa"),"")</f>
        <v>2023</v>
      </c>
      <c r="I143" t="str">
        <f>IF(OR(H143=$B$5,H143=$B$6,H143=$B$7,H143=$B$8,H143=$B$9,H143=$B$10,H143=$B$11,H143=$B$12,H143=$B$13,H143=$B$14),SottocategorieUscite[[#Headers],[Fuori Casa]],IF(OR(H143=$C$5,H143=$C$6,H143=$C$7,H143=$C$8,H143=$C$9,H143=$C$10,H143=$C$11,H143=$C$12,H143=$C$13,H143=$C$14),SottocategorieUscite[[#Headers],[Varie Uscite]],IF(OR(H143=$D$5,H143=$D$6,H143=$D$7,H143=$D$8,H143=$D$9,H143=$D$10,H143=$D$11,H143=$D$12,H143=$D$13,H143=$D$14),SottocategorieUscite[[#Headers],[Personali]],IF(OR(H143=$E$5,H143=$E$6,H143=$E$7,H143=$E$8,H143=$E$9,H143=$E$10,H143=$E$11,H143=$E$12,H143=$E$13,H143=$E$14),SottocategorieUscite[[#Headers],[Lavoro]],IF(OR(H143=$F$5,H143=$F$6,H143=$F$7,H143=$F$8,H143=$F$9,H143=$F$10,H143=$F$11,H143=$F$12,H143=$F$13,H143=$F$14),SottocategorieUscite[[#Headers],[Casa]],IF(OR(H143=$G$5,H143=$G$6,H143=$G$7,H143=$G$8,H143=$G$9,H143=$G$10,H143=$G$11,H143=$G$12,H143=$G$13,H143=$G$14),SottocategorieUscite[[#Headers],[Utenze]],IF(OR(H143=$H$5,H143=$H$6,H143=$H$7,H143=$H$8,H143=$H$9,H143=$H$10,H143=$H$11,H143=$H$12,H143=$H$13,H143=$H$14),SottocategorieUscite[[#Headers],[Business Uscite]],IF(OR(H143=$I$5,H143=$I$6,H143=$I$7,H143=$I$8,H143=$I$9,H143=$I$10,H143=$I$11,H143=$I$12,H143=$I$13,H143=$I$14),SottocategorieUscite[[#Headers],[Banca]],IF(OR(H143=K$5,H143=K$6,H143=K$7,H143=K$8,H143=K$9,H143=K$10,H143=K$11,H143=K$12,H143=K$13,H143=K$14),SottocategorieEntrate[[#Headers],[Business Entrate]],IF(OR(H143=L$5,H143=L$6,H143=L$7,H143=L$8,H143=L$9,H143=L$10,H143=L$11,H143=L$12,H143=L$13,H143=L$14),SottocategorieEntrate[[#Headers],[Varie Entrate]],IF(OR(H143=M$5,H143=M$6,H143=M$7,H143=M$8,H143=M$9,H143=M$10,H143=M$11,H143=M$12,H143=M$13,H143=M$14),SottocategorieEntrate[[#Headers],[Real Estate]],IF(OR(H143=N$5,H143=N$6,H143=N$7,H143=N$8,H143=N$9,H143=N$10,H143=N$11,H143=N$12,H143=N$13,H143=N$14),SottocategorieEntrate[[#Headers],[Other]],""))))))))))))</f>
        <v/>
      </c>
      <c r="J143" t="str">
        <f>IF(OR(Dati[[#This Row],[Categoria]]="Bollette",Dati[[#This Row],[Categoria]]="Conto &amp; Carte BNL",Dati[[#This Row],[Categoria]]="Prelievo",Dati[[#This Row],[Categoria]]="Affitto",Dati[[#This Row],[Categoria]]="BNL(Interessi Creditori)"),"Carta",IF(Dati[[#This Row],[Categoria]]&lt;&gt;0,"Cash",""))</f>
        <v/>
      </c>
      <c r="K143" s="59" t="str">
        <f>IF(OR(Data!$I143=SottocategorieUscite[[#Headers],[Fuori Casa]],Data!$I143=SottocategorieUscite[[#Headers],[Varie Uscite]],Data!$I143=SottocategorieUscite[[#Headers],[Personali]],Data!$I143=SottocategorieUscite[[#Headers],[Lavoro]]),"$ -","")</f>
        <v/>
      </c>
      <c r="L143" s="59" t="str">
        <f>IF(OR(Data!$I143=SottocategorieUscite[[#Headers],[Casa]],Data!$I143=SottocategorieUscite[[#Headers],[Utenze]],Data!$I143=SottocategorieUscite[[#Headers],[Business Uscite]],Data!$I143=SottocategorieUscite[[#Headers],[Banca]]),"$ -","")</f>
        <v/>
      </c>
      <c r="M143" s="59" t="str">
        <f>IF(OR($I143&lt;&gt;SottocategorieUscite[[#Headers],[Fuori Casa]],$I143&lt;&gt;SottocategorieUscite[[#Headers],[Varie Uscite]],$I143&lt;&gt;SottocategorieUscite[[#Headers],[Personali]],$I143&lt;&gt;SottocategorieUscite[[#Headers],[Lavoro]],$I143&lt;&gt;SottocategorieUscite[[#Headers],[Casa]],$I143&lt;&gt;SottocategorieUscite[[#Headers],[Utenze]],$I143&lt;&gt;SottocategorieUscite[[#Headers],[Business Uscite]],$I143&lt;&gt;SottocategorieUscite[[#Headers],[Banca]]),"","$ -")</f>
        <v/>
      </c>
      <c r="N143" s="59" t="str">
        <f>IF(OR(Data!$I143=SottocategorieEntrate[[#Headers],[Business Entrate]],Data!$I143=SottocategorieEntrate[[#Headers],[Varie Entrate]]),"$ -","")</f>
        <v/>
      </c>
      <c r="O143" s="59" t="str">
        <f>IF(OR(Data!$I143=SottocategorieEntrate[[#Headers],[Real Estate]],SottocategorieEntrate[[#Headers],[Other]]),"$ -","")</f>
        <v/>
      </c>
      <c r="P143" s="59" t="str">
        <f>IF(OR($I143&lt;&gt;SottocategorieEntrate[[#Headers],[Business Entrate]],$I143&lt;&gt;SottocategorieEntrate[[#Headers],[Varie Entrate]],$I143&lt;&gt;SottocategorieEntrate[[#Headers],[Real Estate]],$I143&lt;&gt;SottocategorieEntrate[[#Headers],[Other]]),"","$ -")</f>
        <v/>
      </c>
      <c r="Q143" s="59" t="str">
        <f>IF(Dati[[#This Row],[Categoria]]="Prelievo","€ -","")</f>
        <v/>
      </c>
      <c r="R143" s="244" t="str">
        <f t="shared" ca="1" si="5"/>
        <v/>
      </c>
      <c r="S143" s="59" t="str">
        <f>IF(Dati[[#This Row],[Categoria]]="Savings",0,"")</f>
        <v/>
      </c>
      <c r="T143" s="59"/>
      <c r="U143" s="59"/>
      <c r="V143" s="59"/>
      <c r="W143" s="59"/>
      <c r="X143" s="59"/>
      <c r="Y143" s="59"/>
      <c r="Z143" s="59"/>
      <c r="AA143" s="59"/>
      <c r="AB143" s="59"/>
      <c r="AC143" s="59"/>
      <c r="AD143" s="59"/>
      <c r="AE143" s="59"/>
      <c r="AF143" s="59"/>
      <c r="AG143" s="59"/>
      <c r="AH143" s="59"/>
      <c r="AI143" s="59" t="str">
        <f>IF(SUM(Dati[[#This Row],[Inv. Business]:[Inv. Cryptocurrency]])=0," ",SUM(Dati[[#This Row],[Inv. Business]:[Inv. Cryptocurrency]]))</f>
        <v xml:space="preserve"> </v>
      </c>
      <c r="AJ143" s="59"/>
      <c r="AK143" s="59" t="str">
        <f>IF(SUM(Dati[[#This Row],[Inv. Gold]:[Mutuo]])=0," ",SUM(Dati[[#This Row],[Inv. Gold]:[Mutuo]]))</f>
        <v xml:space="preserve"> </v>
      </c>
      <c r="AL143" s="59"/>
      <c r="AM143" s="59"/>
    </row>
    <row r="144" spans="2:39" ht="16" customHeight="1" x14ac:dyDescent="0.35">
      <c r="B144">
        <f t="shared" si="3"/>
        <v>124</v>
      </c>
      <c r="C144" s="49">
        <f t="shared" si="4"/>
        <v>45050</v>
      </c>
      <c r="D144" s="29">
        <f>DAY(Dati[[#This Row],[Data]])</f>
        <v>4</v>
      </c>
      <c r="E144" s="29" t="str">
        <f>IF(DAY(Data!$C$21:$C$1327)&gt;0,TEXT(Data!$C$21:$C$1327, "mmmm"),"")</f>
        <v>maggio</v>
      </c>
      <c r="F144" s="29" t="str">
        <f>IF(DAY(Data!$C$21:$C$1327)&gt;0,TEXT(Data!$C$21:$C$1327, "aaaa"),"")</f>
        <v>2023</v>
      </c>
      <c r="I144" t="str">
        <f>IF(OR(H144=$B$5,H144=$B$6,H144=$B$7,H144=$B$8,H144=$B$9,H144=$B$10,H144=$B$11,H144=$B$12,H144=$B$13,H144=$B$14),SottocategorieUscite[[#Headers],[Fuori Casa]],IF(OR(H144=$C$5,H144=$C$6,H144=$C$7,H144=$C$8,H144=$C$9,H144=$C$10,H144=$C$11,H144=$C$12,H144=$C$13,H144=$C$14),SottocategorieUscite[[#Headers],[Varie Uscite]],IF(OR(H144=$D$5,H144=$D$6,H144=$D$7,H144=$D$8,H144=$D$9,H144=$D$10,H144=$D$11,H144=$D$12,H144=$D$13,H144=$D$14),SottocategorieUscite[[#Headers],[Personali]],IF(OR(H144=$E$5,H144=$E$6,H144=$E$7,H144=$E$8,H144=$E$9,H144=$E$10,H144=$E$11,H144=$E$12,H144=$E$13,H144=$E$14),SottocategorieUscite[[#Headers],[Lavoro]],IF(OR(H144=$F$5,H144=$F$6,H144=$F$7,H144=$F$8,H144=$F$9,H144=$F$10,H144=$F$11,H144=$F$12,H144=$F$13,H144=$F$14),SottocategorieUscite[[#Headers],[Casa]],IF(OR(H144=$G$5,H144=$G$6,H144=$G$7,H144=$G$8,H144=$G$9,H144=$G$10,H144=$G$11,H144=$G$12,H144=$G$13,H144=$G$14),SottocategorieUscite[[#Headers],[Utenze]],IF(OR(H144=$H$5,H144=$H$6,H144=$H$7,H144=$H$8,H144=$H$9,H144=$H$10,H144=$H$11,H144=$H$12,H144=$H$13,H144=$H$14),SottocategorieUscite[[#Headers],[Business Uscite]],IF(OR(H144=$I$5,H144=$I$6,H144=$I$7,H144=$I$8,H144=$I$9,H144=$I$10,H144=$I$11,H144=$I$12,H144=$I$13,H144=$I$14),SottocategorieUscite[[#Headers],[Banca]],IF(OR(H144=K$5,H144=K$6,H144=K$7,H144=K$8,H144=K$9,H144=K$10,H144=K$11,H144=K$12,H144=K$13,H144=K$14),SottocategorieEntrate[[#Headers],[Business Entrate]],IF(OR(H144=L$5,H144=L$6,H144=L$7,H144=L$8,H144=L$9,H144=L$10,H144=L$11,H144=L$12,H144=L$13,H144=L$14),SottocategorieEntrate[[#Headers],[Varie Entrate]],IF(OR(H144=M$5,H144=M$6,H144=M$7,H144=M$8,H144=M$9,H144=M$10,H144=M$11,H144=M$12,H144=M$13,H144=M$14),SottocategorieEntrate[[#Headers],[Real Estate]],IF(OR(H144=N$5,H144=N$6,H144=N$7,H144=N$8,H144=N$9,H144=N$10,H144=N$11,H144=N$12,H144=N$13,H144=N$14),SottocategorieEntrate[[#Headers],[Other]],""))))))))))))</f>
        <v/>
      </c>
      <c r="J144" t="str">
        <f>IF(OR(Dati[[#This Row],[Categoria]]="Bollette",Dati[[#This Row],[Categoria]]="Conto &amp; Carte BNL",Dati[[#This Row],[Categoria]]="Prelievo",Dati[[#This Row],[Categoria]]="Affitto",Dati[[#This Row],[Categoria]]="BNL(Interessi Creditori)"),"Carta",IF(Dati[[#This Row],[Categoria]]&lt;&gt;0,"Cash",""))</f>
        <v/>
      </c>
      <c r="K144" s="59" t="str">
        <f>IF(OR(Data!$I144=SottocategorieUscite[[#Headers],[Fuori Casa]],Data!$I144=SottocategorieUscite[[#Headers],[Varie Uscite]],Data!$I144=SottocategorieUscite[[#Headers],[Personali]],Data!$I144=SottocategorieUscite[[#Headers],[Lavoro]]),"$ -","")</f>
        <v/>
      </c>
      <c r="L144" s="59" t="str">
        <f>IF(OR(Data!$I144=SottocategorieUscite[[#Headers],[Casa]],Data!$I144=SottocategorieUscite[[#Headers],[Utenze]],Data!$I144=SottocategorieUscite[[#Headers],[Business Uscite]],Data!$I144=SottocategorieUscite[[#Headers],[Banca]]),"$ -","")</f>
        <v/>
      </c>
      <c r="M144" s="59" t="str">
        <f>IF(OR($I144&lt;&gt;SottocategorieUscite[[#Headers],[Fuori Casa]],$I144&lt;&gt;SottocategorieUscite[[#Headers],[Varie Uscite]],$I144&lt;&gt;SottocategorieUscite[[#Headers],[Personali]],$I144&lt;&gt;SottocategorieUscite[[#Headers],[Lavoro]],$I144&lt;&gt;SottocategorieUscite[[#Headers],[Casa]],$I144&lt;&gt;SottocategorieUscite[[#Headers],[Utenze]],$I144&lt;&gt;SottocategorieUscite[[#Headers],[Business Uscite]],$I144&lt;&gt;SottocategorieUscite[[#Headers],[Banca]]),"","$ -")</f>
        <v/>
      </c>
      <c r="N144" s="59" t="str">
        <f>IF(OR(Data!$I144=SottocategorieEntrate[[#Headers],[Business Entrate]],Data!$I144=SottocategorieEntrate[[#Headers],[Varie Entrate]]),"$ -","")</f>
        <v/>
      </c>
      <c r="O144" s="59" t="str">
        <f>IF(OR(Data!$I144=SottocategorieEntrate[[#Headers],[Real Estate]],SottocategorieEntrate[[#Headers],[Other]]),"$ -","")</f>
        <v/>
      </c>
      <c r="P144" s="59" t="str">
        <f>IF(OR($I144&lt;&gt;SottocategorieEntrate[[#Headers],[Business Entrate]],$I144&lt;&gt;SottocategorieEntrate[[#Headers],[Varie Entrate]],$I144&lt;&gt;SottocategorieEntrate[[#Headers],[Real Estate]],$I144&lt;&gt;SottocategorieEntrate[[#Headers],[Other]]),"","$ -")</f>
        <v/>
      </c>
      <c r="Q144" s="59" t="str">
        <f>IF(Dati[[#This Row],[Categoria]]="Prelievo","€ -","")</f>
        <v/>
      </c>
      <c r="R144" s="244" t="str">
        <f t="shared" ca="1" si="5"/>
        <v/>
      </c>
      <c r="S144" s="59" t="str">
        <f>IF(Dati[[#This Row],[Categoria]]="Savings",0,"")</f>
        <v/>
      </c>
      <c r="T144" s="59"/>
      <c r="U144" s="59"/>
      <c r="V144" s="59"/>
      <c r="W144" s="59"/>
      <c r="X144" s="59"/>
      <c r="Y144" s="59"/>
      <c r="Z144" s="59"/>
      <c r="AA144" s="59"/>
      <c r="AB144" s="59"/>
      <c r="AC144" s="59"/>
      <c r="AD144" s="59"/>
      <c r="AE144" s="59"/>
      <c r="AF144" s="59"/>
      <c r="AG144" s="59"/>
      <c r="AH144" s="59"/>
      <c r="AI144" s="59" t="str">
        <f>IF(SUM(Dati[[#This Row],[Inv. Business]:[Inv. Cryptocurrency]])=0," ",SUM(Dati[[#This Row],[Inv. Business]:[Inv. Cryptocurrency]]))</f>
        <v xml:space="preserve"> </v>
      </c>
      <c r="AJ144" s="59"/>
      <c r="AK144" s="59" t="str">
        <f>IF(SUM(Dati[[#This Row],[Inv. Gold]:[Mutuo]])=0," ",SUM(Dati[[#This Row],[Inv. Gold]:[Mutuo]]))</f>
        <v xml:space="preserve"> </v>
      </c>
      <c r="AL144" s="59"/>
      <c r="AM144" s="59"/>
    </row>
    <row r="145" spans="2:39" ht="16" customHeight="1" x14ac:dyDescent="0.35">
      <c r="B145">
        <f t="shared" si="3"/>
        <v>125</v>
      </c>
      <c r="C145" s="49">
        <f t="shared" si="4"/>
        <v>45051</v>
      </c>
      <c r="D145" s="29">
        <f>DAY(Dati[[#This Row],[Data]])</f>
        <v>5</v>
      </c>
      <c r="E145" s="29" t="str">
        <f>IF(DAY(Data!$C$21:$C$1327)&gt;0,TEXT(Data!$C$21:$C$1327, "mmmm"),"")</f>
        <v>maggio</v>
      </c>
      <c r="F145" s="29" t="str">
        <f>IF(DAY(Data!$C$21:$C$1327)&gt;0,TEXT(Data!$C$21:$C$1327, "aaaa"),"")</f>
        <v>2023</v>
      </c>
      <c r="I145" t="str">
        <f>IF(OR(H145=$B$5,H145=$B$6,H145=$B$7,H145=$B$8,H145=$B$9,H145=$B$10,H145=$B$11,H145=$B$12,H145=$B$13,H145=$B$14),SottocategorieUscite[[#Headers],[Fuori Casa]],IF(OR(H145=$C$5,H145=$C$6,H145=$C$7,H145=$C$8,H145=$C$9,H145=$C$10,H145=$C$11,H145=$C$12,H145=$C$13,H145=$C$14),SottocategorieUscite[[#Headers],[Varie Uscite]],IF(OR(H145=$D$5,H145=$D$6,H145=$D$7,H145=$D$8,H145=$D$9,H145=$D$10,H145=$D$11,H145=$D$12,H145=$D$13,H145=$D$14),SottocategorieUscite[[#Headers],[Personali]],IF(OR(H145=$E$5,H145=$E$6,H145=$E$7,H145=$E$8,H145=$E$9,H145=$E$10,H145=$E$11,H145=$E$12,H145=$E$13,H145=$E$14),SottocategorieUscite[[#Headers],[Lavoro]],IF(OR(H145=$F$5,H145=$F$6,H145=$F$7,H145=$F$8,H145=$F$9,H145=$F$10,H145=$F$11,H145=$F$12,H145=$F$13,H145=$F$14),SottocategorieUscite[[#Headers],[Casa]],IF(OR(H145=$G$5,H145=$G$6,H145=$G$7,H145=$G$8,H145=$G$9,H145=$G$10,H145=$G$11,H145=$G$12,H145=$G$13,H145=$G$14),SottocategorieUscite[[#Headers],[Utenze]],IF(OR(H145=$H$5,H145=$H$6,H145=$H$7,H145=$H$8,H145=$H$9,H145=$H$10,H145=$H$11,H145=$H$12,H145=$H$13,H145=$H$14),SottocategorieUscite[[#Headers],[Business Uscite]],IF(OR(H145=$I$5,H145=$I$6,H145=$I$7,H145=$I$8,H145=$I$9,H145=$I$10,H145=$I$11,H145=$I$12,H145=$I$13,H145=$I$14),SottocategorieUscite[[#Headers],[Banca]],IF(OR(H145=K$5,H145=K$6,H145=K$7,H145=K$8,H145=K$9,H145=K$10,H145=K$11,H145=K$12,H145=K$13,H145=K$14),SottocategorieEntrate[[#Headers],[Business Entrate]],IF(OR(H145=L$5,H145=L$6,H145=L$7,H145=L$8,H145=L$9,H145=L$10,H145=L$11,H145=L$12,H145=L$13,H145=L$14),SottocategorieEntrate[[#Headers],[Varie Entrate]],IF(OR(H145=M$5,H145=M$6,H145=M$7,H145=M$8,H145=M$9,H145=M$10,H145=M$11,H145=M$12,H145=M$13,H145=M$14),SottocategorieEntrate[[#Headers],[Real Estate]],IF(OR(H145=N$5,H145=N$6,H145=N$7,H145=N$8,H145=N$9,H145=N$10,H145=N$11,H145=N$12,H145=N$13,H145=N$14),SottocategorieEntrate[[#Headers],[Other]],""))))))))))))</f>
        <v/>
      </c>
      <c r="J145" t="str">
        <f>IF(OR(Dati[[#This Row],[Categoria]]="Bollette",Dati[[#This Row],[Categoria]]="Conto &amp; Carte BNL",Dati[[#This Row],[Categoria]]="Prelievo",Dati[[#This Row],[Categoria]]="Affitto",Dati[[#This Row],[Categoria]]="BNL(Interessi Creditori)"),"Carta",IF(Dati[[#This Row],[Categoria]]&lt;&gt;0,"Cash",""))</f>
        <v/>
      </c>
      <c r="K145" s="59" t="str">
        <f>IF(OR(Data!$I145=SottocategorieUscite[[#Headers],[Fuori Casa]],Data!$I145=SottocategorieUscite[[#Headers],[Varie Uscite]],Data!$I145=SottocategorieUscite[[#Headers],[Personali]],Data!$I145=SottocategorieUscite[[#Headers],[Lavoro]]),"$ -","")</f>
        <v/>
      </c>
      <c r="L145" s="59" t="str">
        <f>IF(OR(Data!$I145=SottocategorieUscite[[#Headers],[Casa]],Data!$I145=SottocategorieUscite[[#Headers],[Utenze]],Data!$I145=SottocategorieUscite[[#Headers],[Business Uscite]],Data!$I145=SottocategorieUscite[[#Headers],[Banca]]),"$ -","")</f>
        <v/>
      </c>
      <c r="M145" s="59" t="str">
        <f>IF(OR($I145&lt;&gt;SottocategorieUscite[[#Headers],[Fuori Casa]],$I145&lt;&gt;SottocategorieUscite[[#Headers],[Varie Uscite]],$I145&lt;&gt;SottocategorieUscite[[#Headers],[Personali]],$I145&lt;&gt;SottocategorieUscite[[#Headers],[Lavoro]],$I145&lt;&gt;SottocategorieUscite[[#Headers],[Casa]],$I145&lt;&gt;SottocategorieUscite[[#Headers],[Utenze]],$I145&lt;&gt;SottocategorieUscite[[#Headers],[Business Uscite]],$I145&lt;&gt;SottocategorieUscite[[#Headers],[Banca]]),"","$ -")</f>
        <v/>
      </c>
      <c r="N145" s="59" t="str">
        <f>IF(OR(Data!$I145=SottocategorieEntrate[[#Headers],[Business Entrate]],Data!$I145=SottocategorieEntrate[[#Headers],[Varie Entrate]]),"$ -","")</f>
        <v/>
      </c>
      <c r="O145" s="59" t="str">
        <f>IF(OR(Data!$I145=SottocategorieEntrate[[#Headers],[Real Estate]],SottocategorieEntrate[[#Headers],[Other]]),"$ -","")</f>
        <v/>
      </c>
      <c r="P145" s="59" t="str">
        <f>IF(OR($I145&lt;&gt;SottocategorieEntrate[[#Headers],[Business Entrate]],$I145&lt;&gt;SottocategorieEntrate[[#Headers],[Varie Entrate]],$I145&lt;&gt;SottocategorieEntrate[[#Headers],[Real Estate]],$I145&lt;&gt;SottocategorieEntrate[[#Headers],[Other]]),"","$ -")</f>
        <v/>
      </c>
      <c r="Q145" s="59" t="str">
        <f>IF(Dati[[#This Row],[Categoria]]="Prelievo","€ -","")</f>
        <v/>
      </c>
      <c r="R145" s="244" t="str">
        <f t="shared" ca="1" si="5"/>
        <v/>
      </c>
      <c r="S145" s="59" t="str">
        <f>IF(Dati[[#This Row],[Categoria]]="Savings",0,"")</f>
        <v/>
      </c>
      <c r="T145" s="59"/>
      <c r="U145" s="59"/>
      <c r="V145" s="59"/>
      <c r="W145" s="59"/>
      <c r="X145" s="59"/>
      <c r="Y145" s="59"/>
      <c r="Z145" s="59"/>
      <c r="AA145" s="59"/>
      <c r="AB145" s="59"/>
      <c r="AC145" s="59"/>
      <c r="AD145" s="59"/>
      <c r="AE145" s="59"/>
      <c r="AF145" s="59"/>
      <c r="AG145" s="59"/>
      <c r="AH145" s="59"/>
      <c r="AI145" s="59" t="str">
        <f>IF(SUM(Dati[[#This Row],[Inv. Business]:[Inv. Cryptocurrency]])=0," ",SUM(Dati[[#This Row],[Inv. Business]:[Inv. Cryptocurrency]]))</f>
        <v xml:space="preserve"> </v>
      </c>
      <c r="AJ145" s="59"/>
      <c r="AK145" s="59" t="str">
        <f>IF(SUM(Dati[[#This Row],[Inv. Gold]:[Mutuo]])=0," ",SUM(Dati[[#This Row],[Inv. Gold]:[Mutuo]]))</f>
        <v xml:space="preserve"> </v>
      </c>
      <c r="AL145" s="59"/>
      <c r="AM145" s="59"/>
    </row>
    <row r="146" spans="2:39" ht="16" customHeight="1" x14ac:dyDescent="0.35">
      <c r="B146">
        <f t="shared" si="3"/>
        <v>126</v>
      </c>
      <c r="C146" s="49">
        <f t="shared" si="4"/>
        <v>45052</v>
      </c>
      <c r="D146" s="29">
        <f>DAY(Dati[[#This Row],[Data]])</f>
        <v>6</v>
      </c>
      <c r="E146" s="29" t="str">
        <f>IF(DAY(Data!$C$21:$C$1327)&gt;0,TEXT(Data!$C$21:$C$1327, "mmmm"),"")</f>
        <v>maggio</v>
      </c>
      <c r="F146" s="29" t="str">
        <f>IF(DAY(Data!$C$21:$C$1327)&gt;0,TEXT(Data!$C$21:$C$1327, "aaaa"),"")</f>
        <v>2023</v>
      </c>
      <c r="I146" t="str">
        <f>IF(OR(H146=$B$5,H146=$B$6,H146=$B$7,H146=$B$8,H146=$B$9,H146=$B$10,H146=$B$11,H146=$B$12,H146=$B$13,H146=$B$14),SottocategorieUscite[[#Headers],[Fuori Casa]],IF(OR(H146=$C$5,H146=$C$6,H146=$C$7,H146=$C$8,H146=$C$9,H146=$C$10,H146=$C$11,H146=$C$12,H146=$C$13,H146=$C$14),SottocategorieUscite[[#Headers],[Varie Uscite]],IF(OR(H146=$D$5,H146=$D$6,H146=$D$7,H146=$D$8,H146=$D$9,H146=$D$10,H146=$D$11,H146=$D$12,H146=$D$13,H146=$D$14),SottocategorieUscite[[#Headers],[Personali]],IF(OR(H146=$E$5,H146=$E$6,H146=$E$7,H146=$E$8,H146=$E$9,H146=$E$10,H146=$E$11,H146=$E$12,H146=$E$13,H146=$E$14),SottocategorieUscite[[#Headers],[Lavoro]],IF(OR(H146=$F$5,H146=$F$6,H146=$F$7,H146=$F$8,H146=$F$9,H146=$F$10,H146=$F$11,H146=$F$12,H146=$F$13,H146=$F$14),SottocategorieUscite[[#Headers],[Casa]],IF(OR(H146=$G$5,H146=$G$6,H146=$G$7,H146=$G$8,H146=$G$9,H146=$G$10,H146=$G$11,H146=$G$12,H146=$G$13,H146=$G$14),SottocategorieUscite[[#Headers],[Utenze]],IF(OR(H146=$H$5,H146=$H$6,H146=$H$7,H146=$H$8,H146=$H$9,H146=$H$10,H146=$H$11,H146=$H$12,H146=$H$13,H146=$H$14),SottocategorieUscite[[#Headers],[Business Uscite]],IF(OR(H146=$I$5,H146=$I$6,H146=$I$7,H146=$I$8,H146=$I$9,H146=$I$10,H146=$I$11,H146=$I$12,H146=$I$13,H146=$I$14),SottocategorieUscite[[#Headers],[Banca]],IF(OR(H146=K$5,H146=K$6,H146=K$7,H146=K$8,H146=K$9,H146=K$10,H146=K$11,H146=K$12,H146=K$13,H146=K$14),SottocategorieEntrate[[#Headers],[Business Entrate]],IF(OR(H146=L$5,H146=L$6,H146=L$7,H146=L$8,H146=L$9,H146=L$10,H146=L$11,H146=L$12,H146=L$13,H146=L$14),SottocategorieEntrate[[#Headers],[Varie Entrate]],IF(OR(H146=M$5,H146=M$6,H146=M$7,H146=M$8,H146=M$9,H146=M$10,H146=M$11,H146=M$12,H146=M$13,H146=M$14),SottocategorieEntrate[[#Headers],[Real Estate]],IF(OR(H146=N$5,H146=N$6,H146=N$7,H146=N$8,H146=N$9,H146=N$10,H146=N$11,H146=N$12,H146=N$13,H146=N$14),SottocategorieEntrate[[#Headers],[Other]],""))))))))))))</f>
        <v/>
      </c>
      <c r="J146" t="str">
        <f>IF(OR(Dati[[#This Row],[Categoria]]="Bollette",Dati[[#This Row],[Categoria]]="Conto &amp; Carte BNL",Dati[[#This Row],[Categoria]]="Prelievo",Dati[[#This Row],[Categoria]]="Affitto",Dati[[#This Row],[Categoria]]="BNL(Interessi Creditori)"),"Carta",IF(Dati[[#This Row],[Categoria]]&lt;&gt;0,"Cash",""))</f>
        <v/>
      </c>
      <c r="K146" s="59" t="str">
        <f>IF(OR(Data!$I146=SottocategorieUscite[[#Headers],[Fuori Casa]],Data!$I146=SottocategorieUscite[[#Headers],[Varie Uscite]],Data!$I146=SottocategorieUscite[[#Headers],[Personali]],Data!$I146=SottocategorieUscite[[#Headers],[Lavoro]]),"$ -","")</f>
        <v/>
      </c>
      <c r="L146" s="59" t="str">
        <f>IF(OR(Data!$I146=SottocategorieUscite[[#Headers],[Casa]],Data!$I146=SottocategorieUscite[[#Headers],[Utenze]],Data!$I146=SottocategorieUscite[[#Headers],[Business Uscite]],Data!$I146=SottocategorieUscite[[#Headers],[Banca]]),"$ -","")</f>
        <v/>
      </c>
      <c r="M146" s="59" t="str">
        <f>IF(OR($I146&lt;&gt;SottocategorieUscite[[#Headers],[Fuori Casa]],$I146&lt;&gt;SottocategorieUscite[[#Headers],[Varie Uscite]],$I146&lt;&gt;SottocategorieUscite[[#Headers],[Personali]],$I146&lt;&gt;SottocategorieUscite[[#Headers],[Lavoro]],$I146&lt;&gt;SottocategorieUscite[[#Headers],[Casa]],$I146&lt;&gt;SottocategorieUscite[[#Headers],[Utenze]],$I146&lt;&gt;SottocategorieUscite[[#Headers],[Business Uscite]],$I146&lt;&gt;SottocategorieUscite[[#Headers],[Banca]]),"","$ -")</f>
        <v/>
      </c>
      <c r="N146" s="59" t="str">
        <f>IF(OR(Data!$I146=SottocategorieEntrate[[#Headers],[Business Entrate]],Data!$I146=SottocategorieEntrate[[#Headers],[Varie Entrate]]),"$ -","")</f>
        <v/>
      </c>
      <c r="O146" s="59" t="str">
        <f>IF(OR(Data!$I146=SottocategorieEntrate[[#Headers],[Real Estate]],SottocategorieEntrate[[#Headers],[Other]]),"$ -","")</f>
        <v/>
      </c>
      <c r="P146" s="59" t="str">
        <f>IF(OR($I146&lt;&gt;SottocategorieEntrate[[#Headers],[Business Entrate]],$I146&lt;&gt;SottocategorieEntrate[[#Headers],[Varie Entrate]],$I146&lt;&gt;SottocategorieEntrate[[#Headers],[Real Estate]],$I146&lt;&gt;SottocategorieEntrate[[#Headers],[Other]]),"","$ -")</f>
        <v/>
      </c>
      <c r="Q146" s="59" t="str">
        <f>IF(Dati[[#This Row],[Categoria]]="Prelievo","€ -","")</f>
        <v/>
      </c>
      <c r="R146" s="244" t="str">
        <f t="shared" ca="1" si="5"/>
        <v/>
      </c>
      <c r="S146" s="59" t="str">
        <f>IF(Dati[[#This Row],[Categoria]]="Savings",0,"")</f>
        <v/>
      </c>
      <c r="T146" s="59"/>
      <c r="U146" s="59"/>
      <c r="V146" s="59"/>
      <c r="W146" s="59"/>
      <c r="X146" s="59"/>
      <c r="Y146" s="59"/>
      <c r="Z146" s="59"/>
      <c r="AA146" s="59"/>
      <c r="AB146" s="59"/>
      <c r="AC146" s="59"/>
      <c r="AD146" s="59"/>
      <c r="AE146" s="59"/>
      <c r="AF146" s="59"/>
      <c r="AG146" s="59"/>
      <c r="AH146" s="59"/>
      <c r="AI146" s="59" t="str">
        <f>IF(SUM(Dati[[#This Row],[Inv. Business]:[Inv. Cryptocurrency]])=0," ",SUM(Dati[[#This Row],[Inv. Business]:[Inv. Cryptocurrency]]))</f>
        <v xml:space="preserve"> </v>
      </c>
      <c r="AJ146" s="59"/>
      <c r="AK146" s="59" t="str">
        <f>IF(SUM(Dati[[#This Row],[Inv. Gold]:[Mutuo]])=0," ",SUM(Dati[[#This Row],[Inv. Gold]:[Mutuo]]))</f>
        <v xml:space="preserve"> </v>
      </c>
      <c r="AL146" s="59"/>
      <c r="AM146" s="59"/>
    </row>
    <row r="147" spans="2:39" ht="16" customHeight="1" x14ac:dyDescent="0.35">
      <c r="B147">
        <f t="shared" si="3"/>
        <v>127</v>
      </c>
      <c r="C147" s="49">
        <f t="shared" si="4"/>
        <v>45053</v>
      </c>
      <c r="D147" s="29">
        <f>DAY(Dati[[#This Row],[Data]])</f>
        <v>7</v>
      </c>
      <c r="E147" s="29" t="str">
        <f>IF(DAY(Data!$C$21:$C$1327)&gt;0,TEXT(Data!$C$21:$C$1327, "mmmm"),"")</f>
        <v>maggio</v>
      </c>
      <c r="F147" s="29" t="str">
        <f>IF(DAY(Data!$C$21:$C$1327)&gt;0,TEXT(Data!$C$21:$C$1327, "aaaa"),"")</f>
        <v>2023</v>
      </c>
      <c r="I147" t="str">
        <f>IF(OR(H147=$B$5,H147=$B$6,H147=$B$7,H147=$B$8,H147=$B$9,H147=$B$10,H147=$B$11,H147=$B$12,H147=$B$13,H147=$B$14),SottocategorieUscite[[#Headers],[Fuori Casa]],IF(OR(H147=$C$5,H147=$C$6,H147=$C$7,H147=$C$8,H147=$C$9,H147=$C$10,H147=$C$11,H147=$C$12,H147=$C$13,H147=$C$14),SottocategorieUscite[[#Headers],[Varie Uscite]],IF(OR(H147=$D$5,H147=$D$6,H147=$D$7,H147=$D$8,H147=$D$9,H147=$D$10,H147=$D$11,H147=$D$12,H147=$D$13,H147=$D$14),SottocategorieUscite[[#Headers],[Personali]],IF(OR(H147=$E$5,H147=$E$6,H147=$E$7,H147=$E$8,H147=$E$9,H147=$E$10,H147=$E$11,H147=$E$12,H147=$E$13,H147=$E$14),SottocategorieUscite[[#Headers],[Lavoro]],IF(OR(H147=$F$5,H147=$F$6,H147=$F$7,H147=$F$8,H147=$F$9,H147=$F$10,H147=$F$11,H147=$F$12,H147=$F$13,H147=$F$14),SottocategorieUscite[[#Headers],[Casa]],IF(OR(H147=$G$5,H147=$G$6,H147=$G$7,H147=$G$8,H147=$G$9,H147=$G$10,H147=$G$11,H147=$G$12,H147=$G$13,H147=$G$14),SottocategorieUscite[[#Headers],[Utenze]],IF(OR(H147=$H$5,H147=$H$6,H147=$H$7,H147=$H$8,H147=$H$9,H147=$H$10,H147=$H$11,H147=$H$12,H147=$H$13,H147=$H$14),SottocategorieUscite[[#Headers],[Business Uscite]],IF(OR(H147=$I$5,H147=$I$6,H147=$I$7,H147=$I$8,H147=$I$9,H147=$I$10,H147=$I$11,H147=$I$12,H147=$I$13,H147=$I$14),SottocategorieUscite[[#Headers],[Banca]],IF(OR(H147=K$5,H147=K$6,H147=K$7,H147=K$8,H147=K$9,H147=K$10,H147=K$11,H147=K$12,H147=K$13,H147=K$14),SottocategorieEntrate[[#Headers],[Business Entrate]],IF(OR(H147=L$5,H147=L$6,H147=L$7,H147=L$8,H147=L$9,H147=L$10,H147=L$11,H147=L$12,H147=L$13,H147=L$14),SottocategorieEntrate[[#Headers],[Varie Entrate]],IF(OR(H147=M$5,H147=M$6,H147=M$7,H147=M$8,H147=M$9,H147=M$10,H147=M$11,H147=M$12,H147=M$13,H147=M$14),SottocategorieEntrate[[#Headers],[Real Estate]],IF(OR(H147=N$5,H147=N$6,H147=N$7,H147=N$8,H147=N$9,H147=N$10,H147=N$11,H147=N$12,H147=N$13,H147=N$14),SottocategorieEntrate[[#Headers],[Other]],""))))))))))))</f>
        <v/>
      </c>
      <c r="J147" t="str">
        <f>IF(OR(Dati[[#This Row],[Categoria]]="Bollette",Dati[[#This Row],[Categoria]]="Conto &amp; Carte BNL",Dati[[#This Row],[Categoria]]="Prelievo",Dati[[#This Row],[Categoria]]="Affitto",Dati[[#This Row],[Categoria]]="BNL(Interessi Creditori)"),"Carta",IF(Dati[[#This Row],[Categoria]]&lt;&gt;0,"Cash",""))</f>
        <v/>
      </c>
      <c r="K147" s="59" t="str">
        <f>IF(OR(Data!$I147=SottocategorieUscite[[#Headers],[Fuori Casa]],Data!$I147=SottocategorieUscite[[#Headers],[Varie Uscite]],Data!$I147=SottocategorieUscite[[#Headers],[Personali]],Data!$I147=SottocategorieUscite[[#Headers],[Lavoro]]),"$ -","")</f>
        <v/>
      </c>
      <c r="L147" s="59" t="str">
        <f>IF(OR(Data!$I147=SottocategorieUscite[[#Headers],[Casa]],Data!$I147=SottocategorieUscite[[#Headers],[Utenze]],Data!$I147=SottocategorieUscite[[#Headers],[Business Uscite]],Data!$I147=SottocategorieUscite[[#Headers],[Banca]]),"$ -","")</f>
        <v/>
      </c>
      <c r="M147" s="59" t="str">
        <f>IF(OR($I147&lt;&gt;SottocategorieUscite[[#Headers],[Fuori Casa]],$I147&lt;&gt;SottocategorieUscite[[#Headers],[Varie Uscite]],$I147&lt;&gt;SottocategorieUscite[[#Headers],[Personali]],$I147&lt;&gt;SottocategorieUscite[[#Headers],[Lavoro]],$I147&lt;&gt;SottocategorieUscite[[#Headers],[Casa]],$I147&lt;&gt;SottocategorieUscite[[#Headers],[Utenze]],$I147&lt;&gt;SottocategorieUscite[[#Headers],[Business Uscite]],$I147&lt;&gt;SottocategorieUscite[[#Headers],[Banca]]),"","$ -")</f>
        <v/>
      </c>
      <c r="N147" s="59" t="str">
        <f>IF(OR(Data!$I147=SottocategorieEntrate[[#Headers],[Business Entrate]],Data!$I147=SottocategorieEntrate[[#Headers],[Varie Entrate]]),"$ -","")</f>
        <v/>
      </c>
      <c r="O147" s="59" t="str">
        <f>IF(OR(Data!$I147=SottocategorieEntrate[[#Headers],[Real Estate]],SottocategorieEntrate[[#Headers],[Other]]),"$ -","")</f>
        <v/>
      </c>
      <c r="P147" s="59" t="str">
        <f>IF(OR($I147&lt;&gt;SottocategorieEntrate[[#Headers],[Business Entrate]],$I147&lt;&gt;SottocategorieEntrate[[#Headers],[Varie Entrate]],$I147&lt;&gt;SottocategorieEntrate[[#Headers],[Real Estate]],$I147&lt;&gt;SottocategorieEntrate[[#Headers],[Other]]),"","$ -")</f>
        <v/>
      </c>
      <c r="Q147" s="59" t="str">
        <f>IF(Dati[[#This Row],[Categoria]]="Prelievo","€ -","")</f>
        <v/>
      </c>
      <c r="R147" s="244" t="str">
        <f t="shared" ca="1" si="5"/>
        <v/>
      </c>
      <c r="S147" s="59" t="str">
        <f>IF(Dati[[#This Row],[Categoria]]="Savings",0,"")</f>
        <v/>
      </c>
      <c r="T147" s="59"/>
      <c r="U147" s="59"/>
      <c r="V147" s="59"/>
      <c r="W147" s="59"/>
      <c r="X147" s="59"/>
      <c r="Y147" s="59"/>
      <c r="Z147" s="59"/>
      <c r="AA147" s="59"/>
      <c r="AB147" s="59"/>
      <c r="AC147" s="59"/>
      <c r="AD147" s="59"/>
      <c r="AE147" s="59"/>
      <c r="AF147" s="59"/>
      <c r="AG147" s="59"/>
      <c r="AH147" s="59"/>
      <c r="AI147" s="59" t="str">
        <f>IF(SUM(Dati[[#This Row],[Inv. Business]:[Inv. Cryptocurrency]])=0," ",SUM(Dati[[#This Row],[Inv. Business]:[Inv. Cryptocurrency]]))</f>
        <v xml:space="preserve"> </v>
      </c>
      <c r="AJ147" s="59"/>
      <c r="AK147" s="59" t="str">
        <f>IF(SUM(Dati[[#This Row],[Inv. Gold]:[Mutuo]])=0," ",SUM(Dati[[#This Row],[Inv. Gold]:[Mutuo]]))</f>
        <v xml:space="preserve"> </v>
      </c>
      <c r="AL147" s="59"/>
      <c r="AM147" s="59"/>
    </row>
    <row r="148" spans="2:39" ht="16" customHeight="1" x14ac:dyDescent="0.35">
      <c r="B148">
        <f t="shared" si="3"/>
        <v>128</v>
      </c>
      <c r="C148" s="49">
        <f t="shared" si="4"/>
        <v>45054</v>
      </c>
      <c r="D148" s="29">
        <f>DAY(Dati[[#This Row],[Data]])</f>
        <v>8</v>
      </c>
      <c r="E148" s="29" t="str">
        <f>IF(DAY(Data!$C$21:$C$1327)&gt;0,TEXT(Data!$C$21:$C$1327, "mmmm"),"")</f>
        <v>maggio</v>
      </c>
      <c r="F148" s="29" t="str">
        <f>IF(DAY(Data!$C$21:$C$1327)&gt;0,TEXT(Data!$C$21:$C$1327, "aaaa"),"")</f>
        <v>2023</v>
      </c>
      <c r="I148" t="str">
        <f>IF(OR(H148=$B$5,H148=$B$6,H148=$B$7,H148=$B$8,H148=$B$9,H148=$B$10,H148=$B$11,H148=$B$12,H148=$B$13,H148=$B$14),SottocategorieUscite[[#Headers],[Fuori Casa]],IF(OR(H148=$C$5,H148=$C$6,H148=$C$7,H148=$C$8,H148=$C$9,H148=$C$10,H148=$C$11,H148=$C$12,H148=$C$13,H148=$C$14),SottocategorieUscite[[#Headers],[Varie Uscite]],IF(OR(H148=$D$5,H148=$D$6,H148=$D$7,H148=$D$8,H148=$D$9,H148=$D$10,H148=$D$11,H148=$D$12,H148=$D$13,H148=$D$14),SottocategorieUscite[[#Headers],[Personali]],IF(OR(H148=$E$5,H148=$E$6,H148=$E$7,H148=$E$8,H148=$E$9,H148=$E$10,H148=$E$11,H148=$E$12,H148=$E$13,H148=$E$14),SottocategorieUscite[[#Headers],[Lavoro]],IF(OR(H148=$F$5,H148=$F$6,H148=$F$7,H148=$F$8,H148=$F$9,H148=$F$10,H148=$F$11,H148=$F$12,H148=$F$13,H148=$F$14),SottocategorieUscite[[#Headers],[Casa]],IF(OR(H148=$G$5,H148=$G$6,H148=$G$7,H148=$G$8,H148=$G$9,H148=$G$10,H148=$G$11,H148=$G$12,H148=$G$13,H148=$G$14),SottocategorieUscite[[#Headers],[Utenze]],IF(OR(H148=$H$5,H148=$H$6,H148=$H$7,H148=$H$8,H148=$H$9,H148=$H$10,H148=$H$11,H148=$H$12,H148=$H$13,H148=$H$14),SottocategorieUscite[[#Headers],[Business Uscite]],IF(OR(H148=$I$5,H148=$I$6,H148=$I$7,H148=$I$8,H148=$I$9,H148=$I$10,H148=$I$11,H148=$I$12,H148=$I$13,H148=$I$14),SottocategorieUscite[[#Headers],[Banca]],IF(OR(H148=K$5,H148=K$6,H148=K$7,H148=K$8,H148=K$9,H148=K$10,H148=K$11,H148=K$12,H148=K$13,H148=K$14),SottocategorieEntrate[[#Headers],[Business Entrate]],IF(OR(H148=L$5,H148=L$6,H148=L$7,H148=L$8,H148=L$9,H148=L$10,H148=L$11,H148=L$12,H148=L$13,H148=L$14),SottocategorieEntrate[[#Headers],[Varie Entrate]],IF(OR(H148=M$5,H148=M$6,H148=M$7,H148=M$8,H148=M$9,H148=M$10,H148=M$11,H148=M$12,H148=M$13,H148=M$14),SottocategorieEntrate[[#Headers],[Real Estate]],IF(OR(H148=N$5,H148=N$6,H148=N$7,H148=N$8,H148=N$9,H148=N$10,H148=N$11,H148=N$12,H148=N$13,H148=N$14),SottocategorieEntrate[[#Headers],[Other]],""))))))))))))</f>
        <v/>
      </c>
      <c r="J148" t="str">
        <f>IF(OR(Dati[[#This Row],[Categoria]]="Bollette",Dati[[#This Row],[Categoria]]="Conto &amp; Carte BNL",Dati[[#This Row],[Categoria]]="Prelievo",Dati[[#This Row],[Categoria]]="Affitto",Dati[[#This Row],[Categoria]]="BNL(Interessi Creditori)"),"Carta",IF(Dati[[#This Row],[Categoria]]&lt;&gt;0,"Cash",""))</f>
        <v/>
      </c>
      <c r="K148" s="59" t="str">
        <f>IF(OR(Data!$I148=SottocategorieUscite[[#Headers],[Fuori Casa]],Data!$I148=SottocategorieUscite[[#Headers],[Varie Uscite]],Data!$I148=SottocategorieUscite[[#Headers],[Personali]],Data!$I148=SottocategorieUscite[[#Headers],[Lavoro]]),"$ -","")</f>
        <v/>
      </c>
      <c r="L148" s="59" t="str">
        <f>IF(OR(Data!$I148=SottocategorieUscite[[#Headers],[Casa]],Data!$I148=SottocategorieUscite[[#Headers],[Utenze]],Data!$I148=SottocategorieUscite[[#Headers],[Business Uscite]],Data!$I148=SottocategorieUscite[[#Headers],[Banca]]),"$ -","")</f>
        <v/>
      </c>
      <c r="M148" s="59" t="str">
        <f>IF(OR($I148&lt;&gt;SottocategorieUscite[[#Headers],[Fuori Casa]],$I148&lt;&gt;SottocategorieUscite[[#Headers],[Varie Uscite]],$I148&lt;&gt;SottocategorieUscite[[#Headers],[Personali]],$I148&lt;&gt;SottocategorieUscite[[#Headers],[Lavoro]],$I148&lt;&gt;SottocategorieUscite[[#Headers],[Casa]],$I148&lt;&gt;SottocategorieUscite[[#Headers],[Utenze]],$I148&lt;&gt;SottocategorieUscite[[#Headers],[Business Uscite]],$I148&lt;&gt;SottocategorieUscite[[#Headers],[Banca]]),"","$ -")</f>
        <v/>
      </c>
      <c r="N148" s="59" t="str">
        <f>IF(OR(Data!$I148=SottocategorieEntrate[[#Headers],[Business Entrate]],Data!$I148=SottocategorieEntrate[[#Headers],[Varie Entrate]]),"$ -","")</f>
        <v/>
      </c>
      <c r="O148" s="59" t="str">
        <f>IF(OR(Data!$I148=SottocategorieEntrate[[#Headers],[Real Estate]],SottocategorieEntrate[[#Headers],[Other]]),"$ -","")</f>
        <v/>
      </c>
      <c r="P148" s="59" t="str">
        <f>IF(OR($I148&lt;&gt;SottocategorieEntrate[[#Headers],[Business Entrate]],$I148&lt;&gt;SottocategorieEntrate[[#Headers],[Varie Entrate]],$I148&lt;&gt;SottocategorieEntrate[[#Headers],[Real Estate]],$I148&lt;&gt;SottocategorieEntrate[[#Headers],[Other]]),"","$ -")</f>
        <v/>
      </c>
      <c r="Q148" s="59" t="str">
        <f>IF(Dati[[#This Row],[Categoria]]="Prelievo","€ -","")</f>
        <v/>
      </c>
      <c r="R148" s="244" t="str">
        <f t="shared" ca="1" si="5"/>
        <v/>
      </c>
      <c r="S148" s="59" t="str">
        <f>IF(Dati[[#This Row],[Categoria]]="Savings",0,"")</f>
        <v/>
      </c>
      <c r="T148" s="59"/>
      <c r="U148" s="59"/>
      <c r="V148" s="59"/>
      <c r="W148" s="59"/>
      <c r="X148" s="59"/>
      <c r="Y148" s="59"/>
      <c r="Z148" s="59"/>
      <c r="AA148" s="59"/>
      <c r="AB148" s="59"/>
      <c r="AC148" s="59"/>
      <c r="AD148" s="59"/>
      <c r="AE148" s="59"/>
      <c r="AF148" s="59"/>
      <c r="AG148" s="59"/>
      <c r="AH148" s="59"/>
      <c r="AI148" s="59" t="str">
        <f>IF(SUM(Dati[[#This Row],[Inv. Business]:[Inv. Cryptocurrency]])=0," ",SUM(Dati[[#This Row],[Inv. Business]:[Inv. Cryptocurrency]]))</f>
        <v xml:space="preserve"> </v>
      </c>
      <c r="AJ148" s="59"/>
      <c r="AK148" s="59" t="str">
        <f>IF(SUM(Dati[[#This Row],[Inv. Gold]:[Mutuo]])=0," ",SUM(Dati[[#This Row],[Inv. Gold]:[Mutuo]]))</f>
        <v xml:space="preserve"> </v>
      </c>
      <c r="AL148" s="59"/>
      <c r="AM148" s="59"/>
    </row>
    <row r="149" spans="2:39" ht="16" customHeight="1" x14ac:dyDescent="0.35">
      <c r="B149">
        <f t="shared" ref="B149:B212" si="6">ROW(129:129)</f>
        <v>129</v>
      </c>
      <c r="C149" s="49">
        <f t="shared" si="4"/>
        <v>45055</v>
      </c>
      <c r="D149" s="29">
        <f>DAY(Dati[[#This Row],[Data]])</f>
        <v>9</v>
      </c>
      <c r="E149" s="29" t="str">
        <f>IF(DAY(Data!$C$21:$C$1327)&gt;0,TEXT(Data!$C$21:$C$1327, "mmmm"),"")</f>
        <v>maggio</v>
      </c>
      <c r="F149" s="29" t="str">
        <f>IF(DAY(Data!$C$21:$C$1327)&gt;0,TEXT(Data!$C$21:$C$1327, "aaaa"),"")</f>
        <v>2023</v>
      </c>
      <c r="I149" t="str">
        <f>IF(OR(H149=$B$5,H149=$B$6,H149=$B$7,H149=$B$8,H149=$B$9,H149=$B$10,H149=$B$11,H149=$B$12,H149=$B$13,H149=$B$14),SottocategorieUscite[[#Headers],[Fuori Casa]],IF(OR(H149=$C$5,H149=$C$6,H149=$C$7,H149=$C$8,H149=$C$9,H149=$C$10,H149=$C$11,H149=$C$12,H149=$C$13,H149=$C$14),SottocategorieUscite[[#Headers],[Varie Uscite]],IF(OR(H149=$D$5,H149=$D$6,H149=$D$7,H149=$D$8,H149=$D$9,H149=$D$10,H149=$D$11,H149=$D$12,H149=$D$13,H149=$D$14),SottocategorieUscite[[#Headers],[Personali]],IF(OR(H149=$E$5,H149=$E$6,H149=$E$7,H149=$E$8,H149=$E$9,H149=$E$10,H149=$E$11,H149=$E$12,H149=$E$13,H149=$E$14),SottocategorieUscite[[#Headers],[Lavoro]],IF(OR(H149=$F$5,H149=$F$6,H149=$F$7,H149=$F$8,H149=$F$9,H149=$F$10,H149=$F$11,H149=$F$12,H149=$F$13,H149=$F$14),SottocategorieUscite[[#Headers],[Casa]],IF(OR(H149=$G$5,H149=$G$6,H149=$G$7,H149=$G$8,H149=$G$9,H149=$G$10,H149=$G$11,H149=$G$12,H149=$G$13,H149=$G$14),SottocategorieUscite[[#Headers],[Utenze]],IF(OR(H149=$H$5,H149=$H$6,H149=$H$7,H149=$H$8,H149=$H$9,H149=$H$10,H149=$H$11,H149=$H$12,H149=$H$13,H149=$H$14),SottocategorieUscite[[#Headers],[Business Uscite]],IF(OR(H149=$I$5,H149=$I$6,H149=$I$7,H149=$I$8,H149=$I$9,H149=$I$10,H149=$I$11,H149=$I$12,H149=$I$13,H149=$I$14),SottocategorieUscite[[#Headers],[Banca]],IF(OR(H149=K$5,H149=K$6,H149=K$7,H149=K$8,H149=K$9,H149=K$10,H149=K$11,H149=K$12,H149=K$13,H149=K$14),SottocategorieEntrate[[#Headers],[Business Entrate]],IF(OR(H149=L$5,H149=L$6,H149=L$7,H149=L$8,H149=L$9,H149=L$10,H149=L$11,H149=L$12,H149=L$13,H149=L$14),SottocategorieEntrate[[#Headers],[Varie Entrate]],IF(OR(H149=M$5,H149=M$6,H149=M$7,H149=M$8,H149=M$9,H149=M$10,H149=M$11,H149=M$12,H149=M$13,H149=M$14),SottocategorieEntrate[[#Headers],[Real Estate]],IF(OR(H149=N$5,H149=N$6,H149=N$7,H149=N$8,H149=N$9,H149=N$10,H149=N$11,H149=N$12,H149=N$13,H149=N$14),SottocategorieEntrate[[#Headers],[Other]],""))))))))))))</f>
        <v/>
      </c>
      <c r="J149" t="str">
        <f>IF(OR(Dati[[#This Row],[Categoria]]="Bollette",Dati[[#This Row],[Categoria]]="Conto &amp; Carte BNL",Dati[[#This Row],[Categoria]]="Prelievo",Dati[[#This Row],[Categoria]]="Affitto",Dati[[#This Row],[Categoria]]="BNL(Interessi Creditori)"),"Carta",IF(Dati[[#This Row],[Categoria]]&lt;&gt;0,"Cash",""))</f>
        <v/>
      </c>
      <c r="K149" s="59" t="str">
        <f>IF(OR(Data!$I149=SottocategorieUscite[[#Headers],[Fuori Casa]],Data!$I149=SottocategorieUscite[[#Headers],[Varie Uscite]],Data!$I149=SottocategorieUscite[[#Headers],[Personali]],Data!$I149=SottocategorieUscite[[#Headers],[Lavoro]]),"$ -","")</f>
        <v/>
      </c>
      <c r="L149" s="59" t="str">
        <f>IF(OR(Data!$I149=SottocategorieUscite[[#Headers],[Casa]],Data!$I149=SottocategorieUscite[[#Headers],[Utenze]],Data!$I149=SottocategorieUscite[[#Headers],[Business Uscite]],Data!$I149=SottocategorieUscite[[#Headers],[Banca]]),"$ -","")</f>
        <v/>
      </c>
      <c r="M149" s="59" t="str">
        <f>IF(OR($I149&lt;&gt;SottocategorieUscite[[#Headers],[Fuori Casa]],$I149&lt;&gt;SottocategorieUscite[[#Headers],[Varie Uscite]],$I149&lt;&gt;SottocategorieUscite[[#Headers],[Personali]],$I149&lt;&gt;SottocategorieUscite[[#Headers],[Lavoro]],$I149&lt;&gt;SottocategorieUscite[[#Headers],[Casa]],$I149&lt;&gt;SottocategorieUscite[[#Headers],[Utenze]],$I149&lt;&gt;SottocategorieUscite[[#Headers],[Business Uscite]],$I149&lt;&gt;SottocategorieUscite[[#Headers],[Banca]]),"","$ -")</f>
        <v/>
      </c>
      <c r="N149" s="59" t="str">
        <f>IF(OR(Data!$I149=SottocategorieEntrate[[#Headers],[Business Entrate]],Data!$I149=SottocategorieEntrate[[#Headers],[Varie Entrate]]),"$ -","")</f>
        <v/>
      </c>
      <c r="O149" s="59" t="str">
        <f>IF(OR(Data!$I149=SottocategorieEntrate[[#Headers],[Real Estate]],SottocategorieEntrate[[#Headers],[Other]]),"$ -","")</f>
        <v/>
      </c>
      <c r="P149" s="59" t="str">
        <f>IF(OR($I149&lt;&gt;SottocategorieEntrate[[#Headers],[Business Entrate]],$I149&lt;&gt;SottocategorieEntrate[[#Headers],[Varie Entrate]],$I149&lt;&gt;SottocategorieEntrate[[#Headers],[Real Estate]],$I149&lt;&gt;SottocategorieEntrate[[#Headers],[Other]]),"","$ -")</f>
        <v/>
      </c>
      <c r="Q149" s="59" t="str">
        <f>IF(Dati[[#This Row],[Categoria]]="Prelievo","€ -","")</f>
        <v/>
      </c>
      <c r="R149" s="244" t="str">
        <f t="shared" ca="1" si="5"/>
        <v/>
      </c>
      <c r="S149" s="59" t="str">
        <f>IF(Dati[[#This Row],[Categoria]]="Savings",0,"")</f>
        <v/>
      </c>
      <c r="T149" s="59"/>
      <c r="U149" s="59"/>
      <c r="V149" s="59"/>
      <c r="W149" s="59"/>
      <c r="X149" s="59"/>
      <c r="Y149" s="59"/>
      <c r="Z149" s="59"/>
      <c r="AA149" s="59"/>
      <c r="AB149" s="59"/>
      <c r="AC149" s="59"/>
      <c r="AD149" s="59"/>
      <c r="AE149" s="59"/>
      <c r="AF149" s="59"/>
      <c r="AG149" s="59"/>
      <c r="AH149" s="59"/>
      <c r="AI149" s="59" t="str">
        <f>IF(SUM(Dati[[#This Row],[Inv. Business]:[Inv. Cryptocurrency]])=0," ",SUM(Dati[[#This Row],[Inv. Business]:[Inv. Cryptocurrency]]))</f>
        <v xml:space="preserve"> </v>
      </c>
      <c r="AJ149" s="59"/>
      <c r="AK149" s="59" t="str">
        <f>IF(SUM(Dati[[#This Row],[Inv. Gold]:[Mutuo]])=0," ",SUM(Dati[[#This Row],[Inv. Gold]:[Mutuo]]))</f>
        <v xml:space="preserve"> </v>
      </c>
      <c r="AL149" s="59"/>
      <c r="AM149" s="59"/>
    </row>
    <row r="150" spans="2:39" ht="16" customHeight="1" x14ac:dyDescent="0.35">
      <c r="B150">
        <f t="shared" si="6"/>
        <v>130</v>
      </c>
      <c r="C150" s="49">
        <f t="shared" si="4"/>
        <v>45056</v>
      </c>
      <c r="D150" s="29">
        <f>DAY(Dati[[#This Row],[Data]])</f>
        <v>10</v>
      </c>
      <c r="E150" s="29" t="str">
        <f>IF(DAY(Data!$C$21:$C$1327)&gt;0,TEXT(Data!$C$21:$C$1327, "mmmm"),"")</f>
        <v>maggio</v>
      </c>
      <c r="F150" s="29" t="str">
        <f>IF(DAY(Data!$C$21:$C$1327)&gt;0,TEXT(Data!$C$21:$C$1327, "aaaa"),"")</f>
        <v>2023</v>
      </c>
      <c r="I150" t="str">
        <f>IF(OR(H150=$B$5,H150=$B$6,H150=$B$7,H150=$B$8,H150=$B$9,H150=$B$10,H150=$B$11,H150=$B$12,H150=$B$13,H150=$B$14),SottocategorieUscite[[#Headers],[Fuori Casa]],IF(OR(H150=$C$5,H150=$C$6,H150=$C$7,H150=$C$8,H150=$C$9,H150=$C$10,H150=$C$11,H150=$C$12,H150=$C$13,H150=$C$14),SottocategorieUscite[[#Headers],[Varie Uscite]],IF(OR(H150=$D$5,H150=$D$6,H150=$D$7,H150=$D$8,H150=$D$9,H150=$D$10,H150=$D$11,H150=$D$12,H150=$D$13,H150=$D$14),SottocategorieUscite[[#Headers],[Personali]],IF(OR(H150=$E$5,H150=$E$6,H150=$E$7,H150=$E$8,H150=$E$9,H150=$E$10,H150=$E$11,H150=$E$12,H150=$E$13,H150=$E$14),SottocategorieUscite[[#Headers],[Lavoro]],IF(OR(H150=$F$5,H150=$F$6,H150=$F$7,H150=$F$8,H150=$F$9,H150=$F$10,H150=$F$11,H150=$F$12,H150=$F$13,H150=$F$14),SottocategorieUscite[[#Headers],[Casa]],IF(OR(H150=$G$5,H150=$G$6,H150=$G$7,H150=$G$8,H150=$G$9,H150=$G$10,H150=$G$11,H150=$G$12,H150=$G$13,H150=$G$14),SottocategorieUscite[[#Headers],[Utenze]],IF(OR(H150=$H$5,H150=$H$6,H150=$H$7,H150=$H$8,H150=$H$9,H150=$H$10,H150=$H$11,H150=$H$12,H150=$H$13,H150=$H$14),SottocategorieUscite[[#Headers],[Business Uscite]],IF(OR(H150=$I$5,H150=$I$6,H150=$I$7,H150=$I$8,H150=$I$9,H150=$I$10,H150=$I$11,H150=$I$12,H150=$I$13,H150=$I$14),SottocategorieUscite[[#Headers],[Banca]],IF(OR(H150=K$5,H150=K$6,H150=K$7,H150=K$8,H150=K$9,H150=K$10,H150=K$11,H150=K$12,H150=K$13,H150=K$14),SottocategorieEntrate[[#Headers],[Business Entrate]],IF(OR(H150=L$5,H150=L$6,H150=L$7,H150=L$8,H150=L$9,H150=L$10,H150=L$11,H150=L$12,H150=L$13,H150=L$14),SottocategorieEntrate[[#Headers],[Varie Entrate]],IF(OR(H150=M$5,H150=M$6,H150=M$7,H150=M$8,H150=M$9,H150=M$10,H150=M$11,H150=M$12,H150=M$13,H150=M$14),SottocategorieEntrate[[#Headers],[Real Estate]],IF(OR(H150=N$5,H150=N$6,H150=N$7,H150=N$8,H150=N$9,H150=N$10,H150=N$11,H150=N$12,H150=N$13,H150=N$14),SottocategorieEntrate[[#Headers],[Other]],""))))))))))))</f>
        <v/>
      </c>
      <c r="J150" t="str">
        <f>IF(OR(Dati[[#This Row],[Categoria]]="Bollette",Dati[[#This Row],[Categoria]]="Conto &amp; Carte BNL",Dati[[#This Row],[Categoria]]="Prelievo",Dati[[#This Row],[Categoria]]="Affitto",Dati[[#This Row],[Categoria]]="BNL(Interessi Creditori)"),"Carta",IF(Dati[[#This Row],[Categoria]]&lt;&gt;0,"Cash",""))</f>
        <v/>
      </c>
      <c r="K150" s="59" t="str">
        <f>IF(OR(Data!$I150=SottocategorieUscite[[#Headers],[Fuori Casa]],Data!$I150=SottocategorieUscite[[#Headers],[Varie Uscite]],Data!$I150=SottocategorieUscite[[#Headers],[Personali]],Data!$I150=SottocategorieUscite[[#Headers],[Lavoro]]),"$ -","")</f>
        <v/>
      </c>
      <c r="L150" s="59" t="str">
        <f>IF(OR(Data!$I150=SottocategorieUscite[[#Headers],[Casa]],Data!$I150=SottocategorieUscite[[#Headers],[Utenze]],Data!$I150=SottocategorieUscite[[#Headers],[Business Uscite]],Data!$I150=SottocategorieUscite[[#Headers],[Banca]]),"$ -","")</f>
        <v/>
      </c>
      <c r="M150" s="59" t="str">
        <f>IF(OR($I150&lt;&gt;SottocategorieUscite[[#Headers],[Fuori Casa]],$I150&lt;&gt;SottocategorieUscite[[#Headers],[Varie Uscite]],$I150&lt;&gt;SottocategorieUscite[[#Headers],[Personali]],$I150&lt;&gt;SottocategorieUscite[[#Headers],[Lavoro]],$I150&lt;&gt;SottocategorieUscite[[#Headers],[Casa]],$I150&lt;&gt;SottocategorieUscite[[#Headers],[Utenze]],$I150&lt;&gt;SottocategorieUscite[[#Headers],[Business Uscite]],$I150&lt;&gt;SottocategorieUscite[[#Headers],[Banca]]),"","$ -")</f>
        <v/>
      </c>
      <c r="N150" s="59" t="str">
        <f>IF(OR(Data!$I150=SottocategorieEntrate[[#Headers],[Business Entrate]],Data!$I150=SottocategorieEntrate[[#Headers],[Varie Entrate]]),"$ -","")</f>
        <v/>
      </c>
      <c r="O150" s="59" t="str">
        <f>IF(OR(Data!$I150=SottocategorieEntrate[[#Headers],[Real Estate]],SottocategorieEntrate[[#Headers],[Other]]),"$ -","")</f>
        <v/>
      </c>
      <c r="P150" s="59" t="str">
        <f>IF(OR($I150&lt;&gt;SottocategorieEntrate[[#Headers],[Business Entrate]],$I150&lt;&gt;SottocategorieEntrate[[#Headers],[Varie Entrate]],$I150&lt;&gt;SottocategorieEntrate[[#Headers],[Real Estate]],$I150&lt;&gt;SottocategorieEntrate[[#Headers],[Other]]),"","$ -")</f>
        <v/>
      </c>
      <c r="Q150" s="59" t="str">
        <f>IF(Dati[[#This Row],[Categoria]]="Prelievo","€ -","")</f>
        <v/>
      </c>
      <c r="R150" s="244" t="str">
        <f t="shared" ca="1" si="5"/>
        <v/>
      </c>
      <c r="S150" s="59" t="str">
        <f>IF(Dati[[#This Row],[Categoria]]="Savings",0,"")</f>
        <v/>
      </c>
      <c r="T150" s="59"/>
      <c r="U150" s="59"/>
      <c r="V150" s="59"/>
      <c r="W150" s="59"/>
      <c r="X150" s="59"/>
      <c r="Y150" s="59"/>
      <c r="Z150" s="59"/>
      <c r="AA150" s="59"/>
      <c r="AB150" s="59"/>
      <c r="AC150" s="59"/>
      <c r="AD150" s="59"/>
      <c r="AE150" s="59"/>
      <c r="AF150" s="59"/>
      <c r="AG150" s="59"/>
      <c r="AH150" s="59"/>
      <c r="AI150" s="59" t="str">
        <f>IF(SUM(Dati[[#This Row],[Inv. Business]:[Inv. Cryptocurrency]])=0," ",SUM(Dati[[#This Row],[Inv. Business]:[Inv. Cryptocurrency]]))</f>
        <v xml:space="preserve"> </v>
      </c>
      <c r="AJ150" s="59"/>
      <c r="AK150" s="59" t="str">
        <f>IF(SUM(Dati[[#This Row],[Inv. Gold]:[Mutuo]])=0," ",SUM(Dati[[#This Row],[Inv. Gold]:[Mutuo]]))</f>
        <v xml:space="preserve"> </v>
      </c>
      <c r="AL150" s="59"/>
      <c r="AM150" s="59"/>
    </row>
    <row r="151" spans="2:39" ht="16" customHeight="1" x14ac:dyDescent="0.35">
      <c r="B151">
        <f t="shared" si="6"/>
        <v>131</v>
      </c>
      <c r="C151" s="49">
        <f t="shared" ref="C151:C214" si="7">C150+1</f>
        <v>45057</v>
      </c>
      <c r="D151" s="29">
        <f>DAY(Dati[[#This Row],[Data]])</f>
        <v>11</v>
      </c>
      <c r="E151" s="29" t="str">
        <f>IF(DAY(Data!$C$21:$C$1327)&gt;0,TEXT(Data!$C$21:$C$1327, "mmmm"),"")</f>
        <v>maggio</v>
      </c>
      <c r="F151" s="29" t="str">
        <f>IF(DAY(Data!$C$21:$C$1327)&gt;0,TEXT(Data!$C$21:$C$1327, "aaaa"),"")</f>
        <v>2023</v>
      </c>
      <c r="I151" t="str">
        <f>IF(OR(H151=$B$5,H151=$B$6,H151=$B$7,H151=$B$8,H151=$B$9,H151=$B$10,H151=$B$11,H151=$B$12,H151=$B$13,H151=$B$14),SottocategorieUscite[[#Headers],[Fuori Casa]],IF(OR(H151=$C$5,H151=$C$6,H151=$C$7,H151=$C$8,H151=$C$9,H151=$C$10,H151=$C$11,H151=$C$12,H151=$C$13,H151=$C$14),SottocategorieUscite[[#Headers],[Varie Uscite]],IF(OR(H151=$D$5,H151=$D$6,H151=$D$7,H151=$D$8,H151=$D$9,H151=$D$10,H151=$D$11,H151=$D$12,H151=$D$13,H151=$D$14),SottocategorieUscite[[#Headers],[Personali]],IF(OR(H151=$E$5,H151=$E$6,H151=$E$7,H151=$E$8,H151=$E$9,H151=$E$10,H151=$E$11,H151=$E$12,H151=$E$13,H151=$E$14),SottocategorieUscite[[#Headers],[Lavoro]],IF(OR(H151=$F$5,H151=$F$6,H151=$F$7,H151=$F$8,H151=$F$9,H151=$F$10,H151=$F$11,H151=$F$12,H151=$F$13,H151=$F$14),SottocategorieUscite[[#Headers],[Casa]],IF(OR(H151=$G$5,H151=$G$6,H151=$G$7,H151=$G$8,H151=$G$9,H151=$G$10,H151=$G$11,H151=$G$12,H151=$G$13,H151=$G$14),SottocategorieUscite[[#Headers],[Utenze]],IF(OR(H151=$H$5,H151=$H$6,H151=$H$7,H151=$H$8,H151=$H$9,H151=$H$10,H151=$H$11,H151=$H$12,H151=$H$13,H151=$H$14),SottocategorieUscite[[#Headers],[Business Uscite]],IF(OR(H151=$I$5,H151=$I$6,H151=$I$7,H151=$I$8,H151=$I$9,H151=$I$10,H151=$I$11,H151=$I$12,H151=$I$13,H151=$I$14),SottocategorieUscite[[#Headers],[Banca]],IF(OR(H151=K$5,H151=K$6,H151=K$7,H151=K$8,H151=K$9,H151=K$10,H151=K$11,H151=K$12,H151=K$13,H151=K$14),SottocategorieEntrate[[#Headers],[Business Entrate]],IF(OR(H151=L$5,H151=L$6,H151=L$7,H151=L$8,H151=L$9,H151=L$10,H151=L$11,H151=L$12,H151=L$13,H151=L$14),SottocategorieEntrate[[#Headers],[Varie Entrate]],IF(OR(H151=M$5,H151=M$6,H151=M$7,H151=M$8,H151=M$9,H151=M$10,H151=M$11,H151=M$12,H151=M$13,H151=M$14),SottocategorieEntrate[[#Headers],[Real Estate]],IF(OR(H151=N$5,H151=N$6,H151=N$7,H151=N$8,H151=N$9,H151=N$10,H151=N$11,H151=N$12,H151=N$13,H151=N$14),SottocategorieEntrate[[#Headers],[Other]],""))))))))))))</f>
        <v/>
      </c>
      <c r="J151" t="str">
        <f>IF(OR(Dati[[#This Row],[Categoria]]="Bollette",Dati[[#This Row],[Categoria]]="Conto &amp; Carte BNL",Dati[[#This Row],[Categoria]]="Prelievo",Dati[[#This Row],[Categoria]]="Affitto",Dati[[#This Row],[Categoria]]="BNL(Interessi Creditori)"),"Carta",IF(Dati[[#This Row],[Categoria]]&lt;&gt;0,"Cash",""))</f>
        <v/>
      </c>
      <c r="K151" s="59" t="str">
        <f>IF(OR(Data!$I151=SottocategorieUscite[[#Headers],[Fuori Casa]],Data!$I151=SottocategorieUscite[[#Headers],[Varie Uscite]],Data!$I151=SottocategorieUscite[[#Headers],[Personali]],Data!$I151=SottocategorieUscite[[#Headers],[Lavoro]]),"$ -","")</f>
        <v/>
      </c>
      <c r="L151" s="59" t="str">
        <f>IF(OR(Data!$I151=SottocategorieUscite[[#Headers],[Casa]],Data!$I151=SottocategorieUscite[[#Headers],[Utenze]],Data!$I151=SottocategorieUscite[[#Headers],[Business Uscite]],Data!$I151=SottocategorieUscite[[#Headers],[Banca]]),"$ -","")</f>
        <v/>
      </c>
      <c r="M151" s="59" t="str">
        <f>IF(OR($I151&lt;&gt;SottocategorieUscite[[#Headers],[Fuori Casa]],$I151&lt;&gt;SottocategorieUscite[[#Headers],[Varie Uscite]],$I151&lt;&gt;SottocategorieUscite[[#Headers],[Personali]],$I151&lt;&gt;SottocategorieUscite[[#Headers],[Lavoro]],$I151&lt;&gt;SottocategorieUscite[[#Headers],[Casa]],$I151&lt;&gt;SottocategorieUscite[[#Headers],[Utenze]],$I151&lt;&gt;SottocategorieUscite[[#Headers],[Business Uscite]],$I151&lt;&gt;SottocategorieUscite[[#Headers],[Banca]]),"","$ -")</f>
        <v/>
      </c>
      <c r="N151" s="59" t="str">
        <f>IF(OR(Data!$I151=SottocategorieEntrate[[#Headers],[Business Entrate]],Data!$I151=SottocategorieEntrate[[#Headers],[Varie Entrate]]),"$ -","")</f>
        <v/>
      </c>
      <c r="O151" s="59" t="str">
        <f>IF(OR(Data!$I151=SottocategorieEntrate[[#Headers],[Real Estate]],SottocategorieEntrate[[#Headers],[Other]]),"$ -","")</f>
        <v/>
      </c>
      <c r="P151" s="59" t="str">
        <f>IF(OR($I151&lt;&gt;SottocategorieEntrate[[#Headers],[Business Entrate]],$I151&lt;&gt;SottocategorieEntrate[[#Headers],[Varie Entrate]],$I151&lt;&gt;SottocategorieEntrate[[#Headers],[Real Estate]],$I151&lt;&gt;SottocategorieEntrate[[#Headers],[Other]]),"","$ -")</f>
        <v/>
      </c>
      <c r="Q151" s="59" t="str">
        <f>IF(Dati[[#This Row],[Categoria]]="Prelievo","€ -","")</f>
        <v/>
      </c>
      <c r="R151" s="244" t="str">
        <f t="shared" ref="R151:R214" ca="1" si="8">IF(I151="","",IF(AND(I151&lt;&gt;"",COUNTBLANK(OFFSET(R151,-15,0,15,1))=15),SUM(OFFSET(R151,-16,0)+SUM(N151:P151)-SUM(K151:M151)),IF(AND(I151&lt;&gt;"",COUNTBLANK(OFFSET(R151,-14,0,14,1))=14),SUM(OFFSET(R151,-15,0)+SUM(N151:P151)-SUM(K151:M151)),IF(AND(I151&lt;&gt;"",COUNTBLANK(OFFSET(R151,-13,0,13,1))=13),SUM(OFFSET(R151,-14,0)+SUM(N151:P151)-SUM(K151:M151)),IF(AND(I151&lt;&gt;"",COUNTBLANK(OFFSET(R151,-12,0,12,1))=12),SUM(OFFSET(R151,-13,0)+SUM(N151:P151)-SUM(K151:M151)),IF(AND(I151&lt;&gt;"",COUNTBLANK(OFFSET(R151,-11,0,11,1))=11),SUM(OFFSET(R151,-12,0)+SUM(N151:P151)-SUM(K151:M151)),IF(AND(I151&lt;&gt;"",COUNTBLANK(OFFSET(R151,-10,0,10,1))=10),SUM(OFFSET(R151,-11,0)+SUM(N151:P151)-SUM(K151:M151)),IF(AND(I151&lt;&gt;"",COUNTBLANK(OFFSET(R151,-9,0,9,1))=9),SUM(OFFSET(R151,-10,0)+SUM(N151:P151)-SUM(K151:M151)),IF(AND(I151&lt;&gt;"",COUNTBLANK(OFFSET(R151,-8,0,8,1))=8),SUM(OFFSET(R151,-9,0)+SUM(N151:P151)-SUM(K151:M151)),IF(AND(I151&lt;&gt;"",COUNTBLANK(OFFSET(R151,-7,0,7,1))=7),SUM(OFFSET(R151,-8,0)+SUM(N151:P151)-SUM(K151:M151)),IF(AND(I151&lt;&gt;"",COUNTBLANK(OFFSET(R151,-6,0,6,1))=6),SUM(OFFSET(R151,-7,0)+SUM(N151:P151)-SUM(K151:M151)),IF(AND(I151&lt;&gt;"",COUNTBLANK(OFFSET(R151,-5,0,5,1))=5),SUM(OFFSET(R151,-6,0)+SUM(N151:P151)-SUM(K151:M151)),IF(AND(I151&lt;&gt;"",COUNTBLANK(OFFSET(R151,-4,0,4,1))=4),SUM(OFFSET(R151,-5,0)+SUM(N151:P151)-SUM(K151:M151)),IF(AND(I151&lt;&gt;"",COUNTBLANK(OFFSET(R151,-3,0,3,1))=3),SUM(OFFSET(R151,-4,0)+SUM(N151:P151)-SUM(K151:M151)),IF(AND(I151&lt;&gt;"",COUNTBLANK(OFFSET(R151,-2,0,2,1))=2),SUM(OFFSET(R151,-3,0)+SUM(N151:P151)-SUM(K151:M151)),IF(AND(I151&lt;&gt;"",COUNTBLANK(OFFSET(R151,-1,0,1,1))=1),SUM(OFFSET(R151,-2,0)+SUM(N151:P151)-SUM(K151:M151)),IF(AND(I151&lt;&gt;"",OFFSET(R151,-1,0)&gt;0),SUM(OFFSET(R151,-1,0)+SUM(N151:P151)-SUM(K151:M151)))))))))))))))))))</f>
        <v/>
      </c>
      <c r="S151" s="59" t="str">
        <f>IF(Dati[[#This Row],[Categoria]]="Savings",0,"")</f>
        <v/>
      </c>
      <c r="T151" s="59"/>
      <c r="U151" s="59"/>
      <c r="V151" s="59"/>
      <c r="W151" s="59"/>
      <c r="X151" s="59"/>
      <c r="Y151" s="59"/>
      <c r="Z151" s="59"/>
      <c r="AA151" s="59"/>
      <c r="AB151" s="59"/>
      <c r="AC151" s="59"/>
      <c r="AD151" s="59"/>
      <c r="AE151" s="59"/>
      <c r="AF151" s="59"/>
      <c r="AG151" s="59"/>
      <c r="AH151" s="59"/>
      <c r="AI151" s="59" t="str">
        <f>IF(SUM(Dati[[#This Row],[Inv. Business]:[Inv. Cryptocurrency]])=0," ",SUM(Dati[[#This Row],[Inv. Business]:[Inv. Cryptocurrency]]))</f>
        <v xml:space="preserve"> </v>
      </c>
      <c r="AJ151" s="59"/>
      <c r="AK151" s="59" t="str">
        <f>IF(SUM(Dati[[#This Row],[Inv. Gold]:[Mutuo]])=0," ",SUM(Dati[[#This Row],[Inv. Gold]:[Mutuo]]))</f>
        <v xml:space="preserve"> </v>
      </c>
      <c r="AL151" s="59"/>
      <c r="AM151" s="59"/>
    </row>
    <row r="152" spans="2:39" ht="16" customHeight="1" x14ac:dyDescent="0.35">
      <c r="B152">
        <f t="shared" si="6"/>
        <v>132</v>
      </c>
      <c r="C152" s="49">
        <f t="shared" si="7"/>
        <v>45058</v>
      </c>
      <c r="D152" s="29">
        <f>DAY(Dati[[#This Row],[Data]])</f>
        <v>12</v>
      </c>
      <c r="E152" s="29" t="str">
        <f>IF(DAY(Data!$C$21:$C$1327)&gt;0,TEXT(Data!$C$21:$C$1327, "mmmm"),"")</f>
        <v>maggio</v>
      </c>
      <c r="F152" s="29" t="str">
        <f>IF(DAY(Data!$C$21:$C$1327)&gt;0,TEXT(Data!$C$21:$C$1327, "aaaa"),"")</f>
        <v>2023</v>
      </c>
      <c r="I152" t="str">
        <f>IF(OR(H152=$B$5,H152=$B$6,H152=$B$7,H152=$B$8,H152=$B$9,H152=$B$10,H152=$B$11,H152=$B$12,H152=$B$13,H152=$B$14),SottocategorieUscite[[#Headers],[Fuori Casa]],IF(OR(H152=$C$5,H152=$C$6,H152=$C$7,H152=$C$8,H152=$C$9,H152=$C$10,H152=$C$11,H152=$C$12,H152=$C$13,H152=$C$14),SottocategorieUscite[[#Headers],[Varie Uscite]],IF(OR(H152=$D$5,H152=$D$6,H152=$D$7,H152=$D$8,H152=$D$9,H152=$D$10,H152=$D$11,H152=$D$12,H152=$D$13,H152=$D$14),SottocategorieUscite[[#Headers],[Personali]],IF(OR(H152=$E$5,H152=$E$6,H152=$E$7,H152=$E$8,H152=$E$9,H152=$E$10,H152=$E$11,H152=$E$12,H152=$E$13,H152=$E$14),SottocategorieUscite[[#Headers],[Lavoro]],IF(OR(H152=$F$5,H152=$F$6,H152=$F$7,H152=$F$8,H152=$F$9,H152=$F$10,H152=$F$11,H152=$F$12,H152=$F$13,H152=$F$14),SottocategorieUscite[[#Headers],[Casa]],IF(OR(H152=$G$5,H152=$G$6,H152=$G$7,H152=$G$8,H152=$G$9,H152=$G$10,H152=$G$11,H152=$G$12,H152=$G$13,H152=$G$14),SottocategorieUscite[[#Headers],[Utenze]],IF(OR(H152=$H$5,H152=$H$6,H152=$H$7,H152=$H$8,H152=$H$9,H152=$H$10,H152=$H$11,H152=$H$12,H152=$H$13,H152=$H$14),SottocategorieUscite[[#Headers],[Business Uscite]],IF(OR(H152=$I$5,H152=$I$6,H152=$I$7,H152=$I$8,H152=$I$9,H152=$I$10,H152=$I$11,H152=$I$12,H152=$I$13,H152=$I$14),SottocategorieUscite[[#Headers],[Banca]],IF(OR(H152=K$5,H152=K$6,H152=K$7,H152=K$8,H152=K$9,H152=K$10,H152=K$11,H152=K$12,H152=K$13,H152=K$14),SottocategorieEntrate[[#Headers],[Business Entrate]],IF(OR(H152=L$5,H152=L$6,H152=L$7,H152=L$8,H152=L$9,H152=L$10,H152=L$11,H152=L$12,H152=L$13,H152=L$14),SottocategorieEntrate[[#Headers],[Varie Entrate]],IF(OR(H152=M$5,H152=M$6,H152=M$7,H152=M$8,H152=M$9,H152=M$10,H152=M$11,H152=M$12,H152=M$13,H152=M$14),SottocategorieEntrate[[#Headers],[Real Estate]],IF(OR(H152=N$5,H152=N$6,H152=N$7,H152=N$8,H152=N$9,H152=N$10,H152=N$11,H152=N$12,H152=N$13,H152=N$14),SottocategorieEntrate[[#Headers],[Other]],""))))))))))))</f>
        <v/>
      </c>
      <c r="J152" t="str">
        <f>IF(OR(Dati[[#This Row],[Categoria]]="Bollette",Dati[[#This Row],[Categoria]]="Conto &amp; Carte BNL",Dati[[#This Row],[Categoria]]="Prelievo",Dati[[#This Row],[Categoria]]="Affitto",Dati[[#This Row],[Categoria]]="BNL(Interessi Creditori)"),"Carta",IF(Dati[[#This Row],[Categoria]]&lt;&gt;0,"Cash",""))</f>
        <v/>
      </c>
      <c r="K152" s="59" t="str">
        <f>IF(OR(Data!$I152=SottocategorieUscite[[#Headers],[Fuori Casa]],Data!$I152=SottocategorieUscite[[#Headers],[Varie Uscite]],Data!$I152=SottocategorieUscite[[#Headers],[Personali]],Data!$I152=SottocategorieUscite[[#Headers],[Lavoro]]),"$ -","")</f>
        <v/>
      </c>
      <c r="L152" s="59" t="str">
        <f>IF(OR(Data!$I152=SottocategorieUscite[[#Headers],[Casa]],Data!$I152=SottocategorieUscite[[#Headers],[Utenze]],Data!$I152=SottocategorieUscite[[#Headers],[Business Uscite]],Data!$I152=SottocategorieUscite[[#Headers],[Banca]]),"$ -","")</f>
        <v/>
      </c>
      <c r="M152" s="59" t="str">
        <f>IF(OR($I152&lt;&gt;SottocategorieUscite[[#Headers],[Fuori Casa]],$I152&lt;&gt;SottocategorieUscite[[#Headers],[Varie Uscite]],$I152&lt;&gt;SottocategorieUscite[[#Headers],[Personali]],$I152&lt;&gt;SottocategorieUscite[[#Headers],[Lavoro]],$I152&lt;&gt;SottocategorieUscite[[#Headers],[Casa]],$I152&lt;&gt;SottocategorieUscite[[#Headers],[Utenze]],$I152&lt;&gt;SottocategorieUscite[[#Headers],[Business Uscite]],$I152&lt;&gt;SottocategorieUscite[[#Headers],[Banca]]),"","$ -")</f>
        <v/>
      </c>
      <c r="N152" s="59" t="str">
        <f>IF(OR(Data!$I152=SottocategorieEntrate[[#Headers],[Business Entrate]],Data!$I152=SottocategorieEntrate[[#Headers],[Varie Entrate]]),"$ -","")</f>
        <v/>
      </c>
      <c r="O152" s="59" t="str">
        <f>IF(OR(Data!$I152=SottocategorieEntrate[[#Headers],[Real Estate]],SottocategorieEntrate[[#Headers],[Other]]),"$ -","")</f>
        <v/>
      </c>
      <c r="P152" s="59" t="str">
        <f>IF(OR($I152&lt;&gt;SottocategorieEntrate[[#Headers],[Business Entrate]],$I152&lt;&gt;SottocategorieEntrate[[#Headers],[Varie Entrate]],$I152&lt;&gt;SottocategorieEntrate[[#Headers],[Real Estate]],$I152&lt;&gt;SottocategorieEntrate[[#Headers],[Other]]),"","$ -")</f>
        <v/>
      </c>
      <c r="Q152" s="59" t="str">
        <f>IF(Dati[[#This Row],[Categoria]]="Prelievo","€ -","")</f>
        <v/>
      </c>
      <c r="R152" s="244" t="str">
        <f t="shared" ca="1" si="8"/>
        <v/>
      </c>
      <c r="S152" s="59" t="str">
        <f>IF(Dati[[#This Row],[Categoria]]="Savings",0,"")</f>
        <v/>
      </c>
      <c r="T152" s="59"/>
      <c r="U152" s="59"/>
      <c r="V152" s="59"/>
      <c r="W152" s="59"/>
      <c r="X152" s="59"/>
      <c r="Y152" s="59"/>
      <c r="Z152" s="59"/>
      <c r="AA152" s="59"/>
      <c r="AB152" s="59"/>
      <c r="AC152" s="59"/>
      <c r="AD152" s="59"/>
      <c r="AE152" s="59"/>
      <c r="AF152" s="59"/>
      <c r="AG152" s="59"/>
      <c r="AH152" s="59"/>
      <c r="AI152" s="59" t="str">
        <f>IF(SUM(Dati[[#This Row],[Inv. Business]:[Inv. Cryptocurrency]])=0," ",SUM(Dati[[#This Row],[Inv. Business]:[Inv. Cryptocurrency]]))</f>
        <v xml:space="preserve"> </v>
      </c>
      <c r="AJ152" s="59"/>
      <c r="AK152" s="59" t="str">
        <f>IF(SUM(Dati[[#This Row],[Inv. Gold]:[Mutuo]])=0," ",SUM(Dati[[#This Row],[Inv. Gold]:[Mutuo]]))</f>
        <v xml:space="preserve"> </v>
      </c>
      <c r="AL152" s="59"/>
      <c r="AM152" s="59"/>
    </row>
    <row r="153" spans="2:39" ht="16" customHeight="1" x14ac:dyDescent="0.35">
      <c r="B153">
        <f t="shared" si="6"/>
        <v>133</v>
      </c>
      <c r="C153" s="49">
        <f t="shared" si="7"/>
        <v>45059</v>
      </c>
      <c r="D153" s="29">
        <f>DAY(Dati[[#This Row],[Data]])</f>
        <v>13</v>
      </c>
      <c r="E153" s="29" t="str">
        <f>IF(DAY(Data!$C$21:$C$1327)&gt;0,TEXT(Data!$C$21:$C$1327, "mmmm"),"")</f>
        <v>maggio</v>
      </c>
      <c r="F153" s="29" t="str">
        <f>IF(DAY(Data!$C$21:$C$1327)&gt;0,TEXT(Data!$C$21:$C$1327, "aaaa"),"")</f>
        <v>2023</v>
      </c>
      <c r="I153" t="str">
        <f>IF(OR(H153=$B$5,H153=$B$6,H153=$B$7,H153=$B$8,H153=$B$9,H153=$B$10,H153=$B$11,H153=$B$12,H153=$B$13,H153=$B$14),SottocategorieUscite[[#Headers],[Fuori Casa]],IF(OR(H153=$C$5,H153=$C$6,H153=$C$7,H153=$C$8,H153=$C$9,H153=$C$10,H153=$C$11,H153=$C$12,H153=$C$13,H153=$C$14),SottocategorieUscite[[#Headers],[Varie Uscite]],IF(OR(H153=$D$5,H153=$D$6,H153=$D$7,H153=$D$8,H153=$D$9,H153=$D$10,H153=$D$11,H153=$D$12,H153=$D$13,H153=$D$14),SottocategorieUscite[[#Headers],[Personali]],IF(OR(H153=$E$5,H153=$E$6,H153=$E$7,H153=$E$8,H153=$E$9,H153=$E$10,H153=$E$11,H153=$E$12,H153=$E$13,H153=$E$14),SottocategorieUscite[[#Headers],[Lavoro]],IF(OR(H153=$F$5,H153=$F$6,H153=$F$7,H153=$F$8,H153=$F$9,H153=$F$10,H153=$F$11,H153=$F$12,H153=$F$13,H153=$F$14),SottocategorieUscite[[#Headers],[Casa]],IF(OR(H153=$G$5,H153=$G$6,H153=$G$7,H153=$G$8,H153=$G$9,H153=$G$10,H153=$G$11,H153=$G$12,H153=$G$13,H153=$G$14),SottocategorieUscite[[#Headers],[Utenze]],IF(OR(H153=$H$5,H153=$H$6,H153=$H$7,H153=$H$8,H153=$H$9,H153=$H$10,H153=$H$11,H153=$H$12,H153=$H$13,H153=$H$14),SottocategorieUscite[[#Headers],[Business Uscite]],IF(OR(H153=$I$5,H153=$I$6,H153=$I$7,H153=$I$8,H153=$I$9,H153=$I$10,H153=$I$11,H153=$I$12,H153=$I$13,H153=$I$14),SottocategorieUscite[[#Headers],[Banca]],IF(OR(H153=K$5,H153=K$6,H153=K$7,H153=K$8,H153=K$9,H153=K$10,H153=K$11,H153=K$12,H153=K$13,H153=K$14),SottocategorieEntrate[[#Headers],[Business Entrate]],IF(OR(H153=L$5,H153=L$6,H153=L$7,H153=L$8,H153=L$9,H153=L$10,H153=L$11,H153=L$12,H153=L$13,H153=L$14),SottocategorieEntrate[[#Headers],[Varie Entrate]],IF(OR(H153=M$5,H153=M$6,H153=M$7,H153=M$8,H153=M$9,H153=M$10,H153=M$11,H153=M$12,H153=M$13,H153=M$14),SottocategorieEntrate[[#Headers],[Real Estate]],IF(OR(H153=N$5,H153=N$6,H153=N$7,H153=N$8,H153=N$9,H153=N$10,H153=N$11,H153=N$12,H153=N$13,H153=N$14),SottocategorieEntrate[[#Headers],[Other]],""))))))))))))</f>
        <v/>
      </c>
      <c r="J153" t="str">
        <f>IF(OR(Dati[[#This Row],[Categoria]]="Bollette",Dati[[#This Row],[Categoria]]="Conto &amp; Carte BNL",Dati[[#This Row],[Categoria]]="Prelievo",Dati[[#This Row],[Categoria]]="Affitto",Dati[[#This Row],[Categoria]]="BNL(Interessi Creditori)"),"Carta",IF(Dati[[#This Row],[Categoria]]&lt;&gt;0,"Cash",""))</f>
        <v/>
      </c>
      <c r="K153" s="59" t="str">
        <f>IF(OR(Data!$I153=SottocategorieUscite[[#Headers],[Fuori Casa]],Data!$I153=SottocategorieUscite[[#Headers],[Varie Uscite]],Data!$I153=SottocategorieUscite[[#Headers],[Personali]],Data!$I153=SottocategorieUscite[[#Headers],[Lavoro]]),"$ -","")</f>
        <v/>
      </c>
      <c r="L153" s="59" t="str">
        <f>IF(OR(Data!$I153=SottocategorieUscite[[#Headers],[Casa]],Data!$I153=SottocategorieUscite[[#Headers],[Utenze]],Data!$I153=SottocategorieUscite[[#Headers],[Business Uscite]],Data!$I153=SottocategorieUscite[[#Headers],[Banca]]),"$ -","")</f>
        <v/>
      </c>
      <c r="M153" s="59" t="str">
        <f>IF(OR($I153&lt;&gt;SottocategorieUscite[[#Headers],[Fuori Casa]],$I153&lt;&gt;SottocategorieUscite[[#Headers],[Varie Uscite]],$I153&lt;&gt;SottocategorieUscite[[#Headers],[Personali]],$I153&lt;&gt;SottocategorieUscite[[#Headers],[Lavoro]],$I153&lt;&gt;SottocategorieUscite[[#Headers],[Casa]],$I153&lt;&gt;SottocategorieUscite[[#Headers],[Utenze]],$I153&lt;&gt;SottocategorieUscite[[#Headers],[Business Uscite]],$I153&lt;&gt;SottocategorieUscite[[#Headers],[Banca]]),"","$ -")</f>
        <v/>
      </c>
      <c r="N153" s="59" t="str">
        <f>IF(OR(Data!$I153=SottocategorieEntrate[[#Headers],[Business Entrate]],Data!$I153=SottocategorieEntrate[[#Headers],[Varie Entrate]]),"$ -","")</f>
        <v/>
      </c>
      <c r="O153" s="59" t="str">
        <f>IF(OR(Data!$I153=SottocategorieEntrate[[#Headers],[Real Estate]],SottocategorieEntrate[[#Headers],[Other]]),"$ -","")</f>
        <v/>
      </c>
      <c r="P153" s="59" t="str">
        <f>IF(OR($I153&lt;&gt;SottocategorieEntrate[[#Headers],[Business Entrate]],$I153&lt;&gt;SottocategorieEntrate[[#Headers],[Varie Entrate]],$I153&lt;&gt;SottocategorieEntrate[[#Headers],[Real Estate]],$I153&lt;&gt;SottocategorieEntrate[[#Headers],[Other]]),"","$ -")</f>
        <v/>
      </c>
      <c r="Q153" s="59" t="str">
        <f>IF(Dati[[#This Row],[Categoria]]="Prelievo","€ -","")</f>
        <v/>
      </c>
      <c r="R153" s="244" t="str">
        <f t="shared" ca="1" si="8"/>
        <v/>
      </c>
      <c r="S153" s="59" t="str">
        <f>IF(Dati[[#This Row],[Categoria]]="Savings",0,"")</f>
        <v/>
      </c>
      <c r="T153" s="59"/>
      <c r="U153" s="59"/>
      <c r="V153" s="59"/>
      <c r="W153" s="59"/>
      <c r="X153" s="59"/>
      <c r="Y153" s="59"/>
      <c r="Z153" s="59"/>
      <c r="AA153" s="59"/>
      <c r="AB153" s="59"/>
      <c r="AC153" s="59"/>
      <c r="AD153" s="59"/>
      <c r="AE153" s="59"/>
      <c r="AF153" s="59"/>
      <c r="AG153" s="59"/>
      <c r="AH153" s="59"/>
      <c r="AI153" s="59" t="str">
        <f>IF(SUM(Dati[[#This Row],[Inv. Business]:[Inv. Cryptocurrency]])=0," ",SUM(Dati[[#This Row],[Inv. Business]:[Inv. Cryptocurrency]]))</f>
        <v xml:space="preserve"> </v>
      </c>
      <c r="AJ153" s="59"/>
      <c r="AK153" s="59" t="str">
        <f>IF(SUM(Dati[[#This Row],[Inv. Gold]:[Mutuo]])=0," ",SUM(Dati[[#This Row],[Inv. Gold]:[Mutuo]]))</f>
        <v xml:space="preserve"> </v>
      </c>
      <c r="AL153" s="59"/>
      <c r="AM153" s="59"/>
    </row>
    <row r="154" spans="2:39" ht="16" customHeight="1" x14ac:dyDescent="0.35">
      <c r="B154">
        <f t="shared" si="6"/>
        <v>134</v>
      </c>
      <c r="C154" s="49">
        <f t="shared" si="7"/>
        <v>45060</v>
      </c>
      <c r="D154" s="29">
        <f>DAY(Dati[[#This Row],[Data]])</f>
        <v>14</v>
      </c>
      <c r="E154" s="29" t="str">
        <f>IF(DAY(Data!$C$21:$C$1327)&gt;0,TEXT(Data!$C$21:$C$1327, "mmmm"),"")</f>
        <v>maggio</v>
      </c>
      <c r="F154" s="29" t="str">
        <f>IF(DAY(Data!$C$21:$C$1327)&gt;0,TEXT(Data!$C$21:$C$1327, "aaaa"),"")</f>
        <v>2023</v>
      </c>
      <c r="I154" t="str">
        <f>IF(OR(H154=$B$5,H154=$B$6,H154=$B$7,H154=$B$8,H154=$B$9,H154=$B$10,H154=$B$11,H154=$B$12,H154=$B$13,H154=$B$14),SottocategorieUscite[[#Headers],[Fuori Casa]],IF(OR(H154=$C$5,H154=$C$6,H154=$C$7,H154=$C$8,H154=$C$9,H154=$C$10,H154=$C$11,H154=$C$12,H154=$C$13,H154=$C$14),SottocategorieUscite[[#Headers],[Varie Uscite]],IF(OR(H154=$D$5,H154=$D$6,H154=$D$7,H154=$D$8,H154=$D$9,H154=$D$10,H154=$D$11,H154=$D$12,H154=$D$13,H154=$D$14),SottocategorieUscite[[#Headers],[Personali]],IF(OR(H154=$E$5,H154=$E$6,H154=$E$7,H154=$E$8,H154=$E$9,H154=$E$10,H154=$E$11,H154=$E$12,H154=$E$13,H154=$E$14),SottocategorieUscite[[#Headers],[Lavoro]],IF(OR(H154=$F$5,H154=$F$6,H154=$F$7,H154=$F$8,H154=$F$9,H154=$F$10,H154=$F$11,H154=$F$12,H154=$F$13,H154=$F$14),SottocategorieUscite[[#Headers],[Casa]],IF(OR(H154=$G$5,H154=$G$6,H154=$G$7,H154=$G$8,H154=$G$9,H154=$G$10,H154=$G$11,H154=$G$12,H154=$G$13,H154=$G$14),SottocategorieUscite[[#Headers],[Utenze]],IF(OR(H154=$H$5,H154=$H$6,H154=$H$7,H154=$H$8,H154=$H$9,H154=$H$10,H154=$H$11,H154=$H$12,H154=$H$13,H154=$H$14),SottocategorieUscite[[#Headers],[Business Uscite]],IF(OR(H154=$I$5,H154=$I$6,H154=$I$7,H154=$I$8,H154=$I$9,H154=$I$10,H154=$I$11,H154=$I$12,H154=$I$13,H154=$I$14),SottocategorieUscite[[#Headers],[Banca]],IF(OR(H154=K$5,H154=K$6,H154=K$7,H154=K$8,H154=K$9,H154=K$10,H154=K$11,H154=K$12,H154=K$13,H154=K$14),SottocategorieEntrate[[#Headers],[Business Entrate]],IF(OR(H154=L$5,H154=L$6,H154=L$7,H154=L$8,H154=L$9,H154=L$10,H154=L$11,H154=L$12,H154=L$13,H154=L$14),SottocategorieEntrate[[#Headers],[Varie Entrate]],IF(OR(H154=M$5,H154=M$6,H154=M$7,H154=M$8,H154=M$9,H154=M$10,H154=M$11,H154=M$12,H154=M$13,H154=M$14),SottocategorieEntrate[[#Headers],[Real Estate]],IF(OR(H154=N$5,H154=N$6,H154=N$7,H154=N$8,H154=N$9,H154=N$10,H154=N$11,H154=N$12,H154=N$13,H154=N$14),SottocategorieEntrate[[#Headers],[Other]],""))))))))))))</f>
        <v/>
      </c>
      <c r="J154" t="str">
        <f>IF(OR(Dati[[#This Row],[Categoria]]="Bollette",Dati[[#This Row],[Categoria]]="Conto &amp; Carte BNL",Dati[[#This Row],[Categoria]]="Prelievo",Dati[[#This Row],[Categoria]]="Affitto",Dati[[#This Row],[Categoria]]="BNL(Interessi Creditori)"),"Carta",IF(Dati[[#This Row],[Categoria]]&lt;&gt;0,"Cash",""))</f>
        <v/>
      </c>
      <c r="K154" s="59" t="str">
        <f>IF(OR(Data!$I154=SottocategorieUscite[[#Headers],[Fuori Casa]],Data!$I154=SottocategorieUscite[[#Headers],[Varie Uscite]],Data!$I154=SottocategorieUscite[[#Headers],[Personali]],Data!$I154=SottocategorieUscite[[#Headers],[Lavoro]]),"$ -","")</f>
        <v/>
      </c>
      <c r="L154" s="59" t="str">
        <f>IF(OR(Data!$I154=SottocategorieUscite[[#Headers],[Casa]],Data!$I154=SottocategorieUscite[[#Headers],[Utenze]],Data!$I154=SottocategorieUscite[[#Headers],[Business Uscite]],Data!$I154=SottocategorieUscite[[#Headers],[Banca]]),"$ -","")</f>
        <v/>
      </c>
      <c r="M154" s="59" t="str">
        <f>IF(OR($I154&lt;&gt;SottocategorieUscite[[#Headers],[Fuori Casa]],$I154&lt;&gt;SottocategorieUscite[[#Headers],[Varie Uscite]],$I154&lt;&gt;SottocategorieUscite[[#Headers],[Personali]],$I154&lt;&gt;SottocategorieUscite[[#Headers],[Lavoro]],$I154&lt;&gt;SottocategorieUscite[[#Headers],[Casa]],$I154&lt;&gt;SottocategorieUscite[[#Headers],[Utenze]],$I154&lt;&gt;SottocategorieUscite[[#Headers],[Business Uscite]],$I154&lt;&gt;SottocategorieUscite[[#Headers],[Banca]]),"","$ -")</f>
        <v/>
      </c>
      <c r="N154" s="59" t="str">
        <f>IF(OR(Data!$I154=SottocategorieEntrate[[#Headers],[Business Entrate]],Data!$I154=SottocategorieEntrate[[#Headers],[Varie Entrate]]),"$ -","")</f>
        <v/>
      </c>
      <c r="O154" s="59" t="str">
        <f>IF(OR(Data!$I154=SottocategorieEntrate[[#Headers],[Real Estate]],SottocategorieEntrate[[#Headers],[Other]]),"$ -","")</f>
        <v/>
      </c>
      <c r="P154" s="59" t="str">
        <f>IF(OR($I154&lt;&gt;SottocategorieEntrate[[#Headers],[Business Entrate]],$I154&lt;&gt;SottocategorieEntrate[[#Headers],[Varie Entrate]],$I154&lt;&gt;SottocategorieEntrate[[#Headers],[Real Estate]],$I154&lt;&gt;SottocategorieEntrate[[#Headers],[Other]]),"","$ -")</f>
        <v/>
      </c>
      <c r="Q154" s="59" t="str">
        <f>IF(Dati[[#This Row],[Categoria]]="Prelievo","€ -","")</f>
        <v/>
      </c>
      <c r="R154" s="244" t="str">
        <f t="shared" ca="1" si="8"/>
        <v/>
      </c>
      <c r="S154" s="59" t="str">
        <f>IF(Dati[[#This Row],[Categoria]]="Savings",0,"")</f>
        <v/>
      </c>
      <c r="T154" s="59"/>
      <c r="U154" s="59"/>
      <c r="V154" s="59"/>
      <c r="W154" s="59"/>
      <c r="X154" s="59"/>
      <c r="Y154" s="59"/>
      <c r="Z154" s="59"/>
      <c r="AA154" s="59"/>
      <c r="AB154" s="59"/>
      <c r="AC154" s="59"/>
      <c r="AD154" s="59"/>
      <c r="AE154" s="59"/>
      <c r="AF154" s="59"/>
      <c r="AG154" s="59"/>
      <c r="AH154" s="59"/>
      <c r="AI154" s="59" t="str">
        <f>IF(SUM(Dati[[#This Row],[Inv. Business]:[Inv. Cryptocurrency]])=0," ",SUM(Dati[[#This Row],[Inv. Business]:[Inv. Cryptocurrency]]))</f>
        <v xml:space="preserve"> </v>
      </c>
      <c r="AJ154" s="59"/>
      <c r="AK154" s="59" t="str">
        <f>IF(SUM(Dati[[#This Row],[Inv. Gold]:[Mutuo]])=0," ",SUM(Dati[[#This Row],[Inv. Gold]:[Mutuo]]))</f>
        <v xml:space="preserve"> </v>
      </c>
      <c r="AL154" s="59"/>
      <c r="AM154" s="59"/>
    </row>
    <row r="155" spans="2:39" ht="16" customHeight="1" x14ac:dyDescent="0.35">
      <c r="B155">
        <f t="shared" si="6"/>
        <v>135</v>
      </c>
      <c r="C155" s="49">
        <f t="shared" si="7"/>
        <v>45061</v>
      </c>
      <c r="D155" s="29">
        <f>DAY(Dati[[#This Row],[Data]])</f>
        <v>15</v>
      </c>
      <c r="E155" s="29" t="str">
        <f>IF(DAY(Data!$C$21:$C$1327)&gt;0,TEXT(Data!$C$21:$C$1327, "mmmm"),"")</f>
        <v>maggio</v>
      </c>
      <c r="F155" s="29" t="str">
        <f>IF(DAY(Data!$C$21:$C$1327)&gt;0,TEXT(Data!$C$21:$C$1327, "aaaa"),"")</f>
        <v>2023</v>
      </c>
      <c r="I155" t="str">
        <f>IF(OR(H155=$B$5,H155=$B$6,H155=$B$7,H155=$B$8,H155=$B$9,H155=$B$10,H155=$B$11,H155=$B$12,H155=$B$13,H155=$B$14),SottocategorieUscite[[#Headers],[Fuori Casa]],IF(OR(H155=$C$5,H155=$C$6,H155=$C$7,H155=$C$8,H155=$C$9,H155=$C$10,H155=$C$11,H155=$C$12,H155=$C$13,H155=$C$14),SottocategorieUscite[[#Headers],[Varie Uscite]],IF(OR(H155=$D$5,H155=$D$6,H155=$D$7,H155=$D$8,H155=$D$9,H155=$D$10,H155=$D$11,H155=$D$12,H155=$D$13,H155=$D$14),SottocategorieUscite[[#Headers],[Personali]],IF(OR(H155=$E$5,H155=$E$6,H155=$E$7,H155=$E$8,H155=$E$9,H155=$E$10,H155=$E$11,H155=$E$12,H155=$E$13,H155=$E$14),SottocategorieUscite[[#Headers],[Lavoro]],IF(OR(H155=$F$5,H155=$F$6,H155=$F$7,H155=$F$8,H155=$F$9,H155=$F$10,H155=$F$11,H155=$F$12,H155=$F$13,H155=$F$14),SottocategorieUscite[[#Headers],[Casa]],IF(OR(H155=$G$5,H155=$G$6,H155=$G$7,H155=$G$8,H155=$G$9,H155=$G$10,H155=$G$11,H155=$G$12,H155=$G$13,H155=$G$14),SottocategorieUscite[[#Headers],[Utenze]],IF(OR(H155=$H$5,H155=$H$6,H155=$H$7,H155=$H$8,H155=$H$9,H155=$H$10,H155=$H$11,H155=$H$12,H155=$H$13,H155=$H$14),SottocategorieUscite[[#Headers],[Business Uscite]],IF(OR(H155=$I$5,H155=$I$6,H155=$I$7,H155=$I$8,H155=$I$9,H155=$I$10,H155=$I$11,H155=$I$12,H155=$I$13,H155=$I$14),SottocategorieUscite[[#Headers],[Banca]],IF(OR(H155=K$5,H155=K$6,H155=K$7,H155=K$8,H155=K$9,H155=K$10,H155=K$11,H155=K$12,H155=K$13,H155=K$14),SottocategorieEntrate[[#Headers],[Business Entrate]],IF(OR(H155=L$5,H155=L$6,H155=L$7,H155=L$8,H155=L$9,H155=L$10,H155=L$11,H155=L$12,H155=L$13,H155=L$14),SottocategorieEntrate[[#Headers],[Varie Entrate]],IF(OR(H155=M$5,H155=M$6,H155=M$7,H155=M$8,H155=M$9,H155=M$10,H155=M$11,H155=M$12,H155=M$13,H155=M$14),SottocategorieEntrate[[#Headers],[Real Estate]],IF(OR(H155=N$5,H155=N$6,H155=N$7,H155=N$8,H155=N$9,H155=N$10,H155=N$11,H155=N$12,H155=N$13,H155=N$14),SottocategorieEntrate[[#Headers],[Other]],""))))))))))))</f>
        <v/>
      </c>
      <c r="J155" t="str">
        <f>IF(OR(Dati[[#This Row],[Categoria]]="Bollette",Dati[[#This Row],[Categoria]]="Conto &amp; Carte BNL",Dati[[#This Row],[Categoria]]="Prelievo",Dati[[#This Row],[Categoria]]="Affitto",Dati[[#This Row],[Categoria]]="BNL(Interessi Creditori)"),"Carta",IF(Dati[[#This Row],[Categoria]]&lt;&gt;0,"Cash",""))</f>
        <v/>
      </c>
      <c r="K155" s="59" t="str">
        <f>IF(OR(Data!$I155=SottocategorieUscite[[#Headers],[Fuori Casa]],Data!$I155=SottocategorieUscite[[#Headers],[Varie Uscite]],Data!$I155=SottocategorieUscite[[#Headers],[Personali]],Data!$I155=SottocategorieUscite[[#Headers],[Lavoro]]),"$ -","")</f>
        <v/>
      </c>
      <c r="L155" s="59" t="str">
        <f>IF(OR(Data!$I155=SottocategorieUscite[[#Headers],[Casa]],Data!$I155=SottocategorieUscite[[#Headers],[Utenze]],Data!$I155=SottocategorieUscite[[#Headers],[Business Uscite]],Data!$I155=SottocategorieUscite[[#Headers],[Banca]]),"$ -","")</f>
        <v/>
      </c>
      <c r="M155" s="59" t="str">
        <f>IF(OR($I155&lt;&gt;SottocategorieUscite[[#Headers],[Fuori Casa]],$I155&lt;&gt;SottocategorieUscite[[#Headers],[Varie Uscite]],$I155&lt;&gt;SottocategorieUscite[[#Headers],[Personali]],$I155&lt;&gt;SottocategorieUscite[[#Headers],[Lavoro]],$I155&lt;&gt;SottocategorieUscite[[#Headers],[Casa]],$I155&lt;&gt;SottocategorieUscite[[#Headers],[Utenze]],$I155&lt;&gt;SottocategorieUscite[[#Headers],[Business Uscite]],$I155&lt;&gt;SottocategorieUscite[[#Headers],[Banca]]),"","$ -")</f>
        <v/>
      </c>
      <c r="N155" s="59" t="str">
        <f>IF(OR(Data!$I155=SottocategorieEntrate[[#Headers],[Business Entrate]],Data!$I155=SottocategorieEntrate[[#Headers],[Varie Entrate]]),"$ -","")</f>
        <v/>
      </c>
      <c r="O155" s="59" t="str">
        <f>IF(OR(Data!$I155=SottocategorieEntrate[[#Headers],[Real Estate]],SottocategorieEntrate[[#Headers],[Other]]),"$ -","")</f>
        <v/>
      </c>
      <c r="P155" s="59" t="str">
        <f>IF(OR($I155&lt;&gt;SottocategorieEntrate[[#Headers],[Business Entrate]],$I155&lt;&gt;SottocategorieEntrate[[#Headers],[Varie Entrate]],$I155&lt;&gt;SottocategorieEntrate[[#Headers],[Real Estate]],$I155&lt;&gt;SottocategorieEntrate[[#Headers],[Other]]),"","$ -")</f>
        <v/>
      </c>
      <c r="Q155" s="59" t="str">
        <f>IF(Dati[[#This Row],[Categoria]]="Prelievo","€ -","")</f>
        <v/>
      </c>
      <c r="R155" s="244" t="str">
        <f t="shared" ca="1" si="8"/>
        <v/>
      </c>
      <c r="S155" s="59" t="str">
        <f>IF(Dati[[#This Row],[Categoria]]="Savings",0,"")</f>
        <v/>
      </c>
      <c r="T155" s="59"/>
      <c r="U155" s="59"/>
      <c r="V155" s="59"/>
      <c r="W155" s="59"/>
      <c r="X155" s="59"/>
      <c r="Y155" s="59"/>
      <c r="Z155" s="59"/>
      <c r="AA155" s="59"/>
      <c r="AB155" s="59"/>
      <c r="AC155" s="59"/>
      <c r="AD155" s="59"/>
      <c r="AE155" s="59"/>
      <c r="AF155" s="59"/>
      <c r="AG155" s="59"/>
      <c r="AH155" s="59"/>
      <c r="AI155" s="59" t="str">
        <f>IF(SUM(Dati[[#This Row],[Inv. Business]:[Inv. Cryptocurrency]])=0," ",SUM(Dati[[#This Row],[Inv. Business]:[Inv. Cryptocurrency]]))</f>
        <v xml:space="preserve"> </v>
      </c>
      <c r="AJ155" s="59"/>
      <c r="AK155" s="59" t="str">
        <f>IF(SUM(Dati[[#This Row],[Inv. Gold]:[Mutuo]])=0," ",SUM(Dati[[#This Row],[Inv. Gold]:[Mutuo]]))</f>
        <v xml:space="preserve"> </v>
      </c>
      <c r="AL155" s="59"/>
      <c r="AM155" s="59"/>
    </row>
    <row r="156" spans="2:39" ht="16" customHeight="1" x14ac:dyDescent="0.35">
      <c r="B156">
        <f t="shared" si="6"/>
        <v>136</v>
      </c>
      <c r="C156" s="49">
        <f t="shared" si="7"/>
        <v>45062</v>
      </c>
      <c r="D156" s="29">
        <f>DAY(Dati[[#This Row],[Data]])</f>
        <v>16</v>
      </c>
      <c r="E156" s="29" t="str">
        <f>IF(DAY(Data!$C$21:$C$1327)&gt;0,TEXT(Data!$C$21:$C$1327, "mmmm"),"")</f>
        <v>maggio</v>
      </c>
      <c r="F156" s="29" t="str">
        <f>IF(DAY(Data!$C$21:$C$1327)&gt;0,TEXT(Data!$C$21:$C$1327, "aaaa"),"")</f>
        <v>2023</v>
      </c>
      <c r="I156" t="str">
        <f>IF(OR(H156=$B$5,H156=$B$6,H156=$B$7,H156=$B$8,H156=$B$9,H156=$B$10,H156=$B$11,H156=$B$12,H156=$B$13,H156=$B$14),SottocategorieUscite[[#Headers],[Fuori Casa]],IF(OR(H156=$C$5,H156=$C$6,H156=$C$7,H156=$C$8,H156=$C$9,H156=$C$10,H156=$C$11,H156=$C$12,H156=$C$13,H156=$C$14),SottocategorieUscite[[#Headers],[Varie Uscite]],IF(OR(H156=$D$5,H156=$D$6,H156=$D$7,H156=$D$8,H156=$D$9,H156=$D$10,H156=$D$11,H156=$D$12,H156=$D$13,H156=$D$14),SottocategorieUscite[[#Headers],[Personali]],IF(OR(H156=$E$5,H156=$E$6,H156=$E$7,H156=$E$8,H156=$E$9,H156=$E$10,H156=$E$11,H156=$E$12,H156=$E$13,H156=$E$14),SottocategorieUscite[[#Headers],[Lavoro]],IF(OR(H156=$F$5,H156=$F$6,H156=$F$7,H156=$F$8,H156=$F$9,H156=$F$10,H156=$F$11,H156=$F$12,H156=$F$13,H156=$F$14),SottocategorieUscite[[#Headers],[Casa]],IF(OR(H156=$G$5,H156=$G$6,H156=$G$7,H156=$G$8,H156=$G$9,H156=$G$10,H156=$G$11,H156=$G$12,H156=$G$13,H156=$G$14),SottocategorieUscite[[#Headers],[Utenze]],IF(OR(H156=$H$5,H156=$H$6,H156=$H$7,H156=$H$8,H156=$H$9,H156=$H$10,H156=$H$11,H156=$H$12,H156=$H$13,H156=$H$14),SottocategorieUscite[[#Headers],[Business Uscite]],IF(OR(H156=$I$5,H156=$I$6,H156=$I$7,H156=$I$8,H156=$I$9,H156=$I$10,H156=$I$11,H156=$I$12,H156=$I$13,H156=$I$14),SottocategorieUscite[[#Headers],[Banca]],IF(OR(H156=K$5,H156=K$6,H156=K$7,H156=K$8,H156=K$9,H156=K$10,H156=K$11,H156=K$12,H156=K$13,H156=K$14),SottocategorieEntrate[[#Headers],[Business Entrate]],IF(OR(H156=L$5,H156=L$6,H156=L$7,H156=L$8,H156=L$9,H156=L$10,H156=L$11,H156=L$12,H156=L$13,H156=L$14),SottocategorieEntrate[[#Headers],[Varie Entrate]],IF(OR(H156=M$5,H156=M$6,H156=M$7,H156=M$8,H156=M$9,H156=M$10,H156=M$11,H156=M$12,H156=M$13,H156=M$14),SottocategorieEntrate[[#Headers],[Real Estate]],IF(OR(H156=N$5,H156=N$6,H156=N$7,H156=N$8,H156=N$9,H156=N$10,H156=N$11,H156=N$12,H156=N$13,H156=N$14),SottocategorieEntrate[[#Headers],[Other]],""))))))))))))</f>
        <v/>
      </c>
      <c r="J156" t="str">
        <f>IF(OR(Dati[[#This Row],[Categoria]]="Bollette",Dati[[#This Row],[Categoria]]="Conto &amp; Carte BNL",Dati[[#This Row],[Categoria]]="Prelievo",Dati[[#This Row],[Categoria]]="Affitto",Dati[[#This Row],[Categoria]]="BNL(Interessi Creditori)"),"Carta",IF(Dati[[#This Row],[Categoria]]&lt;&gt;0,"Cash",""))</f>
        <v/>
      </c>
      <c r="K156" s="59" t="str">
        <f>IF(OR(Data!$I156=SottocategorieUscite[[#Headers],[Fuori Casa]],Data!$I156=SottocategorieUscite[[#Headers],[Varie Uscite]],Data!$I156=SottocategorieUscite[[#Headers],[Personali]],Data!$I156=SottocategorieUscite[[#Headers],[Lavoro]]),"$ -","")</f>
        <v/>
      </c>
      <c r="L156" s="59" t="str">
        <f>IF(OR(Data!$I156=SottocategorieUscite[[#Headers],[Casa]],Data!$I156=SottocategorieUscite[[#Headers],[Utenze]],Data!$I156=SottocategorieUscite[[#Headers],[Business Uscite]],Data!$I156=SottocategorieUscite[[#Headers],[Banca]]),"$ -","")</f>
        <v/>
      </c>
      <c r="M156" s="59" t="str">
        <f>IF(OR($I156&lt;&gt;SottocategorieUscite[[#Headers],[Fuori Casa]],$I156&lt;&gt;SottocategorieUscite[[#Headers],[Varie Uscite]],$I156&lt;&gt;SottocategorieUscite[[#Headers],[Personali]],$I156&lt;&gt;SottocategorieUscite[[#Headers],[Lavoro]],$I156&lt;&gt;SottocategorieUscite[[#Headers],[Casa]],$I156&lt;&gt;SottocategorieUscite[[#Headers],[Utenze]],$I156&lt;&gt;SottocategorieUscite[[#Headers],[Business Uscite]],$I156&lt;&gt;SottocategorieUscite[[#Headers],[Banca]]),"","$ -")</f>
        <v/>
      </c>
      <c r="N156" s="59" t="str">
        <f>IF(OR(Data!$I156=SottocategorieEntrate[[#Headers],[Business Entrate]],Data!$I156=SottocategorieEntrate[[#Headers],[Varie Entrate]]),"$ -","")</f>
        <v/>
      </c>
      <c r="O156" s="59" t="str">
        <f>IF(OR(Data!$I156=SottocategorieEntrate[[#Headers],[Real Estate]],SottocategorieEntrate[[#Headers],[Other]]),"$ -","")</f>
        <v/>
      </c>
      <c r="P156" s="59" t="str">
        <f>IF(OR($I156&lt;&gt;SottocategorieEntrate[[#Headers],[Business Entrate]],$I156&lt;&gt;SottocategorieEntrate[[#Headers],[Varie Entrate]],$I156&lt;&gt;SottocategorieEntrate[[#Headers],[Real Estate]],$I156&lt;&gt;SottocategorieEntrate[[#Headers],[Other]]),"","$ -")</f>
        <v/>
      </c>
      <c r="Q156" s="59" t="str">
        <f>IF(Dati[[#This Row],[Categoria]]="Prelievo","€ -","")</f>
        <v/>
      </c>
      <c r="R156" s="244" t="str">
        <f t="shared" ca="1" si="8"/>
        <v/>
      </c>
      <c r="S156" s="59" t="str">
        <f>IF(Dati[[#This Row],[Categoria]]="Savings",0,"")</f>
        <v/>
      </c>
      <c r="T156" s="59"/>
      <c r="U156" s="59"/>
      <c r="V156" s="59"/>
      <c r="W156" s="59"/>
      <c r="X156" s="59"/>
      <c r="Y156" s="59"/>
      <c r="Z156" s="59"/>
      <c r="AA156" s="59"/>
      <c r="AB156" s="59"/>
      <c r="AC156" s="59"/>
      <c r="AD156" s="59"/>
      <c r="AE156" s="59"/>
      <c r="AF156" s="59"/>
      <c r="AG156" s="59"/>
      <c r="AH156" s="59"/>
      <c r="AI156" s="59" t="str">
        <f>IF(SUM(Dati[[#This Row],[Inv. Business]:[Inv. Cryptocurrency]])=0," ",SUM(Dati[[#This Row],[Inv. Business]:[Inv. Cryptocurrency]]))</f>
        <v xml:space="preserve"> </v>
      </c>
      <c r="AJ156" s="59"/>
      <c r="AK156" s="59" t="str">
        <f>IF(SUM(Dati[[#This Row],[Inv. Gold]:[Mutuo]])=0," ",SUM(Dati[[#This Row],[Inv. Gold]:[Mutuo]]))</f>
        <v xml:space="preserve"> </v>
      </c>
      <c r="AL156" s="59"/>
      <c r="AM156" s="59"/>
    </row>
    <row r="157" spans="2:39" ht="16" customHeight="1" x14ac:dyDescent="0.35">
      <c r="B157">
        <f t="shared" si="6"/>
        <v>137</v>
      </c>
      <c r="C157" s="49">
        <f t="shared" si="7"/>
        <v>45063</v>
      </c>
      <c r="D157" s="29">
        <f>DAY(Dati[[#This Row],[Data]])</f>
        <v>17</v>
      </c>
      <c r="E157" s="29" t="str">
        <f>IF(DAY(Data!$C$21:$C$1327)&gt;0,TEXT(Data!$C$21:$C$1327, "mmmm"),"")</f>
        <v>maggio</v>
      </c>
      <c r="F157" s="29" t="str">
        <f>IF(DAY(Data!$C$21:$C$1327)&gt;0,TEXT(Data!$C$21:$C$1327, "aaaa"),"")</f>
        <v>2023</v>
      </c>
      <c r="I157" t="str">
        <f>IF(OR(H157=$B$5,H157=$B$6,H157=$B$7,H157=$B$8,H157=$B$9,H157=$B$10,H157=$B$11,H157=$B$12,H157=$B$13,H157=$B$14),SottocategorieUscite[[#Headers],[Fuori Casa]],IF(OR(H157=$C$5,H157=$C$6,H157=$C$7,H157=$C$8,H157=$C$9,H157=$C$10,H157=$C$11,H157=$C$12,H157=$C$13,H157=$C$14),SottocategorieUscite[[#Headers],[Varie Uscite]],IF(OR(H157=$D$5,H157=$D$6,H157=$D$7,H157=$D$8,H157=$D$9,H157=$D$10,H157=$D$11,H157=$D$12,H157=$D$13,H157=$D$14),SottocategorieUscite[[#Headers],[Personali]],IF(OR(H157=$E$5,H157=$E$6,H157=$E$7,H157=$E$8,H157=$E$9,H157=$E$10,H157=$E$11,H157=$E$12,H157=$E$13,H157=$E$14),SottocategorieUscite[[#Headers],[Lavoro]],IF(OR(H157=$F$5,H157=$F$6,H157=$F$7,H157=$F$8,H157=$F$9,H157=$F$10,H157=$F$11,H157=$F$12,H157=$F$13,H157=$F$14),SottocategorieUscite[[#Headers],[Casa]],IF(OR(H157=$G$5,H157=$G$6,H157=$G$7,H157=$G$8,H157=$G$9,H157=$G$10,H157=$G$11,H157=$G$12,H157=$G$13,H157=$G$14),SottocategorieUscite[[#Headers],[Utenze]],IF(OR(H157=$H$5,H157=$H$6,H157=$H$7,H157=$H$8,H157=$H$9,H157=$H$10,H157=$H$11,H157=$H$12,H157=$H$13,H157=$H$14),SottocategorieUscite[[#Headers],[Business Uscite]],IF(OR(H157=$I$5,H157=$I$6,H157=$I$7,H157=$I$8,H157=$I$9,H157=$I$10,H157=$I$11,H157=$I$12,H157=$I$13,H157=$I$14),SottocategorieUscite[[#Headers],[Banca]],IF(OR(H157=K$5,H157=K$6,H157=K$7,H157=K$8,H157=K$9,H157=K$10,H157=K$11,H157=K$12,H157=K$13,H157=K$14),SottocategorieEntrate[[#Headers],[Business Entrate]],IF(OR(H157=L$5,H157=L$6,H157=L$7,H157=L$8,H157=L$9,H157=L$10,H157=L$11,H157=L$12,H157=L$13,H157=L$14),SottocategorieEntrate[[#Headers],[Varie Entrate]],IF(OR(H157=M$5,H157=M$6,H157=M$7,H157=M$8,H157=M$9,H157=M$10,H157=M$11,H157=M$12,H157=M$13,H157=M$14),SottocategorieEntrate[[#Headers],[Real Estate]],IF(OR(H157=N$5,H157=N$6,H157=N$7,H157=N$8,H157=N$9,H157=N$10,H157=N$11,H157=N$12,H157=N$13,H157=N$14),SottocategorieEntrate[[#Headers],[Other]],""))))))))))))</f>
        <v/>
      </c>
      <c r="J157" t="str">
        <f>IF(OR(Dati[[#This Row],[Categoria]]="Bollette",Dati[[#This Row],[Categoria]]="Conto &amp; Carte BNL",Dati[[#This Row],[Categoria]]="Prelievo",Dati[[#This Row],[Categoria]]="Affitto",Dati[[#This Row],[Categoria]]="BNL(Interessi Creditori)"),"Carta",IF(Dati[[#This Row],[Categoria]]&lt;&gt;0,"Cash",""))</f>
        <v/>
      </c>
      <c r="K157" s="59" t="str">
        <f>IF(OR(Data!$I157=SottocategorieUscite[[#Headers],[Fuori Casa]],Data!$I157=SottocategorieUscite[[#Headers],[Varie Uscite]],Data!$I157=SottocategorieUscite[[#Headers],[Personali]],Data!$I157=SottocategorieUscite[[#Headers],[Lavoro]]),"$ -","")</f>
        <v/>
      </c>
      <c r="L157" s="59" t="str">
        <f>IF(OR(Data!$I157=SottocategorieUscite[[#Headers],[Casa]],Data!$I157=SottocategorieUscite[[#Headers],[Utenze]],Data!$I157=SottocategorieUscite[[#Headers],[Business Uscite]],Data!$I157=SottocategorieUscite[[#Headers],[Banca]]),"$ -","")</f>
        <v/>
      </c>
      <c r="M157" s="59" t="str">
        <f>IF(OR($I157&lt;&gt;SottocategorieUscite[[#Headers],[Fuori Casa]],$I157&lt;&gt;SottocategorieUscite[[#Headers],[Varie Uscite]],$I157&lt;&gt;SottocategorieUscite[[#Headers],[Personali]],$I157&lt;&gt;SottocategorieUscite[[#Headers],[Lavoro]],$I157&lt;&gt;SottocategorieUscite[[#Headers],[Casa]],$I157&lt;&gt;SottocategorieUscite[[#Headers],[Utenze]],$I157&lt;&gt;SottocategorieUscite[[#Headers],[Business Uscite]],$I157&lt;&gt;SottocategorieUscite[[#Headers],[Banca]]),"","$ -")</f>
        <v/>
      </c>
      <c r="N157" s="59" t="str">
        <f>IF(OR(Data!$I157=SottocategorieEntrate[[#Headers],[Business Entrate]],Data!$I157=SottocategorieEntrate[[#Headers],[Varie Entrate]]),"$ -","")</f>
        <v/>
      </c>
      <c r="O157" s="59" t="str">
        <f>IF(OR(Data!$I157=SottocategorieEntrate[[#Headers],[Real Estate]],SottocategorieEntrate[[#Headers],[Other]]),"$ -","")</f>
        <v/>
      </c>
      <c r="P157" s="59" t="str">
        <f>IF(OR($I157&lt;&gt;SottocategorieEntrate[[#Headers],[Business Entrate]],$I157&lt;&gt;SottocategorieEntrate[[#Headers],[Varie Entrate]],$I157&lt;&gt;SottocategorieEntrate[[#Headers],[Real Estate]],$I157&lt;&gt;SottocategorieEntrate[[#Headers],[Other]]),"","$ -")</f>
        <v/>
      </c>
      <c r="Q157" s="59" t="str">
        <f>IF(Dati[[#This Row],[Categoria]]="Prelievo","€ -","")</f>
        <v/>
      </c>
      <c r="R157" s="244" t="str">
        <f t="shared" ca="1" si="8"/>
        <v/>
      </c>
      <c r="S157" s="59" t="str">
        <f>IF(Dati[[#This Row],[Categoria]]="Savings",0,"")</f>
        <v/>
      </c>
      <c r="T157" s="59"/>
      <c r="U157" s="59"/>
      <c r="V157" s="59"/>
      <c r="W157" s="59"/>
      <c r="X157" s="59"/>
      <c r="Y157" s="59"/>
      <c r="Z157" s="59"/>
      <c r="AA157" s="59"/>
      <c r="AB157" s="59"/>
      <c r="AC157" s="59"/>
      <c r="AD157" s="59"/>
      <c r="AE157" s="59"/>
      <c r="AF157" s="59"/>
      <c r="AG157" s="59"/>
      <c r="AH157" s="59"/>
      <c r="AI157" s="59" t="str">
        <f>IF(SUM(Dati[[#This Row],[Inv. Business]:[Inv. Cryptocurrency]])=0," ",SUM(Dati[[#This Row],[Inv. Business]:[Inv. Cryptocurrency]]))</f>
        <v xml:space="preserve"> </v>
      </c>
      <c r="AJ157" s="59"/>
      <c r="AK157" s="59" t="str">
        <f>IF(SUM(Dati[[#This Row],[Inv. Gold]:[Mutuo]])=0," ",SUM(Dati[[#This Row],[Inv. Gold]:[Mutuo]]))</f>
        <v xml:space="preserve"> </v>
      </c>
      <c r="AL157" s="59"/>
      <c r="AM157" s="59"/>
    </row>
    <row r="158" spans="2:39" ht="16" customHeight="1" x14ac:dyDescent="0.35">
      <c r="B158">
        <f t="shared" si="6"/>
        <v>138</v>
      </c>
      <c r="C158" s="49">
        <f t="shared" si="7"/>
        <v>45064</v>
      </c>
      <c r="D158" s="29">
        <f>DAY(Dati[[#This Row],[Data]])</f>
        <v>18</v>
      </c>
      <c r="E158" s="29" t="str">
        <f>IF(DAY(Data!$C$21:$C$1327)&gt;0,TEXT(Data!$C$21:$C$1327, "mmmm"),"")</f>
        <v>maggio</v>
      </c>
      <c r="F158" s="29" t="str">
        <f>IF(DAY(Data!$C$21:$C$1327)&gt;0,TEXT(Data!$C$21:$C$1327, "aaaa"),"")</f>
        <v>2023</v>
      </c>
      <c r="I158" t="str">
        <f>IF(OR(H158=$B$5,H158=$B$6,H158=$B$7,H158=$B$8,H158=$B$9,H158=$B$10,H158=$B$11,H158=$B$12,H158=$B$13,H158=$B$14),SottocategorieUscite[[#Headers],[Fuori Casa]],IF(OR(H158=$C$5,H158=$C$6,H158=$C$7,H158=$C$8,H158=$C$9,H158=$C$10,H158=$C$11,H158=$C$12,H158=$C$13,H158=$C$14),SottocategorieUscite[[#Headers],[Varie Uscite]],IF(OR(H158=$D$5,H158=$D$6,H158=$D$7,H158=$D$8,H158=$D$9,H158=$D$10,H158=$D$11,H158=$D$12,H158=$D$13,H158=$D$14),SottocategorieUscite[[#Headers],[Personali]],IF(OR(H158=$E$5,H158=$E$6,H158=$E$7,H158=$E$8,H158=$E$9,H158=$E$10,H158=$E$11,H158=$E$12,H158=$E$13,H158=$E$14),SottocategorieUscite[[#Headers],[Lavoro]],IF(OR(H158=$F$5,H158=$F$6,H158=$F$7,H158=$F$8,H158=$F$9,H158=$F$10,H158=$F$11,H158=$F$12,H158=$F$13,H158=$F$14),SottocategorieUscite[[#Headers],[Casa]],IF(OR(H158=$G$5,H158=$G$6,H158=$G$7,H158=$G$8,H158=$G$9,H158=$G$10,H158=$G$11,H158=$G$12,H158=$G$13,H158=$G$14),SottocategorieUscite[[#Headers],[Utenze]],IF(OR(H158=$H$5,H158=$H$6,H158=$H$7,H158=$H$8,H158=$H$9,H158=$H$10,H158=$H$11,H158=$H$12,H158=$H$13,H158=$H$14),SottocategorieUscite[[#Headers],[Business Uscite]],IF(OR(H158=$I$5,H158=$I$6,H158=$I$7,H158=$I$8,H158=$I$9,H158=$I$10,H158=$I$11,H158=$I$12,H158=$I$13,H158=$I$14),SottocategorieUscite[[#Headers],[Banca]],IF(OR(H158=K$5,H158=K$6,H158=K$7,H158=K$8,H158=K$9,H158=K$10,H158=K$11,H158=K$12,H158=K$13,H158=K$14),SottocategorieEntrate[[#Headers],[Business Entrate]],IF(OR(H158=L$5,H158=L$6,H158=L$7,H158=L$8,H158=L$9,H158=L$10,H158=L$11,H158=L$12,H158=L$13,H158=L$14),SottocategorieEntrate[[#Headers],[Varie Entrate]],IF(OR(H158=M$5,H158=M$6,H158=M$7,H158=M$8,H158=M$9,H158=M$10,H158=M$11,H158=M$12,H158=M$13,H158=M$14),SottocategorieEntrate[[#Headers],[Real Estate]],IF(OR(H158=N$5,H158=N$6,H158=N$7,H158=N$8,H158=N$9,H158=N$10,H158=N$11,H158=N$12,H158=N$13,H158=N$14),SottocategorieEntrate[[#Headers],[Other]],""))))))))))))</f>
        <v/>
      </c>
      <c r="J158" t="str">
        <f>IF(OR(Dati[[#This Row],[Categoria]]="Bollette",Dati[[#This Row],[Categoria]]="Conto &amp; Carte BNL",Dati[[#This Row],[Categoria]]="Prelievo",Dati[[#This Row],[Categoria]]="Affitto",Dati[[#This Row],[Categoria]]="BNL(Interessi Creditori)"),"Carta",IF(Dati[[#This Row],[Categoria]]&lt;&gt;0,"Cash",""))</f>
        <v/>
      </c>
      <c r="K158" s="59" t="str">
        <f>IF(OR(Data!$I158=SottocategorieUscite[[#Headers],[Fuori Casa]],Data!$I158=SottocategorieUscite[[#Headers],[Varie Uscite]],Data!$I158=SottocategorieUscite[[#Headers],[Personali]],Data!$I158=SottocategorieUscite[[#Headers],[Lavoro]]),"$ -","")</f>
        <v/>
      </c>
      <c r="L158" s="59" t="str">
        <f>IF(OR(Data!$I158=SottocategorieUscite[[#Headers],[Casa]],Data!$I158=SottocategorieUscite[[#Headers],[Utenze]],Data!$I158=SottocategorieUscite[[#Headers],[Business Uscite]],Data!$I158=SottocategorieUscite[[#Headers],[Banca]]),"$ -","")</f>
        <v/>
      </c>
      <c r="M158" s="59" t="str">
        <f>IF(OR($I158&lt;&gt;SottocategorieUscite[[#Headers],[Fuori Casa]],$I158&lt;&gt;SottocategorieUscite[[#Headers],[Varie Uscite]],$I158&lt;&gt;SottocategorieUscite[[#Headers],[Personali]],$I158&lt;&gt;SottocategorieUscite[[#Headers],[Lavoro]],$I158&lt;&gt;SottocategorieUscite[[#Headers],[Casa]],$I158&lt;&gt;SottocategorieUscite[[#Headers],[Utenze]],$I158&lt;&gt;SottocategorieUscite[[#Headers],[Business Uscite]],$I158&lt;&gt;SottocategorieUscite[[#Headers],[Banca]]),"","$ -")</f>
        <v/>
      </c>
      <c r="N158" s="59" t="str">
        <f>IF(OR(Data!$I158=SottocategorieEntrate[[#Headers],[Business Entrate]],Data!$I158=SottocategorieEntrate[[#Headers],[Varie Entrate]]),"$ -","")</f>
        <v/>
      </c>
      <c r="O158" s="59" t="str">
        <f>IF(OR(Data!$I158=SottocategorieEntrate[[#Headers],[Real Estate]],SottocategorieEntrate[[#Headers],[Other]]),"$ -","")</f>
        <v/>
      </c>
      <c r="P158" s="59" t="str">
        <f>IF(OR($I158&lt;&gt;SottocategorieEntrate[[#Headers],[Business Entrate]],$I158&lt;&gt;SottocategorieEntrate[[#Headers],[Varie Entrate]],$I158&lt;&gt;SottocategorieEntrate[[#Headers],[Real Estate]],$I158&lt;&gt;SottocategorieEntrate[[#Headers],[Other]]),"","$ -")</f>
        <v/>
      </c>
      <c r="Q158" s="59" t="str">
        <f>IF(Dati[[#This Row],[Categoria]]="Prelievo","€ -","")</f>
        <v/>
      </c>
      <c r="R158" s="244" t="str">
        <f t="shared" ca="1" si="8"/>
        <v/>
      </c>
      <c r="S158" s="59" t="str">
        <f>IF(Dati[[#This Row],[Categoria]]="Savings",0,"")</f>
        <v/>
      </c>
      <c r="T158" s="59"/>
      <c r="U158" s="59"/>
      <c r="V158" s="59"/>
      <c r="W158" s="59"/>
      <c r="X158" s="59"/>
      <c r="Y158" s="59"/>
      <c r="Z158" s="59"/>
      <c r="AA158" s="59"/>
      <c r="AB158" s="59"/>
      <c r="AC158" s="59"/>
      <c r="AD158" s="59"/>
      <c r="AE158" s="59"/>
      <c r="AF158" s="59"/>
      <c r="AG158" s="59"/>
      <c r="AH158" s="59"/>
      <c r="AI158" s="59" t="str">
        <f>IF(SUM(Dati[[#This Row],[Inv. Business]:[Inv. Cryptocurrency]])=0," ",SUM(Dati[[#This Row],[Inv. Business]:[Inv. Cryptocurrency]]))</f>
        <v xml:space="preserve"> </v>
      </c>
      <c r="AJ158" s="59"/>
      <c r="AK158" s="59" t="str">
        <f>IF(SUM(Dati[[#This Row],[Inv. Gold]:[Mutuo]])=0," ",SUM(Dati[[#This Row],[Inv. Gold]:[Mutuo]]))</f>
        <v xml:space="preserve"> </v>
      </c>
      <c r="AL158" s="59"/>
      <c r="AM158" s="59"/>
    </row>
    <row r="159" spans="2:39" ht="16" customHeight="1" x14ac:dyDescent="0.35">
      <c r="B159">
        <f t="shared" si="6"/>
        <v>139</v>
      </c>
      <c r="C159" s="49">
        <f t="shared" si="7"/>
        <v>45065</v>
      </c>
      <c r="D159" s="29">
        <f>DAY(Dati[[#This Row],[Data]])</f>
        <v>19</v>
      </c>
      <c r="E159" s="29" t="str">
        <f>IF(DAY(Data!$C$21:$C$1327)&gt;0,TEXT(Data!$C$21:$C$1327, "mmmm"),"")</f>
        <v>maggio</v>
      </c>
      <c r="F159" s="29" t="str">
        <f>IF(DAY(Data!$C$21:$C$1327)&gt;0,TEXT(Data!$C$21:$C$1327, "aaaa"),"")</f>
        <v>2023</v>
      </c>
      <c r="I159" t="str">
        <f>IF(OR(H159=$B$5,H159=$B$6,H159=$B$7,H159=$B$8,H159=$B$9,H159=$B$10,H159=$B$11,H159=$B$12,H159=$B$13,H159=$B$14),SottocategorieUscite[[#Headers],[Fuori Casa]],IF(OR(H159=$C$5,H159=$C$6,H159=$C$7,H159=$C$8,H159=$C$9,H159=$C$10,H159=$C$11,H159=$C$12,H159=$C$13,H159=$C$14),SottocategorieUscite[[#Headers],[Varie Uscite]],IF(OR(H159=$D$5,H159=$D$6,H159=$D$7,H159=$D$8,H159=$D$9,H159=$D$10,H159=$D$11,H159=$D$12,H159=$D$13,H159=$D$14),SottocategorieUscite[[#Headers],[Personali]],IF(OR(H159=$E$5,H159=$E$6,H159=$E$7,H159=$E$8,H159=$E$9,H159=$E$10,H159=$E$11,H159=$E$12,H159=$E$13,H159=$E$14),SottocategorieUscite[[#Headers],[Lavoro]],IF(OR(H159=$F$5,H159=$F$6,H159=$F$7,H159=$F$8,H159=$F$9,H159=$F$10,H159=$F$11,H159=$F$12,H159=$F$13,H159=$F$14),SottocategorieUscite[[#Headers],[Casa]],IF(OR(H159=$G$5,H159=$G$6,H159=$G$7,H159=$G$8,H159=$G$9,H159=$G$10,H159=$G$11,H159=$G$12,H159=$G$13,H159=$G$14),SottocategorieUscite[[#Headers],[Utenze]],IF(OR(H159=$H$5,H159=$H$6,H159=$H$7,H159=$H$8,H159=$H$9,H159=$H$10,H159=$H$11,H159=$H$12,H159=$H$13,H159=$H$14),SottocategorieUscite[[#Headers],[Business Uscite]],IF(OR(H159=$I$5,H159=$I$6,H159=$I$7,H159=$I$8,H159=$I$9,H159=$I$10,H159=$I$11,H159=$I$12,H159=$I$13,H159=$I$14),SottocategorieUscite[[#Headers],[Banca]],IF(OR(H159=K$5,H159=K$6,H159=K$7,H159=K$8,H159=K$9,H159=K$10,H159=K$11,H159=K$12,H159=K$13,H159=K$14),SottocategorieEntrate[[#Headers],[Business Entrate]],IF(OR(H159=L$5,H159=L$6,H159=L$7,H159=L$8,H159=L$9,H159=L$10,H159=L$11,H159=L$12,H159=L$13,H159=L$14),SottocategorieEntrate[[#Headers],[Varie Entrate]],IF(OR(H159=M$5,H159=M$6,H159=M$7,H159=M$8,H159=M$9,H159=M$10,H159=M$11,H159=M$12,H159=M$13,H159=M$14),SottocategorieEntrate[[#Headers],[Real Estate]],IF(OR(H159=N$5,H159=N$6,H159=N$7,H159=N$8,H159=N$9,H159=N$10,H159=N$11,H159=N$12,H159=N$13,H159=N$14),SottocategorieEntrate[[#Headers],[Other]],""))))))))))))</f>
        <v/>
      </c>
      <c r="J159" t="str">
        <f>IF(OR(Dati[[#This Row],[Categoria]]="Bollette",Dati[[#This Row],[Categoria]]="Conto &amp; Carte BNL",Dati[[#This Row],[Categoria]]="Prelievo",Dati[[#This Row],[Categoria]]="Affitto",Dati[[#This Row],[Categoria]]="BNL(Interessi Creditori)"),"Carta",IF(Dati[[#This Row],[Categoria]]&lt;&gt;0,"Cash",""))</f>
        <v/>
      </c>
      <c r="K159" s="59" t="str">
        <f>IF(OR(Data!$I159=SottocategorieUscite[[#Headers],[Fuori Casa]],Data!$I159=SottocategorieUscite[[#Headers],[Varie Uscite]],Data!$I159=SottocategorieUscite[[#Headers],[Personali]],Data!$I159=SottocategorieUscite[[#Headers],[Lavoro]]),"$ -","")</f>
        <v/>
      </c>
      <c r="L159" s="59" t="str">
        <f>IF(OR(Data!$I159=SottocategorieUscite[[#Headers],[Casa]],Data!$I159=SottocategorieUscite[[#Headers],[Utenze]],Data!$I159=SottocategorieUscite[[#Headers],[Business Uscite]],Data!$I159=SottocategorieUscite[[#Headers],[Banca]]),"$ -","")</f>
        <v/>
      </c>
      <c r="M159" s="59" t="str">
        <f>IF(OR($I159&lt;&gt;SottocategorieUscite[[#Headers],[Fuori Casa]],$I159&lt;&gt;SottocategorieUscite[[#Headers],[Varie Uscite]],$I159&lt;&gt;SottocategorieUscite[[#Headers],[Personali]],$I159&lt;&gt;SottocategorieUscite[[#Headers],[Lavoro]],$I159&lt;&gt;SottocategorieUscite[[#Headers],[Casa]],$I159&lt;&gt;SottocategorieUscite[[#Headers],[Utenze]],$I159&lt;&gt;SottocategorieUscite[[#Headers],[Business Uscite]],$I159&lt;&gt;SottocategorieUscite[[#Headers],[Banca]]),"","$ -")</f>
        <v/>
      </c>
      <c r="N159" s="59" t="str">
        <f>IF(OR(Data!$I159=SottocategorieEntrate[[#Headers],[Business Entrate]],Data!$I159=SottocategorieEntrate[[#Headers],[Varie Entrate]]),"$ -","")</f>
        <v/>
      </c>
      <c r="O159" s="59" t="str">
        <f>IF(OR(Data!$I159=SottocategorieEntrate[[#Headers],[Real Estate]],SottocategorieEntrate[[#Headers],[Other]]),"$ -","")</f>
        <v/>
      </c>
      <c r="P159" s="59" t="str">
        <f>IF(OR($I159&lt;&gt;SottocategorieEntrate[[#Headers],[Business Entrate]],$I159&lt;&gt;SottocategorieEntrate[[#Headers],[Varie Entrate]],$I159&lt;&gt;SottocategorieEntrate[[#Headers],[Real Estate]],$I159&lt;&gt;SottocategorieEntrate[[#Headers],[Other]]),"","$ -")</f>
        <v/>
      </c>
      <c r="Q159" s="59" t="str">
        <f>IF(Dati[[#This Row],[Categoria]]="Prelievo","€ -","")</f>
        <v/>
      </c>
      <c r="R159" s="244" t="str">
        <f t="shared" ca="1" si="8"/>
        <v/>
      </c>
      <c r="S159" s="59" t="str">
        <f>IF(Dati[[#This Row],[Categoria]]="Savings",0,"")</f>
        <v/>
      </c>
      <c r="T159" s="59"/>
      <c r="U159" s="59"/>
      <c r="V159" s="59"/>
      <c r="W159" s="59"/>
      <c r="X159" s="59"/>
      <c r="Y159" s="59"/>
      <c r="Z159" s="59"/>
      <c r="AA159" s="59"/>
      <c r="AB159" s="59"/>
      <c r="AC159" s="59"/>
      <c r="AD159" s="59"/>
      <c r="AE159" s="59"/>
      <c r="AF159" s="59"/>
      <c r="AG159" s="59"/>
      <c r="AH159" s="59"/>
      <c r="AI159" s="59" t="str">
        <f>IF(SUM(Dati[[#This Row],[Inv. Business]:[Inv. Cryptocurrency]])=0," ",SUM(Dati[[#This Row],[Inv. Business]:[Inv. Cryptocurrency]]))</f>
        <v xml:space="preserve"> </v>
      </c>
      <c r="AJ159" s="59"/>
      <c r="AK159" s="59" t="str">
        <f>IF(SUM(Dati[[#This Row],[Inv. Gold]:[Mutuo]])=0," ",SUM(Dati[[#This Row],[Inv. Gold]:[Mutuo]]))</f>
        <v xml:space="preserve"> </v>
      </c>
      <c r="AL159" s="59"/>
      <c r="AM159" s="59"/>
    </row>
    <row r="160" spans="2:39" ht="16" customHeight="1" x14ac:dyDescent="0.35">
      <c r="B160">
        <f t="shared" si="6"/>
        <v>140</v>
      </c>
      <c r="C160" s="49">
        <f t="shared" si="7"/>
        <v>45066</v>
      </c>
      <c r="D160" s="29">
        <f>DAY(Dati[[#This Row],[Data]])</f>
        <v>20</v>
      </c>
      <c r="E160" s="29" t="str">
        <f>IF(DAY(Data!$C$21:$C$1327)&gt;0,TEXT(Data!$C$21:$C$1327, "mmmm"),"")</f>
        <v>maggio</v>
      </c>
      <c r="F160" s="29" t="str">
        <f>IF(DAY(Data!$C$21:$C$1327)&gt;0,TEXT(Data!$C$21:$C$1327, "aaaa"),"")</f>
        <v>2023</v>
      </c>
      <c r="I160" t="str">
        <f>IF(OR(H160=$B$5,H160=$B$6,H160=$B$7,H160=$B$8,H160=$B$9,H160=$B$10,H160=$B$11,H160=$B$12,H160=$B$13,H160=$B$14),SottocategorieUscite[[#Headers],[Fuori Casa]],IF(OR(H160=$C$5,H160=$C$6,H160=$C$7,H160=$C$8,H160=$C$9,H160=$C$10,H160=$C$11,H160=$C$12,H160=$C$13,H160=$C$14),SottocategorieUscite[[#Headers],[Varie Uscite]],IF(OR(H160=$D$5,H160=$D$6,H160=$D$7,H160=$D$8,H160=$D$9,H160=$D$10,H160=$D$11,H160=$D$12,H160=$D$13,H160=$D$14),SottocategorieUscite[[#Headers],[Personali]],IF(OR(H160=$E$5,H160=$E$6,H160=$E$7,H160=$E$8,H160=$E$9,H160=$E$10,H160=$E$11,H160=$E$12,H160=$E$13,H160=$E$14),SottocategorieUscite[[#Headers],[Lavoro]],IF(OR(H160=$F$5,H160=$F$6,H160=$F$7,H160=$F$8,H160=$F$9,H160=$F$10,H160=$F$11,H160=$F$12,H160=$F$13,H160=$F$14),SottocategorieUscite[[#Headers],[Casa]],IF(OR(H160=$G$5,H160=$G$6,H160=$G$7,H160=$G$8,H160=$G$9,H160=$G$10,H160=$G$11,H160=$G$12,H160=$G$13,H160=$G$14),SottocategorieUscite[[#Headers],[Utenze]],IF(OR(H160=$H$5,H160=$H$6,H160=$H$7,H160=$H$8,H160=$H$9,H160=$H$10,H160=$H$11,H160=$H$12,H160=$H$13,H160=$H$14),SottocategorieUscite[[#Headers],[Business Uscite]],IF(OR(H160=$I$5,H160=$I$6,H160=$I$7,H160=$I$8,H160=$I$9,H160=$I$10,H160=$I$11,H160=$I$12,H160=$I$13,H160=$I$14),SottocategorieUscite[[#Headers],[Banca]],IF(OR(H160=K$5,H160=K$6,H160=K$7,H160=K$8,H160=K$9,H160=K$10,H160=K$11,H160=K$12,H160=K$13,H160=K$14),SottocategorieEntrate[[#Headers],[Business Entrate]],IF(OR(H160=L$5,H160=L$6,H160=L$7,H160=L$8,H160=L$9,H160=L$10,H160=L$11,H160=L$12,H160=L$13,H160=L$14),SottocategorieEntrate[[#Headers],[Varie Entrate]],IF(OR(H160=M$5,H160=M$6,H160=M$7,H160=M$8,H160=M$9,H160=M$10,H160=M$11,H160=M$12,H160=M$13,H160=M$14),SottocategorieEntrate[[#Headers],[Real Estate]],IF(OR(H160=N$5,H160=N$6,H160=N$7,H160=N$8,H160=N$9,H160=N$10,H160=N$11,H160=N$12,H160=N$13,H160=N$14),SottocategorieEntrate[[#Headers],[Other]],""))))))))))))</f>
        <v/>
      </c>
      <c r="J160" t="str">
        <f>IF(OR(Dati[[#This Row],[Categoria]]="Bollette",Dati[[#This Row],[Categoria]]="Conto &amp; Carte BNL",Dati[[#This Row],[Categoria]]="Prelievo",Dati[[#This Row],[Categoria]]="Affitto",Dati[[#This Row],[Categoria]]="BNL(Interessi Creditori)"),"Carta",IF(Dati[[#This Row],[Categoria]]&lt;&gt;0,"Cash",""))</f>
        <v/>
      </c>
      <c r="K160" s="59" t="str">
        <f>IF(OR(Data!$I160=SottocategorieUscite[[#Headers],[Fuori Casa]],Data!$I160=SottocategorieUscite[[#Headers],[Varie Uscite]],Data!$I160=SottocategorieUscite[[#Headers],[Personali]],Data!$I160=SottocategorieUscite[[#Headers],[Lavoro]]),"$ -","")</f>
        <v/>
      </c>
      <c r="L160" s="59" t="str">
        <f>IF(OR(Data!$I160=SottocategorieUscite[[#Headers],[Casa]],Data!$I160=SottocategorieUscite[[#Headers],[Utenze]],Data!$I160=SottocategorieUscite[[#Headers],[Business Uscite]],Data!$I160=SottocategorieUscite[[#Headers],[Banca]]),"$ -","")</f>
        <v/>
      </c>
      <c r="M160" s="59" t="str">
        <f>IF(OR($I160&lt;&gt;SottocategorieUscite[[#Headers],[Fuori Casa]],$I160&lt;&gt;SottocategorieUscite[[#Headers],[Varie Uscite]],$I160&lt;&gt;SottocategorieUscite[[#Headers],[Personali]],$I160&lt;&gt;SottocategorieUscite[[#Headers],[Lavoro]],$I160&lt;&gt;SottocategorieUscite[[#Headers],[Casa]],$I160&lt;&gt;SottocategorieUscite[[#Headers],[Utenze]],$I160&lt;&gt;SottocategorieUscite[[#Headers],[Business Uscite]],$I160&lt;&gt;SottocategorieUscite[[#Headers],[Banca]]),"","$ -")</f>
        <v/>
      </c>
      <c r="N160" s="59" t="str">
        <f>IF(OR(Data!$I160=SottocategorieEntrate[[#Headers],[Business Entrate]],Data!$I160=SottocategorieEntrate[[#Headers],[Varie Entrate]]),"$ -","")</f>
        <v/>
      </c>
      <c r="O160" s="59" t="str">
        <f>IF(OR(Data!$I160=SottocategorieEntrate[[#Headers],[Real Estate]],SottocategorieEntrate[[#Headers],[Other]]),"$ -","")</f>
        <v/>
      </c>
      <c r="P160" s="59" t="str">
        <f>IF(OR($I160&lt;&gt;SottocategorieEntrate[[#Headers],[Business Entrate]],$I160&lt;&gt;SottocategorieEntrate[[#Headers],[Varie Entrate]],$I160&lt;&gt;SottocategorieEntrate[[#Headers],[Real Estate]],$I160&lt;&gt;SottocategorieEntrate[[#Headers],[Other]]),"","$ -")</f>
        <v/>
      </c>
      <c r="Q160" s="59" t="str">
        <f>IF(Dati[[#This Row],[Categoria]]="Prelievo","€ -","")</f>
        <v/>
      </c>
      <c r="R160" s="244" t="str">
        <f t="shared" ca="1" si="8"/>
        <v/>
      </c>
      <c r="S160" s="59" t="str">
        <f>IF(Dati[[#This Row],[Categoria]]="Savings",0,"")</f>
        <v/>
      </c>
      <c r="T160" s="59"/>
      <c r="U160" s="59"/>
      <c r="V160" s="59"/>
      <c r="W160" s="59"/>
      <c r="X160" s="59"/>
      <c r="Y160" s="59"/>
      <c r="Z160" s="59"/>
      <c r="AA160" s="59"/>
      <c r="AB160" s="59"/>
      <c r="AC160" s="59"/>
      <c r="AD160" s="59"/>
      <c r="AE160" s="59"/>
      <c r="AF160" s="59"/>
      <c r="AG160" s="59"/>
      <c r="AH160" s="59"/>
      <c r="AI160" s="59" t="str">
        <f>IF(SUM(Dati[[#This Row],[Inv. Business]:[Inv. Cryptocurrency]])=0," ",SUM(Dati[[#This Row],[Inv. Business]:[Inv. Cryptocurrency]]))</f>
        <v xml:space="preserve"> </v>
      </c>
      <c r="AJ160" s="59"/>
      <c r="AK160" s="59" t="str">
        <f>IF(SUM(Dati[[#This Row],[Inv. Gold]:[Mutuo]])=0," ",SUM(Dati[[#This Row],[Inv. Gold]:[Mutuo]]))</f>
        <v xml:space="preserve"> </v>
      </c>
      <c r="AL160" s="59"/>
      <c r="AM160" s="59"/>
    </row>
    <row r="161" spans="2:39" ht="16" customHeight="1" x14ac:dyDescent="0.35">
      <c r="B161">
        <f t="shared" si="6"/>
        <v>141</v>
      </c>
      <c r="C161" s="49">
        <f t="shared" si="7"/>
        <v>45067</v>
      </c>
      <c r="D161" s="29">
        <f>DAY(Dati[[#This Row],[Data]])</f>
        <v>21</v>
      </c>
      <c r="E161" s="29" t="str">
        <f>IF(DAY(Data!$C$21:$C$1327)&gt;0,TEXT(Data!$C$21:$C$1327, "mmmm"),"")</f>
        <v>maggio</v>
      </c>
      <c r="F161" s="29" t="str">
        <f>IF(DAY(Data!$C$21:$C$1327)&gt;0,TEXT(Data!$C$21:$C$1327, "aaaa"),"")</f>
        <v>2023</v>
      </c>
      <c r="I161" t="str">
        <f>IF(OR(H161=$B$5,H161=$B$6,H161=$B$7,H161=$B$8,H161=$B$9,H161=$B$10,H161=$B$11,H161=$B$12,H161=$B$13,H161=$B$14),SottocategorieUscite[[#Headers],[Fuori Casa]],IF(OR(H161=$C$5,H161=$C$6,H161=$C$7,H161=$C$8,H161=$C$9,H161=$C$10,H161=$C$11,H161=$C$12,H161=$C$13,H161=$C$14),SottocategorieUscite[[#Headers],[Varie Uscite]],IF(OR(H161=$D$5,H161=$D$6,H161=$D$7,H161=$D$8,H161=$D$9,H161=$D$10,H161=$D$11,H161=$D$12,H161=$D$13,H161=$D$14),SottocategorieUscite[[#Headers],[Personali]],IF(OR(H161=$E$5,H161=$E$6,H161=$E$7,H161=$E$8,H161=$E$9,H161=$E$10,H161=$E$11,H161=$E$12,H161=$E$13,H161=$E$14),SottocategorieUscite[[#Headers],[Lavoro]],IF(OR(H161=$F$5,H161=$F$6,H161=$F$7,H161=$F$8,H161=$F$9,H161=$F$10,H161=$F$11,H161=$F$12,H161=$F$13,H161=$F$14),SottocategorieUscite[[#Headers],[Casa]],IF(OR(H161=$G$5,H161=$G$6,H161=$G$7,H161=$G$8,H161=$G$9,H161=$G$10,H161=$G$11,H161=$G$12,H161=$G$13,H161=$G$14),SottocategorieUscite[[#Headers],[Utenze]],IF(OR(H161=$H$5,H161=$H$6,H161=$H$7,H161=$H$8,H161=$H$9,H161=$H$10,H161=$H$11,H161=$H$12,H161=$H$13,H161=$H$14),SottocategorieUscite[[#Headers],[Business Uscite]],IF(OR(H161=$I$5,H161=$I$6,H161=$I$7,H161=$I$8,H161=$I$9,H161=$I$10,H161=$I$11,H161=$I$12,H161=$I$13,H161=$I$14),SottocategorieUscite[[#Headers],[Banca]],IF(OR(H161=K$5,H161=K$6,H161=K$7,H161=K$8,H161=K$9,H161=K$10,H161=K$11,H161=K$12,H161=K$13,H161=K$14),SottocategorieEntrate[[#Headers],[Business Entrate]],IF(OR(H161=L$5,H161=L$6,H161=L$7,H161=L$8,H161=L$9,H161=L$10,H161=L$11,H161=L$12,H161=L$13,H161=L$14),SottocategorieEntrate[[#Headers],[Varie Entrate]],IF(OR(H161=M$5,H161=M$6,H161=M$7,H161=M$8,H161=M$9,H161=M$10,H161=M$11,H161=M$12,H161=M$13,H161=M$14),SottocategorieEntrate[[#Headers],[Real Estate]],IF(OR(H161=N$5,H161=N$6,H161=N$7,H161=N$8,H161=N$9,H161=N$10,H161=N$11,H161=N$12,H161=N$13,H161=N$14),SottocategorieEntrate[[#Headers],[Other]],""))))))))))))</f>
        <v/>
      </c>
      <c r="J161" t="str">
        <f>IF(OR(Dati[[#This Row],[Categoria]]="Bollette",Dati[[#This Row],[Categoria]]="Conto &amp; Carte BNL",Dati[[#This Row],[Categoria]]="Prelievo",Dati[[#This Row],[Categoria]]="Affitto",Dati[[#This Row],[Categoria]]="BNL(Interessi Creditori)"),"Carta",IF(Dati[[#This Row],[Categoria]]&lt;&gt;0,"Cash",""))</f>
        <v/>
      </c>
      <c r="K161" s="59" t="str">
        <f>IF(OR(Data!$I161=SottocategorieUscite[[#Headers],[Fuori Casa]],Data!$I161=SottocategorieUscite[[#Headers],[Varie Uscite]],Data!$I161=SottocategorieUscite[[#Headers],[Personali]],Data!$I161=SottocategorieUscite[[#Headers],[Lavoro]]),"$ -","")</f>
        <v/>
      </c>
      <c r="L161" s="59" t="str">
        <f>IF(OR(Data!$I161=SottocategorieUscite[[#Headers],[Casa]],Data!$I161=SottocategorieUscite[[#Headers],[Utenze]],Data!$I161=SottocategorieUscite[[#Headers],[Business Uscite]],Data!$I161=SottocategorieUscite[[#Headers],[Banca]]),"$ -","")</f>
        <v/>
      </c>
      <c r="M161" s="59" t="str">
        <f>IF(OR($I161&lt;&gt;SottocategorieUscite[[#Headers],[Fuori Casa]],$I161&lt;&gt;SottocategorieUscite[[#Headers],[Varie Uscite]],$I161&lt;&gt;SottocategorieUscite[[#Headers],[Personali]],$I161&lt;&gt;SottocategorieUscite[[#Headers],[Lavoro]],$I161&lt;&gt;SottocategorieUscite[[#Headers],[Casa]],$I161&lt;&gt;SottocategorieUscite[[#Headers],[Utenze]],$I161&lt;&gt;SottocategorieUscite[[#Headers],[Business Uscite]],$I161&lt;&gt;SottocategorieUscite[[#Headers],[Banca]]),"","$ -")</f>
        <v/>
      </c>
      <c r="N161" s="59" t="str">
        <f>IF(OR(Data!$I161=SottocategorieEntrate[[#Headers],[Business Entrate]],Data!$I161=SottocategorieEntrate[[#Headers],[Varie Entrate]]),"$ -","")</f>
        <v/>
      </c>
      <c r="O161" s="59" t="str">
        <f>IF(OR(Data!$I161=SottocategorieEntrate[[#Headers],[Real Estate]],SottocategorieEntrate[[#Headers],[Other]]),"$ -","")</f>
        <v/>
      </c>
      <c r="P161" s="59" t="str">
        <f>IF(OR($I161&lt;&gt;SottocategorieEntrate[[#Headers],[Business Entrate]],$I161&lt;&gt;SottocategorieEntrate[[#Headers],[Varie Entrate]],$I161&lt;&gt;SottocategorieEntrate[[#Headers],[Real Estate]],$I161&lt;&gt;SottocategorieEntrate[[#Headers],[Other]]),"","$ -")</f>
        <v/>
      </c>
      <c r="Q161" s="59" t="str">
        <f>IF(Dati[[#This Row],[Categoria]]="Prelievo","€ -","")</f>
        <v/>
      </c>
      <c r="R161" s="244" t="str">
        <f t="shared" ca="1" si="8"/>
        <v/>
      </c>
      <c r="S161" s="59" t="str">
        <f>IF(Dati[[#This Row],[Categoria]]="Savings",0,"")</f>
        <v/>
      </c>
      <c r="T161" s="59"/>
      <c r="U161" s="59"/>
      <c r="V161" s="59"/>
      <c r="W161" s="59"/>
      <c r="X161" s="59"/>
      <c r="Y161" s="59"/>
      <c r="Z161" s="59"/>
      <c r="AA161" s="59"/>
      <c r="AB161" s="59"/>
      <c r="AC161" s="59"/>
      <c r="AD161" s="59"/>
      <c r="AE161" s="59"/>
      <c r="AF161" s="59"/>
      <c r="AG161" s="59"/>
      <c r="AH161" s="59"/>
      <c r="AI161" s="59" t="str">
        <f>IF(SUM(Dati[[#This Row],[Inv. Business]:[Inv. Cryptocurrency]])=0," ",SUM(Dati[[#This Row],[Inv. Business]:[Inv. Cryptocurrency]]))</f>
        <v xml:space="preserve"> </v>
      </c>
      <c r="AJ161" s="59"/>
      <c r="AK161" s="59" t="str">
        <f>IF(SUM(Dati[[#This Row],[Inv. Gold]:[Mutuo]])=0," ",SUM(Dati[[#This Row],[Inv. Gold]:[Mutuo]]))</f>
        <v xml:space="preserve"> </v>
      </c>
      <c r="AL161" s="59"/>
      <c r="AM161" s="59"/>
    </row>
    <row r="162" spans="2:39" ht="16" customHeight="1" x14ac:dyDescent="0.35">
      <c r="B162">
        <f t="shared" si="6"/>
        <v>142</v>
      </c>
      <c r="C162" s="49">
        <f t="shared" si="7"/>
        <v>45068</v>
      </c>
      <c r="D162" s="29">
        <f>DAY(Dati[[#This Row],[Data]])</f>
        <v>22</v>
      </c>
      <c r="E162" s="29" t="str">
        <f>IF(DAY(Data!$C$21:$C$1327)&gt;0,TEXT(Data!$C$21:$C$1327, "mmmm"),"")</f>
        <v>maggio</v>
      </c>
      <c r="F162" s="29" t="str">
        <f>IF(DAY(Data!$C$21:$C$1327)&gt;0,TEXT(Data!$C$21:$C$1327, "aaaa"),"")</f>
        <v>2023</v>
      </c>
      <c r="I162" t="str">
        <f>IF(OR(H162=$B$5,H162=$B$6,H162=$B$7,H162=$B$8,H162=$B$9,H162=$B$10,H162=$B$11,H162=$B$12,H162=$B$13,H162=$B$14),SottocategorieUscite[[#Headers],[Fuori Casa]],IF(OR(H162=$C$5,H162=$C$6,H162=$C$7,H162=$C$8,H162=$C$9,H162=$C$10,H162=$C$11,H162=$C$12,H162=$C$13,H162=$C$14),SottocategorieUscite[[#Headers],[Varie Uscite]],IF(OR(H162=$D$5,H162=$D$6,H162=$D$7,H162=$D$8,H162=$D$9,H162=$D$10,H162=$D$11,H162=$D$12,H162=$D$13,H162=$D$14),SottocategorieUscite[[#Headers],[Personali]],IF(OR(H162=$E$5,H162=$E$6,H162=$E$7,H162=$E$8,H162=$E$9,H162=$E$10,H162=$E$11,H162=$E$12,H162=$E$13,H162=$E$14),SottocategorieUscite[[#Headers],[Lavoro]],IF(OR(H162=$F$5,H162=$F$6,H162=$F$7,H162=$F$8,H162=$F$9,H162=$F$10,H162=$F$11,H162=$F$12,H162=$F$13,H162=$F$14),SottocategorieUscite[[#Headers],[Casa]],IF(OR(H162=$G$5,H162=$G$6,H162=$G$7,H162=$G$8,H162=$G$9,H162=$G$10,H162=$G$11,H162=$G$12,H162=$G$13,H162=$G$14),SottocategorieUscite[[#Headers],[Utenze]],IF(OR(H162=$H$5,H162=$H$6,H162=$H$7,H162=$H$8,H162=$H$9,H162=$H$10,H162=$H$11,H162=$H$12,H162=$H$13,H162=$H$14),SottocategorieUscite[[#Headers],[Business Uscite]],IF(OR(H162=$I$5,H162=$I$6,H162=$I$7,H162=$I$8,H162=$I$9,H162=$I$10,H162=$I$11,H162=$I$12,H162=$I$13,H162=$I$14),SottocategorieUscite[[#Headers],[Banca]],IF(OR(H162=K$5,H162=K$6,H162=K$7,H162=K$8,H162=K$9,H162=K$10,H162=K$11,H162=K$12,H162=K$13,H162=K$14),SottocategorieEntrate[[#Headers],[Business Entrate]],IF(OR(H162=L$5,H162=L$6,H162=L$7,H162=L$8,H162=L$9,H162=L$10,H162=L$11,H162=L$12,H162=L$13,H162=L$14),SottocategorieEntrate[[#Headers],[Varie Entrate]],IF(OR(H162=M$5,H162=M$6,H162=M$7,H162=M$8,H162=M$9,H162=M$10,H162=M$11,H162=M$12,H162=M$13,H162=M$14),SottocategorieEntrate[[#Headers],[Real Estate]],IF(OR(H162=N$5,H162=N$6,H162=N$7,H162=N$8,H162=N$9,H162=N$10,H162=N$11,H162=N$12,H162=N$13,H162=N$14),SottocategorieEntrate[[#Headers],[Other]],""))))))))))))</f>
        <v/>
      </c>
      <c r="J162" t="str">
        <f>IF(OR(Dati[[#This Row],[Categoria]]="Bollette",Dati[[#This Row],[Categoria]]="Conto &amp; Carte BNL",Dati[[#This Row],[Categoria]]="Prelievo",Dati[[#This Row],[Categoria]]="Affitto",Dati[[#This Row],[Categoria]]="BNL(Interessi Creditori)"),"Carta",IF(Dati[[#This Row],[Categoria]]&lt;&gt;0,"Cash",""))</f>
        <v/>
      </c>
      <c r="K162" s="59" t="str">
        <f>IF(OR(Data!$I162=SottocategorieUscite[[#Headers],[Fuori Casa]],Data!$I162=SottocategorieUscite[[#Headers],[Varie Uscite]],Data!$I162=SottocategorieUscite[[#Headers],[Personali]],Data!$I162=SottocategorieUscite[[#Headers],[Lavoro]]),"$ -","")</f>
        <v/>
      </c>
      <c r="L162" s="59" t="str">
        <f>IF(OR(Data!$I162=SottocategorieUscite[[#Headers],[Casa]],Data!$I162=SottocategorieUscite[[#Headers],[Utenze]],Data!$I162=SottocategorieUscite[[#Headers],[Business Uscite]],Data!$I162=SottocategorieUscite[[#Headers],[Banca]]),"$ -","")</f>
        <v/>
      </c>
      <c r="M162" s="59" t="str">
        <f>IF(OR($I162&lt;&gt;SottocategorieUscite[[#Headers],[Fuori Casa]],$I162&lt;&gt;SottocategorieUscite[[#Headers],[Varie Uscite]],$I162&lt;&gt;SottocategorieUscite[[#Headers],[Personali]],$I162&lt;&gt;SottocategorieUscite[[#Headers],[Lavoro]],$I162&lt;&gt;SottocategorieUscite[[#Headers],[Casa]],$I162&lt;&gt;SottocategorieUscite[[#Headers],[Utenze]],$I162&lt;&gt;SottocategorieUscite[[#Headers],[Business Uscite]],$I162&lt;&gt;SottocategorieUscite[[#Headers],[Banca]]),"","$ -")</f>
        <v/>
      </c>
      <c r="N162" s="59" t="str">
        <f>IF(OR(Data!$I162=SottocategorieEntrate[[#Headers],[Business Entrate]],Data!$I162=SottocategorieEntrate[[#Headers],[Varie Entrate]]),"$ -","")</f>
        <v/>
      </c>
      <c r="O162" s="59" t="str">
        <f>IF(OR(Data!$I162=SottocategorieEntrate[[#Headers],[Real Estate]],SottocategorieEntrate[[#Headers],[Other]]),"$ -","")</f>
        <v/>
      </c>
      <c r="P162" s="59" t="str">
        <f>IF(OR($I162&lt;&gt;SottocategorieEntrate[[#Headers],[Business Entrate]],$I162&lt;&gt;SottocategorieEntrate[[#Headers],[Varie Entrate]],$I162&lt;&gt;SottocategorieEntrate[[#Headers],[Real Estate]],$I162&lt;&gt;SottocategorieEntrate[[#Headers],[Other]]),"","$ -")</f>
        <v/>
      </c>
      <c r="Q162" s="59" t="str">
        <f>IF(Dati[[#This Row],[Categoria]]="Prelievo","€ -","")</f>
        <v/>
      </c>
      <c r="R162" s="244" t="str">
        <f t="shared" ca="1" si="8"/>
        <v/>
      </c>
      <c r="S162" s="59" t="str">
        <f>IF(Dati[[#This Row],[Categoria]]="Savings",0,"")</f>
        <v/>
      </c>
      <c r="T162" s="59"/>
      <c r="U162" s="59"/>
      <c r="V162" s="59"/>
      <c r="W162" s="59"/>
      <c r="X162" s="59"/>
      <c r="Y162" s="59"/>
      <c r="Z162" s="59"/>
      <c r="AA162" s="59"/>
      <c r="AB162" s="59"/>
      <c r="AC162" s="59"/>
      <c r="AD162" s="59"/>
      <c r="AE162" s="59"/>
      <c r="AF162" s="59"/>
      <c r="AG162" s="59"/>
      <c r="AH162" s="59"/>
      <c r="AI162" s="59" t="str">
        <f>IF(SUM(Dati[[#This Row],[Inv. Business]:[Inv. Cryptocurrency]])=0," ",SUM(Dati[[#This Row],[Inv. Business]:[Inv. Cryptocurrency]]))</f>
        <v xml:space="preserve"> </v>
      </c>
      <c r="AJ162" s="59"/>
      <c r="AK162" s="59" t="str">
        <f>IF(SUM(Dati[[#This Row],[Inv. Gold]:[Mutuo]])=0," ",SUM(Dati[[#This Row],[Inv. Gold]:[Mutuo]]))</f>
        <v xml:space="preserve"> </v>
      </c>
      <c r="AL162" s="59"/>
      <c r="AM162" s="59"/>
    </row>
    <row r="163" spans="2:39" ht="16" customHeight="1" x14ac:dyDescent="0.35">
      <c r="B163">
        <f t="shared" si="6"/>
        <v>143</v>
      </c>
      <c r="C163" s="49">
        <f t="shared" si="7"/>
        <v>45069</v>
      </c>
      <c r="D163" s="29">
        <f>DAY(Dati[[#This Row],[Data]])</f>
        <v>23</v>
      </c>
      <c r="E163" s="29" t="str">
        <f>IF(DAY(Data!$C$21:$C$1327)&gt;0,TEXT(Data!$C$21:$C$1327, "mmmm"),"")</f>
        <v>maggio</v>
      </c>
      <c r="F163" s="29" t="str">
        <f>IF(DAY(Data!$C$21:$C$1327)&gt;0,TEXT(Data!$C$21:$C$1327, "aaaa"),"")</f>
        <v>2023</v>
      </c>
      <c r="I163" t="str">
        <f>IF(OR(H163=$B$5,H163=$B$6,H163=$B$7,H163=$B$8,H163=$B$9,H163=$B$10,H163=$B$11,H163=$B$12,H163=$B$13,H163=$B$14),SottocategorieUscite[[#Headers],[Fuori Casa]],IF(OR(H163=$C$5,H163=$C$6,H163=$C$7,H163=$C$8,H163=$C$9,H163=$C$10,H163=$C$11,H163=$C$12,H163=$C$13,H163=$C$14),SottocategorieUscite[[#Headers],[Varie Uscite]],IF(OR(H163=$D$5,H163=$D$6,H163=$D$7,H163=$D$8,H163=$D$9,H163=$D$10,H163=$D$11,H163=$D$12,H163=$D$13,H163=$D$14),SottocategorieUscite[[#Headers],[Personali]],IF(OR(H163=$E$5,H163=$E$6,H163=$E$7,H163=$E$8,H163=$E$9,H163=$E$10,H163=$E$11,H163=$E$12,H163=$E$13,H163=$E$14),SottocategorieUscite[[#Headers],[Lavoro]],IF(OR(H163=$F$5,H163=$F$6,H163=$F$7,H163=$F$8,H163=$F$9,H163=$F$10,H163=$F$11,H163=$F$12,H163=$F$13,H163=$F$14),SottocategorieUscite[[#Headers],[Casa]],IF(OR(H163=$G$5,H163=$G$6,H163=$G$7,H163=$G$8,H163=$G$9,H163=$G$10,H163=$G$11,H163=$G$12,H163=$G$13,H163=$G$14),SottocategorieUscite[[#Headers],[Utenze]],IF(OR(H163=$H$5,H163=$H$6,H163=$H$7,H163=$H$8,H163=$H$9,H163=$H$10,H163=$H$11,H163=$H$12,H163=$H$13,H163=$H$14),SottocategorieUscite[[#Headers],[Business Uscite]],IF(OR(H163=$I$5,H163=$I$6,H163=$I$7,H163=$I$8,H163=$I$9,H163=$I$10,H163=$I$11,H163=$I$12,H163=$I$13,H163=$I$14),SottocategorieUscite[[#Headers],[Banca]],IF(OR(H163=K$5,H163=K$6,H163=K$7,H163=K$8,H163=K$9,H163=K$10,H163=K$11,H163=K$12,H163=K$13,H163=K$14),SottocategorieEntrate[[#Headers],[Business Entrate]],IF(OR(H163=L$5,H163=L$6,H163=L$7,H163=L$8,H163=L$9,H163=L$10,H163=L$11,H163=L$12,H163=L$13,H163=L$14),SottocategorieEntrate[[#Headers],[Varie Entrate]],IF(OR(H163=M$5,H163=M$6,H163=M$7,H163=M$8,H163=M$9,H163=M$10,H163=M$11,H163=M$12,H163=M$13,H163=M$14),SottocategorieEntrate[[#Headers],[Real Estate]],IF(OR(H163=N$5,H163=N$6,H163=N$7,H163=N$8,H163=N$9,H163=N$10,H163=N$11,H163=N$12,H163=N$13,H163=N$14),SottocategorieEntrate[[#Headers],[Other]],""))))))))))))</f>
        <v/>
      </c>
      <c r="J163" t="str">
        <f>IF(OR(Dati[[#This Row],[Categoria]]="Bollette",Dati[[#This Row],[Categoria]]="Conto &amp; Carte BNL",Dati[[#This Row],[Categoria]]="Prelievo",Dati[[#This Row],[Categoria]]="Affitto",Dati[[#This Row],[Categoria]]="BNL(Interessi Creditori)"),"Carta",IF(Dati[[#This Row],[Categoria]]&lt;&gt;0,"Cash",""))</f>
        <v/>
      </c>
      <c r="K163" s="59" t="str">
        <f>IF(OR(Data!$I163=SottocategorieUscite[[#Headers],[Fuori Casa]],Data!$I163=SottocategorieUscite[[#Headers],[Varie Uscite]],Data!$I163=SottocategorieUscite[[#Headers],[Personali]],Data!$I163=SottocategorieUscite[[#Headers],[Lavoro]]),"$ -","")</f>
        <v/>
      </c>
      <c r="L163" s="59" t="str">
        <f>IF(OR(Data!$I163=SottocategorieUscite[[#Headers],[Casa]],Data!$I163=SottocategorieUscite[[#Headers],[Utenze]],Data!$I163=SottocategorieUscite[[#Headers],[Business Uscite]],Data!$I163=SottocategorieUscite[[#Headers],[Banca]]),"$ -","")</f>
        <v/>
      </c>
      <c r="M163" s="59" t="str">
        <f>IF(OR($I163&lt;&gt;SottocategorieUscite[[#Headers],[Fuori Casa]],$I163&lt;&gt;SottocategorieUscite[[#Headers],[Varie Uscite]],$I163&lt;&gt;SottocategorieUscite[[#Headers],[Personali]],$I163&lt;&gt;SottocategorieUscite[[#Headers],[Lavoro]],$I163&lt;&gt;SottocategorieUscite[[#Headers],[Casa]],$I163&lt;&gt;SottocategorieUscite[[#Headers],[Utenze]],$I163&lt;&gt;SottocategorieUscite[[#Headers],[Business Uscite]],$I163&lt;&gt;SottocategorieUscite[[#Headers],[Banca]]),"","$ -")</f>
        <v/>
      </c>
      <c r="N163" s="59" t="str">
        <f>IF(OR(Data!$I163=SottocategorieEntrate[[#Headers],[Business Entrate]],Data!$I163=SottocategorieEntrate[[#Headers],[Varie Entrate]]),"$ -","")</f>
        <v/>
      </c>
      <c r="O163" s="59" t="str">
        <f>IF(OR(Data!$I163=SottocategorieEntrate[[#Headers],[Real Estate]],SottocategorieEntrate[[#Headers],[Other]]),"$ -","")</f>
        <v/>
      </c>
      <c r="P163" s="59" t="str">
        <f>IF(OR($I163&lt;&gt;SottocategorieEntrate[[#Headers],[Business Entrate]],$I163&lt;&gt;SottocategorieEntrate[[#Headers],[Varie Entrate]],$I163&lt;&gt;SottocategorieEntrate[[#Headers],[Real Estate]],$I163&lt;&gt;SottocategorieEntrate[[#Headers],[Other]]),"","$ -")</f>
        <v/>
      </c>
      <c r="Q163" s="59" t="str">
        <f>IF(Dati[[#This Row],[Categoria]]="Prelievo","€ -","")</f>
        <v/>
      </c>
      <c r="R163" s="244" t="str">
        <f t="shared" ca="1" si="8"/>
        <v/>
      </c>
      <c r="S163" s="59" t="str">
        <f>IF(Dati[[#This Row],[Categoria]]="Savings",0,"")</f>
        <v/>
      </c>
      <c r="T163" s="59"/>
      <c r="U163" s="59"/>
      <c r="V163" s="59"/>
      <c r="W163" s="59"/>
      <c r="X163" s="59"/>
      <c r="Y163" s="59"/>
      <c r="Z163" s="59"/>
      <c r="AA163" s="59"/>
      <c r="AB163" s="59"/>
      <c r="AC163" s="59"/>
      <c r="AD163" s="59"/>
      <c r="AE163" s="59"/>
      <c r="AF163" s="59"/>
      <c r="AG163" s="59"/>
      <c r="AH163" s="59"/>
      <c r="AI163" s="59" t="str">
        <f>IF(SUM(Dati[[#This Row],[Inv. Business]:[Inv. Cryptocurrency]])=0," ",SUM(Dati[[#This Row],[Inv. Business]:[Inv. Cryptocurrency]]))</f>
        <v xml:space="preserve"> </v>
      </c>
      <c r="AJ163" s="59"/>
      <c r="AK163" s="59" t="str">
        <f>IF(SUM(Dati[[#This Row],[Inv. Gold]:[Mutuo]])=0," ",SUM(Dati[[#This Row],[Inv. Gold]:[Mutuo]]))</f>
        <v xml:space="preserve"> </v>
      </c>
      <c r="AL163" s="59"/>
      <c r="AM163" s="59"/>
    </row>
    <row r="164" spans="2:39" ht="16" customHeight="1" x14ac:dyDescent="0.35">
      <c r="B164">
        <f t="shared" si="6"/>
        <v>144</v>
      </c>
      <c r="C164" s="49">
        <f t="shared" si="7"/>
        <v>45070</v>
      </c>
      <c r="D164" s="29">
        <f>DAY(Dati[[#This Row],[Data]])</f>
        <v>24</v>
      </c>
      <c r="E164" s="29" t="str">
        <f>IF(DAY(Data!$C$21:$C$1327)&gt;0,TEXT(Data!$C$21:$C$1327, "mmmm"),"")</f>
        <v>maggio</v>
      </c>
      <c r="F164" s="29" t="str">
        <f>IF(DAY(Data!$C$21:$C$1327)&gt;0,TEXT(Data!$C$21:$C$1327, "aaaa"),"")</f>
        <v>2023</v>
      </c>
      <c r="I164" t="str">
        <f>IF(OR(H164=$B$5,H164=$B$6,H164=$B$7,H164=$B$8,H164=$B$9,H164=$B$10,H164=$B$11,H164=$B$12,H164=$B$13,H164=$B$14),SottocategorieUscite[[#Headers],[Fuori Casa]],IF(OR(H164=$C$5,H164=$C$6,H164=$C$7,H164=$C$8,H164=$C$9,H164=$C$10,H164=$C$11,H164=$C$12,H164=$C$13,H164=$C$14),SottocategorieUscite[[#Headers],[Varie Uscite]],IF(OR(H164=$D$5,H164=$D$6,H164=$D$7,H164=$D$8,H164=$D$9,H164=$D$10,H164=$D$11,H164=$D$12,H164=$D$13,H164=$D$14),SottocategorieUscite[[#Headers],[Personali]],IF(OR(H164=$E$5,H164=$E$6,H164=$E$7,H164=$E$8,H164=$E$9,H164=$E$10,H164=$E$11,H164=$E$12,H164=$E$13,H164=$E$14),SottocategorieUscite[[#Headers],[Lavoro]],IF(OR(H164=$F$5,H164=$F$6,H164=$F$7,H164=$F$8,H164=$F$9,H164=$F$10,H164=$F$11,H164=$F$12,H164=$F$13,H164=$F$14),SottocategorieUscite[[#Headers],[Casa]],IF(OR(H164=$G$5,H164=$G$6,H164=$G$7,H164=$G$8,H164=$G$9,H164=$G$10,H164=$G$11,H164=$G$12,H164=$G$13,H164=$G$14),SottocategorieUscite[[#Headers],[Utenze]],IF(OR(H164=$H$5,H164=$H$6,H164=$H$7,H164=$H$8,H164=$H$9,H164=$H$10,H164=$H$11,H164=$H$12,H164=$H$13,H164=$H$14),SottocategorieUscite[[#Headers],[Business Uscite]],IF(OR(H164=$I$5,H164=$I$6,H164=$I$7,H164=$I$8,H164=$I$9,H164=$I$10,H164=$I$11,H164=$I$12,H164=$I$13,H164=$I$14),SottocategorieUscite[[#Headers],[Banca]],IF(OR(H164=K$5,H164=K$6,H164=K$7,H164=K$8,H164=K$9,H164=K$10,H164=K$11,H164=K$12,H164=K$13,H164=K$14),SottocategorieEntrate[[#Headers],[Business Entrate]],IF(OR(H164=L$5,H164=L$6,H164=L$7,H164=L$8,H164=L$9,H164=L$10,H164=L$11,H164=L$12,H164=L$13,H164=L$14),SottocategorieEntrate[[#Headers],[Varie Entrate]],IF(OR(H164=M$5,H164=M$6,H164=M$7,H164=M$8,H164=M$9,H164=M$10,H164=M$11,H164=M$12,H164=M$13,H164=M$14),SottocategorieEntrate[[#Headers],[Real Estate]],IF(OR(H164=N$5,H164=N$6,H164=N$7,H164=N$8,H164=N$9,H164=N$10,H164=N$11,H164=N$12,H164=N$13,H164=N$14),SottocategorieEntrate[[#Headers],[Other]],""))))))))))))</f>
        <v/>
      </c>
      <c r="J164" t="str">
        <f>IF(OR(Dati[[#This Row],[Categoria]]="Bollette",Dati[[#This Row],[Categoria]]="Conto &amp; Carte BNL",Dati[[#This Row],[Categoria]]="Prelievo",Dati[[#This Row],[Categoria]]="Affitto",Dati[[#This Row],[Categoria]]="BNL(Interessi Creditori)"),"Carta",IF(Dati[[#This Row],[Categoria]]&lt;&gt;0,"Cash",""))</f>
        <v/>
      </c>
      <c r="K164" s="59" t="str">
        <f>IF(OR(Data!$I164=SottocategorieUscite[[#Headers],[Fuori Casa]],Data!$I164=SottocategorieUscite[[#Headers],[Varie Uscite]],Data!$I164=SottocategorieUscite[[#Headers],[Personali]],Data!$I164=SottocategorieUscite[[#Headers],[Lavoro]]),"$ -","")</f>
        <v/>
      </c>
      <c r="L164" s="59" t="str">
        <f>IF(OR(Data!$I164=SottocategorieUscite[[#Headers],[Casa]],Data!$I164=SottocategorieUscite[[#Headers],[Utenze]],Data!$I164=SottocategorieUscite[[#Headers],[Business Uscite]],Data!$I164=SottocategorieUscite[[#Headers],[Banca]]),"$ -","")</f>
        <v/>
      </c>
      <c r="M164" s="59" t="str">
        <f>IF(OR($I164&lt;&gt;SottocategorieUscite[[#Headers],[Fuori Casa]],$I164&lt;&gt;SottocategorieUscite[[#Headers],[Varie Uscite]],$I164&lt;&gt;SottocategorieUscite[[#Headers],[Personali]],$I164&lt;&gt;SottocategorieUscite[[#Headers],[Lavoro]],$I164&lt;&gt;SottocategorieUscite[[#Headers],[Casa]],$I164&lt;&gt;SottocategorieUscite[[#Headers],[Utenze]],$I164&lt;&gt;SottocategorieUscite[[#Headers],[Business Uscite]],$I164&lt;&gt;SottocategorieUscite[[#Headers],[Banca]]),"","$ -")</f>
        <v/>
      </c>
      <c r="N164" s="59" t="str">
        <f>IF(OR(Data!$I164=SottocategorieEntrate[[#Headers],[Business Entrate]],Data!$I164=SottocategorieEntrate[[#Headers],[Varie Entrate]]),"$ -","")</f>
        <v/>
      </c>
      <c r="O164" s="59" t="str">
        <f>IF(OR(Data!$I164=SottocategorieEntrate[[#Headers],[Real Estate]],SottocategorieEntrate[[#Headers],[Other]]),"$ -","")</f>
        <v/>
      </c>
      <c r="P164" s="59" t="str">
        <f>IF(OR($I164&lt;&gt;SottocategorieEntrate[[#Headers],[Business Entrate]],$I164&lt;&gt;SottocategorieEntrate[[#Headers],[Varie Entrate]],$I164&lt;&gt;SottocategorieEntrate[[#Headers],[Real Estate]],$I164&lt;&gt;SottocategorieEntrate[[#Headers],[Other]]),"","$ -")</f>
        <v/>
      </c>
      <c r="Q164" s="59" t="str">
        <f>IF(Dati[[#This Row],[Categoria]]="Prelievo","€ -","")</f>
        <v/>
      </c>
      <c r="R164" s="244" t="str">
        <f t="shared" ca="1" si="8"/>
        <v/>
      </c>
      <c r="S164" s="59" t="str">
        <f>IF(Dati[[#This Row],[Categoria]]="Savings",0,"")</f>
        <v/>
      </c>
      <c r="T164" s="59"/>
      <c r="U164" s="59"/>
      <c r="V164" s="59"/>
      <c r="W164" s="59"/>
      <c r="X164" s="59"/>
      <c r="Y164" s="59"/>
      <c r="Z164" s="59"/>
      <c r="AA164" s="59"/>
      <c r="AB164" s="59"/>
      <c r="AC164" s="59"/>
      <c r="AD164" s="59"/>
      <c r="AE164" s="59"/>
      <c r="AF164" s="59"/>
      <c r="AG164" s="59"/>
      <c r="AH164" s="59"/>
      <c r="AI164" s="59" t="str">
        <f>IF(SUM(Dati[[#This Row],[Inv. Business]:[Inv. Cryptocurrency]])=0," ",SUM(Dati[[#This Row],[Inv. Business]:[Inv. Cryptocurrency]]))</f>
        <v xml:space="preserve"> </v>
      </c>
      <c r="AJ164" s="59"/>
      <c r="AK164" s="59" t="str">
        <f>IF(SUM(Dati[[#This Row],[Inv. Gold]:[Mutuo]])=0," ",SUM(Dati[[#This Row],[Inv. Gold]:[Mutuo]]))</f>
        <v xml:space="preserve"> </v>
      </c>
      <c r="AL164" s="59"/>
      <c r="AM164" s="59"/>
    </row>
    <row r="165" spans="2:39" ht="16" customHeight="1" x14ac:dyDescent="0.35">
      <c r="B165">
        <f t="shared" si="6"/>
        <v>145</v>
      </c>
      <c r="C165" s="49">
        <f t="shared" si="7"/>
        <v>45071</v>
      </c>
      <c r="D165" s="29">
        <f>DAY(Dati[[#This Row],[Data]])</f>
        <v>25</v>
      </c>
      <c r="E165" s="29" t="str">
        <f>IF(DAY(Data!$C$21:$C$1327)&gt;0,TEXT(Data!$C$21:$C$1327, "mmmm"),"")</f>
        <v>maggio</v>
      </c>
      <c r="F165" s="29" t="str">
        <f>IF(DAY(Data!$C$21:$C$1327)&gt;0,TEXT(Data!$C$21:$C$1327, "aaaa"),"")</f>
        <v>2023</v>
      </c>
      <c r="I165" t="str">
        <f>IF(OR(H165=$B$5,H165=$B$6,H165=$B$7,H165=$B$8,H165=$B$9,H165=$B$10,H165=$B$11,H165=$B$12,H165=$B$13,H165=$B$14),SottocategorieUscite[[#Headers],[Fuori Casa]],IF(OR(H165=$C$5,H165=$C$6,H165=$C$7,H165=$C$8,H165=$C$9,H165=$C$10,H165=$C$11,H165=$C$12,H165=$C$13,H165=$C$14),SottocategorieUscite[[#Headers],[Varie Uscite]],IF(OR(H165=$D$5,H165=$D$6,H165=$D$7,H165=$D$8,H165=$D$9,H165=$D$10,H165=$D$11,H165=$D$12,H165=$D$13,H165=$D$14),SottocategorieUscite[[#Headers],[Personali]],IF(OR(H165=$E$5,H165=$E$6,H165=$E$7,H165=$E$8,H165=$E$9,H165=$E$10,H165=$E$11,H165=$E$12,H165=$E$13,H165=$E$14),SottocategorieUscite[[#Headers],[Lavoro]],IF(OR(H165=$F$5,H165=$F$6,H165=$F$7,H165=$F$8,H165=$F$9,H165=$F$10,H165=$F$11,H165=$F$12,H165=$F$13,H165=$F$14),SottocategorieUscite[[#Headers],[Casa]],IF(OR(H165=$G$5,H165=$G$6,H165=$G$7,H165=$G$8,H165=$G$9,H165=$G$10,H165=$G$11,H165=$G$12,H165=$G$13,H165=$G$14),SottocategorieUscite[[#Headers],[Utenze]],IF(OR(H165=$H$5,H165=$H$6,H165=$H$7,H165=$H$8,H165=$H$9,H165=$H$10,H165=$H$11,H165=$H$12,H165=$H$13,H165=$H$14),SottocategorieUscite[[#Headers],[Business Uscite]],IF(OR(H165=$I$5,H165=$I$6,H165=$I$7,H165=$I$8,H165=$I$9,H165=$I$10,H165=$I$11,H165=$I$12,H165=$I$13,H165=$I$14),SottocategorieUscite[[#Headers],[Banca]],IF(OR(H165=K$5,H165=K$6,H165=K$7,H165=K$8,H165=K$9,H165=K$10,H165=K$11,H165=K$12,H165=K$13,H165=K$14),SottocategorieEntrate[[#Headers],[Business Entrate]],IF(OR(H165=L$5,H165=L$6,H165=L$7,H165=L$8,H165=L$9,H165=L$10,H165=L$11,H165=L$12,H165=L$13,H165=L$14),SottocategorieEntrate[[#Headers],[Varie Entrate]],IF(OR(H165=M$5,H165=M$6,H165=M$7,H165=M$8,H165=M$9,H165=M$10,H165=M$11,H165=M$12,H165=M$13,H165=M$14),SottocategorieEntrate[[#Headers],[Real Estate]],IF(OR(H165=N$5,H165=N$6,H165=N$7,H165=N$8,H165=N$9,H165=N$10,H165=N$11,H165=N$12,H165=N$13,H165=N$14),SottocategorieEntrate[[#Headers],[Other]],""))))))))))))</f>
        <v/>
      </c>
      <c r="J165" t="str">
        <f>IF(OR(Dati[[#This Row],[Categoria]]="Bollette",Dati[[#This Row],[Categoria]]="Conto &amp; Carte BNL",Dati[[#This Row],[Categoria]]="Prelievo",Dati[[#This Row],[Categoria]]="Affitto",Dati[[#This Row],[Categoria]]="BNL(Interessi Creditori)"),"Carta",IF(Dati[[#This Row],[Categoria]]&lt;&gt;0,"Cash",""))</f>
        <v/>
      </c>
      <c r="K165" s="59" t="str">
        <f>IF(OR(Data!$I165=SottocategorieUscite[[#Headers],[Fuori Casa]],Data!$I165=SottocategorieUscite[[#Headers],[Varie Uscite]],Data!$I165=SottocategorieUscite[[#Headers],[Personali]],Data!$I165=SottocategorieUscite[[#Headers],[Lavoro]]),"$ -","")</f>
        <v/>
      </c>
      <c r="L165" s="59" t="str">
        <f>IF(OR(Data!$I165=SottocategorieUscite[[#Headers],[Casa]],Data!$I165=SottocategorieUscite[[#Headers],[Utenze]],Data!$I165=SottocategorieUscite[[#Headers],[Business Uscite]],Data!$I165=SottocategorieUscite[[#Headers],[Banca]]),"$ -","")</f>
        <v/>
      </c>
      <c r="M165" s="59" t="str">
        <f>IF(OR($I165&lt;&gt;SottocategorieUscite[[#Headers],[Fuori Casa]],$I165&lt;&gt;SottocategorieUscite[[#Headers],[Varie Uscite]],$I165&lt;&gt;SottocategorieUscite[[#Headers],[Personali]],$I165&lt;&gt;SottocategorieUscite[[#Headers],[Lavoro]],$I165&lt;&gt;SottocategorieUscite[[#Headers],[Casa]],$I165&lt;&gt;SottocategorieUscite[[#Headers],[Utenze]],$I165&lt;&gt;SottocategorieUscite[[#Headers],[Business Uscite]],$I165&lt;&gt;SottocategorieUscite[[#Headers],[Banca]]),"","$ -")</f>
        <v/>
      </c>
      <c r="N165" s="59" t="str">
        <f>IF(OR(Data!$I165=SottocategorieEntrate[[#Headers],[Business Entrate]],Data!$I165=SottocategorieEntrate[[#Headers],[Varie Entrate]]),"$ -","")</f>
        <v/>
      </c>
      <c r="O165" s="59" t="str">
        <f>IF(OR(Data!$I165=SottocategorieEntrate[[#Headers],[Real Estate]],SottocategorieEntrate[[#Headers],[Other]]),"$ -","")</f>
        <v/>
      </c>
      <c r="P165" s="59" t="str">
        <f>IF(OR($I165&lt;&gt;SottocategorieEntrate[[#Headers],[Business Entrate]],$I165&lt;&gt;SottocategorieEntrate[[#Headers],[Varie Entrate]],$I165&lt;&gt;SottocategorieEntrate[[#Headers],[Real Estate]],$I165&lt;&gt;SottocategorieEntrate[[#Headers],[Other]]),"","$ -")</f>
        <v/>
      </c>
      <c r="Q165" s="59" t="str">
        <f>IF(Dati[[#This Row],[Categoria]]="Prelievo","€ -","")</f>
        <v/>
      </c>
      <c r="R165" s="244" t="str">
        <f t="shared" ca="1" si="8"/>
        <v/>
      </c>
      <c r="S165" s="59" t="str">
        <f>IF(Dati[[#This Row],[Categoria]]="Savings",0,"")</f>
        <v/>
      </c>
      <c r="T165" s="59"/>
      <c r="U165" s="59"/>
      <c r="V165" s="59"/>
      <c r="W165" s="59"/>
      <c r="X165" s="59"/>
      <c r="Y165" s="59"/>
      <c r="Z165" s="59"/>
      <c r="AA165" s="59"/>
      <c r="AB165" s="59"/>
      <c r="AC165" s="59"/>
      <c r="AD165" s="59"/>
      <c r="AE165" s="59"/>
      <c r="AF165" s="59"/>
      <c r="AG165" s="59"/>
      <c r="AH165" s="59"/>
      <c r="AI165" s="59" t="str">
        <f>IF(SUM(Dati[[#This Row],[Inv. Business]:[Inv. Cryptocurrency]])=0," ",SUM(Dati[[#This Row],[Inv. Business]:[Inv. Cryptocurrency]]))</f>
        <v xml:space="preserve"> </v>
      </c>
      <c r="AJ165" s="59"/>
      <c r="AK165" s="59" t="str">
        <f>IF(SUM(Dati[[#This Row],[Inv. Gold]:[Mutuo]])=0," ",SUM(Dati[[#This Row],[Inv. Gold]:[Mutuo]]))</f>
        <v xml:space="preserve"> </v>
      </c>
      <c r="AL165" s="59"/>
      <c r="AM165" s="59"/>
    </row>
    <row r="166" spans="2:39" ht="16" customHeight="1" x14ac:dyDescent="0.35">
      <c r="B166">
        <f t="shared" si="6"/>
        <v>146</v>
      </c>
      <c r="C166" s="49">
        <f t="shared" si="7"/>
        <v>45072</v>
      </c>
      <c r="D166" s="29">
        <f>DAY(Dati[[#This Row],[Data]])</f>
        <v>26</v>
      </c>
      <c r="E166" s="29" t="str">
        <f>IF(DAY(Data!$C$21:$C$1327)&gt;0,TEXT(Data!$C$21:$C$1327, "mmmm"),"")</f>
        <v>maggio</v>
      </c>
      <c r="F166" s="29" t="str">
        <f>IF(DAY(Data!$C$21:$C$1327)&gt;0,TEXT(Data!$C$21:$C$1327, "aaaa"),"")</f>
        <v>2023</v>
      </c>
      <c r="I166" t="str">
        <f>IF(OR(H166=$B$5,H166=$B$6,H166=$B$7,H166=$B$8,H166=$B$9,H166=$B$10,H166=$B$11,H166=$B$12,H166=$B$13,H166=$B$14),SottocategorieUscite[[#Headers],[Fuori Casa]],IF(OR(H166=$C$5,H166=$C$6,H166=$C$7,H166=$C$8,H166=$C$9,H166=$C$10,H166=$C$11,H166=$C$12,H166=$C$13,H166=$C$14),SottocategorieUscite[[#Headers],[Varie Uscite]],IF(OR(H166=$D$5,H166=$D$6,H166=$D$7,H166=$D$8,H166=$D$9,H166=$D$10,H166=$D$11,H166=$D$12,H166=$D$13,H166=$D$14),SottocategorieUscite[[#Headers],[Personali]],IF(OR(H166=$E$5,H166=$E$6,H166=$E$7,H166=$E$8,H166=$E$9,H166=$E$10,H166=$E$11,H166=$E$12,H166=$E$13,H166=$E$14),SottocategorieUscite[[#Headers],[Lavoro]],IF(OR(H166=$F$5,H166=$F$6,H166=$F$7,H166=$F$8,H166=$F$9,H166=$F$10,H166=$F$11,H166=$F$12,H166=$F$13,H166=$F$14),SottocategorieUscite[[#Headers],[Casa]],IF(OR(H166=$G$5,H166=$G$6,H166=$G$7,H166=$G$8,H166=$G$9,H166=$G$10,H166=$G$11,H166=$G$12,H166=$G$13,H166=$G$14),SottocategorieUscite[[#Headers],[Utenze]],IF(OR(H166=$H$5,H166=$H$6,H166=$H$7,H166=$H$8,H166=$H$9,H166=$H$10,H166=$H$11,H166=$H$12,H166=$H$13,H166=$H$14),SottocategorieUscite[[#Headers],[Business Uscite]],IF(OR(H166=$I$5,H166=$I$6,H166=$I$7,H166=$I$8,H166=$I$9,H166=$I$10,H166=$I$11,H166=$I$12,H166=$I$13,H166=$I$14),SottocategorieUscite[[#Headers],[Banca]],IF(OR(H166=K$5,H166=K$6,H166=K$7,H166=K$8,H166=K$9,H166=K$10,H166=K$11,H166=K$12,H166=K$13,H166=K$14),SottocategorieEntrate[[#Headers],[Business Entrate]],IF(OR(H166=L$5,H166=L$6,H166=L$7,H166=L$8,H166=L$9,H166=L$10,H166=L$11,H166=L$12,H166=L$13,H166=L$14),SottocategorieEntrate[[#Headers],[Varie Entrate]],IF(OR(H166=M$5,H166=M$6,H166=M$7,H166=M$8,H166=M$9,H166=M$10,H166=M$11,H166=M$12,H166=M$13,H166=M$14),SottocategorieEntrate[[#Headers],[Real Estate]],IF(OR(H166=N$5,H166=N$6,H166=N$7,H166=N$8,H166=N$9,H166=N$10,H166=N$11,H166=N$12,H166=N$13,H166=N$14),SottocategorieEntrate[[#Headers],[Other]],""))))))))))))</f>
        <v/>
      </c>
      <c r="J166" t="str">
        <f>IF(OR(Dati[[#This Row],[Categoria]]="Bollette",Dati[[#This Row],[Categoria]]="Conto &amp; Carte BNL",Dati[[#This Row],[Categoria]]="Prelievo",Dati[[#This Row],[Categoria]]="Affitto",Dati[[#This Row],[Categoria]]="BNL(Interessi Creditori)"),"Carta",IF(Dati[[#This Row],[Categoria]]&lt;&gt;0,"Cash",""))</f>
        <v/>
      </c>
      <c r="K166" s="59" t="str">
        <f>IF(OR(Data!$I166=SottocategorieUscite[[#Headers],[Fuori Casa]],Data!$I166=SottocategorieUscite[[#Headers],[Varie Uscite]],Data!$I166=SottocategorieUscite[[#Headers],[Personali]],Data!$I166=SottocategorieUscite[[#Headers],[Lavoro]]),"$ -","")</f>
        <v/>
      </c>
      <c r="L166" s="59" t="str">
        <f>IF(OR(Data!$I166=SottocategorieUscite[[#Headers],[Casa]],Data!$I166=SottocategorieUscite[[#Headers],[Utenze]],Data!$I166=SottocategorieUscite[[#Headers],[Business Uscite]],Data!$I166=SottocategorieUscite[[#Headers],[Banca]]),"$ -","")</f>
        <v/>
      </c>
      <c r="M166" s="59" t="str">
        <f>IF(OR($I166&lt;&gt;SottocategorieUscite[[#Headers],[Fuori Casa]],$I166&lt;&gt;SottocategorieUscite[[#Headers],[Varie Uscite]],$I166&lt;&gt;SottocategorieUscite[[#Headers],[Personali]],$I166&lt;&gt;SottocategorieUscite[[#Headers],[Lavoro]],$I166&lt;&gt;SottocategorieUscite[[#Headers],[Casa]],$I166&lt;&gt;SottocategorieUscite[[#Headers],[Utenze]],$I166&lt;&gt;SottocategorieUscite[[#Headers],[Business Uscite]],$I166&lt;&gt;SottocategorieUscite[[#Headers],[Banca]]),"","$ -")</f>
        <v/>
      </c>
      <c r="N166" s="59" t="str">
        <f>IF(OR(Data!$I166=SottocategorieEntrate[[#Headers],[Business Entrate]],Data!$I166=SottocategorieEntrate[[#Headers],[Varie Entrate]]),"$ -","")</f>
        <v/>
      </c>
      <c r="O166" s="59" t="str">
        <f>IF(OR(Data!$I166=SottocategorieEntrate[[#Headers],[Real Estate]],SottocategorieEntrate[[#Headers],[Other]]),"$ -","")</f>
        <v/>
      </c>
      <c r="P166" s="59" t="str">
        <f>IF(OR($I166&lt;&gt;SottocategorieEntrate[[#Headers],[Business Entrate]],$I166&lt;&gt;SottocategorieEntrate[[#Headers],[Varie Entrate]],$I166&lt;&gt;SottocategorieEntrate[[#Headers],[Real Estate]],$I166&lt;&gt;SottocategorieEntrate[[#Headers],[Other]]),"","$ -")</f>
        <v/>
      </c>
      <c r="Q166" s="59" t="str">
        <f>IF(Dati[[#This Row],[Categoria]]="Prelievo","€ -","")</f>
        <v/>
      </c>
      <c r="R166" s="244" t="str">
        <f t="shared" ca="1" si="8"/>
        <v/>
      </c>
      <c r="S166" s="59" t="str">
        <f>IF(Dati[[#This Row],[Categoria]]="Savings",0,"")</f>
        <v/>
      </c>
      <c r="T166" s="59"/>
      <c r="U166" s="59"/>
      <c r="V166" s="59"/>
      <c r="W166" s="59"/>
      <c r="X166" s="59"/>
      <c r="Y166" s="59"/>
      <c r="Z166" s="59"/>
      <c r="AA166" s="59"/>
      <c r="AB166" s="59"/>
      <c r="AC166" s="59"/>
      <c r="AD166" s="59"/>
      <c r="AE166" s="59"/>
      <c r="AF166" s="59"/>
      <c r="AG166" s="59"/>
      <c r="AH166" s="59"/>
      <c r="AI166" s="59" t="str">
        <f>IF(SUM(Dati[[#This Row],[Inv. Business]:[Inv. Cryptocurrency]])=0," ",SUM(Dati[[#This Row],[Inv. Business]:[Inv. Cryptocurrency]]))</f>
        <v xml:space="preserve"> </v>
      </c>
      <c r="AJ166" s="59"/>
      <c r="AK166" s="59" t="str">
        <f>IF(SUM(Dati[[#This Row],[Inv. Gold]:[Mutuo]])=0," ",SUM(Dati[[#This Row],[Inv. Gold]:[Mutuo]]))</f>
        <v xml:space="preserve"> </v>
      </c>
      <c r="AL166" s="59"/>
      <c r="AM166" s="59"/>
    </row>
    <row r="167" spans="2:39" ht="16" customHeight="1" x14ac:dyDescent="0.35">
      <c r="B167">
        <f t="shared" si="6"/>
        <v>147</v>
      </c>
      <c r="C167" s="49">
        <f t="shared" si="7"/>
        <v>45073</v>
      </c>
      <c r="D167" s="29">
        <f>DAY(Dati[[#This Row],[Data]])</f>
        <v>27</v>
      </c>
      <c r="E167" s="29" t="str">
        <f>IF(DAY(Data!$C$21:$C$1327)&gt;0,TEXT(Data!$C$21:$C$1327, "mmmm"),"")</f>
        <v>maggio</v>
      </c>
      <c r="F167" s="29" t="str">
        <f>IF(DAY(Data!$C$21:$C$1327)&gt;0,TEXT(Data!$C$21:$C$1327, "aaaa"),"")</f>
        <v>2023</v>
      </c>
      <c r="I167" t="str">
        <f>IF(OR(H167=$B$5,H167=$B$6,H167=$B$7,H167=$B$8,H167=$B$9,H167=$B$10,H167=$B$11,H167=$B$12,H167=$B$13,H167=$B$14),SottocategorieUscite[[#Headers],[Fuori Casa]],IF(OR(H167=$C$5,H167=$C$6,H167=$C$7,H167=$C$8,H167=$C$9,H167=$C$10,H167=$C$11,H167=$C$12,H167=$C$13,H167=$C$14),SottocategorieUscite[[#Headers],[Varie Uscite]],IF(OR(H167=$D$5,H167=$D$6,H167=$D$7,H167=$D$8,H167=$D$9,H167=$D$10,H167=$D$11,H167=$D$12,H167=$D$13,H167=$D$14),SottocategorieUscite[[#Headers],[Personali]],IF(OR(H167=$E$5,H167=$E$6,H167=$E$7,H167=$E$8,H167=$E$9,H167=$E$10,H167=$E$11,H167=$E$12,H167=$E$13,H167=$E$14),SottocategorieUscite[[#Headers],[Lavoro]],IF(OR(H167=$F$5,H167=$F$6,H167=$F$7,H167=$F$8,H167=$F$9,H167=$F$10,H167=$F$11,H167=$F$12,H167=$F$13,H167=$F$14),SottocategorieUscite[[#Headers],[Casa]],IF(OR(H167=$G$5,H167=$G$6,H167=$G$7,H167=$G$8,H167=$G$9,H167=$G$10,H167=$G$11,H167=$G$12,H167=$G$13,H167=$G$14),SottocategorieUscite[[#Headers],[Utenze]],IF(OR(H167=$H$5,H167=$H$6,H167=$H$7,H167=$H$8,H167=$H$9,H167=$H$10,H167=$H$11,H167=$H$12,H167=$H$13,H167=$H$14),SottocategorieUscite[[#Headers],[Business Uscite]],IF(OR(H167=$I$5,H167=$I$6,H167=$I$7,H167=$I$8,H167=$I$9,H167=$I$10,H167=$I$11,H167=$I$12,H167=$I$13,H167=$I$14),SottocategorieUscite[[#Headers],[Banca]],IF(OR(H167=K$5,H167=K$6,H167=K$7,H167=K$8,H167=K$9,H167=K$10,H167=K$11,H167=K$12,H167=K$13,H167=K$14),SottocategorieEntrate[[#Headers],[Business Entrate]],IF(OR(H167=L$5,H167=L$6,H167=L$7,H167=L$8,H167=L$9,H167=L$10,H167=L$11,H167=L$12,H167=L$13,H167=L$14),SottocategorieEntrate[[#Headers],[Varie Entrate]],IF(OR(H167=M$5,H167=M$6,H167=M$7,H167=M$8,H167=M$9,H167=M$10,H167=M$11,H167=M$12,H167=M$13,H167=M$14),SottocategorieEntrate[[#Headers],[Real Estate]],IF(OR(H167=N$5,H167=N$6,H167=N$7,H167=N$8,H167=N$9,H167=N$10,H167=N$11,H167=N$12,H167=N$13,H167=N$14),SottocategorieEntrate[[#Headers],[Other]],""))))))))))))</f>
        <v/>
      </c>
      <c r="J167" t="str">
        <f>IF(OR(Dati[[#This Row],[Categoria]]="Bollette",Dati[[#This Row],[Categoria]]="Conto &amp; Carte BNL",Dati[[#This Row],[Categoria]]="Prelievo",Dati[[#This Row],[Categoria]]="Affitto",Dati[[#This Row],[Categoria]]="BNL(Interessi Creditori)"),"Carta",IF(Dati[[#This Row],[Categoria]]&lt;&gt;0,"Cash",""))</f>
        <v/>
      </c>
      <c r="K167" s="59" t="str">
        <f>IF(OR(Data!$I167=SottocategorieUscite[[#Headers],[Fuori Casa]],Data!$I167=SottocategorieUscite[[#Headers],[Varie Uscite]],Data!$I167=SottocategorieUscite[[#Headers],[Personali]],Data!$I167=SottocategorieUscite[[#Headers],[Lavoro]]),"$ -","")</f>
        <v/>
      </c>
      <c r="L167" s="59" t="str">
        <f>IF(OR(Data!$I167=SottocategorieUscite[[#Headers],[Casa]],Data!$I167=SottocategorieUscite[[#Headers],[Utenze]],Data!$I167=SottocategorieUscite[[#Headers],[Business Uscite]],Data!$I167=SottocategorieUscite[[#Headers],[Banca]]),"$ -","")</f>
        <v/>
      </c>
      <c r="M167" s="59" t="str">
        <f>IF(OR($I167&lt;&gt;SottocategorieUscite[[#Headers],[Fuori Casa]],$I167&lt;&gt;SottocategorieUscite[[#Headers],[Varie Uscite]],$I167&lt;&gt;SottocategorieUscite[[#Headers],[Personali]],$I167&lt;&gt;SottocategorieUscite[[#Headers],[Lavoro]],$I167&lt;&gt;SottocategorieUscite[[#Headers],[Casa]],$I167&lt;&gt;SottocategorieUscite[[#Headers],[Utenze]],$I167&lt;&gt;SottocategorieUscite[[#Headers],[Business Uscite]],$I167&lt;&gt;SottocategorieUscite[[#Headers],[Banca]]),"","$ -")</f>
        <v/>
      </c>
      <c r="N167" s="59" t="str">
        <f>IF(OR(Data!$I167=SottocategorieEntrate[[#Headers],[Business Entrate]],Data!$I167=SottocategorieEntrate[[#Headers],[Varie Entrate]]),"$ -","")</f>
        <v/>
      </c>
      <c r="O167" s="59" t="str">
        <f>IF(OR(Data!$I167=SottocategorieEntrate[[#Headers],[Real Estate]],SottocategorieEntrate[[#Headers],[Other]]),"$ -","")</f>
        <v/>
      </c>
      <c r="P167" s="59" t="str">
        <f>IF(OR($I167&lt;&gt;SottocategorieEntrate[[#Headers],[Business Entrate]],$I167&lt;&gt;SottocategorieEntrate[[#Headers],[Varie Entrate]],$I167&lt;&gt;SottocategorieEntrate[[#Headers],[Real Estate]],$I167&lt;&gt;SottocategorieEntrate[[#Headers],[Other]]),"","$ -")</f>
        <v/>
      </c>
      <c r="Q167" s="59" t="str">
        <f>IF(Dati[[#This Row],[Categoria]]="Prelievo","€ -","")</f>
        <v/>
      </c>
      <c r="R167" s="244" t="str">
        <f t="shared" ca="1" si="8"/>
        <v/>
      </c>
      <c r="S167" s="59" t="str">
        <f>IF(Dati[[#This Row],[Categoria]]="Savings",0,"")</f>
        <v/>
      </c>
      <c r="T167" s="59"/>
      <c r="U167" s="59"/>
      <c r="V167" s="59"/>
      <c r="W167" s="59"/>
      <c r="X167" s="59"/>
      <c r="Y167" s="59"/>
      <c r="Z167" s="59"/>
      <c r="AA167" s="59"/>
      <c r="AB167" s="59"/>
      <c r="AC167" s="59"/>
      <c r="AD167" s="59"/>
      <c r="AE167" s="59"/>
      <c r="AF167" s="59"/>
      <c r="AG167" s="59"/>
      <c r="AH167" s="59"/>
      <c r="AI167" s="59" t="str">
        <f>IF(SUM(Dati[[#This Row],[Inv. Business]:[Inv. Cryptocurrency]])=0," ",SUM(Dati[[#This Row],[Inv. Business]:[Inv. Cryptocurrency]]))</f>
        <v xml:space="preserve"> </v>
      </c>
      <c r="AJ167" s="59"/>
      <c r="AK167" s="59" t="str">
        <f>IF(SUM(Dati[[#This Row],[Inv. Gold]:[Mutuo]])=0," ",SUM(Dati[[#This Row],[Inv. Gold]:[Mutuo]]))</f>
        <v xml:space="preserve"> </v>
      </c>
      <c r="AL167" s="59"/>
      <c r="AM167" s="59"/>
    </row>
    <row r="168" spans="2:39" ht="16" customHeight="1" x14ac:dyDescent="0.35">
      <c r="B168">
        <f t="shared" si="6"/>
        <v>148</v>
      </c>
      <c r="C168" s="49">
        <f t="shared" si="7"/>
        <v>45074</v>
      </c>
      <c r="D168" s="29">
        <f>DAY(Dati[[#This Row],[Data]])</f>
        <v>28</v>
      </c>
      <c r="E168" s="29" t="str">
        <f>IF(DAY(Data!$C$21:$C$1327)&gt;0,TEXT(Data!$C$21:$C$1327, "mmmm"),"")</f>
        <v>maggio</v>
      </c>
      <c r="F168" s="29" t="str">
        <f>IF(DAY(Data!$C$21:$C$1327)&gt;0,TEXT(Data!$C$21:$C$1327, "aaaa"),"")</f>
        <v>2023</v>
      </c>
      <c r="I168" t="str">
        <f>IF(OR(H168=$B$5,H168=$B$6,H168=$B$7,H168=$B$8,H168=$B$9,H168=$B$10,H168=$B$11,H168=$B$12,H168=$B$13,H168=$B$14),SottocategorieUscite[[#Headers],[Fuori Casa]],IF(OR(H168=$C$5,H168=$C$6,H168=$C$7,H168=$C$8,H168=$C$9,H168=$C$10,H168=$C$11,H168=$C$12,H168=$C$13,H168=$C$14),SottocategorieUscite[[#Headers],[Varie Uscite]],IF(OR(H168=$D$5,H168=$D$6,H168=$D$7,H168=$D$8,H168=$D$9,H168=$D$10,H168=$D$11,H168=$D$12,H168=$D$13,H168=$D$14),SottocategorieUscite[[#Headers],[Personali]],IF(OR(H168=$E$5,H168=$E$6,H168=$E$7,H168=$E$8,H168=$E$9,H168=$E$10,H168=$E$11,H168=$E$12,H168=$E$13,H168=$E$14),SottocategorieUscite[[#Headers],[Lavoro]],IF(OR(H168=$F$5,H168=$F$6,H168=$F$7,H168=$F$8,H168=$F$9,H168=$F$10,H168=$F$11,H168=$F$12,H168=$F$13,H168=$F$14),SottocategorieUscite[[#Headers],[Casa]],IF(OR(H168=$G$5,H168=$G$6,H168=$G$7,H168=$G$8,H168=$G$9,H168=$G$10,H168=$G$11,H168=$G$12,H168=$G$13,H168=$G$14),SottocategorieUscite[[#Headers],[Utenze]],IF(OR(H168=$H$5,H168=$H$6,H168=$H$7,H168=$H$8,H168=$H$9,H168=$H$10,H168=$H$11,H168=$H$12,H168=$H$13,H168=$H$14),SottocategorieUscite[[#Headers],[Business Uscite]],IF(OR(H168=$I$5,H168=$I$6,H168=$I$7,H168=$I$8,H168=$I$9,H168=$I$10,H168=$I$11,H168=$I$12,H168=$I$13,H168=$I$14),SottocategorieUscite[[#Headers],[Banca]],IF(OR(H168=K$5,H168=K$6,H168=K$7,H168=K$8,H168=K$9,H168=K$10,H168=K$11,H168=K$12,H168=K$13,H168=K$14),SottocategorieEntrate[[#Headers],[Business Entrate]],IF(OR(H168=L$5,H168=L$6,H168=L$7,H168=L$8,H168=L$9,H168=L$10,H168=L$11,H168=L$12,H168=L$13,H168=L$14),SottocategorieEntrate[[#Headers],[Varie Entrate]],IF(OR(H168=M$5,H168=M$6,H168=M$7,H168=M$8,H168=M$9,H168=M$10,H168=M$11,H168=M$12,H168=M$13,H168=M$14),SottocategorieEntrate[[#Headers],[Real Estate]],IF(OR(H168=N$5,H168=N$6,H168=N$7,H168=N$8,H168=N$9,H168=N$10,H168=N$11,H168=N$12,H168=N$13,H168=N$14),SottocategorieEntrate[[#Headers],[Other]],""))))))))))))</f>
        <v/>
      </c>
      <c r="J168" t="str">
        <f>IF(OR(Dati[[#This Row],[Categoria]]="Bollette",Dati[[#This Row],[Categoria]]="Conto &amp; Carte BNL",Dati[[#This Row],[Categoria]]="Prelievo",Dati[[#This Row],[Categoria]]="Affitto",Dati[[#This Row],[Categoria]]="BNL(Interessi Creditori)"),"Carta",IF(Dati[[#This Row],[Categoria]]&lt;&gt;0,"Cash",""))</f>
        <v/>
      </c>
      <c r="K168" s="59" t="str">
        <f>IF(OR(Data!$I168=SottocategorieUscite[[#Headers],[Fuori Casa]],Data!$I168=SottocategorieUscite[[#Headers],[Varie Uscite]],Data!$I168=SottocategorieUscite[[#Headers],[Personali]],Data!$I168=SottocategorieUscite[[#Headers],[Lavoro]]),"$ -","")</f>
        <v/>
      </c>
      <c r="L168" s="59" t="str">
        <f>IF(OR(Data!$I168=SottocategorieUscite[[#Headers],[Casa]],Data!$I168=SottocategorieUscite[[#Headers],[Utenze]],Data!$I168=SottocategorieUscite[[#Headers],[Business Uscite]],Data!$I168=SottocategorieUscite[[#Headers],[Banca]]),"$ -","")</f>
        <v/>
      </c>
      <c r="M168" s="59" t="str">
        <f>IF(OR($I168&lt;&gt;SottocategorieUscite[[#Headers],[Fuori Casa]],$I168&lt;&gt;SottocategorieUscite[[#Headers],[Varie Uscite]],$I168&lt;&gt;SottocategorieUscite[[#Headers],[Personali]],$I168&lt;&gt;SottocategorieUscite[[#Headers],[Lavoro]],$I168&lt;&gt;SottocategorieUscite[[#Headers],[Casa]],$I168&lt;&gt;SottocategorieUscite[[#Headers],[Utenze]],$I168&lt;&gt;SottocategorieUscite[[#Headers],[Business Uscite]],$I168&lt;&gt;SottocategorieUscite[[#Headers],[Banca]]),"","$ -")</f>
        <v/>
      </c>
      <c r="N168" s="59" t="str">
        <f>IF(OR(Data!$I168=SottocategorieEntrate[[#Headers],[Business Entrate]],Data!$I168=SottocategorieEntrate[[#Headers],[Varie Entrate]]),"$ -","")</f>
        <v/>
      </c>
      <c r="O168" s="59" t="str">
        <f>IF(OR(Data!$I168=SottocategorieEntrate[[#Headers],[Real Estate]],SottocategorieEntrate[[#Headers],[Other]]),"$ -","")</f>
        <v/>
      </c>
      <c r="P168" s="59" t="str">
        <f>IF(OR($I168&lt;&gt;SottocategorieEntrate[[#Headers],[Business Entrate]],$I168&lt;&gt;SottocategorieEntrate[[#Headers],[Varie Entrate]],$I168&lt;&gt;SottocategorieEntrate[[#Headers],[Real Estate]],$I168&lt;&gt;SottocategorieEntrate[[#Headers],[Other]]),"","$ -")</f>
        <v/>
      </c>
      <c r="Q168" s="59" t="str">
        <f>IF(Dati[[#This Row],[Categoria]]="Prelievo","€ -","")</f>
        <v/>
      </c>
      <c r="R168" s="244" t="str">
        <f t="shared" ca="1" si="8"/>
        <v/>
      </c>
      <c r="S168" s="59" t="str">
        <f>IF(Dati[[#This Row],[Categoria]]="Savings",0,"")</f>
        <v/>
      </c>
      <c r="T168" s="59"/>
      <c r="U168" s="59"/>
      <c r="V168" s="59"/>
      <c r="W168" s="59"/>
      <c r="X168" s="59"/>
      <c r="Y168" s="59"/>
      <c r="Z168" s="59"/>
      <c r="AA168" s="59"/>
      <c r="AB168" s="59"/>
      <c r="AC168" s="59"/>
      <c r="AD168" s="59"/>
      <c r="AE168" s="59"/>
      <c r="AF168" s="59"/>
      <c r="AG168" s="59"/>
      <c r="AH168" s="59"/>
      <c r="AI168" s="59" t="str">
        <f>IF(SUM(Dati[[#This Row],[Inv. Business]:[Inv. Cryptocurrency]])=0," ",SUM(Dati[[#This Row],[Inv. Business]:[Inv. Cryptocurrency]]))</f>
        <v xml:space="preserve"> </v>
      </c>
      <c r="AJ168" s="59"/>
      <c r="AK168" s="59" t="str">
        <f>IF(SUM(Dati[[#This Row],[Inv. Gold]:[Mutuo]])=0," ",SUM(Dati[[#This Row],[Inv. Gold]:[Mutuo]]))</f>
        <v xml:space="preserve"> </v>
      </c>
      <c r="AL168" s="59"/>
      <c r="AM168" s="59"/>
    </row>
    <row r="169" spans="2:39" ht="16" customHeight="1" x14ac:dyDescent="0.35">
      <c r="B169">
        <f t="shared" si="6"/>
        <v>149</v>
      </c>
      <c r="C169" s="49">
        <f t="shared" si="7"/>
        <v>45075</v>
      </c>
      <c r="D169" s="29">
        <f>DAY(Dati[[#This Row],[Data]])</f>
        <v>29</v>
      </c>
      <c r="E169" s="29" t="str">
        <f>IF(DAY(Data!$C$21:$C$1327)&gt;0,TEXT(Data!$C$21:$C$1327, "mmmm"),"")</f>
        <v>maggio</v>
      </c>
      <c r="F169" s="29" t="str">
        <f>IF(DAY(Data!$C$21:$C$1327)&gt;0,TEXT(Data!$C$21:$C$1327, "aaaa"),"")</f>
        <v>2023</v>
      </c>
      <c r="I169" t="str">
        <f>IF(OR(H169=$B$5,H169=$B$6,H169=$B$7,H169=$B$8,H169=$B$9,H169=$B$10,H169=$B$11,H169=$B$12,H169=$B$13,H169=$B$14),SottocategorieUscite[[#Headers],[Fuori Casa]],IF(OR(H169=$C$5,H169=$C$6,H169=$C$7,H169=$C$8,H169=$C$9,H169=$C$10,H169=$C$11,H169=$C$12,H169=$C$13,H169=$C$14),SottocategorieUscite[[#Headers],[Varie Uscite]],IF(OR(H169=$D$5,H169=$D$6,H169=$D$7,H169=$D$8,H169=$D$9,H169=$D$10,H169=$D$11,H169=$D$12,H169=$D$13,H169=$D$14),SottocategorieUscite[[#Headers],[Personali]],IF(OR(H169=$E$5,H169=$E$6,H169=$E$7,H169=$E$8,H169=$E$9,H169=$E$10,H169=$E$11,H169=$E$12,H169=$E$13,H169=$E$14),SottocategorieUscite[[#Headers],[Lavoro]],IF(OR(H169=$F$5,H169=$F$6,H169=$F$7,H169=$F$8,H169=$F$9,H169=$F$10,H169=$F$11,H169=$F$12,H169=$F$13,H169=$F$14),SottocategorieUscite[[#Headers],[Casa]],IF(OR(H169=$G$5,H169=$G$6,H169=$G$7,H169=$G$8,H169=$G$9,H169=$G$10,H169=$G$11,H169=$G$12,H169=$G$13,H169=$G$14),SottocategorieUscite[[#Headers],[Utenze]],IF(OR(H169=$H$5,H169=$H$6,H169=$H$7,H169=$H$8,H169=$H$9,H169=$H$10,H169=$H$11,H169=$H$12,H169=$H$13,H169=$H$14),SottocategorieUscite[[#Headers],[Business Uscite]],IF(OR(H169=$I$5,H169=$I$6,H169=$I$7,H169=$I$8,H169=$I$9,H169=$I$10,H169=$I$11,H169=$I$12,H169=$I$13,H169=$I$14),SottocategorieUscite[[#Headers],[Banca]],IF(OR(H169=K$5,H169=K$6,H169=K$7,H169=K$8,H169=K$9,H169=K$10,H169=K$11,H169=K$12,H169=K$13,H169=K$14),SottocategorieEntrate[[#Headers],[Business Entrate]],IF(OR(H169=L$5,H169=L$6,H169=L$7,H169=L$8,H169=L$9,H169=L$10,H169=L$11,H169=L$12,H169=L$13,H169=L$14),SottocategorieEntrate[[#Headers],[Varie Entrate]],IF(OR(H169=M$5,H169=M$6,H169=M$7,H169=M$8,H169=M$9,H169=M$10,H169=M$11,H169=M$12,H169=M$13,H169=M$14),SottocategorieEntrate[[#Headers],[Real Estate]],IF(OR(H169=N$5,H169=N$6,H169=N$7,H169=N$8,H169=N$9,H169=N$10,H169=N$11,H169=N$12,H169=N$13,H169=N$14),SottocategorieEntrate[[#Headers],[Other]],""))))))))))))</f>
        <v/>
      </c>
      <c r="J169" t="str">
        <f>IF(OR(Dati[[#This Row],[Categoria]]="Bollette",Dati[[#This Row],[Categoria]]="Conto &amp; Carte BNL",Dati[[#This Row],[Categoria]]="Prelievo",Dati[[#This Row],[Categoria]]="Affitto",Dati[[#This Row],[Categoria]]="BNL(Interessi Creditori)"),"Carta",IF(Dati[[#This Row],[Categoria]]&lt;&gt;0,"Cash",""))</f>
        <v/>
      </c>
      <c r="K169" s="59" t="str">
        <f>IF(OR(Data!$I169=SottocategorieUscite[[#Headers],[Fuori Casa]],Data!$I169=SottocategorieUscite[[#Headers],[Varie Uscite]],Data!$I169=SottocategorieUscite[[#Headers],[Personali]],Data!$I169=SottocategorieUscite[[#Headers],[Lavoro]]),"$ -","")</f>
        <v/>
      </c>
      <c r="L169" s="59" t="str">
        <f>IF(OR(Data!$I169=SottocategorieUscite[[#Headers],[Casa]],Data!$I169=SottocategorieUscite[[#Headers],[Utenze]],Data!$I169=SottocategorieUscite[[#Headers],[Business Uscite]],Data!$I169=SottocategorieUscite[[#Headers],[Banca]]),"$ -","")</f>
        <v/>
      </c>
      <c r="M169" s="59" t="str">
        <f>IF(OR($I169&lt;&gt;SottocategorieUscite[[#Headers],[Fuori Casa]],$I169&lt;&gt;SottocategorieUscite[[#Headers],[Varie Uscite]],$I169&lt;&gt;SottocategorieUscite[[#Headers],[Personali]],$I169&lt;&gt;SottocategorieUscite[[#Headers],[Lavoro]],$I169&lt;&gt;SottocategorieUscite[[#Headers],[Casa]],$I169&lt;&gt;SottocategorieUscite[[#Headers],[Utenze]],$I169&lt;&gt;SottocategorieUscite[[#Headers],[Business Uscite]],$I169&lt;&gt;SottocategorieUscite[[#Headers],[Banca]]),"","$ -")</f>
        <v/>
      </c>
      <c r="N169" s="59" t="str">
        <f>IF(OR(Data!$I169=SottocategorieEntrate[[#Headers],[Business Entrate]],Data!$I169=SottocategorieEntrate[[#Headers],[Varie Entrate]]),"$ -","")</f>
        <v/>
      </c>
      <c r="O169" s="59" t="str">
        <f>IF(OR(Data!$I169=SottocategorieEntrate[[#Headers],[Real Estate]],SottocategorieEntrate[[#Headers],[Other]]),"$ -","")</f>
        <v/>
      </c>
      <c r="P169" s="59" t="str">
        <f>IF(OR($I169&lt;&gt;SottocategorieEntrate[[#Headers],[Business Entrate]],$I169&lt;&gt;SottocategorieEntrate[[#Headers],[Varie Entrate]],$I169&lt;&gt;SottocategorieEntrate[[#Headers],[Real Estate]],$I169&lt;&gt;SottocategorieEntrate[[#Headers],[Other]]),"","$ -")</f>
        <v/>
      </c>
      <c r="Q169" s="59" t="str">
        <f>IF(Dati[[#This Row],[Categoria]]="Prelievo","€ -","")</f>
        <v/>
      </c>
      <c r="R169" s="244" t="str">
        <f t="shared" ca="1" si="8"/>
        <v/>
      </c>
      <c r="S169" s="59" t="str">
        <f>IF(Dati[[#This Row],[Categoria]]="Savings",0,"")</f>
        <v/>
      </c>
      <c r="T169" s="59"/>
      <c r="U169" s="59"/>
      <c r="V169" s="59"/>
      <c r="W169" s="59"/>
      <c r="X169" s="59"/>
      <c r="Y169" s="59"/>
      <c r="Z169" s="59"/>
      <c r="AA169" s="59"/>
      <c r="AB169" s="59"/>
      <c r="AC169" s="59"/>
      <c r="AD169" s="59"/>
      <c r="AE169" s="59"/>
      <c r="AF169" s="59"/>
      <c r="AG169" s="59"/>
      <c r="AH169" s="59"/>
      <c r="AI169" s="59" t="str">
        <f>IF(SUM(Dati[[#This Row],[Inv. Business]:[Inv. Cryptocurrency]])=0," ",SUM(Dati[[#This Row],[Inv. Business]:[Inv. Cryptocurrency]]))</f>
        <v xml:space="preserve"> </v>
      </c>
      <c r="AJ169" s="59"/>
      <c r="AK169" s="59" t="str">
        <f>IF(SUM(Dati[[#This Row],[Inv. Gold]:[Mutuo]])=0," ",SUM(Dati[[#This Row],[Inv. Gold]:[Mutuo]]))</f>
        <v xml:space="preserve"> </v>
      </c>
      <c r="AL169" s="59"/>
      <c r="AM169" s="59"/>
    </row>
    <row r="170" spans="2:39" ht="16" customHeight="1" x14ac:dyDescent="0.35">
      <c r="B170">
        <f t="shared" si="6"/>
        <v>150</v>
      </c>
      <c r="C170" s="49">
        <f t="shared" si="7"/>
        <v>45076</v>
      </c>
      <c r="D170" s="29">
        <f>DAY(Dati[[#This Row],[Data]])</f>
        <v>30</v>
      </c>
      <c r="E170" s="29" t="str">
        <f>IF(DAY(Data!$C$21:$C$1327)&gt;0,TEXT(Data!$C$21:$C$1327, "mmmm"),"")</f>
        <v>maggio</v>
      </c>
      <c r="F170" s="29" t="str">
        <f>IF(DAY(Data!$C$21:$C$1327)&gt;0,TEXT(Data!$C$21:$C$1327, "aaaa"),"")</f>
        <v>2023</v>
      </c>
      <c r="I170" t="str">
        <f>IF(OR(H170=$B$5,H170=$B$6,H170=$B$7,H170=$B$8,H170=$B$9,H170=$B$10,H170=$B$11,H170=$B$12,H170=$B$13,H170=$B$14),SottocategorieUscite[[#Headers],[Fuori Casa]],IF(OR(H170=$C$5,H170=$C$6,H170=$C$7,H170=$C$8,H170=$C$9,H170=$C$10,H170=$C$11,H170=$C$12,H170=$C$13,H170=$C$14),SottocategorieUscite[[#Headers],[Varie Uscite]],IF(OR(H170=$D$5,H170=$D$6,H170=$D$7,H170=$D$8,H170=$D$9,H170=$D$10,H170=$D$11,H170=$D$12,H170=$D$13,H170=$D$14),SottocategorieUscite[[#Headers],[Personali]],IF(OR(H170=$E$5,H170=$E$6,H170=$E$7,H170=$E$8,H170=$E$9,H170=$E$10,H170=$E$11,H170=$E$12,H170=$E$13,H170=$E$14),SottocategorieUscite[[#Headers],[Lavoro]],IF(OR(H170=$F$5,H170=$F$6,H170=$F$7,H170=$F$8,H170=$F$9,H170=$F$10,H170=$F$11,H170=$F$12,H170=$F$13,H170=$F$14),SottocategorieUscite[[#Headers],[Casa]],IF(OR(H170=$G$5,H170=$G$6,H170=$G$7,H170=$G$8,H170=$G$9,H170=$G$10,H170=$G$11,H170=$G$12,H170=$G$13,H170=$G$14),SottocategorieUscite[[#Headers],[Utenze]],IF(OR(H170=$H$5,H170=$H$6,H170=$H$7,H170=$H$8,H170=$H$9,H170=$H$10,H170=$H$11,H170=$H$12,H170=$H$13,H170=$H$14),SottocategorieUscite[[#Headers],[Business Uscite]],IF(OR(H170=$I$5,H170=$I$6,H170=$I$7,H170=$I$8,H170=$I$9,H170=$I$10,H170=$I$11,H170=$I$12,H170=$I$13,H170=$I$14),SottocategorieUscite[[#Headers],[Banca]],IF(OR(H170=K$5,H170=K$6,H170=K$7,H170=K$8,H170=K$9,H170=K$10,H170=K$11,H170=K$12,H170=K$13,H170=K$14),SottocategorieEntrate[[#Headers],[Business Entrate]],IF(OR(H170=L$5,H170=L$6,H170=L$7,H170=L$8,H170=L$9,H170=L$10,H170=L$11,H170=L$12,H170=L$13,H170=L$14),SottocategorieEntrate[[#Headers],[Varie Entrate]],IF(OR(H170=M$5,H170=M$6,H170=M$7,H170=M$8,H170=M$9,H170=M$10,H170=M$11,H170=M$12,H170=M$13,H170=M$14),SottocategorieEntrate[[#Headers],[Real Estate]],IF(OR(H170=N$5,H170=N$6,H170=N$7,H170=N$8,H170=N$9,H170=N$10,H170=N$11,H170=N$12,H170=N$13,H170=N$14),SottocategorieEntrate[[#Headers],[Other]],""))))))))))))</f>
        <v/>
      </c>
      <c r="J170" t="str">
        <f>IF(OR(Dati[[#This Row],[Categoria]]="Bollette",Dati[[#This Row],[Categoria]]="Conto &amp; Carte BNL",Dati[[#This Row],[Categoria]]="Prelievo",Dati[[#This Row],[Categoria]]="Affitto",Dati[[#This Row],[Categoria]]="BNL(Interessi Creditori)"),"Carta",IF(Dati[[#This Row],[Categoria]]&lt;&gt;0,"Cash",""))</f>
        <v/>
      </c>
      <c r="K170" s="59" t="str">
        <f>IF(OR(Data!$I170=SottocategorieUscite[[#Headers],[Fuori Casa]],Data!$I170=SottocategorieUscite[[#Headers],[Varie Uscite]],Data!$I170=SottocategorieUscite[[#Headers],[Personali]],Data!$I170=SottocategorieUscite[[#Headers],[Lavoro]]),"$ -","")</f>
        <v/>
      </c>
      <c r="L170" s="59" t="str">
        <f>IF(OR(Data!$I170=SottocategorieUscite[[#Headers],[Casa]],Data!$I170=SottocategorieUscite[[#Headers],[Utenze]],Data!$I170=SottocategorieUscite[[#Headers],[Business Uscite]],Data!$I170=SottocategorieUscite[[#Headers],[Banca]]),"$ -","")</f>
        <v/>
      </c>
      <c r="M170" s="59" t="str">
        <f>IF(OR($I170&lt;&gt;SottocategorieUscite[[#Headers],[Fuori Casa]],$I170&lt;&gt;SottocategorieUscite[[#Headers],[Varie Uscite]],$I170&lt;&gt;SottocategorieUscite[[#Headers],[Personali]],$I170&lt;&gt;SottocategorieUscite[[#Headers],[Lavoro]],$I170&lt;&gt;SottocategorieUscite[[#Headers],[Casa]],$I170&lt;&gt;SottocategorieUscite[[#Headers],[Utenze]],$I170&lt;&gt;SottocategorieUscite[[#Headers],[Business Uscite]],$I170&lt;&gt;SottocategorieUscite[[#Headers],[Banca]]),"","$ -")</f>
        <v/>
      </c>
      <c r="N170" s="59" t="str">
        <f>IF(OR(Data!$I170=SottocategorieEntrate[[#Headers],[Business Entrate]],Data!$I170=SottocategorieEntrate[[#Headers],[Varie Entrate]]),"$ -","")</f>
        <v/>
      </c>
      <c r="O170" s="59" t="str">
        <f>IF(OR(Data!$I170=SottocategorieEntrate[[#Headers],[Real Estate]],SottocategorieEntrate[[#Headers],[Other]]),"$ -","")</f>
        <v/>
      </c>
      <c r="P170" s="59" t="str">
        <f>IF(OR($I170&lt;&gt;SottocategorieEntrate[[#Headers],[Business Entrate]],$I170&lt;&gt;SottocategorieEntrate[[#Headers],[Varie Entrate]],$I170&lt;&gt;SottocategorieEntrate[[#Headers],[Real Estate]],$I170&lt;&gt;SottocategorieEntrate[[#Headers],[Other]]),"","$ -")</f>
        <v/>
      </c>
      <c r="Q170" s="59" t="str">
        <f>IF(Dati[[#This Row],[Categoria]]="Prelievo","€ -","")</f>
        <v/>
      </c>
      <c r="R170" s="244" t="str">
        <f t="shared" ca="1" si="8"/>
        <v/>
      </c>
      <c r="S170" s="59" t="str">
        <f>IF(Dati[[#This Row],[Categoria]]="Savings",0,"")</f>
        <v/>
      </c>
      <c r="T170" s="59"/>
      <c r="U170" s="59"/>
      <c r="V170" s="59"/>
      <c r="W170" s="59"/>
      <c r="X170" s="59"/>
      <c r="Y170" s="59"/>
      <c r="Z170" s="59"/>
      <c r="AA170" s="59"/>
      <c r="AB170" s="59"/>
      <c r="AC170" s="59"/>
      <c r="AD170" s="59"/>
      <c r="AE170" s="59"/>
      <c r="AF170" s="59"/>
      <c r="AG170" s="59"/>
      <c r="AH170" s="59"/>
      <c r="AI170" s="59" t="str">
        <f>IF(SUM(Dati[[#This Row],[Inv. Business]:[Inv. Cryptocurrency]])=0," ",SUM(Dati[[#This Row],[Inv. Business]:[Inv. Cryptocurrency]]))</f>
        <v xml:space="preserve"> </v>
      </c>
      <c r="AJ170" s="59"/>
      <c r="AK170" s="59" t="str">
        <f>IF(SUM(Dati[[#This Row],[Inv. Gold]:[Mutuo]])=0," ",SUM(Dati[[#This Row],[Inv. Gold]:[Mutuo]]))</f>
        <v xml:space="preserve"> </v>
      </c>
      <c r="AL170" s="59"/>
      <c r="AM170" s="59"/>
    </row>
    <row r="171" spans="2:39" ht="16" customHeight="1" x14ac:dyDescent="0.35">
      <c r="B171">
        <f t="shared" si="6"/>
        <v>151</v>
      </c>
      <c r="C171" s="49">
        <f t="shared" si="7"/>
        <v>45077</v>
      </c>
      <c r="D171" s="29">
        <f>DAY(Dati[[#This Row],[Data]])</f>
        <v>31</v>
      </c>
      <c r="E171" s="29" t="str">
        <f>IF(DAY(Data!$C$21:$C$1327)&gt;0,TEXT(Data!$C$21:$C$1327, "mmmm"),"")</f>
        <v>maggio</v>
      </c>
      <c r="F171" s="29" t="str">
        <f>IF(DAY(Data!$C$21:$C$1327)&gt;0,TEXT(Data!$C$21:$C$1327, "aaaa"),"")</f>
        <v>2023</v>
      </c>
      <c r="I171" t="str">
        <f>IF(OR(H171=$B$5,H171=$B$6,H171=$B$7,H171=$B$8,H171=$B$9,H171=$B$10,H171=$B$11,H171=$B$12,H171=$B$13,H171=$B$14),SottocategorieUscite[[#Headers],[Fuori Casa]],IF(OR(H171=$C$5,H171=$C$6,H171=$C$7,H171=$C$8,H171=$C$9,H171=$C$10,H171=$C$11,H171=$C$12,H171=$C$13,H171=$C$14),SottocategorieUscite[[#Headers],[Varie Uscite]],IF(OR(H171=$D$5,H171=$D$6,H171=$D$7,H171=$D$8,H171=$D$9,H171=$D$10,H171=$D$11,H171=$D$12,H171=$D$13,H171=$D$14),SottocategorieUscite[[#Headers],[Personali]],IF(OR(H171=$E$5,H171=$E$6,H171=$E$7,H171=$E$8,H171=$E$9,H171=$E$10,H171=$E$11,H171=$E$12,H171=$E$13,H171=$E$14),SottocategorieUscite[[#Headers],[Lavoro]],IF(OR(H171=$F$5,H171=$F$6,H171=$F$7,H171=$F$8,H171=$F$9,H171=$F$10,H171=$F$11,H171=$F$12,H171=$F$13,H171=$F$14),SottocategorieUscite[[#Headers],[Casa]],IF(OR(H171=$G$5,H171=$G$6,H171=$G$7,H171=$G$8,H171=$G$9,H171=$G$10,H171=$G$11,H171=$G$12,H171=$G$13,H171=$G$14),SottocategorieUscite[[#Headers],[Utenze]],IF(OR(H171=$H$5,H171=$H$6,H171=$H$7,H171=$H$8,H171=$H$9,H171=$H$10,H171=$H$11,H171=$H$12,H171=$H$13,H171=$H$14),SottocategorieUscite[[#Headers],[Business Uscite]],IF(OR(H171=$I$5,H171=$I$6,H171=$I$7,H171=$I$8,H171=$I$9,H171=$I$10,H171=$I$11,H171=$I$12,H171=$I$13,H171=$I$14),SottocategorieUscite[[#Headers],[Banca]],IF(OR(H171=K$5,H171=K$6,H171=K$7,H171=K$8,H171=K$9,H171=K$10,H171=K$11,H171=K$12,H171=K$13,H171=K$14),SottocategorieEntrate[[#Headers],[Business Entrate]],IF(OR(H171=L$5,H171=L$6,H171=L$7,H171=L$8,H171=L$9,H171=L$10,H171=L$11,H171=L$12,H171=L$13,H171=L$14),SottocategorieEntrate[[#Headers],[Varie Entrate]],IF(OR(H171=M$5,H171=M$6,H171=M$7,H171=M$8,H171=M$9,H171=M$10,H171=M$11,H171=M$12,H171=M$13,H171=M$14),SottocategorieEntrate[[#Headers],[Real Estate]],IF(OR(H171=N$5,H171=N$6,H171=N$7,H171=N$8,H171=N$9,H171=N$10,H171=N$11,H171=N$12,H171=N$13,H171=N$14),SottocategorieEntrate[[#Headers],[Other]],""))))))))))))</f>
        <v/>
      </c>
      <c r="J171" t="str">
        <f>IF(OR(Dati[[#This Row],[Categoria]]="Bollette",Dati[[#This Row],[Categoria]]="Conto &amp; Carte BNL",Dati[[#This Row],[Categoria]]="Prelievo",Dati[[#This Row],[Categoria]]="Affitto",Dati[[#This Row],[Categoria]]="BNL(Interessi Creditori)"),"Carta",IF(Dati[[#This Row],[Categoria]]&lt;&gt;0,"Cash",""))</f>
        <v/>
      </c>
      <c r="K171" s="59" t="str">
        <f>IF(OR(Data!$I171=SottocategorieUscite[[#Headers],[Fuori Casa]],Data!$I171=SottocategorieUscite[[#Headers],[Varie Uscite]],Data!$I171=SottocategorieUscite[[#Headers],[Personali]],Data!$I171=SottocategorieUscite[[#Headers],[Lavoro]]),"$ -","")</f>
        <v/>
      </c>
      <c r="L171" s="59" t="str">
        <f>IF(OR(Data!$I171=SottocategorieUscite[[#Headers],[Casa]],Data!$I171=SottocategorieUscite[[#Headers],[Utenze]],Data!$I171=SottocategorieUscite[[#Headers],[Business Uscite]],Data!$I171=SottocategorieUscite[[#Headers],[Banca]]),"$ -","")</f>
        <v/>
      </c>
      <c r="M171" s="59" t="str">
        <f>IF(OR($I171&lt;&gt;SottocategorieUscite[[#Headers],[Fuori Casa]],$I171&lt;&gt;SottocategorieUscite[[#Headers],[Varie Uscite]],$I171&lt;&gt;SottocategorieUscite[[#Headers],[Personali]],$I171&lt;&gt;SottocategorieUscite[[#Headers],[Lavoro]],$I171&lt;&gt;SottocategorieUscite[[#Headers],[Casa]],$I171&lt;&gt;SottocategorieUscite[[#Headers],[Utenze]],$I171&lt;&gt;SottocategorieUscite[[#Headers],[Business Uscite]],$I171&lt;&gt;SottocategorieUscite[[#Headers],[Banca]]),"","$ -")</f>
        <v/>
      </c>
      <c r="N171" s="59" t="str">
        <f>IF(OR(Data!$I171=SottocategorieEntrate[[#Headers],[Business Entrate]],Data!$I171=SottocategorieEntrate[[#Headers],[Varie Entrate]]),"$ -","")</f>
        <v/>
      </c>
      <c r="O171" s="59" t="str">
        <f>IF(OR(Data!$I171=SottocategorieEntrate[[#Headers],[Real Estate]],SottocategorieEntrate[[#Headers],[Other]]),"$ -","")</f>
        <v/>
      </c>
      <c r="P171" s="59" t="str">
        <f>IF(OR($I171&lt;&gt;SottocategorieEntrate[[#Headers],[Business Entrate]],$I171&lt;&gt;SottocategorieEntrate[[#Headers],[Varie Entrate]],$I171&lt;&gt;SottocategorieEntrate[[#Headers],[Real Estate]],$I171&lt;&gt;SottocategorieEntrate[[#Headers],[Other]]),"","$ -")</f>
        <v/>
      </c>
      <c r="Q171" s="59" t="str">
        <f>IF(Dati[[#This Row],[Categoria]]="Prelievo","€ -","")</f>
        <v/>
      </c>
      <c r="R171" s="244" t="str">
        <f t="shared" ca="1" si="8"/>
        <v/>
      </c>
      <c r="S171" s="59" t="str">
        <f>IF(Dati[[#This Row],[Categoria]]="Savings",0,"")</f>
        <v/>
      </c>
      <c r="T171" s="59"/>
      <c r="U171" s="59"/>
      <c r="V171" s="59"/>
      <c r="W171" s="59"/>
      <c r="X171" s="59"/>
      <c r="Y171" s="59"/>
      <c r="Z171" s="59"/>
      <c r="AA171" s="59"/>
      <c r="AB171" s="59"/>
      <c r="AC171" s="59"/>
      <c r="AD171" s="59"/>
      <c r="AE171" s="59"/>
      <c r="AF171" s="59"/>
      <c r="AG171" s="59"/>
      <c r="AH171" s="59"/>
      <c r="AI171" s="59" t="str">
        <f>IF(SUM(Dati[[#This Row],[Inv. Business]:[Inv. Cryptocurrency]])=0," ",SUM(Dati[[#This Row],[Inv. Business]:[Inv. Cryptocurrency]]))</f>
        <v xml:space="preserve"> </v>
      </c>
      <c r="AJ171" s="59"/>
      <c r="AK171" s="59" t="str">
        <f>IF(SUM(Dati[[#This Row],[Inv. Gold]:[Mutuo]])=0," ",SUM(Dati[[#This Row],[Inv. Gold]:[Mutuo]]))</f>
        <v xml:space="preserve"> </v>
      </c>
      <c r="AL171" s="59"/>
      <c r="AM171" s="59"/>
    </row>
    <row r="172" spans="2:39" ht="16" customHeight="1" x14ac:dyDescent="0.35">
      <c r="B172">
        <f t="shared" si="6"/>
        <v>152</v>
      </c>
      <c r="C172" s="49">
        <f t="shared" si="7"/>
        <v>45078</v>
      </c>
      <c r="D172" s="29">
        <f>DAY(Dati[[#This Row],[Data]])</f>
        <v>1</v>
      </c>
      <c r="E172" s="29" t="str">
        <f>IF(DAY(Data!$C$21:$C$1327)&gt;0,TEXT(Data!$C$21:$C$1327, "mmmm"),"")</f>
        <v>giugno</v>
      </c>
      <c r="F172" s="29" t="str">
        <f>IF(DAY(Data!$C$21:$C$1327)&gt;0,TEXT(Data!$C$21:$C$1327, "aaaa"),"")</f>
        <v>2023</v>
      </c>
      <c r="I172" t="str">
        <f>IF(OR(H172=$B$5,H172=$B$6,H172=$B$7,H172=$B$8,H172=$B$9,H172=$B$10,H172=$B$11,H172=$B$12,H172=$B$13,H172=$B$14),SottocategorieUscite[[#Headers],[Fuori Casa]],IF(OR(H172=$C$5,H172=$C$6,H172=$C$7,H172=$C$8,H172=$C$9,H172=$C$10,H172=$C$11,H172=$C$12,H172=$C$13,H172=$C$14),SottocategorieUscite[[#Headers],[Varie Uscite]],IF(OR(H172=$D$5,H172=$D$6,H172=$D$7,H172=$D$8,H172=$D$9,H172=$D$10,H172=$D$11,H172=$D$12,H172=$D$13,H172=$D$14),SottocategorieUscite[[#Headers],[Personali]],IF(OR(H172=$E$5,H172=$E$6,H172=$E$7,H172=$E$8,H172=$E$9,H172=$E$10,H172=$E$11,H172=$E$12,H172=$E$13,H172=$E$14),SottocategorieUscite[[#Headers],[Lavoro]],IF(OR(H172=$F$5,H172=$F$6,H172=$F$7,H172=$F$8,H172=$F$9,H172=$F$10,H172=$F$11,H172=$F$12,H172=$F$13,H172=$F$14),SottocategorieUscite[[#Headers],[Casa]],IF(OR(H172=$G$5,H172=$G$6,H172=$G$7,H172=$G$8,H172=$G$9,H172=$G$10,H172=$G$11,H172=$G$12,H172=$G$13,H172=$G$14),SottocategorieUscite[[#Headers],[Utenze]],IF(OR(H172=$H$5,H172=$H$6,H172=$H$7,H172=$H$8,H172=$H$9,H172=$H$10,H172=$H$11,H172=$H$12,H172=$H$13,H172=$H$14),SottocategorieUscite[[#Headers],[Business Uscite]],IF(OR(H172=$I$5,H172=$I$6,H172=$I$7,H172=$I$8,H172=$I$9,H172=$I$10,H172=$I$11,H172=$I$12,H172=$I$13,H172=$I$14),SottocategorieUscite[[#Headers],[Banca]],IF(OR(H172=K$5,H172=K$6,H172=K$7,H172=K$8,H172=K$9,H172=K$10,H172=K$11,H172=K$12,H172=K$13,H172=K$14),SottocategorieEntrate[[#Headers],[Business Entrate]],IF(OR(H172=L$5,H172=L$6,H172=L$7,H172=L$8,H172=L$9,H172=L$10,H172=L$11,H172=L$12,H172=L$13,H172=L$14),SottocategorieEntrate[[#Headers],[Varie Entrate]],IF(OR(H172=M$5,H172=M$6,H172=M$7,H172=M$8,H172=M$9,H172=M$10,H172=M$11,H172=M$12,H172=M$13,H172=M$14),SottocategorieEntrate[[#Headers],[Real Estate]],IF(OR(H172=N$5,H172=N$6,H172=N$7,H172=N$8,H172=N$9,H172=N$10,H172=N$11,H172=N$12,H172=N$13,H172=N$14),SottocategorieEntrate[[#Headers],[Other]],""))))))))))))</f>
        <v/>
      </c>
      <c r="J172" t="str">
        <f>IF(OR(Dati[[#This Row],[Categoria]]="Bollette",Dati[[#This Row],[Categoria]]="Conto &amp; Carte BNL",Dati[[#This Row],[Categoria]]="Prelievo",Dati[[#This Row],[Categoria]]="Affitto",Dati[[#This Row],[Categoria]]="BNL(Interessi Creditori)"),"Carta",IF(Dati[[#This Row],[Categoria]]&lt;&gt;0,"Cash",""))</f>
        <v/>
      </c>
      <c r="K172" s="59" t="str">
        <f>IF(OR(Data!$I172=SottocategorieUscite[[#Headers],[Fuori Casa]],Data!$I172=SottocategorieUscite[[#Headers],[Varie Uscite]],Data!$I172=SottocategorieUscite[[#Headers],[Personali]],Data!$I172=SottocategorieUscite[[#Headers],[Lavoro]]),"$ -","")</f>
        <v/>
      </c>
      <c r="L172" s="59" t="str">
        <f>IF(OR(Data!$I172=SottocategorieUscite[[#Headers],[Casa]],Data!$I172=SottocategorieUscite[[#Headers],[Utenze]],Data!$I172=SottocategorieUscite[[#Headers],[Business Uscite]],Data!$I172=SottocategorieUscite[[#Headers],[Banca]]),"$ -","")</f>
        <v/>
      </c>
      <c r="M172" s="59" t="str">
        <f>IF(OR($I172&lt;&gt;SottocategorieUscite[[#Headers],[Fuori Casa]],$I172&lt;&gt;SottocategorieUscite[[#Headers],[Varie Uscite]],$I172&lt;&gt;SottocategorieUscite[[#Headers],[Personali]],$I172&lt;&gt;SottocategorieUscite[[#Headers],[Lavoro]],$I172&lt;&gt;SottocategorieUscite[[#Headers],[Casa]],$I172&lt;&gt;SottocategorieUscite[[#Headers],[Utenze]],$I172&lt;&gt;SottocategorieUscite[[#Headers],[Business Uscite]],$I172&lt;&gt;SottocategorieUscite[[#Headers],[Banca]]),"","$ -")</f>
        <v/>
      </c>
      <c r="N172" s="59" t="str">
        <f>IF(OR(Data!$I172=SottocategorieEntrate[[#Headers],[Business Entrate]],Data!$I172=SottocategorieEntrate[[#Headers],[Varie Entrate]]),"$ -","")</f>
        <v/>
      </c>
      <c r="O172" s="59" t="str">
        <f>IF(OR(Data!$I172=SottocategorieEntrate[[#Headers],[Real Estate]],SottocategorieEntrate[[#Headers],[Other]]),"$ -","")</f>
        <v/>
      </c>
      <c r="P172" s="59" t="str">
        <f>IF(OR($I172&lt;&gt;SottocategorieEntrate[[#Headers],[Business Entrate]],$I172&lt;&gt;SottocategorieEntrate[[#Headers],[Varie Entrate]],$I172&lt;&gt;SottocategorieEntrate[[#Headers],[Real Estate]],$I172&lt;&gt;SottocategorieEntrate[[#Headers],[Other]]),"","$ -")</f>
        <v/>
      </c>
      <c r="Q172" s="59" t="str">
        <f>IF(Dati[[#This Row],[Categoria]]="Prelievo","€ -","")</f>
        <v/>
      </c>
      <c r="R172" s="244" t="str">
        <f t="shared" ca="1" si="8"/>
        <v/>
      </c>
      <c r="S172" s="59" t="str">
        <f>IF(Dati[[#This Row],[Categoria]]="Savings",0,"")</f>
        <v/>
      </c>
      <c r="T172" s="59"/>
      <c r="U172" s="59"/>
      <c r="V172" s="59"/>
      <c r="W172" s="59"/>
      <c r="X172" s="59"/>
      <c r="Y172" s="59"/>
      <c r="Z172" s="59"/>
      <c r="AA172" s="59"/>
      <c r="AB172" s="59"/>
      <c r="AC172" s="59"/>
      <c r="AD172" s="59"/>
      <c r="AE172" s="59"/>
      <c r="AF172" s="59"/>
      <c r="AG172" s="59"/>
      <c r="AH172" s="59"/>
      <c r="AI172" s="59" t="str">
        <f>IF(SUM(Dati[[#This Row],[Inv. Business]:[Inv. Cryptocurrency]])=0," ",SUM(Dati[[#This Row],[Inv. Business]:[Inv. Cryptocurrency]]))</f>
        <v xml:space="preserve"> </v>
      </c>
      <c r="AJ172" s="59"/>
      <c r="AK172" s="59" t="str">
        <f>IF(SUM(Dati[[#This Row],[Inv. Gold]:[Mutuo]])=0," ",SUM(Dati[[#This Row],[Inv. Gold]:[Mutuo]]))</f>
        <v xml:space="preserve"> </v>
      </c>
      <c r="AL172" s="59"/>
      <c r="AM172" s="59"/>
    </row>
    <row r="173" spans="2:39" ht="16" customHeight="1" x14ac:dyDescent="0.35">
      <c r="B173">
        <f t="shared" si="6"/>
        <v>153</v>
      </c>
      <c r="C173" s="49">
        <f t="shared" si="7"/>
        <v>45079</v>
      </c>
      <c r="D173" s="29">
        <f>DAY(Dati[[#This Row],[Data]])</f>
        <v>2</v>
      </c>
      <c r="E173" s="29" t="str">
        <f>IF(DAY(Data!$C$21:$C$1327)&gt;0,TEXT(Data!$C$21:$C$1327, "mmmm"),"")</f>
        <v>giugno</v>
      </c>
      <c r="F173" s="29" t="str">
        <f>IF(DAY(Data!$C$21:$C$1327)&gt;0,TEXT(Data!$C$21:$C$1327, "aaaa"),"")</f>
        <v>2023</v>
      </c>
      <c r="I173" t="str">
        <f>IF(OR(H173=$B$5,H173=$B$6,H173=$B$7,H173=$B$8,H173=$B$9,H173=$B$10,H173=$B$11,H173=$B$12,H173=$B$13,H173=$B$14),SottocategorieUscite[[#Headers],[Fuori Casa]],IF(OR(H173=$C$5,H173=$C$6,H173=$C$7,H173=$C$8,H173=$C$9,H173=$C$10,H173=$C$11,H173=$C$12,H173=$C$13,H173=$C$14),SottocategorieUscite[[#Headers],[Varie Uscite]],IF(OR(H173=$D$5,H173=$D$6,H173=$D$7,H173=$D$8,H173=$D$9,H173=$D$10,H173=$D$11,H173=$D$12,H173=$D$13,H173=$D$14),SottocategorieUscite[[#Headers],[Personali]],IF(OR(H173=$E$5,H173=$E$6,H173=$E$7,H173=$E$8,H173=$E$9,H173=$E$10,H173=$E$11,H173=$E$12,H173=$E$13,H173=$E$14),SottocategorieUscite[[#Headers],[Lavoro]],IF(OR(H173=$F$5,H173=$F$6,H173=$F$7,H173=$F$8,H173=$F$9,H173=$F$10,H173=$F$11,H173=$F$12,H173=$F$13,H173=$F$14),SottocategorieUscite[[#Headers],[Casa]],IF(OR(H173=$G$5,H173=$G$6,H173=$G$7,H173=$G$8,H173=$G$9,H173=$G$10,H173=$G$11,H173=$G$12,H173=$G$13,H173=$G$14),SottocategorieUscite[[#Headers],[Utenze]],IF(OR(H173=$H$5,H173=$H$6,H173=$H$7,H173=$H$8,H173=$H$9,H173=$H$10,H173=$H$11,H173=$H$12,H173=$H$13,H173=$H$14),SottocategorieUscite[[#Headers],[Business Uscite]],IF(OR(H173=$I$5,H173=$I$6,H173=$I$7,H173=$I$8,H173=$I$9,H173=$I$10,H173=$I$11,H173=$I$12,H173=$I$13,H173=$I$14),SottocategorieUscite[[#Headers],[Banca]],IF(OR(H173=K$5,H173=K$6,H173=K$7,H173=K$8,H173=K$9,H173=K$10,H173=K$11,H173=K$12,H173=K$13,H173=K$14),SottocategorieEntrate[[#Headers],[Business Entrate]],IF(OR(H173=L$5,H173=L$6,H173=L$7,H173=L$8,H173=L$9,H173=L$10,H173=L$11,H173=L$12,H173=L$13,H173=L$14),SottocategorieEntrate[[#Headers],[Varie Entrate]],IF(OR(H173=M$5,H173=M$6,H173=M$7,H173=M$8,H173=M$9,H173=M$10,H173=M$11,H173=M$12,H173=M$13,H173=M$14),SottocategorieEntrate[[#Headers],[Real Estate]],IF(OR(H173=N$5,H173=N$6,H173=N$7,H173=N$8,H173=N$9,H173=N$10,H173=N$11,H173=N$12,H173=N$13,H173=N$14),SottocategorieEntrate[[#Headers],[Other]],""))))))))))))</f>
        <v/>
      </c>
      <c r="J173" t="str">
        <f>IF(OR(Dati[[#This Row],[Categoria]]="Bollette",Dati[[#This Row],[Categoria]]="Conto &amp; Carte BNL",Dati[[#This Row],[Categoria]]="Prelievo",Dati[[#This Row],[Categoria]]="Affitto",Dati[[#This Row],[Categoria]]="BNL(Interessi Creditori)"),"Carta",IF(Dati[[#This Row],[Categoria]]&lt;&gt;0,"Cash",""))</f>
        <v/>
      </c>
      <c r="K173" s="59" t="str">
        <f>IF(OR(Data!$I173=SottocategorieUscite[[#Headers],[Fuori Casa]],Data!$I173=SottocategorieUscite[[#Headers],[Varie Uscite]],Data!$I173=SottocategorieUscite[[#Headers],[Personali]],Data!$I173=SottocategorieUscite[[#Headers],[Lavoro]]),"$ -","")</f>
        <v/>
      </c>
      <c r="L173" s="59" t="str">
        <f>IF(OR(Data!$I173=SottocategorieUscite[[#Headers],[Casa]],Data!$I173=SottocategorieUscite[[#Headers],[Utenze]],Data!$I173=SottocategorieUscite[[#Headers],[Business Uscite]],Data!$I173=SottocategorieUscite[[#Headers],[Banca]]),"$ -","")</f>
        <v/>
      </c>
      <c r="M173" s="59" t="str">
        <f>IF(OR($I173&lt;&gt;SottocategorieUscite[[#Headers],[Fuori Casa]],$I173&lt;&gt;SottocategorieUscite[[#Headers],[Varie Uscite]],$I173&lt;&gt;SottocategorieUscite[[#Headers],[Personali]],$I173&lt;&gt;SottocategorieUscite[[#Headers],[Lavoro]],$I173&lt;&gt;SottocategorieUscite[[#Headers],[Casa]],$I173&lt;&gt;SottocategorieUscite[[#Headers],[Utenze]],$I173&lt;&gt;SottocategorieUscite[[#Headers],[Business Uscite]],$I173&lt;&gt;SottocategorieUscite[[#Headers],[Banca]]),"","$ -")</f>
        <v/>
      </c>
      <c r="N173" s="59" t="str">
        <f>IF(OR(Data!$I173=SottocategorieEntrate[[#Headers],[Business Entrate]],Data!$I173=SottocategorieEntrate[[#Headers],[Varie Entrate]]),"$ -","")</f>
        <v/>
      </c>
      <c r="O173" s="59" t="str">
        <f>IF(OR(Data!$I173=SottocategorieEntrate[[#Headers],[Real Estate]],SottocategorieEntrate[[#Headers],[Other]]),"$ -","")</f>
        <v/>
      </c>
      <c r="P173" s="59" t="str">
        <f>IF(OR($I173&lt;&gt;SottocategorieEntrate[[#Headers],[Business Entrate]],$I173&lt;&gt;SottocategorieEntrate[[#Headers],[Varie Entrate]],$I173&lt;&gt;SottocategorieEntrate[[#Headers],[Real Estate]],$I173&lt;&gt;SottocategorieEntrate[[#Headers],[Other]]),"","$ -")</f>
        <v/>
      </c>
      <c r="Q173" s="59" t="str">
        <f>IF(Dati[[#This Row],[Categoria]]="Prelievo","€ -","")</f>
        <v/>
      </c>
      <c r="R173" s="244" t="str">
        <f t="shared" ca="1" si="8"/>
        <v/>
      </c>
      <c r="S173" s="59" t="str">
        <f>IF(Dati[[#This Row],[Categoria]]="Savings",0,"")</f>
        <v/>
      </c>
      <c r="T173" s="59"/>
      <c r="U173" s="59"/>
      <c r="V173" s="59"/>
      <c r="W173" s="59"/>
      <c r="X173" s="59"/>
      <c r="Y173" s="59"/>
      <c r="Z173" s="59"/>
      <c r="AA173" s="59"/>
      <c r="AB173" s="59"/>
      <c r="AC173" s="59"/>
      <c r="AD173" s="59"/>
      <c r="AE173" s="59"/>
      <c r="AF173" s="59"/>
      <c r="AG173" s="59"/>
      <c r="AH173" s="59"/>
      <c r="AI173" s="59" t="str">
        <f>IF(SUM(Dati[[#This Row],[Inv. Business]:[Inv. Cryptocurrency]])=0," ",SUM(Dati[[#This Row],[Inv. Business]:[Inv. Cryptocurrency]]))</f>
        <v xml:space="preserve"> </v>
      </c>
      <c r="AJ173" s="59"/>
      <c r="AK173" s="59" t="str">
        <f>IF(SUM(Dati[[#This Row],[Inv. Gold]:[Mutuo]])=0," ",SUM(Dati[[#This Row],[Inv. Gold]:[Mutuo]]))</f>
        <v xml:space="preserve"> </v>
      </c>
      <c r="AL173" s="59"/>
      <c r="AM173" s="59"/>
    </row>
    <row r="174" spans="2:39" ht="16" customHeight="1" x14ac:dyDescent="0.35">
      <c r="B174">
        <f t="shared" si="6"/>
        <v>154</v>
      </c>
      <c r="C174" s="49">
        <f t="shared" si="7"/>
        <v>45080</v>
      </c>
      <c r="D174" s="29">
        <f>DAY(Dati[[#This Row],[Data]])</f>
        <v>3</v>
      </c>
      <c r="E174" s="29" t="str">
        <f>IF(DAY(Data!$C$21:$C$1327)&gt;0,TEXT(Data!$C$21:$C$1327, "mmmm"),"")</f>
        <v>giugno</v>
      </c>
      <c r="F174" s="29" t="str">
        <f>IF(DAY(Data!$C$21:$C$1327)&gt;0,TEXT(Data!$C$21:$C$1327, "aaaa"),"")</f>
        <v>2023</v>
      </c>
      <c r="I174" t="str">
        <f>IF(OR(H174=$B$5,H174=$B$6,H174=$B$7,H174=$B$8,H174=$B$9,H174=$B$10,H174=$B$11,H174=$B$12,H174=$B$13,H174=$B$14),SottocategorieUscite[[#Headers],[Fuori Casa]],IF(OR(H174=$C$5,H174=$C$6,H174=$C$7,H174=$C$8,H174=$C$9,H174=$C$10,H174=$C$11,H174=$C$12,H174=$C$13,H174=$C$14),SottocategorieUscite[[#Headers],[Varie Uscite]],IF(OR(H174=$D$5,H174=$D$6,H174=$D$7,H174=$D$8,H174=$D$9,H174=$D$10,H174=$D$11,H174=$D$12,H174=$D$13,H174=$D$14),SottocategorieUscite[[#Headers],[Personali]],IF(OR(H174=$E$5,H174=$E$6,H174=$E$7,H174=$E$8,H174=$E$9,H174=$E$10,H174=$E$11,H174=$E$12,H174=$E$13,H174=$E$14),SottocategorieUscite[[#Headers],[Lavoro]],IF(OR(H174=$F$5,H174=$F$6,H174=$F$7,H174=$F$8,H174=$F$9,H174=$F$10,H174=$F$11,H174=$F$12,H174=$F$13,H174=$F$14),SottocategorieUscite[[#Headers],[Casa]],IF(OR(H174=$G$5,H174=$G$6,H174=$G$7,H174=$G$8,H174=$G$9,H174=$G$10,H174=$G$11,H174=$G$12,H174=$G$13,H174=$G$14),SottocategorieUscite[[#Headers],[Utenze]],IF(OR(H174=$H$5,H174=$H$6,H174=$H$7,H174=$H$8,H174=$H$9,H174=$H$10,H174=$H$11,H174=$H$12,H174=$H$13,H174=$H$14),SottocategorieUscite[[#Headers],[Business Uscite]],IF(OR(H174=$I$5,H174=$I$6,H174=$I$7,H174=$I$8,H174=$I$9,H174=$I$10,H174=$I$11,H174=$I$12,H174=$I$13,H174=$I$14),SottocategorieUscite[[#Headers],[Banca]],IF(OR(H174=K$5,H174=K$6,H174=K$7,H174=K$8,H174=K$9,H174=K$10,H174=K$11,H174=K$12,H174=K$13,H174=K$14),SottocategorieEntrate[[#Headers],[Business Entrate]],IF(OR(H174=L$5,H174=L$6,H174=L$7,H174=L$8,H174=L$9,H174=L$10,H174=L$11,H174=L$12,H174=L$13,H174=L$14),SottocategorieEntrate[[#Headers],[Varie Entrate]],IF(OR(H174=M$5,H174=M$6,H174=M$7,H174=M$8,H174=M$9,H174=M$10,H174=M$11,H174=M$12,H174=M$13,H174=M$14),SottocategorieEntrate[[#Headers],[Real Estate]],IF(OR(H174=N$5,H174=N$6,H174=N$7,H174=N$8,H174=N$9,H174=N$10,H174=N$11,H174=N$12,H174=N$13,H174=N$14),SottocategorieEntrate[[#Headers],[Other]],""))))))))))))</f>
        <v/>
      </c>
      <c r="J174" t="str">
        <f>IF(OR(Dati[[#This Row],[Categoria]]="Bollette",Dati[[#This Row],[Categoria]]="Conto &amp; Carte BNL",Dati[[#This Row],[Categoria]]="Prelievo",Dati[[#This Row],[Categoria]]="Affitto",Dati[[#This Row],[Categoria]]="BNL(Interessi Creditori)"),"Carta",IF(Dati[[#This Row],[Categoria]]&lt;&gt;0,"Cash",""))</f>
        <v/>
      </c>
      <c r="K174" s="59" t="str">
        <f>IF(OR(Data!$I174=SottocategorieUscite[[#Headers],[Fuori Casa]],Data!$I174=SottocategorieUscite[[#Headers],[Varie Uscite]],Data!$I174=SottocategorieUscite[[#Headers],[Personali]],Data!$I174=SottocategorieUscite[[#Headers],[Lavoro]]),"$ -","")</f>
        <v/>
      </c>
      <c r="L174" s="59" t="str">
        <f>IF(OR(Data!$I174=SottocategorieUscite[[#Headers],[Casa]],Data!$I174=SottocategorieUscite[[#Headers],[Utenze]],Data!$I174=SottocategorieUscite[[#Headers],[Business Uscite]],Data!$I174=SottocategorieUscite[[#Headers],[Banca]]),"$ -","")</f>
        <v/>
      </c>
      <c r="M174" s="59" t="str">
        <f>IF(OR($I174&lt;&gt;SottocategorieUscite[[#Headers],[Fuori Casa]],$I174&lt;&gt;SottocategorieUscite[[#Headers],[Varie Uscite]],$I174&lt;&gt;SottocategorieUscite[[#Headers],[Personali]],$I174&lt;&gt;SottocategorieUscite[[#Headers],[Lavoro]],$I174&lt;&gt;SottocategorieUscite[[#Headers],[Casa]],$I174&lt;&gt;SottocategorieUscite[[#Headers],[Utenze]],$I174&lt;&gt;SottocategorieUscite[[#Headers],[Business Uscite]],$I174&lt;&gt;SottocategorieUscite[[#Headers],[Banca]]),"","$ -")</f>
        <v/>
      </c>
      <c r="N174" s="59" t="str">
        <f>IF(OR(Data!$I174=SottocategorieEntrate[[#Headers],[Business Entrate]],Data!$I174=SottocategorieEntrate[[#Headers],[Varie Entrate]]),"$ -","")</f>
        <v/>
      </c>
      <c r="O174" s="59" t="str">
        <f>IF(OR(Data!$I174=SottocategorieEntrate[[#Headers],[Real Estate]],SottocategorieEntrate[[#Headers],[Other]]),"$ -","")</f>
        <v/>
      </c>
      <c r="P174" s="59" t="str">
        <f>IF(OR($I174&lt;&gt;SottocategorieEntrate[[#Headers],[Business Entrate]],$I174&lt;&gt;SottocategorieEntrate[[#Headers],[Varie Entrate]],$I174&lt;&gt;SottocategorieEntrate[[#Headers],[Real Estate]],$I174&lt;&gt;SottocategorieEntrate[[#Headers],[Other]]),"","$ -")</f>
        <v/>
      </c>
      <c r="Q174" s="59" t="str">
        <f>IF(Dati[[#This Row],[Categoria]]="Prelievo","€ -","")</f>
        <v/>
      </c>
      <c r="R174" s="244" t="str">
        <f t="shared" ca="1" si="8"/>
        <v/>
      </c>
      <c r="S174" s="59" t="str">
        <f>IF(Dati[[#This Row],[Categoria]]="Savings",0,"")</f>
        <v/>
      </c>
      <c r="T174" s="59"/>
      <c r="U174" s="59"/>
      <c r="V174" s="59"/>
      <c r="W174" s="59"/>
      <c r="X174" s="59"/>
      <c r="Y174" s="59"/>
      <c r="Z174" s="59"/>
      <c r="AA174" s="59"/>
      <c r="AB174" s="59"/>
      <c r="AC174" s="59"/>
      <c r="AD174" s="59"/>
      <c r="AE174" s="59"/>
      <c r="AF174" s="59"/>
      <c r="AG174" s="59"/>
      <c r="AH174" s="59"/>
      <c r="AI174" s="59" t="str">
        <f>IF(SUM(Dati[[#This Row],[Inv. Business]:[Inv. Cryptocurrency]])=0," ",SUM(Dati[[#This Row],[Inv. Business]:[Inv. Cryptocurrency]]))</f>
        <v xml:space="preserve"> </v>
      </c>
      <c r="AJ174" s="59"/>
      <c r="AK174" s="59" t="str">
        <f>IF(SUM(Dati[[#This Row],[Inv. Gold]:[Mutuo]])=0," ",SUM(Dati[[#This Row],[Inv. Gold]:[Mutuo]]))</f>
        <v xml:space="preserve"> </v>
      </c>
      <c r="AL174" s="59"/>
      <c r="AM174" s="59"/>
    </row>
    <row r="175" spans="2:39" ht="16" customHeight="1" x14ac:dyDescent="0.35">
      <c r="B175">
        <f t="shared" si="6"/>
        <v>155</v>
      </c>
      <c r="C175" s="49">
        <f t="shared" si="7"/>
        <v>45081</v>
      </c>
      <c r="D175" s="29">
        <f>DAY(Dati[[#This Row],[Data]])</f>
        <v>4</v>
      </c>
      <c r="E175" s="29" t="str">
        <f>IF(DAY(Data!$C$21:$C$1327)&gt;0,TEXT(Data!$C$21:$C$1327, "mmmm"),"")</f>
        <v>giugno</v>
      </c>
      <c r="F175" s="29" t="str">
        <f>IF(DAY(Data!$C$21:$C$1327)&gt;0,TEXT(Data!$C$21:$C$1327, "aaaa"),"")</f>
        <v>2023</v>
      </c>
      <c r="I175" t="str">
        <f>IF(OR(H175=$B$5,H175=$B$6,H175=$B$7,H175=$B$8,H175=$B$9,H175=$B$10,H175=$B$11,H175=$B$12,H175=$B$13,H175=$B$14),SottocategorieUscite[[#Headers],[Fuori Casa]],IF(OR(H175=$C$5,H175=$C$6,H175=$C$7,H175=$C$8,H175=$C$9,H175=$C$10,H175=$C$11,H175=$C$12,H175=$C$13,H175=$C$14),SottocategorieUscite[[#Headers],[Varie Uscite]],IF(OR(H175=$D$5,H175=$D$6,H175=$D$7,H175=$D$8,H175=$D$9,H175=$D$10,H175=$D$11,H175=$D$12,H175=$D$13,H175=$D$14),SottocategorieUscite[[#Headers],[Personali]],IF(OR(H175=$E$5,H175=$E$6,H175=$E$7,H175=$E$8,H175=$E$9,H175=$E$10,H175=$E$11,H175=$E$12,H175=$E$13,H175=$E$14),SottocategorieUscite[[#Headers],[Lavoro]],IF(OR(H175=$F$5,H175=$F$6,H175=$F$7,H175=$F$8,H175=$F$9,H175=$F$10,H175=$F$11,H175=$F$12,H175=$F$13,H175=$F$14),SottocategorieUscite[[#Headers],[Casa]],IF(OR(H175=$G$5,H175=$G$6,H175=$G$7,H175=$G$8,H175=$G$9,H175=$G$10,H175=$G$11,H175=$G$12,H175=$G$13,H175=$G$14),SottocategorieUscite[[#Headers],[Utenze]],IF(OR(H175=$H$5,H175=$H$6,H175=$H$7,H175=$H$8,H175=$H$9,H175=$H$10,H175=$H$11,H175=$H$12,H175=$H$13,H175=$H$14),SottocategorieUscite[[#Headers],[Business Uscite]],IF(OR(H175=$I$5,H175=$I$6,H175=$I$7,H175=$I$8,H175=$I$9,H175=$I$10,H175=$I$11,H175=$I$12,H175=$I$13,H175=$I$14),SottocategorieUscite[[#Headers],[Banca]],IF(OR(H175=K$5,H175=K$6,H175=K$7,H175=K$8,H175=K$9,H175=K$10,H175=K$11,H175=K$12,H175=K$13,H175=K$14),SottocategorieEntrate[[#Headers],[Business Entrate]],IF(OR(H175=L$5,H175=L$6,H175=L$7,H175=L$8,H175=L$9,H175=L$10,H175=L$11,H175=L$12,H175=L$13,H175=L$14),SottocategorieEntrate[[#Headers],[Varie Entrate]],IF(OR(H175=M$5,H175=M$6,H175=M$7,H175=M$8,H175=M$9,H175=M$10,H175=M$11,H175=M$12,H175=M$13,H175=M$14),SottocategorieEntrate[[#Headers],[Real Estate]],IF(OR(H175=N$5,H175=N$6,H175=N$7,H175=N$8,H175=N$9,H175=N$10,H175=N$11,H175=N$12,H175=N$13,H175=N$14),SottocategorieEntrate[[#Headers],[Other]],""))))))))))))</f>
        <v/>
      </c>
      <c r="J175" t="str">
        <f>IF(OR(Dati[[#This Row],[Categoria]]="Bollette",Dati[[#This Row],[Categoria]]="Conto &amp; Carte BNL",Dati[[#This Row],[Categoria]]="Prelievo",Dati[[#This Row],[Categoria]]="Affitto",Dati[[#This Row],[Categoria]]="BNL(Interessi Creditori)"),"Carta",IF(Dati[[#This Row],[Categoria]]&lt;&gt;0,"Cash",""))</f>
        <v/>
      </c>
      <c r="K175" s="59" t="str">
        <f>IF(OR(Data!$I175=SottocategorieUscite[[#Headers],[Fuori Casa]],Data!$I175=SottocategorieUscite[[#Headers],[Varie Uscite]],Data!$I175=SottocategorieUscite[[#Headers],[Personali]],Data!$I175=SottocategorieUscite[[#Headers],[Lavoro]]),"$ -","")</f>
        <v/>
      </c>
      <c r="L175" s="59" t="str">
        <f>IF(OR(Data!$I175=SottocategorieUscite[[#Headers],[Casa]],Data!$I175=SottocategorieUscite[[#Headers],[Utenze]],Data!$I175=SottocategorieUscite[[#Headers],[Business Uscite]],Data!$I175=SottocategorieUscite[[#Headers],[Banca]]),"$ -","")</f>
        <v/>
      </c>
      <c r="M175" s="59" t="str">
        <f>IF(OR($I175&lt;&gt;SottocategorieUscite[[#Headers],[Fuori Casa]],$I175&lt;&gt;SottocategorieUscite[[#Headers],[Varie Uscite]],$I175&lt;&gt;SottocategorieUscite[[#Headers],[Personali]],$I175&lt;&gt;SottocategorieUscite[[#Headers],[Lavoro]],$I175&lt;&gt;SottocategorieUscite[[#Headers],[Casa]],$I175&lt;&gt;SottocategorieUscite[[#Headers],[Utenze]],$I175&lt;&gt;SottocategorieUscite[[#Headers],[Business Uscite]],$I175&lt;&gt;SottocategorieUscite[[#Headers],[Banca]]),"","$ -")</f>
        <v/>
      </c>
      <c r="N175" s="59" t="str">
        <f>IF(OR(Data!$I175=SottocategorieEntrate[[#Headers],[Business Entrate]],Data!$I175=SottocategorieEntrate[[#Headers],[Varie Entrate]]),"$ -","")</f>
        <v/>
      </c>
      <c r="O175" s="59" t="str">
        <f>IF(OR(Data!$I175=SottocategorieEntrate[[#Headers],[Real Estate]],SottocategorieEntrate[[#Headers],[Other]]),"$ -","")</f>
        <v/>
      </c>
      <c r="P175" s="59" t="str">
        <f>IF(OR($I175&lt;&gt;SottocategorieEntrate[[#Headers],[Business Entrate]],$I175&lt;&gt;SottocategorieEntrate[[#Headers],[Varie Entrate]],$I175&lt;&gt;SottocategorieEntrate[[#Headers],[Real Estate]],$I175&lt;&gt;SottocategorieEntrate[[#Headers],[Other]]),"","$ -")</f>
        <v/>
      </c>
      <c r="Q175" s="59" t="str">
        <f>IF(Dati[[#This Row],[Categoria]]="Prelievo","€ -","")</f>
        <v/>
      </c>
      <c r="R175" s="244" t="str">
        <f t="shared" ca="1" si="8"/>
        <v/>
      </c>
      <c r="S175" s="59" t="str">
        <f>IF(Dati[[#This Row],[Categoria]]="Savings",0,"")</f>
        <v/>
      </c>
      <c r="T175" s="59"/>
      <c r="U175" s="59"/>
      <c r="V175" s="59"/>
      <c r="W175" s="59"/>
      <c r="X175" s="59"/>
      <c r="Y175" s="59"/>
      <c r="Z175" s="59"/>
      <c r="AA175" s="59"/>
      <c r="AB175" s="59"/>
      <c r="AC175" s="59"/>
      <c r="AD175" s="59"/>
      <c r="AE175" s="59"/>
      <c r="AF175" s="59"/>
      <c r="AG175" s="59"/>
      <c r="AH175" s="59"/>
      <c r="AI175" s="59" t="str">
        <f>IF(SUM(Dati[[#This Row],[Inv. Business]:[Inv. Cryptocurrency]])=0," ",SUM(Dati[[#This Row],[Inv. Business]:[Inv. Cryptocurrency]]))</f>
        <v xml:space="preserve"> </v>
      </c>
      <c r="AJ175" s="59"/>
      <c r="AK175" s="59" t="str">
        <f>IF(SUM(Dati[[#This Row],[Inv. Gold]:[Mutuo]])=0," ",SUM(Dati[[#This Row],[Inv. Gold]:[Mutuo]]))</f>
        <v xml:space="preserve"> </v>
      </c>
      <c r="AL175" s="59"/>
      <c r="AM175" s="59"/>
    </row>
    <row r="176" spans="2:39" ht="16" customHeight="1" x14ac:dyDescent="0.35">
      <c r="B176">
        <f t="shared" si="6"/>
        <v>156</v>
      </c>
      <c r="C176" s="49">
        <f t="shared" si="7"/>
        <v>45082</v>
      </c>
      <c r="D176" s="29">
        <f>DAY(Dati[[#This Row],[Data]])</f>
        <v>5</v>
      </c>
      <c r="E176" s="29" t="str">
        <f>IF(DAY(Data!$C$21:$C$1327)&gt;0,TEXT(Data!$C$21:$C$1327, "mmmm"),"")</f>
        <v>giugno</v>
      </c>
      <c r="F176" s="29" t="str">
        <f>IF(DAY(Data!$C$21:$C$1327)&gt;0,TEXT(Data!$C$21:$C$1327, "aaaa"),"")</f>
        <v>2023</v>
      </c>
      <c r="I176" t="str">
        <f>IF(OR(H176=$B$5,H176=$B$6,H176=$B$7,H176=$B$8,H176=$B$9,H176=$B$10,H176=$B$11,H176=$B$12,H176=$B$13,H176=$B$14),SottocategorieUscite[[#Headers],[Fuori Casa]],IF(OR(H176=$C$5,H176=$C$6,H176=$C$7,H176=$C$8,H176=$C$9,H176=$C$10,H176=$C$11,H176=$C$12,H176=$C$13,H176=$C$14),SottocategorieUscite[[#Headers],[Varie Uscite]],IF(OR(H176=$D$5,H176=$D$6,H176=$D$7,H176=$D$8,H176=$D$9,H176=$D$10,H176=$D$11,H176=$D$12,H176=$D$13,H176=$D$14),SottocategorieUscite[[#Headers],[Personali]],IF(OR(H176=$E$5,H176=$E$6,H176=$E$7,H176=$E$8,H176=$E$9,H176=$E$10,H176=$E$11,H176=$E$12,H176=$E$13,H176=$E$14),SottocategorieUscite[[#Headers],[Lavoro]],IF(OR(H176=$F$5,H176=$F$6,H176=$F$7,H176=$F$8,H176=$F$9,H176=$F$10,H176=$F$11,H176=$F$12,H176=$F$13,H176=$F$14),SottocategorieUscite[[#Headers],[Casa]],IF(OR(H176=$G$5,H176=$G$6,H176=$G$7,H176=$G$8,H176=$G$9,H176=$G$10,H176=$G$11,H176=$G$12,H176=$G$13,H176=$G$14),SottocategorieUscite[[#Headers],[Utenze]],IF(OR(H176=$H$5,H176=$H$6,H176=$H$7,H176=$H$8,H176=$H$9,H176=$H$10,H176=$H$11,H176=$H$12,H176=$H$13,H176=$H$14),SottocategorieUscite[[#Headers],[Business Uscite]],IF(OR(H176=$I$5,H176=$I$6,H176=$I$7,H176=$I$8,H176=$I$9,H176=$I$10,H176=$I$11,H176=$I$12,H176=$I$13,H176=$I$14),SottocategorieUscite[[#Headers],[Banca]],IF(OR(H176=K$5,H176=K$6,H176=K$7,H176=K$8,H176=K$9,H176=K$10,H176=K$11,H176=K$12,H176=K$13,H176=K$14),SottocategorieEntrate[[#Headers],[Business Entrate]],IF(OR(H176=L$5,H176=L$6,H176=L$7,H176=L$8,H176=L$9,H176=L$10,H176=L$11,H176=L$12,H176=L$13,H176=L$14),SottocategorieEntrate[[#Headers],[Varie Entrate]],IF(OR(H176=M$5,H176=M$6,H176=M$7,H176=M$8,H176=M$9,H176=M$10,H176=M$11,H176=M$12,H176=M$13,H176=M$14),SottocategorieEntrate[[#Headers],[Real Estate]],IF(OR(H176=N$5,H176=N$6,H176=N$7,H176=N$8,H176=N$9,H176=N$10,H176=N$11,H176=N$12,H176=N$13,H176=N$14),SottocategorieEntrate[[#Headers],[Other]],""))))))))))))</f>
        <v/>
      </c>
      <c r="J176" t="str">
        <f>IF(OR(Dati[[#This Row],[Categoria]]="Bollette",Dati[[#This Row],[Categoria]]="Conto &amp; Carte BNL",Dati[[#This Row],[Categoria]]="Prelievo",Dati[[#This Row],[Categoria]]="Affitto",Dati[[#This Row],[Categoria]]="BNL(Interessi Creditori)"),"Carta",IF(Dati[[#This Row],[Categoria]]&lt;&gt;0,"Cash",""))</f>
        <v/>
      </c>
      <c r="K176" s="59" t="str">
        <f>IF(OR(Data!$I176=SottocategorieUscite[[#Headers],[Fuori Casa]],Data!$I176=SottocategorieUscite[[#Headers],[Varie Uscite]],Data!$I176=SottocategorieUscite[[#Headers],[Personali]],Data!$I176=SottocategorieUscite[[#Headers],[Lavoro]]),"$ -","")</f>
        <v/>
      </c>
      <c r="L176" s="59" t="str">
        <f>IF(OR(Data!$I176=SottocategorieUscite[[#Headers],[Casa]],Data!$I176=SottocategorieUscite[[#Headers],[Utenze]],Data!$I176=SottocategorieUscite[[#Headers],[Business Uscite]],Data!$I176=SottocategorieUscite[[#Headers],[Banca]]),"$ -","")</f>
        <v/>
      </c>
      <c r="M176" s="59" t="str">
        <f>IF(OR($I176&lt;&gt;SottocategorieUscite[[#Headers],[Fuori Casa]],$I176&lt;&gt;SottocategorieUscite[[#Headers],[Varie Uscite]],$I176&lt;&gt;SottocategorieUscite[[#Headers],[Personali]],$I176&lt;&gt;SottocategorieUscite[[#Headers],[Lavoro]],$I176&lt;&gt;SottocategorieUscite[[#Headers],[Casa]],$I176&lt;&gt;SottocategorieUscite[[#Headers],[Utenze]],$I176&lt;&gt;SottocategorieUscite[[#Headers],[Business Uscite]],$I176&lt;&gt;SottocategorieUscite[[#Headers],[Banca]]),"","$ -")</f>
        <v/>
      </c>
      <c r="N176" s="59" t="str">
        <f>IF(OR(Data!$I176=SottocategorieEntrate[[#Headers],[Business Entrate]],Data!$I176=SottocategorieEntrate[[#Headers],[Varie Entrate]]),"$ -","")</f>
        <v/>
      </c>
      <c r="O176" s="59" t="str">
        <f>IF(OR(Data!$I176=SottocategorieEntrate[[#Headers],[Real Estate]],SottocategorieEntrate[[#Headers],[Other]]),"$ -","")</f>
        <v/>
      </c>
      <c r="P176" s="59" t="str">
        <f>IF(OR($I176&lt;&gt;SottocategorieEntrate[[#Headers],[Business Entrate]],$I176&lt;&gt;SottocategorieEntrate[[#Headers],[Varie Entrate]],$I176&lt;&gt;SottocategorieEntrate[[#Headers],[Real Estate]],$I176&lt;&gt;SottocategorieEntrate[[#Headers],[Other]]),"","$ -")</f>
        <v/>
      </c>
      <c r="Q176" s="59" t="str">
        <f>IF(Dati[[#This Row],[Categoria]]="Prelievo","€ -","")</f>
        <v/>
      </c>
      <c r="R176" s="244" t="str">
        <f t="shared" ca="1" si="8"/>
        <v/>
      </c>
      <c r="S176" s="59" t="str">
        <f>IF(Dati[[#This Row],[Categoria]]="Savings",0,"")</f>
        <v/>
      </c>
      <c r="T176" s="59"/>
      <c r="U176" s="59"/>
      <c r="V176" s="59"/>
      <c r="W176" s="59"/>
      <c r="X176" s="59"/>
      <c r="Y176" s="59"/>
      <c r="Z176" s="59"/>
      <c r="AA176" s="59"/>
      <c r="AB176" s="59"/>
      <c r="AC176" s="59"/>
      <c r="AD176" s="59"/>
      <c r="AE176" s="59"/>
      <c r="AF176" s="59"/>
      <c r="AG176" s="59"/>
      <c r="AH176" s="59"/>
      <c r="AI176" s="59" t="str">
        <f>IF(SUM(Dati[[#This Row],[Inv. Business]:[Inv. Cryptocurrency]])=0," ",SUM(Dati[[#This Row],[Inv. Business]:[Inv. Cryptocurrency]]))</f>
        <v xml:space="preserve"> </v>
      </c>
      <c r="AJ176" s="59"/>
      <c r="AK176" s="59" t="str">
        <f>IF(SUM(Dati[[#This Row],[Inv. Gold]:[Mutuo]])=0," ",SUM(Dati[[#This Row],[Inv. Gold]:[Mutuo]]))</f>
        <v xml:space="preserve"> </v>
      </c>
      <c r="AL176" s="59"/>
      <c r="AM176" s="59"/>
    </row>
    <row r="177" spans="2:39" ht="16" customHeight="1" x14ac:dyDescent="0.35">
      <c r="B177">
        <f t="shared" si="6"/>
        <v>157</v>
      </c>
      <c r="C177" s="49">
        <f t="shared" si="7"/>
        <v>45083</v>
      </c>
      <c r="D177" s="29">
        <f>DAY(Dati[[#This Row],[Data]])</f>
        <v>6</v>
      </c>
      <c r="E177" s="29" t="str">
        <f>IF(DAY(Data!$C$21:$C$1327)&gt;0,TEXT(Data!$C$21:$C$1327, "mmmm"),"")</f>
        <v>giugno</v>
      </c>
      <c r="F177" s="29" t="str">
        <f>IF(DAY(Data!$C$21:$C$1327)&gt;0,TEXT(Data!$C$21:$C$1327, "aaaa"),"")</f>
        <v>2023</v>
      </c>
      <c r="I177" t="str">
        <f>IF(OR(H177=$B$5,H177=$B$6,H177=$B$7,H177=$B$8,H177=$B$9,H177=$B$10,H177=$B$11,H177=$B$12,H177=$B$13,H177=$B$14),SottocategorieUscite[[#Headers],[Fuori Casa]],IF(OR(H177=$C$5,H177=$C$6,H177=$C$7,H177=$C$8,H177=$C$9,H177=$C$10,H177=$C$11,H177=$C$12,H177=$C$13,H177=$C$14),SottocategorieUscite[[#Headers],[Varie Uscite]],IF(OR(H177=$D$5,H177=$D$6,H177=$D$7,H177=$D$8,H177=$D$9,H177=$D$10,H177=$D$11,H177=$D$12,H177=$D$13,H177=$D$14),SottocategorieUscite[[#Headers],[Personali]],IF(OR(H177=$E$5,H177=$E$6,H177=$E$7,H177=$E$8,H177=$E$9,H177=$E$10,H177=$E$11,H177=$E$12,H177=$E$13,H177=$E$14),SottocategorieUscite[[#Headers],[Lavoro]],IF(OR(H177=$F$5,H177=$F$6,H177=$F$7,H177=$F$8,H177=$F$9,H177=$F$10,H177=$F$11,H177=$F$12,H177=$F$13,H177=$F$14),SottocategorieUscite[[#Headers],[Casa]],IF(OR(H177=$G$5,H177=$G$6,H177=$G$7,H177=$G$8,H177=$G$9,H177=$G$10,H177=$G$11,H177=$G$12,H177=$G$13,H177=$G$14),SottocategorieUscite[[#Headers],[Utenze]],IF(OR(H177=$H$5,H177=$H$6,H177=$H$7,H177=$H$8,H177=$H$9,H177=$H$10,H177=$H$11,H177=$H$12,H177=$H$13,H177=$H$14),SottocategorieUscite[[#Headers],[Business Uscite]],IF(OR(H177=$I$5,H177=$I$6,H177=$I$7,H177=$I$8,H177=$I$9,H177=$I$10,H177=$I$11,H177=$I$12,H177=$I$13,H177=$I$14),SottocategorieUscite[[#Headers],[Banca]],IF(OR(H177=K$5,H177=K$6,H177=K$7,H177=K$8,H177=K$9,H177=K$10,H177=K$11,H177=K$12,H177=K$13,H177=K$14),SottocategorieEntrate[[#Headers],[Business Entrate]],IF(OR(H177=L$5,H177=L$6,H177=L$7,H177=L$8,H177=L$9,H177=L$10,H177=L$11,H177=L$12,H177=L$13,H177=L$14),SottocategorieEntrate[[#Headers],[Varie Entrate]],IF(OR(H177=M$5,H177=M$6,H177=M$7,H177=M$8,H177=M$9,H177=M$10,H177=M$11,H177=M$12,H177=M$13,H177=M$14),SottocategorieEntrate[[#Headers],[Real Estate]],IF(OR(H177=N$5,H177=N$6,H177=N$7,H177=N$8,H177=N$9,H177=N$10,H177=N$11,H177=N$12,H177=N$13,H177=N$14),SottocategorieEntrate[[#Headers],[Other]],""))))))))))))</f>
        <v/>
      </c>
      <c r="J177" t="str">
        <f>IF(OR(Dati[[#This Row],[Categoria]]="Bollette",Dati[[#This Row],[Categoria]]="Conto &amp; Carte BNL",Dati[[#This Row],[Categoria]]="Prelievo",Dati[[#This Row],[Categoria]]="Affitto",Dati[[#This Row],[Categoria]]="BNL(Interessi Creditori)"),"Carta",IF(Dati[[#This Row],[Categoria]]&lt;&gt;0,"Cash",""))</f>
        <v/>
      </c>
      <c r="K177" s="59" t="str">
        <f>IF(OR(Data!$I177=SottocategorieUscite[[#Headers],[Fuori Casa]],Data!$I177=SottocategorieUscite[[#Headers],[Varie Uscite]],Data!$I177=SottocategorieUscite[[#Headers],[Personali]],Data!$I177=SottocategorieUscite[[#Headers],[Lavoro]]),"$ -","")</f>
        <v/>
      </c>
      <c r="L177" s="59" t="str">
        <f>IF(OR(Data!$I177=SottocategorieUscite[[#Headers],[Casa]],Data!$I177=SottocategorieUscite[[#Headers],[Utenze]],Data!$I177=SottocategorieUscite[[#Headers],[Business Uscite]],Data!$I177=SottocategorieUscite[[#Headers],[Banca]]),"$ -","")</f>
        <v/>
      </c>
      <c r="M177" s="59" t="str">
        <f>IF(OR($I177&lt;&gt;SottocategorieUscite[[#Headers],[Fuori Casa]],$I177&lt;&gt;SottocategorieUscite[[#Headers],[Varie Uscite]],$I177&lt;&gt;SottocategorieUscite[[#Headers],[Personali]],$I177&lt;&gt;SottocategorieUscite[[#Headers],[Lavoro]],$I177&lt;&gt;SottocategorieUscite[[#Headers],[Casa]],$I177&lt;&gt;SottocategorieUscite[[#Headers],[Utenze]],$I177&lt;&gt;SottocategorieUscite[[#Headers],[Business Uscite]],$I177&lt;&gt;SottocategorieUscite[[#Headers],[Banca]]),"","$ -")</f>
        <v/>
      </c>
      <c r="N177" s="59" t="str">
        <f>IF(OR(Data!$I177=SottocategorieEntrate[[#Headers],[Business Entrate]],Data!$I177=SottocategorieEntrate[[#Headers],[Varie Entrate]]),"$ -","")</f>
        <v/>
      </c>
      <c r="O177" s="59" t="str">
        <f>IF(OR(Data!$I177=SottocategorieEntrate[[#Headers],[Real Estate]],SottocategorieEntrate[[#Headers],[Other]]),"$ -","")</f>
        <v/>
      </c>
      <c r="P177" s="59" t="str">
        <f>IF(OR($I177&lt;&gt;SottocategorieEntrate[[#Headers],[Business Entrate]],$I177&lt;&gt;SottocategorieEntrate[[#Headers],[Varie Entrate]],$I177&lt;&gt;SottocategorieEntrate[[#Headers],[Real Estate]],$I177&lt;&gt;SottocategorieEntrate[[#Headers],[Other]]),"","$ -")</f>
        <v/>
      </c>
      <c r="Q177" s="59" t="str">
        <f>IF(Dati[[#This Row],[Categoria]]="Prelievo","€ -","")</f>
        <v/>
      </c>
      <c r="R177" s="244" t="str">
        <f t="shared" ca="1" si="8"/>
        <v/>
      </c>
      <c r="S177" s="59" t="str">
        <f>IF(Dati[[#This Row],[Categoria]]="Savings",0,"")</f>
        <v/>
      </c>
      <c r="T177" s="59"/>
      <c r="U177" s="59"/>
      <c r="V177" s="59"/>
      <c r="W177" s="59"/>
      <c r="X177" s="59"/>
      <c r="Y177" s="59"/>
      <c r="Z177" s="59"/>
      <c r="AA177" s="59"/>
      <c r="AB177" s="59"/>
      <c r="AC177" s="59"/>
      <c r="AD177" s="59"/>
      <c r="AE177" s="59"/>
      <c r="AF177" s="59"/>
      <c r="AG177" s="59"/>
      <c r="AH177" s="59"/>
      <c r="AI177" s="59" t="str">
        <f>IF(SUM(Dati[[#This Row],[Inv. Business]:[Inv. Cryptocurrency]])=0," ",SUM(Dati[[#This Row],[Inv. Business]:[Inv. Cryptocurrency]]))</f>
        <v xml:space="preserve"> </v>
      </c>
      <c r="AJ177" s="59"/>
      <c r="AK177" s="59" t="str">
        <f>IF(SUM(Dati[[#This Row],[Inv. Gold]:[Mutuo]])=0," ",SUM(Dati[[#This Row],[Inv. Gold]:[Mutuo]]))</f>
        <v xml:space="preserve"> </v>
      </c>
      <c r="AL177" s="59"/>
      <c r="AM177" s="59"/>
    </row>
    <row r="178" spans="2:39" ht="16" customHeight="1" x14ac:dyDescent="0.35">
      <c r="B178">
        <f t="shared" si="6"/>
        <v>158</v>
      </c>
      <c r="C178" s="49">
        <f t="shared" si="7"/>
        <v>45084</v>
      </c>
      <c r="D178" s="29">
        <f>DAY(Dati[[#This Row],[Data]])</f>
        <v>7</v>
      </c>
      <c r="E178" s="29" t="str">
        <f>IF(DAY(Data!$C$21:$C$1327)&gt;0,TEXT(Data!$C$21:$C$1327, "mmmm"),"")</f>
        <v>giugno</v>
      </c>
      <c r="F178" s="29" t="str">
        <f>IF(DAY(Data!$C$21:$C$1327)&gt;0,TEXT(Data!$C$21:$C$1327, "aaaa"),"")</f>
        <v>2023</v>
      </c>
      <c r="I178" t="str">
        <f>IF(OR(H178=$B$5,H178=$B$6,H178=$B$7,H178=$B$8,H178=$B$9,H178=$B$10,H178=$B$11,H178=$B$12,H178=$B$13,H178=$B$14),SottocategorieUscite[[#Headers],[Fuori Casa]],IF(OR(H178=$C$5,H178=$C$6,H178=$C$7,H178=$C$8,H178=$C$9,H178=$C$10,H178=$C$11,H178=$C$12,H178=$C$13,H178=$C$14),SottocategorieUscite[[#Headers],[Varie Uscite]],IF(OR(H178=$D$5,H178=$D$6,H178=$D$7,H178=$D$8,H178=$D$9,H178=$D$10,H178=$D$11,H178=$D$12,H178=$D$13,H178=$D$14),SottocategorieUscite[[#Headers],[Personali]],IF(OR(H178=$E$5,H178=$E$6,H178=$E$7,H178=$E$8,H178=$E$9,H178=$E$10,H178=$E$11,H178=$E$12,H178=$E$13,H178=$E$14),SottocategorieUscite[[#Headers],[Lavoro]],IF(OR(H178=$F$5,H178=$F$6,H178=$F$7,H178=$F$8,H178=$F$9,H178=$F$10,H178=$F$11,H178=$F$12,H178=$F$13,H178=$F$14),SottocategorieUscite[[#Headers],[Casa]],IF(OR(H178=$G$5,H178=$G$6,H178=$G$7,H178=$G$8,H178=$G$9,H178=$G$10,H178=$G$11,H178=$G$12,H178=$G$13,H178=$G$14),SottocategorieUscite[[#Headers],[Utenze]],IF(OR(H178=$H$5,H178=$H$6,H178=$H$7,H178=$H$8,H178=$H$9,H178=$H$10,H178=$H$11,H178=$H$12,H178=$H$13,H178=$H$14),SottocategorieUscite[[#Headers],[Business Uscite]],IF(OR(H178=$I$5,H178=$I$6,H178=$I$7,H178=$I$8,H178=$I$9,H178=$I$10,H178=$I$11,H178=$I$12,H178=$I$13,H178=$I$14),SottocategorieUscite[[#Headers],[Banca]],IF(OR(H178=K$5,H178=K$6,H178=K$7,H178=K$8,H178=K$9,H178=K$10,H178=K$11,H178=K$12,H178=K$13,H178=K$14),SottocategorieEntrate[[#Headers],[Business Entrate]],IF(OR(H178=L$5,H178=L$6,H178=L$7,H178=L$8,H178=L$9,H178=L$10,H178=L$11,H178=L$12,H178=L$13,H178=L$14),SottocategorieEntrate[[#Headers],[Varie Entrate]],IF(OR(H178=M$5,H178=M$6,H178=M$7,H178=M$8,H178=M$9,H178=M$10,H178=M$11,H178=M$12,H178=M$13,H178=M$14),SottocategorieEntrate[[#Headers],[Real Estate]],IF(OR(H178=N$5,H178=N$6,H178=N$7,H178=N$8,H178=N$9,H178=N$10,H178=N$11,H178=N$12,H178=N$13,H178=N$14),SottocategorieEntrate[[#Headers],[Other]],""))))))))))))</f>
        <v/>
      </c>
      <c r="J178" t="str">
        <f>IF(OR(Dati[[#This Row],[Categoria]]="Bollette",Dati[[#This Row],[Categoria]]="Conto &amp; Carte BNL",Dati[[#This Row],[Categoria]]="Prelievo",Dati[[#This Row],[Categoria]]="Affitto",Dati[[#This Row],[Categoria]]="BNL(Interessi Creditori)"),"Carta",IF(Dati[[#This Row],[Categoria]]&lt;&gt;0,"Cash",""))</f>
        <v/>
      </c>
      <c r="K178" s="59" t="str">
        <f>IF(OR(Data!$I178=SottocategorieUscite[[#Headers],[Fuori Casa]],Data!$I178=SottocategorieUscite[[#Headers],[Varie Uscite]],Data!$I178=SottocategorieUscite[[#Headers],[Personali]],Data!$I178=SottocategorieUscite[[#Headers],[Lavoro]]),"$ -","")</f>
        <v/>
      </c>
      <c r="L178" s="59" t="str">
        <f>IF(OR(Data!$I178=SottocategorieUscite[[#Headers],[Casa]],Data!$I178=SottocategorieUscite[[#Headers],[Utenze]],Data!$I178=SottocategorieUscite[[#Headers],[Business Uscite]],Data!$I178=SottocategorieUscite[[#Headers],[Banca]]),"$ -","")</f>
        <v/>
      </c>
      <c r="M178" s="59" t="str">
        <f>IF(OR($I178&lt;&gt;SottocategorieUscite[[#Headers],[Fuori Casa]],$I178&lt;&gt;SottocategorieUscite[[#Headers],[Varie Uscite]],$I178&lt;&gt;SottocategorieUscite[[#Headers],[Personali]],$I178&lt;&gt;SottocategorieUscite[[#Headers],[Lavoro]],$I178&lt;&gt;SottocategorieUscite[[#Headers],[Casa]],$I178&lt;&gt;SottocategorieUscite[[#Headers],[Utenze]],$I178&lt;&gt;SottocategorieUscite[[#Headers],[Business Uscite]],$I178&lt;&gt;SottocategorieUscite[[#Headers],[Banca]]),"","$ -")</f>
        <v/>
      </c>
      <c r="N178" s="59" t="str">
        <f>IF(OR(Data!$I178=SottocategorieEntrate[[#Headers],[Business Entrate]],Data!$I178=SottocategorieEntrate[[#Headers],[Varie Entrate]]),"$ -","")</f>
        <v/>
      </c>
      <c r="O178" s="59" t="str">
        <f>IF(OR(Data!$I178=SottocategorieEntrate[[#Headers],[Real Estate]],SottocategorieEntrate[[#Headers],[Other]]),"$ -","")</f>
        <v/>
      </c>
      <c r="P178" s="59" t="str">
        <f>IF(OR($I178&lt;&gt;SottocategorieEntrate[[#Headers],[Business Entrate]],$I178&lt;&gt;SottocategorieEntrate[[#Headers],[Varie Entrate]],$I178&lt;&gt;SottocategorieEntrate[[#Headers],[Real Estate]],$I178&lt;&gt;SottocategorieEntrate[[#Headers],[Other]]),"","$ -")</f>
        <v/>
      </c>
      <c r="Q178" s="59" t="str">
        <f>IF(Dati[[#This Row],[Categoria]]="Prelievo","€ -","")</f>
        <v/>
      </c>
      <c r="R178" s="244" t="str">
        <f t="shared" ca="1" si="8"/>
        <v/>
      </c>
      <c r="S178" s="59" t="str">
        <f>IF(Dati[[#This Row],[Categoria]]="Savings",0,"")</f>
        <v/>
      </c>
      <c r="T178" s="59"/>
      <c r="U178" s="59"/>
      <c r="V178" s="59"/>
      <c r="W178" s="59"/>
      <c r="X178" s="59"/>
      <c r="Y178" s="59"/>
      <c r="Z178" s="59"/>
      <c r="AA178" s="59"/>
      <c r="AB178" s="59"/>
      <c r="AC178" s="59"/>
      <c r="AD178" s="59"/>
      <c r="AE178" s="59"/>
      <c r="AF178" s="59"/>
      <c r="AG178" s="59"/>
      <c r="AH178" s="59"/>
      <c r="AI178" s="59" t="str">
        <f>IF(SUM(Dati[[#This Row],[Inv. Business]:[Inv. Cryptocurrency]])=0," ",SUM(Dati[[#This Row],[Inv. Business]:[Inv. Cryptocurrency]]))</f>
        <v xml:space="preserve"> </v>
      </c>
      <c r="AJ178" s="59"/>
      <c r="AK178" s="59" t="str">
        <f>IF(SUM(Dati[[#This Row],[Inv. Gold]:[Mutuo]])=0," ",SUM(Dati[[#This Row],[Inv. Gold]:[Mutuo]]))</f>
        <v xml:space="preserve"> </v>
      </c>
      <c r="AL178" s="59"/>
      <c r="AM178" s="59"/>
    </row>
    <row r="179" spans="2:39" ht="16" customHeight="1" x14ac:dyDescent="0.35">
      <c r="B179">
        <f t="shared" si="6"/>
        <v>159</v>
      </c>
      <c r="C179" s="49">
        <f t="shared" si="7"/>
        <v>45085</v>
      </c>
      <c r="D179" s="29">
        <f>DAY(Dati[[#This Row],[Data]])</f>
        <v>8</v>
      </c>
      <c r="E179" s="29" t="str">
        <f>IF(DAY(Data!$C$21:$C$1327)&gt;0,TEXT(Data!$C$21:$C$1327, "mmmm"),"")</f>
        <v>giugno</v>
      </c>
      <c r="F179" s="29" t="str">
        <f>IF(DAY(Data!$C$21:$C$1327)&gt;0,TEXT(Data!$C$21:$C$1327, "aaaa"),"")</f>
        <v>2023</v>
      </c>
      <c r="I179" t="str">
        <f>IF(OR(H179=$B$5,H179=$B$6,H179=$B$7,H179=$B$8,H179=$B$9,H179=$B$10,H179=$B$11,H179=$B$12,H179=$B$13,H179=$B$14),SottocategorieUscite[[#Headers],[Fuori Casa]],IF(OR(H179=$C$5,H179=$C$6,H179=$C$7,H179=$C$8,H179=$C$9,H179=$C$10,H179=$C$11,H179=$C$12,H179=$C$13,H179=$C$14),SottocategorieUscite[[#Headers],[Varie Uscite]],IF(OR(H179=$D$5,H179=$D$6,H179=$D$7,H179=$D$8,H179=$D$9,H179=$D$10,H179=$D$11,H179=$D$12,H179=$D$13,H179=$D$14),SottocategorieUscite[[#Headers],[Personali]],IF(OR(H179=$E$5,H179=$E$6,H179=$E$7,H179=$E$8,H179=$E$9,H179=$E$10,H179=$E$11,H179=$E$12,H179=$E$13,H179=$E$14),SottocategorieUscite[[#Headers],[Lavoro]],IF(OR(H179=$F$5,H179=$F$6,H179=$F$7,H179=$F$8,H179=$F$9,H179=$F$10,H179=$F$11,H179=$F$12,H179=$F$13,H179=$F$14),SottocategorieUscite[[#Headers],[Casa]],IF(OR(H179=$G$5,H179=$G$6,H179=$G$7,H179=$G$8,H179=$G$9,H179=$G$10,H179=$G$11,H179=$G$12,H179=$G$13,H179=$G$14),SottocategorieUscite[[#Headers],[Utenze]],IF(OR(H179=$H$5,H179=$H$6,H179=$H$7,H179=$H$8,H179=$H$9,H179=$H$10,H179=$H$11,H179=$H$12,H179=$H$13,H179=$H$14),SottocategorieUscite[[#Headers],[Business Uscite]],IF(OR(H179=$I$5,H179=$I$6,H179=$I$7,H179=$I$8,H179=$I$9,H179=$I$10,H179=$I$11,H179=$I$12,H179=$I$13,H179=$I$14),SottocategorieUscite[[#Headers],[Banca]],IF(OR(H179=K$5,H179=K$6,H179=K$7,H179=K$8,H179=K$9,H179=K$10,H179=K$11,H179=K$12,H179=K$13,H179=K$14),SottocategorieEntrate[[#Headers],[Business Entrate]],IF(OR(H179=L$5,H179=L$6,H179=L$7,H179=L$8,H179=L$9,H179=L$10,H179=L$11,H179=L$12,H179=L$13,H179=L$14),SottocategorieEntrate[[#Headers],[Varie Entrate]],IF(OR(H179=M$5,H179=M$6,H179=M$7,H179=M$8,H179=M$9,H179=M$10,H179=M$11,H179=M$12,H179=M$13,H179=M$14),SottocategorieEntrate[[#Headers],[Real Estate]],IF(OR(H179=N$5,H179=N$6,H179=N$7,H179=N$8,H179=N$9,H179=N$10,H179=N$11,H179=N$12,H179=N$13,H179=N$14),SottocategorieEntrate[[#Headers],[Other]],""))))))))))))</f>
        <v/>
      </c>
      <c r="J179" t="str">
        <f>IF(OR(Dati[[#This Row],[Categoria]]="Bollette",Dati[[#This Row],[Categoria]]="Conto &amp; Carte BNL",Dati[[#This Row],[Categoria]]="Prelievo",Dati[[#This Row],[Categoria]]="Affitto",Dati[[#This Row],[Categoria]]="BNL(Interessi Creditori)"),"Carta",IF(Dati[[#This Row],[Categoria]]&lt;&gt;0,"Cash",""))</f>
        <v/>
      </c>
      <c r="K179" s="59" t="str">
        <f>IF(OR(Data!$I179=SottocategorieUscite[[#Headers],[Fuori Casa]],Data!$I179=SottocategorieUscite[[#Headers],[Varie Uscite]],Data!$I179=SottocategorieUscite[[#Headers],[Personali]],Data!$I179=SottocategorieUscite[[#Headers],[Lavoro]]),"$ -","")</f>
        <v/>
      </c>
      <c r="L179" s="59" t="str">
        <f>IF(OR(Data!$I179=SottocategorieUscite[[#Headers],[Casa]],Data!$I179=SottocategorieUscite[[#Headers],[Utenze]],Data!$I179=SottocategorieUscite[[#Headers],[Business Uscite]],Data!$I179=SottocategorieUscite[[#Headers],[Banca]]),"$ -","")</f>
        <v/>
      </c>
      <c r="M179" s="59" t="str">
        <f>IF(OR($I179&lt;&gt;SottocategorieUscite[[#Headers],[Fuori Casa]],$I179&lt;&gt;SottocategorieUscite[[#Headers],[Varie Uscite]],$I179&lt;&gt;SottocategorieUscite[[#Headers],[Personali]],$I179&lt;&gt;SottocategorieUscite[[#Headers],[Lavoro]],$I179&lt;&gt;SottocategorieUscite[[#Headers],[Casa]],$I179&lt;&gt;SottocategorieUscite[[#Headers],[Utenze]],$I179&lt;&gt;SottocategorieUscite[[#Headers],[Business Uscite]],$I179&lt;&gt;SottocategorieUscite[[#Headers],[Banca]]),"","$ -")</f>
        <v/>
      </c>
      <c r="N179" s="59" t="str">
        <f>IF(OR(Data!$I179=SottocategorieEntrate[[#Headers],[Business Entrate]],Data!$I179=SottocategorieEntrate[[#Headers],[Varie Entrate]]),"$ -","")</f>
        <v/>
      </c>
      <c r="O179" s="59" t="str">
        <f>IF(OR(Data!$I179=SottocategorieEntrate[[#Headers],[Real Estate]],SottocategorieEntrate[[#Headers],[Other]]),"$ -","")</f>
        <v/>
      </c>
      <c r="P179" s="59" t="str">
        <f>IF(OR($I179&lt;&gt;SottocategorieEntrate[[#Headers],[Business Entrate]],$I179&lt;&gt;SottocategorieEntrate[[#Headers],[Varie Entrate]],$I179&lt;&gt;SottocategorieEntrate[[#Headers],[Real Estate]],$I179&lt;&gt;SottocategorieEntrate[[#Headers],[Other]]),"","$ -")</f>
        <v/>
      </c>
      <c r="Q179" s="59" t="str">
        <f>IF(Dati[[#This Row],[Categoria]]="Prelievo","€ -","")</f>
        <v/>
      </c>
      <c r="R179" s="244" t="str">
        <f t="shared" ca="1" si="8"/>
        <v/>
      </c>
      <c r="S179" s="59" t="str">
        <f>IF(Dati[[#This Row],[Categoria]]="Savings",0,"")</f>
        <v/>
      </c>
      <c r="T179" s="59"/>
      <c r="U179" s="59"/>
      <c r="V179" s="59"/>
      <c r="W179" s="59"/>
      <c r="X179" s="59"/>
      <c r="Y179" s="59"/>
      <c r="Z179" s="59"/>
      <c r="AA179" s="59"/>
      <c r="AB179" s="59"/>
      <c r="AC179" s="59"/>
      <c r="AD179" s="59"/>
      <c r="AE179" s="59"/>
      <c r="AF179" s="59"/>
      <c r="AG179" s="59"/>
      <c r="AH179" s="59"/>
      <c r="AI179" s="59" t="str">
        <f>IF(SUM(Dati[[#This Row],[Inv. Business]:[Inv. Cryptocurrency]])=0," ",SUM(Dati[[#This Row],[Inv. Business]:[Inv. Cryptocurrency]]))</f>
        <v xml:space="preserve"> </v>
      </c>
      <c r="AJ179" s="59"/>
      <c r="AK179" s="59" t="str">
        <f>IF(SUM(Dati[[#This Row],[Inv. Gold]:[Mutuo]])=0," ",SUM(Dati[[#This Row],[Inv. Gold]:[Mutuo]]))</f>
        <v xml:space="preserve"> </v>
      </c>
      <c r="AL179" s="59"/>
      <c r="AM179" s="59"/>
    </row>
    <row r="180" spans="2:39" ht="16" customHeight="1" x14ac:dyDescent="0.35">
      <c r="B180">
        <f t="shared" si="6"/>
        <v>160</v>
      </c>
      <c r="C180" s="49">
        <f t="shared" si="7"/>
        <v>45086</v>
      </c>
      <c r="D180" s="29">
        <f>DAY(Dati[[#This Row],[Data]])</f>
        <v>9</v>
      </c>
      <c r="E180" s="29" t="str">
        <f>IF(DAY(Data!$C$21:$C$1327)&gt;0,TEXT(Data!$C$21:$C$1327, "mmmm"),"")</f>
        <v>giugno</v>
      </c>
      <c r="F180" s="29" t="str">
        <f>IF(DAY(Data!$C$21:$C$1327)&gt;0,TEXT(Data!$C$21:$C$1327, "aaaa"),"")</f>
        <v>2023</v>
      </c>
      <c r="I180" t="str">
        <f>IF(OR(H180=$B$5,H180=$B$6,H180=$B$7,H180=$B$8,H180=$B$9,H180=$B$10,H180=$B$11,H180=$B$12,H180=$B$13,H180=$B$14),SottocategorieUscite[[#Headers],[Fuori Casa]],IF(OR(H180=$C$5,H180=$C$6,H180=$C$7,H180=$C$8,H180=$C$9,H180=$C$10,H180=$C$11,H180=$C$12,H180=$C$13,H180=$C$14),SottocategorieUscite[[#Headers],[Varie Uscite]],IF(OR(H180=$D$5,H180=$D$6,H180=$D$7,H180=$D$8,H180=$D$9,H180=$D$10,H180=$D$11,H180=$D$12,H180=$D$13,H180=$D$14),SottocategorieUscite[[#Headers],[Personali]],IF(OR(H180=$E$5,H180=$E$6,H180=$E$7,H180=$E$8,H180=$E$9,H180=$E$10,H180=$E$11,H180=$E$12,H180=$E$13,H180=$E$14),SottocategorieUscite[[#Headers],[Lavoro]],IF(OR(H180=$F$5,H180=$F$6,H180=$F$7,H180=$F$8,H180=$F$9,H180=$F$10,H180=$F$11,H180=$F$12,H180=$F$13,H180=$F$14),SottocategorieUscite[[#Headers],[Casa]],IF(OR(H180=$G$5,H180=$G$6,H180=$G$7,H180=$G$8,H180=$G$9,H180=$G$10,H180=$G$11,H180=$G$12,H180=$G$13,H180=$G$14),SottocategorieUscite[[#Headers],[Utenze]],IF(OR(H180=$H$5,H180=$H$6,H180=$H$7,H180=$H$8,H180=$H$9,H180=$H$10,H180=$H$11,H180=$H$12,H180=$H$13,H180=$H$14),SottocategorieUscite[[#Headers],[Business Uscite]],IF(OR(H180=$I$5,H180=$I$6,H180=$I$7,H180=$I$8,H180=$I$9,H180=$I$10,H180=$I$11,H180=$I$12,H180=$I$13,H180=$I$14),SottocategorieUscite[[#Headers],[Banca]],IF(OR(H180=K$5,H180=K$6,H180=K$7,H180=K$8,H180=K$9,H180=K$10,H180=K$11,H180=K$12,H180=K$13,H180=K$14),SottocategorieEntrate[[#Headers],[Business Entrate]],IF(OR(H180=L$5,H180=L$6,H180=L$7,H180=L$8,H180=L$9,H180=L$10,H180=L$11,H180=L$12,H180=L$13,H180=L$14),SottocategorieEntrate[[#Headers],[Varie Entrate]],IF(OR(H180=M$5,H180=M$6,H180=M$7,H180=M$8,H180=M$9,H180=M$10,H180=M$11,H180=M$12,H180=M$13,H180=M$14),SottocategorieEntrate[[#Headers],[Real Estate]],IF(OR(H180=N$5,H180=N$6,H180=N$7,H180=N$8,H180=N$9,H180=N$10,H180=N$11,H180=N$12,H180=N$13,H180=N$14),SottocategorieEntrate[[#Headers],[Other]],""))))))))))))</f>
        <v/>
      </c>
      <c r="J180" t="str">
        <f>IF(OR(Dati[[#This Row],[Categoria]]="Bollette",Dati[[#This Row],[Categoria]]="Conto &amp; Carte BNL",Dati[[#This Row],[Categoria]]="Prelievo",Dati[[#This Row],[Categoria]]="Affitto",Dati[[#This Row],[Categoria]]="BNL(Interessi Creditori)"),"Carta",IF(Dati[[#This Row],[Categoria]]&lt;&gt;0,"Cash",""))</f>
        <v/>
      </c>
      <c r="K180" s="59" t="str">
        <f>IF(OR(Data!$I180=SottocategorieUscite[[#Headers],[Fuori Casa]],Data!$I180=SottocategorieUscite[[#Headers],[Varie Uscite]],Data!$I180=SottocategorieUscite[[#Headers],[Personali]],Data!$I180=SottocategorieUscite[[#Headers],[Lavoro]]),"$ -","")</f>
        <v/>
      </c>
      <c r="L180" s="59" t="str">
        <f>IF(OR(Data!$I180=SottocategorieUscite[[#Headers],[Casa]],Data!$I180=SottocategorieUscite[[#Headers],[Utenze]],Data!$I180=SottocategorieUscite[[#Headers],[Business Uscite]],Data!$I180=SottocategorieUscite[[#Headers],[Banca]]),"$ -","")</f>
        <v/>
      </c>
      <c r="M180" s="59" t="str">
        <f>IF(OR($I180&lt;&gt;SottocategorieUscite[[#Headers],[Fuori Casa]],$I180&lt;&gt;SottocategorieUscite[[#Headers],[Varie Uscite]],$I180&lt;&gt;SottocategorieUscite[[#Headers],[Personali]],$I180&lt;&gt;SottocategorieUscite[[#Headers],[Lavoro]],$I180&lt;&gt;SottocategorieUscite[[#Headers],[Casa]],$I180&lt;&gt;SottocategorieUscite[[#Headers],[Utenze]],$I180&lt;&gt;SottocategorieUscite[[#Headers],[Business Uscite]],$I180&lt;&gt;SottocategorieUscite[[#Headers],[Banca]]),"","$ -")</f>
        <v/>
      </c>
      <c r="N180" s="59" t="str">
        <f>IF(OR(Data!$I180=SottocategorieEntrate[[#Headers],[Business Entrate]],Data!$I180=SottocategorieEntrate[[#Headers],[Varie Entrate]]),"$ -","")</f>
        <v/>
      </c>
      <c r="O180" s="59" t="str">
        <f>IF(OR(Data!$I180=SottocategorieEntrate[[#Headers],[Real Estate]],SottocategorieEntrate[[#Headers],[Other]]),"$ -","")</f>
        <v/>
      </c>
      <c r="P180" s="59" t="str">
        <f>IF(OR($I180&lt;&gt;SottocategorieEntrate[[#Headers],[Business Entrate]],$I180&lt;&gt;SottocategorieEntrate[[#Headers],[Varie Entrate]],$I180&lt;&gt;SottocategorieEntrate[[#Headers],[Real Estate]],$I180&lt;&gt;SottocategorieEntrate[[#Headers],[Other]]),"","$ -")</f>
        <v/>
      </c>
      <c r="Q180" s="59" t="str">
        <f>IF(Dati[[#This Row],[Categoria]]="Prelievo","€ -","")</f>
        <v/>
      </c>
      <c r="R180" s="244" t="str">
        <f t="shared" ca="1" si="8"/>
        <v/>
      </c>
      <c r="S180" s="59" t="str">
        <f>IF(Dati[[#This Row],[Categoria]]="Savings",0,"")</f>
        <v/>
      </c>
      <c r="T180" s="59"/>
      <c r="U180" s="59"/>
      <c r="V180" s="59"/>
      <c r="W180" s="59"/>
      <c r="X180" s="59"/>
      <c r="Y180" s="59"/>
      <c r="Z180" s="59"/>
      <c r="AA180" s="59"/>
      <c r="AB180" s="59"/>
      <c r="AC180" s="59"/>
      <c r="AD180" s="59"/>
      <c r="AE180" s="59"/>
      <c r="AF180" s="59"/>
      <c r="AG180" s="59"/>
      <c r="AH180" s="59"/>
      <c r="AI180" s="59" t="str">
        <f>IF(SUM(Dati[[#This Row],[Inv. Business]:[Inv. Cryptocurrency]])=0," ",SUM(Dati[[#This Row],[Inv. Business]:[Inv. Cryptocurrency]]))</f>
        <v xml:space="preserve"> </v>
      </c>
      <c r="AJ180" s="59"/>
      <c r="AK180" s="59" t="str">
        <f>IF(SUM(Dati[[#This Row],[Inv. Gold]:[Mutuo]])=0," ",SUM(Dati[[#This Row],[Inv. Gold]:[Mutuo]]))</f>
        <v xml:space="preserve"> </v>
      </c>
      <c r="AL180" s="59"/>
      <c r="AM180" s="59"/>
    </row>
    <row r="181" spans="2:39" ht="16" customHeight="1" x14ac:dyDescent="0.35">
      <c r="B181">
        <f t="shared" si="6"/>
        <v>161</v>
      </c>
      <c r="C181" s="49">
        <f t="shared" si="7"/>
        <v>45087</v>
      </c>
      <c r="D181" s="29">
        <f>DAY(Dati[[#This Row],[Data]])</f>
        <v>10</v>
      </c>
      <c r="E181" s="29" t="str">
        <f>IF(DAY(Data!$C$21:$C$1327)&gt;0,TEXT(Data!$C$21:$C$1327, "mmmm"),"")</f>
        <v>giugno</v>
      </c>
      <c r="F181" s="29" t="str">
        <f>IF(DAY(Data!$C$21:$C$1327)&gt;0,TEXT(Data!$C$21:$C$1327, "aaaa"),"")</f>
        <v>2023</v>
      </c>
      <c r="I181" t="str">
        <f>IF(OR(H181=$B$5,H181=$B$6,H181=$B$7,H181=$B$8,H181=$B$9,H181=$B$10,H181=$B$11,H181=$B$12,H181=$B$13,H181=$B$14),SottocategorieUscite[[#Headers],[Fuori Casa]],IF(OR(H181=$C$5,H181=$C$6,H181=$C$7,H181=$C$8,H181=$C$9,H181=$C$10,H181=$C$11,H181=$C$12,H181=$C$13,H181=$C$14),SottocategorieUscite[[#Headers],[Varie Uscite]],IF(OR(H181=$D$5,H181=$D$6,H181=$D$7,H181=$D$8,H181=$D$9,H181=$D$10,H181=$D$11,H181=$D$12,H181=$D$13,H181=$D$14),SottocategorieUscite[[#Headers],[Personali]],IF(OR(H181=$E$5,H181=$E$6,H181=$E$7,H181=$E$8,H181=$E$9,H181=$E$10,H181=$E$11,H181=$E$12,H181=$E$13,H181=$E$14),SottocategorieUscite[[#Headers],[Lavoro]],IF(OR(H181=$F$5,H181=$F$6,H181=$F$7,H181=$F$8,H181=$F$9,H181=$F$10,H181=$F$11,H181=$F$12,H181=$F$13,H181=$F$14),SottocategorieUscite[[#Headers],[Casa]],IF(OR(H181=$G$5,H181=$G$6,H181=$G$7,H181=$G$8,H181=$G$9,H181=$G$10,H181=$G$11,H181=$G$12,H181=$G$13,H181=$G$14),SottocategorieUscite[[#Headers],[Utenze]],IF(OR(H181=$H$5,H181=$H$6,H181=$H$7,H181=$H$8,H181=$H$9,H181=$H$10,H181=$H$11,H181=$H$12,H181=$H$13,H181=$H$14),SottocategorieUscite[[#Headers],[Business Uscite]],IF(OR(H181=$I$5,H181=$I$6,H181=$I$7,H181=$I$8,H181=$I$9,H181=$I$10,H181=$I$11,H181=$I$12,H181=$I$13,H181=$I$14),SottocategorieUscite[[#Headers],[Banca]],IF(OR(H181=K$5,H181=K$6,H181=K$7,H181=K$8,H181=K$9,H181=K$10,H181=K$11,H181=K$12,H181=K$13,H181=K$14),SottocategorieEntrate[[#Headers],[Business Entrate]],IF(OR(H181=L$5,H181=L$6,H181=L$7,H181=L$8,H181=L$9,H181=L$10,H181=L$11,H181=L$12,H181=L$13,H181=L$14),SottocategorieEntrate[[#Headers],[Varie Entrate]],IF(OR(H181=M$5,H181=M$6,H181=M$7,H181=M$8,H181=M$9,H181=M$10,H181=M$11,H181=M$12,H181=M$13,H181=M$14),SottocategorieEntrate[[#Headers],[Real Estate]],IF(OR(H181=N$5,H181=N$6,H181=N$7,H181=N$8,H181=N$9,H181=N$10,H181=N$11,H181=N$12,H181=N$13,H181=N$14),SottocategorieEntrate[[#Headers],[Other]],""))))))))))))</f>
        <v/>
      </c>
      <c r="J181" t="str">
        <f>IF(OR(Dati[[#This Row],[Categoria]]="Bollette",Dati[[#This Row],[Categoria]]="Conto &amp; Carte BNL",Dati[[#This Row],[Categoria]]="Prelievo",Dati[[#This Row],[Categoria]]="Affitto",Dati[[#This Row],[Categoria]]="BNL(Interessi Creditori)"),"Carta",IF(Dati[[#This Row],[Categoria]]&lt;&gt;0,"Cash",""))</f>
        <v/>
      </c>
      <c r="K181" s="59" t="str">
        <f>IF(OR(Data!$I181=SottocategorieUscite[[#Headers],[Fuori Casa]],Data!$I181=SottocategorieUscite[[#Headers],[Varie Uscite]],Data!$I181=SottocategorieUscite[[#Headers],[Personali]],Data!$I181=SottocategorieUscite[[#Headers],[Lavoro]]),"$ -","")</f>
        <v/>
      </c>
      <c r="L181" s="59" t="str">
        <f>IF(OR(Data!$I181=SottocategorieUscite[[#Headers],[Casa]],Data!$I181=SottocategorieUscite[[#Headers],[Utenze]],Data!$I181=SottocategorieUscite[[#Headers],[Business Uscite]],Data!$I181=SottocategorieUscite[[#Headers],[Banca]]),"$ -","")</f>
        <v/>
      </c>
      <c r="M181" s="59" t="str">
        <f>IF(OR($I181&lt;&gt;SottocategorieUscite[[#Headers],[Fuori Casa]],$I181&lt;&gt;SottocategorieUscite[[#Headers],[Varie Uscite]],$I181&lt;&gt;SottocategorieUscite[[#Headers],[Personali]],$I181&lt;&gt;SottocategorieUscite[[#Headers],[Lavoro]],$I181&lt;&gt;SottocategorieUscite[[#Headers],[Casa]],$I181&lt;&gt;SottocategorieUscite[[#Headers],[Utenze]],$I181&lt;&gt;SottocategorieUscite[[#Headers],[Business Uscite]],$I181&lt;&gt;SottocategorieUscite[[#Headers],[Banca]]),"","$ -")</f>
        <v/>
      </c>
      <c r="N181" s="59" t="str">
        <f>IF(OR(Data!$I181=SottocategorieEntrate[[#Headers],[Business Entrate]],Data!$I181=SottocategorieEntrate[[#Headers],[Varie Entrate]]),"$ -","")</f>
        <v/>
      </c>
      <c r="O181" s="59" t="str">
        <f>IF(OR(Data!$I181=SottocategorieEntrate[[#Headers],[Real Estate]],SottocategorieEntrate[[#Headers],[Other]]),"$ -","")</f>
        <v/>
      </c>
      <c r="P181" s="59" t="str">
        <f>IF(OR($I181&lt;&gt;SottocategorieEntrate[[#Headers],[Business Entrate]],$I181&lt;&gt;SottocategorieEntrate[[#Headers],[Varie Entrate]],$I181&lt;&gt;SottocategorieEntrate[[#Headers],[Real Estate]],$I181&lt;&gt;SottocategorieEntrate[[#Headers],[Other]]),"","$ -")</f>
        <v/>
      </c>
      <c r="Q181" s="59" t="str">
        <f>IF(Dati[[#This Row],[Categoria]]="Prelievo","€ -","")</f>
        <v/>
      </c>
      <c r="R181" s="244" t="str">
        <f t="shared" ca="1" si="8"/>
        <v/>
      </c>
      <c r="S181" s="59" t="str">
        <f>IF(Dati[[#This Row],[Categoria]]="Savings",0,"")</f>
        <v/>
      </c>
      <c r="T181" s="59"/>
      <c r="U181" s="59"/>
      <c r="V181" s="59"/>
      <c r="W181" s="59"/>
      <c r="X181" s="59"/>
      <c r="Y181" s="59"/>
      <c r="Z181" s="59"/>
      <c r="AA181" s="59"/>
      <c r="AB181" s="59"/>
      <c r="AC181" s="59"/>
      <c r="AD181" s="59"/>
      <c r="AE181" s="59"/>
      <c r="AF181" s="59"/>
      <c r="AG181" s="59"/>
      <c r="AH181" s="59"/>
      <c r="AI181" s="59" t="str">
        <f>IF(SUM(Dati[[#This Row],[Inv. Business]:[Inv. Cryptocurrency]])=0," ",SUM(Dati[[#This Row],[Inv. Business]:[Inv. Cryptocurrency]]))</f>
        <v xml:space="preserve"> </v>
      </c>
      <c r="AJ181" s="59"/>
      <c r="AK181" s="59" t="str">
        <f>IF(SUM(Dati[[#This Row],[Inv. Gold]:[Mutuo]])=0," ",SUM(Dati[[#This Row],[Inv. Gold]:[Mutuo]]))</f>
        <v xml:space="preserve"> </v>
      </c>
      <c r="AL181" s="59"/>
      <c r="AM181" s="59"/>
    </row>
    <row r="182" spans="2:39" ht="16" customHeight="1" x14ac:dyDescent="0.35">
      <c r="B182">
        <f t="shared" si="6"/>
        <v>162</v>
      </c>
      <c r="C182" s="49">
        <f t="shared" si="7"/>
        <v>45088</v>
      </c>
      <c r="D182" s="29">
        <f>DAY(Dati[[#This Row],[Data]])</f>
        <v>11</v>
      </c>
      <c r="E182" s="29" t="str">
        <f>IF(DAY(Data!$C$21:$C$1327)&gt;0,TEXT(Data!$C$21:$C$1327, "mmmm"),"")</f>
        <v>giugno</v>
      </c>
      <c r="F182" s="29" t="str">
        <f>IF(DAY(Data!$C$21:$C$1327)&gt;0,TEXT(Data!$C$21:$C$1327, "aaaa"),"")</f>
        <v>2023</v>
      </c>
      <c r="I182" t="str">
        <f>IF(OR(H182=$B$5,H182=$B$6,H182=$B$7,H182=$B$8,H182=$B$9,H182=$B$10,H182=$B$11,H182=$B$12,H182=$B$13,H182=$B$14),SottocategorieUscite[[#Headers],[Fuori Casa]],IF(OR(H182=$C$5,H182=$C$6,H182=$C$7,H182=$C$8,H182=$C$9,H182=$C$10,H182=$C$11,H182=$C$12,H182=$C$13,H182=$C$14),SottocategorieUscite[[#Headers],[Varie Uscite]],IF(OR(H182=$D$5,H182=$D$6,H182=$D$7,H182=$D$8,H182=$D$9,H182=$D$10,H182=$D$11,H182=$D$12,H182=$D$13,H182=$D$14),SottocategorieUscite[[#Headers],[Personali]],IF(OR(H182=$E$5,H182=$E$6,H182=$E$7,H182=$E$8,H182=$E$9,H182=$E$10,H182=$E$11,H182=$E$12,H182=$E$13,H182=$E$14),SottocategorieUscite[[#Headers],[Lavoro]],IF(OR(H182=$F$5,H182=$F$6,H182=$F$7,H182=$F$8,H182=$F$9,H182=$F$10,H182=$F$11,H182=$F$12,H182=$F$13,H182=$F$14),SottocategorieUscite[[#Headers],[Casa]],IF(OR(H182=$G$5,H182=$G$6,H182=$G$7,H182=$G$8,H182=$G$9,H182=$G$10,H182=$G$11,H182=$G$12,H182=$G$13,H182=$G$14),SottocategorieUscite[[#Headers],[Utenze]],IF(OR(H182=$H$5,H182=$H$6,H182=$H$7,H182=$H$8,H182=$H$9,H182=$H$10,H182=$H$11,H182=$H$12,H182=$H$13,H182=$H$14),SottocategorieUscite[[#Headers],[Business Uscite]],IF(OR(H182=$I$5,H182=$I$6,H182=$I$7,H182=$I$8,H182=$I$9,H182=$I$10,H182=$I$11,H182=$I$12,H182=$I$13,H182=$I$14),SottocategorieUscite[[#Headers],[Banca]],IF(OR(H182=K$5,H182=K$6,H182=K$7,H182=K$8,H182=K$9,H182=K$10,H182=K$11,H182=K$12,H182=K$13,H182=K$14),SottocategorieEntrate[[#Headers],[Business Entrate]],IF(OR(H182=L$5,H182=L$6,H182=L$7,H182=L$8,H182=L$9,H182=L$10,H182=L$11,H182=L$12,H182=L$13,H182=L$14),SottocategorieEntrate[[#Headers],[Varie Entrate]],IF(OR(H182=M$5,H182=M$6,H182=M$7,H182=M$8,H182=M$9,H182=M$10,H182=M$11,H182=M$12,H182=M$13,H182=M$14),SottocategorieEntrate[[#Headers],[Real Estate]],IF(OR(H182=N$5,H182=N$6,H182=N$7,H182=N$8,H182=N$9,H182=N$10,H182=N$11,H182=N$12,H182=N$13,H182=N$14),SottocategorieEntrate[[#Headers],[Other]],""))))))))))))</f>
        <v/>
      </c>
      <c r="J182" t="str">
        <f>IF(OR(Dati[[#This Row],[Categoria]]="Bollette",Dati[[#This Row],[Categoria]]="Conto &amp; Carte BNL",Dati[[#This Row],[Categoria]]="Prelievo",Dati[[#This Row],[Categoria]]="Affitto",Dati[[#This Row],[Categoria]]="BNL(Interessi Creditori)"),"Carta",IF(Dati[[#This Row],[Categoria]]&lt;&gt;0,"Cash",""))</f>
        <v/>
      </c>
      <c r="K182" s="59" t="str">
        <f>IF(OR(Data!$I182=SottocategorieUscite[[#Headers],[Fuori Casa]],Data!$I182=SottocategorieUscite[[#Headers],[Varie Uscite]],Data!$I182=SottocategorieUscite[[#Headers],[Personali]],Data!$I182=SottocategorieUscite[[#Headers],[Lavoro]]),"$ -","")</f>
        <v/>
      </c>
      <c r="L182" s="59" t="str">
        <f>IF(OR(Data!$I182=SottocategorieUscite[[#Headers],[Casa]],Data!$I182=SottocategorieUscite[[#Headers],[Utenze]],Data!$I182=SottocategorieUscite[[#Headers],[Business Uscite]],Data!$I182=SottocategorieUscite[[#Headers],[Banca]]),"$ -","")</f>
        <v/>
      </c>
      <c r="M182" s="59" t="str">
        <f>IF(OR($I182&lt;&gt;SottocategorieUscite[[#Headers],[Fuori Casa]],$I182&lt;&gt;SottocategorieUscite[[#Headers],[Varie Uscite]],$I182&lt;&gt;SottocategorieUscite[[#Headers],[Personali]],$I182&lt;&gt;SottocategorieUscite[[#Headers],[Lavoro]],$I182&lt;&gt;SottocategorieUscite[[#Headers],[Casa]],$I182&lt;&gt;SottocategorieUscite[[#Headers],[Utenze]],$I182&lt;&gt;SottocategorieUscite[[#Headers],[Business Uscite]],$I182&lt;&gt;SottocategorieUscite[[#Headers],[Banca]]),"","$ -")</f>
        <v/>
      </c>
      <c r="N182" s="59" t="str">
        <f>IF(OR(Data!$I182=SottocategorieEntrate[[#Headers],[Business Entrate]],Data!$I182=SottocategorieEntrate[[#Headers],[Varie Entrate]]),"$ -","")</f>
        <v/>
      </c>
      <c r="O182" s="59" t="str">
        <f>IF(OR(Data!$I182=SottocategorieEntrate[[#Headers],[Real Estate]],SottocategorieEntrate[[#Headers],[Other]]),"$ -","")</f>
        <v/>
      </c>
      <c r="P182" s="59" t="str">
        <f>IF(OR($I182&lt;&gt;SottocategorieEntrate[[#Headers],[Business Entrate]],$I182&lt;&gt;SottocategorieEntrate[[#Headers],[Varie Entrate]],$I182&lt;&gt;SottocategorieEntrate[[#Headers],[Real Estate]],$I182&lt;&gt;SottocategorieEntrate[[#Headers],[Other]]),"","$ -")</f>
        <v/>
      </c>
      <c r="Q182" s="59" t="str">
        <f>IF(Dati[[#This Row],[Categoria]]="Prelievo","€ -","")</f>
        <v/>
      </c>
      <c r="R182" s="244" t="str">
        <f t="shared" ca="1" si="8"/>
        <v/>
      </c>
      <c r="S182" s="59" t="str">
        <f>IF(Dati[[#This Row],[Categoria]]="Savings",0,"")</f>
        <v/>
      </c>
      <c r="T182" s="59"/>
      <c r="U182" s="59"/>
      <c r="V182" s="59"/>
      <c r="W182" s="59"/>
      <c r="X182" s="59"/>
      <c r="Y182" s="59"/>
      <c r="Z182" s="59"/>
      <c r="AA182" s="59"/>
      <c r="AB182" s="59"/>
      <c r="AC182" s="59"/>
      <c r="AD182" s="59"/>
      <c r="AE182" s="59"/>
      <c r="AF182" s="59"/>
      <c r="AG182" s="59"/>
      <c r="AH182" s="59"/>
      <c r="AI182" s="59" t="str">
        <f>IF(SUM(Dati[[#This Row],[Inv. Business]:[Inv. Cryptocurrency]])=0," ",SUM(Dati[[#This Row],[Inv. Business]:[Inv. Cryptocurrency]]))</f>
        <v xml:space="preserve"> </v>
      </c>
      <c r="AJ182" s="59"/>
      <c r="AK182" s="59" t="str">
        <f>IF(SUM(Dati[[#This Row],[Inv. Gold]:[Mutuo]])=0," ",SUM(Dati[[#This Row],[Inv. Gold]:[Mutuo]]))</f>
        <v xml:space="preserve"> </v>
      </c>
      <c r="AL182" s="59"/>
      <c r="AM182" s="59"/>
    </row>
    <row r="183" spans="2:39" ht="16" customHeight="1" x14ac:dyDescent="0.35">
      <c r="B183">
        <f t="shared" si="6"/>
        <v>163</v>
      </c>
      <c r="C183" s="49">
        <f t="shared" si="7"/>
        <v>45089</v>
      </c>
      <c r="D183" s="29">
        <f>DAY(Dati[[#This Row],[Data]])</f>
        <v>12</v>
      </c>
      <c r="E183" s="29" t="str">
        <f>IF(DAY(Data!$C$21:$C$1327)&gt;0,TEXT(Data!$C$21:$C$1327, "mmmm"),"")</f>
        <v>giugno</v>
      </c>
      <c r="F183" s="29" t="str">
        <f>IF(DAY(Data!$C$21:$C$1327)&gt;0,TEXT(Data!$C$21:$C$1327, "aaaa"),"")</f>
        <v>2023</v>
      </c>
      <c r="I183" t="str">
        <f>IF(OR(H183=$B$5,H183=$B$6,H183=$B$7,H183=$B$8,H183=$B$9,H183=$B$10,H183=$B$11,H183=$B$12,H183=$B$13,H183=$B$14),SottocategorieUscite[[#Headers],[Fuori Casa]],IF(OR(H183=$C$5,H183=$C$6,H183=$C$7,H183=$C$8,H183=$C$9,H183=$C$10,H183=$C$11,H183=$C$12,H183=$C$13,H183=$C$14),SottocategorieUscite[[#Headers],[Varie Uscite]],IF(OR(H183=$D$5,H183=$D$6,H183=$D$7,H183=$D$8,H183=$D$9,H183=$D$10,H183=$D$11,H183=$D$12,H183=$D$13,H183=$D$14),SottocategorieUscite[[#Headers],[Personali]],IF(OR(H183=$E$5,H183=$E$6,H183=$E$7,H183=$E$8,H183=$E$9,H183=$E$10,H183=$E$11,H183=$E$12,H183=$E$13,H183=$E$14),SottocategorieUscite[[#Headers],[Lavoro]],IF(OR(H183=$F$5,H183=$F$6,H183=$F$7,H183=$F$8,H183=$F$9,H183=$F$10,H183=$F$11,H183=$F$12,H183=$F$13,H183=$F$14),SottocategorieUscite[[#Headers],[Casa]],IF(OR(H183=$G$5,H183=$G$6,H183=$G$7,H183=$G$8,H183=$G$9,H183=$G$10,H183=$G$11,H183=$G$12,H183=$G$13,H183=$G$14),SottocategorieUscite[[#Headers],[Utenze]],IF(OR(H183=$H$5,H183=$H$6,H183=$H$7,H183=$H$8,H183=$H$9,H183=$H$10,H183=$H$11,H183=$H$12,H183=$H$13,H183=$H$14),SottocategorieUscite[[#Headers],[Business Uscite]],IF(OR(H183=$I$5,H183=$I$6,H183=$I$7,H183=$I$8,H183=$I$9,H183=$I$10,H183=$I$11,H183=$I$12,H183=$I$13,H183=$I$14),SottocategorieUscite[[#Headers],[Banca]],IF(OR(H183=K$5,H183=K$6,H183=K$7,H183=K$8,H183=K$9,H183=K$10,H183=K$11,H183=K$12,H183=K$13,H183=K$14),SottocategorieEntrate[[#Headers],[Business Entrate]],IF(OR(H183=L$5,H183=L$6,H183=L$7,H183=L$8,H183=L$9,H183=L$10,H183=L$11,H183=L$12,H183=L$13,H183=L$14),SottocategorieEntrate[[#Headers],[Varie Entrate]],IF(OR(H183=M$5,H183=M$6,H183=M$7,H183=M$8,H183=M$9,H183=M$10,H183=M$11,H183=M$12,H183=M$13,H183=M$14),SottocategorieEntrate[[#Headers],[Real Estate]],IF(OR(H183=N$5,H183=N$6,H183=N$7,H183=N$8,H183=N$9,H183=N$10,H183=N$11,H183=N$12,H183=N$13,H183=N$14),SottocategorieEntrate[[#Headers],[Other]],""))))))))))))</f>
        <v/>
      </c>
      <c r="J183" t="str">
        <f>IF(OR(Dati[[#This Row],[Categoria]]="Bollette",Dati[[#This Row],[Categoria]]="Conto &amp; Carte BNL",Dati[[#This Row],[Categoria]]="Prelievo",Dati[[#This Row],[Categoria]]="Affitto",Dati[[#This Row],[Categoria]]="BNL(Interessi Creditori)"),"Carta",IF(Dati[[#This Row],[Categoria]]&lt;&gt;0,"Cash",""))</f>
        <v/>
      </c>
      <c r="K183" s="59" t="str">
        <f>IF(OR(Data!$I183=SottocategorieUscite[[#Headers],[Fuori Casa]],Data!$I183=SottocategorieUscite[[#Headers],[Varie Uscite]],Data!$I183=SottocategorieUscite[[#Headers],[Personali]],Data!$I183=SottocategorieUscite[[#Headers],[Lavoro]]),"$ -","")</f>
        <v/>
      </c>
      <c r="L183" s="59" t="str">
        <f>IF(OR(Data!$I183=SottocategorieUscite[[#Headers],[Casa]],Data!$I183=SottocategorieUscite[[#Headers],[Utenze]],Data!$I183=SottocategorieUscite[[#Headers],[Business Uscite]],Data!$I183=SottocategorieUscite[[#Headers],[Banca]]),"$ -","")</f>
        <v/>
      </c>
      <c r="M183" s="59" t="str">
        <f>IF(OR($I183&lt;&gt;SottocategorieUscite[[#Headers],[Fuori Casa]],$I183&lt;&gt;SottocategorieUscite[[#Headers],[Varie Uscite]],$I183&lt;&gt;SottocategorieUscite[[#Headers],[Personali]],$I183&lt;&gt;SottocategorieUscite[[#Headers],[Lavoro]],$I183&lt;&gt;SottocategorieUscite[[#Headers],[Casa]],$I183&lt;&gt;SottocategorieUscite[[#Headers],[Utenze]],$I183&lt;&gt;SottocategorieUscite[[#Headers],[Business Uscite]],$I183&lt;&gt;SottocategorieUscite[[#Headers],[Banca]]),"","$ -")</f>
        <v/>
      </c>
      <c r="N183" s="59" t="str">
        <f>IF(OR(Data!$I183=SottocategorieEntrate[[#Headers],[Business Entrate]],Data!$I183=SottocategorieEntrate[[#Headers],[Varie Entrate]]),"$ -","")</f>
        <v/>
      </c>
      <c r="O183" s="59" t="str">
        <f>IF(OR(Data!$I183=SottocategorieEntrate[[#Headers],[Real Estate]],SottocategorieEntrate[[#Headers],[Other]]),"$ -","")</f>
        <v/>
      </c>
      <c r="P183" s="59" t="str">
        <f>IF(OR($I183&lt;&gt;SottocategorieEntrate[[#Headers],[Business Entrate]],$I183&lt;&gt;SottocategorieEntrate[[#Headers],[Varie Entrate]],$I183&lt;&gt;SottocategorieEntrate[[#Headers],[Real Estate]],$I183&lt;&gt;SottocategorieEntrate[[#Headers],[Other]]),"","$ -")</f>
        <v/>
      </c>
      <c r="Q183" s="59" t="str">
        <f>IF(Dati[[#This Row],[Categoria]]="Prelievo","€ -","")</f>
        <v/>
      </c>
      <c r="R183" s="244" t="str">
        <f t="shared" ca="1" si="8"/>
        <v/>
      </c>
      <c r="S183" s="59" t="str">
        <f>IF(Dati[[#This Row],[Categoria]]="Savings",0,"")</f>
        <v/>
      </c>
      <c r="T183" s="59"/>
      <c r="U183" s="59"/>
      <c r="V183" s="59"/>
      <c r="W183" s="59"/>
      <c r="X183" s="59"/>
      <c r="Y183" s="59"/>
      <c r="Z183" s="59"/>
      <c r="AA183" s="59"/>
      <c r="AB183" s="59"/>
      <c r="AC183" s="59"/>
      <c r="AD183" s="59"/>
      <c r="AE183" s="59"/>
      <c r="AF183" s="59"/>
      <c r="AG183" s="59"/>
      <c r="AH183" s="59"/>
      <c r="AI183" s="59" t="str">
        <f>IF(SUM(Dati[[#This Row],[Inv. Business]:[Inv. Cryptocurrency]])=0," ",SUM(Dati[[#This Row],[Inv. Business]:[Inv. Cryptocurrency]]))</f>
        <v xml:space="preserve"> </v>
      </c>
      <c r="AJ183" s="59"/>
      <c r="AK183" s="59" t="str">
        <f>IF(SUM(Dati[[#This Row],[Inv. Gold]:[Mutuo]])=0," ",SUM(Dati[[#This Row],[Inv. Gold]:[Mutuo]]))</f>
        <v xml:space="preserve"> </v>
      </c>
      <c r="AL183" s="59"/>
      <c r="AM183" s="59"/>
    </row>
    <row r="184" spans="2:39" ht="16" customHeight="1" x14ac:dyDescent="0.35">
      <c r="B184">
        <f t="shared" si="6"/>
        <v>164</v>
      </c>
      <c r="C184" s="49">
        <f t="shared" si="7"/>
        <v>45090</v>
      </c>
      <c r="D184" s="29">
        <f>DAY(Dati[[#This Row],[Data]])</f>
        <v>13</v>
      </c>
      <c r="E184" s="29" t="str">
        <f>IF(DAY(Data!$C$21:$C$1327)&gt;0,TEXT(Data!$C$21:$C$1327, "mmmm"),"")</f>
        <v>giugno</v>
      </c>
      <c r="F184" s="29" t="str">
        <f>IF(DAY(Data!$C$21:$C$1327)&gt;0,TEXT(Data!$C$21:$C$1327, "aaaa"),"")</f>
        <v>2023</v>
      </c>
      <c r="I184" t="str">
        <f>IF(OR(H184=$B$5,H184=$B$6,H184=$B$7,H184=$B$8,H184=$B$9,H184=$B$10,H184=$B$11,H184=$B$12,H184=$B$13,H184=$B$14),SottocategorieUscite[[#Headers],[Fuori Casa]],IF(OR(H184=$C$5,H184=$C$6,H184=$C$7,H184=$C$8,H184=$C$9,H184=$C$10,H184=$C$11,H184=$C$12,H184=$C$13,H184=$C$14),SottocategorieUscite[[#Headers],[Varie Uscite]],IF(OR(H184=$D$5,H184=$D$6,H184=$D$7,H184=$D$8,H184=$D$9,H184=$D$10,H184=$D$11,H184=$D$12,H184=$D$13,H184=$D$14),SottocategorieUscite[[#Headers],[Personali]],IF(OR(H184=$E$5,H184=$E$6,H184=$E$7,H184=$E$8,H184=$E$9,H184=$E$10,H184=$E$11,H184=$E$12,H184=$E$13,H184=$E$14),SottocategorieUscite[[#Headers],[Lavoro]],IF(OR(H184=$F$5,H184=$F$6,H184=$F$7,H184=$F$8,H184=$F$9,H184=$F$10,H184=$F$11,H184=$F$12,H184=$F$13,H184=$F$14),SottocategorieUscite[[#Headers],[Casa]],IF(OR(H184=$G$5,H184=$G$6,H184=$G$7,H184=$G$8,H184=$G$9,H184=$G$10,H184=$G$11,H184=$G$12,H184=$G$13,H184=$G$14),SottocategorieUscite[[#Headers],[Utenze]],IF(OR(H184=$H$5,H184=$H$6,H184=$H$7,H184=$H$8,H184=$H$9,H184=$H$10,H184=$H$11,H184=$H$12,H184=$H$13,H184=$H$14),SottocategorieUscite[[#Headers],[Business Uscite]],IF(OR(H184=$I$5,H184=$I$6,H184=$I$7,H184=$I$8,H184=$I$9,H184=$I$10,H184=$I$11,H184=$I$12,H184=$I$13,H184=$I$14),SottocategorieUscite[[#Headers],[Banca]],IF(OR(H184=K$5,H184=K$6,H184=K$7,H184=K$8,H184=K$9,H184=K$10,H184=K$11,H184=K$12,H184=K$13,H184=K$14),SottocategorieEntrate[[#Headers],[Business Entrate]],IF(OR(H184=L$5,H184=L$6,H184=L$7,H184=L$8,H184=L$9,H184=L$10,H184=L$11,H184=L$12,H184=L$13,H184=L$14),SottocategorieEntrate[[#Headers],[Varie Entrate]],IF(OR(H184=M$5,H184=M$6,H184=M$7,H184=M$8,H184=M$9,H184=M$10,H184=M$11,H184=M$12,H184=M$13,H184=M$14),SottocategorieEntrate[[#Headers],[Real Estate]],IF(OR(H184=N$5,H184=N$6,H184=N$7,H184=N$8,H184=N$9,H184=N$10,H184=N$11,H184=N$12,H184=N$13,H184=N$14),SottocategorieEntrate[[#Headers],[Other]],""))))))))))))</f>
        <v/>
      </c>
      <c r="J184" t="str">
        <f>IF(OR(Dati[[#This Row],[Categoria]]="Bollette",Dati[[#This Row],[Categoria]]="Conto &amp; Carte BNL",Dati[[#This Row],[Categoria]]="Prelievo",Dati[[#This Row],[Categoria]]="Affitto",Dati[[#This Row],[Categoria]]="BNL(Interessi Creditori)"),"Carta",IF(Dati[[#This Row],[Categoria]]&lt;&gt;0,"Cash",""))</f>
        <v/>
      </c>
      <c r="K184" s="59" t="str">
        <f>IF(OR(Data!$I184=SottocategorieUscite[[#Headers],[Fuori Casa]],Data!$I184=SottocategorieUscite[[#Headers],[Varie Uscite]],Data!$I184=SottocategorieUscite[[#Headers],[Personali]],Data!$I184=SottocategorieUscite[[#Headers],[Lavoro]]),"$ -","")</f>
        <v/>
      </c>
      <c r="L184" s="59" t="str">
        <f>IF(OR(Data!$I184=SottocategorieUscite[[#Headers],[Casa]],Data!$I184=SottocategorieUscite[[#Headers],[Utenze]],Data!$I184=SottocategorieUscite[[#Headers],[Business Uscite]],Data!$I184=SottocategorieUscite[[#Headers],[Banca]]),"$ -","")</f>
        <v/>
      </c>
      <c r="M184" s="59" t="str">
        <f>IF(OR($I184&lt;&gt;SottocategorieUscite[[#Headers],[Fuori Casa]],$I184&lt;&gt;SottocategorieUscite[[#Headers],[Varie Uscite]],$I184&lt;&gt;SottocategorieUscite[[#Headers],[Personali]],$I184&lt;&gt;SottocategorieUscite[[#Headers],[Lavoro]],$I184&lt;&gt;SottocategorieUscite[[#Headers],[Casa]],$I184&lt;&gt;SottocategorieUscite[[#Headers],[Utenze]],$I184&lt;&gt;SottocategorieUscite[[#Headers],[Business Uscite]],$I184&lt;&gt;SottocategorieUscite[[#Headers],[Banca]]),"","$ -")</f>
        <v/>
      </c>
      <c r="N184" s="59" t="str">
        <f>IF(OR(Data!$I184=SottocategorieEntrate[[#Headers],[Business Entrate]],Data!$I184=SottocategorieEntrate[[#Headers],[Varie Entrate]]),"$ -","")</f>
        <v/>
      </c>
      <c r="O184" s="59" t="str">
        <f>IF(OR(Data!$I184=SottocategorieEntrate[[#Headers],[Real Estate]],SottocategorieEntrate[[#Headers],[Other]]),"$ -","")</f>
        <v/>
      </c>
      <c r="P184" s="59" t="str">
        <f>IF(OR($I184&lt;&gt;SottocategorieEntrate[[#Headers],[Business Entrate]],$I184&lt;&gt;SottocategorieEntrate[[#Headers],[Varie Entrate]],$I184&lt;&gt;SottocategorieEntrate[[#Headers],[Real Estate]],$I184&lt;&gt;SottocategorieEntrate[[#Headers],[Other]]),"","$ -")</f>
        <v/>
      </c>
      <c r="Q184" s="59" t="str">
        <f>IF(Dati[[#This Row],[Categoria]]="Prelievo","€ -","")</f>
        <v/>
      </c>
      <c r="R184" s="244" t="str">
        <f t="shared" ca="1" si="8"/>
        <v/>
      </c>
      <c r="S184" s="59" t="str">
        <f>IF(Dati[[#This Row],[Categoria]]="Savings",0,"")</f>
        <v/>
      </c>
      <c r="T184" s="59"/>
      <c r="U184" s="59"/>
      <c r="V184" s="59"/>
      <c r="W184" s="59"/>
      <c r="X184" s="59"/>
      <c r="Y184" s="59"/>
      <c r="Z184" s="59"/>
      <c r="AA184" s="59"/>
      <c r="AB184" s="59"/>
      <c r="AC184" s="59"/>
      <c r="AD184" s="59"/>
      <c r="AE184" s="59"/>
      <c r="AF184" s="59"/>
      <c r="AG184" s="59"/>
      <c r="AH184" s="59"/>
      <c r="AI184" s="59" t="str">
        <f>IF(SUM(Dati[[#This Row],[Inv. Business]:[Inv. Cryptocurrency]])=0," ",SUM(Dati[[#This Row],[Inv. Business]:[Inv. Cryptocurrency]]))</f>
        <v xml:space="preserve"> </v>
      </c>
      <c r="AJ184" s="59"/>
      <c r="AK184" s="59" t="str">
        <f>IF(SUM(Dati[[#This Row],[Inv. Gold]:[Mutuo]])=0," ",SUM(Dati[[#This Row],[Inv. Gold]:[Mutuo]]))</f>
        <v xml:space="preserve"> </v>
      </c>
      <c r="AL184" s="59"/>
      <c r="AM184" s="59"/>
    </row>
    <row r="185" spans="2:39" ht="16" customHeight="1" x14ac:dyDescent="0.35">
      <c r="B185">
        <f t="shared" si="6"/>
        <v>165</v>
      </c>
      <c r="C185" s="49">
        <f t="shared" si="7"/>
        <v>45091</v>
      </c>
      <c r="D185" s="29">
        <f>DAY(Dati[[#This Row],[Data]])</f>
        <v>14</v>
      </c>
      <c r="E185" s="29" t="str">
        <f>IF(DAY(Data!$C$21:$C$1327)&gt;0,TEXT(Data!$C$21:$C$1327, "mmmm"),"")</f>
        <v>giugno</v>
      </c>
      <c r="F185" s="29" t="str">
        <f>IF(DAY(Data!$C$21:$C$1327)&gt;0,TEXT(Data!$C$21:$C$1327, "aaaa"),"")</f>
        <v>2023</v>
      </c>
      <c r="I185" t="str">
        <f>IF(OR(H185=$B$5,H185=$B$6,H185=$B$7,H185=$B$8,H185=$B$9,H185=$B$10,H185=$B$11,H185=$B$12,H185=$B$13,H185=$B$14),SottocategorieUscite[[#Headers],[Fuori Casa]],IF(OR(H185=$C$5,H185=$C$6,H185=$C$7,H185=$C$8,H185=$C$9,H185=$C$10,H185=$C$11,H185=$C$12,H185=$C$13,H185=$C$14),SottocategorieUscite[[#Headers],[Varie Uscite]],IF(OR(H185=$D$5,H185=$D$6,H185=$D$7,H185=$D$8,H185=$D$9,H185=$D$10,H185=$D$11,H185=$D$12,H185=$D$13,H185=$D$14),SottocategorieUscite[[#Headers],[Personali]],IF(OR(H185=$E$5,H185=$E$6,H185=$E$7,H185=$E$8,H185=$E$9,H185=$E$10,H185=$E$11,H185=$E$12,H185=$E$13,H185=$E$14),SottocategorieUscite[[#Headers],[Lavoro]],IF(OR(H185=$F$5,H185=$F$6,H185=$F$7,H185=$F$8,H185=$F$9,H185=$F$10,H185=$F$11,H185=$F$12,H185=$F$13,H185=$F$14),SottocategorieUscite[[#Headers],[Casa]],IF(OR(H185=$G$5,H185=$G$6,H185=$G$7,H185=$G$8,H185=$G$9,H185=$G$10,H185=$G$11,H185=$G$12,H185=$G$13,H185=$G$14),SottocategorieUscite[[#Headers],[Utenze]],IF(OR(H185=$H$5,H185=$H$6,H185=$H$7,H185=$H$8,H185=$H$9,H185=$H$10,H185=$H$11,H185=$H$12,H185=$H$13,H185=$H$14),SottocategorieUscite[[#Headers],[Business Uscite]],IF(OR(H185=$I$5,H185=$I$6,H185=$I$7,H185=$I$8,H185=$I$9,H185=$I$10,H185=$I$11,H185=$I$12,H185=$I$13,H185=$I$14),SottocategorieUscite[[#Headers],[Banca]],IF(OR(H185=K$5,H185=K$6,H185=K$7,H185=K$8,H185=K$9,H185=K$10,H185=K$11,H185=K$12,H185=K$13,H185=K$14),SottocategorieEntrate[[#Headers],[Business Entrate]],IF(OR(H185=L$5,H185=L$6,H185=L$7,H185=L$8,H185=L$9,H185=L$10,H185=L$11,H185=L$12,H185=L$13,H185=L$14),SottocategorieEntrate[[#Headers],[Varie Entrate]],IF(OR(H185=M$5,H185=M$6,H185=M$7,H185=M$8,H185=M$9,H185=M$10,H185=M$11,H185=M$12,H185=M$13,H185=M$14),SottocategorieEntrate[[#Headers],[Real Estate]],IF(OR(H185=N$5,H185=N$6,H185=N$7,H185=N$8,H185=N$9,H185=N$10,H185=N$11,H185=N$12,H185=N$13,H185=N$14),SottocategorieEntrate[[#Headers],[Other]],""))))))))))))</f>
        <v/>
      </c>
      <c r="J185" t="str">
        <f>IF(OR(Dati[[#This Row],[Categoria]]="Bollette",Dati[[#This Row],[Categoria]]="Conto &amp; Carte BNL",Dati[[#This Row],[Categoria]]="Prelievo",Dati[[#This Row],[Categoria]]="Affitto",Dati[[#This Row],[Categoria]]="BNL(Interessi Creditori)"),"Carta",IF(Dati[[#This Row],[Categoria]]&lt;&gt;0,"Cash",""))</f>
        <v/>
      </c>
      <c r="K185" s="59" t="str">
        <f>IF(OR(Data!$I185=SottocategorieUscite[[#Headers],[Fuori Casa]],Data!$I185=SottocategorieUscite[[#Headers],[Varie Uscite]],Data!$I185=SottocategorieUscite[[#Headers],[Personali]],Data!$I185=SottocategorieUscite[[#Headers],[Lavoro]]),"$ -","")</f>
        <v/>
      </c>
      <c r="L185" s="59" t="str">
        <f>IF(OR(Data!$I185=SottocategorieUscite[[#Headers],[Casa]],Data!$I185=SottocategorieUscite[[#Headers],[Utenze]],Data!$I185=SottocategorieUscite[[#Headers],[Business Uscite]],Data!$I185=SottocategorieUscite[[#Headers],[Banca]]),"$ -","")</f>
        <v/>
      </c>
      <c r="M185" s="59" t="str">
        <f>IF(OR($I185&lt;&gt;SottocategorieUscite[[#Headers],[Fuori Casa]],$I185&lt;&gt;SottocategorieUscite[[#Headers],[Varie Uscite]],$I185&lt;&gt;SottocategorieUscite[[#Headers],[Personali]],$I185&lt;&gt;SottocategorieUscite[[#Headers],[Lavoro]],$I185&lt;&gt;SottocategorieUscite[[#Headers],[Casa]],$I185&lt;&gt;SottocategorieUscite[[#Headers],[Utenze]],$I185&lt;&gt;SottocategorieUscite[[#Headers],[Business Uscite]],$I185&lt;&gt;SottocategorieUscite[[#Headers],[Banca]]),"","$ -")</f>
        <v/>
      </c>
      <c r="N185" s="59" t="str">
        <f>IF(OR(Data!$I185=SottocategorieEntrate[[#Headers],[Business Entrate]],Data!$I185=SottocategorieEntrate[[#Headers],[Varie Entrate]]),"$ -","")</f>
        <v/>
      </c>
      <c r="O185" s="59" t="str">
        <f>IF(OR(Data!$I185=SottocategorieEntrate[[#Headers],[Real Estate]],SottocategorieEntrate[[#Headers],[Other]]),"$ -","")</f>
        <v/>
      </c>
      <c r="P185" s="59" t="str">
        <f>IF(OR($I185&lt;&gt;SottocategorieEntrate[[#Headers],[Business Entrate]],$I185&lt;&gt;SottocategorieEntrate[[#Headers],[Varie Entrate]],$I185&lt;&gt;SottocategorieEntrate[[#Headers],[Real Estate]],$I185&lt;&gt;SottocategorieEntrate[[#Headers],[Other]]),"","$ -")</f>
        <v/>
      </c>
      <c r="Q185" s="59" t="str">
        <f>IF(Dati[[#This Row],[Categoria]]="Prelievo","€ -","")</f>
        <v/>
      </c>
      <c r="R185" s="244" t="str">
        <f t="shared" ca="1" si="8"/>
        <v/>
      </c>
      <c r="S185" s="59" t="str">
        <f>IF(Dati[[#This Row],[Categoria]]="Savings",0,"")</f>
        <v/>
      </c>
      <c r="T185" s="59"/>
      <c r="U185" s="59"/>
      <c r="V185" s="59"/>
      <c r="W185" s="59"/>
      <c r="X185" s="59"/>
      <c r="Y185" s="59"/>
      <c r="Z185" s="59"/>
      <c r="AA185" s="59"/>
      <c r="AB185" s="59"/>
      <c r="AC185" s="59"/>
      <c r="AD185" s="59"/>
      <c r="AE185" s="59"/>
      <c r="AF185" s="59"/>
      <c r="AG185" s="59"/>
      <c r="AH185" s="59"/>
      <c r="AI185" s="59" t="str">
        <f>IF(SUM(Dati[[#This Row],[Inv. Business]:[Inv. Cryptocurrency]])=0," ",SUM(Dati[[#This Row],[Inv. Business]:[Inv. Cryptocurrency]]))</f>
        <v xml:space="preserve"> </v>
      </c>
      <c r="AJ185" s="59"/>
      <c r="AK185" s="59" t="str">
        <f>IF(SUM(Dati[[#This Row],[Inv. Gold]:[Mutuo]])=0," ",SUM(Dati[[#This Row],[Inv. Gold]:[Mutuo]]))</f>
        <v xml:space="preserve"> </v>
      </c>
      <c r="AL185" s="59"/>
      <c r="AM185" s="59"/>
    </row>
    <row r="186" spans="2:39" ht="16" customHeight="1" x14ac:dyDescent="0.35">
      <c r="B186">
        <f t="shared" si="6"/>
        <v>166</v>
      </c>
      <c r="C186" s="49">
        <f t="shared" si="7"/>
        <v>45092</v>
      </c>
      <c r="D186" s="29">
        <f>DAY(Dati[[#This Row],[Data]])</f>
        <v>15</v>
      </c>
      <c r="E186" s="29" t="str">
        <f>IF(DAY(Data!$C$21:$C$1327)&gt;0,TEXT(Data!$C$21:$C$1327, "mmmm"),"")</f>
        <v>giugno</v>
      </c>
      <c r="F186" s="29" t="str">
        <f>IF(DAY(Data!$C$21:$C$1327)&gt;0,TEXT(Data!$C$21:$C$1327, "aaaa"),"")</f>
        <v>2023</v>
      </c>
      <c r="I186" t="str">
        <f>IF(OR(H186=$B$5,H186=$B$6,H186=$B$7,H186=$B$8,H186=$B$9,H186=$B$10,H186=$B$11,H186=$B$12,H186=$B$13,H186=$B$14),SottocategorieUscite[[#Headers],[Fuori Casa]],IF(OR(H186=$C$5,H186=$C$6,H186=$C$7,H186=$C$8,H186=$C$9,H186=$C$10,H186=$C$11,H186=$C$12,H186=$C$13,H186=$C$14),SottocategorieUscite[[#Headers],[Varie Uscite]],IF(OR(H186=$D$5,H186=$D$6,H186=$D$7,H186=$D$8,H186=$D$9,H186=$D$10,H186=$D$11,H186=$D$12,H186=$D$13,H186=$D$14),SottocategorieUscite[[#Headers],[Personali]],IF(OR(H186=$E$5,H186=$E$6,H186=$E$7,H186=$E$8,H186=$E$9,H186=$E$10,H186=$E$11,H186=$E$12,H186=$E$13,H186=$E$14),SottocategorieUscite[[#Headers],[Lavoro]],IF(OR(H186=$F$5,H186=$F$6,H186=$F$7,H186=$F$8,H186=$F$9,H186=$F$10,H186=$F$11,H186=$F$12,H186=$F$13,H186=$F$14),SottocategorieUscite[[#Headers],[Casa]],IF(OR(H186=$G$5,H186=$G$6,H186=$G$7,H186=$G$8,H186=$G$9,H186=$G$10,H186=$G$11,H186=$G$12,H186=$G$13,H186=$G$14),SottocategorieUscite[[#Headers],[Utenze]],IF(OR(H186=$H$5,H186=$H$6,H186=$H$7,H186=$H$8,H186=$H$9,H186=$H$10,H186=$H$11,H186=$H$12,H186=$H$13,H186=$H$14),SottocategorieUscite[[#Headers],[Business Uscite]],IF(OR(H186=$I$5,H186=$I$6,H186=$I$7,H186=$I$8,H186=$I$9,H186=$I$10,H186=$I$11,H186=$I$12,H186=$I$13,H186=$I$14),SottocategorieUscite[[#Headers],[Banca]],IF(OR(H186=K$5,H186=K$6,H186=K$7,H186=K$8,H186=K$9,H186=K$10,H186=K$11,H186=K$12,H186=K$13,H186=K$14),SottocategorieEntrate[[#Headers],[Business Entrate]],IF(OR(H186=L$5,H186=L$6,H186=L$7,H186=L$8,H186=L$9,H186=L$10,H186=L$11,H186=L$12,H186=L$13,H186=L$14),SottocategorieEntrate[[#Headers],[Varie Entrate]],IF(OR(H186=M$5,H186=M$6,H186=M$7,H186=M$8,H186=M$9,H186=M$10,H186=M$11,H186=M$12,H186=M$13,H186=M$14),SottocategorieEntrate[[#Headers],[Real Estate]],IF(OR(H186=N$5,H186=N$6,H186=N$7,H186=N$8,H186=N$9,H186=N$10,H186=N$11,H186=N$12,H186=N$13,H186=N$14),SottocategorieEntrate[[#Headers],[Other]],""))))))))))))</f>
        <v/>
      </c>
      <c r="J186" t="str">
        <f>IF(OR(Dati[[#This Row],[Categoria]]="Bollette",Dati[[#This Row],[Categoria]]="Conto &amp; Carte BNL",Dati[[#This Row],[Categoria]]="Prelievo",Dati[[#This Row],[Categoria]]="Affitto",Dati[[#This Row],[Categoria]]="BNL(Interessi Creditori)"),"Carta",IF(Dati[[#This Row],[Categoria]]&lt;&gt;0,"Cash",""))</f>
        <v/>
      </c>
      <c r="K186" s="59" t="str">
        <f>IF(OR(Data!$I186=SottocategorieUscite[[#Headers],[Fuori Casa]],Data!$I186=SottocategorieUscite[[#Headers],[Varie Uscite]],Data!$I186=SottocategorieUscite[[#Headers],[Personali]],Data!$I186=SottocategorieUscite[[#Headers],[Lavoro]]),"$ -","")</f>
        <v/>
      </c>
      <c r="L186" s="59" t="str">
        <f>IF(OR(Data!$I186=SottocategorieUscite[[#Headers],[Casa]],Data!$I186=SottocategorieUscite[[#Headers],[Utenze]],Data!$I186=SottocategorieUscite[[#Headers],[Business Uscite]],Data!$I186=SottocategorieUscite[[#Headers],[Banca]]),"$ -","")</f>
        <v/>
      </c>
      <c r="M186" s="59" t="str">
        <f>IF(OR($I186&lt;&gt;SottocategorieUscite[[#Headers],[Fuori Casa]],$I186&lt;&gt;SottocategorieUscite[[#Headers],[Varie Uscite]],$I186&lt;&gt;SottocategorieUscite[[#Headers],[Personali]],$I186&lt;&gt;SottocategorieUscite[[#Headers],[Lavoro]],$I186&lt;&gt;SottocategorieUscite[[#Headers],[Casa]],$I186&lt;&gt;SottocategorieUscite[[#Headers],[Utenze]],$I186&lt;&gt;SottocategorieUscite[[#Headers],[Business Uscite]],$I186&lt;&gt;SottocategorieUscite[[#Headers],[Banca]]),"","$ -")</f>
        <v/>
      </c>
      <c r="N186" s="59" t="str">
        <f>IF(OR(Data!$I186=SottocategorieEntrate[[#Headers],[Business Entrate]],Data!$I186=SottocategorieEntrate[[#Headers],[Varie Entrate]]),"$ -","")</f>
        <v/>
      </c>
      <c r="O186" s="59" t="str">
        <f>IF(OR(Data!$I186=SottocategorieEntrate[[#Headers],[Real Estate]],SottocategorieEntrate[[#Headers],[Other]]),"$ -","")</f>
        <v/>
      </c>
      <c r="P186" s="59" t="str">
        <f>IF(OR($I186&lt;&gt;SottocategorieEntrate[[#Headers],[Business Entrate]],$I186&lt;&gt;SottocategorieEntrate[[#Headers],[Varie Entrate]],$I186&lt;&gt;SottocategorieEntrate[[#Headers],[Real Estate]],$I186&lt;&gt;SottocategorieEntrate[[#Headers],[Other]]),"","$ -")</f>
        <v/>
      </c>
      <c r="Q186" s="59" t="str">
        <f>IF(Dati[[#This Row],[Categoria]]="Prelievo","€ -","")</f>
        <v/>
      </c>
      <c r="R186" s="244" t="str">
        <f t="shared" ca="1" si="8"/>
        <v/>
      </c>
      <c r="S186" s="59" t="str">
        <f>IF(Dati[[#This Row],[Categoria]]="Savings",0,"")</f>
        <v/>
      </c>
      <c r="T186" s="59"/>
      <c r="U186" s="59"/>
      <c r="V186" s="59"/>
      <c r="W186" s="59"/>
      <c r="X186" s="59"/>
      <c r="Y186" s="59"/>
      <c r="Z186" s="59"/>
      <c r="AA186" s="59"/>
      <c r="AB186" s="59"/>
      <c r="AC186" s="59"/>
      <c r="AD186" s="59"/>
      <c r="AE186" s="59"/>
      <c r="AF186" s="59"/>
      <c r="AG186" s="59"/>
      <c r="AH186" s="59"/>
      <c r="AI186" s="59" t="str">
        <f>IF(SUM(Dati[[#This Row],[Inv. Business]:[Inv. Cryptocurrency]])=0," ",SUM(Dati[[#This Row],[Inv. Business]:[Inv. Cryptocurrency]]))</f>
        <v xml:space="preserve"> </v>
      </c>
      <c r="AJ186" s="59"/>
      <c r="AK186" s="59" t="str">
        <f>IF(SUM(Dati[[#This Row],[Inv. Gold]:[Mutuo]])=0," ",SUM(Dati[[#This Row],[Inv. Gold]:[Mutuo]]))</f>
        <v xml:space="preserve"> </v>
      </c>
      <c r="AL186" s="59"/>
      <c r="AM186" s="59"/>
    </row>
    <row r="187" spans="2:39" ht="16" customHeight="1" x14ac:dyDescent="0.35">
      <c r="B187">
        <f t="shared" si="6"/>
        <v>167</v>
      </c>
      <c r="C187" s="49">
        <f t="shared" si="7"/>
        <v>45093</v>
      </c>
      <c r="D187" s="29">
        <f>DAY(Dati[[#This Row],[Data]])</f>
        <v>16</v>
      </c>
      <c r="E187" s="29" t="str">
        <f>IF(DAY(Data!$C$21:$C$1327)&gt;0,TEXT(Data!$C$21:$C$1327, "mmmm"),"")</f>
        <v>giugno</v>
      </c>
      <c r="F187" s="29" t="str">
        <f>IF(DAY(Data!$C$21:$C$1327)&gt;0,TEXT(Data!$C$21:$C$1327, "aaaa"),"")</f>
        <v>2023</v>
      </c>
      <c r="I187" t="str">
        <f>IF(OR(H187=$B$5,H187=$B$6,H187=$B$7,H187=$B$8,H187=$B$9,H187=$B$10,H187=$B$11,H187=$B$12,H187=$B$13,H187=$B$14),SottocategorieUscite[[#Headers],[Fuori Casa]],IF(OR(H187=$C$5,H187=$C$6,H187=$C$7,H187=$C$8,H187=$C$9,H187=$C$10,H187=$C$11,H187=$C$12,H187=$C$13,H187=$C$14),SottocategorieUscite[[#Headers],[Varie Uscite]],IF(OR(H187=$D$5,H187=$D$6,H187=$D$7,H187=$D$8,H187=$D$9,H187=$D$10,H187=$D$11,H187=$D$12,H187=$D$13,H187=$D$14),SottocategorieUscite[[#Headers],[Personali]],IF(OR(H187=$E$5,H187=$E$6,H187=$E$7,H187=$E$8,H187=$E$9,H187=$E$10,H187=$E$11,H187=$E$12,H187=$E$13,H187=$E$14),SottocategorieUscite[[#Headers],[Lavoro]],IF(OR(H187=$F$5,H187=$F$6,H187=$F$7,H187=$F$8,H187=$F$9,H187=$F$10,H187=$F$11,H187=$F$12,H187=$F$13,H187=$F$14),SottocategorieUscite[[#Headers],[Casa]],IF(OR(H187=$G$5,H187=$G$6,H187=$G$7,H187=$G$8,H187=$G$9,H187=$G$10,H187=$G$11,H187=$G$12,H187=$G$13,H187=$G$14),SottocategorieUscite[[#Headers],[Utenze]],IF(OR(H187=$H$5,H187=$H$6,H187=$H$7,H187=$H$8,H187=$H$9,H187=$H$10,H187=$H$11,H187=$H$12,H187=$H$13,H187=$H$14),SottocategorieUscite[[#Headers],[Business Uscite]],IF(OR(H187=$I$5,H187=$I$6,H187=$I$7,H187=$I$8,H187=$I$9,H187=$I$10,H187=$I$11,H187=$I$12,H187=$I$13,H187=$I$14),SottocategorieUscite[[#Headers],[Banca]],IF(OR(H187=K$5,H187=K$6,H187=K$7,H187=K$8,H187=K$9,H187=K$10,H187=K$11,H187=K$12,H187=K$13,H187=K$14),SottocategorieEntrate[[#Headers],[Business Entrate]],IF(OR(H187=L$5,H187=L$6,H187=L$7,H187=L$8,H187=L$9,H187=L$10,H187=L$11,H187=L$12,H187=L$13,H187=L$14),SottocategorieEntrate[[#Headers],[Varie Entrate]],IF(OR(H187=M$5,H187=M$6,H187=M$7,H187=M$8,H187=M$9,H187=M$10,H187=M$11,H187=M$12,H187=M$13,H187=M$14),SottocategorieEntrate[[#Headers],[Real Estate]],IF(OR(H187=N$5,H187=N$6,H187=N$7,H187=N$8,H187=N$9,H187=N$10,H187=N$11,H187=N$12,H187=N$13,H187=N$14),SottocategorieEntrate[[#Headers],[Other]],""))))))))))))</f>
        <v/>
      </c>
      <c r="J187" t="str">
        <f>IF(OR(Dati[[#This Row],[Categoria]]="Bollette",Dati[[#This Row],[Categoria]]="Conto &amp; Carte BNL",Dati[[#This Row],[Categoria]]="Prelievo",Dati[[#This Row],[Categoria]]="Affitto",Dati[[#This Row],[Categoria]]="BNL(Interessi Creditori)"),"Carta",IF(Dati[[#This Row],[Categoria]]&lt;&gt;0,"Cash",""))</f>
        <v/>
      </c>
      <c r="K187" s="59" t="str">
        <f>IF(OR(Data!$I187=SottocategorieUscite[[#Headers],[Fuori Casa]],Data!$I187=SottocategorieUscite[[#Headers],[Varie Uscite]],Data!$I187=SottocategorieUscite[[#Headers],[Personali]],Data!$I187=SottocategorieUscite[[#Headers],[Lavoro]]),"$ -","")</f>
        <v/>
      </c>
      <c r="L187" s="59" t="str">
        <f>IF(OR(Data!$I187=SottocategorieUscite[[#Headers],[Casa]],Data!$I187=SottocategorieUscite[[#Headers],[Utenze]],Data!$I187=SottocategorieUscite[[#Headers],[Business Uscite]],Data!$I187=SottocategorieUscite[[#Headers],[Banca]]),"$ -","")</f>
        <v/>
      </c>
      <c r="M187" s="59" t="str">
        <f>IF(OR($I187&lt;&gt;SottocategorieUscite[[#Headers],[Fuori Casa]],$I187&lt;&gt;SottocategorieUscite[[#Headers],[Varie Uscite]],$I187&lt;&gt;SottocategorieUscite[[#Headers],[Personali]],$I187&lt;&gt;SottocategorieUscite[[#Headers],[Lavoro]],$I187&lt;&gt;SottocategorieUscite[[#Headers],[Casa]],$I187&lt;&gt;SottocategorieUscite[[#Headers],[Utenze]],$I187&lt;&gt;SottocategorieUscite[[#Headers],[Business Uscite]],$I187&lt;&gt;SottocategorieUscite[[#Headers],[Banca]]),"","$ -")</f>
        <v/>
      </c>
      <c r="N187" s="59" t="str">
        <f>IF(OR(Data!$I187=SottocategorieEntrate[[#Headers],[Business Entrate]],Data!$I187=SottocategorieEntrate[[#Headers],[Varie Entrate]]),"$ -","")</f>
        <v/>
      </c>
      <c r="O187" s="59" t="str">
        <f>IF(OR(Data!$I187=SottocategorieEntrate[[#Headers],[Real Estate]],SottocategorieEntrate[[#Headers],[Other]]),"$ -","")</f>
        <v/>
      </c>
      <c r="P187" s="59" t="str">
        <f>IF(OR($I187&lt;&gt;SottocategorieEntrate[[#Headers],[Business Entrate]],$I187&lt;&gt;SottocategorieEntrate[[#Headers],[Varie Entrate]],$I187&lt;&gt;SottocategorieEntrate[[#Headers],[Real Estate]],$I187&lt;&gt;SottocategorieEntrate[[#Headers],[Other]]),"","$ -")</f>
        <v/>
      </c>
      <c r="Q187" s="59" t="str">
        <f>IF(Dati[[#This Row],[Categoria]]="Prelievo","€ -","")</f>
        <v/>
      </c>
      <c r="R187" s="244" t="str">
        <f t="shared" ca="1" si="8"/>
        <v/>
      </c>
      <c r="S187" s="59" t="str">
        <f>IF(Dati[[#This Row],[Categoria]]="Savings",0,"")</f>
        <v/>
      </c>
      <c r="T187" s="59"/>
      <c r="U187" s="59"/>
      <c r="V187" s="59"/>
      <c r="W187" s="59"/>
      <c r="X187" s="59"/>
      <c r="Y187" s="59"/>
      <c r="Z187" s="59"/>
      <c r="AA187" s="59"/>
      <c r="AB187" s="59"/>
      <c r="AC187" s="59"/>
      <c r="AD187" s="59"/>
      <c r="AE187" s="59"/>
      <c r="AF187" s="59"/>
      <c r="AG187" s="59"/>
      <c r="AH187" s="59"/>
      <c r="AI187" s="59" t="str">
        <f>IF(SUM(Dati[[#This Row],[Inv. Business]:[Inv. Cryptocurrency]])=0," ",SUM(Dati[[#This Row],[Inv. Business]:[Inv. Cryptocurrency]]))</f>
        <v xml:space="preserve"> </v>
      </c>
      <c r="AJ187" s="59"/>
      <c r="AK187" s="59" t="str">
        <f>IF(SUM(Dati[[#This Row],[Inv. Gold]:[Mutuo]])=0," ",SUM(Dati[[#This Row],[Inv. Gold]:[Mutuo]]))</f>
        <v xml:space="preserve"> </v>
      </c>
      <c r="AL187" s="59"/>
      <c r="AM187" s="59"/>
    </row>
    <row r="188" spans="2:39" ht="16" customHeight="1" x14ac:dyDescent="0.35">
      <c r="B188">
        <f t="shared" si="6"/>
        <v>168</v>
      </c>
      <c r="C188" s="49">
        <f t="shared" si="7"/>
        <v>45094</v>
      </c>
      <c r="D188" s="29">
        <f>DAY(Dati[[#This Row],[Data]])</f>
        <v>17</v>
      </c>
      <c r="E188" s="29" t="str">
        <f>IF(DAY(Data!$C$21:$C$1327)&gt;0,TEXT(Data!$C$21:$C$1327, "mmmm"),"")</f>
        <v>giugno</v>
      </c>
      <c r="F188" s="29" t="str">
        <f>IF(DAY(Data!$C$21:$C$1327)&gt;0,TEXT(Data!$C$21:$C$1327, "aaaa"),"")</f>
        <v>2023</v>
      </c>
      <c r="I188" t="str">
        <f>IF(OR(H188=$B$5,H188=$B$6,H188=$B$7,H188=$B$8,H188=$B$9,H188=$B$10,H188=$B$11,H188=$B$12,H188=$B$13,H188=$B$14),SottocategorieUscite[[#Headers],[Fuori Casa]],IF(OR(H188=$C$5,H188=$C$6,H188=$C$7,H188=$C$8,H188=$C$9,H188=$C$10,H188=$C$11,H188=$C$12,H188=$C$13,H188=$C$14),SottocategorieUscite[[#Headers],[Varie Uscite]],IF(OR(H188=$D$5,H188=$D$6,H188=$D$7,H188=$D$8,H188=$D$9,H188=$D$10,H188=$D$11,H188=$D$12,H188=$D$13,H188=$D$14),SottocategorieUscite[[#Headers],[Personali]],IF(OR(H188=$E$5,H188=$E$6,H188=$E$7,H188=$E$8,H188=$E$9,H188=$E$10,H188=$E$11,H188=$E$12,H188=$E$13,H188=$E$14),SottocategorieUscite[[#Headers],[Lavoro]],IF(OR(H188=$F$5,H188=$F$6,H188=$F$7,H188=$F$8,H188=$F$9,H188=$F$10,H188=$F$11,H188=$F$12,H188=$F$13,H188=$F$14),SottocategorieUscite[[#Headers],[Casa]],IF(OR(H188=$G$5,H188=$G$6,H188=$G$7,H188=$G$8,H188=$G$9,H188=$G$10,H188=$G$11,H188=$G$12,H188=$G$13,H188=$G$14),SottocategorieUscite[[#Headers],[Utenze]],IF(OR(H188=$H$5,H188=$H$6,H188=$H$7,H188=$H$8,H188=$H$9,H188=$H$10,H188=$H$11,H188=$H$12,H188=$H$13,H188=$H$14),SottocategorieUscite[[#Headers],[Business Uscite]],IF(OR(H188=$I$5,H188=$I$6,H188=$I$7,H188=$I$8,H188=$I$9,H188=$I$10,H188=$I$11,H188=$I$12,H188=$I$13,H188=$I$14),SottocategorieUscite[[#Headers],[Banca]],IF(OR(H188=K$5,H188=K$6,H188=K$7,H188=K$8,H188=K$9,H188=K$10,H188=K$11,H188=K$12,H188=K$13,H188=K$14),SottocategorieEntrate[[#Headers],[Business Entrate]],IF(OR(H188=L$5,H188=L$6,H188=L$7,H188=L$8,H188=L$9,H188=L$10,H188=L$11,H188=L$12,H188=L$13,H188=L$14),SottocategorieEntrate[[#Headers],[Varie Entrate]],IF(OR(H188=M$5,H188=M$6,H188=M$7,H188=M$8,H188=M$9,H188=M$10,H188=M$11,H188=M$12,H188=M$13,H188=M$14),SottocategorieEntrate[[#Headers],[Real Estate]],IF(OR(H188=N$5,H188=N$6,H188=N$7,H188=N$8,H188=N$9,H188=N$10,H188=N$11,H188=N$12,H188=N$13,H188=N$14),SottocategorieEntrate[[#Headers],[Other]],""))))))))))))</f>
        <v/>
      </c>
      <c r="J188" t="str">
        <f>IF(OR(Dati[[#This Row],[Categoria]]="Bollette",Dati[[#This Row],[Categoria]]="Conto &amp; Carte BNL",Dati[[#This Row],[Categoria]]="Prelievo",Dati[[#This Row],[Categoria]]="Affitto",Dati[[#This Row],[Categoria]]="BNL(Interessi Creditori)"),"Carta",IF(Dati[[#This Row],[Categoria]]&lt;&gt;0,"Cash",""))</f>
        <v/>
      </c>
      <c r="K188" s="59" t="str">
        <f>IF(OR(Data!$I188=SottocategorieUscite[[#Headers],[Fuori Casa]],Data!$I188=SottocategorieUscite[[#Headers],[Varie Uscite]],Data!$I188=SottocategorieUscite[[#Headers],[Personali]],Data!$I188=SottocategorieUscite[[#Headers],[Lavoro]]),"$ -","")</f>
        <v/>
      </c>
      <c r="L188" s="59" t="str">
        <f>IF(OR(Data!$I188=SottocategorieUscite[[#Headers],[Casa]],Data!$I188=SottocategorieUscite[[#Headers],[Utenze]],Data!$I188=SottocategorieUscite[[#Headers],[Business Uscite]],Data!$I188=SottocategorieUscite[[#Headers],[Banca]]),"$ -","")</f>
        <v/>
      </c>
      <c r="M188" s="59" t="str">
        <f>IF(OR($I188&lt;&gt;SottocategorieUscite[[#Headers],[Fuori Casa]],$I188&lt;&gt;SottocategorieUscite[[#Headers],[Varie Uscite]],$I188&lt;&gt;SottocategorieUscite[[#Headers],[Personali]],$I188&lt;&gt;SottocategorieUscite[[#Headers],[Lavoro]],$I188&lt;&gt;SottocategorieUscite[[#Headers],[Casa]],$I188&lt;&gt;SottocategorieUscite[[#Headers],[Utenze]],$I188&lt;&gt;SottocategorieUscite[[#Headers],[Business Uscite]],$I188&lt;&gt;SottocategorieUscite[[#Headers],[Banca]]),"","$ -")</f>
        <v/>
      </c>
      <c r="N188" s="59" t="str">
        <f>IF(OR(Data!$I188=SottocategorieEntrate[[#Headers],[Business Entrate]],Data!$I188=SottocategorieEntrate[[#Headers],[Varie Entrate]]),"$ -","")</f>
        <v/>
      </c>
      <c r="O188" s="59" t="str">
        <f>IF(OR(Data!$I188=SottocategorieEntrate[[#Headers],[Real Estate]],SottocategorieEntrate[[#Headers],[Other]]),"$ -","")</f>
        <v/>
      </c>
      <c r="P188" s="59" t="str">
        <f>IF(OR($I188&lt;&gt;SottocategorieEntrate[[#Headers],[Business Entrate]],$I188&lt;&gt;SottocategorieEntrate[[#Headers],[Varie Entrate]],$I188&lt;&gt;SottocategorieEntrate[[#Headers],[Real Estate]],$I188&lt;&gt;SottocategorieEntrate[[#Headers],[Other]]),"","$ -")</f>
        <v/>
      </c>
      <c r="Q188" s="59" t="str">
        <f>IF(Dati[[#This Row],[Categoria]]="Prelievo","€ -","")</f>
        <v/>
      </c>
      <c r="R188" s="244" t="str">
        <f t="shared" ca="1" si="8"/>
        <v/>
      </c>
      <c r="S188" s="59" t="str">
        <f>IF(Dati[[#This Row],[Categoria]]="Savings",0,"")</f>
        <v/>
      </c>
      <c r="T188" s="59"/>
      <c r="U188" s="59"/>
      <c r="V188" s="59"/>
      <c r="W188" s="59"/>
      <c r="X188" s="59"/>
      <c r="Y188" s="59"/>
      <c r="Z188" s="59"/>
      <c r="AA188" s="59"/>
      <c r="AB188" s="59"/>
      <c r="AC188" s="59"/>
      <c r="AD188" s="59"/>
      <c r="AE188" s="59"/>
      <c r="AF188" s="59"/>
      <c r="AG188" s="59"/>
      <c r="AH188" s="59"/>
      <c r="AI188" s="59" t="str">
        <f>IF(SUM(Dati[[#This Row],[Inv. Business]:[Inv. Cryptocurrency]])=0," ",SUM(Dati[[#This Row],[Inv. Business]:[Inv. Cryptocurrency]]))</f>
        <v xml:space="preserve"> </v>
      </c>
      <c r="AJ188" s="59"/>
      <c r="AK188" s="59" t="str">
        <f>IF(SUM(Dati[[#This Row],[Inv. Gold]:[Mutuo]])=0," ",SUM(Dati[[#This Row],[Inv. Gold]:[Mutuo]]))</f>
        <v xml:space="preserve"> </v>
      </c>
      <c r="AL188" s="59"/>
      <c r="AM188" s="59"/>
    </row>
    <row r="189" spans="2:39" ht="16" customHeight="1" x14ac:dyDescent="0.35">
      <c r="B189">
        <f t="shared" si="6"/>
        <v>169</v>
      </c>
      <c r="C189" s="49">
        <f t="shared" si="7"/>
        <v>45095</v>
      </c>
      <c r="D189" s="29">
        <f>DAY(Dati[[#This Row],[Data]])</f>
        <v>18</v>
      </c>
      <c r="E189" s="29" t="str">
        <f>IF(DAY(Data!$C$21:$C$1327)&gt;0,TEXT(Data!$C$21:$C$1327, "mmmm"),"")</f>
        <v>giugno</v>
      </c>
      <c r="F189" s="29" t="str">
        <f>IF(DAY(Data!$C$21:$C$1327)&gt;0,TEXT(Data!$C$21:$C$1327, "aaaa"),"")</f>
        <v>2023</v>
      </c>
      <c r="I189" t="str">
        <f>IF(OR(H189=$B$5,H189=$B$6,H189=$B$7,H189=$B$8,H189=$B$9,H189=$B$10,H189=$B$11,H189=$B$12,H189=$B$13,H189=$B$14),SottocategorieUscite[[#Headers],[Fuori Casa]],IF(OR(H189=$C$5,H189=$C$6,H189=$C$7,H189=$C$8,H189=$C$9,H189=$C$10,H189=$C$11,H189=$C$12,H189=$C$13,H189=$C$14),SottocategorieUscite[[#Headers],[Varie Uscite]],IF(OR(H189=$D$5,H189=$D$6,H189=$D$7,H189=$D$8,H189=$D$9,H189=$D$10,H189=$D$11,H189=$D$12,H189=$D$13,H189=$D$14),SottocategorieUscite[[#Headers],[Personali]],IF(OR(H189=$E$5,H189=$E$6,H189=$E$7,H189=$E$8,H189=$E$9,H189=$E$10,H189=$E$11,H189=$E$12,H189=$E$13,H189=$E$14),SottocategorieUscite[[#Headers],[Lavoro]],IF(OR(H189=$F$5,H189=$F$6,H189=$F$7,H189=$F$8,H189=$F$9,H189=$F$10,H189=$F$11,H189=$F$12,H189=$F$13,H189=$F$14),SottocategorieUscite[[#Headers],[Casa]],IF(OR(H189=$G$5,H189=$G$6,H189=$G$7,H189=$G$8,H189=$G$9,H189=$G$10,H189=$G$11,H189=$G$12,H189=$G$13,H189=$G$14),SottocategorieUscite[[#Headers],[Utenze]],IF(OR(H189=$H$5,H189=$H$6,H189=$H$7,H189=$H$8,H189=$H$9,H189=$H$10,H189=$H$11,H189=$H$12,H189=$H$13,H189=$H$14),SottocategorieUscite[[#Headers],[Business Uscite]],IF(OR(H189=$I$5,H189=$I$6,H189=$I$7,H189=$I$8,H189=$I$9,H189=$I$10,H189=$I$11,H189=$I$12,H189=$I$13,H189=$I$14),SottocategorieUscite[[#Headers],[Banca]],IF(OR(H189=K$5,H189=K$6,H189=K$7,H189=K$8,H189=K$9,H189=K$10,H189=K$11,H189=K$12,H189=K$13,H189=K$14),SottocategorieEntrate[[#Headers],[Business Entrate]],IF(OR(H189=L$5,H189=L$6,H189=L$7,H189=L$8,H189=L$9,H189=L$10,H189=L$11,H189=L$12,H189=L$13,H189=L$14),SottocategorieEntrate[[#Headers],[Varie Entrate]],IF(OR(H189=M$5,H189=M$6,H189=M$7,H189=M$8,H189=M$9,H189=M$10,H189=M$11,H189=M$12,H189=M$13,H189=M$14),SottocategorieEntrate[[#Headers],[Real Estate]],IF(OR(H189=N$5,H189=N$6,H189=N$7,H189=N$8,H189=N$9,H189=N$10,H189=N$11,H189=N$12,H189=N$13,H189=N$14),SottocategorieEntrate[[#Headers],[Other]],""))))))))))))</f>
        <v/>
      </c>
      <c r="J189" t="str">
        <f>IF(OR(Dati[[#This Row],[Categoria]]="Bollette",Dati[[#This Row],[Categoria]]="Conto &amp; Carte BNL",Dati[[#This Row],[Categoria]]="Prelievo",Dati[[#This Row],[Categoria]]="Affitto",Dati[[#This Row],[Categoria]]="BNL(Interessi Creditori)"),"Carta",IF(Dati[[#This Row],[Categoria]]&lt;&gt;0,"Cash",""))</f>
        <v/>
      </c>
      <c r="K189" s="59" t="str">
        <f>IF(OR(Data!$I189=SottocategorieUscite[[#Headers],[Fuori Casa]],Data!$I189=SottocategorieUscite[[#Headers],[Varie Uscite]],Data!$I189=SottocategorieUscite[[#Headers],[Personali]],Data!$I189=SottocategorieUscite[[#Headers],[Lavoro]]),"$ -","")</f>
        <v/>
      </c>
      <c r="L189" s="59" t="str">
        <f>IF(OR(Data!$I189=SottocategorieUscite[[#Headers],[Casa]],Data!$I189=SottocategorieUscite[[#Headers],[Utenze]],Data!$I189=SottocategorieUscite[[#Headers],[Business Uscite]],Data!$I189=SottocategorieUscite[[#Headers],[Banca]]),"$ -","")</f>
        <v/>
      </c>
      <c r="M189" s="59" t="str">
        <f>IF(OR($I189&lt;&gt;SottocategorieUscite[[#Headers],[Fuori Casa]],$I189&lt;&gt;SottocategorieUscite[[#Headers],[Varie Uscite]],$I189&lt;&gt;SottocategorieUscite[[#Headers],[Personali]],$I189&lt;&gt;SottocategorieUscite[[#Headers],[Lavoro]],$I189&lt;&gt;SottocategorieUscite[[#Headers],[Casa]],$I189&lt;&gt;SottocategorieUscite[[#Headers],[Utenze]],$I189&lt;&gt;SottocategorieUscite[[#Headers],[Business Uscite]],$I189&lt;&gt;SottocategorieUscite[[#Headers],[Banca]]),"","$ -")</f>
        <v/>
      </c>
      <c r="N189" s="59" t="str">
        <f>IF(OR(Data!$I189=SottocategorieEntrate[[#Headers],[Business Entrate]],Data!$I189=SottocategorieEntrate[[#Headers],[Varie Entrate]]),"$ -","")</f>
        <v/>
      </c>
      <c r="O189" s="59" t="str">
        <f>IF(OR(Data!$I189=SottocategorieEntrate[[#Headers],[Real Estate]],SottocategorieEntrate[[#Headers],[Other]]),"$ -","")</f>
        <v/>
      </c>
      <c r="P189" s="59" t="str">
        <f>IF(OR($I189&lt;&gt;SottocategorieEntrate[[#Headers],[Business Entrate]],$I189&lt;&gt;SottocategorieEntrate[[#Headers],[Varie Entrate]],$I189&lt;&gt;SottocategorieEntrate[[#Headers],[Real Estate]],$I189&lt;&gt;SottocategorieEntrate[[#Headers],[Other]]),"","$ -")</f>
        <v/>
      </c>
      <c r="Q189" s="59" t="str">
        <f>IF(Dati[[#This Row],[Categoria]]="Prelievo","€ -","")</f>
        <v/>
      </c>
      <c r="R189" s="244" t="str">
        <f t="shared" ca="1" si="8"/>
        <v/>
      </c>
      <c r="S189" s="59" t="str">
        <f>IF(Dati[[#This Row],[Categoria]]="Savings",0,"")</f>
        <v/>
      </c>
      <c r="T189" s="59"/>
      <c r="U189" s="59"/>
      <c r="V189" s="59"/>
      <c r="W189" s="59"/>
      <c r="X189" s="59"/>
      <c r="Y189" s="59"/>
      <c r="Z189" s="59"/>
      <c r="AA189" s="59"/>
      <c r="AB189" s="59"/>
      <c r="AC189" s="59"/>
      <c r="AD189" s="59"/>
      <c r="AE189" s="59"/>
      <c r="AF189" s="59"/>
      <c r="AG189" s="59"/>
      <c r="AH189" s="59"/>
      <c r="AI189" s="59" t="str">
        <f>IF(SUM(Dati[[#This Row],[Inv. Business]:[Inv. Cryptocurrency]])=0," ",SUM(Dati[[#This Row],[Inv. Business]:[Inv. Cryptocurrency]]))</f>
        <v xml:space="preserve"> </v>
      </c>
      <c r="AJ189" s="59"/>
      <c r="AK189" s="59" t="str">
        <f>IF(SUM(Dati[[#This Row],[Inv. Gold]:[Mutuo]])=0," ",SUM(Dati[[#This Row],[Inv. Gold]:[Mutuo]]))</f>
        <v xml:space="preserve"> </v>
      </c>
      <c r="AL189" s="59"/>
      <c r="AM189" s="59"/>
    </row>
    <row r="190" spans="2:39" ht="16" customHeight="1" x14ac:dyDescent="0.35">
      <c r="B190">
        <f t="shared" si="6"/>
        <v>170</v>
      </c>
      <c r="C190" s="49">
        <f t="shared" si="7"/>
        <v>45096</v>
      </c>
      <c r="D190" s="29">
        <f>DAY(Dati[[#This Row],[Data]])</f>
        <v>19</v>
      </c>
      <c r="E190" s="29" t="str">
        <f>IF(DAY(Data!$C$21:$C$1327)&gt;0,TEXT(Data!$C$21:$C$1327, "mmmm"),"")</f>
        <v>giugno</v>
      </c>
      <c r="F190" s="29" t="str">
        <f>IF(DAY(Data!$C$21:$C$1327)&gt;0,TEXT(Data!$C$21:$C$1327, "aaaa"),"")</f>
        <v>2023</v>
      </c>
      <c r="I190" t="str">
        <f>IF(OR(H190=$B$5,H190=$B$6,H190=$B$7,H190=$B$8,H190=$B$9,H190=$B$10,H190=$B$11,H190=$B$12,H190=$B$13,H190=$B$14),SottocategorieUscite[[#Headers],[Fuori Casa]],IF(OR(H190=$C$5,H190=$C$6,H190=$C$7,H190=$C$8,H190=$C$9,H190=$C$10,H190=$C$11,H190=$C$12,H190=$C$13,H190=$C$14),SottocategorieUscite[[#Headers],[Varie Uscite]],IF(OR(H190=$D$5,H190=$D$6,H190=$D$7,H190=$D$8,H190=$D$9,H190=$D$10,H190=$D$11,H190=$D$12,H190=$D$13,H190=$D$14),SottocategorieUscite[[#Headers],[Personali]],IF(OR(H190=$E$5,H190=$E$6,H190=$E$7,H190=$E$8,H190=$E$9,H190=$E$10,H190=$E$11,H190=$E$12,H190=$E$13,H190=$E$14),SottocategorieUscite[[#Headers],[Lavoro]],IF(OR(H190=$F$5,H190=$F$6,H190=$F$7,H190=$F$8,H190=$F$9,H190=$F$10,H190=$F$11,H190=$F$12,H190=$F$13,H190=$F$14),SottocategorieUscite[[#Headers],[Casa]],IF(OR(H190=$G$5,H190=$G$6,H190=$G$7,H190=$G$8,H190=$G$9,H190=$G$10,H190=$G$11,H190=$G$12,H190=$G$13,H190=$G$14),SottocategorieUscite[[#Headers],[Utenze]],IF(OR(H190=$H$5,H190=$H$6,H190=$H$7,H190=$H$8,H190=$H$9,H190=$H$10,H190=$H$11,H190=$H$12,H190=$H$13,H190=$H$14),SottocategorieUscite[[#Headers],[Business Uscite]],IF(OR(H190=$I$5,H190=$I$6,H190=$I$7,H190=$I$8,H190=$I$9,H190=$I$10,H190=$I$11,H190=$I$12,H190=$I$13,H190=$I$14),SottocategorieUscite[[#Headers],[Banca]],IF(OR(H190=K$5,H190=K$6,H190=K$7,H190=K$8,H190=K$9,H190=K$10,H190=K$11,H190=K$12,H190=K$13,H190=K$14),SottocategorieEntrate[[#Headers],[Business Entrate]],IF(OR(H190=L$5,H190=L$6,H190=L$7,H190=L$8,H190=L$9,H190=L$10,H190=L$11,H190=L$12,H190=L$13,H190=L$14),SottocategorieEntrate[[#Headers],[Varie Entrate]],IF(OR(H190=M$5,H190=M$6,H190=M$7,H190=M$8,H190=M$9,H190=M$10,H190=M$11,H190=M$12,H190=M$13,H190=M$14),SottocategorieEntrate[[#Headers],[Real Estate]],IF(OR(H190=N$5,H190=N$6,H190=N$7,H190=N$8,H190=N$9,H190=N$10,H190=N$11,H190=N$12,H190=N$13,H190=N$14),SottocategorieEntrate[[#Headers],[Other]],""))))))))))))</f>
        <v/>
      </c>
      <c r="J190" t="str">
        <f>IF(OR(Dati[[#This Row],[Categoria]]="Bollette",Dati[[#This Row],[Categoria]]="Conto &amp; Carte BNL",Dati[[#This Row],[Categoria]]="Prelievo",Dati[[#This Row],[Categoria]]="Affitto",Dati[[#This Row],[Categoria]]="BNL(Interessi Creditori)"),"Carta",IF(Dati[[#This Row],[Categoria]]&lt;&gt;0,"Cash",""))</f>
        <v/>
      </c>
      <c r="K190" s="59" t="str">
        <f>IF(OR(Data!$I190=SottocategorieUscite[[#Headers],[Fuori Casa]],Data!$I190=SottocategorieUscite[[#Headers],[Varie Uscite]],Data!$I190=SottocategorieUscite[[#Headers],[Personali]],Data!$I190=SottocategorieUscite[[#Headers],[Lavoro]]),"$ -","")</f>
        <v/>
      </c>
      <c r="L190" s="59" t="str">
        <f>IF(OR(Data!$I190=SottocategorieUscite[[#Headers],[Casa]],Data!$I190=SottocategorieUscite[[#Headers],[Utenze]],Data!$I190=SottocategorieUscite[[#Headers],[Business Uscite]],Data!$I190=SottocategorieUscite[[#Headers],[Banca]]),"$ -","")</f>
        <v/>
      </c>
      <c r="M190" s="59" t="str">
        <f>IF(OR($I190&lt;&gt;SottocategorieUscite[[#Headers],[Fuori Casa]],$I190&lt;&gt;SottocategorieUscite[[#Headers],[Varie Uscite]],$I190&lt;&gt;SottocategorieUscite[[#Headers],[Personali]],$I190&lt;&gt;SottocategorieUscite[[#Headers],[Lavoro]],$I190&lt;&gt;SottocategorieUscite[[#Headers],[Casa]],$I190&lt;&gt;SottocategorieUscite[[#Headers],[Utenze]],$I190&lt;&gt;SottocategorieUscite[[#Headers],[Business Uscite]],$I190&lt;&gt;SottocategorieUscite[[#Headers],[Banca]]),"","$ -")</f>
        <v/>
      </c>
      <c r="N190" s="59" t="str">
        <f>IF(OR(Data!$I190=SottocategorieEntrate[[#Headers],[Business Entrate]],Data!$I190=SottocategorieEntrate[[#Headers],[Varie Entrate]]),"$ -","")</f>
        <v/>
      </c>
      <c r="O190" s="59" t="str">
        <f>IF(OR(Data!$I190=SottocategorieEntrate[[#Headers],[Real Estate]],SottocategorieEntrate[[#Headers],[Other]]),"$ -","")</f>
        <v/>
      </c>
      <c r="P190" s="59" t="str">
        <f>IF(OR($I190&lt;&gt;SottocategorieEntrate[[#Headers],[Business Entrate]],$I190&lt;&gt;SottocategorieEntrate[[#Headers],[Varie Entrate]],$I190&lt;&gt;SottocategorieEntrate[[#Headers],[Real Estate]],$I190&lt;&gt;SottocategorieEntrate[[#Headers],[Other]]),"","$ -")</f>
        <v/>
      </c>
      <c r="Q190" s="59" t="str">
        <f>IF(Dati[[#This Row],[Categoria]]="Prelievo","€ -","")</f>
        <v/>
      </c>
      <c r="R190" s="244" t="str">
        <f t="shared" ca="1" si="8"/>
        <v/>
      </c>
      <c r="S190" s="59" t="str">
        <f>IF(Dati[[#This Row],[Categoria]]="Savings",0,"")</f>
        <v/>
      </c>
      <c r="T190" s="59"/>
      <c r="U190" s="59"/>
      <c r="V190" s="59"/>
      <c r="W190" s="59"/>
      <c r="X190" s="59"/>
      <c r="Y190" s="59"/>
      <c r="Z190" s="59"/>
      <c r="AA190" s="59"/>
      <c r="AB190" s="59"/>
      <c r="AC190" s="59"/>
      <c r="AD190" s="59"/>
      <c r="AE190" s="59"/>
      <c r="AF190" s="59"/>
      <c r="AG190" s="59"/>
      <c r="AH190" s="59"/>
      <c r="AI190" s="59" t="str">
        <f>IF(SUM(Dati[[#This Row],[Inv. Business]:[Inv. Cryptocurrency]])=0," ",SUM(Dati[[#This Row],[Inv. Business]:[Inv. Cryptocurrency]]))</f>
        <v xml:space="preserve"> </v>
      </c>
      <c r="AJ190" s="59"/>
      <c r="AK190" s="59" t="str">
        <f>IF(SUM(Dati[[#This Row],[Inv. Gold]:[Mutuo]])=0," ",SUM(Dati[[#This Row],[Inv. Gold]:[Mutuo]]))</f>
        <v xml:space="preserve"> </v>
      </c>
      <c r="AL190" s="59"/>
      <c r="AM190" s="59"/>
    </row>
    <row r="191" spans="2:39" ht="16" customHeight="1" x14ac:dyDescent="0.35">
      <c r="B191">
        <f t="shared" si="6"/>
        <v>171</v>
      </c>
      <c r="C191" s="49">
        <f t="shared" si="7"/>
        <v>45097</v>
      </c>
      <c r="D191" s="29">
        <f>DAY(Dati[[#This Row],[Data]])</f>
        <v>20</v>
      </c>
      <c r="E191" s="29" t="str">
        <f>IF(DAY(Data!$C$21:$C$1327)&gt;0,TEXT(Data!$C$21:$C$1327, "mmmm"),"")</f>
        <v>giugno</v>
      </c>
      <c r="F191" s="29" t="str">
        <f>IF(DAY(Data!$C$21:$C$1327)&gt;0,TEXT(Data!$C$21:$C$1327, "aaaa"),"")</f>
        <v>2023</v>
      </c>
      <c r="I191" t="str">
        <f>IF(OR(H191=$B$5,H191=$B$6,H191=$B$7,H191=$B$8,H191=$B$9,H191=$B$10,H191=$B$11,H191=$B$12,H191=$B$13,H191=$B$14),SottocategorieUscite[[#Headers],[Fuori Casa]],IF(OR(H191=$C$5,H191=$C$6,H191=$C$7,H191=$C$8,H191=$C$9,H191=$C$10,H191=$C$11,H191=$C$12,H191=$C$13,H191=$C$14),SottocategorieUscite[[#Headers],[Varie Uscite]],IF(OR(H191=$D$5,H191=$D$6,H191=$D$7,H191=$D$8,H191=$D$9,H191=$D$10,H191=$D$11,H191=$D$12,H191=$D$13,H191=$D$14),SottocategorieUscite[[#Headers],[Personali]],IF(OR(H191=$E$5,H191=$E$6,H191=$E$7,H191=$E$8,H191=$E$9,H191=$E$10,H191=$E$11,H191=$E$12,H191=$E$13,H191=$E$14),SottocategorieUscite[[#Headers],[Lavoro]],IF(OR(H191=$F$5,H191=$F$6,H191=$F$7,H191=$F$8,H191=$F$9,H191=$F$10,H191=$F$11,H191=$F$12,H191=$F$13,H191=$F$14),SottocategorieUscite[[#Headers],[Casa]],IF(OR(H191=$G$5,H191=$G$6,H191=$G$7,H191=$G$8,H191=$G$9,H191=$G$10,H191=$G$11,H191=$G$12,H191=$G$13,H191=$G$14),SottocategorieUscite[[#Headers],[Utenze]],IF(OR(H191=$H$5,H191=$H$6,H191=$H$7,H191=$H$8,H191=$H$9,H191=$H$10,H191=$H$11,H191=$H$12,H191=$H$13,H191=$H$14),SottocategorieUscite[[#Headers],[Business Uscite]],IF(OR(H191=$I$5,H191=$I$6,H191=$I$7,H191=$I$8,H191=$I$9,H191=$I$10,H191=$I$11,H191=$I$12,H191=$I$13,H191=$I$14),SottocategorieUscite[[#Headers],[Banca]],IF(OR(H191=K$5,H191=K$6,H191=K$7,H191=K$8,H191=K$9,H191=K$10,H191=K$11,H191=K$12,H191=K$13,H191=K$14),SottocategorieEntrate[[#Headers],[Business Entrate]],IF(OR(H191=L$5,H191=L$6,H191=L$7,H191=L$8,H191=L$9,H191=L$10,H191=L$11,H191=L$12,H191=L$13,H191=L$14),SottocategorieEntrate[[#Headers],[Varie Entrate]],IF(OR(H191=M$5,H191=M$6,H191=M$7,H191=M$8,H191=M$9,H191=M$10,H191=M$11,H191=M$12,H191=M$13,H191=M$14),SottocategorieEntrate[[#Headers],[Real Estate]],IF(OR(H191=N$5,H191=N$6,H191=N$7,H191=N$8,H191=N$9,H191=N$10,H191=N$11,H191=N$12,H191=N$13,H191=N$14),SottocategorieEntrate[[#Headers],[Other]],""))))))))))))</f>
        <v/>
      </c>
      <c r="J191" t="str">
        <f>IF(OR(Dati[[#This Row],[Categoria]]="Bollette",Dati[[#This Row],[Categoria]]="Conto &amp; Carte BNL",Dati[[#This Row],[Categoria]]="Prelievo",Dati[[#This Row],[Categoria]]="Affitto",Dati[[#This Row],[Categoria]]="BNL(Interessi Creditori)"),"Carta",IF(Dati[[#This Row],[Categoria]]&lt;&gt;0,"Cash",""))</f>
        <v/>
      </c>
      <c r="K191" s="59" t="str">
        <f>IF(OR(Data!$I191=SottocategorieUscite[[#Headers],[Fuori Casa]],Data!$I191=SottocategorieUscite[[#Headers],[Varie Uscite]],Data!$I191=SottocategorieUscite[[#Headers],[Personali]],Data!$I191=SottocategorieUscite[[#Headers],[Lavoro]]),"$ -","")</f>
        <v/>
      </c>
      <c r="L191" s="59" t="str">
        <f>IF(OR(Data!$I191=SottocategorieUscite[[#Headers],[Casa]],Data!$I191=SottocategorieUscite[[#Headers],[Utenze]],Data!$I191=SottocategorieUscite[[#Headers],[Business Uscite]],Data!$I191=SottocategorieUscite[[#Headers],[Banca]]),"$ -","")</f>
        <v/>
      </c>
      <c r="M191" s="59" t="str">
        <f>IF(OR($I191&lt;&gt;SottocategorieUscite[[#Headers],[Fuori Casa]],$I191&lt;&gt;SottocategorieUscite[[#Headers],[Varie Uscite]],$I191&lt;&gt;SottocategorieUscite[[#Headers],[Personali]],$I191&lt;&gt;SottocategorieUscite[[#Headers],[Lavoro]],$I191&lt;&gt;SottocategorieUscite[[#Headers],[Casa]],$I191&lt;&gt;SottocategorieUscite[[#Headers],[Utenze]],$I191&lt;&gt;SottocategorieUscite[[#Headers],[Business Uscite]],$I191&lt;&gt;SottocategorieUscite[[#Headers],[Banca]]),"","$ -")</f>
        <v/>
      </c>
      <c r="N191" s="59" t="str">
        <f>IF(OR(Data!$I191=SottocategorieEntrate[[#Headers],[Business Entrate]],Data!$I191=SottocategorieEntrate[[#Headers],[Varie Entrate]]),"$ -","")</f>
        <v/>
      </c>
      <c r="O191" s="59" t="str">
        <f>IF(OR(Data!$I191=SottocategorieEntrate[[#Headers],[Real Estate]],SottocategorieEntrate[[#Headers],[Other]]),"$ -","")</f>
        <v/>
      </c>
      <c r="P191" s="59" t="str">
        <f>IF(OR($I191&lt;&gt;SottocategorieEntrate[[#Headers],[Business Entrate]],$I191&lt;&gt;SottocategorieEntrate[[#Headers],[Varie Entrate]],$I191&lt;&gt;SottocategorieEntrate[[#Headers],[Real Estate]],$I191&lt;&gt;SottocategorieEntrate[[#Headers],[Other]]),"","$ -")</f>
        <v/>
      </c>
      <c r="Q191" s="59" t="str">
        <f>IF(Dati[[#This Row],[Categoria]]="Prelievo","€ -","")</f>
        <v/>
      </c>
      <c r="R191" s="244" t="str">
        <f t="shared" ca="1" si="8"/>
        <v/>
      </c>
      <c r="S191" s="59" t="str">
        <f>IF(Dati[[#This Row],[Categoria]]="Savings",0,"")</f>
        <v/>
      </c>
      <c r="T191" s="59"/>
      <c r="U191" s="59"/>
      <c r="V191" s="59"/>
      <c r="W191" s="59"/>
      <c r="X191" s="59"/>
      <c r="Y191" s="59"/>
      <c r="Z191" s="59"/>
      <c r="AA191" s="59"/>
      <c r="AB191" s="59"/>
      <c r="AC191" s="59"/>
      <c r="AD191" s="59"/>
      <c r="AE191" s="59"/>
      <c r="AF191" s="59"/>
      <c r="AG191" s="59"/>
      <c r="AH191" s="59"/>
      <c r="AI191" s="59" t="str">
        <f>IF(SUM(Dati[[#This Row],[Inv. Business]:[Inv. Cryptocurrency]])=0," ",SUM(Dati[[#This Row],[Inv. Business]:[Inv. Cryptocurrency]]))</f>
        <v xml:space="preserve"> </v>
      </c>
      <c r="AJ191" s="59"/>
      <c r="AK191" s="59" t="str">
        <f>IF(SUM(Dati[[#This Row],[Inv. Gold]:[Mutuo]])=0," ",SUM(Dati[[#This Row],[Inv. Gold]:[Mutuo]]))</f>
        <v xml:space="preserve"> </v>
      </c>
      <c r="AL191" s="59"/>
      <c r="AM191" s="59"/>
    </row>
    <row r="192" spans="2:39" ht="16" customHeight="1" x14ac:dyDescent="0.35">
      <c r="B192">
        <f t="shared" si="6"/>
        <v>172</v>
      </c>
      <c r="C192" s="49">
        <f t="shared" si="7"/>
        <v>45098</v>
      </c>
      <c r="D192" s="29">
        <f>DAY(Dati[[#This Row],[Data]])</f>
        <v>21</v>
      </c>
      <c r="E192" s="29" t="str">
        <f>IF(DAY(Data!$C$21:$C$1327)&gt;0,TEXT(Data!$C$21:$C$1327, "mmmm"),"")</f>
        <v>giugno</v>
      </c>
      <c r="F192" s="29" t="str">
        <f>IF(DAY(Data!$C$21:$C$1327)&gt;0,TEXT(Data!$C$21:$C$1327, "aaaa"),"")</f>
        <v>2023</v>
      </c>
      <c r="I192" t="str">
        <f>IF(OR(H192=$B$5,H192=$B$6,H192=$B$7,H192=$B$8,H192=$B$9,H192=$B$10,H192=$B$11,H192=$B$12,H192=$B$13,H192=$B$14),SottocategorieUscite[[#Headers],[Fuori Casa]],IF(OR(H192=$C$5,H192=$C$6,H192=$C$7,H192=$C$8,H192=$C$9,H192=$C$10,H192=$C$11,H192=$C$12,H192=$C$13,H192=$C$14),SottocategorieUscite[[#Headers],[Varie Uscite]],IF(OR(H192=$D$5,H192=$D$6,H192=$D$7,H192=$D$8,H192=$D$9,H192=$D$10,H192=$D$11,H192=$D$12,H192=$D$13,H192=$D$14),SottocategorieUscite[[#Headers],[Personali]],IF(OR(H192=$E$5,H192=$E$6,H192=$E$7,H192=$E$8,H192=$E$9,H192=$E$10,H192=$E$11,H192=$E$12,H192=$E$13,H192=$E$14),SottocategorieUscite[[#Headers],[Lavoro]],IF(OR(H192=$F$5,H192=$F$6,H192=$F$7,H192=$F$8,H192=$F$9,H192=$F$10,H192=$F$11,H192=$F$12,H192=$F$13,H192=$F$14),SottocategorieUscite[[#Headers],[Casa]],IF(OR(H192=$G$5,H192=$G$6,H192=$G$7,H192=$G$8,H192=$G$9,H192=$G$10,H192=$G$11,H192=$G$12,H192=$G$13,H192=$G$14),SottocategorieUscite[[#Headers],[Utenze]],IF(OR(H192=$H$5,H192=$H$6,H192=$H$7,H192=$H$8,H192=$H$9,H192=$H$10,H192=$H$11,H192=$H$12,H192=$H$13,H192=$H$14),SottocategorieUscite[[#Headers],[Business Uscite]],IF(OR(H192=$I$5,H192=$I$6,H192=$I$7,H192=$I$8,H192=$I$9,H192=$I$10,H192=$I$11,H192=$I$12,H192=$I$13,H192=$I$14),SottocategorieUscite[[#Headers],[Banca]],IF(OR(H192=K$5,H192=K$6,H192=K$7,H192=K$8,H192=K$9,H192=K$10,H192=K$11,H192=K$12,H192=K$13,H192=K$14),SottocategorieEntrate[[#Headers],[Business Entrate]],IF(OR(H192=L$5,H192=L$6,H192=L$7,H192=L$8,H192=L$9,H192=L$10,H192=L$11,H192=L$12,H192=L$13,H192=L$14),SottocategorieEntrate[[#Headers],[Varie Entrate]],IF(OR(H192=M$5,H192=M$6,H192=M$7,H192=M$8,H192=M$9,H192=M$10,H192=M$11,H192=M$12,H192=M$13,H192=M$14),SottocategorieEntrate[[#Headers],[Real Estate]],IF(OR(H192=N$5,H192=N$6,H192=N$7,H192=N$8,H192=N$9,H192=N$10,H192=N$11,H192=N$12,H192=N$13,H192=N$14),SottocategorieEntrate[[#Headers],[Other]],""))))))))))))</f>
        <v/>
      </c>
      <c r="J192" t="str">
        <f>IF(OR(Dati[[#This Row],[Categoria]]="Bollette",Dati[[#This Row],[Categoria]]="Conto &amp; Carte BNL",Dati[[#This Row],[Categoria]]="Prelievo",Dati[[#This Row],[Categoria]]="Affitto",Dati[[#This Row],[Categoria]]="BNL(Interessi Creditori)"),"Carta",IF(Dati[[#This Row],[Categoria]]&lt;&gt;0,"Cash",""))</f>
        <v/>
      </c>
      <c r="K192" s="59" t="str">
        <f>IF(OR(Data!$I192=SottocategorieUscite[[#Headers],[Fuori Casa]],Data!$I192=SottocategorieUscite[[#Headers],[Varie Uscite]],Data!$I192=SottocategorieUscite[[#Headers],[Personali]],Data!$I192=SottocategorieUscite[[#Headers],[Lavoro]]),"$ -","")</f>
        <v/>
      </c>
      <c r="L192" s="59" t="str">
        <f>IF(OR(Data!$I192=SottocategorieUscite[[#Headers],[Casa]],Data!$I192=SottocategorieUscite[[#Headers],[Utenze]],Data!$I192=SottocategorieUscite[[#Headers],[Business Uscite]],Data!$I192=SottocategorieUscite[[#Headers],[Banca]]),"$ -","")</f>
        <v/>
      </c>
      <c r="M192" s="59" t="str">
        <f>IF(OR($I192&lt;&gt;SottocategorieUscite[[#Headers],[Fuori Casa]],$I192&lt;&gt;SottocategorieUscite[[#Headers],[Varie Uscite]],$I192&lt;&gt;SottocategorieUscite[[#Headers],[Personali]],$I192&lt;&gt;SottocategorieUscite[[#Headers],[Lavoro]],$I192&lt;&gt;SottocategorieUscite[[#Headers],[Casa]],$I192&lt;&gt;SottocategorieUscite[[#Headers],[Utenze]],$I192&lt;&gt;SottocategorieUscite[[#Headers],[Business Uscite]],$I192&lt;&gt;SottocategorieUscite[[#Headers],[Banca]]),"","$ -")</f>
        <v/>
      </c>
      <c r="N192" s="59" t="str">
        <f>IF(OR(Data!$I192=SottocategorieEntrate[[#Headers],[Business Entrate]],Data!$I192=SottocategorieEntrate[[#Headers],[Varie Entrate]]),"$ -","")</f>
        <v/>
      </c>
      <c r="O192" s="59" t="str">
        <f>IF(OR(Data!$I192=SottocategorieEntrate[[#Headers],[Real Estate]],SottocategorieEntrate[[#Headers],[Other]]),"$ -","")</f>
        <v/>
      </c>
      <c r="P192" s="59" t="str">
        <f>IF(OR($I192&lt;&gt;SottocategorieEntrate[[#Headers],[Business Entrate]],$I192&lt;&gt;SottocategorieEntrate[[#Headers],[Varie Entrate]],$I192&lt;&gt;SottocategorieEntrate[[#Headers],[Real Estate]],$I192&lt;&gt;SottocategorieEntrate[[#Headers],[Other]]),"","$ -")</f>
        <v/>
      </c>
      <c r="Q192" s="59" t="str">
        <f>IF(Dati[[#This Row],[Categoria]]="Prelievo","€ -","")</f>
        <v/>
      </c>
      <c r="R192" s="244" t="str">
        <f t="shared" ca="1" si="8"/>
        <v/>
      </c>
      <c r="S192" s="59" t="str">
        <f>IF(Dati[[#This Row],[Categoria]]="Savings",0,"")</f>
        <v/>
      </c>
      <c r="T192" s="59"/>
      <c r="U192" s="59"/>
      <c r="V192" s="59"/>
      <c r="W192" s="59"/>
      <c r="X192" s="59"/>
      <c r="Y192" s="59"/>
      <c r="Z192" s="59"/>
      <c r="AA192" s="59"/>
      <c r="AB192" s="59"/>
      <c r="AC192" s="59"/>
      <c r="AD192" s="59"/>
      <c r="AE192" s="59"/>
      <c r="AF192" s="59"/>
      <c r="AG192" s="59"/>
      <c r="AH192" s="59"/>
      <c r="AI192" s="59" t="str">
        <f>IF(SUM(Dati[[#This Row],[Inv. Business]:[Inv. Cryptocurrency]])=0," ",SUM(Dati[[#This Row],[Inv. Business]:[Inv. Cryptocurrency]]))</f>
        <v xml:space="preserve"> </v>
      </c>
      <c r="AJ192" s="59"/>
      <c r="AK192" s="59" t="str">
        <f>IF(SUM(Dati[[#This Row],[Inv. Gold]:[Mutuo]])=0," ",SUM(Dati[[#This Row],[Inv. Gold]:[Mutuo]]))</f>
        <v xml:space="preserve"> </v>
      </c>
      <c r="AL192" s="59"/>
      <c r="AM192" s="59"/>
    </row>
    <row r="193" spans="2:39" ht="16" customHeight="1" x14ac:dyDescent="0.35">
      <c r="B193">
        <f t="shared" si="6"/>
        <v>173</v>
      </c>
      <c r="C193" s="49">
        <f t="shared" si="7"/>
        <v>45099</v>
      </c>
      <c r="D193" s="29">
        <f>DAY(Dati[[#This Row],[Data]])</f>
        <v>22</v>
      </c>
      <c r="E193" s="29" t="str">
        <f>IF(DAY(Data!$C$21:$C$1327)&gt;0,TEXT(Data!$C$21:$C$1327, "mmmm"),"")</f>
        <v>giugno</v>
      </c>
      <c r="F193" s="29" t="str">
        <f>IF(DAY(Data!$C$21:$C$1327)&gt;0,TEXT(Data!$C$21:$C$1327, "aaaa"),"")</f>
        <v>2023</v>
      </c>
      <c r="I193" t="str">
        <f>IF(OR(H193=$B$5,H193=$B$6,H193=$B$7,H193=$B$8,H193=$B$9,H193=$B$10,H193=$B$11,H193=$B$12,H193=$B$13,H193=$B$14),SottocategorieUscite[[#Headers],[Fuori Casa]],IF(OR(H193=$C$5,H193=$C$6,H193=$C$7,H193=$C$8,H193=$C$9,H193=$C$10,H193=$C$11,H193=$C$12,H193=$C$13,H193=$C$14),SottocategorieUscite[[#Headers],[Varie Uscite]],IF(OR(H193=$D$5,H193=$D$6,H193=$D$7,H193=$D$8,H193=$D$9,H193=$D$10,H193=$D$11,H193=$D$12,H193=$D$13,H193=$D$14),SottocategorieUscite[[#Headers],[Personali]],IF(OR(H193=$E$5,H193=$E$6,H193=$E$7,H193=$E$8,H193=$E$9,H193=$E$10,H193=$E$11,H193=$E$12,H193=$E$13,H193=$E$14),SottocategorieUscite[[#Headers],[Lavoro]],IF(OR(H193=$F$5,H193=$F$6,H193=$F$7,H193=$F$8,H193=$F$9,H193=$F$10,H193=$F$11,H193=$F$12,H193=$F$13,H193=$F$14),SottocategorieUscite[[#Headers],[Casa]],IF(OR(H193=$G$5,H193=$G$6,H193=$G$7,H193=$G$8,H193=$G$9,H193=$G$10,H193=$G$11,H193=$G$12,H193=$G$13,H193=$G$14),SottocategorieUscite[[#Headers],[Utenze]],IF(OR(H193=$H$5,H193=$H$6,H193=$H$7,H193=$H$8,H193=$H$9,H193=$H$10,H193=$H$11,H193=$H$12,H193=$H$13,H193=$H$14),SottocategorieUscite[[#Headers],[Business Uscite]],IF(OR(H193=$I$5,H193=$I$6,H193=$I$7,H193=$I$8,H193=$I$9,H193=$I$10,H193=$I$11,H193=$I$12,H193=$I$13,H193=$I$14),SottocategorieUscite[[#Headers],[Banca]],IF(OR(H193=K$5,H193=K$6,H193=K$7,H193=K$8,H193=K$9,H193=K$10,H193=K$11,H193=K$12,H193=K$13,H193=K$14),SottocategorieEntrate[[#Headers],[Business Entrate]],IF(OR(H193=L$5,H193=L$6,H193=L$7,H193=L$8,H193=L$9,H193=L$10,H193=L$11,H193=L$12,H193=L$13,H193=L$14),SottocategorieEntrate[[#Headers],[Varie Entrate]],IF(OR(H193=M$5,H193=M$6,H193=M$7,H193=M$8,H193=M$9,H193=M$10,H193=M$11,H193=M$12,H193=M$13,H193=M$14),SottocategorieEntrate[[#Headers],[Real Estate]],IF(OR(H193=N$5,H193=N$6,H193=N$7,H193=N$8,H193=N$9,H193=N$10,H193=N$11,H193=N$12,H193=N$13,H193=N$14),SottocategorieEntrate[[#Headers],[Other]],""))))))))))))</f>
        <v/>
      </c>
      <c r="J193" t="str">
        <f>IF(OR(Dati[[#This Row],[Categoria]]="Bollette",Dati[[#This Row],[Categoria]]="Conto &amp; Carte BNL",Dati[[#This Row],[Categoria]]="Prelievo",Dati[[#This Row],[Categoria]]="Affitto",Dati[[#This Row],[Categoria]]="BNL(Interessi Creditori)"),"Carta",IF(Dati[[#This Row],[Categoria]]&lt;&gt;0,"Cash",""))</f>
        <v/>
      </c>
      <c r="K193" s="59" t="str">
        <f>IF(OR(Data!$I193=SottocategorieUscite[[#Headers],[Fuori Casa]],Data!$I193=SottocategorieUscite[[#Headers],[Varie Uscite]],Data!$I193=SottocategorieUscite[[#Headers],[Personali]],Data!$I193=SottocategorieUscite[[#Headers],[Lavoro]]),"$ -","")</f>
        <v/>
      </c>
      <c r="L193" s="59" t="str">
        <f>IF(OR(Data!$I193=SottocategorieUscite[[#Headers],[Casa]],Data!$I193=SottocategorieUscite[[#Headers],[Utenze]],Data!$I193=SottocategorieUscite[[#Headers],[Business Uscite]],Data!$I193=SottocategorieUscite[[#Headers],[Banca]]),"$ -","")</f>
        <v/>
      </c>
      <c r="M193" s="59" t="str">
        <f>IF(OR($I193&lt;&gt;SottocategorieUscite[[#Headers],[Fuori Casa]],$I193&lt;&gt;SottocategorieUscite[[#Headers],[Varie Uscite]],$I193&lt;&gt;SottocategorieUscite[[#Headers],[Personali]],$I193&lt;&gt;SottocategorieUscite[[#Headers],[Lavoro]],$I193&lt;&gt;SottocategorieUscite[[#Headers],[Casa]],$I193&lt;&gt;SottocategorieUscite[[#Headers],[Utenze]],$I193&lt;&gt;SottocategorieUscite[[#Headers],[Business Uscite]],$I193&lt;&gt;SottocategorieUscite[[#Headers],[Banca]]),"","$ -")</f>
        <v/>
      </c>
      <c r="N193" s="59" t="str">
        <f>IF(OR(Data!$I193=SottocategorieEntrate[[#Headers],[Business Entrate]],Data!$I193=SottocategorieEntrate[[#Headers],[Varie Entrate]]),"$ -","")</f>
        <v/>
      </c>
      <c r="O193" s="59" t="str">
        <f>IF(OR(Data!$I193=SottocategorieEntrate[[#Headers],[Real Estate]],SottocategorieEntrate[[#Headers],[Other]]),"$ -","")</f>
        <v/>
      </c>
      <c r="P193" s="59" t="str">
        <f>IF(OR($I193&lt;&gt;SottocategorieEntrate[[#Headers],[Business Entrate]],$I193&lt;&gt;SottocategorieEntrate[[#Headers],[Varie Entrate]],$I193&lt;&gt;SottocategorieEntrate[[#Headers],[Real Estate]],$I193&lt;&gt;SottocategorieEntrate[[#Headers],[Other]]),"","$ -")</f>
        <v/>
      </c>
      <c r="Q193" s="59" t="str">
        <f>IF(Dati[[#This Row],[Categoria]]="Prelievo","€ -","")</f>
        <v/>
      </c>
      <c r="R193" s="244" t="str">
        <f t="shared" ca="1" si="8"/>
        <v/>
      </c>
      <c r="S193" s="59" t="str">
        <f>IF(Dati[[#This Row],[Categoria]]="Savings",0,"")</f>
        <v/>
      </c>
      <c r="T193" s="59"/>
      <c r="U193" s="59"/>
      <c r="V193" s="59"/>
      <c r="W193" s="59"/>
      <c r="X193" s="59"/>
      <c r="Y193" s="59"/>
      <c r="Z193" s="59"/>
      <c r="AA193" s="59"/>
      <c r="AB193" s="59"/>
      <c r="AC193" s="59"/>
      <c r="AD193" s="59"/>
      <c r="AE193" s="59"/>
      <c r="AF193" s="59"/>
      <c r="AG193" s="59"/>
      <c r="AH193" s="59"/>
      <c r="AI193" s="59" t="str">
        <f>IF(SUM(Dati[[#This Row],[Inv. Business]:[Inv. Cryptocurrency]])=0," ",SUM(Dati[[#This Row],[Inv. Business]:[Inv. Cryptocurrency]]))</f>
        <v xml:space="preserve"> </v>
      </c>
      <c r="AJ193" s="59"/>
      <c r="AK193" s="59" t="str">
        <f>IF(SUM(Dati[[#This Row],[Inv. Gold]:[Mutuo]])=0," ",SUM(Dati[[#This Row],[Inv. Gold]:[Mutuo]]))</f>
        <v xml:space="preserve"> </v>
      </c>
      <c r="AL193" s="59"/>
      <c r="AM193" s="59"/>
    </row>
    <row r="194" spans="2:39" ht="16" customHeight="1" x14ac:dyDescent="0.35">
      <c r="B194">
        <f t="shared" si="6"/>
        <v>174</v>
      </c>
      <c r="C194" s="49">
        <f t="shared" si="7"/>
        <v>45100</v>
      </c>
      <c r="D194" s="29">
        <f>DAY(Dati[[#This Row],[Data]])</f>
        <v>23</v>
      </c>
      <c r="E194" s="29" t="str">
        <f>IF(DAY(Data!$C$21:$C$1327)&gt;0,TEXT(Data!$C$21:$C$1327, "mmmm"),"")</f>
        <v>giugno</v>
      </c>
      <c r="F194" s="29" t="str">
        <f>IF(DAY(Data!$C$21:$C$1327)&gt;0,TEXT(Data!$C$21:$C$1327, "aaaa"),"")</f>
        <v>2023</v>
      </c>
      <c r="I194" t="str">
        <f>IF(OR(H194=$B$5,H194=$B$6,H194=$B$7,H194=$B$8,H194=$B$9,H194=$B$10,H194=$B$11,H194=$B$12,H194=$B$13,H194=$B$14),SottocategorieUscite[[#Headers],[Fuori Casa]],IF(OR(H194=$C$5,H194=$C$6,H194=$C$7,H194=$C$8,H194=$C$9,H194=$C$10,H194=$C$11,H194=$C$12,H194=$C$13,H194=$C$14),SottocategorieUscite[[#Headers],[Varie Uscite]],IF(OR(H194=$D$5,H194=$D$6,H194=$D$7,H194=$D$8,H194=$D$9,H194=$D$10,H194=$D$11,H194=$D$12,H194=$D$13,H194=$D$14),SottocategorieUscite[[#Headers],[Personali]],IF(OR(H194=$E$5,H194=$E$6,H194=$E$7,H194=$E$8,H194=$E$9,H194=$E$10,H194=$E$11,H194=$E$12,H194=$E$13,H194=$E$14),SottocategorieUscite[[#Headers],[Lavoro]],IF(OR(H194=$F$5,H194=$F$6,H194=$F$7,H194=$F$8,H194=$F$9,H194=$F$10,H194=$F$11,H194=$F$12,H194=$F$13,H194=$F$14),SottocategorieUscite[[#Headers],[Casa]],IF(OR(H194=$G$5,H194=$G$6,H194=$G$7,H194=$G$8,H194=$G$9,H194=$G$10,H194=$G$11,H194=$G$12,H194=$G$13,H194=$G$14),SottocategorieUscite[[#Headers],[Utenze]],IF(OR(H194=$H$5,H194=$H$6,H194=$H$7,H194=$H$8,H194=$H$9,H194=$H$10,H194=$H$11,H194=$H$12,H194=$H$13,H194=$H$14),SottocategorieUscite[[#Headers],[Business Uscite]],IF(OR(H194=$I$5,H194=$I$6,H194=$I$7,H194=$I$8,H194=$I$9,H194=$I$10,H194=$I$11,H194=$I$12,H194=$I$13,H194=$I$14),SottocategorieUscite[[#Headers],[Banca]],IF(OR(H194=K$5,H194=K$6,H194=K$7,H194=K$8,H194=K$9,H194=K$10,H194=K$11,H194=K$12,H194=K$13,H194=K$14),SottocategorieEntrate[[#Headers],[Business Entrate]],IF(OR(H194=L$5,H194=L$6,H194=L$7,H194=L$8,H194=L$9,H194=L$10,H194=L$11,H194=L$12,H194=L$13,H194=L$14),SottocategorieEntrate[[#Headers],[Varie Entrate]],IF(OR(H194=M$5,H194=M$6,H194=M$7,H194=M$8,H194=M$9,H194=M$10,H194=M$11,H194=M$12,H194=M$13,H194=M$14),SottocategorieEntrate[[#Headers],[Real Estate]],IF(OR(H194=N$5,H194=N$6,H194=N$7,H194=N$8,H194=N$9,H194=N$10,H194=N$11,H194=N$12,H194=N$13,H194=N$14),SottocategorieEntrate[[#Headers],[Other]],""))))))))))))</f>
        <v/>
      </c>
      <c r="J194" t="str">
        <f>IF(OR(Dati[[#This Row],[Categoria]]="Bollette",Dati[[#This Row],[Categoria]]="Conto &amp; Carte BNL",Dati[[#This Row],[Categoria]]="Prelievo",Dati[[#This Row],[Categoria]]="Affitto",Dati[[#This Row],[Categoria]]="BNL(Interessi Creditori)"),"Carta",IF(Dati[[#This Row],[Categoria]]&lt;&gt;0,"Cash",""))</f>
        <v/>
      </c>
      <c r="K194" s="59" t="str">
        <f>IF(OR(Data!$I194=SottocategorieUscite[[#Headers],[Fuori Casa]],Data!$I194=SottocategorieUscite[[#Headers],[Varie Uscite]],Data!$I194=SottocategorieUscite[[#Headers],[Personali]],Data!$I194=SottocategorieUscite[[#Headers],[Lavoro]]),"$ -","")</f>
        <v/>
      </c>
      <c r="L194" s="59" t="str">
        <f>IF(OR(Data!$I194=SottocategorieUscite[[#Headers],[Casa]],Data!$I194=SottocategorieUscite[[#Headers],[Utenze]],Data!$I194=SottocategorieUscite[[#Headers],[Business Uscite]],Data!$I194=SottocategorieUscite[[#Headers],[Banca]]),"$ -","")</f>
        <v/>
      </c>
      <c r="M194" s="59" t="str">
        <f>IF(OR($I194&lt;&gt;SottocategorieUscite[[#Headers],[Fuori Casa]],$I194&lt;&gt;SottocategorieUscite[[#Headers],[Varie Uscite]],$I194&lt;&gt;SottocategorieUscite[[#Headers],[Personali]],$I194&lt;&gt;SottocategorieUscite[[#Headers],[Lavoro]],$I194&lt;&gt;SottocategorieUscite[[#Headers],[Casa]],$I194&lt;&gt;SottocategorieUscite[[#Headers],[Utenze]],$I194&lt;&gt;SottocategorieUscite[[#Headers],[Business Uscite]],$I194&lt;&gt;SottocategorieUscite[[#Headers],[Banca]]),"","$ -")</f>
        <v/>
      </c>
      <c r="N194" s="59" t="str">
        <f>IF(OR(Data!$I194=SottocategorieEntrate[[#Headers],[Business Entrate]],Data!$I194=SottocategorieEntrate[[#Headers],[Varie Entrate]]),"$ -","")</f>
        <v/>
      </c>
      <c r="O194" s="59" t="str">
        <f>IF(OR(Data!$I194=SottocategorieEntrate[[#Headers],[Real Estate]],SottocategorieEntrate[[#Headers],[Other]]),"$ -","")</f>
        <v/>
      </c>
      <c r="P194" s="59" t="str">
        <f>IF(OR($I194&lt;&gt;SottocategorieEntrate[[#Headers],[Business Entrate]],$I194&lt;&gt;SottocategorieEntrate[[#Headers],[Varie Entrate]],$I194&lt;&gt;SottocategorieEntrate[[#Headers],[Real Estate]],$I194&lt;&gt;SottocategorieEntrate[[#Headers],[Other]]),"","$ -")</f>
        <v/>
      </c>
      <c r="Q194" s="59" t="str">
        <f>IF(Dati[[#This Row],[Categoria]]="Prelievo","€ -","")</f>
        <v/>
      </c>
      <c r="R194" s="244" t="str">
        <f t="shared" ca="1" si="8"/>
        <v/>
      </c>
      <c r="S194" s="59" t="str">
        <f>IF(Dati[[#This Row],[Categoria]]="Savings",0,"")</f>
        <v/>
      </c>
      <c r="T194" s="59"/>
      <c r="U194" s="59"/>
      <c r="V194" s="59"/>
      <c r="W194" s="59"/>
      <c r="X194" s="59"/>
      <c r="Y194" s="59"/>
      <c r="Z194" s="59"/>
      <c r="AA194" s="59"/>
      <c r="AB194" s="59"/>
      <c r="AC194" s="59"/>
      <c r="AD194" s="59"/>
      <c r="AE194" s="59"/>
      <c r="AF194" s="59"/>
      <c r="AG194" s="59"/>
      <c r="AH194" s="59"/>
      <c r="AI194" s="59" t="str">
        <f>IF(SUM(Dati[[#This Row],[Inv. Business]:[Inv. Cryptocurrency]])=0," ",SUM(Dati[[#This Row],[Inv. Business]:[Inv. Cryptocurrency]]))</f>
        <v xml:space="preserve"> </v>
      </c>
      <c r="AJ194" s="59"/>
      <c r="AK194" s="59" t="str">
        <f>IF(SUM(Dati[[#This Row],[Inv. Gold]:[Mutuo]])=0," ",SUM(Dati[[#This Row],[Inv. Gold]:[Mutuo]]))</f>
        <v xml:space="preserve"> </v>
      </c>
      <c r="AL194" s="59"/>
      <c r="AM194" s="59"/>
    </row>
    <row r="195" spans="2:39" ht="16" customHeight="1" x14ac:dyDescent="0.35">
      <c r="B195">
        <f t="shared" si="6"/>
        <v>175</v>
      </c>
      <c r="C195" s="49">
        <f t="shared" si="7"/>
        <v>45101</v>
      </c>
      <c r="D195" s="29">
        <f>DAY(Dati[[#This Row],[Data]])</f>
        <v>24</v>
      </c>
      <c r="E195" s="29" t="str">
        <f>IF(DAY(Data!$C$21:$C$1327)&gt;0,TEXT(Data!$C$21:$C$1327, "mmmm"),"")</f>
        <v>giugno</v>
      </c>
      <c r="F195" s="29" t="str">
        <f>IF(DAY(Data!$C$21:$C$1327)&gt;0,TEXT(Data!$C$21:$C$1327, "aaaa"),"")</f>
        <v>2023</v>
      </c>
      <c r="I195" t="str">
        <f>IF(OR(H195=$B$5,H195=$B$6,H195=$B$7,H195=$B$8,H195=$B$9,H195=$B$10,H195=$B$11,H195=$B$12,H195=$B$13,H195=$B$14),SottocategorieUscite[[#Headers],[Fuori Casa]],IF(OR(H195=$C$5,H195=$C$6,H195=$C$7,H195=$C$8,H195=$C$9,H195=$C$10,H195=$C$11,H195=$C$12,H195=$C$13,H195=$C$14),SottocategorieUscite[[#Headers],[Varie Uscite]],IF(OR(H195=$D$5,H195=$D$6,H195=$D$7,H195=$D$8,H195=$D$9,H195=$D$10,H195=$D$11,H195=$D$12,H195=$D$13,H195=$D$14),SottocategorieUscite[[#Headers],[Personali]],IF(OR(H195=$E$5,H195=$E$6,H195=$E$7,H195=$E$8,H195=$E$9,H195=$E$10,H195=$E$11,H195=$E$12,H195=$E$13,H195=$E$14),SottocategorieUscite[[#Headers],[Lavoro]],IF(OR(H195=$F$5,H195=$F$6,H195=$F$7,H195=$F$8,H195=$F$9,H195=$F$10,H195=$F$11,H195=$F$12,H195=$F$13,H195=$F$14),SottocategorieUscite[[#Headers],[Casa]],IF(OR(H195=$G$5,H195=$G$6,H195=$G$7,H195=$G$8,H195=$G$9,H195=$G$10,H195=$G$11,H195=$G$12,H195=$G$13,H195=$G$14),SottocategorieUscite[[#Headers],[Utenze]],IF(OR(H195=$H$5,H195=$H$6,H195=$H$7,H195=$H$8,H195=$H$9,H195=$H$10,H195=$H$11,H195=$H$12,H195=$H$13,H195=$H$14),SottocategorieUscite[[#Headers],[Business Uscite]],IF(OR(H195=$I$5,H195=$I$6,H195=$I$7,H195=$I$8,H195=$I$9,H195=$I$10,H195=$I$11,H195=$I$12,H195=$I$13,H195=$I$14),SottocategorieUscite[[#Headers],[Banca]],IF(OR(H195=K$5,H195=K$6,H195=K$7,H195=K$8,H195=K$9,H195=K$10,H195=K$11,H195=K$12,H195=K$13,H195=K$14),SottocategorieEntrate[[#Headers],[Business Entrate]],IF(OR(H195=L$5,H195=L$6,H195=L$7,H195=L$8,H195=L$9,H195=L$10,H195=L$11,H195=L$12,H195=L$13,H195=L$14),SottocategorieEntrate[[#Headers],[Varie Entrate]],IF(OR(H195=M$5,H195=M$6,H195=M$7,H195=M$8,H195=M$9,H195=M$10,H195=M$11,H195=M$12,H195=M$13,H195=M$14),SottocategorieEntrate[[#Headers],[Real Estate]],IF(OR(H195=N$5,H195=N$6,H195=N$7,H195=N$8,H195=N$9,H195=N$10,H195=N$11,H195=N$12,H195=N$13,H195=N$14),SottocategorieEntrate[[#Headers],[Other]],""))))))))))))</f>
        <v/>
      </c>
      <c r="J195" t="str">
        <f>IF(OR(Dati[[#This Row],[Categoria]]="Bollette",Dati[[#This Row],[Categoria]]="Conto &amp; Carte BNL",Dati[[#This Row],[Categoria]]="Prelievo",Dati[[#This Row],[Categoria]]="Affitto",Dati[[#This Row],[Categoria]]="BNL(Interessi Creditori)"),"Carta",IF(Dati[[#This Row],[Categoria]]&lt;&gt;0,"Cash",""))</f>
        <v/>
      </c>
      <c r="K195" s="59" t="str">
        <f>IF(OR(Data!$I195=SottocategorieUscite[[#Headers],[Fuori Casa]],Data!$I195=SottocategorieUscite[[#Headers],[Varie Uscite]],Data!$I195=SottocategorieUscite[[#Headers],[Personali]],Data!$I195=SottocategorieUscite[[#Headers],[Lavoro]]),"$ -","")</f>
        <v/>
      </c>
      <c r="L195" s="59" t="str">
        <f>IF(OR(Data!$I195=SottocategorieUscite[[#Headers],[Casa]],Data!$I195=SottocategorieUscite[[#Headers],[Utenze]],Data!$I195=SottocategorieUscite[[#Headers],[Business Uscite]],Data!$I195=SottocategorieUscite[[#Headers],[Banca]]),"$ -","")</f>
        <v/>
      </c>
      <c r="M195" s="59" t="str">
        <f>IF(OR($I195&lt;&gt;SottocategorieUscite[[#Headers],[Fuori Casa]],$I195&lt;&gt;SottocategorieUscite[[#Headers],[Varie Uscite]],$I195&lt;&gt;SottocategorieUscite[[#Headers],[Personali]],$I195&lt;&gt;SottocategorieUscite[[#Headers],[Lavoro]],$I195&lt;&gt;SottocategorieUscite[[#Headers],[Casa]],$I195&lt;&gt;SottocategorieUscite[[#Headers],[Utenze]],$I195&lt;&gt;SottocategorieUscite[[#Headers],[Business Uscite]],$I195&lt;&gt;SottocategorieUscite[[#Headers],[Banca]]),"","$ -")</f>
        <v/>
      </c>
      <c r="N195" s="59" t="str">
        <f>IF(OR(Data!$I195=SottocategorieEntrate[[#Headers],[Business Entrate]],Data!$I195=SottocategorieEntrate[[#Headers],[Varie Entrate]]),"$ -","")</f>
        <v/>
      </c>
      <c r="O195" s="59" t="str">
        <f>IF(OR(Data!$I195=SottocategorieEntrate[[#Headers],[Real Estate]],SottocategorieEntrate[[#Headers],[Other]]),"$ -","")</f>
        <v/>
      </c>
      <c r="P195" s="59" t="str">
        <f>IF(OR($I195&lt;&gt;SottocategorieEntrate[[#Headers],[Business Entrate]],$I195&lt;&gt;SottocategorieEntrate[[#Headers],[Varie Entrate]],$I195&lt;&gt;SottocategorieEntrate[[#Headers],[Real Estate]],$I195&lt;&gt;SottocategorieEntrate[[#Headers],[Other]]),"","$ -")</f>
        <v/>
      </c>
      <c r="Q195" s="59" t="str">
        <f>IF(Dati[[#This Row],[Categoria]]="Prelievo","€ -","")</f>
        <v/>
      </c>
      <c r="R195" s="244" t="str">
        <f t="shared" ca="1" si="8"/>
        <v/>
      </c>
      <c r="S195" s="59" t="str">
        <f>IF(Dati[[#This Row],[Categoria]]="Savings",0,"")</f>
        <v/>
      </c>
      <c r="T195" s="59"/>
      <c r="U195" s="59"/>
      <c r="V195" s="59"/>
      <c r="W195" s="59"/>
      <c r="X195" s="59"/>
      <c r="Y195" s="59"/>
      <c r="Z195" s="59"/>
      <c r="AA195" s="59"/>
      <c r="AB195" s="59"/>
      <c r="AC195" s="59"/>
      <c r="AD195" s="59"/>
      <c r="AE195" s="59"/>
      <c r="AF195" s="59"/>
      <c r="AG195" s="59"/>
      <c r="AH195" s="59"/>
      <c r="AI195" s="59" t="str">
        <f>IF(SUM(Dati[[#This Row],[Inv. Business]:[Inv. Cryptocurrency]])=0," ",SUM(Dati[[#This Row],[Inv. Business]:[Inv. Cryptocurrency]]))</f>
        <v xml:space="preserve"> </v>
      </c>
      <c r="AJ195" s="59"/>
      <c r="AK195" s="59" t="str">
        <f>IF(SUM(Dati[[#This Row],[Inv. Gold]:[Mutuo]])=0," ",SUM(Dati[[#This Row],[Inv. Gold]:[Mutuo]]))</f>
        <v xml:space="preserve"> </v>
      </c>
      <c r="AL195" s="59"/>
      <c r="AM195" s="59"/>
    </row>
    <row r="196" spans="2:39" ht="16" customHeight="1" x14ac:dyDescent="0.35">
      <c r="B196">
        <f t="shared" si="6"/>
        <v>176</v>
      </c>
      <c r="C196" s="49">
        <f t="shared" si="7"/>
        <v>45102</v>
      </c>
      <c r="D196" s="29">
        <f>DAY(Dati[[#This Row],[Data]])</f>
        <v>25</v>
      </c>
      <c r="E196" s="29" t="str">
        <f>IF(DAY(Data!$C$21:$C$1327)&gt;0,TEXT(Data!$C$21:$C$1327, "mmmm"),"")</f>
        <v>giugno</v>
      </c>
      <c r="F196" s="29" t="str">
        <f>IF(DAY(Data!$C$21:$C$1327)&gt;0,TEXT(Data!$C$21:$C$1327, "aaaa"),"")</f>
        <v>2023</v>
      </c>
      <c r="I196" t="str">
        <f>IF(OR(H196=$B$5,H196=$B$6,H196=$B$7,H196=$B$8,H196=$B$9,H196=$B$10,H196=$B$11,H196=$B$12,H196=$B$13,H196=$B$14),SottocategorieUscite[[#Headers],[Fuori Casa]],IF(OR(H196=$C$5,H196=$C$6,H196=$C$7,H196=$C$8,H196=$C$9,H196=$C$10,H196=$C$11,H196=$C$12,H196=$C$13,H196=$C$14),SottocategorieUscite[[#Headers],[Varie Uscite]],IF(OR(H196=$D$5,H196=$D$6,H196=$D$7,H196=$D$8,H196=$D$9,H196=$D$10,H196=$D$11,H196=$D$12,H196=$D$13,H196=$D$14),SottocategorieUscite[[#Headers],[Personali]],IF(OR(H196=$E$5,H196=$E$6,H196=$E$7,H196=$E$8,H196=$E$9,H196=$E$10,H196=$E$11,H196=$E$12,H196=$E$13,H196=$E$14),SottocategorieUscite[[#Headers],[Lavoro]],IF(OR(H196=$F$5,H196=$F$6,H196=$F$7,H196=$F$8,H196=$F$9,H196=$F$10,H196=$F$11,H196=$F$12,H196=$F$13,H196=$F$14),SottocategorieUscite[[#Headers],[Casa]],IF(OR(H196=$G$5,H196=$G$6,H196=$G$7,H196=$G$8,H196=$G$9,H196=$G$10,H196=$G$11,H196=$G$12,H196=$G$13,H196=$G$14),SottocategorieUscite[[#Headers],[Utenze]],IF(OR(H196=$H$5,H196=$H$6,H196=$H$7,H196=$H$8,H196=$H$9,H196=$H$10,H196=$H$11,H196=$H$12,H196=$H$13,H196=$H$14),SottocategorieUscite[[#Headers],[Business Uscite]],IF(OR(H196=$I$5,H196=$I$6,H196=$I$7,H196=$I$8,H196=$I$9,H196=$I$10,H196=$I$11,H196=$I$12,H196=$I$13,H196=$I$14),SottocategorieUscite[[#Headers],[Banca]],IF(OR(H196=K$5,H196=K$6,H196=K$7,H196=K$8,H196=K$9,H196=K$10,H196=K$11,H196=K$12,H196=K$13,H196=K$14),SottocategorieEntrate[[#Headers],[Business Entrate]],IF(OR(H196=L$5,H196=L$6,H196=L$7,H196=L$8,H196=L$9,H196=L$10,H196=L$11,H196=L$12,H196=L$13,H196=L$14),SottocategorieEntrate[[#Headers],[Varie Entrate]],IF(OR(H196=M$5,H196=M$6,H196=M$7,H196=M$8,H196=M$9,H196=M$10,H196=M$11,H196=M$12,H196=M$13,H196=M$14),SottocategorieEntrate[[#Headers],[Real Estate]],IF(OR(H196=N$5,H196=N$6,H196=N$7,H196=N$8,H196=N$9,H196=N$10,H196=N$11,H196=N$12,H196=N$13,H196=N$14),SottocategorieEntrate[[#Headers],[Other]],""))))))))))))</f>
        <v/>
      </c>
      <c r="J196" t="str">
        <f>IF(OR(Dati[[#This Row],[Categoria]]="Bollette",Dati[[#This Row],[Categoria]]="Conto &amp; Carte BNL",Dati[[#This Row],[Categoria]]="Prelievo",Dati[[#This Row],[Categoria]]="Affitto",Dati[[#This Row],[Categoria]]="BNL(Interessi Creditori)"),"Carta",IF(Dati[[#This Row],[Categoria]]&lt;&gt;0,"Cash",""))</f>
        <v/>
      </c>
      <c r="K196" s="59" t="str">
        <f>IF(OR(Data!$I196=SottocategorieUscite[[#Headers],[Fuori Casa]],Data!$I196=SottocategorieUscite[[#Headers],[Varie Uscite]],Data!$I196=SottocategorieUscite[[#Headers],[Personali]],Data!$I196=SottocategorieUscite[[#Headers],[Lavoro]]),"$ -","")</f>
        <v/>
      </c>
      <c r="L196" s="59" t="str">
        <f>IF(OR(Data!$I196=SottocategorieUscite[[#Headers],[Casa]],Data!$I196=SottocategorieUscite[[#Headers],[Utenze]],Data!$I196=SottocategorieUscite[[#Headers],[Business Uscite]],Data!$I196=SottocategorieUscite[[#Headers],[Banca]]),"$ -","")</f>
        <v/>
      </c>
      <c r="M196" s="59" t="str">
        <f>IF(OR($I196&lt;&gt;SottocategorieUscite[[#Headers],[Fuori Casa]],$I196&lt;&gt;SottocategorieUscite[[#Headers],[Varie Uscite]],$I196&lt;&gt;SottocategorieUscite[[#Headers],[Personali]],$I196&lt;&gt;SottocategorieUscite[[#Headers],[Lavoro]],$I196&lt;&gt;SottocategorieUscite[[#Headers],[Casa]],$I196&lt;&gt;SottocategorieUscite[[#Headers],[Utenze]],$I196&lt;&gt;SottocategorieUscite[[#Headers],[Business Uscite]],$I196&lt;&gt;SottocategorieUscite[[#Headers],[Banca]]),"","$ -")</f>
        <v/>
      </c>
      <c r="N196" s="59" t="str">
        <f>IF(OR(Data!$I196=SottocategorieEntrate[[#Headers],[Business Entrate]],Data!$I196=SottocategorieEntrate[[#Headers],[Varie Entrate]]),"$ -","")</f>
        <v/>
      </c>
      <c r="O196" s="59" t="str">
        <f>IF(OR(Data!$I196=SottocategorieEntrate[[#Headers],[Real Estate]],SottocategorieEntrate[[#Headers],[Other]]),"$ -","")</f>
        <v/>
      </c>
      <c r="P196" s="59" t="str">
        <f>IF(OR($I196&lt;&gt;SottocategorieEntrate[[#Headers],[Business Entrate]],$I196&lt;&gt;SottocategorieEntrate[[#Headers],[Varie Entrate]],$I196&lt;&gt;SottocategorieEntrate[[#Headers],[Real Estate]],$I196&lt;&gt;SottocategorieEntrate[[#Headers],[Other]]),"","$ -")</f>
        <v/>
      </c>
      <c r="Q196" s="59" t="str">
        <f>IF(Dati[[#This Row],[Categoria]]="Prelievo","€ -","")</f>
        <v/>
      </c>
      <c r="R196" s="244" t="str">
        <f t="shared" ca="1" si="8"/>
        <v/>
      </c>
      <c r="S196" s="59" t="str">
        <f>IF(Dati[[#This Row],[Categoria]]="Savings",0,"")</f>
        <v/>
      </c>
      <c r="T196" s="59"/>
      <c r="U196" s="59"/>
      <c r="V196" s="59"/>
      <c r="W196" s="59"/>
      <c r="X196" s="59"/>
      <c r="Y196" s="59"/>
      <c r="Z196" s="59"/>
      <c r="AA196" s="59"/>
      <c r="AB196" s="59"/>
      <c r="AC196" s="59"/>
      <c r="AD196" s="59"/>
      <c r="AE196" s="59"/>
      <c r="AF196" s="59"/>
      <c r="AG196" s="59"/>
      <c r="AH196" s="59"/>
      <c r="AI196" s="59" t="str">
        <f>IF(SUM(Dati[[#This Row],[Inv. Business]:[Inv. Cryptocurrency]])=0," ",SUM(Dati[[#This Row],[Inv. Business]:[Inv. Cryptocurrency]]))</f>
        <v xml:space="preserve"> </v>
      </c>
      <c r="AJ196" s="59"/>
      <c r="AK196" s="59" t="str">
        <f>IF(SUM(Dati[[#This Row],[Inv. Gold]:[Mutuo]])=0," ",SUM(Dati[[#This Row],[Inv. Gold]:[Mutuo]]))</f>
        <v xml:space="preserve"> </v>
      </c>
      <c r="AL196" s="59"/>
      <c r="AM196" s="59"/>
    </row>
    <row r="197" spans="2:39" ht="16" customHeight="1" x14ac:dyDescent="0.35">
      <c r="B197">
        <f t="shared" si="6"/>
        <v>177</v>
      </c>
      <c r="C197" s="49">
        <f t="shared" si="7"/>
        <v>45103</v>
      </c>
      <c r="D197" s="29">
        <f>DAY(Dati[[#This Row],[Data]])</f>
        <v>26</v>
      </c>
      <c r="E197" s="29" t="str">
        <f>IF(DAY(Data!$C$21:$C$1327)&gt;0,TEXT(Data!$C$21:$C$1327, "mmmm"),"")</f>
        <v>giugno</v>
      </c>
      <c r="F197" s="29" t="str">
        <f>IF(DAY(Data!$C$21:$C$1327)&gt;0,TEXT(Data!$C$21:$C$1327, "aaaa"),"")</f>
        <v>2023</v>
      </c>
      <c r="I197" t="str">
        <f>IF(OR(H197=$B$5,H197=$B$6,H197=$B$7,H197=$B$8,H197=$B$9,H197=$B$10,H197=$B$11,H197=$B$12,H197=$B$13,H197=$B$14),SottocategorieUscite[[#Headers],[Fuori Casa]],IF(OR(H197=$C$5,H197=$C$6,H197=$C$7,H197=$C$8,H197=$C$9,H197=$C$10,H197=$C$11,H197=$C$12,H197=$C$13,H197=$C$14),SottocategorieUscite[[#Headers],[Varie Uscite]],IF(OR(H197=$D$5,H197=$D$6,H197=$D$7,H197=$D$8,H197=$D$9,H197=$D$10,H197=$D$11,H197=$D$12,H197=$D$13,H197=$D$14),SottocategorieUscite[[#Headers],[Personali]],IF(OR(H197=$E$5,H197=$E$6,H197=$E$7,H197=$E$8,H197=$E$9,H197=$E$10,H197=$E$11,H197=$E$12,H197=$E$13,H197=$E$14),SottocategorieUscite[[#Headers],[Lavoro]],IF(OR(H197=$F$5,H197=$F$6,H197=$F$7,H197=$F$8,H197=$F$9,H197=$F$10,H197=$F$11,H197=$F$12,H197=$F$13,H197=$F$14),SottocategorieUscite[[#Headers],[Casa]],IF(OR(H197=$G$5,H197=$G$6,H197=$G$7,H197=$G$8,H197=$G$9,H197=$G$10,H197=$G$11,H197=$G$12,H197=$G$13,H197=$G$14),SottocategorieUscite[[#Headers],[Utenze]],IF(OR(H197=$H$5,H197=$H$6,H197=$H$7,H197=$H$8,H197=$H$9,H197=$H$10,H197=$H$11,H197=$H$12,H197=$H$13,H197=$H$14),SottocategorieUscite[[#Headers],[Business Uscite]],IF(OR(H197=$I$5,H197=$I$6,H197=$I$7,H197=$I$8,H197=$I$9,H197=$I$10,H197=$I$11,H197=$I$12,H197=$I$13,H197=$I$14),SottocategorieUscite[[#Headers],[Banca]],IF(OR(H197=K$5,H197=K$6,H197=K$7,H197=K$8,H197=K$9,H197=K$10,H197=K$11,H197=K$12,H197=K$13,H197=K$14),SottocategorieEntrate[[#Headers],[Business Entrate]],IF(OR(H197=L$5,H197=L$6,H197=L$7,H197=L$8,H197=L$9,H197=L$10,H197=L$11,H197=L$12,H197=L$13,H197=L$14),SottocategorieEntrate[[#Headers],[Varie Entrate]],IF(OR(H197=M$5,H197=M$6,H197=M$7,H197=M$8,H197=M$9,H197=M$10,H197=M$11,H197=M$12,H197=M$13,H197=M$14),SottocategorieEntrate[[#Headers],[Real Estate]],IF(OR(H197=N$5,H197=N$6,H197=N$7,H197=N$8,H197=N$9,H197=N$10,H197=N$11,H197=N$12,H197=N$13,H197=N$14),SottocategorieEntrate[[#Headers],[Other]],""))))))))))))</f>
        <v/>
      </c>
      <c r="J197" t="str">
        <f>IF(OR(Dati[[#This Row],[Categoria]]="Bollette",Dati[[#This Row],[Categoria]]="Conto &amp; Carte BNL",Dati[[#This Row],[Categoria]]="Prelievo",Dati[[#This Row],[Categoria]]="Affitto",Dati[[#This Row],[Categoria]]="BNL(Interessi Creditori)"),"Carta",IF(Dati[[#This Row],[Categoria]]&lt;&gt;0,"Cash",""))</f>
        <v/>
      </c>
      <c r="K197" s="59" t="str">
        <f>IF(OR(Data!$I197=SottocategorieUscite[[#Headers],[Fuori Casa]],Data!$I197=SottocategorieUscite[[#Headers],[Varie Uscite]],Data!$I197=SottocategorieUscite[[#Headers],[Personali]],Data!$I197=SottocategorieUscite[[#Headers],[Lavoro]]),"$ -","")</f>
        <v/>
      </c>
      <c r="L197" s="59" t="str">
        <f>IF(OR(Data!$I197=SottocategorieUscite[[#Headers],[Casa]],Data!$I197=SottocategorieUscite[[#Headers],[Utenze]],Data!$I197=SottocategorieUscite[[#Headers],[Business Uscite]],Data!$I197=SottocategorieUscite[[#Headers],[Banca]]),"$ -","")</f>
        <v/>
      </c>
      <c r="M197" s="59" t="str">
        <f>IF(OR($I197&lt;&gt;SottocategorieUscite[[#Headers],[Fuori Casa]],$I197&lt;&gt;SottocategorieUscite[[#Headers],[Varie Uscite]],$I197&lt;&gt;SottocategorieUscite[[#Headers],[Personali]],$I197&lt;&gt;SottocategorieUscite[[#Headers],[Lavoro]],$I197&lt;&gt;SottocategorieUscite[[#Headers],[Casa]],$I197&lt;&gt;SottocategorieUscite[[#Headers],[Utenze]],$I197&lt;&gt;SottocategorieUscite[[#Headers],[Business Uscite]],$I197&lt;&gt;SottocategorieUscite[[#Headers],[Banca]]),"","$ -")</f>
        <v/>
      </c>
      <c r="N197" s="59" t="str">
        <f>IF(OR(Data!$I197=SottocategorieEntrate[[#Headers],[Business Entrate]],Data!$I197=SottocategorieEntrate[[#Headers],[Varie Entrate]]),"$ -","")</f>
        <v/>
      </c>
      <c r="O197" s="59" t="str">
        <f>IF(OR(Data!$I197=SottocategorieEntrate[[#Headers],[Real Estate]],SottocategorieEntrate[[#Headers],[Other]]),"$ -","")</f>
        <v/>
      </c>
      <c r="P197" s="59" t="str">
        <f>IF(OR($I197&lt;&gt;SottocategorieEntrate[[#Headers],[Business Entrate]],$I197&lt;&gt;SottocategorieEntrate[[#Headers],[Varie Entrate]],$I197&lt;&gt;SottocategorieEntrate[[#Headers],[Real Estate]],$I197&lt;&gt;SottocategorieEntrate[[#Headers],[Other]]),"","$ -")</f>
        <v/>
      </c>
      <c r="Q197" s="59" t="str">
        <f>IF(Dati[[#This Row],[Categoria]]="Prelievo","€ -","")</f>
        <v/>
      </c>
      <c r="R197" s="244" t="str">
        <f t="shared" ca="1" si="8"/>
        <v/>
      </c>
      <c r="S197" s="59" t="str">
        <f>IF(Dati[[#This Row],[Categoria]]="Savings",0,"")</f>
        <v/>
      </c>
      <c r="T197" s="59"/>
      <c r="U197" s="59"/>
      <c r="V197" s="59"/>
      <c r="W197" s="59"/>
      <c r="X197" s="59"/>
      <c r="Y197" s="59"/>
      <c r="Z197" s="59"/>
      <c r="AA197" s="59"/>
      <c r="AB197" s="59"/>
      <c r="AC197" s="59"/>
      <c r="AD197" s="59"/>
      <c r="AE197" s="59"/>
      <c r="AF197" s="59"/>
      <c r="AG197" s="59"/>
      <c r="AH197" s="59"/>
      <c r="AI197" s="59" t="str">
        <f>IF(SUM(Dati[[#This Row],[Inv. Business]:[Inv. Cryptocurrency]])=0," ",SUM(Dati[[#This Row],[Inv. Business]:[Inv. Cryptocurrency]]))</f>
        <v xml:space="preserve"> </v>
      </c>
      <c r="AJ197" s="59"/>
      <c r="AK197" s="59" t="str">
        <f>IF(SUM(Dati[[#This Row],[Inv. Gold]:[Mutuo]])=0," ",SUM(Dati[[#This Row],[Inv. Gold]:[Mutuo]]))</f>
        <v xml:space="preserve"> </v>
      </c>
      <c r="AL197" s="59"/>
      <c r="AM197" s="59"/>
    </row>
    <row r="198" spans="2:39" ht="16" customHeight="1" x14ac:dyDescent="0.35">
      <c r="B198">
        <f t="shared" si="6"/>
        <v>178</v>
      </c>
      <c r="C198" s="49">
        <f t="shared" si="7"/>
        <v>45104</v>
      </c>
      <c r="D198" s="29">
        <f>DAY(Dati[[#This Row],[Data]])</f>
        <v>27</v>
      </c>
      <c r="E198" s="29" t="str">
        <f>IF(DAY(Data!$C$21:$C$1327)&gt;0,TEXT(Data!$C$21:$C$1327, "mmmm"),"")</f>
        <v>giugno</v>
      </c>
      <c r="F198" s="29" t="str">
        <f>IF(DAY(Data!$C$21:$C$1327)&gt;0,TEXT(Data!$C$21:$C$1327, "aaaa"),"")</f>
        <v>2023</v>
      </c>
      <c r="I198" t="str">
        <f>IF(OR(H198=$B$5,H198=$B$6,H198=$B$7,H198=$B$8,H198=$B$9,H198=$B$10,H198=$B$11,H198=$B$12,H198=$B$13,H198=$B$14),SottocategorieUscite[[#Headers],[Fuori Casa]],IF(OR(H198=$C$5,H198=$C$6,H198=$C$7,H198=$C$8,H198=$C$9,H198=$C$10,H198=$C$11,H198=$C$12,H198=$C$13,H198=$C$14),SottocategorieUscite[[#Headers],[Varie Uscite]],IF(OR(H198=$D$5,H198=$D$6,H198=$D$7,H198=$D$8,H198=$D$9,H198=$D$10,H198=$D$11,H198=$D$12,H198=$D$13,H198=$D$14),SottocategorieUscite[[#Headers],[Personali]],IF(OR(H198=$E$5,H198=$E$6,H198=$E$7,H198=$E$8,H198=$E$9,H198=$E$10,H198=$E$11,H198=$E$12,H198=$E$13,H198=$E$14),SottocategorieUscite[[#Headers],[Lavoro]],IF(OR(H198=$F$5,H198=$F$6,H198=$F$7,H198=$F$8,H198=$F$9,H198=$F$10,H198=$F$11,H198=$F$12,H198=$F$13,H198=$F$14),SottocategorieUscite[[#Headers],[Casa]],IF(OR(H198=$G$5,H198=$G$6,H198=$G$7,H198=$G$8,H198=$G$9,H198=$G$10,H198=$G$11,H198=$G$12,H198=$G$13,H198=$G$14),SottocategorieUscite[[#Headers],[Utenze]],IF(OR(H198=$H$5,H198=$H$6,H198=$H$7,H198=$H$8,H198=$H$9,H198=$H$10,H198=$H$11,H198=$H$12,H198=$H$13,H198=$H$14),SottocategorieUscite[[#Headers],[Business Uscite]],IF(OR(H198=$I$5,H198=$I$6,H198=$I$7,H198=$I$8,H198=$I$9,H198=$I$10,H198=$I$11,H198=$I$12,H198=$I$13,H198=$I$14),SottocategorieUscite[[#Headers],[Banca]],IF(OR(H198=K$5,H198=K$6,H198=K$7,H198=K$8,H198=K$9,H198=K$10,H198=K$11,H198=K$12,H198=K$13,H198=K$14),SottocategorieEntrate[[#Headers],[Business Entrate]],IF(OR(H198=L$5,H198=L$6,H198=L$7,H198=L$8,H198=L$9,H198=L$10,H198=L$11,H198=L$12,H198=L$13,H198=L$14),SottocategorieEntrate[[#Headers],[Varie Entrate]],IF(OR(H198=M$5,H198=M$6,H198=M$7,H198=M$8,H198=M$9,H198=M$10,H198=M$11,H198=M$12,H198=M$13,H198=M$14),SottocategorieEntrate[[#Headers],[Real Estate]],IF(OR(H198=N$5,H198=N$6,H198=N$7,H198=N$8,H198=N$9,H198=N$10,H198=N$11,H198=N$12,H198=N$13,H198=N$14),SottocategorieEntrate[[#Headers],[Other]],""))))))))))))</f>
        <v/>
      </c>
      <c r="J198" t="str">
        <f>IF(OR(Dati[[#This Row],[Categoria]]="Bollette",Dati[[#This Row],[Categoria]]="Conto &amp; Carte BNL",Dati[[#This Row],[Categoria]]="Prelievo",Dati[[#This Row],[Categoria]]="Affitto",Dati[[#This Row],[Categoria]]="BNL(Interessi Creditori)"),"Carta",IF(Dati[[#This Row],[Categoria]]&lt;&gt;0,"Cash",""))</f>
        <v/>
      </c>
      <c r="K198" s="59" t="str">
        <f>IF(OR(Data!$I198=SottocategorieUscite[[#Headers],[Fuori Casa]],Data!$I198=SottocategorieUscite[[#Headers],[Varie Uscite]],Data!$I198=SottocategorieUscite[[#Headers],[Personali]],Data!$I198=SottocategorieUscite[[#Headers],[Lavoro]]),"$ -","")</f>
        <v/>
      </c>
      <c r="L198" s="59" t="str">
        <f>IF(OR(Data!$I198=SottocategorieUscite[[#Headers],[Casa]],Data!$I198=SottocategorieUscite[[#Headers],[Utenze]],Data!$I198=SottocategorieUscite[[#Headers],[Business Uscite]],Data!$I198=SottocategorieUscite[[#Headers],[Banca]]),"$ -","")</f>
        <v/>
      </c>
      <c r="M198" s="59" t="str">
        <f>IF(OR($I198&lt;&gt;SottocategorieUscite[[#Headers],[Fuori Casa]],$I198&lt;&gt;SottocategorieUscite[[#Headers],[Varie Uscite]],$I198&lt;&gt;SottocategorieUscite[[#Headers],[Personali]],$I198&lt;&gt;SottocategorieUscite[[#Headers],[Lavoro]],$I198&lt;&gt;SottocategorieUscite[[#Headers],[Casa]],$I198&lt;&gt;SottocategorieUscite[[#Headers],[Utenze]],$I198&lt;&gt;SottocategorieUscite[[#Headers],[Business Uscite]],$I198&lt;&gt;SottocategorieUscite[[#Headers],[Banca]]),"","$ -")</f>
        <v/>
      </c>
      <c r="N198" s="59" t="str">
        <f>IF(OR(Data!$I198=SottocategorieEntrate[[#Headers],[Business Entrate]],Data!$I198=SottocategorieEntrate[[#Headers],[Varie Entrate]]),"$ -","")</f>
        <v/>
      </c>
      <c r="O198" s="59" t="str">
        <f>IF(OR(Data!$I198=SottocategorieEntrate[[#Headers],[Real Estate]],SottocategorieEntrate[[#Headers],[Other]]),"$ -","")</f>
        <v/>
      </c>
      <c r="P198" s="59" t="str">
        <f>IF(OR($I198&lt;&gt;SottocategorieEntrate[[#Headers],[Business Entrate]],$I198&lt;&gt;SottocategorieEntrate[[#Headers],[Varie Entrate]],$I198&lt;&gt;SottocategorieEntrate[[#Headers],[Real Estate]],$I198&lt;&gt;SottocategorieEntrate[[#Headers],[Other]]),"","$ -")</f>
        <v/>
      </c>
      <c r="Q198" s="59" t="str">
        <f>IF(Dati[[#This Row],[Categoria]]="Prelievo","€ -","")</f>
        <v/>
      </c>
      <c r="R198" s="244" t="str">
        <f t="shared" ca="1" si="8"/>
        <v/>
      </c>
      <c r="S198" s="59" t="str">
        <f>IF(Dati[[#This Row],[Categoria]]="Savings",0,"")</f>
        <v/>
      </c>
      <c r="T198" s="59"/>
      <c r="U198" s="59"/>
      <c r="V198" s="59"/>
      <c r="W198" s="59"/>
      <c r="X198" s="59"/>
      <c r="Y198" s="59"/>
      <c r="Z198" s="59"/>
      <c r="AA198" s="59"/>
      <c r="AB198" s="59"/>
      <c r="AC198" s="59"/>
      <c r="AD198" s="59"/>
      <c r="AE198" s="59"/>
      <c r="AF198" s="59"/>
      <c r="AG198" s="59"/>
      <c r="AH198" s="59"/>
      <c r="AI198" s="59" t="str">
        <f>IF(SUM(Dati[[#This Row],[Inv. Business]:[Inv. Cryptocurrency]])=0," ",SUM(Dati[[#This Row],[Inv. Business]:[Inv. Cryptocurrency]]))</f>
        <v xml:space="preserve"> </v>
      </c>
      <c r="AJ198" s="59"/>
      <c r="AK198" s="59" t="str">
        <f>IF(SUM(Dati[[#This Row],[Inv. Gold]:[Mutuo]])=0," ",SUM(Dati[[#This Row],[Inv. Gold]:[Mutuo]]))</f>
        <v xml:space="preserve"> </v>
      </c>
      <c r="AL198" s="59"/>
      <c r="AM198" s="59"/>
    </row>
    <row r="199" spans="2:39" ht="16" customHeight="1" x14ac:dyDescent="0.35">
      <c r="B199">
        <f t="shared" si="6"/>
        <v>179</v>
      </c>
      <c r="C199" s="49">
        <f t="shared" si="7"/>
        <v>45105</v>
      </c>
      <c r="D199" s="29">
        <f>DAY(Dati[[#This Row],[Data]])</f>
        <v>28</v>
      </c>
      <c r="E199" s="29" t="str">
        <f>IF(DAY(Data!$C$21:$C$1327)&gt;0,TEXT(Data!$C$21:$C$1327, "mmmm"),"")</f>
        <v>giugno</v>
      </c>
      <c r="F199" s="29" t="str">
        <f>IF(DAY(Data!$C$21:$C$1327)&gt;0,TEXT(Data!$C$21:$C$1327, "aaaa"),"")</f>
        <v>2023</v>
      </c>
      <c r="I199" t="str">
        <f>IF(OR(H199=$B$5,H199=$B$6,H199=$B$7,H199=$B$8,H199=$B$9,H199=$B$10,H199=$B$11,H199=$B$12,H199=$B$13,H199=$B$14),SottocategorieUscite[[#Headers],[Fuori Casa]],IF(OR(H199=$C$5,H199=$C$6,H199=$C$7,H199=$C$8,H199=$C$9,H199=$C$10,H199=$C$11,H199=$C$12,H199=$C$13,H199=$C$14),SottocategorieUscite[[#Headers],[Varie Uscite]],IF(OR(H199=$D$5,H199=$D$6,H199=$D$7,H199=$D$8,H199=$D$9,H199=$D$10,H199=$D$11,H199=$D$12,H199=$D$13,H199=$D$14),SottocategorieUscite[[#Headers],[Personali]],IF(OR(H199=$E$5,H199=$E$6,H199=$E$7,H199=$E$8,H199=$E$9,H199=$E$10,H199=$E$11,H199=$E$12,H199=$E$13,H199=$E$14),SottocategorieUscite[[#Headers],[Lavoro]],IF(OR(H199=$F$5,H199=$F$6,H199=$F$7,H199=$F$8,H199=$F$9,H199=$F$10,H199=$F$11,H199=$F$12,H199=$F$13,H199=$F$14),SottocategorieUscite[[#Headers],[Casa]],IF(OR(H199=$G$5,H199=$G$6,H199=$G$7,H199=$G$8,H199=$G$9,H199=$G$10,H199=$G$11,H199=$G$12,H199=$G$13,H199=$G$14),SottocategorieUscite[[#Headers],[Utenze]],IF(OR(H199=$H$5,H199=$H$6,H199=$H$7,H199=$H$8,H199=$H$9,H199=$H$10,H199=$H$11,H199=$H$12,H199=$H$13,H199=$H$14),SottocategorieUscite[[#Headers],[Business Uscite]],IF(OR(H199=$I$5,H199=$I$6,H199=$I$7,H199=$I$8,H199=$I$9,H199=$I$10,H199=$I$11,H199=$I$12,H199=$I$13,H199=$I$14),SottocategorieUscite[[#Headers],[Banca]],IF(OR(H199=K$5,H199=K$6,H199=K$7,H199=K$8,H199=K$9,H199=K$10,H199=K$11,H199=K$12,H199=K$13,H199=K$14),SottocategorieEntrate[[#Headers],[Business Entrate]],IF(OR(H199=L$5,H199=L$6,H199=L$7,H199=L$8,H199=L$9,H199=L$10,H199=L$11,H199=L$12,H199=L$13,H199=L$14),SottocategorieEntrate[[#Headers],[Varie Entrate]],IF(OR(H199=M$5,H199=M$6,H199=M$7,H199=M$8,H199=M$9,H199=M$10,H199=M$11,H199=M$12,H199=M$13,H199=M$14),SottocategorieEntrate[[#Headers],[Real Estate]],IF(OR(H199=N$5,H199=N$6,H199=N$7,H199=N$8,H199=N$9,H199=N$10,H199=N$11,H199=N$12,H199=N$13,H199=N$14),SottocategorieEntrate[[#Headers],[Other]],""))))))))))))</f>
        <v/>
      </c>
      <c r="J199" t="str">
        <f>IF(OR(Dati[[#This Row],[Categoria]]="Bollette",Dati[[#This Row],[Categoria]]="Conto &amp; Carte BNL",Dati[[#This Row],[Categoria]]="Prelievo",Dati[[#This Row],[Categoria]]="Affitto",Dati[[#This Row],[Categoria]]="BNL(Interessi Creditori)"),"Carta",IF(Dati[[#This Row],[Categoria]]&lt;&gt;0,"Cash",""))</f>
        <v/>
      </c>
      <c r="K199" s="59" t="str">
        <f>IF(OR(Data!$I199=SottocategorieUscite[[#Headers],[Fuori Casa]],Data!$I199=SottocategorieUscite[[#Headers],[Varie Uscite]],Data!$I199=SottocategorieUscite[[#Headers],[Personali]],Data!$I199=SottocategorieUscite[[#Headers],[Lavoro]]),"$ -","")</f>
        <v/>
      </c>
      <c r="L199" s="59" t="str">
        <f>IF(OR(Data!$I199=SottocategorieUscite[[#Headers],[Casa]],Data!$I199=SottocategorieUscite[[#Headers],[Utenze]],Data!$I199=SottocategorieUscite[[#Headers],[Business Uscite]],Data!$I199=SottocategorieUscite[[#Headers],[Banca]]),"$ -","")</f>
        <v/>
      </c>
      <c r="M199" s="59" t="str">
        <f>IF(OR($I199&lt;&gt;SottocategorieUscite[[#Headers],[Fuori Casa]],$I199&lt;&gt;SottocategorieUscite[[#Headers],[Varie Uscite]],$I199&lt;&gt;SottocategorieUscite[[#Headers],[Personali]],$I199&lt;&gt;SottocategorieUscite[[#Headers],[Lavoro]],$I199&lt;&gt;SottocategorieUscite[[#Headers],[Casa]],$I199&lt;&gt;SottocategorieUscite[[#Headers],[Utenze]],$I199&lt;&gt;SottocategorieUscite[[#Headers],[Business Uscite]],$I199&lt;&gt;SottocategorieUscite[[#Headers],[Banca]]),"","$ -")</f>
        <v/>
      </c>
      <c r="N199" s="59" t="str">
        <f>IF(OR(Data!$I199=SottocategorieEntrate[[#Headers],[Business Entrate]],Data!$I199=SottocategorieEntrate[[#Headers],[Varie Entrate]]),"$ -","")</f>
        <v/>
      </c>
      <c r="O199" s="59" t="str">
        <f>IF(OR(Data!$I199=SottocategorieEntrate[[#Headers],[Real Estate]],SottocategorieEntrate[[#Headers],[Other]]),"$ -","")</f>
        <v/>
      </c>
      <c r="P199" s="59" t="str">
        <f>IF(OR($I199&lt;&gt;SottocategorieEntrate[[#Headers],[Business Entrate]],$I199&lt;&gt;SottocategorieEntrate[[#Headers],[Varie Entrate]],$I199&lt;&gt;SottocategorieEntrate[[#Headers],[Real Estate]],$I199&lt;&gt;SottocategorieEntrate[[#Headers],[Other]]),"","$ -")</f>
        <v/>
      </c>
      <c r="Q199" s="59" t="str">
        <f>IF(Dati[[#This Row],[Categoria]]="Prelievo","€ -","")</f>
        <v/>
      </c>
      <c r="R199" s="244" t="str">
        <f t="shared" ca="1" si="8"/>
        <v/>
      </c>
      <c r="S199" s="59" t="str">
        <f>IF(Dati[[#This Row],[Categoria]]="Savings",0,"")</f>
        <v/>
      </c>
      <c r="T199" s="59"/>
      <c r="U199" s="59"/>
      <c r="V199" s="59"/>
      <c r="W199" s="59"/>
      <c r="X199" s="59"/>
      <c r="Y199" s="59"/>
      <c r="Z199" s="59"/>
      <c r="AA199" s="59"/>
      <c r="AB199" s="59"/>
      <c r="AC199" s="59"/>
      <c r="AD199" s="59"/>
      <c r="AE199" s="59"/>
      <c r="AF199" s="59"/>
      <c r="AG199" s="59"/>
      <c r="AH199" s="59"/>
      <c r="AI199" s="59" t="str">
        <f>IF(SUM(Dati[[#This Row],[Inv. Business]:[Inv. Cryptocurrency]])=0," ",SUM(Dati[[#This Row],[Inv. Business]:[Inv. Cryptocurrency]]))</f>
        <v xml:space="preserve"> </v>
      </c>
      <c r="AJ199" s="59"/>
      <c r="AK199" s="59" t="str">
        <f>IF(SUM(Dati[[#This Row],[Inv. Gold]:[Mutuo]])=0," ",SUM(Dati[[#This Row],[Inv. Gold]:[Mutuo]]))</f>
        <v xml:space="preserve"> </v>
      </c>
      <c r="AL199" s="59"/>
      <c r="AM199" s="59"/>
    </row>
    <row r="200" spans="2:39" ht="16" customHeight="1" x14ac:dyDescent="0.35">
      <c r="B200">
        <f t="shared" si="6"/>
        <v>180</v>
      </c>
      <c r="C200" s="49">
        <f t="shared" si="7"/>
        <v>45106</v>
      </c>
      <c r="D200" s="29">
        <f>DAY(Dati[[#This Row],[Data]])</f>
        <v>29</v>
      </c>
      <c r="E200" s="29" t="str">
        <f>IF(DAY(Data!$C$21:$C$1327)&gt;0,TEXT(Data!$C$21:$C$1327, "mmmm"),"")</f>
        <v>giugno</v>
      </c>
      <c r="F200" s="29" t="str">
        <f>IF(DAY(Data!$C$21:$C$1327)&gt;0,TEXT(Data!$C$21:$C$1327, "aaaa"),"")</f>
        <v>2023</v>
      </c>
      <c r="I200" t="str">
        <f>IF(OR(H200=$B$5,H200=$B$6,H200=$B$7,H200=$B$8,H200=$B$9,H200=$B$10,H200=$B$11,H200=$B$12,H200=$B$13,H200=$B$14),SottocategorieUscite[[#Headers],[Fuori Casa]],IF(OR(H200=$C$5,H200=$C$6,H200=$C$7,H200=$C$8,H200=$C$9,H200=$C$10,H200=$C$11,H200=$C$12,H200=$C$13,H200=$C$14),SottocategorieUscite[[#Headers],[Varie Uscite]],IF(OR(H200=$D$5,H200=$D$6,H200=$D$7,H200=$D$8,H200=$D$9,H200=$D$10,H200=$D$11,H200=$D$12,H200=$D$13,H200=$D$14),SottocategorieUscite[[#Headers],[Personali]],IF(OR(H200=$E$5,H200=$E$6,H200=$E$7,H200=$E$8,H200=$E$9,H200=$E$10,H200=$E$11,H200=$E$12,H200=$E$13,H200=$E$14),SottocategorieUscite[[#Headers],[Lavoro]],IF(OR(H200=$F$5,H200=$F$6,H200=$F$7,H200=$F$8,H200=$F$9,H200=$F$10,H200=$F$11,H200=$F$12,H200=$F$13,H200=$F$14),SottocategorieUscite[[#Headers],[Casa]],IF(OR(H200=$G$5,H200=$G$6,H200=$G$7,H200=$G$8,H200=$G$9,H200=$G$10,H200=$G$11,H200=$G$12,H200=$G$13,H200=$G$14),SottocategorieUscite[[#Headers],[Utenze]],IF(OR(H200=$H$5,H200=$H$6,H200=$H$7,H200=$H$8,H200=$H$9,H200=$H$10,H200=$H$11,H200=$H$12,H200=$H$13,H200=$H$14),SottocategorieUscite[[#Headers],[Business Uscite]],IF(OR(H200=$I$5,H200=$I$6,H200=$I$7,H200=$I$8,H200=$I$9,H200=$I$10,H200=$I$11,H200=$I$12,H200=$I$13,H200=$I$14),SottocategorieUscite[[#Headers],[Banca]],IF(OR(H200=K$5,H200=K$6,H200=K$7,H200=K$8,H200=K$9,H200=K$10,H200=K$11,H200=K$12,H200=K$13,H200=K$14),SottocategorieEntrate[[#Headers],[Business Entrate]],IF(OR(H200=L$5,H200=L$6,H200=L$7,H200=L$8,H200=L$9,H200=L$10,H200=L$11,H200=L$12,H200=L$13,H200=L$14),SottocategorieEntrate[[#Headers],[Varie Entrate]],IF(OR(H200=M$5,H200=M$6,H200=M$7,H200=M$8,H200=M$9,H200=M$10,H200=M$11,H200=M$12,H200=M$13,H200=M$14),SottocategorieEntrate[[#Headers],[Real Estate]],IF(OR(H200=N$5,H200=N$6,H200=N$7,H200=N$8,H200=N$9,H200=N$10,H200=N$11,H200=N$12,H200=N$13,H200=N$14),SottocategorieEntrate[[#Headers],[Other]],""))))))))))))</f>
        <v/>
      </c>
      <c r="J200" t="str">
        <f>IF(OR(Dati[[#This Row],[Categoria]]="Bollette",Dati[[#This Row],[Categoria]]="Conto &amp; Carte BNL",Dati[[#This Row],[Categoria]]="Prelievo",Dati[[#This Row],[Categoria]]="Affitto",Dati[[#This Row],[Categoria]]="BNL(Interessi Creditori)"),"Carta",IF(Dati[[#This Row],[Categoria]]&lt;&gt;0,"Cash",""))</f>
        <v/>
      </c>
      <c r="K200" s="59" t="str">
        <f>IF(OR(Data!$I200=SottocategorieUscite[[#Headers],[Fuori Casa]],Data!$I200=SottocategorieUscite[[#Headers],[Varie Uscite]],Data!$I200=SottocategorieUscite[[#Headers],[Personali]],Data!$I200=SottocategorieUscite[[#Headers],[Lavoro]]),"$ -","")</f>
        <v/>
      </c>
      <c r="L200" s="59" t="str">
        <f>IF(OR(Data!$I200=SottocategorieUscite[[#Headers],[Casa]],Data!$I200=SottocategorieUscite[[#Headers],[Utenze]],Data!$I200=SottocategorieUscite[[#Headers],[Business Uscite]],Data!$I200=SottocategorieUscite[[#Headers],[Banca]]),"$ -","")</f>
        <v/>
      </c>
      <c r="M200" s="59" t="str">
        <f>IF(OR($I200&lt;&gt;SottocategorieUscite[[#Headers],[Fuori Casa]],$I200&lt;&gt;SottocategorieUscite[[#Headers],[Varie Uscite]],$I200&lt;&gt;SottocategorieUscite[[#Headers],[Personali]],$I200&lt;&gt;SottocategorieUscite[[#Headers],[Lavoro]],$I200&lt;&gt;SottocategorieUscite[[#Headers],[Casa]],$I200&lt;&gt;SottocategorieUscite[[#Headers],[Utenze]],$I200&lt;&gt;SottocategorieUscite[[#Headers],[Business Uscite]],$I200&lt;&gt;SottocategorieUscite[[#Headers],[Banca]]),"","$ -")</f>
        <v/>
      </c>
      <c r="N200" s="59" t="str">
        <f>IF(OR(Data!$I200=SottocategorieEntrate[[#Headers],[Business Entrate]],Data!$I200=SottocategorieEntrate[[#Headers],[Varie Entrate]]),"$ -","")</f>
        <v/>
      </c>
      <c r="O200" s="59" t="str">
        <f>IF(OR(Data!$I200=SottocategorieEntrate[[#Headers],[Real Estate]],SottocategorieEntrate[[#Headers],[Other]]),"$ -","")</f>
        <v/>
      </c>
      <c r="P200" s="59" t="str">
        <f>IF(OR($I200&lt;&gt;SottocategorieEntrate[[#Headers],[Business Entrate]],$I200&lt;&gt;SottocategorieEntrate[[#Headers],[Varie Entrate]],$I200&lt;&gt;SottocategorieEntrate[[#Headers],[Real Estate]],$I200&lt;&gt;SottocategorieEntrate[[#Headers],[Other]]),"","$ -")</f>
        <v/>
      </c>
      <c r="Q200" s="59" t="str">
        <f>IF(Dati[[#This Row],[Categoria]]="Prelievo","€ -","")</f>
        <v/>
      </c>
      <c r="R200" s="244" t="str">
        <f t="shared" ca="1" si="8"/>
        <v/>
      </c>
      <c r="S200" s="59" t="str">
        <f>IF(Dati[[#This Row],[Categoria]]="Savings",0,"")</f>
        <v/>
      </c>
      <c r="T200" s="59"/>
      <c r="U200" s="59"/>
      <c r="V200" s="59"/>
      <c r="W200" s="59"/>
      <c r="X200" s="59"/>
      <c r="Y200" s="59"/>
      <c r="Z200" s="59"/>
      <c r="AA200" s="59"/>
      <c r="AB200" s="59"/>
      <c r="AC200" s="59"/>
      <c r="AD200" s="59"/>
      <c r="AE200" s="59"/>
      <c r="AF200" s="59"/>
      <c r="AG200" s="59"/>
      <c r="AH200" s="59"/>
      <c r="AI200" s="59" t="str">
        <f>IF(SUM(Dati[[#This Row],[Inv. Business]:[Inv. Cryptocurrency]])=0," ",SUM(Dati[[#This Row],[Inv. Business]:[Inv. Cryptocurrency]]))</f>
        <v xml:space="preserve"> </v>
      </c>
      <c r="AJ200" s="59"/>
      <c r="AK200" s="59" t="str">
        <f>IF(SUM(Dati[[#This Row],[Inv. Gold]:[Mutuo]])=0," ",SUM(Dati[[#This Row],[Inv. Gold]:[Mutuo]]))</f>
        <v xml:space="preserve"> </v>
      </c>
      <c r="AL200" s="59"/>
      <c r="AM200" s="59"/>
    </row>
    <row r="201" spans="2:39" ht="16" customHeight="1" x14ac:dyDescent="0.35">
      <c r="B201">
        <f t="shared" si="6"/>
        <v>181</v>
      </c>
      <c r="C201" s="49">
        <f t="shared" si="7"/>
        <v>45107</v>
      </c>
      <c r="D201" s="29">
        <f>DAY(Dati[[#This Row],[Data]])</f>
        <v>30</v>
      </c>
      <c r="E201" s="29" t="str">
        <f>IF(DAY(Data!$C$21:$C$1327)&gt;0,TEXT(Data!$C$21:$C$1327, "mmmm"),"")</f>
        <v>giugno</v>
      </c>
      <c r="F201" s="29" t="str">
        <f>IF(DAY(Data!$C$21:$C$1327)&gt;0,TEXT(Data!$C$21:$C$1327, "aaaa"),"")</f>
        <v>2023</v>
      </c>
      <c r="I201" t="str">
        <f>IF(OR(H201=$B$5,H201=$B$6,H201=$B$7,H201=$B$8,H201=$B$9,H201=$B$10,H201=$B$11,H201=$B$12,H201=$B$13,H201=$B$14),SottocategorieUscite[[#Headers],[Fuori Casa]],IF(OR(H201=$C$5,H201=$C$6,H201=$C$7,H201=$C$8,H201=$C$9,H201=$C$10,H201=$C$11,H201=$C$12,H201=$C$13,H201=$C$14),SottocategorieUscite[[#Headers],[Varie Uscite]],IF(OR(H201=$D$5,H201=$D$6,H201=$D$7,H201=$D$8,H201=$D$9,H201=$D$10,H201=$D$11,H201=$D$12,H201=$D$13,H201=$D$14),SottocategorieUscite[[#Headers],[Personali]],IF(OR(H201=$E$5,H201=$E$6,H201=$E$7,H201=$E$8,H201=$E$9,H201=$E$10,H201=$E$11,H201=$E$12,H201=$E$13,H201=$E$14),SottocategorieUscite[[#Headers],[Lavoro]],IF(OR(H201=$F$5,H201=$F$6,H201=$F$7,H201=$F$8,H201=$F$9,H201=$F$10,H201=$F$11,H201=$F$12,H201=$F$13,H201=$F$14),SottocategorieUscite[[#Headers],[Casa]],IF(OR(H201=$G$5,H201=$G$6,H201=$G$7,H201=$G$8,H201=$G$9,H201=$G$10,H201=$G$11,H201=$G$12,H201=$G$13,H201=$G$14),SottocategorieUscite[[#Headers],[Utenze]],IF(OR(H201=$H$5,H201=$H$6,H201=$H$7,H201=$H$8,H201=$H$9,H201=$H$10,H201=$H$11,H201=$H$12,H201=$H$13,H201=$H$14),SottocategorieUscite[[#Headers],[Business Uscite]],IF(OR(H201=$I$5,H201=$I$6,H201=$I$7,H201=$I$8,H201=$I$9,H201=$I$10,H201=$I$11,H201=$I$12,H201=$I$13,H201=$I$14),SottocategorieUscite[[#Headers],[Banca]],IF(OR(H201=K$5,H201=K$6,H201=K$7,H201=K$8,H201=K$9,H201=K$10,H201=K$11,H201=K$12,H201=K$13,H201=K$14),SottocategorieEntrate[[#Headers],[Business Entrate]],IF(OR(H201=L$5,H201=L$6,H201=L$7,H201=L$8,H201=L$9,H201=L$10,H201=L$11,H201=L$12,H201=L$13,H201=L$14),SottocategorieEntrate[[#Headers],[Varie Entrate]],IF(OR(H201=M$5,H201=M$6,H201=M$7,H201=M$8,H201=M$9,H201=M$10,H201=M$11,H201=M$12,H201=M$13,H201=M$14),SottocategorieEntrate[[#Headers],[Real Estate]],IF(OR(H201=N$5,H201=N$6,H201=N$7,H201=N$8,H201=N$9,H201=N$10,H201=N$11,H201=N$12,H201=N$13,H201=N$14),SottocategorieEntrate[[#Headers],[Other]],""))))))))))))</f>
        <v/>
      </c>
      <c r="J201" t="str">
        <f>IF(OR(Dati[[#This Row],[Categoria]]="Bollette",Dati[[#This Row],[Categoria]]="Conto &amp; Carte BNL",Dati[[#This Row],[Categoria]]="Prelievo",Dati[[#This Row],[Categoria]]="Affitto",Dati[[#This Row],[Categoria]]="BNL(Interessi Creditori)"),"Carta",IF(Dati[[#This Row],[Categoria]]&lt;&gt;0,"Cash",""))</f>
        <v/>
      </c>
      <c r="K201" s="59" t="str">
        <f>IF(OR(Data!$I201=SottocategorieUscite[[#Headers],[Fuori Casa]],Data!$I201=SottocategorieUscite[[#Headers],[Varie Uscite]],Data!$I201=SottocategorieUscite[[#Headers],[Personali]],Data!$I201=SottocategorieUscite[[#Headers],[Lavoro]]),"$ -","")</f>
        <v/>
      </c>
      <c r="L201" s="59" t="str">
        <f>IF(OR(Data!$I201=SottocategorieUscite[[#Headers],[Casa]],Data!$I201=SottocategorieUscite[[#Headers],[Utenze]],Data!$I201=SottocategorieUscite[[#Headers],[Business Uscite]],Data!$I201=SottocategorieUscite[[#Headers],[Banca]]),"$ -","")</f>
        <v/>
      </c>
      <c r="M201" s="59" t="str">
        <f>IF(OR($I201&lt;&gt;SottocategorieUscite[[#Headers],[Fuori Casa]],$I201&lt;&gt;SottocategorieUscite[[#Headers],[Varie Uscite]],$I201&lt;&gt;SottocategorieUscite[[#Headers],[Personali]],$I201&lt;&gt;SottocategorieUscite[[#Headers],[Lavoro]],$I201&lt;&gt;SottocategorieUscite[[#Headers],[Casa]],$I201&lt;&gt;SottocategorieUscite[[#Headers],[Utenze]],$I201&lt;&gt;SottocategorieUscite[[#Headers],[Business Uscite]],$I201&lt;&gt;SottocategorieUscite[[#Headers],[Banca]]),"","$ -")</f>
        <v/>
      </c>
      <c r="N201" s="59" t="str">
        <f>IF(OR(Data!$I201=SottocategorieEntrate[[#Headers],[Business Entrate]],Data!$I201=SottocategorieEntrate[[#Headers],[Varie Entrate]]),"$ -","")</f>
        <v/>
      </c>
      <c r="O201" s="59" t="str">
        <f>IF(OR(Data!$I201=SottocategorieEntrate[[#Headers],[Real Estate]],SottocategorieEntrate[[#Headers],[Other]]),"$ -","")</f>
        <v/>
      </c>
      <c r="P201" s="59" t="str">
        <f>IF(OR($I201&lt;&gt;SottocategorieEntrate[[#Headers],[Business Entrate]],$I201&lt;&gt;SottocategorieEntrate[[#Headers],[Varie Entrate]],$I201&lt;&gt;SottocategorieEntrate[[#Headers],[Real Estate]],$I201&lt;&gt;SottocategorieEntrate[[#Headers],[Other]]),"","$ -")</f>
        <v/>
      </c>
      <c r="Q201" s="59" t="str">
        <f>IF(Dati[[#This Row],[Categoria]]="Prelievo","€ -","")</f>
        <v/>
      </c>
      <c r="R201" s="244" t="str">
        <f t="shared" ca="1" si="8"/>
        <v/>
      </c>
      <c r="S201" s="59" t="str">
        <f>IF(Dati[[#This Row],[Categoria]]="Savings",0,"")</f>
        <v/>
      </c>
      <c r="T201" s="59"/>
      <c r="U201" s="59"/>
      <c r="V201" s="59"/>
      <c r="W201" s="59"/>
      <c r="X201" s="59"/>
      <c r="Y201" s="59"/>
      <c r="Z201" s="59"/>
      <c r="AA201" s="59"/>
      <c r="AB201" s="59"/>
      <c r="AC201" s="59"/>
      <c r="AD201" s="59"/>
      <c r="AE201" s="59"/>
      <c r="AF201" s="59"/>
      <c r="AG201" s="59"/>
      <c r="AH201" s="59"/>
      <c r="AI201" s="59" t="str">
        <f>IF(SUM(Dati[[#This Row],[Inv. Business]:[Inv. Cryptocurrency]])=0," ",SUM(Dati[[#This Row],[Inv. Business]:[Inv. Cryptocurrency]]))</f>
        <v xml:space="preserve"> </v>
      </c>
      <c r="AJ201" s="59"/>
      <c r="AK201" s="59" t="str">
        <f>IF(SUM(Dati[[#This Row],[Inv. Gold]:[Mutuo]])=0," ",SUM(Dati[[#This Row],[Inv. Gold]:[Mutuo]]))</f>
        <v xml:space="preserve"> </v>
      </c>
      <c r="AL201" s="59"/>
      <c r="AM201" s="59"/>
    </row>
    <row r="202" spans="2:39" ht="16" customHeight="1" x14ac:dyDescent="0.35">
      <c r="B202">
        <f t="shared" si="6"/>
        <v>182</v>
      </c>
      <c r="C202" s="49">
        <f t="shared" si="7"/>
        <v>45108</v>
      </c>
      <c r="D202" s="29">
        <f>DAY(Dati[[#This Row],[Data]])</f>
        <v>1</v>
      </c>
      <c r="E202" s="29" t="str">
        <f>IF(DAY(Data!$C$21:$C$1327)&gt;0,TEXT(Data!$C$21:$C$1327, "mmmm"),"")</f>
        <v>luglio</v>
      </c>
      <c r="F202" s="29" t="str">
        <f>IF(DAY(Data!$C$21:$C$1327)&gt;0,TEXT(Data!$C$21:$C$1327, "aaaa"),"")</f>
        <v>2023</v>
      </c>
      <c r="I202" t="str">
        <f>IF(OR(H202=$B$5,H202=$B$6,H202=$B$7,H202=$B$8,H202=$B$9,H202=$B$10,H202=$B$11,H202=$B$12,H202=$B$13,H202=$B$14),SottocategorieUscite[[#Headers],[Fuori Casa]],IF(OR(H202=$C$5,H202=$C$6,H202=$C$7,H202=$C$8,H202=$C$9,H202=$C$10,H202=$C$11,H202=$C$12,H202=$C$13,H202=$C$14),SottocategorieUscite[[#Headers],[Varie Uscite]],IF(OR(H202=$D$5,H202=$D$6,H202=$D$7,H202=$D$8,H202=$D$9,H202=$D$10,H202=$D$11,H202=$D$12,H202=$D$13,H202=$D$14),SottocategorieUscite[[#Headers],[Personali]],IF(OR(H202=$E$5,H202=$E$6,H202=$E$7,H202=$E$8,H202=$E$9,H202=$E$10,H202=$E$11,H202=$E$12,H202=$E$13,H202=$E$14),SottocategorieUscite[[#Headers],[Lavoro]],IF(OR(H202=$F$5,H202=$F$6,H202=$F$7,H202=$F$8,H202=$F$9,H202=$F$10,H202=$F$11,H202=$F$12,H202=$F$13,H202=$F$14),SottocategorieUscite[[#Headers],[Casa]],IF(OR(H202=$G$5,H202=$G$6,H202=$G$7,H202=$G$8,H202=$G$9,H202=$G$10,H202=$G$11,H202=$G$12,H202=$G$13,H202=$G$14),SottocategorieUscite[[#Headers],[Utenze]],IF(OR(H202=$H$5,H202=$H$6,H202=$H$7,H202=$H$8,H202=$H$9,H202=$H$10,H202=$H$11,H202=$H$12,H202=$H$13,H202=$H$14),SottocategorieUscite[[#Headers],[Business Uscite]],IF(OR(H202=$I$5,H202=$I$6,H202=$I$7,H202=$I$8,H202=$I$9,H202=$I$10,H202=$I$11,H202=$I$12,H202=$I$13,H202=$I$14),SottocategorieUscite[[#Headers],[Banca]],IF(OR(H202=K$5,H202=K$6,H202=K$7,H202=K$8,H202=K$9,H202=K$10,H202=K$11,H202=K$12,H202=K$13,H202=K$14),SottocategorieEntrate[[#Headers],[Business Entrate]],IF(OR(H202=L$5,H202=L$6,H202=L$7,H202=L$8,H202=L$9,H202=L$10,H202=L$11,H202=L$12,H202=L$13,H202=L$14),SottocategorieEntrate[[#Headers],[Varie Entrate]],IF(OR(H202=M$5,H202=M$6,H202=M$7,H202=M$8,H202=M$9,H202=M$10,H202=M$11,H202=M$12,H202=M$13,H202=M$14),SottocategorieEntrate[[#Headers],[Real Estate]],IF(OR(H202=N$5,H202=N$6,H202=N$7,H202=N$8,H202=N$9,H202=N$10,H202=N$11,H202=N$12,H202=N$13,H202=N$14),SottocategorieEntrate[[#Headers],[Other]],""))))))))))))</f>
        <v/>
      </c>
      <c r="J202" t="str">
        <f>IF(OR(Dati[[#This Row],[Categoria]]="Bollette",Dati[[#This Row],[Categoria]]="Conto &amp; Carte BNL",Dati[[#This Row],[Categoria]]="Prelievo",Dati[[#This Row],[Categoria]]="Affitto",Dati[[#This Row],[Categoria]]="BNL(Interessi Creditori)"),"Carta",IF(Dati[[#This Row],[Categoria]]&lt;&gt;0,"Cash",""))</f>
        <v/>
      </c>
      <c r="K202" s="59" t="str">
        <f>IF(OR(Data!$I202=SottocategorieUscite[[#Headers],[Fuori Casa]],Data!$I202=SottocategorieUscite[[#Headers],[Varie Uscite]],Data!$I202=SottocategorieUscite[[#Headers],[Personali]],Data!$I202=SottocategorieUscite[[#Headers],[Lavoro]]),"$ -","")</f>
        <v/>
      </c>
      <c r="L202" s="59" t="str">
        <f>IF(OR(Data!$I202=SottocategorieUscite[[#Headers],[Casa]],Data!$I202=SottocategorieUscite[[#Headers],[Utenze]],Data!$I202=SottocategorieUscite[[#Headers],[Business Uscite]],Data!$I202=SottocategorieUscite[[#Headers],[Banca]]),"$ -","")</f>
        <v/>
      </c>
      <c r="M202" s="59" t="str">
        <f>IF(OR($I202&lt;&gt;SottocategorieUscite[[#Headers],[Fuori Casa]],$I202&lt;&gt;SottocategorieUscite[[#Headers],[Varie Uscite]],$I202&lt;&gt;SottocategorieUscite[[#Headers],[Personali]],$I202&lt;&gt;SottocategorieUscite[[#Headers],[Lavoro]],$I202&lt;&gt;SottocategorieUscite[[#Headers],[Casa]],$I202&lt;&gt;SottocategorieUscite[[#Headers],[Utenze]],$I202&lt;&gt;SottocategorieUscite[[#Headers],[Business Uscite]],$I202&lt;&gt;SottocategorieUscite[[#Headers],[Banca]]),"","$ -")</f>
        <v/>
      </c>
      <c r="N202" s="59" t="str">
        <f>IF(OR(Data!$I202=SottocategorieEntrate[[#Headers],[Business Entrate]],Data!$I202=SottocategorieEntrate[[#Headers],[Varie Entrate]]),"$ -","")</f>
        <v/>
      </c>
      <c r="O202" s="59" t="str">
        <f>IF(OR(Data!$I202=SottocategorieEntrate[[#Headers],[Real Estate]],SottocategorieEntrate[[#Headers],[Other]]),"$ -","")</f>
        <v/>
      </c>
      <c r="P202" s="59" t="str">
        <f>IF(OR($I202&lt;&gt;SottocategorieEntrate[[#Headers],[Business Entrate]],$I202&lt;&gt;SottocategorieEntrate[[#Headers],[Varie Entrate]],$I202&lt;&gt;SottocategorieEntrate[[#Headers],[Real Estate]],$I202&lt;&gt;SottocategorieEntrate[[#Headers],[Other]]),"","$ -")</f>
        <v/>
      </c>
      <c r="Q202" s="59" t="str">
        <f>IF(Dati[[#This Row],[Categoria]]="Prelievo","€ -","")</f>
        <v/>
      </c>
      <c r="R202" s="244" t="str">
        <f t="shared" ca="1" si="8"/>
        <v/>
      </c>
      <c r="S202" s="59" t="str">
        <f>IF(Dati[[#This Row],[Categoria]]="Savings",0,"")</f>
        <v/>
      </c>
      <c r="T202" s="59"/>
      <c r="U202" s="59"/>
      <c r="V202" s="59"/>
      <c r="W202" s="59"/>
      <c r="X202" s="59"/>
      <c r="Y202" s="59"/>
      <c r="Z202" s="59"/>
      <c r="AA202" s="59"/>
      <c r="AB202" s="59"/>
      <c r="AC202" s="59"/>
      <c r="AD202" s="59"/>
      <c r="AE202" s="59"/>
      <c r="AF202" s="59"/>
      <c r="AG202" s="59"/>
      <c r="AH202" s="59"/>
      <c r="AI202" s="59" t="str">
        <f>IF(SUM(Dati[[#This Row],[Inv. Business]:[Inv. Cryptocurrency]])=0," ",SUM(Dati[[#This Row],[Inv. Business]:[Inv. Cryptocurrency]]))</f>
        <v xml:space="preserve"> </v>
      </c>
      <c r="AJ202" s="59"/>
      <c r="AK202" s="59" t="str">
        <f>IF(SUM(Dati[[#This Row],[Inv. Gold]:[Mutuo]])=0," ",SUM(Dati[[#This Row],[Inv. Gold]:[Mutuo]]))</f>
        <v xml:space="preserve"> </v>
      </c>
      <c r="AL202" s="59"/>
      <c r="AM202" s="59"/>
    </row>
    <row r="203" spans="2:39" ht="16" customHeight="1" x14ac:dyDescent="0.35">
      <c r="B203">
        <f t="shared" si="6"/>
        <v>183</v>
      </c>
      <c r="C203" s="49">
        <f t="shared" si="7"/>
        <v>45109</v>
      </c>
      <c r="D203" s="29">
        <f>DAY(Dati[[#This Row],[Data]])</f>
        <v>2</v>
      </c>
      <c r="E203" s="29" t="str">
        <f>IF(DAY(Data!$C$21:$C$1327)&gt;0,TEXT(Data!$C$21:$C$1327, "mmmm"),"")</f>
        <v>luglio</v>
      </c>
      <c r="F203" s="29" t="str">
        <f>IF(DAY(Data!$C$21:$C$1327)&gt;0,TEXT(Data!$C$21:$C$1327, "aaaa"),"")</f>
        <v>2023</v>
      </c>
      <c r="I203" t="str">
        <f>IF(OR(H203=$B$5,H203=$B$6,H203=$B$7,H203=$B$8,H203=$B$9,H203=$B$10,H203=$B$11,H203=$B$12,H203=$B$13,H203=$B$14),SottocategorieUscite[[#Headers],[Fuori Casa]],IF(OR(H203=$C$5,H203=$C$6,H203=$C$7,H203=$C$8,H203=$C$9,H203=$C$10,H203=$C$11,H203=$C$12,H203=$C$13,H203=$C$14),SottocategorieUscite[[#Headers],[Varie Uscite]],IF(OR(H203=$D$5,H203=$D$6,H203=$D$7,H203=$D$8,H203=$D$9,H203=$D$10,H203=$D$11,H203=$D$12,H203=$D$13,H203=$D$14),SottocategorieUscite[[#Headers],[Personali]],IF(OR(H203=$E$5,H203=$E$6,H203=$E$7,H203=$E$8,H203=$E$9,H203=$E$10,H203=$E$11,H203=$E$12,H203=$E$13,H203=$E$14),SottocategorieUscite[[#Headers],[Lavoro]],IF(OR(H203=$F$5,H203=$F$6,H203=$F$7,H203=$F$8,H203=$F$9,H203=$F$10,H203=$F$11,H203=$F$12,H203=$F$13,H203=$F$14),SottocategorieUscite[[#Headers],[Casa]],IF(OR(H203=$G$5,H203=$G$6,H203=$G$7,H203=$G$8,H203=$G$9,H203=$G$10,H203=$G$11,H203=$G$12,H203=$G$13,H203=$G$14),SottocategorieUscite[[#Headers],[Utenze]],IF(OR(H203=$H$5,H203=$H$6,H203=$H$7,H203=$H$8,H203=$H$9,H203=$H$10,H203=$H$11,H203=$H$12,H203=$H$13,H203=$H$14),SottocategorieUscite[[#Headers],[Business Uscite]],IF(OR(H203=$I$5,H203=$I$6,H203=$I$7,H203=$I$8,H203=$I$9,H203=$I$10,H203=$I$11,H203=$I$12,H203=$I$13,H203=$I$14),SottocategorieUscite[[#Headers],[Banca]],IF(OR(H203=K$5,H203=K$6,H203=K$7,H203=K$8,H203=K$9,H203=K$10,H203=K$11,H203=K$12,H203=K$13,H203=K$14),SottocategorieEntrate[[#Headers],[Business Entrate]],IF(OR(H203=L$5,H203=L$6,H203=L$7,H203=L$8,H203=L$9,H203=L$10,H203=L$11,H203=L$12,H203=L$13,H203=L$14),SottocategorieEntrate[[#Headers],[Varie Entrate]],IF(OR(H203=M$5,H203=M$6,H203=M$7,H203=M$8,H203=M$9,H203=M$10,H203=M$11,H203=M$12,H203=M$13,H203=M$14),SottocategorieEntrate[[#Headers],[Real Estate]],IF(OR(H203=N$5,H203=N$6,H203=N$7,H203=N$8,H203=N$9,H203=N$10,H203=N$11,H203=N$12,H203=N$13,H203=N$14),SottocategorieEntrate[[#Headers],[Other]],""))))))))))))</f>
        <v/>
      </c>
      <c r="J203" t="str">
        <f>IF(OR(Dati[[#This Row],[Categoria]]="Bollette",Dati[[#This Row],[Categoria]]="Conto &amp; Carte BNL",Dati[[#This Row],[Categoria]]="Prelievo",Dati[[#This Row],[Categoria]]="Affitto",Dati[[#This Row],[Categoria]]="BNL(Interessi Creditori)"),"Carta",IF(Dati[[#This Row],[Categoria]]&lt;&gt;0,"Cash",""))</f>
        <v/>
      </c>
      <c r="K203" s="59" t="str">
        <f>IF(OR(Data!$I203=SottocategorieUscite[[#Headers],[Fuori Casa]],Data!$I203=SottocategorieUscite[[#Headers],[Varie Uscite]],Data!$I203=SottocategorieUscite[[#Headers],[Personali]],Data!$I203=SottocategorieUscite[[#Headers],[Lavoro]]),"$ -","")</f>
        <v/>
      </c>
      <c r="L203" s="59" t="str">
        <f>IF(OR(Data!$I203=SottocategorieUscite[[#Headers],[Casa]],Data!$I203=SottocategorieUscite[[#Headers],[Utenze]],Data!$I203=SottocategorieUscite[[#Headers],[Business Uscite]],Data!$I203=SottocategorieUscite[[#Headers],[Banca]]),"$ -","")</f>
        <v/>
      </c>
      <c r="M203" s="59" t="str">
        <f>IF(OR($I203&lt;&gt;SottocategorieUscite[[#Headers],[Fuori Casa]],$I203&lt;&gt;SottocategorieUscite[[#Headers],[Varie Uscite]],$I203&lt;&gt;SottocategorieUscite[[#Headers],[Personali]],$I203&lt;&gt;SottocategorieUscite[[#Headers],[Lavoro]],$I203&lt;&gt;SottocategorieUscite[[#Headers],[Casa]],$I203&lt;&gt;SottocategorieUscite[[#Headers],[Utenze]],$I203&lt;&gt;SottocategorieUscite[[#Headers],[Business Uscite]],$I203&lt;&gt;SottocategorieUscite[[#Headers],[Banca]]),"","$ -")</f>
        <v/>
      </c>
      <c r="N203" s="59" t="str">
        <f>IF(OR(Data!$I203=SottocategorieEntrate[[#Headers],[Business Entrate]],Data!$I203=SottocategorieEntrate[[#Headers],[Varie Entrate]]),"$ -","")</f>
        <v/>
      </c>
      <c r="O203" s="59" t="str">
        <f>IF(OR(Data!$I203=SottocategorieEntrate[[#Headers],[Real Estate]],SottocategorieEntrate[[#Headers],[Other]]),"$ -","")</f>
        <v/>
      </c>
      <c r="P203" s="59" t="str">
        <f>IF(OR($I203&lt;&gt;SottocategorieEntrate[[#Headers],[Business Entrate]],$I203&lt;&gt;SottocategorieEntrate[[#Headers],[Varie Entrate]],$I203&lt;&gt;SottocategorieEntrate[[#Headers],[Real Estate]],$I203&lt;&gt;SottocategorieEntrate[[#Headers],[Other]]),"","$ -")</f>
        <v/>
      </c>
      <c r="Q203" s="59" t="str">
        <f>IF(Dati[[#This Row],[Categoria]]="Prelievo","€ -","")</f>
        <v/>
      </c>
      <c r="R203" s="244" t="str">
        <f t="shared" ca="1" si="8"/>
        <v/>
      </c>
      <c r="S203" s="59" t="str">
        <f>IF(Dati[[#This Row],[Categoria]]="Savings",0,"")</f>
        <v/>
      </c>
      <c r="T203" s="59"/>
      <c r="U203" s="59"/>
      <c r="V203" s="59"/>
      <c r="W203" s="59"/>
      <c r="X203" s="59"/>
      <c r="Y203" s="59"/>
      <c r="Z203" s="59"/>
      <c r="AA203" s="59"/>
      <c r="AB203" s="59"/>
      <c r="AC203" s="59"/>
      <c r="AD203" s="59"/>
      <c r="AE203" s="59"/>
      <c r="AF203" s="59"/>
      <c r="AG203" s="59"/>
      <c r="AH203" s="59"/>
      <c r="AI203" s="59" t="str">
        <f>IF(SUM(Dati[[#This Row],[Inv. Business]:[Inv. Cryptocurrency]])=0," ",SUM(Dati[[#This Row],[Inv. Business]:[Inv. Cryptocurrency]]))</f>
        <v xml:space="preserve"> </v>
      </c>
      <c r="AJ203" s="59"/>
      <c r="AK203" s="59" t="str">
        <f>IF(SUM(Dati[[#This Row],[Inv. Gold]:[Mutuo]])=0," ",SUM(Dati[[#This Row],[Inv. Gold]:[Mutuo]]))</f>
        <v xml:space="preserve"> </v>
      </c>
      <c r="AL203" s="59"/>
      <c r="AM203" s="59"/>
    </row>
    <row r="204" spans="2:39" ht="16" customHeight="1" x14ac:dyDescent="0.35">
      <c r="B204">
        <f t="shared" si="6"/>
        <v>184</v>
      </c>
      <c r="C204" s="49">
        <f t="shared" si="7"/>
        <v>45110</v>
      </c>
      <c r="D204" s="29">
        <f>DAY(Dati[[#This Row],[Data]])</f>
        <v>3</v>
      </c>
      <c r="E204" s="29" t="str">
        <f>IF(DAY(Data!$C$21:$C$1327)&gt;0,TEXT(Data!$C$21:$C$1327, "mmmm"),"")</f>
        <v>luglio</v>
      </c>
      <c r="F204" s="29" t="str">
        <f>IF(DAY(Data!$C$21:$C$1327)&gt;0,TEXT(Data!$C$21:$C$1327, "aaaa"),"")</f>
        <v>2023</v>
      </c>
      <c r="I204" t="str">
        <f>IF(OR(H204=$B$5,H204=$B$6,H204=$B$7,H204=$B$8,H204=$B$9,H204=$B$10,H204=$B$11,H204=$B$12,H204=$B$13,H204=$B$14),SottocategorieUscite[[#Headers],[Fuori Casa]],IF(OR(H204=$C$5,H204=$C$6,H204=$C$7,H204=$C$8,H204=$C$9,H204=$C$10,H204=$C$11,H204=$C$12,H204=$C$13,H204=$C$14),SottocategorieUscite[[#Headers],[Varie Uscite]],IF(OR(H204=$D$5,H204=$D$6,H204=$D$7,H204=$D$8,H204=$D$9,H204=$D$10,H204=$D$11,H204=$D$12,H204=$D$13,H204=$D$14),SottocategorieUscite[[#Headers],[Personali]],IF(OR(H204=$E$5,H204=$E$6,H204=$E$7,H204=$E$8,H204=$E$9,H204=$E$10,H204=$E$11,H204=$E$12,H204=$E$13,H204=$E$14),SottocategorieUscite[[#Headers],[Lavoro]],IF(OR(H204=$F$5,H204=$F$6,H204=$F$7,H204=$F$8,H204=$F$9,H204=$F$10,H204=$F$11,H204=$F$12,H204=$F$13,H204=$F$14),SottocategorieUscite[[#Headers],[Casa]],IF(OR(H204=$G$5,H204=$G$6,H204=$G$7,H204=$G$8,H204=$G$9,H204=$G$10,H204=$G$11,H204=$G$12,H204=$G$13,H204=$G$14),SottocategorieUscite[[#Headers],[Utenze]],IF(OR(H204=$H$5,H204=$H$6,H204=$H$7,H204=$H$8,H204=$H$9,H204=$H$10,H204=$H$11,H204=$H$12,H204=$H$13,H204=$H$14),SottocategorieUscite[[#Headers],[Business Uscite]],IF(OR(H204=$I$5,H204=$I$6,H204=$I$7,H204=$I$8,H204=$I$9,H204=$I$10,H204=$I$11,H204=$I$12,H204=$I$13,H204=$I$14),SottocategorieUscite[[#Headers],[Banca]],IF(OR(H204=K$5,H204=K$6,H204=K$7,H204=K$8,H204=K$9,H204=K$10,H204=K$11,H204=K$12,H204=K$13,H204=K$14),SottocategorieEntrate[[#Headers],[Business Entrate]],IF(OR(H204=L$5,H204=L$6,H204=L$7,H204=L$8,H204=L$9,H204=L$10,H204=L$11,H204=L$12,H204=L$13,H204=L$14),SottocategorieEntrate[[#Headers],[Varie Entrate]],IF(OR(H204=M$5,H204=M$6,H204=M$7,H204=M$8,H204=M$9,H204=M$10,H204=M$11,H204=M$12,H204=M$13,H204=M$14),SottocategorieEntrate[[#Headers],[Real Estate]],IF(OR(H204=N$5,H204=N$6,H204=N$7,H204=N$8,H204=N$9,H204=N$10,H204=N$11,H204=N$12,H204=N$13,H204=N$14),SottocategorieEntrate[[#Headers],[Other]],""))))))))))))</f>
        <v/>
      </c>
      <c r="J204" t="str">
        <f>IF(OR(Dati[[#This Row],[Categoria]]="Bollette",Dati[[#This Row],[Categoria]]="Conto &amp; Carte BNL",Dati[[#This Row],[Categoria]]="Prelievo",Dati[[#This Row],[Categoria]]="Affitto",Dati[[#This Row],[Categoria]]="BNL(Interessi Creditori)"),"Carta",IF(Dati[[#This Row],[Categoria]]&lt;&gt;0,"Cash",""))</f>
        <v/>
      </c>
      <c r="K204" s="59" t="str">
        <f>IF(OR(Data!$I204=SottocategorieUscite[[#Headers],[Fuori Casa]],Data!$I204=SottocategorieUscite[[#Headers],[Varie Uscite]],Data!$I204=SottocategorieUscite[[#Headers],[Personali]],Data!$I204=SottocategorieUscite[[#Headers],[Lavoro]]),"$ -","")</f>
        <v/>
      </c>
      <c r="L204" s="59" t="str">
        <f>IF(OR(Data!$I204=SottocategorieUscite[[#Headers],[Casa]],Data!$I204=SottocategorieUscite[[#Headers],[Utenze]],Data!$I204=SottocategorieUscite[[#Headers],[Business Uscite]],Data!$I204=SottocategorieUscite[[#Headers],[Banca]]),"$ -","")</f>
        <v/>
      </c>
      <c r="M204" s="59" t="str">
        <f>IF(OR($I204&lt;&gt;SottocategorieUscite[[#Headers],[Fuori Casa]],$I204&lt;&gt;SottocategorieUscite[[#Headers],[Varie Uscite]],$I204&lt;&gt;SottocategorieUscite[[#Headers],[Personali]],$I204&lt;&gt;SottocategorieUscite[[#Headers],[Lavoro]],$I204&lt;&gt;SottocategorieUscite[[#Headers],[Casa]],$I204&lt;&gt;SottocategorieUscite[[#Headers],[Utenze]],$I204&lt;&gt;SottocategorieUscite[[#Headers],[Business Uscite]],$I204&lt;&gt;SottocategorieUscite[[#Headers],[Banca]]),"","$ -")</f>
        <v/>
      </c>
      <c r="N204" s="59" t="str">
        <f>IF(OR(Data!$I204=SottocategorieEntrate[[#Headers],[Business Entrate]],Data!$I204=SottocategorieEntrate[[#Headers],[Varie Entrate]]),"$ -","")</f>
        <v/>
      </c>
      <c r="O204" s="59" t="str">
        <f>IF(OR(Data!$I204=SottocategorieEntrate[[#Headers],[Real Estate]],SottocategorieEntrate[[#Headers],[Other]]),"$ -","")</f>
        <v/>
      </c>
      <c r="P204" s="59" t="str">
        <f>IF(OR($I204&lt;&gt;SottocategorieEntrate[[#Headers],[Business Entrate]],$I204&lt;&gt;SottocategorieEntrate[[#Headers],[Varie Entrate]],$I204&lt;&gt;SottocategorieEntrate[[#Headers],[Real Estate]],$I204&lt;&gt;SottocategorieEntrate[[#Headers],[Other]]),"","$ -")</f>
        <v/>
      </c>
      <c r="Q204" s="59" t="str">
        <f>IF(Dati[[#This Row],[Categoria]]="Prelievo","€ -","")</f>
        <v/>
      </c>
      <c r="R204" s="244" t="str">
        <f t="shared" ca="1" si="8"/>
        <v/>
      </c>
      <c r="S204" s="59" t="str">
        <f>IF(Dati[[#This Row],[Categoria]]="Savings",0,"")</f>
        <v/>
      </c>
      <c r="T204" s="59"/>
      <c r="U204" s="59"/>
      <c r="V204" s="59"/>
      <c r="W204" s="59"/>
      <c r="X204" s="59"/>
      <c r="Y204" s="59"/>
      <c r="Z204" s="59"/>
      <c r="AA204" s="59"/>
      <c r="AB204" s="59"/>
      <c r="AC204" s="59"/>
      <c r="AD204" s="59"/>
      <c r="AE204" s="59"/>
      <c r="AF204" s="59"/>
      <c r="AG204" s="59"/>
      <c r="AH204" s="59"/>
      <c r="AI204" s="59" t="str">
        <f>IF(SUM(Dati[[#This Row],[Inv. Business]:[Inv. Cryptocurrency]])=0," ",SUM(Dati[[#This Row],[Inv. Business]:[Inv. Cryptocurrency]]))</f>
        <v xml:space="preserve"> </v>
      </c>
      <c r="AJ204" s="59"/>
      <c r="AK204" s="59" t="str">
        <f>IF(SUM(Dati[[#This Row],[Inv. Gold]:[Mutuo]])=0," ",SUM(Dati[[#This Row],[Inv. Gold]:[Mutuo]]))</f>
        <v xml:space="preserve"> </v>
      </c>
      <c r="AL204" s="59"/>
      <c r="AM204" s="59"/>
    </row>
    <row r="205" spans="2:39" ht="16" customHeight="1" x14ac:dyDescent="0.35">
      <c r="B205">
        <f t="shared" si="6"/>
        <v>185</v>
      </c>
      <c r="C205" s="49">
        <f t="shared" si="7"/>
        <v>45111</v>
      </c>
      <c r="D205" s="29">
        <f>DAY(Dati[[#This Row],[Data]])</f>
        <v>4</v>
      </c>
      <c r="E205" s="29" t="str">
        <f>IF(DAY(Data!$C$21:$C$1327)&gt;0,TEXT(Data!$C$21:$C$1327, "mmmm"),"")</f>
        <v>luglio</v>
      </c>
      <c r="F205" s="29" t="str">
        <f>IF(DAY(Data!$C$21:$C$1327)&gt;0,TEXT(Data!$C$21:$C$1327, "aaaa"),"")</f>
        <v>2023</v>
      </c>
      <c r="I205" t="str">
        <f>IF(OR(H205=$B$5,H205=$B$6,H205=$B$7,H205=$B$8,H205=$B$9,H205=$B$10,H205=$B$11,H205=$B$12,H205=$B$13,H205=$B$14),SottocategorieUscite[[#Headers],[Fuori Casa]],IF(OR(H205=$C$5,H205=$C$6,H205=$C$7,H205=$C$8,H205=$C$9,H205=$C$10,H205=$C$11,H205=$C$12,H205=$C$13,H205=$C$14),SottocategorieUscite[[#Headers],[Varie Uscite]],IF(OR(H205=$D$5,H205=$D$6,H205=$D$7,H205=$D$8,H205=$D$9,H205=$D$10,H205=$D$11,H205=$D$12,H205=$D$13,H205=$D$14),SottocategorieUscite[[#Headers],[Personali]],IF(OR(H205=$E$5,H205=$E$6,H205=$E$7,H205=$E$8,H205=$E$9,H205=$E$10,H205=$E$11,H205=$E$12,H205=$E$13,H205=$E$14),SottocategorieUscite[[#Headers],[Lavoro]],IF(OR(H205=$F$5,H205=$F$6,H205=$F$7,H205=$F$8,H205=$F$9,H205=$F$10,H205=$F$11,H205=$F$12,H205=$F$13,H205=$F$14),SottocategorieUscite[[#Headers],[Casa]],IF(OR(H205=$G$5,H205=$G$6,H205=$G$7,H205=$G$8,H205=$G$9,H205=$G$10,H205=$G$11,H205=$G$12,H205=$G$13,H205=$G$14),SottocategorieUscite[[#Headers],[Utenze]],IF(OR(H205=$H$5,H205=$H$6,H205=$H$7,H205=$H$8,H205=$H$9,H205=$H$10,H205=$H$11,H205=$H$12,H205=$H$13,H205=$H$14),SottocategorieUscite[[#Headers],[Business Uscite]],IF(OR(H205=$I$5,H205=$I$6,H205=$I$7,H205=$I$8,H205=$I$9,H205=$I$10,H205=$I$11,H205=$I$12,H205=$I$13,H205=$I$14),SottocategorieUscite[[#Headers],[Banca]],IF(OR(H205=K$5,H205=K$6,H205=K$7,H205=K$8,H205=K$9,H205=K$10,H205=K$11,H205=K$12,H205=K$13,H205=K$14),SottocategorieEntrate[[#Headers],[Business Entrate]],IF(OR(H205=L$5,H205=L$6,H205=L$7,H205=L$8,H205=L$9,H205=L$10,H205=L$11,H205=L$12,H205=L$13,H205=L$14),SottocategorieEntrate[[#Headers],[Varie Entrate]],IF(OR(H205=M$5,H205=M$6,H205=M$7,H205=M$8,H205=M$9,H205=M$10,H205=M$11,H205=M$12,H205=M$13,H205=M$14),SottocategorieEntrate[[#Headers],[Real Estate]],IF(OR(H205=N$5,H205=N$6,H205=N$7,H205=N$8,H205=N$9,H205=N$10,H205=N$11,H205=N$12,H205=N$13,H205=N$14),SottocategorieEntrate[[#Headers],[Other]],""))))))))))))</f>
        <v/>
      </c>
      <c r="J205" t="str">
        <f>IF(OR(Dati[[#This Row],[Categoria]]="Bollette",Dati[[#This Row],[Categoria]]="Conto &amp; Carte BNL",Dati[[#This Row],[Categoria]]="Prelievo",Dati[[#This Row],[Categoria]]="Affitto",Dati[[#This Row],[Categoria]]="BNL(Interessi Creditori)"),"Carta",IF(Dati[[#This Row],[Categoria]]&lt;&gt;0,"Cash",""))</f>
        <v/>
      </c>
      <c r="K205" s="59" t="str">
        <f>IF(OR(Data!$I205=SottocategorieUscite[[#Headers],[Fuori Casa]],Data!$I205=SottocategorieUscite[[#Headers],[Varie Uscite]],Data!$I205=SottocategorieUscite[[#Headers],[Personali]],Data!$I205=SottocategorieUscite[[#Headers],[Lavoro]]),"$ -","")</f>
        <v/>
      </c>
      <c r="L205" s="59" t="str">
        <f>IF(OR(Data!$I205=SottocategorieUscite[[#Headers],[Casa]],Data!$I205=SottocategorieUscite[[#Headers],[Utenze]],Data!$I205=SottocategorieUscite[[#Headers],[Business Uscite]],Data!$I205=SottocategorieUscite[[#Headers],[Banca]]),"$ -","")</f>
        <v/>
      </c>
      <c r="M205" s="59" t="str">
        <f>IF(OR($I205&lt;&gt;SottocategorieUscite[[#Headers],[Fuori Casa]],$I205&lt;&gt;SottocategorieUscite[[#Headers],[Varie Uscite]],$I205&lt;&gt;SottocategorieUscite[[#Headers],[Personali]],$I205&lt;&gt;SottocategorieUscite[[#Headers],[Lavoro]],$I205&lt;&gt;SottocategorieUscite[[#Headers],[Casa]],$I205&lt;&gt;SottocategorieUscite[[#Headers],[Utenze]],$I205&lt;&gt;SottocategorieUscite[[#Headers],[Business Uscite]],$I205&lt;&gt;SottocategorieUscite[[#Headers],[Banca]]),"","$ -")</f>
        <v/>
      </c>
      <c r="N205" s="59" t="str">
        <f>IF(OR(Data!$I205=SottocategorieEntrate[[#Headers],[Business Entrate]],Data!$I205=SottocategorieEntrate[[#Headers],[Varie Entrate]]),"$ -","")</f>
        <v/>
      </c>
      <c r="O205" s="59" t="str">
        <f>IF(OR(Data!$I205=SottocategorieEntrate[[#Headers],[Real Estate]],SottocategorieEntrate[[#Headers],[Other]]),"$ -","")</f>
        <v/>
      </c>
      <c r="P205" s="59" t="str">
        <f>IF(OR($I205&lt;&gt;SottocategorieEntrate[[#Headers],[Business Entrate]],$I205&lt;&gt;SottocategorieEntrate[[#Headers],[Varie Entrate]],$I205&lt;&gt;SottocategorieEntrate[[#Headers],[Real Estate]],$I205&lt;&gt;SottocategorieEntrate[[#Headers],[Other]]),"","$ -")</f>
        <v/>
      </c>
      <c r="Q205" s="59" t="str">
        <f>IF(Dati[[#This Row],[Categoria]]="Prelievo","€ -","")</f>
        <v/>
      </c>
      <c r="R205" s="244" t="str">
        <f t="shared" ca="1" si="8"/>
        <v/>
      </c>
      <c r="S205" s="59" t="str">
        <f>IF(Dati[[#This Row],[Categoria]]="Savings",0,"")</f>
        <v/>
      </c>
      <c r="T205" s="59"/>
      <c r="U205" s="59"/>
      <c r="V205" s="59"/>
      <c r="W205" s="59"/>
      <c r="X205" s="59"/>
      <c r="Y205" s="59"/>
      <c r="Z205" s="59"/>
      <c r="AA205" s="59"/>
      <c r="AB205" s="59"/>
      <c r="AC205" s="59"/>
      <c r="AD205" s="59"/>
      <c r="AE205" s="59"/>
      <c r="AF205" s="59"/>
      <c r="AG205" s="59"/>
      <c r="AH205" s="59"/>
      <c r="AI205" s="59" t="str">
        <f>IF(SUM(Dati[[#This Row],[Inv. Business]:[Inv. Cryptocurrency]])=0," ",SUM(Dati[[#This Row],[Inv. Business]:[Inv. Cryptocurrency]]))</f>
        <v xml:space="preserve"> </v>
      </c>
      <c r="AJ205" s="59"/>
      <c r="AK205" s="59" t="str">
        <f>IF(SUM(Dati[[#This Row],[Inv. Gold]:[Mutuo]])=0," ",SUM(Dati[[#This Row],[Inv. Gold]:[Mutuo]]))</f>
        <v xml:space="preserve"> </v>
      </c>
      <c r="AL205" s="59"/>
      <c r="AM205" s="59"/>
    </row>
    <row r="206" spans="2:39" ht="16" customHeight="1" x14ac:dyDescent="0.35">
      <c r="B206">
        <f t="shared" si="6"/>
        <v>186</v>
      </c>
      <c r="C206" s="49">
        <f t="shared" si="7"/>
        <v>45112</v>
      </c>
      <c r="D206" s="29">
        <f>DAY(Dati[[#This Row],[Data]])</f>
        <v>5</v>
      </c>
      <c r="E206" s="29" t="str">
        <f>IF(DAY(Data!$C$21:$C$1327)&gt;0,TEXT(Data!$C$21:$C$1327, "mmmm"),"")</f>
        <v>luglio</v>
      </c>
      <c r="F206" s="29" t="str">
        <f>IF(DAY(Data!$C$21:$C$1327)&gt;0,TEXT(Data!$C$21:$C$1327, "aaaa"),"")</f>
        <v>2023</v>
      </c>
      <c r="I206" t="str">
        <f>IF(OR(H206=$B$5,H206=$B$6,H206=$B$7,H206=$B$8,H206=$B$9,H206=$B$10,H206=$B$11,H206=$B$12,H206=$B$13,H206=$B$14),SottocategorieUscite[[#Headers],[Fuori Casa]],IF(OR(H206=$C$5,H206=$C$6,H206=$C$7,H206=$C$8,H206=$C$9,H206=$C$10,H206=$C$11,H206=$C$12,H206=$C$13,H206=$C$14),SottocategorieUscite[[#Headers],[Varie Uscite]],IF(OR(H206=$D$5,H206=$D$6,H206=$D$7,H206=$D$8,H206=$D$9,H206=$D$10,H206=$D$11,H206=$D$12,H206=$D$13,H206=$D$14),SottocategorieUscite[[#Headers],[Personali]],IF(OR(H206=$E$5,H206=$E$6,H206=$E$7,H206=$E$8,H206=$E$9,H206=$E$10,H206=$E$11,H206=$E$12,H206=$E$13,H206=$E$14),SottocategorieUscite[[#Headers],[Lavoro]],IF(OR(H206=$F$5,H206=$F$6,H206=$F$7,H206=$F$8,H206=$F$9,H206=$F$10,H206=$F$11,H206=$F$12,H206=$F$13,H206=$F$14),SottocategorieUscite[[#Headers],[Casa]],IF(OR(H206=$G$5,H206=$G$6,H206=$G$7,H206=$G$8,H206=$G$9,H206=$G$10,H206=$G$11,H206=$G$12,H206=$G$13,H206=$G$14),SottocategorieUscite[[#Headers],[Utenze]],IF(OR(H206=$H$5,H206=$H$6,H206=$H$7,H206=$H$8,H206=$H$9,H206=$H$10,H206=$H$11,H206=$H$12,H206=$H$13,H206=$H$14),SottocategorieUscite[[#Headers],[Business Uscite]],IF(OR(H206=$I$5,H206=$I$6,H206=$I$7,H206=$I$8,H206=$I$9,H206=$I$10,H206=$I$11,H206=$I$12,H206=$I$13,H206=$I$14),SottocategorieUscite[[#Headers],[Banca]],IF(OR(H206=K$5,H206=K$6,H206=K$7,H206=K$8,H206=K$9,H206=K$10,H206=K$11,H206=K$12,H206=K$13,H206=K$14),SottocategorieEntrate[[#Headers],[Business Entrate]],IF(OR(H206=L$5,H206=L$6,H206=L$7,H206=L$8,H206=L$9,H206=L$10,H206=L$11,H206=L$12,H206=L$13,H206=L$14),SottocategorieEntrate[[#Headers],[Varie Entrate]],IF(OR(H206=M$5,H206=M$6,H206=M$7,H206=M$8,H206=M$9,H206=M$10,H206=M$11,H206=M$12,H206=M$13,H206=M$14),SottocategorieEntrate[[#Headers],[Real Estate]],IF(OR(H206=N$5,H206=N$6,H206=N$7,H206=N$8,H206=N$9,H206=N$10,H206=N$11,H206=N$12,H206=N$13,H206=N$14),SottocategorieEntrate[[#Headers],[Other]],""))))))))))))</f>
        <v/>
      </c>
      <c r="J206" t="str">
        <f>IF(OR(Dati[[#This Row],[Categoria]]="Bollette",Dati[[#This Row],[Categoria]]="Conto &amp; Carte BNL",Dati[[#This Row],[Categoria]]="Prelievo",Dati[[#This Row],[Categoria]]="Affitto",Dati[[#This Row],[Categoria]]="BNL(Interessi Creditori)"),"Carta",IF(Dati[[#This Row],[Categoria]]&lt;&gt;0,"Cash",""))</f>
        <v/>
      </c>
      <c r="K206" s="59" t="str">
        <f>IF(OR(Data!$I206=SottocategorieUscite[[#Headers],[Fuori Casa]],Data!$I206=SottocategorieUscite[[#Headers],[Varie Uscite]],Data!$I206=SottocategorieUscite[[#Headers],[Personali]],Data!$I206=SottocategorieUscite[[#Headers],[Lavoro]]),"$ -","")</f>
        <v/>
      </c>
      <c r="L206" s="59" t="str">
        <f>IF(OR(Data!$I206=SottocategorieUscite[[#Headers],[Casa]],Data!$I206=SottocategorieUscite[[#Headers],[Utenze]],Data!$I206=SottocategorieUscite[[#Headers],[Business Uscite]],Data!$I206=SottocategorieUscite[[#Headers],[Banca]]),"$ -","")</f>
        <v/>
      </c>
      <c r="M206" s="59" t="str">
        <f>IF(OR($I206&lt;&gt;SottocategorieUscite[[#Headers],[Fuori Casa]],$I206&lt;&gt;SottocategorieUscite[[#Headers],[Varie Uscite]],$I206&lt;&gt;SottocategorieUscite[[#Headers],[Personali]],$I206&lt;&gt;SottocategorieUscite[[#Headers],[Lavoro]],$I206&lt;&gt;SottocategorieUscite[[#Headers],[Casa]],$I206&lt;&gt;SottocategorieUscite[[#Headers],[Utenze]],$I206&lt;&gt;SottocategorieUscite[[#Headers],[Business Uscite]],$I206&lt;&gt;SottocategorieUscite[[#Headers],[Banca]]),"","$ -")</f>
        <v/>
      </c>
      <c r="N206" s="59" t="str">
        <f>IF(OR(Data!$I206=SottocategorieEntrate[[#Headers],[Business Entrate]],Data!$I206=SottocategorieEntrate[[#Headers],[Varie Entrate]]),"$ -","")</f>
        <v/>
      </c>
      <c r="O206" s="59" t="str">
        <f>IF(OR(Data!$I206=SottocategorieEntrate[[#Headers],[Real Estate]],SottocategorieEntrate[[#Headers],[Other]]),"$ -","")</f>
        <v/>
      </c>
      <c r="P206" s="59" t="str">
        <f>IF(OR($I206&lt;&gt;SottocategorieEntrate[[#Headers],[Business Entrate]],$I206&lt;&gt;SottocategorieEntrate[[#Headers],[Varie Entrate]],$I206&lt;&gt;SottocategorieEntrate[[#Headers],[Real Estate]],$I206&lt;&gt;SottocategorieEntrate[[#Headers],[Other]]),"","$ -")</f>
        <v/>
      </c>
      <c r="Q206" s="59" t="str">
        <f>IF(Dati[[#This Row],[Categoria]]="Prelievo","€ -","")</f>
        <v/>
      </c>
      <c r="R206" s="244" t="str">
        <f t="shared" ca="1" si="8"/>
        <v/>
      </c>
      <c r="S206" s="59" t="str">
        <f>IF(Dati[[#This Row],[Categoria]]="Savings",0,"")</f>
        <v/>
      </c>
      <c r="T206" s="59"/>
      <c r="U206" s="59"/>
      <c r="V206" s="59"/>
      <c r="W206" s="59"/>
      <c r="X206" s="59"/>
      <c r="Y206" s="59"/>
      <c r="Z206" s="59"/>
      <c r="AA206" s="59"/>
      <c r="AB206" s="59"/>
      <c r="AC206" s="59"/>
      <c r="AD206" s="59"/>
      <c r="AE206" s="59"/>
      <c r="AF206" s="59"/>
      <c r="AG206" s="59"/>
      <c r="AH206" s="59"/>
      <c r="AI206" s="59" t="str">
        <f>IF(SUM(Dati[[#This Row],[Inv. Business]:[Inv. Cryptocurrency]])=0," ",SUM(Dati[[#This Row],[Inv. Business]:[Inv. Cryptocurrency]]))</f>
        <v xml:space="preserve"> </v>
      </c>
      <c r="AJ206" s="59"/>
      <c r="AK206" s="59" t="str">
        <f>IF(SUM(Dati[[#This Row],[Inv. Gold]:[Mutuo]])=0," ",SUM(Dati[[#This Row],[Inv. Gold]:[Mutuo]]))</f>
        <v xml:space="preserve"> </v>
      </c>
      <c r="AL206" s="59"/>
      <c r="AM206" s="59"/>
    </row>
    <row r="207" spans="2:39" ht="16" customHeight="1" x14ac:dyDescent="0.35">
      <c r="B207">
        <f t="shared" si="6"/>
        <v>187</v>
      </c>
      <c r="C207" s="49">
        <f t="shared" si="7"/>
        <v>45113</v>
      </c>
      <c r="D207" s="29">
        <f>DAY(Dati[[#This Row],[Data]])</f>
        <v>6</v>
      </c>
      <c r="E207" s="29" t="str">
        <f>IF(DAY(Data!$C$21:$C$1327)&gt;0,TEXT(Data!$C$21:$C$1327, "mmmm"),"")</f>
        <v>luglio</v>
      </c>
      <c r="F207" s="29" t="str">
        <f>IF(DAY(Data!$C$21:$C$1327)&gt;0,TEXT(Data!$C$21:$C$1327, "aaaa"),"")</f>
        <v>2023</v>
      </c>
      <c r="I207" t="str">
        <f>IF(OR(H207=$B$5,H207=$B$6,H207=$B$7,H207=$B$8,H207=$B$9,H207=$B$10,H207=$B$11,H207=$B$12,H207=$B$13,H207=$B$14),SottocategorieUscite[[#Headers],[Fuori Casa]],IF(OR(H207=$C$5,H207=$C$6,H207=$C$7,H207=$C$8,H207=$C$9,H207=$C$10,H207=$C$11,H207=$C$12,H207=$C$13,H207=$C$14),SottocategorieUscite[[#Headers],[Varie Uscite]],IF(OR(H207=$D$5,H207=$D$6,H207=$D$7,H207=$D$8,H207=$D$9,H207=$D$10,H207=$D$11,H207=$D$12,H207=$D$13,H207=$D$14),SottocategorieUscite[[#Headers],[Personali]],IF(OR(H207=$E$5,H207=$E$6,H207=$E$7,H207=$E$8,H207=$E$9,H207=$E$10,H207=$E$11,H207=$E$12,H207=$E$13,H207=$E$14),SottocategorieUscite[[#Headers],[Lavoro]],IF(OR(H207=$F$5,H207=$F$6,H207=$F$7,H207=$F$8,H207=$F$9,H207=$F$10,H207=$F$11,H207=$F$12,H207=$F$13,H207=$F$14),SottocategorieUscite[[#Headers],[Casa]],IF(OR(H207=$G$5,H207=$G$6,H207=$G$7,H207=$G$8,H207=$G$9,H207=$G$10,H207=$G$11,H207=$G$12,H207=$G$13,H207=$G$14),SottocategorieUscite[[#Headers],[Utenze]],IF(OR(H207=$H$5,H207=$H$6,H207=$H$7,H207=$H$8,H207=$H$9,H207=$H$10,H207=$H$11,H207=$H$12,H207=$H$13,H207=$H$14),SottocategorieUscite[[#Headers],[Business Uscite]],IF(OR(H207=$I$5,H207=$I$6,H207=$I$7,H207=$I$8,H207=$I$9,H207=$I$10,H207=$I$11,H207=$I$12,H207=$I$13,H207=$I$14),SottocategorieUscite[[#Headers],[Banca]],IF(OR(H207=K$5,H207=K$6,H207=K$7,H207=K$8,H207=K$9,H207=K$10,H207=K$11,H207=K$12,H207=K$13,H207=K$14),SottocategorieEntrate[[#Headers],[Business Entrate]],IF(OR(H207=L$5,H207=L$6,H207=L$7,H207=L$8,H207=L$9,H207=L$10,H207=L$11,H207=L$12,H207=L$13,H207=L$14),SottocategorieEntrate[[#Headers],[Varie Entrate]],IF(OR(H207=M$5,H207=M$6,H207=M$7,H207=M$8,H207=M$9,H207=M$10,H207=M$11,H207=M$12,H207=M$13,H207=M$14),SottocategorieEntrate[[#Headers],[Real Estate]],IF(OR(H207=N$5,H207=N$6,H207=N$7,H207=N$8,H207=N$9,H207=N$10,H207=N$11,H207=N$12,H207=N$13,H207=N$14),SottocategorieEntrate[[#Headers],[Other]],""))))))))))))</f>
        <v/>
      </c>
      <c r="J207" t="str">
        <f>IF(OR(Dati[[#This Row],[Categoria]]="Bollette",Dati[[#This Row],[Categoria]]="Conto &amp; Carte BNL",Dati[[#This Row],[Categoria]]="Prelievo",Dati[[#This Row],[Categoria]]="Affitto",Dati[[#This Row],[Categoria]]="BNL(Interessi Creditori)"),"Carta",IF(Dati[[#This Row],[Categoria]]&lt;&gt;0,"Cash",""))</f>
        <v/>
      </c>
      <c r="K207" s="59" t="str">
        <f>IF(OR(Data!$I207=SottocategorieUscite[[#Headers],[Fuori Casa]],Data!$I207=SottocategorieUscite[[#Headers],[Varie Uscite]],Data!$I207=SottocategorieUscite[[#Headers],[Personali]],Data!$I207=SottocategorieUscite[[#Headers],[Lavoro]]),"$ -","")</f>
        <v/>
      </c>
      <c r="L207" s="59" t="str">
        <f>IF(OR(Data!$I207=SottocategorieUscite[[#Headers],[Casa]],Data!$I207=SottocategorieUscite[[#Headers],[Utenze]],Data!$I207=SottocategorieUscite[[#Headers],[Business Uscite]],Data!$I207=SottocategorieUscite[[#Headers],[Banca]]),"$ -","")</f>
        <v/>
      </c>
      <c r="M207" s="59" t="str">
        <f>IF(OR($I207&lt;&gt;SottocategorieUscite[[#Headers],[Fuori Casa]],$I207&lt;&gt;SottocategorieUscite[[#Headers],[Varie Uscite]],$I207&lt;&gt;SottocategorieUscite[[#Headers],[Personali]],$I207&lt;&gt;SottocategorieUscite[[#Headers],[Lavoro]],$I207&lt;&gt;SottocategorieUscite[[#Headers],[Casa]],$I207&lt;&gt;SottocategorieUscite[[#Headers],[Utenze]],$I207&lt;&gt;SottocategorieUscite[[#Headers],[Business Uscite]],$I207&lt;&gt;SottocategorieUscite[[#Headers],[Banca]]),"","$ -")</f>
        <v/>
      </c>
      <c r="N207" s="59" t="str">
        <f>IF(OR(Data!$I207=SottocategorieEntrate[[#Headers],[Business Entrate]],Data!$I207=SottocategorieEntrate[[#Headers],[Varie Entrate]]),"$ -","")</f>
        <v/>
      </c>
      <c r="O207" s="59" t="str">
        <f>IF(OR(Data!$I207=SottocategorieEntrate[[#Headers],[Real Estate]],SottocategorieEntrate[[#Headers],[Other]]),"$ -","")</f>
        <v/>
      </c>
      <c r="P207" s="59" t="str">
        <f>IF(OR($I207&lt;&gt;SottocategorieEntrate[[#Headers],[Business Entrate]],$I207&lt;&gt;SottocategorieEntrate[[#Headers],[Varie Entrate]],$I207&lt;&gt;SottocategorieEntrate[[#Headers],[Real Estate]],$I207&lt;&gt;SottocategorieEntrate[[#Headers],[Other]]),"","$ -")</f>
        <v/>
      </c>
      <c r="Q207" s="59" t="str">
        <f>IF(Dati[[#This Row],[Categoria]]="Prelievo","€ -","")</f>
        <v/>
      </c>
      <c r="R207" s="244" t="str">
        <f t="shared" ca="1" si="8"/>
        <v/>
      </c>
      <c r="S207" s="59" t="str">
        <f>IF(Dati[[#This Row],[Categoria]]="Savings",0,"")</f>
        <v/>
      </c>
      <c r="T207" s="59"/>
      <c r="U207" s="59"/>
      <c r="V207" s="59"/>
      <c r="W207" s="59"/>
      <c r="X207" s="59"/>
      <c r="Y207" s="59"/>
      <c r="Z207" s="59"/>
      <c r="AA207" s="59"/>
      <c r="AB207" s="59"/>
      <c r="AC207" s="59"/>
      <c r="AD207" s="59"/>
      <c r="AE207" s="59"/>
      <c r="AF207" s="59"/>
      <c r="AG207" s="59"/>
      <c r="AH207" s="59"/>
      <c r="AI207" s="59" t="str">
        <f>IF(SUM(Dati[[#This Row],[Inv. Business]:[Inv. Cryptocurrency]])=0," ",SUM(Dati[[#This Row],[Inv. Business]:[Inv. Cryptocurrency]]))</f>
        <v xml:space="preserve"> </v>
      </c>
      <c r="AJ207" s="59"/>
      <c r="AK207" s="59" t="str">
        <f>IF(SUM(Dati[[#This Row],[Inv. Gold]:[Mutuo]])=0," ",SUM(Dati[[#This Row],[Inv. Gold]:[Mutuo]]))</f>
        <v xml:space="preserve"> </v>
      </c>
      <c r="AL207" s="59"/>
      <c r="AM207" s="59"/>
    </row>
    <row r="208" spans="2:39" ht="16" customHeight="1" x14ac:dyDescent="0.35">
      <c r="B208">
        <f t="shared" si="6"/>
        <v>188</v>
      </c>
      <c r="C208" s="49">
        <f t="shared" si="7"/>
        <v>45114</v>
      </c>
      <c r="D208" s="29">
        <f>DAY(Dati[[#This Row],[Data]])</f>
        <v>7</v>
      </c>
      <c r="E208" s="29" t="str">
        <f>IF(DAY(Data!$C$21:$C$1327)&gt;0,TEXT(Data!$C$21:$C$1327, "mmmm"),"")</f>
        <v>luglio</v>
      </c>
      <c r="F208" s="29" t="str">
        <f>IF(DAY(Data!$C$21:$C$1327)&gt;0,TEXT(Data!$C$21:$C$1327, "aaaa"),"")</f>
        <v>2023</v>
      </c>
      <c r="I208" t="str">
        <f>IF(OR(H208=$B$5,H208=$B$6,H208=$B$7,H208=$B$8,H208=$B$9,H208=$B$10,H208=$B$11,H208=$B$12,H208=$B$13,H208=$B$14),SottocategorieUscite[[#Headers],[Fuori Casa]],IF(OR(H208=$C$5,H208=$C$6,H208=$C$7,H208=$C$8,H208=$C$9,H208=$C$10,H208=$C$11,H208=$C$12,H208=$C$13,H208=$C$14),SottocategorieUscite[[#Headers],[Varie Uscite]],IF(OR(H208=$D$5,H208=$D$6,H208=$D$7,H208=$D$8,H208=$D$9,H208=$D$10,H208=$D$11,H208=$D$12,H208=$D$13,H208=$D$14),SottocategorieUscite[[#Headers],[Personali]],IF(OR(H208=$E$5,H208=$E$6,H208=$E$7,H208=$E$8,H208=$E$9,H208=$E$10,H208=$E$11,H208=$E$12,H208=$E$13,H208=$E$14),SottocategorieUscite[[#Headers],[Lavoro]],IF(OR(H208=$F$5,H208=$F$6,H208=$F$7,H208=$F$8,H208=$F$9,H208=$F$10,H208=$F$11,H208=$F$12,H208=$F$13,H208=$F$14),SottocategorieUscite[[#Headers],[Casa]],IF(OR(H208=$G$5,H208=$G$6,H208=$G$7,H208=$G$8,H208=$G$9,H208=$G$10,H208=$G$11,H208=$G$12,H208=$G$13,H208=$G$14),SottocategorieUscite[[#Headers],[Utenze]],IF(OR(H208=$H$5,H208=$H$6,H208=$H$7,H208=$H$8,H208=$H$9,H208=$H$10,H208=$H$11,H208=$H$12,H208=$H$13,H208=$H$14),SottocategorieUscite[[#Headers],[Business Uscite]],IF(OR(H208=$I$5,H208=$I$6,H208=$I$7,H208=$I$8,H208=$I$9,H208=$I$10,H208=$I$11,H208=$I$12,H208=$I$13,H208=$I$14),SottocategorieUscite[[#Headers],[Banca]],IF(OR(H208=K$5,H208=K$6,H208=K$7,H208=K$8,H208=K$9,H208=K$10,H208=K$11,H208=K$12,H208=K$13,H208=K$14),SottocategorieEntrate[[#Headers],[Business Entrate]],IF(OR(H208=L$5,H208=L$6,H208=L$7,H208=L$8,H208=L$9,H208=L$10,H208=L$11,H208=L$12,H208=L$13,H208=L$14),SottocategorieEntrate[[#Headers],[Varie Entrate]],IF(OR(H208=M$5,H208=M$6,H208=M$7,H208=M$8,H208=M$9,H208=M$10,H208=M$11,H208=M$12,H208=M$13,H208=M$14),SottocategorieEntrate[[#Headers],[Real Estate]],IF(OR(H208=N$5,H208=N$6,H208=N$7,H208=N$8,H208=N$9,H208=N$10,H208=N$11,H208=N$12,H208=N$13,H208=N$14),SottocategorieEntrate[[#Headers],[Other]],""))))))))))))</f>
        <v/>
      </c>
      <c r="J208" t="str">
        <f>IF(OR(Dati[[#This Row],[Categoria]]="Bollette",Dati[[#This Row],[Categoria]]="Conto &amp; Carte BNL",Dati[[#This Row],[Categoria]]="Prelievo",Dati[[#This Row],[Categoria]]="Affitto",Dati[[#This Row],[Categoria]]="BNL(Interessi Creditori)"),"Carta",IF(Dati[[#This Row],[Categoria]]&lt;&gt;0,"Cash",""))</f>
        <v/>
      </c>
      <c r="K208" s="59" t="str">
        <f>IF(OR(Data!$I208=SottocategorieUscite[[#Headers],[Fuori Casa]],Data!$I208=SottocategorieUscite[[#Headers],[Varie Uscite]],Data!$I208=SottocategorieUscite[[#Headers],[Personali]],Data!$I208=SottocategorieUscite[[#Headers],[Lavoro]]),"$ -","")</f>
        <v/>
      </c>
      <c r="L208" s="59" t="str">
        <f>IF(OR(Data!$I208=SottocategorieUscite[[#Headers],[Casa]],Data!$I208=SottocategorieUscite[[#Headers],[Utenze]],Data!$I208=SottocategorieUscite[[#Headers],[Business Uscite]],Data!$I208=SottocategorieUscite[[#Headers],[Banca]]),"$ -","")</f>
        <v/>
      </c>
      <c r="M208" s="59" t="str">
        <f>IF(OR($I208&lt;&gt;SottocategorieUscite[[#Headers],[Fuori Casa]],$I208&lt;&gt;SottocategorieUscite[[#Headers],[Varie Uscite]],$I208&lt;&gt;SottocategorieUscite[[#Headers],[Personali]],$I208&lt;&gt;SottocategorieUscite[[#Headers],[Lavoro]],$I208&lt;&gt;SottocategorieUscite[[#Headers],[Casa]],$I208&lt;&gt;SottocategorieUscite[[#Headers],[Utenze]],$I208&lt;&gt;SottocategorieUscite[[#Headers],[Business Uscite]],$I208&lt;&gt;SottocategorieUscite[[#Headers],[Banca]]),"","$ -")</f>
        <v/>
      </c>
      <c r="N208" s="59" t="str">
        <f>IF(OR(Data!$I208=SottocategorieEntrate[[#Headers],[Business Entrate]],Data!$I208=SottocategorieEntrate[[#Headers],[Varie Entrate]]),"$ -","")</f>
        <v/>
      </c>
      <c r="O208" s="59" t="str">
        <f>IF(OR(Data!$I208=SottocategorieEntrate[[#Headers],[Real Estate]],SottocategorieEntrate[[#Headers],[Other]]),"$ -","")</f>
        <v/>
      </c>
      <c r="P208" s="59" t="str">
        <f>IF(OR($I208&lt;&gt;SottocategorieEntrate[[#Headers],[Business Entrate]],$I208&lt;&gt;SottocategorieEntrate[[#Headers],[Varie Entrate]],$I208&lt;&gt;SottocategorieEntrate[[#Headers],[Real Estate]],$I208&lt;&gt;SottocategorieEntrate[[#Headers],[Other]]),"","$ -")</f>
        <v/>
      </c>
      <c r="Q208" s="59" t="str">
        <f>IF(Dati[[#This Row],[Categoria]]="Prelievo","€ -","")</f>
        <v/>
      </c>
      <c r="R208" s="244" t="str">
        <f t="shared" ca="1" si="8"/>
        <v/>
      </c>
      <c r="S208" s="59" t="str">
        <f>IF(Dati[[#This Row],[Categoria]]="Savings",0,"")</f>
        <v/>
      </c>
      <c r="T208" s="59"/>
      <c r="U208" s="59"/>
      <c r="V208" s="59"/>
      <c r="W208" s="59"/>
      <c r="X208" s="59"/>
      <c r="Y208" s="59"/>
      <c r="Z208" s="59"/>
      <c r="AA208" s="59"/>
      <c r="AB208" s="59"/>
      <c r="AC208" s="59"/>
      <c r="AD208" s="59"/>
      <c r="AE208" s="59"/>
      <c r="AF208" s="59"/>
      <c r="AG208" s="59"/>
      <c r="AH208" s="59"/>
      <c r="AI208" s="59" t="str">
        <f>IF(SUM(Dati[[#This Row],[Inv. Business]:[Inv. Cryptocurrency]])=0," ",SUM(Dati[[#This Row],[Inv. Business]:[Inv. Cryptocurrency]]))</f>
        <v xml:space="preserve"> </v>
      </c>
      <c r="AJ208" s="59"/>
      <c r="AK208" s="59" t="str">
        <f>IF(SUM(Dati[[#This Row],[Inv. Gold]:[Mutuo]])=0," ",SUM(Dati[[#This Row],[Inv. Gold]:[Mutuo]]))</f>
        <v xml:space="preserve"> </v>
      </c>
      <c r="AL208" s="59"/>
      <c r="AM208" s="59"/>
    </row>
    <row r="209" spans="2:39" ht="16" customHeight="1" x14ac:dyDescent="0.35">
      <c r="B209">
        <f t="shared" si="6"/>
        <v>189</v>
      </c>
      <c r="C209" s="49">
        <f t="shared" si="7"/>
        <v>45115</v>
      </c>
      <c r="D209" s="29">
        <f>DAY(Dati[[#This Row],[Data]])</f>
        <v>8</v>
      </c>
      <c r="E209" s="29" t="str">
        <f>IF(DAY(Data!$C$21:$C$1327)&gt;0,TEXT(Data!$C$21:$C$1327, "mmmm"),"")</f>
        <v>luglio</v>
      </c>
      <c r="F209" s="29" t="str">
        <f>IF(DAY(Data!$C$21:$C$1327)&gt;0,TEXT(Data!$C$21:$C$1327, "aaaa"),"")</f>
        <v>2023</v>
      </c>
      <c r="I209" t="str">
        <f>IF(OR(H209=$B$5,H209=$B$6,H209=$B$7,H209=$B$8,H209=$B$9,H209=$B$10,H209=$B$11,H209=$B$12,H209=$B$13,H209=$B$14),SottocategorieUscite[[#Headers],[Fuori Casa]],IF(OR(H209=$C$5,H209=$C$6,H209=$C$7,H209=$C$8,H209=$C$9,H209=$C$10,H209=$C$11,H209=$C$12,H209=$C$13,H209=$C$14),SottocategorieUscite[[#Headers],[Varie Uscite]],IF(OR(H209=$D$5,H209=$D$6,H209=$D$7,H209=$D$8,H209=$D$9,H209=$D$10,H209=$D$11,H209=$D$12,H209=$D$13,H209=$D$14),SottocategorieUscite[[#Headers],[Personali]],IF(OR(H209=$E$5,H209=$E$6,H209=$E$7,H209=$E$8,H209=$E$9,H209=$E$10,H209=$E$11,H209=$E$12,H209=$E$13,H209=$E$14),SottocategorieUscite[[#Headers],[Lavoro]],IF(OR(H209=$F$5,H209=$F$6,H209=$F$7,H209=$F$8,H209=$F$9,H209=$F$10,H209=$F$11,H209=$F$12,H209=$F$13,H209=$F$14),SottocategorieUscite[[#Headers],[Casa]],IF(OR(H209=$G$5,H209=$G$6,H209=$G$7,H209=$G$8,H209=$G$9,H209=$G$10,H209=$G$11,H209=$G$12,H209=$G$13,H209=$G$14),SottocategorieUscite[[#Headers],[Utenze]],IF(OR(H209=$H$5,H209=$H$6,H209=$H$7,H209=$H$8,H209=$H$9,H209=$H$10,H209=$H$11,H209=$H$12,H209=$H$13,H209=$H$14),SottocategorieUscite[[#Headers],[Business Uscite]],IF(OR(H209=$I$5,H209=$I$6,H209=$I$7,H209=$I$8,H209=$I$9,H209=$I$10,H209=$I$11,H209=$I$12,H209=$I$13,H209=$I$14),SottocategorieUscite[[#Headers],[Banca]],IF(OR(H209=K$5,H209=K$6,H209=K$7,H209=K$8,H209=K$9,H209=K$10,H209=K$11,H209=K$12,H209=K$13,H209=K$14),SottocategorieEntrate[[#Headers],[Business Entrate]],IF(OR(H209=L$5,H209=L$6,H209=L$7,H209=L$8,H209=L$9,H209=L$10,H209=L$11,H209=L$12,H209=L$13,H209=L$14),SottocategorieEntrate[[#Headers],[Varie Entrate]],IF(OR(H209=M$5,H209=M$6,H209=M$7,H209=M$8,H209=M$9,H209=M$10,H209=M$11,H209=M$12,H209=M$13,H209=M$14),SottocategorieEntrate[[#Headers],[Real Estate]],IF(OR(H209=N$5,H209=N$6,H209=N$7,H209=N$8,H209=N$9,H209=N$10,H209=N$11,H209=N$12,H209=N$13,H209=N$14),SottocategorieEntrate[[#Headers],[Other]],""))))))))))))</f>
        <v/>
      </c>
      <c r="J209" t="str">
        <f>IF(OR(Dati[[#This Row],[Categoria]]="Bollette",Dati[[#This Row],[Categoria]]="Conto &amp; Carte BNL",Dati[[#This Row],[Categoria]]="Prelievo",Dati[[#This Row],[Categoria]]="Affitto",Dati[[#This Row],[Categoria]]="BNL(Interessi Creditori)"),"Carta",IF(Dati[[#This Row],[Categoria]]&lt;&gt;0,"Cash",""))</f>
        <v/>
      </c>
      <c r="K209" s="59" t="str">
        <f>IF(OR(Data!$I209=SottocategorieUscite[[#Headers],[Fuori Casa]],Data!$I209=SottocategorieUscite[[#Headers],[Varie Uscite]],Data!$I209=SottocategorieUscite[[#Headers],[Personali]],Data!$I209=SottocategorieUscite[[#Headers],[Lavoro]]),"$ -","")</f>
        <v/>
      </c>
      <c r="L209" s="59" t="str">
        <f>IF(OR(Data!$I209=SottocategorieUscite[[#Headers],[Casa]],Data!$I209=SottocategorieUscite[[#Headers],[Utenze]],Data!$I209=SottocategorieUscite[[#Headers],[Business Uscite]],Data!$I209=SottocategorieUscite[[#Headers],[Banca]]),"$ -","")</f>
        <v/>
      </c>
      <c r="M209" s="59" t="str">
        <f>IF(OR($I209&lt;&gt;SottocategorieUscite[[#Headers],[Fuori Casa]],$I209&lt;&gt;SottocategorieUscite[[#Headers],[Varie Uscite]],$I209&lt;&gt;SottocategorieUscite[[#Headers],[Personali]],$I209&lt;&gt;SottocategorieUscite[[#Headers],[Lavoro]],$I209&lt;&gt;SottocategorieUscite[[#Headers],[Casa]],$I209&lt;&gt;SottocategorieUscite[[#Headers],[Utenze]],$I209&lt;&gt;SottocategorieUscite[[#Headers],[Business Uscite]],$I209&lt;&gt;SottocategorieUscite[[#Headers],[Banca]]),"","$ -")</f>
        <v/>
      </c>
      <c r="N209" s="59" t="str">
        <f>IF(OR(Data!$I209=SottocategorieEntrate[[#Headers],[Business Entrate]],Data!$I209=SottocategorieEntrate[[#Headers],[Varie Entrate]]),"$ -","")</f>
        <v/>
      </c>
      <c r="O209" s="59" t="str">
        <f>IF(OR(Data!$I209=SottocategorieEntrate[[#Headers],[Real Estate]],SottocategorieEntrate[[#Headers],[Other]]),"$ -","")</f>
        <v/>
      </c>
      <c r="P209" s="59" t="str">
        <f>IF(OR($I209&lt;&gt;SottocategorieEntrate[[#Headers],[Business Entrate]],$I209&lt;&gt;SottocategorieEntrate[[#Headers],[Varie Entrate]],$I209&lt;&gt;SottocategorieEntrate[[#Headers],[Real Estate]],$I209&lt;&gt;SottocategorieEntrate[[#Headers],[Other]]),"","$ -")</f>
        <v/>
      </c>
      <c r="Q209" s="59" t="str">
        <f>IF(Dati[[#This Row],[Categoria]]="Prelievo","€ -","")</f>
        <v/>
      </c>
      <c r="R209" s="244" t="str">
        <f t="shared" ca="1" si="8"/>
        <v/>
      </c>
      <c r="S209" s="59" t="str">
        <f>IF(Dati[[#This Row],[Categoria]]="Savings",0,"")</f>
        <v/>
      </c>
      <c r="T209" s="59"/>
      <c r="U209" s="59"/>
      <c r="V209" s="59"/>
      <c r="W209" s="59"/>
      <c r="X209" s="59"/>
      <c r="Y209" s="59"/>
      <c r="Z209" s="59"/>
      <c r="AA209" s="59"/>
      <c r="AB209" s="59"/>
      <c r="AC209" s="59"/>
      <c r="AD209" s="59"/>
      <c r="AE209" s="59"/>
      <c r="AF209" s="59"/>
      <c r="AG209" s="59"/>
      <c r="AH209" s="59"/>
      <c r="AI209" s="59" t="str">
        <f>IF(SUM(Dati[[#This Row],[Inv. Business]:[Inv. Cryptocurrency]])=0," ",SUM(Dati[[#This Row],[Inv. Business]:[Inv. Cryptocurrency]]))</f>
        <v xml:space="preserve"> </v>
      </c>
      <c r="AJ209" s="59"/>
      <c r="AK209" s="59" t="str">
        <f>IF(SUM(Dati[[#This Row],[Inv. Gold]:[Mutuo]])=0," ",SUM(Dati[[#This Row],[Inv. Gold]:[Mutuo]]))</f>
        <v xml:space="preserve"> </v>
      </c>
      <c r="AL209" s="59"/>
      <c r="AM209" s="59"/>
    </row>
    <row r="210" spans="2:39" ht="16" customHeight="1" x14ac:dyDescent="0.35">
      <c r="B210">
        <f t="shared" si="6"/>
        <v>190</v>
      </c>
      <c r="C210" s="49">
        <f t="shared" si="7"/>
        <v>45116</v>
      </c>
      <c r="D210" s="29">
        <f>DAY(Dati[[#This Row],[Data]])</f>
        <v>9</v>
      </c>
      <c r="E210" s="29" t="str">
        <f>IF(DAY(Data!$C$21:$C$1327)&gt;0,TEXT(Data!$C$21:$C$1327, "mmmm"),"")</f>
        <v>luglio</v>
      </c>
      <c r="F210" s="29" t="str">
        <f>IF(DAY(Data!$C$21:$C$1327)&gt;0,TEXT(Data!$C$21:$C$1327, "aaaa"),"")</f>
        <v>2023</v>
      </c>
      <c r="I210" t="str">
        <f>IF(OR(H210=$B$5,H210=$B$6,H210=$B$7,H210=$B$8,H210=$B$9,H210=$B$10,H210=$B$11,H210=$B$12,H210=$B$13,H210=$B$14),SottocategorieUscite[[#Headers],[Fuori Casa]],IF(OR(H210=$C$5,H210=$C$6,H210=$C$7,H210=$C$8,H210=$C$9,H210=$C$10,H210=$C$11,H210=$C$12,H210=$C$13,H210=$C$14),SottocategorieUscite[[#Headers],[Varie Uscite]],IF(OR(H210=$D$5,H210=$D$6,H210=$D$7,H210=$D$8,H210=$D$9,H210=$D$10,H210=$D$11,H210=$D$12,H210=$D$13,H210=$D$14),SottocategorieUscite[[#Headers],[Personali]],IF(OR(H210=$E$5,H210=$E$6,H210=$E$7,H210=$E$8,H210=$E$9,H210=$E$10,H210=$E$11,H210=$E$12,H210=$E$13,H210=$E$14),SottocategorieUscite[[#Headers],[Lavoro]],IF(OR(H210=$F$5,H210=$F$6,H210=$F$7,H210=$F$8,H210=$F$9,H210=$F$10,H210=$F$11,H210=$F$12,H210=$F$13,H210=$F$14),SottocategorieUscite[[#Headers],[Casa]],IF(OR(H210=$G$5,H210=$G$6,H210=$G$7,H210=$G$8,H210=$G$9,H210=$G$10,H210=$G$11,H210=$G$12,H210=$G$13,H210=$G$14),SottocategorieUscite[[#Headers],[Utenze]],IF(OR(H210=$H$5,H210=$H$6,H210=$H$7,H210=$H$8,H210=$H$9,H210=$H$10,H210=$H$11,H210=$H$12,H210=$H$13,H210=$H$14),SottocategorieUscite[[#Headers],[Business Uscite]],IF(OR(H210=$I$5,H210=$I$6,H210=$I$7,H210=$I$8,H210=$I$9,H210=$I$10,H210=$I$11,H210=$I$12,H210=$I$13,H210=$I$14),SottocategorieUscite[[#Headers],[Banca]],IF(OR(H210=K$5,H210=K$6,H210=K$7,H210=K$8,H210=K$9,H210=K$10,H210=K$11,H210=K$12,H210=K$13,H210=K$14),SottocategorieEntrate[[#Headers],[Business Entrate]],IF(OR(H210=L$5,H210=L$6,H210=L$7,H210=L$8,H210=L$9,H210=L$10,H210=L$11,H210=L$12,H210=L$13,H210=L$14),SottocategorieEntrate[[#Headers],[Varie Entrate]],IF(OR(H210=M$5,H210=M$6,H210=M$7,H210=M$8,H210=M$9,H210=M$10,H210=M$11,H210=M$12,H210=M$13,H210=M$14),SottocategorieEntrate[[#Headers],[Real Estate]],IF(OR(H210=N$5,H210=N$6,H210=N$7,H210=N$8,H210=N$9,H210=N$10,H210=N$11,H210=N$12,H210=N$13,H210=N$14),SottocategorieEntrate[[#Headers],[Other]],""))))))))))))</f>
        <v/>
      </c>
      <c r="J210" t="str">
        <f>IF(OR(Dati[[#This Row],[Categoria]]="Bollette",Dati[[#This Row],[Categoria]]="Conto &amp; Carte BNL",Dati[[#This Row],[Categoria]]="Prelievo",Dati[[#This Row],[Categoria]]="Affitto",Dati[[#This Row],[Categoria]]="BNL(Interessi Creditori)"),"Carta",IF(Dati[[#This Row],[Categoria]]&lt;&gt;0,"Cash",""))</f>
        <v/>
      </c>
      <c r="K210" s="59" t="str">
        <f>IF(OR(Data!$I210=SottocategorieUscite[[#Headers],[Fuori Casa]],Data!$I210=SottocategorieUscite[[#Headers],[Varie Uscite]],Data!$I210=SottocategorieUscite[[#Headers],[Personali]],Data!$I210=SottocategorieUscite[[#Headers],[Lavoro]]),"$ -","")</f>
        <v/>
      </c>
      <c r="L210" s="59" t="str">
        <f>IF(OR(Data!$I210=SottocategorieUscite[[#Headers],[Casa]],Data!$I210=SottocategorieUscite[[#Headers],[Utenze]],Data!$I210=SottocategorieUscite[[#Headers],[Business Uscite]],Data!$I210=SottocategorieUscite[[#Headers],[Banca]]),"$ -","")</f>
        <v/>
      </c>
      <c r="M210" s="59" t="str">
        <f>IF(OR($I210&lt;&gt;SottocategorieUscite[[#Headers],[Fuori Casa]],$I210&lt;&gt;SottocategorieUscite[[#Headers],[Varie Uscite]],$I210&lt;&gt;SottocategorieUscite[[#Headers],[Personali]],$I210&lt;&gt;SottocategorieUscite[[#Headers],[Lavoro]],$I210&lt;&gt;SottocategorieUscite[[#Headers],[Casa]],$I210&lt;&gt;SottocategorieUscite[[#Headers],[Utenze]],$I210&lt;&gt;SottocategorieUscite[[#Headers],[Business Uscite]],$I210&lt;&gt;SottocategorieUscite[[#Headers],[Banca]]),"","$ -")</f>
        <v/>
      </c>
      <c r="N210" s="59" t="str">
        <f>IF(OR(Data!$I210=SottocategorieEntrate[[#Headers],[Business Entrate]],Data!$I210=SottocategorieEntrate[[#Headers],[Varie Entrate]]),"$ -","")</f>
        <v/>
      </c>
      <c r="O210" s="59" t="str">
        <f>IF(OR(Data!$I210=SottocategorieEntrate[[#Headers],[Real Estate]],SottocategorieEntrate[[#Headers],[Other]]),"$ -","")</f>
        <v/>
      </c>
      <c r="P210" s="59" t="str">
        <f>IF(OR($I210&lt;&gt;SottocategorieEntrate[[#Headers],[Business Entrate]],$I210&lt;&gt;SottocategorieEntrate[[#Headers],[Varie Entrate]],$I210&lt;&gt;SottocategorieEntrate[[#Headers],[Real Estate]],$I210&lt;&gt;SottocategorieEntrate[[#Headers],[Other]]),"","$ -")</f>
        <v/>
      </c>
      <c r="Q210" s="59" t="str">
        <f>IF(Dati[[#This Row],[Categoria]]="Prelievo","€ -","")</f>
        <v/>
      </c>
      <c r="R210" s="244" t="str">
        <f t="shared" ca="1" si="8"/>
        <v/>
      </c>
      <c r="S210" s="59" t="str">
        <f>IF(Dati[[#This Row],[Categoria]]="Savings",0,"")</f>
        <v/>
      </c>
      <c r="T210" s="59"/>
      <c r="U210" s="59"/>
      <c r="V210" s="59"/>
      <c r="W210" s="59"/>
      <c r="X210" s="59"/>
      <c r="Y210" s="59"/>
      <c r="Z210" s="59"/>
      <c r="AA210" s="59"/>
      <c r="AB210" s="59"/>
      <c r="AC210" s="59"/>
      <c r="AD210" s="59"/>
      <c r="AE210" s="59"/>
      <c r="AF210" s="59"/>
      <c r="AG210" s="59"/>
      <c r="AH210" s="59"/>
      <c r="AI210" s="59" t="str">
        <f>IF(SUM(Dati[[#This Row],[Inv. Business]:[Inv. Cryptocurrency]])=0," ",SUM(Dati[[#This Row],[Inv. Business]:[Inv. Cryptocurrency]]))</f>
        <v xml:space="preserve"> </v>
      </c>
      <c r="AJ210" s="59"/>
      <c r="AK210" s="59" t="str">
        <f>IF(SUM(Dati[[#This Row],[Inv. Gold]:[Mutuo]])=0," ",SUM(Dati[[#This Row],[Inv. Gold]:[Mutuo]]))</f>
        <v xml:space="preserve"> </v>
      </c>
      <c r="AL210" s="59"/>
      <c r="AM210" s="59"/>
    </row>
    <row r="211" spans="2:39" ht="16" customHeight="1" x14ac:dyDescent="0.35">
      <c r="B211">
        <f t="shared" si="6"/>
        <v>191</v>
      </c>
      <c r="C211" s="49">
        <f t="shared" si="7"/>
        <v>45117</v>
      </c>
      <c r="D211" s="29">
        <f>DAY(Dati[[#This Row],[Data]])</f>
        <v>10</v>
      </c>
      <c r="E211" s="29" t="str">
        <f>IF(DAY(Data!$C$21:$C$1327)&gt;0,TEXT(Data!$C$21:$C$1327, "mmmm"),"")</f>
        <v>luglio</v>
      </c>
      <c r="F211" s="29" t="str">
        <f>IF(DAY(Data!$C$21:$C$1327)&gt;0,TEXT(Data!$C$21:$C$1327, "aaaa"),"")</f>
        <v>2023</v>
      </c>
      <c r="I211" t="str">
        <f>IF(OR(H211=$B$5,H211=$B$6,H211=$B$7,H211=$B$8,H211=$B$9,H211=$B$10,H211=$B$11,H211=$B$12,H211=$B$13,H211=$B$14),SottocategorieUscite[[#Headers],[Fuori Casa]],IF(OR(H211=$C$5,H211=$C$6,H211=$C$7,H211=$C$8,H211=$C$9,H211=$C$10,H211=$C$11,H211=$C$12,H211=$C$13,H211=$C$14),SottocategorieUscite[[#Headers],[Varie Uscite]],IF(OR(H211=$D$5,H211=$D$6,H211=$D$7,H211=$D$8,H211=$D$9,H211=$D$10,H211=$D$11,H211=$D$12,H211=$D$13,H211=$D$14),SottocategorieUscite[[#Headers],[Personali]],IF(OR(H211=$E$5,H211=$E$6,H211=$E$7,H211=$E$8,H211=$E$9,H211=$E$10,H211=$E$11,H211=$E$12,H211=$E$13,H211=$E$14),SottocategorieUscite[[#Headers],[Lavoro]],IF(OR(H211=$F$5,H211=$F$6,H211=$F$7,H211=$F$8,H211=$F$9,H211=$F$10,H211=$F$11,H211=$F$12,H211=$F$13,H211=$F$14),SottocategorieUscite[[#Headers],[Casa]],IF(OR(H211=$G$5,H211=$G$6,H211=$G$7,H211=$G$8,H211=$G$9,H211=$G$10,H211=$G$11,H211=$G$12,H211=$G$13,H211=$G$14),SottocategorieUscite[[#Headers],[Utenze]],IF(OR(H211=$H$5,H211=$H$6,H211=$H$7,H211=$H$8,H211=$H$9,H211=$H$10,H211=$H$11,H211=$H$12,H211=$H$13,H211=$H$14),SottocategorieUscite[[#Headers],[Business Uscite]],IF(OR(H211=$I$5,H211=$I$6,H211=$I$7,H211=$I$8,H211=$I$9,H211=$I$10,H211=$I$11,H211=$I$12,H211=$I$13,H211=$I$14),SottocategorieUscite[[#Headers],[Banca]],IF(OR(H211=K$5,H211=K$6,H211=K$7,H211=K$8,H211=K$9,H211=K$10,H211=K$11,H211=K$12,H211=K$13,H211=K$14),SottocategorieEntrate[[#Headers],[Business Entrate]],IF(OR(H211=L$5,H211=L$6,H211=L$7,H211=L$8,H211=L$9,H211=L$10,H211=L$11,H211=L$12,H211=L$13,H211=L$14),SottocategorieEntrate[[#Headers],[Varie Entrate]],IF(OR(H211=M$5,H211=M$6,H211=M$7,H211=M$8,H211=M$9,H211=M$10,H211=M$11,H211=M$12,H211=M$13,H211=M$14),SottocategorieEntrate[[#Headers],[Real Estate]],IF(OR(H211=N$5,H211=N$6,H211=N$7,H211=N$8,H211=N$9,H211=N$10,H211=N$11,H211=N$12,H211=N$13,H211=N$14),SottocategorieEntrate[[#Headers],[Other]],""))))))))))))</f>
        <v/>
      </c>
      <c r="J211" t="str">
        <f>IF(OR(Dati[[#This Row],[Categoria]]="Bollette",Dati[[#This Row],[Categoria]]="Conto &amp; Carte BNL",Dati[[#This Row],[Categoria]]="Prelievo",Dati[[#This Row],[Categoria]]="Affitto",Dati[[#This Row],[Categoria]]="BNL(Interessi Creditori)"),"Carta",IF(Dati[[#This Row],[Categoria]]&lt;&gt;0,"Cash",""))</f>
        <v/>
      </c>
      <c r="K211" s="59" t="str">
        <f>IF(OR(Data!$I211=SottocategorieUscite[[#Headers],[Fuori Casa]],Data!$I211=SottocategorieUscite[[#Headers],[Varie Uscite]],Data!$I211=SottocategorieUscite[[#Headers],[Personali]],Data!$I211=SottocategorieUscite[[#Headers],[Lavoro]]),"$ -","")</f>
        <v/>
      </c>
      <c r="L211" s="59" t="str">
        <f>IF(OR(Data!$I211=SottocategorieUscite[[#Headers],[Casa]],Data!$I211=SottocategorieUscite[[#Headers],[Utenze]],Data!$I211=SottocategorieUscite[[#Headers],[Business Uscite]],Data!$I211=SottocategorieUscite[[#Headers],[Banca]]),"$ -","")</f>
        <v/>
      </c>
      <c r="M211" s="59" t="str">
        <f>IF(OR($I211&lt;&gt;SottocategorieUscite[[#Headers],[Fuori Casa]],$I211&lt;&gt;SottocategorieUscite[[#Headers],[Varie Uscite]],$I211&lt;&gt;SottocategorieUscite[[#Headers],[Personali]],$I211&lt;&gt;SottocategorieUscite[[#Headers],[Lavoro]],$I211&lt;&gt;SottocategorieUscite[[#Headers],[Casa]],$I211&lt;&gt;SottocategorieUscite[[#Headers],[Utenze]],$I211&lt;&gt;SottocategorieUscite[[#Headers],[Business Uscite]],$I211&lt;&gt;SottocategorieUscite[[#Headers],[Banca]]),"","$ -")</f>
        <v/>
      </c>
      <c r="N211" s="59" t="str">
        <f>IF(OR(Data!$I211=SottocategorieEntrate[[#Headers],[Business Entrate]],Data!$I211=SottocategorieEntrate[[#Headers],[Varie Entrate]]),"$ -","")</f>
        <v/>
      </c>
      <c r="O211" s="59" t="str">
        <f>IF(OR(Data!$I211=SottocategorieEntrate[[#Headers],[Real Estate]],SottocategorieEntrate[[#Headers],[Other]]),"$ -","")</f>
        <v/>
      </c>
      <c r="P211" s="59" t="str">
        <f>IF(OR($I211&lt;&gt;SottocategorieEntrate[[#Headers],[Business Entrate]],$I211&lt;&gt;SottocategorieEntrate[[#Headers],[Varie Entrate]],$I211&lt;&gt;SottocategorieEntrate[[#Headers],[Real Estate]],$I211&lt;&gt;SottocategorieEntrate[[#Headers],[Other]]),"","$ -")</f>
        <v/>
      </c>
      <c r="Q211" s="59" t="str">
        <f>IF(Dati[[#This Row],[Categoria]]="Prelievo","€ -","")</f>
        <v/>
      </c>
      <c r="R211" s="244" t="str">
        <f t="shared" ca="1" si="8"/>
        <v/>
      </c>
      <c r="S211" s="59" t="str">
        <f>IF(Dati[[#This Row],[Categoria]]="Savings",0,"")</f>
        <v/>
      </c>
      <c r="T211" s="59"/>
      <c r="U211" s="59"/>
      <c r="V211" s="59"/>
      <c r="W211" s="59"/>
      <c r="X211" s="59"/>
      <c r="Y211" s="59"/>
      <c r="Z211" s="59"/>
      <c r="AA211" s="59"/>
      <c r="AB211" s="59"/>
      <c r="AC211" s="59"/>
      <c r="AD211" s="59"/>
      <c r="AE211" s="59"/>
      <c r="AF211" s="59"/>
      <c r="AG211" s="59"/>
      <c r="AH211" s="59"/>
      <c r="AI211" s="59" t="str">
        <f>IF(SUM(Dati[[#This Row],[Inv. Business]:[Inv. Cryptocurrency]])=0," ",SUM(Dati[[#This Row],[Inv. Business]:[Inv. Cryptocurrency]]))</f>
        <v xml:space="preserve"> </v>
      </c>
      <c r="AJ211" s="59"/>
      <c r="AK211" s="59" t="str">
        <f>IF(SUM(Dati[[#This Row],[Inv. Gold]:[Mutuo]])=0," ",SUM(Dati[[#This Row],[Inv. Gold]:[Mutuo]]))</f>
        <v xml:space="preserve"> </v>
      </c>
      <c r="AL211" s="59"/>
      <c r="AM211" s="59"/>
    </row>
    <row r="212" spans="2:39" ht="16" customHeight="1" x14ac:dyDescent="0.35">
      <c r="B212">
        <f t="shared" si="6"/>
        <v>192</v>
      </c>
      <c r="C212" s="49">
        <f t="shared" si="7"/>
        <v>45118</v>
      </c>
      <c r="D212" s="29">
        <f>DAY(Dati[[#This Row],[Data]])</f>
        <v>11</v>
      </c>
      <c r="E212" s="29" t="str">
        <f>IF(DAY(Data!$C$21:$C$1327)&gt;0,TEXT(Data!$C$21:$C$1327, "mmmm"),"")</f>
        <v>luglio</v>
      </c>
      <c r="F212" s="29" t="str">
        <f>IF(DAY(Data!$C$21:$C$1327)&gt;0,TEXT(Data!$C$21:$C$1327, "aaaa"),"")</f>
        <v>2023</v>
      </c>
      <c r="I212" t="str">
        <f>IF(OR(H212=$B$5,H212=$B$6,H212=$B$7,H212=$B$8,H212=$B$9,H212=$B$10,H212=$B$11,H212=$B$12,H212=$B$13,H212=$B$14),SottocategorieUscite[[#Headers],[Fuori Casa]],IF(OR(H212=$C$5,H212=$C$6,H212=$C$7,H212=$C$8,H212=$C$9,H212=$C$10,H212=$C$11,H212=$C$12,H212=$C$13,H212=$C$14),SottocategorieUscite[[#Headers],[Varie Uscite]],IF(OR(H212=$D$5,H212=$D$6,H212=$D$7,H212=$D$8,H212=$D$9,H212=$D$10,H212=$D$11,H212=$D$12,H212=$D$13,H212=$D$14),SottocategorieUscite[[#Headers],[Personali]],IF(OR(H212=$E$5,H212=$E$6,H212=$E$7,H212=$E$8,H212=$E$9,H212=$E$10,H212=$E$11,H212=$E$12,H212=$E$13,H212=$E$14),SottocategorieUscite[[#Headers],[Lavoro]],IF(OR(H212=$F$5,H212=$F$6,H212=$F$7,H212=$F$8,H212=$F$9,H212=$F$10,H212=$F$11,H212=$F$12,H212=$F$13,H212=$F$14),SottocategorieUscite[[#Headers],[Casa]],IF(OR(H212=$G$5,H212=$G$6,H212=$G$7,H212=$G$8,H212=$G$9,H212=$G$10,H212=$G$11,H212=$G$12,H212=$G$13,H212=$G$14),SottocategorieUscite[[#Headers],[Utenze]],IF(OR(H212=$H$5,H212=$H$6,H212=$H$7,H212=$H$8,H212=$H$9,H212=$H$10,H212=$H$11,H212=$H$12,H212=$H$13,H212=$H$14),SottocategorieUscite[[#Headers],[Business Uscite]],IF(OR(H212=$I$5,H212=$I$6,H212=$I$7,H212=$I$8,H212=$I$9,H212=$I$10,H212=$I$11,H212=$I$12,H212=$I$13,H212=$I$14),SottocategorieUscite[[#Headers],[Banca]],IF(OR(H212=K$5,H212=K$6,H212=K$7,H212=K$8,H212=K$9,H212=K$10,H212=K$11,H212=K$12,H212=K$13,H212=K$14),SottocategorieEntrate[[#Headers],[Business Entrate]],IF(OR(H212=L$5,H212=L$6,H212=L$7,H212=L$8,H212=L$9,H212=L$10,H212=L$11,H212=L$12,H212=L$13,H212=L$14),SottocategorieEntrate[[#Headers],[Varie Entrate]],IF(OR(H212=M$5,H212=M$6,H212=M$7,H212=M$8,H212=M$9,H212=M$10,H212=M$11,H212=M$12,H212=M$13,H212=M$14),SottocategorieEntrate[[#Headers],[Real Estate]],IF(OR(H212=N$5,H212=N$6,H212=N$7,H212=N$8,H212=N$9,H212=N$10,H212=N$11,H212=N$12,H212=N$13,H212=N$14),SottocategorieEntrate[[#Headers],[Other]],""))))))))))))</f>
        <v/>
      </c>
      <c r="J212" t="str">
        <f>IF(OR(Dati[[#This Row],[Categoria]]="Bollette",Dati[[#This Row],[Categoria]]="Conto &amp; Carte BNL",Dati[[#This Row],[Categoria]]="Prelievo",Dati[[#This Row],[Categoria]]="Affitto",Dati[[#This Row],[Categoria]]="BNL(Interessi Creditori)"),"Carta",IF(Dati[[#This Row],[Categoria]]&lt;&gt;0,"Cash",""))</f>
        <v/>
      </c>
      <c r="K212" s="59" t="str">
        <f>IF(OR(Data!$I212=SottocategorieUscite[[#Headers],[Fuori Casa]],Data!$I212=SottocategorieUscite[[#Headers],[Varie Uscite]],Data!$I212=SottocategorieUscite[[#Headers],[Personali]],Data!$I212=SottocategorieUscite[[#Headers],[Lavoro]]),"$ -","")</f>
        <v/>
      </c>
      <c r="L212" s="59" t="str">
        <f>IF(OR(Data!$I212=SottocategorieUscite[[#Headers],[Casa]],Data!$I212=SottocategorieUscite[[#Headers],[Utenze]],Data!$I212=SottocategorieUscite[[#Headers],[Business Uscite]],Data!$I212=SottocategorieUscite[[#Headers],[Banca]]),"$ -","")</f>
        <v/>
      </c>
      <c r="M212" s="59" t="str">
        <f>IF(OR($I212&lt;&gt;SottocategorieUscite[[#Headers],[Fuori Casa]],$I212&lt;&gt;SottocategorieUscite[[#Headers],[Varie Uscite]],$I212&lt;&gt;SottocategorieUscite[[#Headers],[Personali]],$I212&lt;&gt;SottocategorieUscite[[#Headers],[Lavoro]],$I212&lt;&gt;SottocategorieUscite[[#Headers],[Casa]],$I212&lt;&gt;SottocategorieUscite[[#Headers],[Utenze]],$I212&lt;&gt;SottocategorieUscite[[#Headers],[Business Uscite]],$I212&lt;&gt;SottocategorieUscite[[#Headers],[Banca]]),"","$ -")</f>
        <v/>
      </c>
      <c r="N212" s="59" t="str">
        <f>IF(OR(Data!$I212=SottocategorieEntrate[[#Headers],[Business Entrate]],Data!$I212=SottocategorieEntrate[[#Headers],[Varie Entrate]]),"$ -","")</f>
        <v/>
      </c>
      <c r="O212" s="59" t="str">
        <f>IF(OR(Data!$I212=SottocategorieEntrate[[#Headers],[Real Estate]],SottocategorieEntrate[[#Headers],[Other]]),"$ -","")</f>
        <v/>
      </c>
      <c r="P212" s="59" t="str">
        <f>IF(OR($I212&lt;&gt;SottocategorieEntrate[[#Headers],[Business Entrate]],$I212&lt;&gt;SottocategorieEntrate[[#Headers],[Varie Entrate]],$I212&lt;&gt;SottocategorieEntrate[[#Headers],[Real Estate]],$I212&lt;&gt;SottocategorieEntrate[[#Headers],[Other]]),"","$ -")</f>
        <v/>
      </c>
      <c r="Q212" s="59" t="str">
        <f>IF(Dati[[#This Row],[Categoria]]="Prelievo","€ -","")</f>
        <v/>
      </c>
      <c r="R212" s="244" t="str">
        <f t="shared" ca="1" si="8"/>
        <v/>
      </c>
      <c r="S212" s="59" t="str">
        <f>IF(Dati[[#This Row],[Categoria]]="Savings",0,"")</f>
        <v/>
      </c>
      <c r="T212" s="59"/>
      <c r="U212" s="59"/>
      <c r="V212" s="59"/>
      <c r="W212" s="59"/>
      <c r="X212" s="59"/>
      <c r="Y212" s="59"/>
      <c r="Z212" s="59"/>
      <c r="AA212" s="59"/>
      <c r="AB212" s="59"/>
      <c r="AC212" s="59"/>
      <c r="AD212" s="59"/>
      <c r="AE212" s="59"/>
      <c r="AF212" s="59"/>
      <c r="AG212" s="59"/>
      <c r="AH212" s="59"/>
      <c r="AI212" s="59" t="str">
        <f>IF(SUM(Dati[[#This Row],[Inv. Business]:[Inv. Cryptocurrency]])=0," ",SUM(Dati[[#This Row],[Inv. Business]:[Inv. Cryptocurrency]]))</f>
        <v xml:space="preserve"> </v>
      </c>
      <c r="AJ212" s="59"/>
      <c r="AK212" s="59" t="str">
        <f>IF(SUM(Dati[[#This Row],[Inv. Gold]:[Mutuo]])=0," ",SUM(Dati[[#This Row],[Inv. Gold]:[Mutuo]]))</f>
        <v xml:space="preserve"> </v>
      </c>
      <c r="AL212" s="59"/>
      <c r="AM212" s="59"/>
    </row>
    <row r="213" spans="2:39" ht="16" customHeight="1" x14ac:dyDescent="0.35">
      <c r="B213">
        <f t="shared" ref="B213:B276" si="9">ROW(193:193)</f>
        <v>193</v>
      </c>
      <c r="C213" s="49">
        <f t="shared" si="7"/>
        <v>45119</v>
      </c>
      <c r="D213" s="29">
        <f>DAY(Dati[[#This Row],[Data]])</f>
        <v>12</v>
      </c>
      <c r="E213" s="29" t="str">
        <f>IF(DAY(Data!$C$21:$C$1327)&gt;0,TEXT(Data!$C$21:$C$1327, "mmmm"),"")</f>
        <v>luglio</v>
      </c>
      <c r="F213" s="29" t="str">
        <f>IF(DAY(Data!$C$21:$C$1327)&gt;0,TEXT(Data!$C$21:$C$1327, "aaaa"),"")</f>
        <v>2023</v>
      </c>
      <c r="I213" t="str">
        <f>IF(OR(H213=$B$5,H213=$B$6,H213=$B$7,H213=$B$8,H213=$B$9,H213=$B$10,H213=$B$11,H213=$B$12,H213=$B$13,H213=$B$14),SottocategorieUscite[[#Headers],[Fuori Casa]],IF(OR(H213=$C$5,H213=$C$6,H213=$C$7,H213=$C$8,H213=$C$9,H213=$C$10,H213=$C$11,H213=$C$12,H213=$C$13,H213=$C$14),SottocategorieUscite[[#Headers],[Varie Uscite]],IF(OR(H213=$D$5,H213=$D$6,H213=$D$7,H213=$D$8,H213=$D$9,H213=$D$10,H213=$D$11,H213=$D$12,H213=$D$13,H213=$D$14),SottocategorieUscite[[#Headers],[Personali]],IF(OR(H213=$E$5,H213=$E$6,H213=$E$7,H213=$E$8,H213=$E$9,H213=$E$10,H213=$E$11,H213=$E$12,H213=$E$13,H213=$E$14),SottocategorieUscite[[#Headers],[Lavoro]],IF(OR(H213=$F$5,H213=$F$6,H213=$F$7,H213=$F$8,H213=$F$9,H213=$F$10,H213=$F$11,H213=$F$12,H213=$F$13,H213=$F$14),SottocategorieUscite[[#Headers],[Casa]],IF(OR(H213=$G$5,H213=$G$6,H213=$G$7,H213=$G$8,H213=$G$9,H213=$G$10,H213=$G$11,H213=$G$12,H213=$G$13,H213=$G$14),SottocategorieUscite[[#Headers],[Utenze]],IF(OR(H213=$H$5,H213=$H$6,H213=$H$7,H213=$H$8,H213=$H$9,H213=$H$10,H213=$H$11,H213=$H$12,H213=$H$13,H213=$H$14),SottocategorieUscite[[#Headers],[Business Uscite]],IF(OR(H213=$I$5,H213=$I$6,H213=$I$7,H213=$I$8,H213=$I$9,H213=$I$10,H213=$I$11,H213=$I$12,H213=$I$13,H213=$I$14),SottocategorieUscite[[#Headers],[Banca]],IF(OR(H213=K$5,H213=K$6,H213=K$7,H213=K$8,H213=K$9,H213=K$10,H213=K$11,H213=K$12,H213=K$13,H213=K$14),SottocategorieEntrate[[#Headers],[Business Entrate]],IF(OR(H213=L$5,H213=L$6,H213=L$7,H213=L$8,H213=L$9,H213=L$10,H213=L$11,H213=L$12,H213=L$13,H213=L$14),SottocategorieEntrate[[#Headers],[Varie Entrate]],IF(OR(H213=M$5,H213=M$6,H213=M$7,H213=M$8,H213=M$9,H213=M$10,H213=M$11,H213=M$12,H213=M$13,H213=M$14),SottocategorieEntrate[[#Headers],[Real Estate]],IF(OR(H213=N$5,H213=N$6,H213=N$7,H213=N$8,H213=N$9,H213=N$10,H213=N$11,H213=N$12,H213=N$13,H213=N$14),SottocategorieEntrate[[#Headers],[Other]],""))))))))))))</f>
        <v/>
      </c>
      <c r="J213" t="str">
        <f>IF(OR(Dati[[#This Row],[Categoria]]="Bollette",Dati[[#This Row],[Categoria]]="Conto &amp; Carte BNL",Dati[[#This Row],[Categoria]]="Prelievo",Dati[[#This Row],[Categoria]]="Affitto",Dati[[#This Row],[Categoria]]="BNL(Interessi Creditori)"),"Carta",IF(Dati[[#This Row],[Categoria]]&lt;&gt;0,"Cash",""))</f>
        <v/>
      </c>
      <c r="K213" s="59" t="str">
        <f>IF(OR(Data!$I213=SottocategorieUscite[[#Headers],[Fuori Casa]],Data!$I213=SottocategorieUscite[[#Headers],[Varie Uscite]],Data!$I213=SottocategorieUscite[[#Headers],[Personali]],Data!$I213=SottocategorieUscite[[#Headers],[Lavoro]]),"$ -","")</f>
        <v/>
      </c>
      <c r="L213" s="59" t="str">
        <f>IF(OR(Data!$I213=SottocategorieUscite[[#Headers],[Casa]],Data!$I213=SottocategorieUscite[[#Headers],[Utenze]],Data!$I213=SottocategorieUscite[[#Headers],[Business Uscite]],Data!$I213=SottocategorieUscite[[#Headers],[Banca]]),"$ -","")</f>
        <v/>
      </c>
      <c r="M213" s="59" t="str">
        <f>IF(OR($I213&lt;&gt;SottocategorieUscite[[#Headers],[Fuori Casa]],$I213&lt;&gt;SottocategorieUscite[[#Headers],[Varie Uscite]],$I213&lt;&gt;SottocategorieUscite[[#Headers],[Personali]],$I213&lt;&gt;SottocategorieUscite[[#Headers],[Lavoro]],$I213&lt;&gt;SottocategorieUscite[[#Headers],[Casa]],$I213&lt;&gt;SottocategorieUscite[[#Headers],[Utenze]],$I213&lt;&gt;SottocategorieUscite[[#Headers],[Business Uscite]],$I213&lt;&gt;SottocategorieUscite[[#Headers],[Banca]]),"","$ -")</f>
        <v/>
      </c>
      <c r="N213" s="59" t="str">
        <f>IF(OR(Data!$I213=SottocategorieEntrate[[#Headers],[Business Entrate]],Data!$I213=SottocategorieEntrate[[#Headers],[Varie Entrate]]),"$ -","")</f>
        <v/>
      </c>
      <c r="O213" s="59" t="str">
        <f>IF(OR(Data!$I213=SottocategorieEntrate[[#Headers],[Real Estate]],SottocategorieEntrate[[#Headers],[Other]]),"$ -","")</f>
        <v/>
      </c>
      <c r="P213" s="59" t="str">
        <f>IF(OR($I213&lt;&gt;SottocategorieEntrate[[#Headers],[Business Entrate]],$I213&lt;&gt;SottocategorieEntrate[[#Headers],[Varie Entrate]],$I213&lt;&gt;SottocategorieEntrate[[#Headers],[Real Estate]],$I213&lt;&gt;SottocategorieEntrate[[#Headers],[Other]]),"","$ -")</f>
        <v/>
      </c>
      <c r="Q213" s="59" t="str">
        <f>IF(Dati[[#This Row],[Categoria]]="Prelievo","€ -","")</f>
        <v/>
      </c>
      <c r="R213" s="244" t="str">
        <f t="shared" ca="1" si="8"/>
        <v/>
      </c>
      <c r="S213" s="59" t="str">
        <f>IF(Dati[[#This Row],[Categoria]]="Savings",0,"")</f>
        <v/>
      </c>
      <c r="T213" s="59"/>
      <c r="U213" s="59"/>
      <c r="V213" s="59"/>
      <c r="W213" s="59"/>
      <c r="X213" s="59"/>
      <c r="Y213" s="59"/>
      <c r="Z213" s="59"/>
      <c r="AA213" s="59"/>
      <c r="AB213" s="59"/>
      <c r="AC213" s="59"/>
      <c r="AD213" s="59"/>
      <c r="AE213" s="59"/>
      <c r="AF213" s="59"/>
      <c r="AG213" s="59"/>
      <c r="AH213" s="59"/>
      <c r="AI213" s="59" t="str">
        <f>IF(SUM(Dati[[#This Row],[Inv. Business]:[Inv. Cryptocurrency]])=0," ",SUM(Dati[[#This Row],[Inv. Business]:[Inv. Cryptocurrency]]))</f>
        <v xml:space="preserve"> </v>
      </c>
      <c r="AJ213" s="59"/>
      <c r="AK213" s="59" t="str">
        <f>IF(SUM(Dati[[#This Row],[Inv. Gold]:[Mutuo]])=0," ",SUM(Dati[[#This Row],[Inv. Gold]:[Mutuo]]))</f>
        <v xml:space="preserve"> </v>
      </c>
      <c r="AL213" s="59"/>
      <c r="AM213" s="59"/>
    </row>
    <row r="214" spans="2:39" ht="16" customHeight="1" x14ac:dyDescent="0.35">
      <c r="B214">
        <f t="shared" si="9"/>
        <v>194</v>
      </c>
      <c r="C214" s="49">
        <f t="shared" si="7"/>
        <v>45120</v>
      </c>
      <c r="D214" s="29">
        <f>DAY(Dati[[#This Row],[Data]])</f>
        <v>13</v>
      </c>
      <c r="E214" s="29" t="str">
        <f>IF(DAY(Data!$C$21:$C$1327)&gt;0,TEXT(Data!$C$21:$C$1327, "mmmm"),"")</f>
        <v>luglio</v>
      </c>
      <c r="F214" s="29" t="str">
        <f>IF(DAY(Data!$C$21:$C$1327)&gt;0,TEXT(Data!$C$21:$C$1327, "aaaa"),"")</f>
        <v>2023</v>
      </c>
      <c r="I214" t="str">
        <f>IF(OR(H214=$B$5,H214=$B$6,H214=$B$7,H214=$B$8,H214=$B$9,H214=$B$10,H214=$B$11,H214=$B$12,H214=$B$13,H214=$B$14),SottocategorieUscite[[#Headers],[Fuori Casa]],IF(OR(H214=$C$5,H214=$C$6,H214=$C$7,H214=$C$8,H214=$C$9,H214=$C$10,H214=$C$11,H214=$C$12,H214=$C$13,H214=$C$14),SottocategorieUscite[[#Headers],[Varie Uscite]],IF(OR(H214=$D$5,H214=$D$6,H214=$D$7,H214=$D$8,H214=$D$9,H214=$D$10,H214=$D$11,H214=$D$12,H214=$D$13,H214=$D$14),SottocategorieUscite[[#Headers],[Personali]],IF(OR(H214=$E$5,H214=$E$6,H214=$E$7,H214=$E$8,H214=$E$9,H214=$E$10,H214=$E$11,H214=$E$12,H214=$E$13,H214=$E$14),SottocategorieUscite[[#Headers],[Lavoro]],IF(OR(H214=$F$5,H214=$F$6,H214=$F$7,H214=$F$8,H214=$F$9,H214=$F$10,H214=$F$11,H214=$F$12,H214=$F$13,H214=$F$14),SottocategorieUscite[[#Headers],[Casa]],IF(OR(H214=$G$5,H214=$G$6,H214=$G$7,H214=$G$8,H214=$G$9,H214=$G$10,H214=$G$11,H214=$G$12,H214=$G$13,H214=$G$14),SottocategorieUscite[[#Headers],[Utenze]],IF(OR(H214=$H$5,H214=$H$6,H214=$H$7,H214=$H$8,H214=$H$9,H214=$H$10,H214=$H$11,H214=$H$12,H214=$H$13,H214=$H$14),SottocategorieUscite[[#Headers],[Business Uscite]],IF(OR(H214=$I$5,H214=$I$6,H214=$I$7,H214=$I$8,H214=$I$9,H214=$I$10,H214=$I$11,H214=$I$12,H214=$I$13,H214=$I$14),SottocategorieUscite[[#Headers],[Banca]],IF(OR(H214=K$5,H214=K$6,H214=K$7,H214=K$8,H214=K$9,H214=K$10,H214=K$11,H214=K$12,H214=K$13,H214=K$14),SottocategorieEntrate[[#Headers],[Business Entrate]],IF(OR(H214=L$5,H214=L$6,H214=L$7,H214=L$8,H214=L$9,H214=L$10,H214=L$11,H214=L$12,H214=L$13,H214=L$14),SottocategorieEntrate[[#Headers],[Varie Entrate]],IF(OR(H214=M$5,H214=M$6,H214=M$7,H214=M$8,H214=M$9,H214=M$10,H214=M$11,H214=M$12,H214=M$13,H214=M$14),SottocategorieEntrate[[#Headers],[Real Estate]],IF(OR(H214=N$5,H214=N$6,H214=N$7,H214=N$8,H214=N$9,H214=N$10,H214=N$11,H214=N$12,H214=N$13,H214=N$14),SottocategorieEntrate[[#Headers],[Other]],""))))))))))))</f>
        <v/>
      </c>
      <c r="J214" t="str">
        <f>IF(OR(Dati[[#This Row],[Categoria]]="Bollette",Dati[[#This Row],[Categoria]]="Conto &amp; Carte BNL",Dati[[#This Row],[Categoria]]="Prelievo",Dati[[#This Row],[Categoria]]="Affitto",Dati[[#This Row],[Categoria]]="BNL(Interessi Creditori)"),"Carta",IF(Dati[[#This Row],[Categoria]]&lt;&gt;0,"Cash",""))</f>
        <v/>
      </c>
      <c r="K214" s="59" t="str">
        <f>IF(OR(Data!$I214=SottocategorieUscite[[#Headers],[Fuori Casa]],Data!$I214=SottocategorieUscite[[#Headers],[Varie Uscite]],Data!$I214=SottocategorieUscite[[#Headers],[Personali]],Data!$I214=SottocategorieUscite[[#Headers],[Lavoro]]),"$ -","")</f>
        <v/>
      </c>
      <c r="L214" s="59" t="str">
        <f>IF(OR(Data!$I214=SottocategorieUscite[[#Headers],[Casa]],Data!$I214=SottocategorieUscite[[#Headers],[Utenze]],Data!$I214=SottocategorieUscite[[#Headers],[Business Uscite]],Data!$I214=SottocategorieUscite[[#Headers],[Banca]]),"$ -","")</f>
        <v/>
      </c>
      <c r="M214" s="59" t="str">
        <f>IF(OR($I214&lt;&gt;SottocategorieUscite[[#Headers],[Fuori Casa]],$I214&lt;&gt;SottocategorieUscite[[#Headers],[Varie Uscite]],$I214&lt;&gt;SottocategorieUscite[[#Headers],[Personali]],$I214&lt;&gt;SottocategorieUscite[[#Headers],[Lavoro]],$I214&lt;&gt;SottocategorieUscite[[#Headers],[Casa]],$I214&lt;&gt;SottocategorieUscite[[#Headers],[Utenze]],$I214&lt;&gt;SottocategorieUscite[[#Headers],[Business Uscite]],$I214&lt;&gt;SottocategorieUscite[[#Headers],[Banca]]),"","$ -")</f>
        <v/>
      </c>
      <c r="N214" s="59" t="str">
        <f>IF(OR(Data!$I214=SottocategorieEntrate[[#Headers],[Business Entrate]],Data!$I214=SottocategorieEntrate[[#Headers],[Varie Entrate]]),"$ -","")</f>
        <v/>
      </c>
      <c r="O214" s="59" t="str">
        <f>IF(OR(Data!$I214=SottocategorieEntrate[[#Headers],[Real Estate]],SottocategorieEntrate[[#Headers],[Other]]),"$ -","")</f>
        <v/>
      </c>
      <c r="P214" s="59" t="str">
        <f>IF(OR($I214&lt;&gt;SottocategorieEntrate[[#Headers],[Business Entrate]],$I214&lt;&gt;SottocategorieEntrate[[#Headers],[Varie Entrate]],$I214&lt;&gt;SottocategorieEntrate[[#Headers],[Real Estate]],$I214&lt;&gt;SottocategorieEntrate[[#Headers],[Other]]),"","$ -")</f>
        <v/>
      </c>
      <c r="Q214" s="59" t="str">
        <f>IF(Dati[[#This Row],[Categoria]]="Prelievo","€ -","")</f>
        <v/>
      </c>
      <c r="R214" s="244" t="str">
        <f t="shared" ca="1" si="8"/>
        <v/>
      </c>
      <c r="S214" s="59" t="str">
        <f>IF(Dati[[#This Row],[Categoria]]="Savings",0,"")</f>
        <v/>
      </c>
      <c r="T214" s="59"/>
      <c r="U214" s="59"/>
      <c r="V214" s="59"/>
      <c r="W214" s="59"/>
      <c r="X214" s="59"/>
      <c r="Y214" s="59"/>
      <c r="Z214" s="59"/>
      <c r="AA214" s="59"/>
      <c r="AB214" s="59"/>
      <c r="AC214" s="59"/>
      <c r="AD214" s="59"/>
      <c r="AE214" s="59"/>
      <c r="AF214" s="59"/>
      <c r="AG214" s="59"/>
      <c r="AH214" s="59"/>
      <c r="AI214" s="59" t="str">
        <f>IF(SUM(Dati[[#This Row],[Inv. Business]:[Inv. Cryptocurrency]])=0," ",SUM(Dati[[#This Row],[Inv. Business]:[Inv. Cryptocurrency]]))</f>
        <v xml:space="preserve"> </v>
      </c>
      <c r="AJ214" s="59"/>
      <c r="AK214" s="59" t="str">
        <f>IF(SUM(Dati[[#This Row],[Inv. Gold]:[Mutuo]])=0," ",SUM(Dati[[#This Row],[Inv. Gold]:[Mutuo]]))</f>
        <v xml:space="preserve"> </v>
      </c>
      <c r="AL214" s="59"/>
      <c r="AM214" s="59"/>
    </row>
    <row r="215" spans="2:39" ht="16" customHeight="1" x14ac:dyDescent="0.35">
      <c r="B215">
        <f t="shared" si="9"/>
        <v>195</v>
      </c>
      <c r="C215" s="49">
        <f t="shared" ref="C215:C278" si="10">C214+1</f>
        <v>45121</v>
      </c>
      <c r="D215" s="29">
        <f>DAY(Dati[[#This Row],[Data]])</f>
        <v>14</v>
      </c>
      <c r="E215" s="29" t="str">
        <f>IF(DAY(Data!$C$21:$C$1327)&gt;0,TEXT(Data!$C$21:$C$1327, "mmmm"),"")</f>
        <v>luglio</v>
      </c>
      <c r="F215" s="29" t="str">
        <f>IF(DAY(Data!$C$21:$C$1327)&gt;0,TEXT(Data!$C$21:$C$1327, "aaaa"),"")</f>
        <v>2023</v>
      </c>
      <c r="I215" t="str">
        <f>IF(OR(H215=$B$5,H215=$B$6,H215=$B$7,H215=$B$8,H215=$B$9,H215=$B$10,H215=$B$11,H215=$B$12,H215=$B$13,H215=$B$14),SottocategorieUscite[[#Headers],[Fuori Casa]],IF(OR(H215=$C$5,H215=$C$6,H215=$C$7,H215=$C$8,H215=$C$9,H215=$C$10,H215=$C$11,H215=$C$12,H215=$C$13,H215=$C$14),SottocategorieUscite[[#Headers],[Varie Uscite]],IF(OR(H215=$D$5,H215=$D$6,H215=$D$7,H215=$D$8,H215=$D$9,H215=$D$10,H215=$D$11,H215=$D$12,H215=$D$13,H215=$D$14),SottocategorieUscite[[#Headers],[Personali]],IF(OR(H215=$E$5,H215=$E$6,H215=$E$7,H215=$E$8,H215=$E$9,H215=$E$10,H215=$E$11,H215=$E$12,H215=$E$13,H215=$E$14),SottocategorieUscite[[#Headers],[Lavoro]],IF(OR(H215=$F$5,H215=$F$6,H215=$F$7,H215=$F$8,H215=$F$9,H215=$F$10,H215=$F$11,H215=$F$12,H215=$F$13,H215=$F$14),SottocategorieUscite[[#Headers],[Casa]],IF(OR(H215=$G$5,H215=$G$6,H215=$G$7,H215=$G$8,H215=$G$9,H215=$G$10,H215=$G$11,H215=$G$12,H215=$G$13,H215=$G$14),SottocategorieUscite[[#Headers],[Utenze]],IF(OR(H215=$H$5,H215=$H$6,H215=$H$7,H215=$H$8,H215=$H$9,H215=$H$10,H215=$H$11,H215=$H$12,H215=$H$13,H215=$H$14),SottocategorieUscite[[#Headers],[Business Uscite]],IF(OR(H215=$I$5,H215=$I$6,H215=$I$7,H215=$I$8,H215=$I$9,H215=$I$10,H215=$I$11,H215=$I$12,H215=$I$13,H215=$I$14),SottocategorieUscite[[#Headers],[Banca]],IF(OR(H215=K$5,H215=K$6,H215=K$7,H215=K$8,H215=K$9,H215=K$10,H215=K$11,H215=K$12,H215=K$13,H215=K$14),SottocategorieEntrate[[#Headers],[Business Entrate]],IF(OR(H215=L$5,H215=L$6,H215=L$7,H215=L$8,H215=L$9,H215=L$10,H215=L$11,H215=L$12,H215=L$13,H215=L$14),SottocategorieEntrate[[#Headers],[Varie Entrate]],IF(OR(H215=M$5,H215=M$6,H215=M$7,H215=M$8,H215=M$9,H215=M$10,H215=M$11,H215=M$12,H215=M$13,H215=M$14),SottocategorieEntrate[[#Headers],[Real Estate]],IF(OR(H215=N$5,H215=N$6,H215=N$7,H215=N$8,H215=N$9,H215=N$10,H215=N$11,H215=N$12,H215=N$13,H215=N$14),SottocategorieEntrate[[#Headers],[Other]],""))))))))))))</f>
        <v/>
      </c>
      <c r="J215" t="str">
        <f>IF(OR(Dati[[#This Row],[Categoria]]="Bollette",Dati[[#This Row],[Categoria]]="Conto &amp; Carte BNL",Dati[[#This Row],[Categoria]]="Prelievo",Dati[[#This Row],[Categoria]]="Affitto",Dati[[#This Row],[Categoria]]="BNL(Interessi Creditori)"),"Carta",IF(Dati[[#This Row],[Categoria]]&lt;&gt;0,"Cash",""))</f>
        <v/>
      </c>
      <c r="K215" s="59" t="str">
        <f>IF(OR(Data!$I215=SottocategorieUscite[[#Headers],[Fuori Casa]],Data!$I215=SottocategorieUscite[[#Headers],[Varie Uscite]],Data!$I215=SottocategorieUscite[[#Headers],[Personali]],Data!$I215=SottocategorieUscite[[#Headers],[Lavoro]]),"$ -","")</f>
        <v/>
      </c>
      <c r="L215" s="59" t="str">
        <f>IF(OR(Data!$I215=SottocategorieUscite[[#Headers],[Casa]],Data!$I215=SottocategorieUscite[[#Headers],[Utenze]],Data!$I215=SottocategorieUscite[[#Headers],[Business Uscite]],Data!$I215=SottocategorieUscite[[#Headers],[Banca]]),"$ -","")</f>
        <v/>
      </c>
      <c r="M215" s="59" t="str">
        <f>IF(OR($I215&lt;&gt;SottocategorieUscite[[#Headers],[Fuori Casa]],$I215&lt;&gt;SottocategorieUscite[[#Headers],[Varie Uscite]],$I215&lt;&gt;SottocategorieUscite[[#Headers],[Personali]],$I215&lt;&gt;SottocategorieUscite[[#Headers],[Lavoro]],$I215&lt;&gt;SottocategorieUscite[[#Headers],[Casa]],$I215&lt;&gt;SottocategorieUscite[[#Headers],[Utenze]],$I215&lt;&gt;SottocategorieUscite[[#Headers],[Business Uscite]],$I215&lt;&gt;SottocategorieUscite[[#Headers],[Banca]]),"","$ -")</f>
        <v/>
      </c>
      <c r="N215" s="59" t="str">
        <f>IF(OR(Data!$I215=SottocategorieEntrate[[#Headers],[Business Entrate]],Data!$I215=SottocategorieEntrate[[#Headers],[Varie Entrate]]),"$ -","")</f>
        <v/>
      </c>
      <c r="O215" s="59" t="str">
        <f>IF(OR(Data!$I215=SottocategorieEntrate[[#Headers],[Real Estate]],SottocategorieEntrate[[#Headers],[Other]]),"$ -","")</f>
        <v/>
      </c>
      <c r="P215" s="59" t="str">
        <f>IF(OR($I215&lt;&gt;SottocategorieEntrate[[#Headers],[Business Entrate]],$I215&lt;&gt;SottocategorieEntrate[[#Headers],[Varie Entrate]],$I215&lt;&gt;SottocategorieEntrate[[#Headers],[Real Estate]],$I215&lt;&gt;SottocategorieEntrate[[#Headers],[Other]]),"","$ -")</f>
        <v/>
      </c>
      <c r="Q215" s="59" t="str">
        <f>IF(Dati[[#This Row],[Categoria]]="Prelievo","€ -","")</f>
        <v/>
      </c>
      <c r="R215" s="244" t="str">
        <f t="shared" ref="R215:R278" ca="1" si="11">IF(I215="","",IF(AND(I215&lt;&gt;"",COUNTBLANK(OFFSET(R215,-15,0,15,1))=15),SUM(OFFSET(R215,-16,0)+SUM(N215:P215)-SUM(K215:M215)),IF(AND(I215&lt;&gt;"",COUNTBLANK(OFFSET(R215,-14,0,14,1))=14),SUM(OFFSET(R215,-15,0)+SUM(N215:P215)-SUM(K215:M215)),IF(AND(I215&lt;&gt;"",COUNTBLANK(OFFSET(R215,-13,0,13,1))=13),SUM(OFFSET(R215,-14,0)+SUM(N215:P215)-SUM(K215:M215)),IF(AND(I215&lt;&gt;"",COUNTBLANK(OFFSET(R215,-12,0,12,1))=12),SUM(OFFSET(R215,-13,0)+SUM(N215:P215)-SUM(K215:M215)),IF(AND(I215&lt;&gt;"",COUNTBLANK(OFFSET(R215,-11,0,11,1))=11),SUM(OFFSET(R215,-12,0)+SUM(N215:P215)-SUM(K215:M215)),IF(AND(I215&lt;&gt;"",COUNTBLANK(OFFSET(R215,-10,0,10,1))=10),SUM(OFFSET(R215,-11,0)+SUM(N215:P215)-SUM(K215:M215)),IF(AND(I215&lt;&gt;"",COUNTBLANK(OFFSET(R215,-9,0,9,1))=9),SUM(OFFSET(R215,-10,0)+SUM(N215:P215)-SUM(K215:M215)),IF(AND(I215&lt;&gt;"",COUNTBLANK(OFFSET(R215,-8,0,8,1))=8),SUM(OFFSET(R215,-9,0)+SUM(N215:P215)-SUM(K215:M215)),IF(AND(I215&lt;&gt;"",COUNTBLANK(OFFSET(R215,-7,0,7,1))=7),SUM(OFFSET(R215,-8,0)+SUM(N215:P215)-SUM(K215:M215)),IF(AND(I215&lt;&gt;"",COUNTBLANK(OFFSET(R215,-6,0,6,1))=6),SUM(OFFSET(R215,-7,0)+SUM(N215:P215)-SUM(K215:M215)),IF(AND(I215&lt;&gt;"",COUNTBLANK(OFFSET(R215,-5,0,5,1))=5),SUM(OFFSET(R215,-6,0)+SUM(N215:P215)-SUM(K215:M215)),IF(AND(I215&lt;&gt;"",COUNTBLANK(OFFSET(R215,-4,0,4,1))=4),SUM(OFFSET(R215,-5,0)+SUM(N215:P215)-SUM(K215:M215)),IF(AND(I215&lt;&gt;"",COUNTBLANK(OFFSET(R215,-3,0,3,1))=3),SUM(OFFSET(R215,-4,0)+SUM(N215:P215)-SUM(K215:M215)),IF(AND(I215&lt;&gt;"",COUNTBLANK(OFFSET(R215,-2,0,2,1))=2),SUM(OFFSET(R215,-3,0)+SUM(N215:P215)-SUM(K215:M215)),IF(AND(I215&lt;&gt;"",COUNTBLANK(OFFSET(R215,-1,0,1,1))=1),SUM(OFFSET(R215,-2,0)+SUM(N215:P215)-SUM(K215:M215)),IF(AND(I215&lt;&gt;"",OFFSET(R215,-1,0)&gt;0),SUM(OFFSET(R215,-1,0)+SUM(N215:P215)-SUM(K215:M215)))))))))))))))))))</f>
        <v/>
      </c>
      <c r="S215" s="59" t="str">
        <f>IF(Dati[[#This Row],[Categoria]]="Savings",0,"")</f>
        <v/>
      </c>
      <c r="T215" s="59"/>
      <c r="U215" s="59"/>
      <c r="V215" s="59"/>
      <c r="W215" s="59"/>
      <c r="X215" s="59"/>
      <c r="Y215" s="59"/>
      <c r="Z215" s="59"/>
      <c r="AA215" s="59"/>
      <c r="AB215" s="59"/>
      <c r="AC215" s="59"/>
      <c r="AD215" s="59"/>
      <c r="AE215" s="59"/>
      <c r="AF215" s="59"/>
      <c r="AG215" s="59"/>
      <c r="AH215" s="59"/>
      <c r="AI215" s="59" t="str">
        <f>IF(SUM(Dati[[#This Row],[Inv. Business]:[Inv. Cryptocurrency]])=0," ",SUM(Dati[[#This Row],[Inv. Business]:[Inv. Cryptocurrency]]))</f>
        <v xml:space="preserve"> </v>
      </c>
      <c r="AJ215" s="59"/>
      <c r="AK215" s="59" t="str">
        <f>IF(SUM(Dati[[#This Row],[Inv. Gold]:[Mutuo]])=0," ",SUM(Dati[[#This Row],[Inv. Gold]:[Mutuo]]))</f>
        <v xml:space="preserve"> </v>
      </c>
      <c r="AL215" s="59"/>
      <c r="AM215" s="59"/>
    </row>
    <row r="216" spans="2:39" ht="16" customHeight="1" x14ac:dyDescent="0.35">
      <c r="B216">
        <f t="shared" si="9"/>
        <v>196</v>
      </c>
      <c r="C216" s="49">
        <f t="shared" si="10"/>
        <v>45122</v>
      </c>
      <c r="D216" s="29">
        <f>DAY(Dati[[#This Row],[Data]])</f>
        <v>15</v>
      </c>
      <c r="E216" s="29" t="str">
        <f>IF(DAY(Data!$C$21:$C$1327)&gt;0,TEXT(Data!$C$21:$C$1327, "mmmm"),"")</f>
        <v>luglio</v>
      </c>
      <c r="F216" s="29" t="str">
        <f>IF(DAY(Data!$C$21:$C$1327)&gt;0,TEXT(Data!$C$21:$C$1327, "aaaa"),"")</f>
        <v>2023</v>
      </c>
      <c r="I216" t="str">
        <f>IF(OR(H216=$B$5,H216=$B$6,H216=$B$7,H216=$B$8,H216=$B$9,H216=$B$10,H216=$B$11,H216=$B$12,H216=$B$13,H216=$B$14),SottocategorieUscite[[#Headers],[Fuori Casa]],IF(OR(H216=$C$5,H216=$C$6,H216=$C$7,H216=$C$8,H216=$C$9,H216=$C$10,H216=$C$11,H216=$C$12,H216=$C$13,H216=$C$14),SottocategorieUscite[[#Headers],[Varie Uscite]],IF(OR(H216=$D$5,H216=$D$6,H216=$D$7,H216=$D$8,H216=$D$9,H216=$D$10,H216=$D$11,H216=$D$12,H216=$D$13,H216=$D$14),SottocategorieUscite[[#Headers],[Personali]],IF(OR(H216=$E$5,H216=$E$6,H216=$E$7,H216=$E$8,H216=$E$9,H216=$E$10,H216=$E$11,H216=$E$12,H216=$E$13,H216=$E$14),SottocategorieUscite[[#Headers],[Lavoro]],IF(OR(H216=$F$5,H216=$F$6,H216=$F$7,H216=$F$8,H216=$F$9,H216=$F$10,H216=$F$11,H216=$F$12,H216=$F$13,H216=$F$14),SottocategorieUscite[[#Headers],[Casa]],IF(OR(H216=$G$5,H216=$G$6,H216=$G$7,H216=$G$8,H216=$G$9,H216=$G$10,H216=$G$11,H216=$G$12,H216=$G$13,H216=$G$14),SottocategorieUscite[[#Headers],[Utenze]],IF(OR(H216=$H$5,H216=$H$6,H216=$H$7,H216=$H$8,H216=$H$9,H216=$H$10,H216=$H$11,H216=$H$12,H216=$H$13,H216=$H$14),SottocategorieUscite[[#Headers],[Business Uscite]],IF(OR(H216=$I$5,H216=$I$6,H216=$I$7,H216=$I$8,H216=$I$9,H216=$I$10,H216=$I$11,H216=$I$12,H216=$I$13,H216=$I$14),SottocategorieUscite[[#Headers],[Banca]],IF(OR(H216=K$5,H216=K$6,H216=K$7,H216=K$8,H216=K$9,H216=K$10,H216=K$11,H216=K$12,H216=K$13,H216=K$14),SottocategorieEntrate[[#Headers],[Business Entrate]],IF(OR(H216=L$5,H216=L$6,H216=L$7,H216=L$8,H216=L$9,H216=L$10,H216=L$11,H216=L$12,H216=L$13,H216=L$14),SottocategorieEntrate[[#Headers],[Varie Entrate]],IF(OR(H216=M$5,H216=M$6,H216=M$7,H216=M$8,H216=M$9,H216=M$10,H216=M$11,H216=M$12,H216=M$13,H216=M$14),SottocategorieEntrate[[#Headers],[Real Estate]],IF(OR(H216=N$5,H216=N$6,H216=N$7,H216=N$8,H216=N$9,H216=N$10,H216=N$11,H216=N$12,H216=N$13,H216=N$14),SottocategorieEntrate[[#Headers],[Other]],""))))))))))))</f>
        <v/>
      </c>
      <c r="J216" t="str">
        <f>IF(OR(Dati[[#This Row],[Categoria]]="Bollette",Dati[[#This Row],[Categoria]]="Conto &amp; Carte BNL",Dati[[#This Row],[Categoria]]="Prelievo",Dati[[#This Row],[Categoria]]="Affitto",Dati[[#This Row],[Categoria]]="BNL(Interessi Creditori)"),"Carta",IF(Dati[[#This Row],[Categoria]]&lt;&gt;0,"Cash",""))</f>
        <v/>
      </c>
      <c r="K216" s="59" t="str">
        <f>IF(OR(Data!$I216=SottocategorieUscite[[#Headers],[Fuori Casa]],Data!$I216=SottocategorieUscite[[#Headers],[Varie Uscite]],Data!$I216=SottocategorieUscite[[#Headers],[Personali]],Data!$I216=SottocategorieUscite[[#Headers],[Lavoro]]),"$ -","")</f>
        <v/>
      </c>
      <c r="L216" s="59" t="str">
        <f>IF(OR(Data!$I216=SottocategorieUscite[[#Headers],[Casa]],Data!$I216=SottocategorieUscite[[#Headers],[Utenze]],Data!$I216=SottocategorieUscite[[#Headers],[Business Uscite]],Data!$I216=SottocategorieUscite[[#Headers],[Banca]]),"$ -","")</f>
        <v/>
      </c>
      <c r="M216" s="59" t="str">
        <f>IF(OR($I216&lt;&gt;SottocategorieUscite[[#Headers],[Fuori Casa]],$I216&lt;&gt;SottocategorieUscite[[#Headers],[Varie Uscite]],$I216&lt;&gt;SottocategorieUscite[[#Headers],[Personali]],$I216&lt;&gt;SottocategorieUscite[[#Headers],[Lavoro]],$I216&lt;&gt;SottocategorieUscite[[#Headers],[Casa]],$I216&lt;&gt;SottocategorieUscite[[#Headers],[Utenze]],$I216&lt;&gt;SottocategorieUscite[[#Headers],[Business Uscite]],$I216&lt;&gt;SottocategorieUscite[[#Headers],[Banca]]),"","$ -")</f>
        <v/>
      </c>
      <c r="N216" s="59" t="str">
        <f>IF(OR(Data!$I216=SottocategorieEntrate[[#Headers],[Business Entrate]],Data!$I216=SottocategorieEntrate[[#Headers],[Varie Entrate]]),"$ -","")</f>
        <v/>
      </c>
      <c r="O216" s="59" t="str">
        <f>IF(OR(Data!$I216=SottocategorieEntrate[[#Headers],[Real Estate]],SottocategorieEntrate[[#Headers],[Other]]),"$ -","")</f>
        <v/>
      </c>
      <c r="P216" s="59" t="str">
        <f>IF(OR($I216&lt;&gt;SottocategorieEntrate[[#Headers],[Business Entrate]],$I216&lt;&gt;SottocategorieEntrate[[#Headers],[Varie Entrate]],$I216&lt;&gt;SottocategorieEntrate[[#Headers],[Real Estate]],$I216&lt;&gt;SottocategorieEntrate[[#Headers],[Other]]),"","$ -")</f>
        <v/>
      </c>
      <c r="Q216" s="59" t="str">
        <f>IF(Dati[[#This Row],[Categoria]]="Prelievo","€ -","")</f>
        <v/>
      </c>
      <c r="R216" s="244" t="str">
        <f t="shared" ca="1" si="11"/>
        <v/>
      </c>
      <c r="S216" s="59" t="str">
        <f>IF(Dati[[#This Row],[Categoria]]="Savings",0,"")</f>
        <v/>
      </c>
      <c r="T216" s="59"/>
      <c r="U216" s="59"/>
      <c r="V216" s="59"/>
      <c r="W216" s="59"/>
      <c r="X216" s="59"/>
      <c r="Y216" s="59"/>
      <c r="Z216" s="59"/>
      <c r="AA216" s="59"/>
      <c r="AB216" s="59"/>
      <c r="AC216" s="59"/>
      <c r="AD216" s="59"/>
      <c r="AE216" s="59"/>
      <c r="AF216" s="59"/>
      <c r="AG216" s="59"/>
      <c r="AH216" s="59"/>
      <c r="AI216" s="59" t="str">
        <f>IF(SUM(Dati[[#This Row],[Inv. Business]:[Inv. Cryptocurrency]])=0," ",SUM(Dati[[#This Row],[Inv. Business]:[Inv. Cryptocurrency]]))</f>
        <v xml:space="preserve"> </v>
      </c>
      <c r="AJ216" s="59"/>
      <c r="AK216" s="59" t="str">
        <f>IF(SUM(Dati[[#This Row],[Inv. Gold]:[Mutuo]])=0," ",SUM(Dati[[#This Row],[Inv. Gold]:[Mutuo]]))</f>
        <v xml:space="preserve"> </v>
      </c>
      <c r="AL216" s="59"/>
      <c r="AM216" s="59"/>
    </row>
    <row r="217" spans="2:39" ht="16" customHeight="1" x14ac:dyDescent="0.35">
      <c r="B217">
        <f t="shared" si="9"/>
        <v>197</v>
      </c>
      <c r="C217" s="49">
        <f t="shared" si="10"/>
        <v>45123</v>
      </c>
      <c r="D217" s="29">
        <f>DAY(Dati[[#This Row],[Data]])</f>
        <v>16</v>
      </c>
      <c r="E217" s="29" t="str">
        <f>IF(DAY(Data!$C$21:$C$1327)&gt;0,TEXT(Data!$C$21:$C$1327, "mmmm"),"")</f>
        <v>luglio</v>
      </c>
      <c r="F217" s="29" t="str">
        <f>IF(DAY(Data!$C$21:$C$1327)&gt;0,TEXT(Data!$C$21:$C$1327, "aaaa"),"")</f>
        <v>2023</v>
      </c>
      <c r="I217" t="str">
        <f>IF(OR(H217=$B$5,H217=$B$6,H217=$B$7,H217=$B$8,H217=$B$9,H217=$B$10,H217=$B$11,H217=$B$12,H217=$B$13,H217=$B$14),SottocategorieUscite[[#Headers],[Fuori Casa]],IF(OR(H217=$C$5,H217=$C$6,H217=$C$7,H217=$C$8,H217=$C$9,H217=$C$10,H217=$C$11,H217=$C$12,H217=$C$13,H217=$C$14),SottocategorieUscite[[#Headers],[Varie Uscite]],IF(OR(H217=$D$5,H217=$D$6,H217=$D$7,H217=$D$8,H217=$D$9,H217=$D$10,H217=$D$11,H217=$D$12,H217=$D$13,H217=$D$14),SottocategorieUscite[[#Headers],[Personali]],IF(OR(H217=$E$5,H217=$E$6,H217=$E$7,H217=$E$8,H217=$E$9,H217=$E$10,H217=$E$11,H217=$E$12,H217=$E$13,H217=$E$14),SottocategorieUscite[[#Headers],[Lavoro]],IF(OR(H217=$F$5,H217=$F$6,H217=$F$7,H217=$F$8,H217=$F$9,H217=$F$10,H217=$F$11,H217=$F$12,H217=$F$13,H217=$F$14),SottocategorieUscite[[#Headers],[Casa]],IF(OR(H217=$G$5,H217=$G$6,H217=$G$7,H217=$G$8,H217=$G$9,H217=$G$10,H217=$G$11,H217=$G$12,H217=$G$13,H217=$G$14),SottocategorieUscite[[#Headers],[Utenze]],IF(OR(H217=$H$5,H217=$H$6,H217=$H$7,H217=$H$8,H217=$H$9,H217=$H$10,H217=$H$11,H217=$H$12,H217=$H$13,H217=$H$14),SottocategorieUscite[[#Headers],[Business Uscite]],IF(OR(H217=$I$5,H217=$I$6,H217=$I$7,H217=$I$8,H217=$I$9,H217=$I$10,H217=$I$11,H217=$I$12,H217=$I$13,H217=$I$14),SottocategorieUscite[[#Headers],[Banca]],IF(OR(H217=K$5,H217=K$6,H217=K$7,H217=K$8,H217=K$9,H217=K$10,H217=K$11,H217=K$12,H217=K$13,H217=K$14),SottocategorieEntrate[[#Headers],[Business Entrate]],IF(OR(H217=L$5,H217=L$6,H217=L$7,H217=L$8,H217=L$9,H217=L$10,H217=L$11,H217=L$12,H217=L$13,H217=L$14),SottocategorieEntrate[[#Headers],[Varie Entrate]],IF(OR(H217=M$5,H217=M$6,H217=M$7,H217=M$8,H217=M$9,H217=M$10,H217=M$11,H217=M$12,H217=M$13,H217=M$14),SottocategorieEntrate[[#Headers],[Real Estate]],IF(OR(H217=N$5,H217=N$6,H217=N$7,H217=N$8,H217=N$9,H217=N$10,H217=N$11,H217=N$12,H217=N$13,H217=N$14),SottocategorieEntrate[[#Headers],[Other]],""))))))))))))</f>
        <v/>
      </c>
      <c r="J217" t="str">
        <f>IF(OR(Dati[[#This Row],[Categoria]]="Bollette",Dati[[#This Row],[Categoria]]="Conto &amp; Carte BNL",Dati[[#This Row],[Categoria]]="Prelievo",Dati[[#This Row],[Categoria]]="Affitto",Dati[[#This Row],[Categoria]]="BNL(Interessi Creditori)"),"Carta",IF(Dati[[#This Row],[Categoria]]&lt;&gt;0,"Cash",""))</f>
        <v/>
      </c>
      <c r="K217" s="59" t="str">
        <f>IF(OR(Data!$I217=SottocategorieUscite[[#Headers],[Fuori Casa]],Data!$I217=SottocategorieUscite[[#Headers],[Varie Uscite]],Data!$I217=SottocategorieUscite[[#Headers],[Personali]],Data!$I217=SottocategorieUscite[[#Headers],[Lavoro]]),"$ -","")</f>
        <v/>
      </c>
      <c r="L217" s="59" t="str">
        <f>IF(OR(Data!$I217=SottocategorieUscite[[#Headers],[Casa]],Data!$I217=SottocategorieUscite[[#Headers],[Utenze]],Data!$I217=SottocategorieUscite[[#Headers],[Business Uscite]],Data!$I217=SottocategorieUscite[[#Headers],[Banca]]),"$ -","")</f>
        <v/>
      </c>
      <c r="M217" s="59" t="str">
        <f>IF(OR($I217&lt;&gt;SottocategorieUscite[[#Headers],[Fuori Casa]],$I217&lt;&gt;SottocategorieUscite[[#Headers],[Varie Uscite]],$I217&lt;&gt;SottocategorieUscite[[#Headers],[Personali]],$I217&lt;&gt;SottocategorieUscite[[#Headers],[Lavoro]],$I217&lt;&gt;SottocategorieUscite[[#Headers],[Casa]],$I217&lt;&gt;SottocategorieUscite[[#Headers],[Utenze]],$I217&lt;&gt;SottocategorieUscite[[#Headers],[Business Uscite]],$I217&lt;&gt;SottocategorieUscite[[#Headers],[Banca]]),"","$ -")</f>
        <v/>
      </c>
      <c r="N217" s="59" t="str">
        <f>IF(OR(Data!$I217=SottocategorieEntrate[[#Headers],[Business Entrate]],Data!$I217=SottocategorieEntrate[[#Headers],[Varie Entrate]]),"$ -","")</f>
        <v/>
      </c>
      <c r="O217" s="59" t="str">
        <f>IF(OR(Data!$I217=SottocategorieEntrate[[#Headers],[Real Estate]],SottocategorieEntrate[[#Headers],[Other]]),"$ -","")</f>
        <v/>
      </c>
      <c r="P217" s="59" t="str">
        <f>IF(OR($I217&lt;&gt;SottocategorieEntrate[[#Headers],[Business Entrate]],$I217&lt;&gt;SottocategorieEntrate[[#Headers],[Varie Entrate]],$I217&lt;&gt;SottocategorieEntrate[[#Headers],[Real Estate]],$I217&lt;&gt;SottocategorieEntrate[[#Headers],[Other]]),"","$ -")</f>
        <v/>
      </c>
      <c r="Q217" s="59" t="str">
        <f>IF(Dati[[#This Row],[Categoria]]="Prelievo","€ -","")</f>
        <v/>
      </c>
      <c r="R217" s="244" t="str">
        <f t="shared" ca="1" si="11"/>
        <v/>
      </c>
      <c r="S217" s="59" t="str">
        <f>IF(Dati[[#This Row],[Categoria]]="Savings",0,"")</f>
        <v/>
      </c>
      <c r="T217" s="59"/>
      <c r="U217" s="59"/>
      <c r="V217" s="59"/>
      <c r="W217" s="59"/>
      <c r="X217" s="59"/>
      <c r="Y217" s="59"/>
      <c r="Z217" s="59"/>
      <c r="AA217" s="59"/>
      <c r="AB217" s="59"/>
      <c r="AC217" s="59"/>
      <c r="AD217" s="59"/>
      <c r="AE217" s="59"/>
      <c r="AF217" s="59"/>
      <c r="AG217" s="59"/>
      <c r="AH217" s="59"/>
      <c r="AI217" s="59" t="str">
        <f>IF(SUM(Dati[[#This Row],[Inv. Business]:[Inv. Cryptocurrency]])=0," ",SUM(Dati[[#This Row],[Inv. Business]:[Inv. Cryptocurrency]]))</f>
        <v xml:space="preserve"> </v>
      </c>
      <c r="AJ217" s="59"/>
      <c r="AK217" s="59" t="str">
        <f>IF(SUM(Dati[[#This Row],[Inv. Gold]:[Mutuo]])=0," ",SUM(Dati[[#This Row],[Inv. Gold]:[Mutuo]]))</f>
        <v xml:space="preserve"> </v>
      </c>
      <c r="AL217" s="59"/>
      <c r="AM217" s="59"/>
    </row>
    <row r="218" spans="2:39" ht="16" customHeight="1" x14ac:dyDescent="0.35">
      <c r="B218">
        <f t="shared" si="9"/>
        <v>198</v>
      </c>
      <c r="C218" s="49">
        <f t="shared" si="10"/>
        <v>45124</v>
      </c>
      <c r="D218" s="29">
        <f>DAY(Dati[[#This Row],[Data]])</f>
        <v>17</v>
      </c>
      <c r="E218" s="29" t="str">
        <f>IF(DAY(Data!$C$21:$C$1327)&gt;0,TEXT(Data!$C$21:$C$1327, "mmmm"),"")</f>
        <v>luglio</v>
      </c>
      <c r="F218" s="29" t="str">
        <f>IF(DAY(Data!$C$21:$C$1327)&gt;0,TEXT(Data!$C$21:$C$1327, "aaaa"),"")</f>
        <v>2023</v>
      </c>
      <c r="I218" t="str">
        <f>IF(OR(H218=$B$5,H218=$B$6,H218=$B$7,H218=$B$8,H218=$B$9,H218=$B$10,H218=$B$11,H218=$B$12,H218=$B$13,H218=$B$14),SottocategorieUscite[[#Headers],[Fuori Casa]],IF(OR(H218=$C$5,H218=$C$6,H218=$C$7,H218=$C$8,H218=$C$9,H218=$C$10,H218=$C$11,H218=$C$12,H218=$C$13,H218=$C$14),SottocategorieUscite[[#Headers],[Varie Uscite]],IF(OR(H218=$D$5,H218=$D$6,H218=$D$7,H218=$D$8,H218=$D$9,H218=$D$10,H218=$D$11,H218=$D$12,H218=$D$13,H218=$D$14),SottocategorieUscite[[#Headers],[Personali]],IF(OR(H218=$E$5,H218=$E$6,H218=$E$7,H218=$E$8,H218=$E$9,H218=$E$10,H218=$E$11,H218=$E$12,H218=$E$13,H218=$E$14),SottocategorieUscite[[#Headers],[Lavoro]],IF(OR(H218=$F$5,H218=$F$6,H218=$F$7,H218=$F$8,H218=$F$9,H218=$F$10,H218=$F$11,H218=$F$12,H218=$F$13,H218=$F$14),SottocategorieUscite[[#Headers],[Casa]],IF(OR(H218=$G$5,H218=$G$6,H218=$G$7,H218=$G$8,H218=$G$9,H218=$G$10,H218=$G$11,H218=$G$12,H218=$G$13,H218=$G$14),SottocategorieUscite[[#Headers],[Utenze]],IF(OR(H218=$H$5,H218=$H$6,H218=$H$7,H218=$H$8,H218=$H$9,H218=$H$10,H218=$H$11,H218=$H$12,H218=$H$13,H218=$H$14),SottocategorieUscite[[#Headers],[Business Uscite]],IF(OR(H218=$I$5,H218=$I$6,H218=$I$7,H218=$I$8,H218=$I$9,H218=$I$10,H218=$I$11,H218=$I$12,H218=$I$13,H218=$I$14),SottocategorieUscite[[#Headers],[Banca]],IF(OR(H218=K$5,H218=K$6,H218=K$7,H218=K$8,H218=K$9,H218=K$10,H218=K$11,H218=K$12,H218=K$13,H218=K$14),SottocategorieEntrate[[#Headers],[Business Entrate]],IF(OR(H218=L$5,H218=L$6,H218=L$7,H218=L$8,H218=L$9,H218=L$10,H218=L$11,H218=L$12,H218=L$13,H218=L$14),SottocategorieEntrate[[#Headers],[Varie Entrate]],IF(OR(H218=M$5,H218=M$6,H218=M$7,H218=M$8,H218=M$9,H218=M$10,H218=M$11,H218=M$12,H218=M$13,H218=M$14),SottocategorieEntrate[[#Headers],[Real Estate]],IF(OR(H218=N$5,H218=N$6,H218=N$7,H218=N$8,H218=N$9,H218=N$10,H218=N$11,H218=N$12,H218=N$13,H218=N$14),SottocategorieEntrate[[#Headers],[Other]],""))))))))))))</f>
        <v/>
      </c>
      <c r="J218" t="str">
        <f>IF(OR(Dati[[#This Row],[Categoria]]="Bollette",Dati[[#This Row],[Categoria]]="Conto &amp; Carte BNL",Dati[[#This Row],[Categoria]]="Prelievo",Dati[[#This Row],[Categoria]]="Affitto",Dati[[#This Row],[Categoria]]="BNL(Interessi Creditori)"),"Carta",IF(Dati[[#This Row],[Categoria]]&lt;&gt;0,"Cash",""))</f>
        <v/>
      </c>
      <c r="K218" s="59" t="str">
        <f>IF(OR(Data!$I218=SottocategorieUscite[[#Headers],[Fuori Casa]],Data!$I218=SottocategorieUscite[[#Headers],[Varie Uscite]],Data!$I218=SottocategorieUscite[[#Headers],[Personali]],Data!$I218=SottocategorieUscite[[#Headers],[Lavoro]]),"$ -","")</f>
        <v/>
      </c>
      <c r="L218" s="59" t="str">
        <f>IF(OR(Data!$I218=SottocategorieUscite[[#Headers],[Casa]],Data!$I218=SottocategorieUscite[[#Headers],[Utenze]],Data!$I218=SottocategorieUscite[[#Headers],[Business Uscite]],Data!$I218=SottocategorieUscite[[#Headers],[Banca]]),"$ -","")</f>
        <v/>
      </c>
      <c r="M218" s="59" t="str">
        <f>IF(OR($I218&lt;&gt;SottocategorieUscite[[#Headers],[Fuori Casa]],$I218&lt;&gt;SottocategorieUscite[[#Headers],[Varie Uscite]],$I218&lt;&gt;SottocategorieUscite[[#Headers],[Personali]],$I218&lt;&gt;SottocategorieUscite[[#Headers],[Lavoro]],$I218&lt;&gt;SottocategorieUscite[[#Headers],[Casa]],$I218&lt;&gt;SottocategorieUscite[[#Headers],[Utenze]],$I218&lt;&gt;SottocategorieUscite[[#Headers],[Business Uscite]],$I218&lt;&gt;SottocategorieUscite[[#Headers],[Banca]]),"","$ -")</f>
        <v/>
      </c>
      <c r="N218" s="59" t="str">
        <f>IF(OR(Data!$I218=SottocategorieEntrate[[#Headers],[Business Entrate]],Data!$I218=SottocategorieEntrate[[#Headers],[Varie Entrate]]),"$ -","")</f>
        <v/>
      </c>
      <c r="O218" s="59" t="str">
        <f>IF(OR(Data!$I218=SottocategorieEntrate[[#Headers],[Real Estate]],SottocategorieEntrate[[#Headers],[Other]]),"$ -","")</f>
        <v/>
      </c>
      <c r="P218" s="59" t="str">
        <f>IF(OR($I218&lt;&gt;SottocategorieEntrate[[#Headers],[Business Entrate]],$I218&lt;&gt;SottocategorieEntrate[[#Headers],[Varie Entrate]],$I218&lt;&gt;SottocategorieEntrate[[#Headers],[Real Estate]],$I218&lt;&gt;SottocategorieEntrate[[#Headers],[Other]]),"","$ -")</f>
        <v/>
      </c>
      <c r="Q218" s="59" t="str">
        <f>IF(Dati[[#This Row],[Categoria]]="Prelievo","€ -","")</f>
        <v/>
      </c>
      <c r="R218" s="244" t="str">
        <f t="shared" ca="1" si="11"/>
        <v/>
      </c>
      <c r="S218" s="59" t="str">
        <f>IF(Dati[[#This Row],[Categoria]]="Savings",0,"")</f>
        <v/>
      </c>
      <c r="T218" s="59"/>
      <c r="U218" s="59"/>
      <c r="V218" s="59"/>
      <c r="W218" s="59"/>
      <c r="X218" s="59"/>
      <c r="Y218" s="59"/>
      <c r="Z218" s="59"/>
      <c r="AA218" s="59"/>
      <c r="AB218" s="59"/>
      <c r="AC218" s="59"/>
      <c r="AD218" s="59"/>
      <c r="AE218" s="59"/>
      <c r="AF218" s="59"/>
      <c r="AG218" s="59"/>
      <c r="AH218" s="59"/>
      <c r="AI218" s="59" t="str">
        <f>IF(SUM(Dati[[#This Row],[Inv. Business]:[Inv. Cryptocurrency]])=0," ",SUM(Dati[[#This Row],[Inv. Business]:[Inv. Cryptocurrency]]))</f>
        <v xml:space="preserve"> </v>
      </c>
      <c r="AJ218" s="59"/>
      <c r="AK218" s="59" t="str">
        <f>IF(SUM(Dati[[#This Row],[Inv. Gold]:[Mutuo]])=0," ",SUM(Dati[[#This Row],[Inv. Gold]:[Mutuo]]))</f>
        <v xml:space="preserve"> </v>
      </c>
      <c r="AL218" s="59"/>
      <c r="AM218" s="59"/>
    </row>
    <row r="219" spans="2:39" ht="16" customHeight="1" x14ac:dyDescent="0.35">
      <c r="B219">
        <f t="shared" si="9"/>
        <v>199</v>
      </c>
      <c r="C219" s="49">
        <f t="shared" si="10"/>
        <v>45125</v>
      </c>
      <c r="D219" s="29">
        <f>DAY(Dati[[#This Row],[Data]])</f>
        <v>18</v>
      </c>
      <c r="E219" s="29" t="str">
        <f>IF(DAY(Data!$C$21:$C$1327)&gt;0,TEXT(Data!$C$21:$C$1327, "mmmm"),"")</f>
        <v>luglio</v>
      </c>
      <c r="F219" s="29" t="str">
        <f>IF(DAY(Data!$C$21:$C$1327)&gt;0,TEXT(Data!$C$21:$C$1327, "aaaa"),"")</f>
        <v>2023</v>
      </c>
      <c r="I219" t="str">
        <f>IF(OR(H219=$B$5,H219=$B$6,H219=$B$7,H219=$B$8,H219=$B$9,H219=$B$10,H219=$B$11,H219=$B$12,H219=$B$13,H219=$B$14),SottocategorieUscite[[#Headers],[Fuori Casa]],IF(OR(H219=$C$5,H219=$C$6,H219=$C$7,H219=$C$8,H219=$C$9,H219=$C$10,H219=$C$11,H219=$C$12,H219=$C$13,H219=$C$14),SottocategorieUscite[[#Headers],[Varie Uscite]],IF(OR(H219=$D$5,H219=$D$6,H219=$D$7,H219=$D$8,H219=$D$9,H219=$D$10,H219=$D$11,H219=$D$12,H219=$D$13,H219=$D$14),SottocategorieUscite[[#Headers],[Personali]],IF(OR(H219=$E$5,H219=$E$6,H219=$E$7,H219=$E$8,H219=$E$9,H219=$E$10,H219=$E$11,H219=$E$12,H219=$E$13,H219=$E$14),SottocategorieUscite[[#Headers],[Lavoro]],IF(OR(H219=$F$5,H219=$F$6,H219=$F$7,H219=$F$8,H219=$F$9,H219=$F$10,H219=$F$11,H219=$F$12,H219=$F$13,H219=$F$14),SottocategorieUscite[[#Headers],[Casa]],IF(OR(H219=$G$5,H219=$G$6,H219=$G$7,H219=$G$8,H219=$G$9,H219=$G$10,H219=$G$11,H219=$G$12,H219=$G$13,H219=$G$14),SottocategorieUscite[[#Headers],[Utenze]],IF(OR(H219=$H$5,H219=$H$6,H219=$H$7,H219=$H$8,H219=$H$9,H219=$H$10,H219=$H$11,H219=$H$12,H219=$H$13,H219=$H$14),SottocategorieUscite[[#Headers],[Business Uscite]],IF(OR(H219=$I$5,H219=$I$6,H219=$I$7,H219=$I$8,H219=$I$9,H219=$I$10,H219=$I$11,H219=$I$12,H219=$I$13,H219=$I$14),SottocategorieUscite[[#Headers],[Banca]],IF(OR(H219=K$5,H219=K$6,H219=K$7,H219=K$8,H219=K$9,H219=K$10,H219=K$11,H219=K$12,H219=K$13,H219=K$14),SottocategorieEntrate[[#Headers],[Business Entrate]],IF(OR(H219=L$5,H219=L$6,H219=L$7,H219=L$8,H219=L$9,H219=L$10,H219=L$11,H219=L$12,H219=L$13,H219=L$14),SottocategorieEntrate[[#Headers],[Varie Entrate]],IF(OR(H219=M$5,H219=M$6,H219=M$7,H219=M$8,H219=M$9,H219=M$10,H219=M$11,H219=M$12,H219=M$13,H219=M$14),SottocategorieEntrate[[#Headers],[Real Estate]],IF(OR(H219=N$5,H219=N$6,H219=N$7,H219=N$8,H219=N$9,H219=N$10,H219=N$11,H219=N$12,H219=N$13,H219=N$14),SottocategorieEntrate[[#Headers],[Other]],""))))))))))))</f>
        <v/>
      </c>
      <c r="J219" t="str">
        <f>IF(OR(Dati[[#This Row],[Categoria]]="Bollette",Dati[[#This Row],[Categoria]]="Conto &amp; Carte BNL",Dati[[#This Row],[Categoria]]="Prelievo",Dati[[#This Row],[Categoria]]="Affitto",Dati[[#This Row],[Categoria]]="BNL(Interessi Creditori)"),"Carta",IF(Dati[[#This Row],[Categoria]]&lt;&gt;0,"Cash",""))</f>
        <v/>
      </c>
      <c r="K219" s="59" t="str">
        <f>IF(OR(Data!$I219=SottocategorieUscite[[#Headers],[Fuori Casa]],Data!$I219=SottocategorieUscite[[#Headers],[Varie Uscite]],Data!$I219=SottocategorieUscite[[#Headers],[Personali]],Data!$I219=SottocategorieUscite[[#Headers],[Lavoro]]),"$ -","")</f>
        <v/>
      </c>
      <c r="L219" s="59" t="str">
        <f>IF(OR(Data!$I219=SottocategorieUscite[[#Headers],[Casa]],Data!$I219=SottocategorieUscite[[#Headers],[Utenze]],Data!$I219=SottocategorieUscite[[#Headers],[Business Uscite]],Data!$I219=SottocategorieUscite[[#Headers],[Banca]]),"$ -","")</f>
        <v/>
      </c>
      <c r="M219" s="59" t="str">
        <f>IF(OR($I219&lt;&gt;SottocategorieUscite[[#Headers],[Fuori Casa]],$I219&lt;&gt;SottocategorieUscite[[#Headers],[Varie Uscite]],$I219&lt;&gt;SottocategorieUscite[[#Headers],[Personali]],$I219&lt;&gt;SottocategorieUscite[[#Headers],[Lavoro]],$I219&lt;&gt;SottocategorieUscite[[#Headers],[Casa]],$I219&lt;&gt;SottocategorieUscite[[#Headers],[Utenze]],$I219&lt;&gt;SottocategorieUscite[[#Headers],[Business Uscite]],$I219&lt;&gt;SottocategorieUscite[[#Headers],[Banca]]),"","$ -")</f>
        <v/>
      </c>
      <c r="N219" s="59" t="str">
        <f>IF(OR(Data!$I219=SottocategorieEntrate[[#Headers],[Business Entrate]],Data!$I219=SottocategorieEntrate[[#Headers],[Varie Entrate]]),"$ -","")</f>
        <v/>
      </c>
      <c r="O219" s="59" t="str">
        <f>IF(OR(Data!$I219=SottocategorieEntrate[[#Headers],[Real Estate]],SottocategorieEntrate[[#Headers],[Other]]),"$ -","")</f>
        <v/>
      </c>
      <c r="P219" s="59" t="str">
        <f>IF(OR($I219&lt;&gt;SottocategorieEntrate[[#Headers],[Business Entrate]],$I219&lt;&gt;SottocategorieEntrate[[#Headers],[Varie Entrate]],$I219&lt;&gt;SottocategorieEntrate[[#Headers],[Real Estate]],$I219&lt;&gt;SottocategorieEntrate[[#Headers],[Other]]),"","$ -")</f>
        <v/>
      </c>
      <c r="Q219" s="59" t="str">
        <f>IF(Dati[[#This Row],[Categoria]]="Prelievo","€ -","")</f>
        <v/>
      </c>
      <c r="R219" s="244" t="str">
        <f t="shared" ca="1" si="11"/>
        <v/>
      </c>
      <c r="S219" s="59" t="str">
        <f>IF(Dati[[#This Row],[Categoria]]="Savings",0,"")</f>
        <v/>
      </c>
      <c r="T219" s="59"/>
      <c r="U219" s="59"/>
      <c r="V219" s="59"/>
      <c r="W219" s="59"/>
      <c r="X219" s="59"/>
      <c r="Y219" s="59"/>
      <c r="Z219" s="59"/>
      <c r="AA219" s="59"/>
      <c r="AB219" s="59"/>
      <c r="AC219" s="59"/>
      <c r="AD219" s="59"/>
      <c r="AE219" s="59"/>
      <c r="AF219" s="59"/>
      <c r="AG219" s="59"/>
      <c r="AH219" s="59"/>
      <c r="AI219" s="59" t="str">
        <f>IF(SUM(Dati[[#This Row],[Inv. Business]:[Inv. Cryptocurrency]])=0," ",SUM(Dati[[#This Row],[Inv. Business]:[Inv. Cryptocurrency]]))</f>
        <v xml:space="preserve"> </v>
      </c>
      <c r="AJ219" s="59"/>
      <c r="AK219" s="59" t="str">
        <f>IF(SUM(Dati[[#This Row],[Inv. Gold]:[Mutuo]])=0," ",SUM(Dati[[#This Row],[Inv. Gold]:[Mutuo]]))</f>
        <v xml:space="preserve"> </v>
      </c>
      <c r="AL219" s="59"/>
      <c r="AM219" s="59"/>
    </row>
    <row r="220" spans="2:39" ht="16" customHeight="1" x14ac:dyDescent="0.35">
      <c r="B220">
        <f t="shared" si="9"/>
        <v>200</v>
      </c>
      <c r="C220" s="49">
        <f t="shared" si="10"/>
        <v>45126</v>
      </c>
      <c r="D220" s="29">
        <f>DAY(Dati[[#This Row],[Data]])</f>
        <v>19</v>
      </c>
      <c r="E220" s="29" t="str">
        <f>IF(DAY(Data!$C$21:$C$1327)&gt;0,TEXT(Data!$C$21:$C$1327, "mmmm"),"")</f>
        <v>luglio</v>
      </c>
      <c r="F220" s="29" t="str">
        <f>IF(DAY(Data!$C$21:$C$1327)&gt;0,TEXT(Data!$C$21:$C$1327, "aaaa"),"")</f>
        <v>2023</v>
      </c>
      <c r="I220" t="str">
        <f>IF(OR(H220=$B$5,H220=$B$6,H220=$B$7,H220=$B$8,H220=$B$9,H220=$B$10,H220=$B$11,H220=$B$12,H220=$B$13,H220=$B$14),SottocategorieUscite[[#Headers],[Fuori Casa]],IF(OR(H220=$C$5,H220=$C$6,H220=$C$7,H220=$C$8,H220=$C$9,H220=$C$10,H220=$C$11,H220=$C$12,H220=$C$13,H220=$C$14),SottocategorieUscite[[#Headers],[Varie Uscite]],IF(OR(H220=$D$5,H220=$D$6,H220=$D$7,H220=$D$8,H220=$D$9,H220=$D$10,H220=$D$11,H220=$D$12,H220=$D$13,H220=$D$14),SottocategorieUscite[[#Headers],[Personali]],IF(OR(H220=$E$5,H220=$E$6,H220=$E$7,H220=$E$8,H220=$E$9,H220=$E$10,H220=$E$11,H220=$E$12,H220=$E$13,H220=$E$14),SottocategorieUscite[[#Headers],[Lavoro]],IF(OR(H220=$F$5,H220=$F$6,H220=$F$7,H220=$F$8,H220=$F$9,H220=$F$10,H220=$F$11,H220=$F$12,H220=$F$13,H220=$F$14),SottocategorieUscite[[#Headers],[Casa]],IF(OR(H220=$G$5,H220=$G$6,H220=$G$7,H220=$G$8,H220=$G$9,H220=$G$10,H220=$G$11,H220=$G$12,H220=$G$13,H220=$G$14),SottocategorieUscite[[#Headers],[Utenze]],IF(OR(H220=$H$5,H220=$H$6,H220=$H$7,H220=$H$8,H220=$H$9,H220=$H$10,H220=$H$11,H220=$H$12,H220=$H$13,H220=$H$14),SottocategorieUscite[[#Headers],[Business Uscite]],IF(OR(H220=$I$5,H220=$I$6,H220=$I$7,H220=$I$8,H220=$I$9,H220=$I$10,H220=$I$11,H220=$I$12,H220=$I$13,H220=$I$14),SottocategorieUscite[[#Headers],[Banca]],IF(OR(H220=K$5,H220=K$6,H220=K$7,H220=K$8,H220=K$9,H220=K$10,H220=K$11,H220=K$12,H220=K$13,H220=K$14),SottocategorieEntrate[[#Headers],[Business Entrate]],IF(OR(H220=L$5,H220=L$6,H220=L$7,H220=L$8,H220=L$9,H220=L$10,H220=L$11,H220=L$12,H220=L$13,H220=L$14),SottocategorieEntrate[[#Headers],[Varie Entrate]],IF(OR(H220=M$5,H220=M$6,H220=M$7,H220=M$8,H220=M$9,H220=M$10,H220=M$11,H220=M$12,H220=M$13,H220=M$14),SottocategorieEntrate[[#Headers],[Real Estate]],IF(OR(H220=N$5,H220=N$6,H220=N$7,H220=N$8,H220=N$9,H220=N$10,H220=N$11,H220=N$12,H220=N$13,H220=N$14),SottocategorieEntrate[[#Headers],[Other]],""))))))))))))</f>
        <v/>
      </c>
      <c r="J220" t="str">
        <f>IF(OR(Dati[[#This Row],[Categoria]]="Bollette",Dati[[#This Row],[Categoria]]="Conto &amp; Carte BNL",Dati[[#This Row],[Categoria]]="Prelievo",Dati[[#This Row],[Categoria]]="Affitto",Dati[[#This Row],[Categoria]]="BNL(Interessi Creditori)"),"Carta",IF(Dati[[#This Row],[Categoria]]&lt;&gt;0,"Cash",""))</f>
        <v/>
      </c>
      <c r="K220" s="59" t="str">
        <f>IF(OR(Data!$I220=SottocategorieUscite[[#Headers],[Fuori Casa]],Data!$I220=SottocategorieUscite[[#Headers],[Varie Uscite]],Data!$I220=SottocategorieUscite[[#Headers],[Personali]],Data!$I220=SottocategorieUscite[[#Headers],[Lavoro]]),"$ -","")</f>
        <v/>
      </c>
      <c r="L220" s="59" t="str">
        <f>IF(OR(Data!$I220=SottocategorieUscite[[#Headers],[Casa]],Data!$I220=SottocategorieUscite[[#Headers],[Utenze]],Data!$I220=SottocategorieUscite[[#Headers],[Business Uscite]],Data!$I220=SottocategorieUscite[[#Headers],[Banca]]),"$ -","")</f>
        <v/>
      </c>
      <c r="M220" s="59" t="str">
        <f>IF(OR($I220&lt;&gt;SottocategorieUscite[[#Headers],[Fuori Casa]],$I220&lt;&gt;SottocategorieUscite[[#Headers],[Varie Uscite]],$I220&lt;&gt;SottocategorieUscite[[#Headers],[Personali]],$I220&lt;&gt;SottocategorieUscite[[#Headers],[Lavoro]],$I220&lt;&gt;SottocategorieUscite[[#Headers],[Casa]],$I220&lt;&gt;SottocategorieUscite[[#Headers],[Utenze]],$I220&lt;&gt;SottocategorieUscite[[#Headers],[Business Uscite]],$I220&lt;&gt;SottocategorieUscite[[#Headers],[Banca]]),"","$ -")</f>
        <v/>
      </c>
      <c r="N220" s="59" t="str">
        <f>IF(OR(Data!$I220=SottocategorieEntrate[[#Headers],[Business Entrate]],Data!$I220=SottocategorieEntrate[[#Headers],[Varie Entrate]]),"$ -","")</f>
        <v/>
      </c>
      <c r="O220" s="59" t="str">
        <f>IF(OR(Data!$I220=SottocategorieEntrate[[#Headers],[Real Estate]],SottocategorieEntrate[[#Headers],[Other]]),"$ -","")</f>
        <v/>
      </c>
      <c r="P220" s="59" t="str">
        <f>IF(OR($I220&lt;&gt;SottocategorieEntrate[[#Headers],[Business Entrate]],$I220&lt;&gt;SottocategorieEntrate[[#Headers],[Varie Entrate]],$I220&lt;&gt;SottocategorieEntrate[[#Headers],[Real Estate]],$I220&lt;&gt;SottocategorieEntrate[[#Headers],[Other]]),"","$ -")</f>
        <v/>
      </c>
      <c r="Q220" s="59" t="str">
        <f>IF(Dati[[#This Row],[Categoria]]="Prelievo","€ -","")</f>
        <v/>
      </c>
      <c r="R220" s="244" t="str">
        <f t="shared" ca="1" si="11"/>
        <v/>
      </c>
      <c r="S220" s="59" t="str">
        <f>IF(Dati[[#This Row],[Categoria]]="Savings",0,"")</f>
        <v/>
      </c>
      <c r="T220" s="59"/>
      <c r="U220" s="59"/>
      <c r="V220" s="59"/>
      <c r="W220" s="59"/>
      <c r="X220" s="59"/>
      <c r="Y220" s="59"/>
      <c r="Z220" s="59"/>
      <c r="AA220" s="59"/>
      <c r="AB220" s="59"/>
      <c r="AC220" s="59"/>
      <c r="AD220" s="59"/>
      <c r="AE220" s="59"/>
      <c r="AF220" s="59"/>
      <c r="AG220" s="59"/>
      <c r="AH220" s="59"/>
      <c r="AI220" s="59" t="str">
        <f>IF(SUM(Dati[[#This Row],[Inv. Business]:[Inv. Cryptocurrency]])=0," ",SUM(Dati[[#This Row],[Inv. Business]:[Inv. Cryptocurrency]]))</f>
        <v xml:space="preserve"> </v>
      </c>
      <c r="AJ220" s="59"/>
      <c r="AK220" s="59" t="str">
        <f>IF(SUM(Dati[[#This Row],[Inv. Gold]:[Mutuo]])=0," ",SUM(Dati[[#This Row],[Inv. Gold]:[Mutuo]]))</f>
        <v xml:space="preserve"> </v>
      </c>
      <c r="AL220" s="59"/>
      <c r="AM220" s="59"/>
    </row>
    <row r="221" spans="2:39" ht="16" customHeight="1" x14ac:dyDescent="0.35">
      <c r="B221">
        <f t="shared" si="9"/>
        <v>201</v>
      </c>
      <c r="C221" s="49">
        <f t="shared" si="10"/>
        <v>45127</v>
      </c>
      <c r="D221" s="29">
        <f>DAY(Dati[[#This Row],[Data]])</f>
        <v>20</v>
      </c>
      <c r="E221" s="29" t="str">
        <f>IF(DAY(Data!$C$21:$C$1327)&gt;0,TEXT(Data!$C$21:$C$1327, "mmmm"),"")</f>
        <v>luglio</v>
      </c>
      <c r="F221" s="29" t="str">
        <f>IF(DAY(Data!$C$21:$C$1327)&gt;0,TEXT(Data!$C$21:$C$1327, "aaaa"),"")</f>
        <v>2023</v>
      </c>
      <c r="I221" t="str">
        <f>IF(OR(H221=$B$5,H221=$B$6,H221=$B$7,H221=$B$8,H221=$B$9,H221=$B$10,H221=$B$11,H221=$B$12,H221=$B$13,H221=$B$14),SottocategorieUscite[[#Headers],[Fuori Casa]],IF(OR(H221=$C$5,H221=$C$6,H221=$C$7,H221=$C$8,H221=$C$9,H221=$C$10,H221=$C$11,H221=$C$12,H221=$C$13,H221=$C$14),SottocategorieUscite[[#Headers],[Varie Uscite]],IF(OR(H221=$D$5,H221=$D$6,H221=$D$7,H221=$D$8,H221=$D$9,H221=$D$10,H221=$D$11,H221=$D$12,H221=$D$13,H221=$D$14),SottocategorieUscite[[#Headers],[Personali]],IF(OR(H221=$E$5,H221=$E$6,H221=$E$7,H221=$E$8,H221=$E$9,H221=$E$10,H221=$E$11,H221=$E$12,H221=$E$13,H221=$E$14),SottocategorieUscite[[#Headers],[Lavoro]],IF(OR(H221=$F$5,H221=$F$6,H221=$F$7,H221=$F$8,H221=$F$9,H221=$F$10,H221=$F$11,H221=$F$12,H221=$F$13,H221=$F$14),SottocategorieUscite[[#Headers],[Casa]],IF(OR(H221=$G$5,H221=$G$6,H221=$G$7,H221=$G$8,H221=$G$9,H221=$G$10,H221=$G$11,H221=$G$12,H221=$G$13,H221=$G$14),SottocategorieUscite[[#Headers],[Utenze]],IF(OR(H221=$H$5,H221=$H$6,H221=$H$7,H221=$H$8,H221=$H$9,H221=$H$10,H221=$H$11,H221=$H$12,H221=$H$13,H221=$H$14),SottocategorieUscite[[#Headers],[Business Uscite]],IF(OR(H221=$I$5,H221=$I$6,H221=$I$7,H221=$I$8,H221=$I$9,H221=$I$10,H221=$I$11,H221=$I$12,H221=$I$13,H221=$I$14),SottocategorieUscite[[#Headers],[Banca]],IF(OR(H221=K$5,H221=K$6,H221=K$7,H221=K$8,H221=K$9,H221=K$10,H221=K$11,H221=K$12,H221=K$13,H221=K$14),SottocategorieEntrate[[#Headers],[Business Entrate]],IF(OR(H221=L$5,H221=L$6,H221=L$7,H221=L$8,H221=L$9,H221=L$10,H221=L$11,H221=L$12,H221=L$13,H221=L$14),SottocategorieEntrate[[#Headers],[Varie Entrate]],IF(OR(H221=M$5,H221=M$6,H221=M$7,H221=M$8,H221=M$9,H221=M$10,H221=M$11,H221=M$12,H221=M$13,H221=M$14),SottocategorieEntrate[[#Headers],[Real Estate]],IF(OR(H221=N$5,H221=N$6,H221=N$7,H221=N$8,H221=N$9,H221=N$10,H221=N$11,H221=N$12,H221=N$13,H221=N$14),SottocategorieEntrate[[#Headers],[Other]],""))))))))))))</f>
        <v/>
      </c>
      <c r="J221" t="str">
        <f>IF(OR(Dati[[#This Row],[Categoria]]="Bollette",Dati[[#This Row],[Categoria]]="Conto &amp; Carte BNL",Dati[[#This Row],[Categoria]]="Prelievo",Dati[[#This Row],[Categoria]]="Affitto",Dati[[#This Row],[Categoria]]="BNL(Interessi Creditori)"),"Carta",IF(Dati[[#This Row],[Categoria]]&lt;&gt;0,"Cash",""))</f>
        <v/>
      </c>
      <c r="K221" s="59" t="str">
        <f>IF(OR(Data!$I221=SottocategorieUscite[[#Headers],[Fuori Casa]],Data!$I221=SottocategorieUscite[[#Headers],[Varie Uscite]],Data!$I221=SottocategorieUscite[[#Headers],[Personali]],Data!$I221=SottocategorieUscite[[#Headers],[Lavoro]]),"$ -","")</f>
        <v/>
      </c>
      <c r="L221" s="59" t="str">
        <f>IF(OR(Data!$I221=SottocategorieUscite[[#Headers],[Casa]],Data!$I221=SottocategorieUscite[[#Headers],[Utenze]],Data!$I221=SottocategorieUscite[[#Headers],[Business Uscite]],Data!$I221=SottocategorieUscite[[#Headers],[Banca]]),"$ -","")</f>
        <v/>
      </c>
      <c r="M221" s="59" t="str">
        <f>IF(OR($I221&lt;&gt;SottocategorieUscite[[#Headers],[Fuori Casa]],$I221&lt;&gt;SottocategorieUscite[[#Headers],[Varie Uscite]],$I221&lt;&gt;SottocategorieUscite[[#Headers],[Personali]],$I221&lt;&gt;SottocategorieUscite[[#Headers],[Lavoro]],$I221&lt;&gt;SottocategorieUscite[[#Headers],[Casa]],$I221&lt;&gt;SottocategorieUscite[[#Headers],[Utenze]],$I221&lt;&gt;SottocategorieUscite[[#Headers],[Business Uscite]],$I221&lt;&gt;SottocategorieUscite[[#Headers],[Banca]]),"","$ -")</f>
        <v/>
      </c>
      <c r="N221" s="59" t="str">
        <f>IF(OR(Data!$I221=SottocategorieEntrate[[#Headers],[Business Entrate]],Data!$I221=SottocategorieEntrate[[#Headers],[Varie Entrate]]),"$ -","")</f>
        <v/>
      </c>
      <c r="O221" s="59" t="str">
        <f>IF(OR(Data!$I221=SottocategorieEntrate[[#Headers],[Real Estate]],SottocategorieEntrate[[#Headers],[Other]]),"$ -","")</f>
        <v/>
      </c>
      <c r="P221" s="59" t="str">
        <f>IF(OR($I221&lt;&gt;SottocategorieEntrate[[#Headers],[Business Entrate]],$I221&lt;&gt;SottocategorieEntrate[[#Headers],[Varie Entrate]],$I221&lt;&gt;SottocategorieEntrate[[#Headers],[Real Estate]],$I221&lt;&gt;SottocategorieEntrate[[#Headers],[Other]]),"","$ -")</f>
        <v/>
      </c>
      <c r="Q221" s="59" t="str">
        <f>IF(Dati[[#This Row],[Categoria]]="Prelievo","€ -","")</f>
        <v/>
      </c>
      <c r="R221" s="244" t="str">
        <f t="shared" ca="1" si="11"/>
        <v/>
      </c>
      <c r="S221" s="59" t="str">
        <f>IF(Dati[[#This Row],[Categoria]]="Savings",0,"")</f>
        <v/>
      </c>
      <c r="T221" s="59"/>
      <c r="U221" s="59"/>
      <c r="V221" s="59"/>
      <c r="W221" s="59"/>
      <c r="X221" s="59"/>
      <c r="Y221" s="59"/>
      <c r="Z221" s="59"/>
      <c r="AA221" s="59"/>
      <c r="AB221" s="59"/>
      <c r="AC221" s="59"/>
      <c r="AD221" s="59"/>
      <c r="AE221" s="59"/>
      <c r="AF221" s="59"/>
      <c r="AG221" s="59"/>
      <c r="AH221" s="59"/>
      <c r="AI221" s="59" t="str">
        <f>IF(SUM(Dati[[#This Row],[Inv. Business]:[Inv. Cryptocurrency]])=0," ",SUM(Dati[[#This Row],[Inv. Business]:[Inv. Cryptocurrency]]))</f>
        <v xml:space="preserve"> </v>
      </c>
      <c r="AJ221" s="59"/>
      <c r="AK221" s="59" t="str">
        <f>IF(SUM(Dati[[#This Row],[Inv. Gold]:[Mutuo]])=0," ",SUM(Dati[[#This Row],[Inv. Gold]:[Mutuo]]))</f>
        <v xml:space="preserve"> </v>
      </c>
      <c r="AL221" s="59"/>
      <c r="AM221" s="59"/>
    </row>
    <row r="222" spans="2:39" ht="16" customHeight="1" x14ac:dyDescent="0.35">
      <c r="B222">
        <f t="shared" si="9"/>
        <v>202</v>
      </c>
      <c r="C222" s="49">
        <f t="shared" si="10"/>
        <v>45128</v>
      </c>
      <c r="D222" s="29">
        <f>DAY(Dati[[#This Row],[Data]])</f>
        <v>21</v>
      </c>
      <c r="E222" s="29" t="str">
        <f>IF(DAY(Data!$C$21:$C$1327)&gt;0,TEXT(Data!$C$21:$C$1327, "mmmm"),"")</f>
        <v>luglio</v>
      </c>
      <c r="F222" s="29" t="str">
        <f>IF(DAY(Data!$C$21:$C$1327)&gt;0,TEXT(Data!$C$21:$C$1327, "aaaa"),"")</f>
        <v>2023</v>
      </c>
      <c r="I222" t="str">
        <f>IF(OR(H222=$B$5,H222=$B$6,H222=$B$7,H222=$B$8,H222=$B$9,H222=$B$10,H222=$B$11,H222=$B$12,H222=$B$13,H222=$B$14),SottocategorieUscite[[#Headers],[Fuori Casa]],IF(OR(H222=$C$5,H222=$C$6,H222=$C$7,H222=$C$8,H222=$C$9,H222=$C$10,H222=$C$11,H222=$C$12,H222=$C$13,H222=$C$14),SottocategorieUscite[[#Headers],[Varie Uscite]],IF(OR(H222=$D$5,H222=$D$6,H222=$D$7,H222=$D$8,H222=$D$9,H222=$D$10,H222=$D$11,H222=$D$12,H222=$D$13,H222=$D$14),SottocategorieUscite[[#Headers],[Personali]],IF(OR(H222=$E$5,H222=$E$6,H222=$E$7,H222=$E$8,H222=$E$9,H222=$E$10,H222=$E$11,H222=$E$12,H222=$E$13,H222=$E$14),SottocategorieUscite[[#Headers],[Lavoro]],IF(OR(H222=$F$5,H222=$F$6,H222=$F$7,H222=$F$8,H222=$F$9,H222=$F$10,H222=$F$11,H222=$F$12,H222=$F$13,H222=$F$14),SottocategorieUscite[[#Headers],[Casa]],IF(OR(H222=$G$5,H222=$G$6,H222=$G$7,H222=$G$8,H222=$G$9,H222=$G$10,H222=$G$11,H222=$G$12,H222=$G$13,H222=$G$14),SottocategorieUscite[[#Headers],[Utenze]],IF(OR(H222=$H$5,H222=$H$6,H222=$H$7,H222=$H$8,H222=$H$9,H222=$H$10,H222=$H$11,H222=$H$12,H222=$H$13,H222=$H$14),SottocategorieUscite[[#Headers],[Business Uscite]],IF(OR(H222=$I$5,H222=$I$6,H222=$I$7,H222=$I$8,H222=$I$9,H222=$I$10,H222=$I$11,H222=$I$12,H222=$I$13,H222=$I$14),SottocategorieUscite[[#Headers],[Banca]],IF(OR(H222=K$5,H222=K$6,H222=K$7,H222=K$8,H222=K$9,H222=K$10,H222=K$11,H222=K$12,H222=K$13,H222=K$14),SottocategorieEntrate[[#Headers],[Business Entrate]],IF(OR(H222=L$5,H222=L$6,H222=L$7,H222=L$8,H222=L$9,H222=L$10,H222=L$11,H222=L$12,H222=L$13,H222=L$14),SottocategorieEntrate[[#Headers],[Varie Entrate]],IF(OR(H222=M$5,H222=M$6,H222=M$7,H222=M$8,H222=M$9,H222=M$10,H222=M$11,H222=M$12,H222=M$13,H222=M$14),SottocategorieEntrate[[#Headers],[Real Estate]],IF(OR(H222=N$5,H222=N$6,H222=N$7,H222=N$8,H222=N$9,H222=N$10,H222=N$11,H222=N$12,H222=N$13,H222=N$14),SottocategorieEntrate[[#Headers],[Other]],""))))))))))))</f>
        <v/>
      </c>
      <c r="J222" t="str">
        <f>IF(OR(Dati[[#This Row],[Categoria]]="Bollette",Dati[[#This Row],[Categoria]]="Conto &amp; Carte BNL",Dati[[#This Row],[Categoria]]="Prelievo",Dati[[#This Row],[Categoria]]="Affitto",Dati[[#This Row],[Categoria]]="BNL(Interessi Creditori)"),"Carta",IF(Dati[[#This Row],[Categoria]]&lt;&gt;0,"Cash",""))</f>
        <v/>
      </c>
      <c r="K222" s="59" t="str">
        <f>IF(OR(Data!$I222=SottocategorieUscite[[#Headers],[Fuori Casa]],Data!$I222=SottocategorieUscite[[#Headers],[Varie Uscite]],Data!$I222=SottocategorieUscite[[#Headers],[Personali]],Data!$I222=SottocategorieUscite[[#Headers],[Lavoro]]),"$ -","")</f>
        <v/>
      </c>
      <c r="L222" s="59" t="str">
        <f>IF(OR(Data!$I222=SottocategorieUscite[[#Headers],[Casa]],Data!$I222=SottocategorieUscite[[#Headers],[Utenze]],Data!$I222=SottocategorieUscite[[#Headers],[Business Uscite]],Data!$I222=SottocategorieUscite[[#Headers],[Banca]]),"$ -","")</f>
        <v/>
      </c>
      <c r="M222" s="59" t="str">
        <f>IF(OR($I222&lt;&gt;SottocategorieUscite[[#Headers],[Fuori Casa]],$I222&lt;&gt;SottocategorieUscite[[#Headers],[Varie Uscite]],$I222&lt;&gt;SottocategorieUscite[[#Headers],[Personali]],$I222&lt;&gt;SottocategorieUscite[[#Headers],[Lavoro]],$I222&lt;&gt;SottocategorieUscite[[#Headers],[Casa]],$I222&lt;&gt;SottocategorieUscite[[#Headers],[Utenze]],$I222&lt;&gt;SottocategorieUscite[[#Headers],[Business Uscite]],$I222&lt;&gt;SottocategorieUscite[[#Headers],[Banca]]),"","$ -")</f>
        <v/>
      </c>
      <c r="N222" s="59" t="str">
        <f>IF(OR(Data!$I222=SottocategorieEntrate[[#Headers],[Business Entrate]],Data!$I222=SottocategorieEntrate[[#Headers],[Varie Entrate]]),"$ -","")</f>
        <v/>
      </c>
      <c r="O222" s="59" t="str">
        <f>IF(OR(Data!$I222=SottocategorieEntrate[[#Headers],[Real Estate]],SottocategorieEntrate[[#Headers],[Other]]),"$ -","")</f>
        <v/>
      </c>
      <c r="P222" s="59" t="str">
        <f>IF(OR($I222&lt;&gt;SottocategorieEntrate[[#Headers],[Business Entrate]],$I222&lt;&gt;SottocategorieEntrate[[#Headers],[Varie Entrate]],$I222&lt;&gt;SottocategorieEntrate[[#Headers],[Real Estate]],$I222&lt;&gt;SottocategorieEntrate[[#Headers],[Other]]),"","$ -")</f>
        <v/>
      </c>
      <c r="Q222" s="59" t="str">
        <f>IF(Dati[[#This Row],[Categoria]]="Prelievo","€ -","")</f>
        <v/>
      </c>
      <c r="R222" s="244" t="str">
        <f t="shared" ca="1" si="11"/>
        <v/>
      </c>
      <c r="S222" s="59" t="str">
        <f>IF(Dati[[#This Row],[Categoria]]="Savings",0,"")</f>
        <v/>
      </c>
      <c r="T222" s="59"/>
      <c r="U222" s="59"/>
      <c r="V222" s="59"/>
      <c r="W222" s="59"/>
      <c r="X222" s="59"/>
      <c r="Y222" s="59"/>
      <c r="Z222" s="59"/>
      <c r="AA222" s="59"/>
      <c r="AB222" s="59"/>
      <c r="AC222" s="59"/>
      <c r="AD222" s="59"/>
      <c r="AE222" s="59"/>
      <c r="AF222" s="59"/>
      <c r="AG222" s="59"/>
      <c r="AH222" s="59"/>
      <c r="AI222" s="59" t="str">
        <f>IF(SUM(Dati[[#This Row],[Inv. Business]:[Inv. Cryptocurrency]])=0," ",SUM(Dati[[#This Row],[Inv. Business]:[Inv. Cryptocurrency]]))</f>
        <v xml:space="preserve"> </v>
      </c>
      <c r="AJ222" s="59"/>
      <c r="AK222" s="59" t="str">
        <f>IF(SUM(Dati[[#This Row],[Inv. Gold]:[Mutuo]])=0," ",SUM(Dati[[#This Row],[Inv. Gold]:[Mutuo]]))</f>
        <v xml:space="preserve"> </v>
      </c>
      <c r="AL222" s="59"/>
      <c r="AM222" s="59"/>
    </row>
    <row r="223" spans="2:39" ht="16" customHeight="1" x14ac:dyDescent="0.35">
      <c r="B223">
        <f t="shared" si="9"/>
        <v>203</v>
      </c>
      <c r="C223" s="49">
        <f t="shared" si="10"/>
        <v>45129</v>
      </c>
      <c r="D223" s="29">
        <f>DAY(Dati[[#This Row],[Data]])</f>
        <v>22</v>
      </c>
      <c r="E223" s="29" t="str">
        <f>IF(DAY(Data!$C$21:$C$1327)&gt;0,TEXT(Data!$C$21:$C$1327, "mmmm"),"")</f>
        <v>luglio</v>
      </c>
      <c r="F223" s="29" t="str">
        <f>IF(DAY(Data!$C$21:$C$1327)&gt;0,TEXT(Data!$C$21:$C$1327, "aaaa"),"")</f>
        <v>2023</v>
      </c>
      <c r="I223" t="str">
        <f>IF(OR(H223=$B$5,H223=$B$6,H223=$B$7,H223=$B$8,H223=$B$9,H223=$B$10,H223=$B$11,H223=$B$12,H223=$B$13,H223=$B$14),SottocategorieUscite[[#Headers],[Fuori Casa]],IF(OR(H223=$C$5,H223=$C$6,H223=$C$7,H223=$C$8,H223=$C$9,H223=$C$10,H223=$C$11,H223=$C$12,H223=$C$13,H223=$C$14),SottocategorieUscite[[#Headers],[Varie Uscite]],IF(OR(H223=$D$5,H223=$D$6,H223=$D$7,H223=$D$8,H223=$D$9,H223=$D$10,H223=$D$11,H223=$D$12,H223=$D$13,H223=$D$14),SottocategorieUscite[[#Headers],[Personali]],IF(OR(H223=$E$5,H223=$E$6,H223=$E$7,H223=$E$8,H223=$E$9,H223=$E$10,H223=$E$11,H223=$E$12,H223=$E$13,H223=$E$14),SottocategorieUscite[[#Headers],[Lavoro]],IF(OR(H223=$F$5,H223=$F$6,H223=$F$7,H223=$F$8,H223=$F$9,H223=$F$10,H223=$F$11,H223=$F$12,H223=$F$13,H223=$F$14),SottocategorieUscite[[#Headers],[Casa]],IF(OR(H223=$G$5,H223=$G$6,H223=$G$7,H223=$G$8,H223=$G$9,H223=$G$10,H223=$G$11,H223=$G$12,H223=$G$13,H223=$G$14),SottocategorieUscite[[#Headers],[Utenze]],IF(OR(H223=$H$5,H223=$H$6,H223=$H$7,H223=$H$8,H223=$H$9,H223=$H$10,H223=$H$11,H223=$H$12,H223=$H$13,H223=$H$14),SottocategorieUscite[[#Headers],[Business Uscite]],IF(OR(H223=$I$5,H223=$I$6,H223=$I$7,H223=$I$8,H223=$I$9,H223=$I$10,H223=$I$11,H223=$I$12,H223=$I$13,H223=$I$14),SottocategorieUscite[[#Headers],[Banca]],IF(OR(H223=K$5,H223=K$6,H223=K$7,H223=K$8,H223=K$9,H223=K$10,H223=K$11,H223=K$12,H223=K$13,H223=K$14),SottocategorieEntrate[[#Headers],[Business Entrate]],IF(OR(H223=L$5,H223=L$6,H223=L$7,H223=L$8,H223=L$9,H223=L$10,H223=L$11,H223=L$12,H223=L$13,H223=L$14),SottocategorieEntrate[[#Headers],[Varie Entrate]],IF(OR(H223=M$5,H223=M$6,H223=M$7,H223=M$8,H223=M$9,H223=M$10,H223=M$11,H223=M$12,H223=M$13,H223=M$14),SottocategorieEntrate[[#Headers],[Real Estate]],IF(OR(H223=N$5,H223=N$6,H223=N$7,H223=N$8,H223=N$9,H223=N$10,H223=N$11,H223=N$12,H223=N$13,H223=N$14),SottocategorieEntrate[[#Headers],[Other]],""))))))))))))</f>
        <v/>
      </c>
      <c r="J223" t="str">
        <f>IF(OR(Dati[[#This Row],[Categoria]]="Bollette",Dati[[#This Row],[Categoria]]="Conto &amp; Carte BNL",Dati[[#This Row],[Categoria]]="Prelievo",Dati[[#This Row],[Categoria]]="Affitto",Dati[[#This Row],[Categoria]]="BNL(Interessi Creditori)"),"Carta",IF(Dati[[#This Row],[Categoria]]&lt;&gt;0,"Cash",""))</f>
        <v/>
      </c>
      <c r="K223" s="59" t="str">
        <f>IF(OR(Data!$I223=SottocategorieUscite[[#Headers],[Fuori Casa]],Data!$I223=SottocategorieUscite[[#Headers],[Varie Uscite]],Data!$I223=SottocategorieUscite[[#Headers],[Personali]],Data!$I223=SottocategorieUscite[[#Headers],[Lavoro]]),"$ -","")</f>
        <v/>
      </c>
      <c r="L223" s="59" t="str">
        <f>IF(OR(Data!$I223=SottocategorieUscite[[#Headers],[Casa]],Data!$I223=SottocategorieUscite[[#Headers],[Utenze]],Data!$I223=SottocategorieUscite[[#Headers],[Business Uscite]],Data!$I223=SottocategorieUscite[[#Headers],[Banca]]),"$ -","")</f>
        <v/>
      </c>
      <c r="M223" s="59" t="str">
        <f>IF(OR($I223&lt;&gt;SottocategorieUscite[[#Headers],[Fuori Casa]],$I223&lt;&gt;SottocategorieUscite[[#Headers],[Varie Uscite]],$I223&lt;&gt;SottocategorieUscite[[#Headers],[Personali]],$I223&lt;&gt;SottocategorieUscite[[#Headers],[Lavoro]],$I223&lt;&gt;SottocategorieUscite[[#Headers],[Casa]],$I223&lt;&gt;SottocategorieUscite[[#Headers],[Utenze]],$I223&lt;&gt;SottocategorieUscite[[#Headers],[Business Uscite]],$I223&lt;&gt;SottocategorieUscite[[#Headers],[Banca]]),"","$ -")</f>
        <v/>
      </c>
      <c r="N223" s="59" t="str">
        <f>IF(OR(Data!$I223=SottocategorieEntrate[[#Headers],[Business Entrate]],Data!$I223=SottocategorieEntrate[[#Headers],[Varie Entrate]]),"$ -","")</f>
        <v/>
      </c>
      <c r="O223" s="59" t="str">
        <f>IF(OR(Data!$I223=SottocategorieEntrate[[#Headers],[Real Estate]],SottocategorieEntrate[[#Headers],[Other]]),"$ -","")</f>
        <v/>
      </c>
      <c r="P223" s="59" t="str">
        <f>IF(OR($I223&lt;&gt;SottocategorieEntrate[[#Headers],[Business Entrate]],$I223&lt;&gt;SottocategorieEntrate[[#Headers],[Varie Entrate]],$I223&lt;&gt;SottocategorieEntrate[[#Headers],[Real Estate]],$I223&lt;&gt;SottocategorieEntrate[[#Headers],[Other]]),"","$ -")</f>
        <v/>
      </c>
      <c r="Q223" s="59" t="str">
        <f>IF(Dati[[#This Row],[Categoria]]="Prelievo","€ -","")</f>
        <v/>
      </c>
      <c r="R223" s="244" t="str">
        <f t="shared" ca="1" si="11"/>
        <v/>
      </c>
      <c r="S223" s="59" t="str">
        <f>IF(Dati[[#This Row],[Categoria]]="Savings",0,"")</f>
        <v/>
      </c>
      <c r="T223" s="59"/>
      <c r="U223" s="59"/>
      <c r="V223" s="59"/>
      <c r="W223" s="59"/>
      <c r="X223" s="59"/>
      <c r="Y223" s="59"/>
      <c r="Z223" s="59"/>
      <c r="AA223" s="59"/>
      <c r="AB223" s="59"/>
      <c r="AC223" s="59"/>
      <c r="AD223" s="59"/>
      <c r="AE223" s="59"/>
      <c r="AF223" s="59"/>
      <c r="AG223" s="59"/>
      <c r="AH223" s="59"/>
      <c r="AI223" s="59" t="str">
        <f>IF(SUM(Dati[[#This Row],[Inv. Business]:[Inv. Cryptocurrency]])=0," ",SUM(Dati[[#This Row],[Inv. Business]:[Inv. Cryptocurrency]]))</f>
        <v xml:space="preserve"> </v>
      </c>
      <c r="AJ223" s="59"/>
      <c r="AK223" s="59" t="str">
        <f>IF(SUM(Dati[[#This Row],[Inv. Gold]:[Mutuo]])=0," ",SUM(Dati[[#This Row],[Inv. Gold]:[Mutuo]]))</f>
        <v xml:space="preserve"> </v>
      </c>
      <c r="AL223" s="59"/>
      <c r="AM223" s="59"/>
    </row>
    <row r="224" spans="2:39" ht="16" customHeight="1" x14ac:dyDescent="0.35">
      <c r="B224">
        <f t="shared" si="9"/>
        <v>204</v>
      </c>
      <c r="C224" s="49">
        <f t="shared" si="10"/>
        <v>45130</v>
      </c>
      <c r="D224" s="29">
        <f>DAY(Dati[[#This Row],[Data]])</f>
        <v>23</v>
      </c>
      <c r="E224" s="29" t="str">
        <f>IF(DAY(Data!$C$21:$C$1327)&gt;0,TEXT(Data!$C$21:$C$1327, "mmmm"),"")</f>
        <v>luglio</v>
      </c>
      <c r="F224" s="29" t="str">
        <f>IF(DAY(Data!$C$21:$C$1327)&gt;0,TEXT(Data!$C$21:$C$1327, "aaaa"),"")</f>
        <v>2023</v>
      </c>
      <c r="I224" t="str">
        <f>IF(OR(H224=$B$5,H224=$B$6,H224=$B$7,H224=$B$8,H224=$B$9,H224=$B$10,H224=$B$11,H224=$B$12,H224=$B$13,H224=$B$14),SottocategorieUscite[[#Headers],[Fuori Casa]],IF(OR(H224=$C$5,H224=$C$6,H224=$C$7,H224=$C$8,H224=$C$9,H224=$C$10,H224=$C$11,H224=$C$12,H224=$C$13,H224=$C$14),SottocategorieUscite[[#Headers],[Varie Uscite]],IF(OR(H224=$D$5,H224=$D$6,H224=$D$7,H224=$D$8,H224=$D$9,H224=$D$10,H224=$D$11,H224=$D$12,H224=$D$13,H224=$D$14),SottocategorieUscite[[#Headers],[Personali]],IF(OR(H224=$E$5,H224=$E$6,H224=$E$7,H224=$E$8,H224=$E$9,H224=$E$10,H224=$E$11,H224=$E$12,H224=$E$13,H224=$E$14),SottocategorieUscite[[#Headers],[Lavoro]],IF(OR(H224=$F$5,H224=$F$6,H224=$F$7,H224=$F$8,H224=$F$9,H224=$F$10,H224=$F$11,H224=$F$12,H224=$F$13,H224=$F$14),SottocategorieUscite[[#Headers],[Casa]],IF(OR(H224=$G$5,H224=$G$6,H224=$G$7,H224=$G$8,H224=$G$9,H224=$G$10,H224=$G$11,H224=$G$12,H224=$G$13,H224=$G$14),SottocategorieUscite[[#Headers],[Utenze]],IF(OR(H224=$H$5,H224=$H$6,H224=$H$7,H224=$H$8,H224=$H$9,H224=$H$10,H224=$H$11,H224=$H$12,H224=$H$13,H224=$H$14),SottocategorieUscite[[#Headers],[Business Uscite]],IF(OR(H224=$I$5,H224=$I$6,H224=$I$7,H224=$I$8,H224=$I$9,H224=$I$10,H224=$I$11,H224=$I$12,H224=$I$13,H224=$I$14),SottocategorieUscite[[#Headers],[Banca]],IF(OR(H224=K$5,H224=K$6,H224=K$7,H224=K$8,H224=K$9,H224=K$10,H224=K$11,H224=K$12,H224=K$13,H224=K$14),SottocategorieEntrate[[#Headers],[Business Entrate]],IF(OR(H224=L$5,H224=L$6,H224=L$7,H224=L$8,H224=L$9,H224=L$10,H224=L$11,H224=L$12,H224=L$13,H224=L$14),SottocategorieEntrate[[#Headers],[Varie Entrate]],IF(OR(H224=M$5,H224=M$6,H224=M$7,H224=M$8,H224=M$9,H224=M$10,H224=M$11,H224=M$12,H224=M$13,H224=M$14),SottocategorieEntrate[[#Headers],[Real Estate]],IF(OR(H224=N$5,H224=N$6,H224=N$7,H224=N$8,H224=N$9,H224=N$10,H224=N$11,H224=N$12,H224=N$13,H224=N$14),SottocategorieEntrate[[#Headers],[Other]],""))))))))))))</f>
        <v/>
      </c>
      <c r="J224" t="str">
        <f>IF(OR(Dati[[#This Row],[Categoria]]="Bollette",Dati[[#This Row],[Categoria]]="Conto &amp; Carte BNL",Dati[[#This Row],[Categoria]]="Prelievo",Dati[[#This Row],[Categoria]]="Affitto",Dati[[#This Row],[Categoria]]="BNL(Interessi Creditori)"),"Carta",IF(Dati[[#This Row],[Categoria]]&lt;&gt;0,"Cash",""))</f>
        <v/>
      </c>
      <c r="K224" s="59" t="str">
        <f>IF(OR(Data!$I224=SottocategorieUscite[[#Headers],[Fuori Casa]],Data!$I224=SottocategorieUscite[[#Headers],[Varie Uscite]],Data!$I224=SottocategorieUscite[[#Headers],[Personali]],Data!$I224=SottocategorieUscite[[#Headers],[Lavoro]]),"$ -","")</f>
        <v/>
      </c>
      <c r="L224" s="59" t="str">
        <f>IF(OR(Data!$I224=SottocategorieUscite[[#Headers],[Casa]],Data!$I224=SottocategorieUscite[[#Headers],[Utenze]],Data!$I224=SottocategorieUscite[[#Headers],[Business Uscite]],Data!$I224=SottocategorieUscite[[#Headers],[Banca]]),"$ -","")</f>
        <v/>
      </c>
      <c r="M224" s="59" t="str">
        <f>IF(OR($I224&lt;&gt;SottocategorieUscite[[#Headers],[Fuori Casa]],$I224&lt;&gt;SottocategorieUscite[[#Headers],[Varie Uscite]],$I224&lt;&gt;SottocategorieUscite[[#Headers],[Personali]],$I224&lt;&gt;SottocategorieUscite[[#Headers],[Lavoro]],$I224&lt;&gt;SottocategorieUscite[[#Headers],[Casa]],$I224&lt;&gt;SottocategorieUscite[[#Headers],[Utenze]],$I224&lt;&gt;SottocategorieUscite[[#Headers],[Business Uscite]],$I224&lt;&gt;SottocategorieUscite[[#Headers],[Banca]]),"","$ -")</f>
        <v/>
      </c>
      <c r="N224" s="59" t="str">
        <f>IF(OR(Data!$I224=SottocategorieEntrate[[#Headers],[Business Entrate]],Data!$I224=SottocategorieEntrate[[#Headers],[Varie Entrate]]),"$ -","")</f>
        <v/>
      </c>
      <c r="O224" s="59" t="str">
        <f>IF(OR(Data!$I224=SottocategorieEntrate[[#Headers],[Real Estate]],SottocategorieEntrate[[#Headers],[Other]]),"$ -","")</f>
        <v/>
      </c>
      <c r="P224" s="59" t="str">
        <f>IF(OR($I224&lt;&gt;SottocategorieEntrate[[#Headers],[Business Entrate]],$I224&lt;&gt;SottocategorieEntrate[[#Headers],[Varie Entrate]],$I224&lt;&gt;SottocategorieEntrate[[#Headers],[Real Estate]],$I224&lt;&gt;SottocategorieEntrate[[#Headers],[Other]]),"","$ -")</f>
        <v/>
      </c>
      <c r="Q224" s="59" t="str">
        <f>IF(Dati[[#This Row],[Categoria]]="Prelievo","€ -","")</f>
        <v/>
      </c>
      <c r="R224" s="244" t="str">
        <f t="shared" ca="1" si="11"/>
        <v/>
      </c>
      <c r="S224" s="59" t="str">
        <f>IF(Dati[[#This Row],[Categoria]]="Savings",0,"")</f>
        <v/>
      </c>
      <c r="T224" s="59"/>
      <c r="U224" s="59"/>
      <c r="V224" s="59"/>
      <c r="W224" s="59"/>
      <c r="X224" s="59"/>
      <c r="Y224" s="59"/>
      <c r="Z224" s="59"/>
      <c r="AA224" s="59"/>
      <c r="AB224" s="59"/>
      <c r="AC224" s="59"/>
      <c r="AD224" s="59"/>
      <c r="AE224" s="59"/>
      <c r="AF224" s="59"/>
      <c r="AG224" s="59"/>
      <c r="AH224" s="59"/>
      <c r="AI224" s="59" t="str">
        <f>IF(SUM(Dati[[#This Row],[Inv. Business]:[Inv. Cryptocurrency]])=0," ",SUM(Dati[[#This Row],[Inv. Business]:[Inv. Cryptocurrency]]))</f>
        <v xml:space="preserve"> </v>
      </c>
      <c r="AJ224" s="59"/>
      <c r="AK224" s="59" t="str">
        <f>IF(SUM(Dati[[#This Row],[Inv. Gold]:[Mutuo]])=0," ",SUM(Dati[[#This Row],[Inv. Gold]:[Mutuo]]))</f>
        <v xml:space="preserve"> </v>
      </c>
      <c r="AL224" s="59"/>
      <c r="AM224" s="59"/>
    </row>
    <row r="225" spans="2:39" ht="16" customHeight="1" x14ac:dyDescent="0.35">
      <c r="B225">
        <f t="shared" si="9"/>
        <v>205</v>
      </c>
      <c r="C225" s="49">
        <f t="shared" si="10"/>
        <v>45131</v>
      </c>
      <c r="D225" s="29">
        <f>DAY(Dati[[#This Row],[Data]])</f>
        <v>24</v>
      </c>
      <c r="E225" s="29" t="str">
        <f>IF(DAY(Data!$C$21:$C$1327)&gt;0,TEXT(Data!$C$21:$C$1327, "mmmm"),"")</f>
        <v>luglio</v>
      </c>
      <c r="F225" s="29" t="str">
        <f>IF(DAY(Data!$C$21:$C$1327)&gt;0,TEXT(Data!$C$21:$C$1327, "aaaa"),"")</f>
        <v>2023</v>
      </c>
      <c r="I225" t="str">
        <f>IF(OR(H225=$B$5,H225=$B$6,H225=$B$7,H225=$B$8,H225=$B$9,H225=$B$10,H225=$B$11,H225=$B$12,H225=$B$13,H225=$B$14),SottocategorieUscite[[#Headers],[Fuori Casa]],IF(OR(H225=$C$5,H225=$C$6,H225=$C$7,H225=$C$8,H225=$C$9,H225=$C$10,H225=$C$11,H225=$C$12,H225=$C$13,H225=$C$14),SottocategorieUscite[[#Headers],[Varie Uscite]],IF(OR(H225=$D$5,H225=$D$6,H225=$D$7,H225=$D$8,H225=$D$9,H225=$D$10,H225=$D$11,H225=$D$12,H225=$D$13,H225=$D$14),SottocategorieUscite[[#Headers],[Personali]],IF(OR(H225=$E$5,H225=$E$6,H225=$E$7,H225=$E$8,H225=$E$9,H225=$E$10,H225=$E$11,H225=$E$12,H225=$E$13,H225=$E$14),SottocategorieUscite[[#Headers],[Lavoro]],IF(OR(H225=$F$5,H225=$F$6,H225=$F$7,H225=$F$8,H225=$F$9,H225=$F$10,H225=$F$11,H225=$F$12,H225=$F$13,H225=$F$14),SottocategorieUscite[[#Headers],[Casa]],IF(OR(H225=$G$5,H225=$G$6,H225=$G$7,H225=$G$8,H225=$G$9,H225=$G$10,H225=$G$11,H225=$G$12,H225=$G$13,H225=$G$14),SottocategorieUscite[[#Headers],[Utenze]],IF(OR(H225=$H$5,H225=$H$6,H225=$H$7,H225=$H$8,H225=$H$9,H225=$H$10,H225=$H$11,H225=$H$12,H225=$H$13,H225=$H$14),SottocategorieUscite[[#Headers],[Business Uscite]],IF(OR(H225=$I$5,H225=$I$6,H225=$I$7,H225=$I$8,H225=$I$9,H225=$I$10,H225=$I$11,H225=$I$12,H225=$I$13,H225=$I$14),SottocategorieUscite[[#Headers],[Banca]],IF(OR(H225=K$5,H225=K$6,H225=K$7,H225=K$8,H225=K$9,H225=K$10,H225=K$11,H225=K$12,H225=K$13,H225=K$14),SottocategorieEntrate[[#Headers],[Business Entrate]],IF(OR(H225=L$5,H225=L$6,H225=L$7,H225=L$8,H225=L$9,H225=L$10,H225=L$11,H225=L$12,H225=L$13,H225=L$14),SottocategorieEntrate[[#Headers],[Varie Entrate]],IF(OR(H225=M$5,H225=M$6,H225=M$7,H225=M$8,H225=M$9,H225=M$10,H225=M$11,H225=M$12,H225=M$13,H225=M$14),SottocategorieEntrate[[#Headers],[Real Estate]],IF(OR(H225=N$5,H225=N$6,H225=N$7,H225=N$8,H225=N$9,H225=N$10,H225=N$11,H225=N$12,H225=N$13,H225=N$14),SottocategorieEntrate[[#Headers],[Other]],""))))))))))))</f>
        <v/>
      </c>
      <c r="J225" t="str">
        <f>IF(OR(Dati[[#This Row],[Categoria]]="Bollette",Dati[[#This Row],[Categoria]]="Conto &amp; Carte BNL",Dati[[#This Row],[Categoria]]="Prelievo",Dati[[#This Row],[Categoria]]="Affitto",Dati[[#This Row],[Categoria]]="BNL(Interessi Creditori)"),"Carta",IF(Dati[[#This Row],[Categoria]]&lt;&gt;0,"Cash",""))</f>
        <v/>
      </c>
      <c r="K225" s="59" t="str">
        <f>IF(OR(Data!$I225=SottocategorieUscite[[#Headers],[Fuori Casa]],Data!$I225=SottocategorieUscite[[#Headers],[Varie Uscite]],Data!$I225=SottocategorieUscite[[#Headers],[Personali]],Data!$I225=SottocategorieUscite[[#Headers],[Lavoro]]),"$ -","")</f>
        <v/>
      </c>
      <c r="L225" s="59" t="str">
        <f>IF(OR(Data!$I225=SottocategorieUscite[[#Headers],[Casa]],Data!$I225=SottocategorieUscite[[#Headers],[Utenze]],Data!$I225=SottocategorieUscite[[#Headers],[Business Uscite]],Data!$I225=SottocategorieUscite[[#Headers],[Banca]]),"$ -","")</f>
        <v/>
      </c>
      <c r="M225" s="59" t="str">
        <f>IF(OR($I225&lt;&gt;SottocategorieUscite[[#Headers],[Fuori Casa]],$I225&lt;&gt;SottocategorieUscite[[#Headers],[Varie Uscite]],$I225&lt;&gt;SottocategorieUscite[[#Headers],[Personali]],$I225&lt;&gt;SottocategorieUscite[[#Headers],[Lavoro]],$I225&lt;&gt;SottocategorieUscite[[#Headers],[Casa]],$I225&lt;&gt;SottocategorieUscite[[#Headers],[Utenze]],$I225&lt;&gt;SottocategorieUscite[[#Headers],[Business Uscite]],$I225&lt;&gt;SottocategorieUscite[[#Headers],[Banca]]),"","$ -")</f>
        <v/>
      </c>
      <c r="N225" s="59" t="str">
        <f>IF(OR(Data!$I225=SottocategorieEntrate[[#Headers],[Business Entrate]],Data!$I225=SottocategorieEntrate[[#Headers],[Varie Entrate]]),"$ -","")</f>
        <v/>
      </c>
      <c r="O225" s="59" t="str">
        <f>IF(OR(Data!$I225=SottocategorieEntrate[[#Headers],[Real Estate]],SottocategorieEntrate[[#Headers],[Other]]),"$ -","")</f>
        <v/>
      </c>
      <c r="P225" s="59" t="str">
        <f>IF(OR($I225&lt;&gt;SottocategorieEntrate[[#Headers],[Business Entrate]],$I225&lt;&gt;SottocategorieEntrate[[#Headers],[Varie Entrate]],$I225&lt;&gt;SottocategorieEntrate[[#Headers],[Real Estate]],$I225&lt;&gt;SottocategorieEntrate[[#Headers],[Other]]),"","$ -")</f>
        <v/>
      </c>
      <c r="Q225" s="59" t="str">
        <f>IF(Dati[[#This Row],[Categoria]]="Prelievo","€ -","")</f>
        <v/>
      </c>
      <c r="R225" s="244" t="str">
        <f t="shared" ca="1" si="11"/>
        <v/>
      </c>
      <c r="S225" s="59" t="str">
        <f>IF(Dati[[#This Row],[Categoria]]="Savings",0,"")</f>
        <v/>
      </c>
      <c r="T225" s="59"/>
      <c r="U225" s="59"/>
      <c r="V225" s="59"/>
      <c r="W225" s="59"/>
      <c r="X225" s="59"/>
      <c r="Y225" s="59"/>
      <c r="Z225" s="59"/>
      <c r="AA225" s="59"/>
      <c r="AB225" s="59"/>
      <c r="AC225" s="59"/>
      <c r="AD225" s="59"/>
      <c r="AE225" s="59"/>
      <c r="AF225" s="59"/>
      <c r="AG225" s="59"/>
      <c r="AH225" s="59"/>
      <c r="AI225" s="59" t="str">
        <f>IF(SUM(Dati[[#This Row],[Inv. Business]:[Inv. Cryptocurrency]])=0," ",SUM(Dati[[#This Row],[Inv. Business]:[Inv. Cryptocurrency]]))</f>
        <v xml:space="preserve"> </v>
      </c>
      <c r="AJ225" s="59"/>
      <c r="AK225" s="59" t="str">
        <f>IF(SUM(Dati[[#This Row],[Inv. Gold]:[Mutuo]])=0," ",SUM(Dati[[#This Row],[Inv. Gold]:[Mutuo]]))</f>
        <v xml:space="preserve"> </v>
      </c>
      <c r="AL225" s="59"/>
      <c r="AM225" s="59"/>
    </row>
    <row r="226" spans="2:39" ht="16" customHeight="1" x14ac:dyDescent="0.35">
      <c r="B226">
        <f t="shared" si="9"/>
        <v>206</v>
      </c>
      <c r="C226" s="49">
        <f t="shared" si="10"/>
        <v>45132</v>
      </c>
      <c r="D226" s="29">
        <f>DAY(Dati[[#This Row],[Data]])</f>
        <v>25</v>
      </c>
      <c r="E226" s="29" t="str">
        <f>IF(DAY(Data!$C$21:$C$1327)&gt;0,TEXT(Data!$C$21:$C$1327, "mmmm"),"")</f>
        <v>luglio</v>
      </c>
      <c r="F226" s="29" t="str">
        <f>IF(DAY(Data!$C$21:$C$1327)&gt;0,TEXT(Data!$C$21:$C$1327, "aaaa"),"")</f>
        <v>2023</v>
      </c>
      <c r="I226" t="str">
        <f>IF(OR(H226=$B$5,H226=$B$6,H226=$B$7,H226=$B$8,H226=$B$9,H226=$B$10,H226=$B$11,H226=$B$12,H226=$B$13,H226=$B$14),SottocategorieUscite[[#Headers],[Fuori Casa]],IF(OR(H226=$C$5,H226=$C$6,H226=$C$7,H226=$C$8,H226=$C$9,H226=$C$10,H226=$C$11,H226=$C$12,H226=$C$13,H226=$C$14),SottocategorieUscite[[#Headers],[Varie Uscite]],IF(OR(H226=$D$5,H226=$D$6,H226=$D$7,H226=$D$8,H226=$D$9,H226=$D$10,H226=$D$11,H226=$D$12,H226=$D$13,H226=$D$14),SottocategorieUscite[[#Headers],[Personali]],IF(OR(H226=$E$5,H226=$E$6,H226=$E$7,H226=$E$8,H226=$E$9,H226=$E$10,H226=$E$11,H226=$E$12,H226=$E$13,H226=$E$14),SottocategorieUscite[[#Headers],[Lavoro]],IF(OR(H226=$F$5,H226=$F$6,H226=$F$7,H226=$F$8,H226=$F$9,H226=$F$10,H226=$F$11,H226=$F$12,H226=$F$13,H226=$F$14),SottocategorieUscite[[#Headers],[Casa]],IF(OR(H226=$G$5,H226=$G$6,H226=$G$7,H226=$G$8,H226=$G$9,H226=$G$10,H226=$G$11,H226=$G$12,H226=$G$13,H226=$G$14),SottocategorieUscite[[#Headers],[Utenze]],IF(OR(H226=$H$5,H226=$H$6,H226=$H$7,H226=$H$8,H226=$H$9,H226=$H$10,H226=$H$11,H226=$H$12,H226=$H$13,H226=$H$14),SottocategorieUscite[[#Headers],[Business Uscite]],IF(OR(H226=$I$5,H226=$I$6,H226=$I$7,H226=$I$8,H226=$I$9,H226=$I$10,H226=$I$11,H226=$I$12,H226=$I$13,H226=$I$14),SottocategorieUscite[[#Headers],[Banca]],IF(OR(H226=K$5,H226=K$6,H226=K$7,H226=K$8,H226=K$9,H226=K$10,H226=K$11,H226=K$12,H226=K$13,H226=K$14),SottocategorieEntrate[[#Headers],[Business Entrate]],IF(OR(H226=L$5,H226=L$6,H226=L$7,H226=L$8,H226=L$9,H226=L$10,H226=L$11,H226=L$12,H226=L$13,H226=L$14),SottocategorieEntrate[[#Headers],[Varie Entrate]],IF(OR(H226=M$5,H226=M$6,H226=M$7,H226=M$8,H226=M$9,H226=M$10,H226=M$11,H226=M$12,H226=M$13,H226=M$14),SottocategorieEntrate[[#Headers],[Real Estate]],IF(OR(H226=N$5,H226=N$6,H226=N$7,H226=N$8,H226=N$9,H226=N$10,H226=N$11,H226=N$12,H226=N$13,H226=N$14),SottocategorieEntrate[[#Headers],[Other]],""))))))))))))</f>
        <v/>
      </c>
      <c r="J226" t="str">
        <f>IF(OR(Dati[[#This Row],[Categoria]]="Bollette",Dati[[#This Row],[Categoria]]="Conto &amp; Carte BNL",Dati[[#This Row],[Categoria]]="Prelievo",Dati[[#This Row],[Categoria]]="Affitto",Dati[[#This Row],[Categoria]]="BNL(Interessi Creditori)"),"Carta",IF(Dati[[#This Row],[Categoria]]&lt;&gt;0,"Cash",""))</f>
        <v/>
      </c>
      <c r="K226" s="59" t="str">
        <f>IF(OR(Data!$I226=SottocategorieUscite[[#Headers],[Fuori Casa]],Data!$I226=SottocategorieUscite[[#Headers],[Varie Uscite]],Data!$I226=SottocategorieUscite[[#Headers],[Personali]],Data!$I226=SottocategorieUscite[[#Headers],[Lavoro]]),"$ -","")</f>
        <v/>
      </c>
      <c r="L226" s="59" t="str">
        <f>IF(OR(Data!$I226=SottocategorieUscite[[#Headers],[Casa]],Data!$I226=SottocategorieUscite[[#Headers],[Utenze]],Data!$I226=SottocategorieUscite[[#Headers],[Business Uscite]],Data!$I226=SottocategorieUscite[[#Headers],[Banca]]),"$ -","")</f>
        <v/>
      </c>
      <c r="M226" s="59" t="str">
        <f>IF(OR($I226&lt;&gt;SottocategorieUscite[[#Headers],[Fuori Casa]],$I226&lt;&gt;SottocategorieUscite[[#Headers],[Varie Uscite]],$I226&lt;&gt;SottocategorieUscite[[#Headers],[Personali]],$I226&lt;&gt;SottocategorieUscite[[#Headers],[Lavoro]],$I226&lt;&gt;SottocategorieUscite[[#Headers],[Casa]],$I226&lt;&gt;SottocategorieUscite[[#Headers],[Utenze]],$I226&lt;&gt;SottocategorieUscite[[#Headers],[Business Uscite]],$I226&lt;&gt;SottocategorieUscite[[#Headers],[Banca]]),"","$ -")</f>
        <v/>
      </c>
      <c r="N226" s="59" t="str">
        <f>IF(OR(Data!$I226=SottocategorieEntrate[[#Headers],[Business Entrate]],Data!$I226=SottocategorieEntrate[[#Headers],[Varie Entrate]]),"$ -","")</f>
        <v/>
      </c>
      <c r="O226" s="59" t="str">
        <f>IF(OR(Data!$I226=SottocategorieEntrate[[#Headers],[Real Estate]],SottocategorieEntrate[[#Headers],[Other]]),"$ -","")</f>
        <v/>
      </c>
      <c r="P226" s="59" t="str">
        <f>IF(OR($I226&lt;&gt;SottocategorieEntrate[[#Headers],[Business Entrate]],$I226&lt;&gt;SottocategorieEntrate[[#Headers],[Varie Entrate]],$I226&lt;&gt;SottocategorieEntrate[[#Headers],[Real Estate]],$I226&lt;&gt;SottocategorieEntrate[[#Headers],[Other]]),"","$ -")</f>
        <v/>
      </c>
      <c r="Q226" s="59" t="str">
        <f>IF(Dati[[#This Row],[Categoria]]="Prelievo","€ -","")</f>
        <v/>
      </c>
      <c r="R226" s="244" t="str">
        <f t="shared" ca="1" si="11"/>
        <v/>
      </c>
      <c r="S226" s="59" t="str">
        <f>IF(Dati[[#This Row],[Categoria]]="Savings",0,"")</f>
        <v/>
      </c>
      <c r="T226" s="59"/>
      <c r="U226" s="59"/>
      <c r="V226" s="59"/>
      <c r="W226" s="59"/>
      <c r="X226" s="59"/>
      <c r="Y226" s="59"/>
      <c r="Z226" s="59"/>
      <c r="AA226" s="59"/>
      <c r="AB226" s="59"/>
      <c r="AC226" s="59"/>
      <c r="AD226" s="59"/>
      <c r="AE226" s="59"/>
      <c r="AF226" s="59"/>
      <c r="AG226" s="59"/>
      <c r="AH226" s="59"/>
      <c r="AI226" s="59" t="str">
        <f>IF(SUM(Dati[[#This Row],[Inv. Business]:[Inv. Cryptocurrency]])=0," ",SUM(Dati[[#This Row],[Inv. Business]:[Inv. Cryptocurrency]]))</f>
        <v xml:space="preserve"> </v>
      </c>
      <c r="AJ226" s="59"/>
      <c r="AK226" s="59" t="str">
        <f>IF(SUM(Dati[[#This Row],[Inv. Gold]:[Mutuo]])=0," ",SUM(Dati[[#This Row],[Inv. Gold]:[Mutuo]]))</f>
        <v xml:space="preserve"> </v>
      </c>
      <c r="AL226" s="59"/>
      <c r="AM226" s="59"/>
    </row>
    <row r="227" spans="2:39" ht="16" customHeight="1" x14ac:dyDescent="0.35">
      <c r="B227">
        <f t="shared" si="9"/>
        <v>207</v>
      </c>
      <c r="C227" s="49">
        <f t="shared" si="10"/>
        <v>45133</v>
      </c>
      <c r="D227" s="29">
        <f>DAY(Dati[[#This Row],[Data]])</f>
        <v>26</v>
      </c>
      <c r="E227" s="29" t="str">
        <f>IF(DAY(Data!$C$21:$C$1327)&gt;0,TEXT(Data!$C$21:$C$1327, "mmmm"),"")</f>
        <v>luglio</v>
      </c>
      <c r="F227" s="29" t="str">
        <f>IF(DAY(Data!$C$21:$C$1327)&gt;0,TEXT(Data!$C$21:$C$1327, "aaaa"),"")</f>
        <v>2023</v>
      </c>
      <c r="I227" t="str">
        <f>IF(OR(H227=$B$5,H227=$B$6,H227=$B$7,H227=$B$8,H227=$B$9,H227=$B$10,H227=$B$11,H227=$B$12,H227=$B$13,H227=$B$14),SottocategorieUscite[[#Headers],[Fuori Casa]],IF(OR(H227=$C$5,H227=$C$6,H227=$C$7,H227=$C$8,H227=$C$9,H227=$C$10,H227=$C$11,H227=$C$12,H227=$C$13,H227=$C$14),SottocategorieUscite[[#Headers],[Varie Uscite]],IF(OR(H227=$D$5,H227=$D$6,H227=$D$7,H227=$D$8,H227=$D$9,H227=$D$10,H227=$D$11,H227=$D$12,H227=$D$13,H227=$D$14),SottocategorieUscite[[#Headers],[Personali]],IF(OR(H227=$E$5,H227=$E$6,H227=$E$7,H227=$E$8,H227=$E$9,H227=$E$10,H227=$E$11,H227=$E$12,H227=$E$13,H227=$E$14),SottocategorieUscite[[#Headers],[Lavoro]],IF(OR(H227=$F$5,H227=$F$6,H227=$F$7,H227=$F$8,H227=$F$9,H227=$F$10,H227=$F$11,H227=$F$12,H227=$F$13,H227=$F$14),SottocategorieUscite[[#Headers],[Casa]],IF(OR(H227=$G$5,H227=$G$6,H227=$G$7,H227=$G$8,H227=$G$9,H227=$G$10,H227=$G$11,H227=$G$12,H227=$G$13,H227=$G$14),SottocategorieUscite[[#Headers],[Utenze]],IF(OR(H227=$H$5,H227=$H$6,H227=$H$7,H227=$H$8,H227=$H$9,H227=$H$10,H227=$H$11,H227=$H$12,H227=$H$13,H227=$H$14),SottocategorieUscite[[#Headers],[Business Uscite]],IF(OR(H227=$I$5,H227=$I$6,H227=$I$7,H227=$I$8,H227=$I$9,H227=$I$10,H227=$I$11,H227=$I$12,H227=$I$13,H227=$I$14),SottocategorieUscite[[#Headers],[Banca]],IF(OR(H227=K$5,H227=K$6,H227=K$7,H227=K$8,H227=K$9,H227=K$10,H227=K$11,H227=K$12,H227=K$13,H227=K$14),SottocategorieEntrate[[#Headers],[Business Entrate]],IF(OR(H227=L$5,H227=L$6,H227=L$7,H227=L$8,H227=L$9,H227=L$10,H227=L$11,H227=L$12,H227=L$13,H227=L$14),SottocategorieEntrate[[#Headers],[Varie Entrate]],IF(OR(H227=M$5,H227=M$6,H227=M$7,H227=M$8,H227=M$9,H227=M$10,H227=M$11,H227=M$12,H227=M$13,H227=M$14),SottocategorieEntrate[[#Headers],[Real Estate]],IF(OR(H227=N$5,H227=N$6,H227=N$7,H227=N$8,H227=N$9,H227=N$10,H227=N$11,H227=N$12,H227=N$13,H227=N$14),SottocategorieEntrate[[#Headers],[Other]],""))))))))))))</f>
        <v/>
      </c>
      <c r="J227" t="str">
        <f>IF(OR(Dati[[#This Row],[Categoria]]="Bollette",Dati[[#This Row],[Categoria]]="Conto &amp; Carte BNL",Dati[[#This Row],[Categoria]]="Prelievo",Dati[[#This Row],[Categoria]]="Affitto",Dati[[#This Row],[Categoria]]="BNL(Interessi Creditori)"),"Carta",IF(Dati[[#This Row],[Categoria]]&lt;&gt;0,"Cash",""))</f>
        <v/>
      </c>
      <c r="K227" s="59" t="str">
        <f>IF(OR(Data!$I227=SottocategorieUscite[[#Headers],[Fuori Casa]],Data!$I227=SottocategorieUscite[[#Headers],[Varie Uscite]],Data!$I227=SottocategorieUscite[[#Headers],[Personali]],Data!$I227=SottocategorieUscite[[#Headers],[Lavoro]]),"$ -","")</f>
        <v/>
      </c>
      <c r="L227" s="59" t="str">
        <f>IF(OR(Data!$I227=SottocategorieUscite[[#Headers],[Casa]],Data!$I227=SottocategorieUscite[[#Headers],[Utenze]],Data!$I227=SottocategorieUscite[[#Headers],[Business Uscite]],Data!$I227=SottocategorieUscite[[#Headers],[Banca]]),"$ -","")</f>
        <v/>
      </c>
      <c r="M227" s="59" t="str">
        <f>IF(OR($I227&lt;&gt;SottocategorieUscite[[#Headers],[Fuori Casa]],$I227&lt;&gt;SottocategorieUscite[[#Headers],[Varie Uscite]],$I227&lt;&gt;SottocategorieUscite[[#Headers],[Personali]],$I227&lt;&gt;SottocategorieUscite[[#Headers],[Lavoro]],$I227&lt;&gt;SottocategorieUscite[[#Headers],[Casa]],$I227&lt;&gt;SottocategorieUscite[[#Headers],[Utenze]],$I227&lt;&gt;SottocategorieUscite[[#Headers],[Business Uscite]],$I227&lt;&gt;SottocategorieUscite[[#Headers],[Banca]]),"","$ -")</f>
        <v/>
      </c>
      <c r="N227" s="59" t="str">
        <f>IF(OR(Data!$I227=SottocategorieEntrate[[#Headers],[Business Entrate]],Data!$I227=SottocategorieEntrate[[#Headers],[Varie Entrate]]),"$ -","")</f>
        <v/>
      </c>
      <c r="O227" s="59" t="str">
        <f>IF(OR(Data!$I227=SottocategorieEntrate[[#Headers],[Real Estate]],SottocategorieEntrate[[#Headers],[Other]]),"$ -","")</f>
        <v/>
      </c>
      <c r="P227" s="59" t="str">
        <f>IF(OR($I227&lt;&gt;SottocategorieEntrate[[#Headers],[Business Entrate]],$I227&lt;&gt;SottocategorieEntrate[[#Headers],[Varie Entrate]],$I227&lt;&gt;SottocategorieEntrate[[#Headers],[Real Estate]],$I227&lt;&gt;SottocategorieEntrate[[#Headers],[Other]]),"","$ -")</f>
        <v/>
      </c>
      <c r="Q227" s="59" t="str">
        <f>IF(Dati[[#This Row],[Categoria]]="Prelievo","€ -","")</f>
        <v/>
      </c>
      <c r="R227" s="244" t="str">
        <f t="shared" ca="1" si="11"/>
        <v/>
      </c>
      <c r="S227" s="59" t="str">
        <f>IF(Dati[[#This Row],[Categoria]]="Savings",0,"")</f>
        <v/>
      </c>
      <c r="T227" s="59"/>
      <c r="U227" s="59"/>
      <c r="V227" s="59"/>
      <c r="W227" s="59"/>
      <c r="X227" s="59"/>
      <c r="Y227" s="59"/>
      <c r="Z227" s="59"/>
      <c r="AA227" s="59"/>
      <c r="AB227" s="59"/>
      <c r="AC227" s="59"/>
      <c r="AD227" s="59"/>
      <c r="AE227" s="59"/>
      <c r="AF227" s="59"/>
      <c r="AG227" s="59"/>
      <c r="AH227" s="59"/>
      <c r="AI227" s="59" t="str">
        <f>IF(SUM(Dati[[#This Row],[Inv. Business]:[Inv. Cryptocurrency]])=0," ",SUM(Dati[[#This Row],[Inv. Business]:[Inv. Cryptocurrency]]))</f>
        <v xml:space="preserve"> </v>
      </c>
      <c r="AJ227" s="59"/>
      <c r="AK227" s="59" t="str">
        <f>IF(SUM(Dati[[#This Row],[Inv. Gold]:[Mutuo]])=0," ",SUM(Dati[[#This Row],[Inv. Gold]:[Mutuo]]))</f>
        <v xml:space="preserve"> </v>
      </c>
      <c r="AL227" s="59"/>
      <c r="AM227" s="59"/>
    </row>
    <row r="228" spans="2:39" ht="16" customHeight="1" x14ac:dyDescent="0.35">
      <c r="B228">
        <f t="shared" si="9"/>
        <v>208</v>
      </c>
      <c r="C228" s="49">
        <f t="shared" si="10"/>
        <v>45134</v>
      </c>
      <c r="D228" s="29">
        <f>DAY(Dati[[#This Row],[Data]])</f>
        <v>27</v>
      </c>
      <c r="E228" s="29" t="str">
        <f>IF(DAY(Data!$C$21:$C$1327)&gt;0,TEXT(Data!$C$21:$C$1327, "mmmm"),"")</f>
        <v>luglio</v>
      </c>
      <c r="F228" s="29" t="str">
        <f>IF(DAY(Data!$C$21:$C$1327)&gt;0,TEXT(Data!$C$21:$C$1327, "aaaa"),"")</f>
        <v>2023</v>
      </c>
      <c r="I228" t="str">
        <f>IF(OR(H228=$B$5,H228=$B$6,H228=$B$7,H228=$B$8,H228=$B$9,H228=$B$10,H228=$B$11,H228=$B$12,H228=$B$13,H228=$B$14),SottocategorieUscite[[#Headers],[Fuori Casa]],IF(OR(H228=$C$5,H228=$C$6,H228=$C$7,H228=$C$8,H228=$C$9,H228=$C$10,H228=$C$11,H228=$C$12,H228=$C$13,H228=$C$14),SottocategorieUscite[[#Headers],[Varie Uscite]],IF(OR(H228=$D$5,H228=$D$6,H228=$D$7,H228=$D$8,H228=$D$9,H228=$D$10,H228=$D$11,H228=$D$12,H228=$D$13,H228=$D$14),SottocategorieUscite[[#Headers],[Personali]],IF(OR(H228=$E$5,H228=$E$6,H228=$E$7,H228=$E$8,H228=$E$9,H228=$E$10,H228=$E$11,H228=$E$12,H228=$E$13,H228=$E$14),SottocategorieUscite[[#Headers],[Lavoro]],IF(OR(H228=$F$5,H228=$F$6,H228=$F$7,H228=$F$8,H228=$F$9,H228=$F$10,H228=$F$11,H228=$F$12,H228=$F$13,H228=$F$14),SottocategorieUscite[[#Headers],[Casa]],IF(OR(H228=$G$5,H228=$G$6,H228=$G$7,H228=$G$8,H228=$G$9,H228=$G$10,H228=$G$11,H228=$G$12,H228=$G$13,H228=$G$14),SottocategorieUscite[[#Headers],[Utenze]],IF(OR(H228=$H$5,H228=$H$6,H228=$H$7,H228=$H$8,H228=$H$9,H228=$H$10,H228=$H$11,H228=$H$12,H228=$H$13,H228=$H$14),SottocategorieUscite[[#Headers],[Business Uscite]],IF(OR(H228=$I$5,H228=$I$6,H228=$I$7,H228=$I$8,H228=$I$9,H228=$I$10,H228=$I$11,H228=$I$12,H228=$I$13,H228=$I$14),SottocategorieUscite[[#Headers],[Banca]],IF(OR(H228=K$5,H228=K$6,H228=K$7,H228=K$8,H228=K$9,H228=K$10,H228=K$11,H228=K$12,H228=K$13,H228=K$14),SottocategorieEntrate[[#Headers],[Business Entrate]],IF(OR(H228=L$5,H228=L$6,H228=L$7,H228=L$8,H228=L$9,H228=L$10,H228=L$11,H228=L$12,H228=L$13,H228=L$14),SottocategorieEntrate[[#Headers],[Varie Entrate]],IF(OR(H228=M$5,H228=M$6,H228=M$7,H228=M$8,H228=M$9,H228=M$10,H228=M$11,H228=M$12,H228=M$13,H228=M$14),SottocategorieEntrate[[#Headers],[Real Estate]],IF(OR(H228=N$5,H228=N$6,H228=N$7,H228=N$8,H228=N$9,H228=N$10,H228=N$11,H228=N$12,H228=N$13,H228=N$14),SottocategorieEntrate[[#Headers],[Other]],""))))))))))))</f>
        <v/>
      </c>
      <c r="J228" t="str">
        <f>IF(OR(Dati[[#This Row],[Categoria]]="Bollette",Dati[[#This Row],[Categoria]]="Conto &amp; Carte BNL",Dati[[#This Row],[Categoria]]="Prelievo",Dati[[#This Row],[Categoria]]="Affitto",Dati[[#This Row],[Categoria]]="BNL(Interessi Creditori)"),"Carta",IF(Dati[[#This Row],[Categoria]]&lt;&gt;0,"Cash",""))</f>
        <v/>
      </c>
      <c r="K228" s="59" t="str">
        <f>IF(OR(Data!$I228=SottocategorieUscite[[#Headers],[Fuori Casa]],Data!$I228=SottocategorieUscite[[#Headers],[Varie Uscite]],Data!$I228=SottocategorieUscite[[#Headers],[Personali]],Data!$I228=SottocategorieUscite[[#Headers],[Lavoro]]),"$ -","")</f>
        <v/>
      </c>
      <c r="L228" s="59" t="str">
        <f>IF(OR(Data!$I228=SottocategorieUscite[[#Headers],[Casa]],Data!$I228=SottocategorieUscite[[#Headers],[Utenze]],Data!$I228=SottocategorieUscite[[#Headers],[Business Uscite]],Data!$I228=SottocategorieUscite[[#Headers],[Banca]]),"$ -","")</f>
        <v/>
      </c>
      <c r="M228" s="59" t="str">
        <f>IF(OR($I228&lt;&gt;SottocategorieUscite[[#Headers],[Fuori Casa]],$I228&lt;&gt;SottocategorieUscite[[#Headers],[Varie Uscite]],$I228&lt;&gt;SottocategorieUscite[[#Headers],[Personali]],$I228&lt;&gt;SottocategorieUscite[[#Headers],[Lavoro]],$I228&lt;&gt;SottocategorieUscite[[#Headers],[Casa]],$I228&lt;&gt;SottocategorieUscite[[#Headers],[Utenze]],$I228&lt;&gt;SottocategorieUscite[[#Headers],[Business Uscite]],$I228&lt;&gt;SottocategorieUscite[[#Headers],[Banca]]),"","$ -")</f>
        <v/>
      </c>
      <c r="N228" s="59" t="str">
        <f>IF(OR(Data!$I228=SottocategorieEntrate[[#Headers],[Business Entrate]],Data!$I228=SottocategorieEntrate[[#Headers],[Varie Entrate]]),"$ -","")</f>
        <v/>
      </c>
      <c r="O228" s="59" t="str">
        <f>IF(OR(Data!$I228=SottocategorieEntrate[[#Headers],[Real Estate]],SottocategorieEntrate[[#Headers],[Other]]),"$ -","")</f>
        <v/>
      </c>
      <c r="P228" s="59" t="str">
        <f>IF(OR($I228&lt;&gt;SottocategorieEntrate[[#Headers],[Business Entrate]],$I228&lt;&gt;SottocategorieEntrate[[#Headers],[Varie Entrate]],$I228&lt;&gt;SottocategorieEntrate[[#Headers],[Real Estate]],$I228&lt;&gt;SottocategorieEntrate[[#Headers],[Other]]),"","$ -")</f>
        <v/>
      </c>
      <c r="Q228" s="59" t="str">
        <f>IF(Dati[[#This Row],[Categoria]]="Prelievo","€ -","")</f>
        <v/>
      </c>
      <c r="R228" s="244" t="str">
        <f t="shared" ca="1" si="11"/>
        <v/>
      </c>
      <c r="S228" s="59" t="str">
        <f>IF(Dati[[#This Row],[Categoria]]="Savings",0,"")</f>
        <v/>
      </c>
      <c r="T228" s="59"/>
      <c r="U228" s="59"/>
      <c r="V228" s="59"/>
      <c r="W228" s="59"/>
      <c r="X228" s="59"/>
      <c r="Y228" s="59"/>
      <c r="Z228" s="59"/>
      <c r="AA228" s="59"/>
      <c r="AB228" s="59"/>
      <c r="AC228" s="59"/>
      <c r="AD228" s="59"/>
      <c r="AE228" s="59"/>
      <c r="AF228" s="59"/>
      <c r="AG228" s="59"/>
      <c r="AH228" s="59"/>
      <c r="AI228" s="59" t="str">
        <f>IF(SUM(Dati[[#This Row],[Inv. Business]:[Inv. Cryptocurrency]])=0," ",SUM(Dati[[#This Row],[Inv. Business]:[Inv. Cryptocurrency]]))</f>
        <v xml:space="preserve"> </v>
      </c>
      <c r="AJ228" s="59"/>
      <c r="AK228" s="59" t="str">
        <f>IF(SUM(Dati[[#This Row],[Inv. Gold]:[Mutuo]])=0," ",SUM(Dati[[#This Row],[Inv. Gold]:[Mutuo]]))</f>
        <v xml:space="preserve"> </v>
      </c>
      <c r="AL228" s="59"/>
      <c r="AM228" s="59"/>
    </row>
    <row r="229" spans="2:39" ht="16" customHeight="1" x14ac:dyDescent="0.35">
      <c r="B229">
        <f t="shared" si="9"/>
        <v>209</v>
      </c>
      <c r="C229" s="49">
        <f t="shared" si="10"/>
        <v>45135</v>
      </c>
      <c r="D229" s="29">
        <f>DAY(Dati[[#This Row],[Data]])</f>
        <v>28</v>
      </c>
      <c r="E229" s="29" t="str">
        <f>IF(DAY(Data!$C$21:$C$1327)&gt;0,TEXT(Data!$C$21:$C$1327, "mmmm"),"")</f>
        <v>luglio</v>
      </c>
      <c r="F229" s="29" t="str">
        <f>IF(DAY(Data!$C$21:$C$1327)&gt;0,TEXT(Data!$C$21:$C$1327, "aaaa"),"")</f>
        <v>2023</v>
      </c>
      <c r="I229" t="str">
        <f>IF(OR(H229=$B$5,H229=$B$6,H229=$B$7,H229=$B$8,H229=$B$9,H229=$B$10,H229=$B$11,H229=$B$12,H229=$B$13,H229=$B$14),SottocategorieUscite[[#Headers],[Fuori Casa]],IF(OR(H229=$C$5,H229=$C$6,H229=$C$7,H229=$C$8,H229=$C$9,H229=$C$10,H229=$C$11,H229=$C$12,H229=$C$13,H229=$C$14),SottocategorieUscite[[#Headers],[Varie Uscite]],IF(OR(H229=$D$5,H229=$D$6,H229=$D$7,H229=$D$8,H229=$D$9,H229=$D$10,H229=$D$11,H229=$D$12,H229=$D$13,H229=$D$14),SottocategorieUscite[[#Headers],[Personali]],IF(OR(H229=$E$5,H229=$E$6,H229=$E$7,H229=$E$8,H229=$E$9,H229=$E$10,H229=$E$11,H229=$E$12,H229=$E$13,H229=$E$14),SottocategorieUscite[[#Headers],[Lavoro]],IF(OR(H229=$F$5,H229=$F$6,H229=$F$7,H229=$F$8,H229=$F$9,H229=$F$10,H229=$F$11,H229=$F$12,H229=$F$13,H229=$F$14),SottocategorieUscite[[#Headers],[Casa]],IF(OR(H229=$G$5,H229=$G$6,H229=$G$7,H229=$G$8,H229=$G$9,H229=$G$10,H229=$G$11,H229=$G$12,H229=$G$13,H229=$G$14),SottocategorieUscite[[#Headers],[Utenze]],IF(OR(H229=$H$5,H229=$H$6,H229=$H$7,H229=$H$8,H229=$H$9,H229=$H$10,H229=$H$11,H229=$H$12,H229=$H$13,H229=$H$14),SottocategorieUscite[[#Headers],[Business Uscite]],IF(OR(H229=$I$5,H229=$I$6,H229=$I$7,H229=$I$8,H229=$I$9,H229=$I$10,H229=$I$11,H229=$I$12,H229=$I$13,H229=$I$14),SottocategorieUscite[[#Headers],[Banca]],IF(OR(H229=K$5,H229=K$6,H229=K$7,H229=K$8,H229=K$9,H229=K$10,H229=K$11,H229=K$12,H229=K$13,H229=K$14),SottocategorieEntrate[[#Headers],[Business Entrate]],IF(OR(H229=L$5,H229=L$6,H229=L$7,H229=L$8,H229=L$9,H229=L$10,H229=L$11,H229=L$12,H229=L$13,H229=L$14),SottocategorieEntrate[[#Headers],[Varie Entrate]],IF(OR(H229=M$5,H229=M$6,H229=M$7,H229=M$8,H229=M$9,H229=M$10,H229=M$11,H229=M$12,H229=M$13,H229=M$14),SottocategorieEntrate[[#Headers],[Real Estate]],IF(OR(H229=N$5,H229=N$6,H229=N$7,H229=N$8,H229=N$9,H229=N$10,H229=N$11,H229=N$12,H229=N$13,H229=N$14),SottocategorieEntrate[[#Headers],[Other]],""))))))))))))</f>
        <v/>
      </c>
      <c r="J229" t="str">
        <f>IF(OR(Dati[[#This Row],[Categoria]]="Bollette",Dati[[#This Row],[Categoria]]="Conto &amp; Carte BNL",Dati[[#This Row],[Categoria]]="Prelievo",Dati[[#This Row],[Categoria]]="Affitto",Dati[[#This Row],[Categoria]]="BNL(Interessi Creditori)"),"Carta",IF(Dati[[#This Row],[Categoria]]&lt;&gt;0,"Cash",""))</f>
        <v/>
      </c>
      <c r="K229" s="59" t="str">
        <f>IF(OR(Data!$I229=SottocategorieUscite[[#Headers],[Fuori Casa]],Data!$I229=SottocategorieUscite[[#Headers],[Varie Uscite]],Data!$I229=SottocategorieUscite[[#Headers],[Personali]],Data!$I229=SottocategorieUscite[[#Headers],[Lavoro]]),"$ -","")</f>
        <v/>
      </c>
      <c r="L229" s="59" t="str">
        <f>IF(OR(Data!$I229=SottocategorieUscite[[#Headers],[Casa]],Data!$I229=SottocategorieUscite[[#Headers],[Utenze]],Data!$I229=SottocategorieUscite[[#Headers],[Business Uscite]],Data!$I229=SottocategorieUscite[[#Headers],[Banca]]),"$ -","")</f>
        <v/>
      </c>
      <c r="M229" s="59" t="str">
        <f>IF(OR($I229&lt;&gt;SottocategorieUscite[[#Headers],[Fuori Casa]],$I229&lt;&gt;SottocategorieUscite[[#Headers],[Varie Uscite]],$I229&lt;&gt;SottocategorieUscite[[#Headers],[Personali]],$I229&lt;&gt;SottocategorieUscite[[#Headers],[Lavoro]],$I229&lt;&gt;SottocategorieUscite[[#Headers],[Casa]],$I229&lt;&gt;SottocategorieUscite[[#Headers],[Utenze]],$I229&lt;&gt;SottocategorieUscite[[#Headers],[Business Uscite]],$I229&lt;&gt;SottocategorieUscite[[#Headers],[Banca]]),"","$ -")</f>
        <v/>
      </c>
      <c r="N229" s="59" t="str">
        <f>IF(OR(Data!$I229=SottocategorieEntrate[[#Headers],[Business Entrate]],Data!$I229=SottocategorieEntrate[[#Headers],[Varie Entrate]]),"$ -","")</f>
        <v/>
      </c>
      <c r="O229" s="59" t="str">
        <f>IF(OR(Data!$I229=SottocategorieEntrate[[#Headers],[Real Estate]],SottocategorieEntrate[[#Headers],[Other]]),"$ -","")</f>
        <v/>
      </c>
      <c r="P229" s="59" t="str">
        <f>IF(OR($I229&lt;&gt;SottocategorieEntrate[[#Headers],[Business Entrate]],$I229&lt;&gt;SottocategorieEntrate[[#Headers],[Varie Entrate]],$I229&lt;&gt;SottocategorieEntrate[[#Headers],[Real Estate]],$I229&lt;&gt;SottocategorieEntrate[[#Headers],[Other]]),"","$ -")</f>
        <v/>
      </c>
      <c r="Q229" s="59" t="str">
        <f>IF(Dati[[#This Row],[Categoria]]="Prelievo","€ -","")</f>
        <v/>
      </c>
      <c r="R229" s="244" t="str">
        <f t="shared" ca="1" si="11"/>
        <v/>
      </c>
      <c r="S229" s="59" t="str">
        <f>IF(Dati[[#This Row],[Categoria]]="Savings",0,"")</f>
        <v/>
      </c>
      <c r="T229" s="59"/>
      <c r="U229" s="59"/>
      <c r="V229" s="59"/>
      <c r="W229" s="59"/>
      <c r="X229" s="59"/>
      <c r="Y229" s="59"/>
      <c r="Z229" s="59"/>
      <c r="AA229" s="59"/>
      <c r="AB229" s="59"/>
      <c r="AC229" s="59"/>
      <c r="AD229" s="59"/>
      <c r="AE229" s="59"/>
      <c r="AF229" s="59"/>
      <c r="AG229" s="59"/>
      <c r="AH229" s="59"/>
      <c r="AI229" s="59" t="str">
        <f>IF(SUM(Dati[[#This Row],[Inv. Business]:[Inv. Cryptocurrency]])=0," ",SUM(Dati[[#This Row],[Inv. Business]:[Inv. Cryptocurrency]]))</f>
        <v xml:space="preserve"> </v>
      </c>
      <c r="AJ229" s="59"/>
      <c r="AK229" s="59" t="str">
        <f>IF(SUM(Dati[[#This Row],[Inv. Gold]:[Mutuo]])=0," ",SUM(Dati[[#This Row],[Inv. Gold]:[Mutuo]]))</f>
        <v xml:space="preserve"> </v>
      </c>
      <c r="AL229" s="59"/>
      <c r="AM229" s="59"/>
    </row>
    <row r="230" spans="2:39" ht="16" customHeight="1" x14ac:dyDescent="0.35">
      <c r="B230">
        <f t="shared" si="9"/>
        <v>210</v>
      </c>
      <c r="C230" s="49">
        <f t="shared" si="10"/>
        <v>45136</v>
      </c>
      <c r="D230" s="29">
        <f>DAY(Dati[[#This Row],[Data]])</f>
        <v>29</v>
      </c>
      <c r="E230" s="29" t="str">
        <f>IF(DAY(Data!$C$21:$C$1327)&gt;0,TEXT(Data!$C$21:$C$1327, "mmmm"),"")</f>
        <v>luglio</v>
      </c>
      <c r="F230" s="29" t="str">
        <f>IF(DAY(Data!$C$21:$C$1327)&gt;0,TEXT(Data!$C$21:$C$1327, "aaaa"),"")</f>
        <v>2023</v>
      </c>
      <c r="I230" t="str">
        <f>IF(OR(H230=$B$5,H230=$B$6,H230=$B$7,H230=$B$8,H230=$B$9,H230=$B$10,H230=$B$11,H230=$B$12,H230=$B$13,H230=$B$14),SottocategorieUscite[[#Headers],[Fuori Casa]],IF(OR(H230=$C$5,H230=$C$6,H230=$C$7,H230=$C$8,H230=$C$9,H230=$C$10,H230=$C$11,H230=$C$12,H230=$C$13,H230=$C$14),SottocategorieUscite[[#Headers],[Varie Uscite]],IF(OR(H230=$D$5,H230=$D$6,H230=$D$7,H230=$D$8,H230=$D$9,H230=$D$10,H230=$D$11,H230=$D$12,H230=$D$13,H230=$D$14),SottocategorieUscite[[#Headers],[Personali]],IF(OR(H230=$E$5,H230=$E$6,H230=$E$7,H230=$E$8,H230=$E$9,H230=$E$10,H230=$E$11,H230=$E$12,H230=$E$13,H230=$E$14),SottocategorieUscite[[#Headers],[Lavoro]],IF(OR(H230=$F$5,H230=$F$6,H230=$F$7,H230=$F$8,H230=$F$9,H230=$F$10,H230=$F$11,H230=$F$12,H230=$F$13,H230=$F$14),SottocategorieUscite[[#Headers],[Casa]],IF(OR(H230=$G$5,H230=$G$6,H230=$G$7,H230=$G$8,H230=$G$9,H230=$G$10,H230=$G$11,H230=$G$12,H230=$G$13,H230=$G$14),SottocategorieUscite[[#Headers],[Utenze]],IF(OR(H230=$H$5,H230=$H$6,H230=$H$7,H230=$H$8,H230=$H$9,H230=$H$10,H230=$H$11,H230=$H$12,H230=$H$13,H230=$H$14),SottocategorieUscite[[#Headers],[Business Uscite]],IF(OR(H230=$I$5,H230=$I$6,H230=$I$7,H230=$I$8,H230=$I$9,H230=$I$10,H230=$I$11,H230=$I$12,H230=$I$13,H230=$I$14),SottocategorieUscite[[#Headers],[Banca]],IF(OR(H230=K$5,H230=K$6,H230=K$7,H230=K$8,H230=K$9,H230=K$10,H230=K$11,H230=K$12,H230=K$13,H230=K$14),SottocategorieEntrate[[#Headers],[Business Entrate]],IF(OR(H230=L$5,H230=L$6,H230=L$7,H230=L$8,H230=L$9,H230=L$10,H230=L$11,H230=L$12,H230=L$13,H230=L$14),SottocategorieEntrate[[#Headers],[Varie Entrate]],IF(OR(H230=M$5,H230=M$6,H230=M$7,H230=M$8,H230=M$9,H230=M$10,H230=M$11,H230=M$12,H230=M$13,H230=M$14),SottocategorieEntrate[[#Headers],[Real Estate]],IF(OR(H230=N$5,H230=N$6,H230=N$7,H230=N$8,H230=N$9,H230=N$10,H230=N$11,H230=N$12,H230=N$13,H230=N$14),SottocategorieEntrate[[#Headers],[Other]],""))))))))))))</f>
        <v/>
      </c>
      <c r="J230" t="str">
        <f>IF(OR(Dati[[#This Row],[Categoria]]="Bollette",Dati[[#This Row],[Categoria]]="Conto &amp; Carte BNL",Dati[[#This Row],[Categoria]]="Prelievo",Dati[[#This Row],[Categoria]]="Affitto",Dati[[#This Row],[Categoria]]="BNL(Interessi Creditori)"),"Carta",IF(Dati[[#This Row],[Categoria]]&lt;&gt;0,"Cash",""))</f>
        <v/>
      </c>
      <c r="K230" s="59" t="str">
        <f>IF(OR(Data!$I230=SottocategorieUscite[[#Headers],[Fuori Casa]],Data!$I230=SottocategorieUscite[[#Headers],[Varie Uscite]],Data!$I230=SottocategorieUscite[[#Headers],[Personali]],Data!$I230=SottocategorieUscite[[#Headers],[Lavoro]]),"$ -","")</f>
        <v/>
      </c>
      <c r="L230" s="59" t="str">
        <f>IF(OR(Data!$I230=SottocategorieUscite[[#Headers],[Casa]],Data!$I230=SottocategorieUscite[[#Headers],[Utenze]],Data!$I230=SottocategorieUscite[[#Headers],[Business Uscite]],Data!$I230=SottocategorieUscite[[#Headers],[Banca]]),"$ -","")</f>
        <v/>
      </c>
      <c r="M230" s="59" t="str">
        <f>IF(OR($I230&lt;&gt;SottocategorieUscite[[#Headers],[Fuori Casa]],$I230&lt;&gt;SottocategorieUscite[[#Headers],[Varie Uscite]],$I230&lt;&gt;SottocategorieUscite[[#Headers],[Personali]],$I230&lt;&gt;SottocategorieUscite[[#Headers],[Lavoro]],$I230&lt;&gt;SottocategorieUscite[[#Headers],[Casa]],$I230&lt;&gt;SottocategorieUscite[[#Headers],[Utenze]],$I230&lt;&gt;SottocategorieUscite[[#Headers],[Business Uscite]],$I230&lt;&gt;SottocategorieUscite[[#Headers],[Banca]]),"","$ -")</f>
        <v/>
      </c>
      <c r="N230" s="59" t="str">
        <f>IF(OR(Data!$I230=SottocategorieEntrate[[#Headers],[Business Entrate]],Data!$I230=SottocategorieEntrate[[#Headers],[Varie Entrate]]),"$ -","")</f>
        <v/>
      </c>
      <c r="O230" s="59" t="str">
        <f>IF(OR(Data!$I230=SottocategorieEntrate[[#Headers],[Real Estate]],SottocategorieEntrate[[#Headers],[Other]]),"$ -","")</f>
        <v/>
      </c>
      <c r="P230" s="59" t="str">
        <f>IF(OR($I230&lt;&gt;SottocategorieEntrate[[#Headers],[Business Entrate]],$I230&lt;&gt;SottocategorieEntrate[[#Headers],[Varie Entrate]],$I230&lt;&gt;SottocategorieEntrate[[#Headers],[Real Estate]],$I230&lt;&gt;SottocategorieEntrate[[#Headers],[Other]]),"","$ -")</f>
        <v/>
      </c>
      <c r="Q230" s="59" t="str">
        <f>IF(Dati[[#This Row],[Categoria]]="Prelievo","€ -","")</f>
        <v/>
      </c>
      <c r="R230" s="244" t="str">
        <f t="shared" ca="1" si="11"/>
        <v/>
      </c>
      <c r="S230" s="59" t="str">
        <f>IF(Dati[[#This Row],[Categoria]]="Savings",0,"")</f>
        <v/>
      </c>
      <c r="T230" s="59"/>
      <c r="U230" s="59"/>
      <c r="V230" s="59"/>
      <c r="W230" s="59"/>
      <c r="X230" s="59"/>
      <c r="Y230" s="59"/>
      <c r="Z230" s="59"/>
      <c r="AA230" s="59"/>
      <c r="AB230" s="59"/>
      <c r="AC230" s="59"/>
      <c r="AD230" s="59"/>
      <c r="AE230" s="59"/>
      <c r="AF230" s="59"/>
      <c r="AG230" s="59"/>
      <c r="AH230" s="59"/>
      <c r="AI230" s="59" t="str">
        <f>IF(SUM(Dati[[#This Row],[Inv. Business]:[Inv. Cryptocurrency]])=0," ",SUM(Dati[[#This Row],[Inv. Business]:[Inv. Cryptocurrency]]))</f>
        <v xml:space="preserve"> </v>
      </c>
      <c r="AJ230" s="59"/>
      <c r="AK230" s="59" t="str">
        <f>IF(SUM(Dati[[#This Row],[Inv. Gold]:[Mutuo]])=0," ",SUM(Dati[[#This Row],[Inv. Gold]:[Mutuo]]))</f>
        <v xml:space="preserve"> </v>
      </c>
      <c r="AL230" s="59"/>
      <c r="AM230" s="59"/>
    </row>
    <row r="231" spans="2:39" ht="16" customHeight="1" x14ac:dyDescent="0.35">
      <c r="B231">
        <f t="shared" si="9"/>
        <v>211</v>
      </c>
      <c r="C231" s="49">
        <f t="shared" si="10"/>
        <v>45137</v>
      </c>
      <c r="D231" s="29">
        <f>DAY(Dati[[#This Row],[Data]])</f>
        <v>30</v>
      </c>
      <c r="E231" s="29" t="str">
        <f>IF(DAY(Data!$C$21:$C$1327)&gt;0,TEXT(Data!$C$21:$C$1327, "mmmm"),"")</f>
        <v>luglio</v>
      </c>
      <c r="F231" s="29" t="str">
        <f>IF(DAY(Data!$C$21:$C$1327)&gt;0,TEXT(Data!$C$21:$C$1327, "aaaa"),"")</f>
        <v>2023</v>
      </c>
      <c r="I231" t="str">
        <f>IF(OR(H231=$B$5,H231=$B$6,H231=$B$7,H231=$B$8,H231=$B$9,H231=$B$10,H231=$B$11,H231=$B$12,H231=$B$13,H231=$B$14),SottocategorieUscite[[#Headers],[Fuori Casa]],IF(OR(H231=$C$5,H231=$C$6,H231=$C$7,H231=$C$8,H231=$C$9,H231=$C$10,H231=$C$11,H231=$C$12,H231=$C$13,H231=$C$14),SottocategorieUscite[[#Headers],[Varie Uscite]],IF(OR(H231=$D$5,H231=$D$6,H231=$D$7,H231=$D$8,H231=$D$9,H231=$D$10,H231=$D$11,H231=$D$12,H231=$D$13,H231=$D$14),SottocategorieUscite[[#Headers],[Personali]],IF(OR(H231=$E$5,H231=$E$6,H231=$E$7,H231=$E$8,H231=$E$9,H231=$E$10,H231=$E$11,H231=$E$12,H231=$E$13,H231=$E$14),SottocategorieUscite[[#Headers],[Lavoro]],IF(OR(H231=$F$5,H231=$F$6,H231=$F$7,H231=$F$8,H231=$F$9,H231=$F$10,H231=$F$11,H231=$F$12,H231=$F$13,H231=$F$14),SottocategorieUscite[[#Headers],[Casa]],IF(OR(H231=$G$5,H231=$G$6,H231=$G$7,H231=$G$8,H231=$G$9,H231=$G$10,H231=$G$11,H231=$G$12,H231=$G$13,H231=$G$14),SottocategorieUscite[[#Headers],[Utenze]],IF(OR(H231=$H$5,H231=$H$6,H231=$H$7,H231=$H$8,H231=$H$9,H231=$H$10,H231=$H$11,H231=$H$12,H231=$H$13,H231=$H$14),SottocategorieUscite[[#Headers],[Business Uscite]],IF(OR(H231=$I$5,H231=$I$6,H231=$I$7,H231=$I$8,H231=$I$9,H231=$I$10,H231=$I$11,H231=$I$12,H231=$I$13,H231=$I$14),SottocategorieUscite[[#Headers],[Banca]],IF(OR(H231=K$5,H231=K$6,H231=K$7,H231=K$8,H231=K$9,H231=K$10,H231=K$11,H231=K$12,H231=K$13,H231=K$14),SottocategorieEntrate[[#Headers],[Business Entrate]],IF(OR(H231=L$5,H231=L$6,H231=L$7,H231=L$8,H231=L$9,H231=L$10,H231=L$11,H231=L$12,H231=L$13,H231=L$14),SottocategorieEntrate[[#Headers],[Varie Entrate]],IF(OR(H231=M$5,H231=M$6,H231=M$7,H231=M$8,H231=M$9,H231=M$10,H231=M$11,H231=M$12,H231=M$13,H231=M$14),SottocategorieEntrate[[#Headers],[Real Estate]],IF(OR(H231=N$5,H231=N$6,H231=N$7,H231=N$8,H231=N$9,H231=N$10,H231=N$11,H231=N$12,H231=N$13,H231=N$14),SottocategorieEntrate[[#Headers],[Other]],""))))))))))))</f>
        <v/>
      </c>
      <c r="J231" t="str">
        <f>IF(OR(Dati[[#This Row],[Categoria]]="Bollette",Dati[[#This Row],[Categoria]]="Conto &amp; Carte BNL",Dati[[#This Row],[Categoria]]="Prelievo",Dati[[#This Row],[Categoria]]="Affitto",Dati[[#This Row],[Categoria]]="BNL(Interessi Creditori)"),"Carta",IF(Dati[[#This Row],[Categoria]]&lt;&gt;0,"Cash",""))</f>
        <v/>
      </c>
      <c r="K231" s="59" t="str">
        <f>IF(OR(Data!$I231=SottocategorieUscite[[#Headers],[Fuori Casa]],Data!$I231=SottocategorieUscite[[#Headers],[Varie Uscite]],Data!$I231=SottocategorieUscite[[#Headers],[Personali]],Data!$I231=SottocategorieUscite[[#Headers],[Lavoro]]),"$ -","")</f>
        <v/>
      </c>
      <c r="L231" s="59" t="str">
        <f>IF(OR(Data!$I231=SottocategorieUscite[[#Headers],[Casa]],Data!$I231=SottocategorieUscite[[#Headers],[Utenze]],Data!$I231=SottocategorieUscite[[#Headers],[Business Uscite]],Data!$I231=SottocategorieUscite[[#Headers],[Banca]]),"$ -","")</f>
        <v/>
      </c>
      <c r="M231" s="59" t="str">
        <f>IF(OR($I231&lt;&gt;SottocategorieUscite[[#Headers],[Fuori Casa]],$I231&lt;&gt;SottocategorieUscite[[#Headers],[Varie Uscite]],$I231&lt;&gt;SottocategorieUscite[[#Headers],[Personali]],$I231&lt;&gt;SottocategorieUscite[[#Headers],[Lavoro]],$I231&lt;&gt;SottocategorieUscite[[#Headers],[Casa]],$I231&lt;&gt;SottocategorieUscite[[#Headers],[Utenze]],$I231&lt;&gt;SottocategorieUscite[[#Headers],[Business Uscite]],$I231&lt;&gt;SottocategorieUscite[[#Headers],[Banca]]),"","$ -")</f>
        <v/>
      </c>
      <c r="N231" s="59" t="str">
        <f>IF(OR(Data!$I231=SottocategorieEntrate[[#Headers],[Business Entrate]],Data!$I231=SottocategorieEntrate[[#Headers],[Varie Entrate]]),"$ -","")</f>
        <v/>
      </c>
      <c r="O231" s="59" t="str">
        <f>IF(OR(Data!$I231=SottocategorieEntrate[[#Headers],[Real Estate]],SottocategorieEntrate[[#Headers],[Other]]),"$ -","")</f>
        <v/>
      </c>
      <c r="P231" s="59" t="str">
        <f>IF(OR($I231&lt;&gt;SottocategorieEntrate[[#Headers],[Business Entrate]],$I231&lt;&gt;SottocategorieEntrate[[#Headers],[Varie Entrate]],$I231&lt;&gt;SottocategorieEntrate[[#Headers],[Real Estate]],$I231&lt;&gt;SottocategorieEntrate[[#Headers],[Other]]),"","$ -")</f>
        <v/>
      </c>
      <c r="Q231" s="59" t="str">
        <f>IF(Dati[[#This Row],[Categoria]]="Prelievo","€ -","")</f>
        <v/>
      </c>
      <c r="R231" s="244" t="str">
        <f t="shared" ca="1" si="11"/>
        <v/>
      </c>
      <c r="S231" s="59" t="str">
        <f>IF(Dati[[#This Row],[Categoria]]="Savings",0,"")</f>
        <v/>
      </c>
      <c r="T231" s="59"/>
      <c r="U231" s="59"/>
      <c r="V231" s="59"/>
      <c r="W231" s="59"/>
      <c r="X231" s="59"/>
      <c r="Y231" s="59"/>
      <c r="Z231" s="59"/>
      <c r="AA231" s="59"/>
      <c r="AB231" s="59"/>
      <c r="AC231" s="59"/>
      <c r="AD231" s="59"/>
      <c r="AE231" s="59"/>
      <c r="AF231" s="59"/>
      <c r="AG231" s="59"/>
      <c r="AH231" s="59"/>
      <c r="AI231" s="59" t="str">
        <f>IF(SUM(Dati[[#This Row],[Inv. Business]:[Inv. Cryptocurrency]])=0," ",SUM(Dati[[#This Row],[Inv. Business]:[Inv. Cryptocurrency]]))</f>
        <v xml:space="preserve"> </v>
      </c>
      <c r="AJ231" s="59"/>
      <c r="AK231" s="59" t="str">
        <f>IF(SUM(Dati[[#This Row],[Inv. Gold]:[Mutuo]])=0," ",SUM(Dati[[#This Row],[Inv. Gold]:[Mutuo]]))</f>
        <v xml:space="preserve"> </v>
      </c>
      <c r="AL231" s="59"/>
      <c r="AM231" s="59"/>
    </row>
    <row r="232" spans="2:39" ht="16" customHeight="1" x14ac:dyDescent="0.35">
      <c r="B232">
        <f t="shared" si="9"/>
        <v>212</v>
      </c>
      <c r="C232" s="49">
        <f t="shared" si="10"/>
        <v>45138</v>
      </c>
      <c r="D232" s="29">
        <f>DAY(Dati[[#This Row],[Data]])</f>
        <v>31</v>
      </c>
      <c r="E232" s="29" t="str">
        <f>IF(DAY(Data!$C$21:$C$1327)&gt;0,TEXT(Data!$C$21:$C$1327, "mmmm"),"")</f>
        <v>luglio</v>
      </c>
      <c r="F232" s="29" t="str">
        <f>IF(DAY(Data!$C$21:$C$1327)&gt;0,TEXT(Data!$C$21:$C$1327, "aaaa"),"")</f>
        <v>2023</v>
      </c>
      <c r="I232" t="str">
        <f>IF(OR(H232=$B$5,H232=$B$6,H232=$B$7,H232=$B$8,H232=$B$9,H232=$B$10,H232=$B$11,H232=$B$12,H232=$B$13,H232=$B$14),SottocategorieUscite[[#Headers],[Fuori Casa]],IF(OR(H232=$C$5,H232=$C$6,H232=$C$7,H232=$C$8,H232=$C$9,H232=$C$10,H232=$C$11,H232=$C$12,H232=$C$13,H232=$C$14),SottocategorieUscite[[#Headers],[Varie Uscite]],IF(OR(H232=$D$5,H232=$D$6,H232=$D$7,H232=$D$8,H232=$D$9,H232=$D$10,H232=$D$11,H232=$D$12,H232=$D$13,H232=$D$14),SottocategorieUscite[[#Headers],[Personali]],IF(OR(H232=$E$5,H232=$E$6,H232=$E$7,H232=$E$8,H232=$E$9,H232=$E$10,H232=$E$11,H232=$E$12,H232=$E$13,H232=$E$14),SottocategorieUscite[[#Headers],[Lavoro]],IF(OR(H232=$F$5,H232=$F$6,H232=$F$7,H232=$F$8,H232=$F$9,H232=$F$10,H232=$F$11,H232=$F$12,H232=$F$13,H232=$F$14),SottocategorieUscite[[#Headers],[Casa]],IF(OR(H232=$G$5,H232=$G$6,H232=$G$7,H232=$G$8,H232=$G$9,H232=$G$10,H232=$G$11,H232=$G$12,H232=$G$13,H232=$G$14),SottocategorieUscite[[#Headers],[Utenze]],IF(OR(H232=$H$5,H232=$H$6,H232=$H$7,H232=$H$8,H232=$H$9,H232=$H$10,H232=$H$11,H232=$H$12,H232=$H$13,H232=$H$14),SottocategorieUscite[[#Headers],[Business Uscite]],IF(OR(H232=$I$5,H232=$I$6,H232=$I$7,H232=$I$8,H232=$I$9,H232=$I$10,H232=$I$11,H232=$I$12,H232=$I$13,H232=$I$14),SottocategorieUscite[[#Headers],[Banca]],IF(OR(H232=K$5,H232=K$6,H232=K$7,H232=K$8,H232=K$9,H232=K$10,H232=K$11,H232=K$12,H232=K$13,H232=K$14),SottocategorieEntrate[[#Headers],[Business Entrate]],IF(OR(H232=L$5,H232=L$6,H232=L$7,H232=L$8,H232=L$9,H232=L$10,H232=L$11,H232=L$12,H232=L$13,H232=L$14),SottocategorieEntrate[[#Headers],[Varie Entrate]],IF(OR(H232=M$5,H232=M$6,H232=M$7,H232=M$8,H232=M$9,H232=M$10,H232=M$11,H232=M$12,H232=M$13,H232=M$14),SottocategorieEntrate[[#Headers],[Real Estate]],IF(OR(H232=N$5,H232=N$6,H232=N$7,H232=N$8,H232=N$9,H232=N$10,H232=N$11,H232=N$12,H232=N$13,H232=N$14),SottocategorieEntrate[[#Headers],[Other]],""))))))))))))</f>
        <v/>
      </c>
      <c r="J232" t="str">
        <f>IF(OR(Dati[[#This Row],[Categoria]]="Bollette",Dati[[#This Row],[Categoria]]="Conto &amp; Carte BNL",Dati[[#This Row],[Categoria]]="Prelievo",Dati[[#This Row],[Categoria]]="Affitto",Dati[[#This Row],[Categoria]]="BNL(Interessi Creditori)"),"Carta",IF(Dati[[#This Row],[Categoria]]&lt;&gt;0,"Cash",""))</f>
        <v/>
      </c>
      <c r="K232" s="59" t="str">
        <f>IF(OR(Data!$I232=SottocategorieUscite[[#Headers],[Fuori Casa]],Data!$I232=SottocategorieUscite[[#Headers],[Varie Uscite]],Data!$I232=SottocategorieUscite[[#Headers],[Personali]],Data!$I232=SottocategorieUscite[[#Headers],[Lavoro]]),"$ -","")</f>
        <v/>
      </c>
      <c r="L232" s="59" t="str">
        <f>IF(OR(Data!$I232=SottocategorieUscite[[#Headers],[Casa]],Data!$I232=SottocategorieUscite[[#Headers],[Utenze]],Data!$I232=SottocategorieUscite[[#Headers],[Business Uscite]],Data!$I232=SottocategorieUscite[[#Headers],[Banca]]),"$ -","")</f>
        <v/>
      </c>
      <c r="M232" s="59" t="str">
        <f>IF(OR($I232&lt;&gt;SottocategorieUscite[[#Headers],[Fuori Casa]],$I232&lt;&gt;SottocategorieUscite[[#Headers],[Varie Uscite]],$I232&lt;&gt;SottocategorieUscite[[#Headers],[Personali]],$I232&lt;&gt;SottocategorieUscite[[#Headers],[Lavoro]],$I232&lt;&gt;SottocategorieUscite[[#Headers],[Casa]],$I232&lt;&gt;SottocategorieUscite[[#Headers],[Utenze]],$I232&lt;&gt;SottocategorieUscite[[#Headers],[Business Uscite]],$I232&lt;&gt;SottocategorieUscite[[#Headers],[Banca]]),"","$ -")</f>
        <v/>
      </c>
      <c r="N232" s="59" t="str">
        <f>IF(OR(Data!$I232=SottocategorieEntrate[[#Headers],[Business Entrate]],Data!$I232=SottocategorieEntrate[[#Headers],[Varie Entrate]]),"$ -","")</f>
        <v/>
      </c>
      <c r="O232" s="59" t="str">
        <f>IF(OR(Data!$I232=SottocategorieEntrate[[#Headers],[Real Estate]],SottocategorieEntrate[[#Headers],[Other]]),"$ -","")</f>
        <v/>
      </c>
      <c r="P232" s="59" t="str">
        <f>IF(OR($I232&lt;&gt;SottocategorieEntrate[[#Headers],[Business Entrate]],$I232&lt;&gt;SottocategorieEntrate[[#Headers],[Varie Entrate]],$I232&lt;&gt;SottocategorieEntrate[[#Headers],[Real Estate]],$I232&lt;&gt;SottocategorieEntrate[[#Headers],[Other]]),"","$ -")</f>
        <v/>
      </c>
      <c r="Q232" s="59" t="str">
        <f>IF(Dati[[#This Row],[Categoria]]="Prelievo","€ -","")</f>
        <v/>
      </c>
      <c r="R232" s="244" t="str">
        <f t="shared" ca="1" si="11"/>
        <v/>
      </c>
      <c r="S232" s="59" t="str">
        <f>IF(Dati[[#This Row],[Categoria]]="Savings",0,"")</f>
        <v/>
      </c>
      <c r="T232" s="59"/>
      <c r="U232" s="59"/>
      <c r="V232" s="59"/>
      <c r="W232" s="59"/>
      <c r="X232" s="59"/>
      <c r="Y232" s="59"/>
      <c r="Z232" s="59"/>
      <c r="AA232" s="59"/>
      <c r="AB232" s="59"/>
      <c r="AC232" s="59"/>
      <c r="AD232" s="59"/>
      <c r="AE232" s="59"/>
      <c r="AF232" s="59"/>
      <c r="AG232" s="59"/>
      <c r="AH232" s="59"/>
      <c r="AI232" s="59" t="str">
        <f>IF(SUM(Dati[[#This Row],[Inv. Business]:[Inv. Cryptocurrency]])=0," ",SUM(Dati[[#This Row],[Inv. Business]:[Inv. Cryptocurrency]]))</f>
        <v xml:space="preserve"> </v>
      </c>
      <c r="AJ232" s="59"/>
      <c r="AK232" s="59" t="str">
        <f>IF(SUM(Dati[[#This Row],[Inv. Gold]:[Mutuo]])=0," ",SUM(Dati[[#This Row],[Inv. Gold]:[Mutuo]]))</f>
        <v xml:space="preserve"> </v>
      </c>
      <c r="AL232" s="59"/>
      <c r="AM232" s="59"/>
    </row>
    <row r="233" spans="2:39" ht="16" customHeight="1" x14ac:dyDescent="0.35">
      <c r="B233">
        <f t="shared" si="9"/>
        <v>213</v>
      </c>
      <c r="C233" s="49">
        <f t="shared" si="10"/>
        <v>45139</v>
      </c>
      <c r="D233" s="29">
        <f>DAY(Dati[[#This Row],[Data]])</f>
        <v>1</v>
      </c>
      <c r="E233" s="29" t="str">
        <f>IF(DAY(Data!$C$21:$C$1327)&gt;0,TEXT(Data!$C$21:$C$1327, "mmmm"),"")</f>
        <v>agosto</v>
      </c>
      <c r="F233" s="29" t="str">
        <f>IF(DAY(Data!$C$21:$C$1327)&gt;0,TEXT(Data!$C$21:$C$1327, "aaaa"),"")</f>
        <v>2023</v>
      </c>
      <c r="I233" t="str">
        <f>IF(OR(H233=$B$5,H233=$B$6,H233=$B$7,H233=$B$8,H233=$B$9,H233=$B$10,H233=$B$11,H233=$B$12,H233=$B$13,H233=$B$14),SottocategorieUscite[[#Headers],[Fuori Casa]],IF(OR(H233=$C$5,H233=$C$6,H233=$C$7,H233=$C$8,H233=$C$9,H233=$C$10,H233=$C$11,H233=$C$12,H233=$C$13,H233=$C$14),SottocategorieUscite[[#Headers],[Varie Uscite]],IF(OR(H233=$D$5,H233=$D$6,H233=$D$7,H233=$D$8,H233=$D$9,H233=$D$10,H233=$D$11,H233=$D$12,H233=$D$13,H233=$D$14),SottocategorieUscite[[#Headers],[Personali]],IF(OR(H233=$E$5,H233=$E$6,H233=$E$7,H233=$E$8,H233=$E$9,H233=$E$10,H233=$E$11,H233=$E$12,H233=$E$13,H233=$E$14),SottocategorieUscite[[#Headers],[Lavoro]],IF(OR(H233=$F$5,H233=$F$6,H233=$F$7,H233=$F$8,H233=$F$9,H233=$F$10,H233=$F$11,H233=$F$12,H233=$F$13,H233=$F$14),SottocategorieUscite[[#Headers],[Casa]],IF(OR(H233=$G$5,H233=$G$6,H233=$G$7,H233=$G$8,H233=$G$9,H233=$G$10,H233=$G$11,H233=$G$12,H233=$G$13,H233=$G$14),SottocategorieUscite[[#Headers],[Utenze]],IF(OR(H233=$H$5,H233=$H$6,H233=$H$7,H233=$H$8,H233=$H$9,H233=$H$10,H233=$H$11,H233=$H$12,H233=$H$13,H233=$H$14),SottocategorieUscite[[#Headers],[Business Uscite]],IF(OR(H233=$I$5,H233=$I$6,H233=$I$7,H233=$I$8,H233=$I$9,H233=$I$10,H233=$I$11,H233=$I$12,H233=$I$13,H233=$I$14),SottocategorieUscite[[#Headers],[Banca]],IF(OR(H233=K$5,H233=K$6,H233=K$7,H233=K$8,H233=K$9,H233=K$10,H233=K$11,H233=K$12,H233=K$13,H233=K$14),SottocategorieEntrate[[#Headers],[Business Entrate]],IF(OR(H233=L$5,H233=L$6,H233=L$7,H233=L$8,H233=L$9,H233=L$10,H233=L$11,H233=L$12,H233=L$13,H233=L$14),SottocategorieEntrate[[#Headers],[Varie Entrate]],IF(OR(H233=M$5,H233=M$6,H233=M$7,H233=M$8,H233=M$9,H233=M$10,H233=M$11,H233=M$12,H233=M$13,H233=M$14),SottocategorieEntrate[[#Headers],[Real Estate]],IF(OR(H233=N$5,H233=N$6,H233=N$7,H233=N$8,H233=N$9,H233=N$10,H233=N$11,H233=N$12,H233=N$13,H233=N$14),SottocategorieEntrate[[#Headers],[Other]],""))))))))))))</f>
        <v/>
      </c>
      <c r="J233" t="str">
        <f>IF(OR(Dati[[#This Row],[Categoria]]="Bollette",Dati[[#This Row],[Categoria]]="Conto &amp; Carte BNL",Dati[[#This Row],[Categoria]]="Prelievo",Dati[[#This Row],[Categoria]]="Affitto",Dati[[#This Row],[Categoria]]="BNL(Interessi Creditori)"),"Carta",IF(Dati[[#This Row],[Categoria]]&lt;&gt;0,"Cash",""))</f>
        <v/>
      </c>
      <c r="K233" s="59" t="str">
        <f>IF(OR(Data!$I233=SottocategorieUscite[[#Headers],[Fuori Casa]],Data!$I233=SottocategorieUscite[[#Headers],[Varie Uscite]],Data!$I233=SottocategorieUscite[[#Headers],[Personali]],Data!$I233=SottocategorieUscite[[#Headers],[Lavoro]]),"$ -","")</f>
        <v/>
      </c>
      <c r="L233" s="59" t="str">
        <f>IF(OR(Data!$I233=SottocategorieUscite[[#Headers],[Casa]],Data!$I233=SottocategorieUscite[[#Headers],[Utenze]],Data!$I233=SottocategorieUscite[[#Headers],[Business Uscite]],Data!$I233=SottocategorieUscite[[#Headers],[Banca]]),"$ -","")</f>
        <v/>
      </c>
      <c r="M233" s="59" t="str">
        <f>IF(OR($I233&lt;&gt;SottocategorieUscite[[#Headers],[Fuori Casa]],$I233&lt;&gt;SottocategorieUscite[[#Headers],[Varie Uscite]],$I233&lt;&gt;SottocategorieUscite[[#Headers],[Personali]],$I233&lt;&gt;SottocategorieUscite[[#Headers],[Lavoro]],$I233&lt;&gt;SottocategorieUscite[[#Headers],[Casa]],$I233&lt;&gt;SottocategorieUscite[[#Headers],[Utenze]],$I233&lt;&gt;SottocategorieUscite[[#Headers],[Business Uscite]],$I233&lt;&gt;SottocategorieUscite[[#Headers],[Banca]]),"","$ -")</f>
        <v/>
      </c>
      <c r="N233" s="59" t="str">
        <f>IF(OR(Data!$I233=SottocategorieEntrate[[#Headers],[Business Entrate]],Data!$I233=SottocategorieEntrate[[#Headers],[Varie Entrate]]),"$ -","")</f>
        <v/>
      </c>
      <c r="O233" s="59" t="str">
        <f>IF(OR(Data!$I233=SottocategorieEntrate[[#Headers],[Real Estate]],SottocategorieEntrate[[#Headers],[Other]]),"$ -","")</f>
        <v/>
      </c>
      <c r="P233" s="59" t="str">
        <f>IF(OR($I233&lt;&gt;SottocategorieEntrate[[#Headers],[Business Entrate]],$I233&lt;&gt;SottocategorieEntrate[[#Headers],[Varie Entrate]],$I233&lt;&gt;SottocategorieEntrate[[#Headers],[Real Estate]],$I233&lt;&gt;SottocategorieEntrate[[#Headers],[Other]]),"","$ -")</f>
        <v/>
      </c>
      <c r="Q233" s="59" t="str">
        <f>IF(Dati[[#This Row],[Categoria]]="Prelievo","€ -","")</f>
        <v/>
      </c>
      <c r="R233" s="244" t="str">
        <f t="shared" ca="1" si="11"/>
        <v/>
      </c>
      <c r="S233" s="59" t="str">
        <f>IF(Dati[[#This Row],[Categoria]]="Savings",0,"")</f>
        <v/>
      </c>
      <c r="T233" s="59"/>
      <c r="U233" s="59"/>
      <c r="V233" s="59"/>
      <c r="W233" s="59"/>
      <c r="X233" s="59"/>
      <c r="Y233" s="59"/>
      <c r="Z233" s="59"/>
      <c r="AA233" s="59"/>
      <c r="AB233" s="59"/>
      <c r="AC233" s="59"/>
      <c r="AD233" s="59"/>
      <c r="AE233" s="59"/>
      <c r="AF233" s="59"/>
      <c r="AG233" s="59"/>
      <c r="AH233" s="59"/>
      <c r="AI233" s="59" t="str">
        <f>IF(SUM(Dati[[#This Row],[Inv. Business]:[Inv. Cryptocurrency]])=0," ",SUM(Dati[[#This Row],[Inv. Business]:[Inv. Cryptocurrency]]))</f>
        <v xml:space="preserve"> </v>
      </c>
      <c r="AJ233" s="59"/>
      <c r="AK233" s="59" t="str">
        <f>IF(SUM(Dati[[#This Row],[Inv. Gold]:[Mutuo]])=0," ",SUM(Dati[[#This Row],[Inv. Gold]:[Mutuo]]))</f>
        <v xml:space="preserve"> </v>
      </c>
      <c r="AL233" s="59"/>
      <c r="AM233" s="59"/>
    </row>
    <row r="234" spans="2:39" ht="16" customHeight="1" x14ac:dyDescent="0.35">
      <c r="B234">
        <f t="shared" si="9"/>
        <v>214</v>
      </c>
      <c r="C234" s="49">
        <f t="shared" si="10"/>
        <v>45140</v>
      </c>
      <c r="D234" s="29">
        <f>DAY(Dati[[#This Row],[Data]])</f>
        <v>2</v>
      </c>
      <c r="E234" s="29" t="str">
        <f>IF(DAY(Data!$C$21:$C$1327)&gt;0,TEXT(Data!$C$21:$C$1327, "mmmm"),"")</f>
        <v>agosto</v>
      </c>
      <c r="F234" s="29" t="str">
        <f>IF(DAY(Data!$C$21:$C$1327)&gt;0,TEXT(Data!$C$21:$C$1327, "aaaa"),"")</f>
        <v>2023</v>
      </c>
      <c r="I234" t="str">
        <f>IF(OR(H234=$B$5,H234=$B$6,H234=$B$7,H234=$B$8,H234=$B$9,H234=$B$10,H234=$B$11,H234=$B$12,H234=$B$13,H234=$B$14),SottocategorieUscite[[#Headers],[Fuori Casa]],IF(OR(H234=$C$5,H234=$C$6,H234=$C$7,H234=$C$8,H234=$C$9,H234=$C$10,H234=$C$11,H234=$C$12,H234=$C$13,H234=$C$14),SottocategorieUscite[[#Headers],[Varie Uscite]],IF(OR(H234=$D$5,H234=$D$6,H234=$D$7,H234=$D$8,H234=$D$9,H234=$D$10,H234=$D$11,H234=$D$12,H234=$D$13,H234=$D$14),SottocategorieUscite[[#Headers],[Personali]],IF(OR(H234=$E$5,H234=$E$6,H234=$E$7,H234=$E$8,H234=$E$9,H234=$E$10,H234=$E$11,H234=$E$12,H234=$E$13,H234=$E$14),SottocategorieUscite[[#Headers],[Lavoro]],IF(OR(H234=$F$5,H234=$F$6,H234=$F$7,H234=$F$8,H234=$F$9,H234=$F$10,H234=$F$11,H234=$F$12,H234=$F$13,H234=$F$14),SottocategorieUscite[[#Headers],[Casa]],IF(OR(H234=$G$5,H234=$G$6,H234=$G$7,H234=$G$8,H234=$G$9,H234=$G$10,H234=$G$11,H234=$G$12,H234=$G$13,H234=$G$14),SottocategorieUscite[[#Headers],[Utenze]],IF(OR(H234=$H$5,H234=$H$6,H234=$H$7,H234=$H$8,H234=$H$9,H234=$H$10,H234=$H$11,H234=$H$12,H234=$H$13,H234=$H$14),SottocategorieUscite[[#Headers],[Business Uscite]],IF(OR(H234=$I$5,H234=$I$6,H234=$I$7,H234=$I$8,H234=$I$9,H234=$I$10,H234=$I$11,H234=$I$12,H234=$I$13,H234=$I$14),SottocategorieUscite[[#Headers],[Banca]],IF(OR(H234=K$5,H234=K$6,H234=K$7,H234=K$8,H234=K$9,H234=K$10,H234=K$11,H234=K$12,H234=K$13,H234=K$14),SottocategorieEntrate[[#Headers],[Business Entrate]],IF(OR(H234=L$5,H234=L$6,H234=L$7,H234=L$8,H234=L$9,H234=L$10,H234=L$11,H234=L$12,H234=L$13,H234=L$14),SottocategorieEntrate[[#Headers],[Varie Entrate]],IF(OR(H234=M$5,H234=M$6,H234=M$7,H234=M$8,H234=M$9,H234=M$10,H234=M$11,H234=M$12,H234=M$13,H234=M$14),SottocategorieEntrate[[#Headers],[Real Estate]],IF(OR(H234=N$5,H234=N$6,H234=N$7,H234=N$8,H234=N$9,H234=N$10,H234=N$11,H234=N$12,H234=N$13,H234=N$14),SottocategorieEntrate[[#Headers],[Other]],""))))))))))))</f>
        <v/>
      </c>
      <c r="J234" t="str">
        <f>IF(OR(Dati[[#This Row],[Categoria]]="Bollette",Dati[[#This Row],[Categoria]]="Conto &amp; Carte BNL",Dati[[#This Row],[Categoria]]="Prelievo",Dati[[#This Row],[Categoria]]="Affitto",Dati[[#This Row],[Categoria]]="BNL(Interessi Creditori)"),"Carta",IF(Dati[[#This Row],[Categoria]]&lt;&gt;0,"Cash",""))</f>
        <v/>
      </c>
      <c r="K234" s="59" t="str">
        <f>IF(OR(Data!$I234=SottocategorieUscite[[#Headers],[Fuori Casa]],Data!$I234=SottocategorieUscite[[#Headers],[Varie Uscite]],Data!$I234=SottocategorieUscite[[#Headers],[Personali]],Data!$I234=SottocategorieUscite[[#Headers],[Lavoro]]),"$ -","")</f>
        <v/>
      </c>
      <c r="L234" s="59" t="str">
        <f>IF(OR(Data!$I234=SottocategorieUscite[[#Headers],[Casa]],Data!$I234=SottocategorieUscite[[#Headers],[Utenze]],Data!$I234=SottocategorieUscite[[#Headers],[Business Uscite]],Data!$I234=SottocategorieUscite[[#Headers],[Banca]]),"$ -","")</f>
        <v/>
      </c>
      <c r="M234" s="59" t="str">
        <f>IF(OR($I234&lt;&gt;SottocategorieUscite[[#Headers],[Fuori Casa]],$I234&lt;&gt;SottocategorieUscite[[#Headers],[Varie Uscite]],$I234&lt;&gt;SottocategorieUscite[[#Headers],[Personali]],$I234&lt;&gt;SottocategorieUscite[[#Headers],[Lavoro]],$I234&lt;&gt;SottocategorieUscite[[#Headers],[Casa]],$I234&lt;&gt;SottocategorieUscite[[#Headers],[Utenze]],$I234&lt;&gt;SottocategorieUscite[[#Headers],[Business Uscite]],$I234&lt;&gt;SottocategorieUscite[[#Headers],[Banca]]),"","$ -")</f>
        <v/>
      </c>
      <c r="N234" s="59" t="str">
        <f>IF(OR(Data!$I234=SottocategorieEntrate[[#Headers],[Business Entrate]],Data!$I234=SottocategorieEntrate[[#Headers],[Varie Entrate]]),"$ -","")</f>
        <v/>
      </c>
      <c r="O234" s="59" t="str">
        <f>IF(OR(Data!$I234=SottocategorieEntrate[[#Headers],[Real Estate]],SottocategorieEntrate[[#Headers],[Other]]),"$ -","")</f>
        <v/>
      </c>
      <c r="P234" s="59" t="str">
        <f>IF(OR($I234&lt;&gt;SottocategorieEntrate[[#Headers],[Business Entrate]],$I234&lt;&gt;SottocategorieEntrate[[#Headers],[Varie Entrate]],$I234&lt;&gt;SottocategorieEntrate[[#Headers],[Real Estate]],$I234&lt;&gt;SottocategorieEntrate[[#Headers],[Other]]),"","$ -")</f>
        <v/>
      </c>
      <c r="Q234" s="59" t="str">
        <f>IF(Dati[[#This Row],[Categoria]]="Prelievo","€ -","")</f>
        <v/>
      </c>
      <c r="R234" s="244" t="str">
        <f t="shared" ca="1" si="11"/>
        <v/>
      </c>
      <c r="S234" s="59" t="str">
        <f>IF(Dati[[#This Row],[Categoria]]="Savings",0,"")</f>
        <v/>
      </c>
      <c r="T234" s="59"/>
      <c r="U234" s="59"/>
      <c r="V234" s="59"/>
      <c r="W234" s="59"/>
      <c r="X234" s="59"/>
      <c r="Y234" s="59"/>
      <c r="Z234" s="59"/>
      <c r="AA234" s="59"/>
      <c r="AB234" s="59"/>
      <c r="AC234" s="59"/>
      <c r="AD234" s="59"/>
      <c r="AE234" s="59"/>
      <c r="AF234" s="59"/>
      <c r="AG234" s="59"/>
      <c r="AH234" s="59"/>
      <c r="AI234" s="59" t="str">
        <f>IF(SUM(Dati[[#This Row],[Inv. Business]:[Inv. Cryptocurrency]])=0," ",SUM(Dati[[#This Row],[Inv. Business]:[Inv. Cryptocurrency]]))</f>
        <v xml:space="preserve"> </v>
      </c>
      <c r="AJ234" s="59"/>
      <c r="AK234" s="59" t="str">
        <f>IF(SUM(Dati[[#This Row],[Inv. Gold]:[Mutuo]])=0," ",SUM(Dati[[#This Row],[Inv. Gold]:[Mutuo]]))</f>
        <v xml:space="preserve"> </v>
      </c>
      <c r="AL234" s="59"/>
      <c r="AM234" s="59"/>
    </row>
    <row r="235" spans="2:39" ht="16" customHeight="1" x14ac:dyDescent="0.35">
      <c r="B235">
        <f t="shared" si="9"/>
        <v>215</v>
      </c>
      <c r="C235" s="49">
        <f t="shared" si="10"/>
        <v>45141</v>
      </c>
      <c r="D235" s="29">
        <f>DAY(Dati[[#This Row],[Data]])</f>
        <v>3</v>
      </c>
      <c r="E235" s="29" t="str">
        <f>IF(DAY(Data!$C$21:$C$1327)&gt;0,TEXT(Data!$C$21:$C$1327, "mmmm"),"")</f>
        <v>agosto</v>
      </c>
      <c r="F235" s="29" t="str">
        <f>IF(DAY(Data!$C$21:$C$1327)&gt;0,TEXT(Data!$C$21:$C$1327, "aaaa"),"")</f>
        <v>2023</v>
      </c>
      <c r="I235" t="str">
        <f>IF(OR(H235=$B$5,H235=$B$6,H235=$B$7,H235=$B$8,H235=$B$9,H235=$B$10,H235=$B$11,H235=$B$12,H235=$B$13,H235=$B$14),SottocategorieUscite[[#Headers],[Fuori Casa]],IF(OR(H235=$C$5,H235=$C$6,H235=$C$7,H235=$C$8,H235=$C$9,H235=$C$10,H235=$C$11,H235=$C$12,H235=$C$13,H235=$C$14),SottocategorieUscite[[#Headers],[Varie Uscite]],IF(OR(H235=$D$5,H235=$D$6,H235=$D$7,H235=$D$8,H235=$D$9,H235=$D$10,H235=$D$11,H235=$D$12,H235=$D$13,H235=$D$14),SottocategorieUscite[[#Headers],[Personali]],IF(OR(H235=$E$5,H235=$E$6,H235=$E$7,H235=$E$8,H235=$E$9,H235=$E$10,H235=$E$11,H235=$E$12,H235=$E$13,H235=$E$14),SottocategorieUscite[[#Headers],[Lavoro]],IF(OR(H235=$F$5,H235=$F$6,H235=$F$7,H235=$F$8,H235=$F$9,H235=$F$10,H235=$F$11,H235=$F$12,H235=$F$13,H235=$F$14),SottocategorieUscite[[#Headers],[Casa]],IF(OR(H235=$G$5,H235=$G$6,H235=$G$7,H235=$G$8,H235=$G$9,H235=$G$10,H235=$G$11,H235=$G$12,H235=$G$13,H235=$G$14),SottocategorieUscite[[#Headers],[Utenze]],IF(OR(H235=$H$5,H235=$H$6,H235=$H$7,H235=$H$8,H235=$H$9,H235=$H$10,H235=$H$11,H235=$H$12,H235=$H$13,H235=$H$14),SottocategorieUscite[[#Headers],[Business Uscite]],IF(OR(H235=$I$5,H235=$I$6,H235=$I$7,H235=$I$8,H235=$I$9,H235=$I$10,H235=$I$11,H235=$I$12,H235=$I$13,H235=$I$14),SottocategorieUscite[[#Headers],[Banca]],IF(OR(H235=K$5,H235=K$6,H235=K$7,H235=K$8,H235=K$9,H235=K$10,H235=K$11,H235=K$12,H235=K$13,H235=K$14),SottocategorieEntrate[[#Headers],[Business Entrate]],IF(OR(H235=L$5,H235=L$6,H235=L$7,H235=L$8,H235=L$9,H235=L$10,H235=L$11,H235=L$12,H235=L$13,H235=L$14),SottocategorieEntrate[[#Headers],[Varie Entrate]],IF(OR(H235=M$5,H235=M$6,H235=M$7,H235=M$8,H235=M$9,H235=M$10,H235=M$11,H235=M$12,H235=M$13,H235=M$14),SottocategorieEntrate[[#Headers],[Real Estate]],IF(OR(H235=N$5,H235=N$6,H235=N$7,H235=N$8,H235=N$9,H235=N$10,H235=N$11,H235=N$12,H235=N$13,H235=N$14),SottocategorieEntrate[[#Headers],[Other]],""))))))))))))</f>
        <v/>
      </c>
      <c r="J235" t="str">
        <f>IF(OR(Dati[[#This Row],[Categoria]]="Bollette",Dati[[#This Row],[Categoria]]="Conto &amp; Carte BNL",Dati[[#This Row],[Categoria]]="Prelievo",Dati[[#This Row],[Categoria]]="Affitto",Dati[[#This Row],[Categoria]]="BNL(Interessi Creditori)"),"Carta",IF(Dati[[#This Row],[Categoria]]&lt;&gt;0,"Cash",""))</f>
        <v/>
      </c>
      <c r="K235" s="59" t="str">
        <f>IF(OR(Data!$I235=SottocategorieUscite[[#Headers],[Fuori Casa]],Data!$I235=SottocategorieUscite[[#Headers],[Varie Uscite]],Data!$I235=SottocategorieUscite[[#Headers],[Personali]],Data!$I235=SottocategorieUscite[[#Headers],[Lavoro]]),"$ -","")</f>
        <v/>
      </c>
      <c r="L235" s="59" t="str">
        <f>IF(OR(Data!$I235=SottocategorieUscite[[#Headers],[Casa]],Data!$I235=SottocategorieUscite[[#Headers],[Utenze]],Data!$I235=SottocategorieUscite[[#Headers],[Business Uscite]],Data!$I235=SottocategorieUscite[[#Headers],[Banca]]),"$ -","")</f>
        <v/>
      </c>
      <c r="M235" s="59" t="str">
        <f>IF(OR($I235&lt;&gt;SottocategorieUscite[[#Headers],[Fuori Casa]],$I235&lt;&gt;SottocategorieUscite[[#Headers],[Varie Uscite]],$I235&lt;&gt;SottocategorieUscite[[#Headers],[Personali]],$I235&lt;&gt;SottocategorieUscite[[#Headers],[Lavoro]],$I235&lt;&gt;SottocategorieUscite[[#Headers],[Casa]],$I235&lt;&gt;SottocategorieUscite[[#Headers],[Utenze]],$I235&lt;&gt;SottocategorieUscite[[#Headers],[Business Uscite]],$I235&lt;&gt;SottocategorieUscite[[#Headers],[Banca]]),"","$ -")</f>
        <v/>
      </c>
      <c r="N235" s="59" t="str">
        <f>IF(OR(Data!$I235=SottocategorieEntrate[[#Headers],[Business Entrate]],Data!$I235=SottocategorieEntrate[[#Headers],[Varie Entrate]]),"$ -","")</f>
        <v/>
      </c>
      <c r="O235" s="59" t="str">
        <f>IF(OR(Data!$I235=SottocategorieEntrate[[#Headers],[Real Estate]],SottocategorieEntrate[[#Headers],[Other]]),"$ -","")</f>
        <v/>
      </c>
      <c r="P235" s="59" t="str">
        <f>IF(OR($I235&lt;&gt;SottocategorieEntrate[[#Headers],[Business Entrate]],$I235&lt;&gt;SottocategorieEntrate[[#Headers],[Varie Entrate]],$I235&lt;&gt;SottocategorieEntrate[[#Headers],[Real Estate]],$I235&lt;&gt;SottocategorieEntrate[[#Headers],[Other]]),"","$ -")</f>
        <v/>
      </c>
      <c r="Q235" s="59" t="str">
        <f>IF(Dati[[#This Row],[Categoria]]="Prelievo","€ -","")</f>
        <v/>
      </c>
      <c r="R235" s="244" t="str">
        <f t="shared" ca="1" si="11"/>
        <v/>
      </c>
      <c r="S235" s="59" t="str">
        <f>IF(Dati[[#This Row],[Categoria]]="Savings",0,"")</f>
        <v/>
      </c>
      <c r="T235" s="59"/>
      <c r="U235" s="59"/>
      <c r="V235" s="59"/>
      <c r="W235" s="59"/>
      <c r="X235" s="59"/>
      <c r="Y235" s="59"/>
      <c r="Z235" s="59"/>
      <c r="AA235" s="59"/>
      <c r="AB235" s="59"/>
      <c r="AC235" s="59"/>
      <c r="AD235" s="59"/>
      <c r="AE235" s="59"/>
      <c r="AF235" s="59"/>
      <c r="AG235" s="59"/>
      <c r="AH235" s="59"/>
      <c r="AI235" s="59" t="str">
        <f>IF(SUM(Dati[[#This Row],[Inv. Business]:[Inv. Cryptocurrency]])=0," ",SUM(Dati[[#This Row],[Inv. Business]:[Inv. Cryptocurrency]]))</f>
        <v xml:space="preserve"> </v>
      </c>
      <c r="AJ235" s="59"/>
      <c r="AK235" s="59" t="str">
        <f>IF(SUM(Dati[[#This Row],[Inv. Gold]:[Mutuo]])=0," ",SUM(Dati[[#This Row],[Inv. Gold]:[Mutuo]]))</f>
        <v xml:space="preserve"> </v>
      </c>
      <c r="AL235" s="59"/>
      <c r="AM235" s="59"/>
    </row>
    <row r="236" spans="2:39" ht="16" customHeight="1" x14ac:dyDescent="0.35">
      <c r="B236">
        <f t="shared" si="9"/>
        <v>216</v>
      </c>
      <c r="C236" s="49">
        <f t="shared" si="10"/>
        <v>45142</v>
      </c>
      <c r="D236" s="29">
        <f>DAY(Dati[[#This Row],[Data]])</f>
        <v>4</v>
      </c>
      <c r="E236" s="29" t="str">
        <f>IF(DAY(Data!$C$21:$C$1327)&gt;0,TEXT(Data!$C$21:$C$1327, "mmmm"),"")</f>
        <v>agosto</v>
      </c>
      <c r="F236" s="29" t="str">
        <f>IF(DAY(Data!$C$21:$C$1327)&gt;0,TEXT(Data!$C$21:$C$1327, "aaaa"),"")</f>
        <v>2023</v>
      </c>
      <c r="I236" t="str">
        <f>IF(OR(H236=$B$5,H236=$B$6,H236=$B$7,H236=$B$8,H236=$B$9,H236=$B$10,H236=$B$11,H236=$B$12,H236=$B$13,H236=$B$14),SottocategorieUscite[[#Headers],[Fuori Casa]],IF(OR(H236=$C$5,H236=$C$6,H236=$C$7,H236=$C$8,H236=$C$9,H236=$C$10,H236=$C$11,H236=$C$12,H236=$C$13,H236=$C$14),SottocategorieUscite[[#Headers],[Varie Uscite]],IF(OR(H236=$D$5,H236=$D$6,H236=$D$7,H236=$D$8,H236=$D$9,H236=$D$10,H236=$D$11,H236=$D$12,H236=$D$13,H236=$D$14),SottocategorieUscite[[#Headers],[Personali]],IF(OR(H236=$E$5,H236=$E$6,H236=$E$7,H236=$E$8,H236=$E$9,H236=$E$10,H236=$E$11,H236=$E$12,H236=$E$13,H236=$E$14),SottocategorieUscite[[#Headers],[Lavoro]],IF(OR(H236=$F$5,H236=$F$6,H236=$F$7,H236=$F$8,H236=$F$9,H236=$F$10,H236=$F$11,H236=$F$12,H236=$F$13,H236=$F$14),SottocategorieUscite[[#Headers],[Casa]],IF(OR(H236=$G$5,H236=$G$6,H236=$G$7,H236=$G$8,H236=$G$9,H236=$G$10,H236=$G$11,H236=$G$12,H236=$G$13,H236=$G$14),SottocategorieUscite[[#Headers],[Utenze]],IF(OR(H236=$H$5,H236=$H$6,H236=$H$7,H236=$H$8,H236=$H$9,H236=$H$10,H236=$H$11,H236=$H$12,H236=$H$13,H236=$H$14),SottocategorieUscite[[#Headers],[Business Uscite]],IF(OR(H236=$I$5,H236=$I$6,H236=$I$7,H236=$I$8,H236=$I$9,H236=$I$10,H236=$I$11,H236=$I$12,H236=$I$13,H236=$I$14),SottocategorieUscite[[#Headers],[Banca]],IF(OR(H236=K$5,H236=K$6,H236=K$7,H236=K$8,H236=K$9,H236=K$10,H236=K$11,H236=K$12,H236=K$13,H236=K$14),SottocategorieEntrate[[#Headers],[Business Entrate]],IF(OR(H236=L$5,H236=L$6,H236=L$7,H236=L$8,H236=L$9,H236=L$10,H236=L$11,H236=L$12,H236=L$13,H236=L$14),SottocategorieEntrate[[#Headers],[Varie Entrate]],IF(OR(H236=M$5,H236=M$6,H236=M$7,H236=M$8,H236=M$9,H236=M$10,H236=M$11,H236=M$12,H236=M$13,H236=M$14),SottocategorieEntrate[[#Headers],[Real Estate]],IF(OR(H236=N$5,H236=N$6,H236=N$7,H236=N$8,H236=N$9,H236=N$10,H236=N$11,H236=N$12,H236=N$13,H236=N$14),SottocategorieEntrate[[#Headers],[Other]],""))))))))))))</f>
        <v/>
      </c>
      <c r="J236" t="str">
        <f>IF(OR(Dati[[#This Row],[Categoria]]="Bollette",Dati[[#This Row],[Categoria]]="Conto &amp; Carte BNL",Dati[[#This Row],[Categoria]]="Prelievo",Dati[[#This Row],[Categoria]]="Affitto",Dati[[#This Row],[Categoria]]="BNL(Interessi Creditori)"),"Carta",IF(Dati[[#This Row],[Categoria]]&lt;&gt;0,"Cash",""))</f>
        <v/>
      </c>
      <c r="K236" s="59" t="str">
        <f>IF(OR(Data!$I236=SottocategorieUscite[[#Headers],[Fuori Casa]],Data!$I236=SottocategorieUscite[[#Headers],[Varie Uscite]],Data!$I236=SottocategorieUscite[[#Headers],[Personali]],Data!$I236=SottocategorieUscite[[#Headers],[Lavoro]]),"$ -","")</f>
        <v/>
      </c>
      <c r="L236" s="59" t="str">
        <f>IF(OR(Data!$I236=SottocategorieUscite[[#Headers],[Casa]],Data!$I236=SottocategorieUscite[[#Headers],[Utenze]],Data!$I236=SottocategorieUscite[[#Headers],[Business Uscite]],Data!$I236=SottocategorieUscite[[#Headers],[Banca]]),"$ -","")</f>
        <v/>
      </c>
      <c r="M236" s="59" t="str">
        <f>IF(OR($I236&lt;&gt;SottocategorieUscite[[#Headers],[Fuori Casa]],$I236&lt;&gt;SottocategorieUscite[[#Headers],[Varie Uscite]],$I236&lt;&gt;SottocategorieUscite[[#Headers],[Personali]],$I236&lt;&gt;SottocategorieUscite[[#Headers],[Lavoro]],$I236&lt;&gt;SottocategorieUscite[[#Headers],[Casa]],$I236&lt;&gt;SottocategorieUscite[[#Headers],[Utenze]],$I236&lt;&gt;SottocategorieUscite[[#Headers],[Business Uscite]],$I236&lt;&gt;SottocategorieUscite[[#Headers],[Banca]]),"","$ -")</f>
        <v/>
      </c>
      <c r="N236" s="59" t="str">
        <f>IF(OR(Data!$I236=SottocategorieEntrate[[#Headers],[Business Entrate]],Data!$I236=SottocategorieEntrate[[#Headers],[Varie Entrate]]),"$ -","")</f>
        <v/>
      </c>
      <c r="O236" s="59" t="str">
        <f>IF(OR(Data!$I236=SottocategorieEntrate[[#Headers],[Real Estate]],SottocategorieEntrate[[#Headers],[Other]]),"$ -","")</f>
        <v/>
      </c>
      <c r="P236" s="59" t="str">
        <f>IF(OR($I236&lt;&gt;SottocategorieEntrate[[#Headers],[Business Entrate]],$I236&lt;&gt;SottocategorieEntrate[[#Headers],[Varie Entrate]],$I236&lt;&gt;SottocategorieEntrate[[#Headers],[Real Estate]],$I236&lt;&gt;SottocategorieEntrate[[#Headers],[Other]]),"","$ -")</f>
        <v/>
      </c>
      <c r="Q236" s="59" t="str">
        <f>IF(Dati[[#This Row],[Categoria]]="Prelievo","€ -","")</f>
        <v/>
      </c>
      <c r="R236" s="244" t="str">
        <f t="shared" ca="1" si="11"/>
        <v/>
      </c>
      <c r="S236" s="59" t="str">
        <f>IF(Dati[[#This Row],[Categoria]]="Savings",0,"")</f>
        <v/>
      </c>
      <c r="T236" s="59"/>
      <c r="U236" s="59"/>
      <c r="V236" s="59"/>
      <c r="W236" s="59"/>
      <c r="X236" s="59"/>
      <c r="Y236" s="59"/>
      <c r="Z236" s="59"/>
      <c r="AA236" s="59"/>
      <c r="AB236" s="59"/>
      <c r="AC236" s="59"/>
      <c r="AD236" s="59"/>
      <c r="AE236" s="59"/>
      <c r="AF236" s="59"/>
      <c r="AG236" s="59"/>
      <c r="AH236" s="59"/>
      <c r="AI236" s="59" t="str">
        <f>IF(SUM(Dati[[#This Row],[Inv. Business]:[Inv. Cryptocurrency]])=0," ",SUM(Dati[[#This Row],[Inv. Business]:[Inv. Cryptocurrency]]))</f>
        <v xml:space="preserve"> </v>
      </c>
      <c r="AJ236" s="59"/>
      <c r="AK236" s="59" t="str">
        <f>IF(SUM(Dati[[#This Row],[Inv. Gold]:[Mutuo]])=0," ",SUM(Dati[[#This Row],[Inv. Gold]:[Mutuo]]))</f>
        <v xml:space="preserve"> </v>
      </c>
      <c r="AL236" s="59"/>
      <c r="AM236" s="59"/>
    </row>
    <row r="237" spans="2:39" ht="16" customHeight="1" x14ac:dyDescent="0.35">
      <c r="B237">
        <f t="shared" si="9"/>
        <v>217</v>
      </c>
      <c r="C237" s="49">
        <f t="shared" si="10"/>
        <v>45143</v>
      </c>
      <c r="D237" s="29">
        <f>DAY(Dati[[#This Row],[Data]])</f>
        <v>5</v>
      </c>
      <c r="E237" s="29" t="str">
        <f>IF(DAY(Data!$C$21:$C$1327)&gt;0,TEXT(Data!$C$21:$C$1327, "mmmm"),"")</f>
        <v>agosto</v>
      </c>
      <c r="F237" s="29" t="str">
        <f>IF(DAY(Data!$C$21:$C$1327)&gt;0,TEXT(Data!$C$21:$C$1327, "aaaa"),"")</f>
        <v>2023</v>
      </c>
      <c r="I237" t="str">
        <f>IF(OR(H237=$B$5,H237=$B$6,H237=$B$7,H237=$B$8,H237=$B$9,H237=$B$10,H237=$B$11,H237=$B$12,H237=$B$13,H237=$B$14),SottocategorieUscite[[#Headers],[Fuori Casa]],IF(OR(H237=$C$5,H237=$C$6,H237=$C$7,H237=$C$8,H237=$C$9,H237=$C$10,H237=$C$11,H237=$C$12,H237=$C$13,H237=$C$14),SottocategorieUscite[[#Headers],[Varie Uscite]],IF(OR(H237=$D$5,H237=$D$6,H237=$D$7,H237=$D$8,H237=$D$9,H237=$D$10,H237=$D$11,H237=$D$12,H237=$D$13,H237=$D$14),SottocategorieUscite[[#Headers],[Personali]],IF(OR(H237=$E$5,H237=$E$6,H237=$E$7,H237=$E$8,H237=$E$9,H237=$E$10,H237=$E$11,H237=$E$12,H237=$E$13,H237=$E$14),SottocategorieUscite[[#Headers],[Lavoro]],IF(OR(H237=$F$5,H237=$F$6,H237=$F$7,H237=$F$8,H237=$F$9,H237=$F$10,H237=$F$11,H237=$F$12,H237=$F$13,H237=$F$14),SottocategorieUscite[[#Headers],[Casa]],IF(OR(H237=$G$5,H237=$G$6,H237=$G$7,H237=$G$8,H237=$G$9,H237=$G$10,H237=$G$11,H237=$G$12,H237=$G$13,H237=$G$14),SottocategorieUscite[[#Headers],[Utenze]],IF(OR(H237=$H$5,H237=$H$6,H237=$H$7,H237=$H$8,H237=$H$9,H237=$H$10,H237=$H$11,H237=$H$12,H237=$H$13,H237=$H$14),SottocategorieUscite[[#Headers],[Business Uscite]],IF(OR(H237=$I$5,H237=$I$6,H237=$I$7,H237=$I$8,H237=$I$9,H237=$I$10,H237=$I$11,H237=$I$12,H237=$I$13,H237=$I$14),SottocategorieUscite[[#Headers],[Banca]],IF(OR(H237=K$5,H237=K$6,H237=K$7,H237=K$8,H237=K$9,H237=K$10,H237=K$11,H237=K$12,H237=K$13,H237=K$14),SottocategorieEntrate[[#Headers],[Business Entrate]],IF(OR(H237=L$5,H237=L$6,H237=L$7,H237=L$8,H237=L$9,H237=L$10,H237=L$11,H237=L$12,H237=L$13,H237=L$14),SottocategorieEntrate[[#Headers],[Varie Entrate]],IF(OR(H237=M$5,H237=M$6,H237=M$7,H237=M$8,H237=M$9,H237=M$10,H237=M$11,H237=M$12,H237=M$13,H237=M$14),SottocategorieEntrate[[#Headers],[Real Estate]],IF(OR(H237=N$5,H237=N$6,H237=N$7,H237=N$8,H237=N$9,H237=N$10,H237=N$11,H237=N$12,H237=N$13,H237=N$14),SottocategorieEntrate[[#Headers],[Other]],""))))))))))))</f>
        <v/>
      </c>
      <c r="J237" t="str">
        <f>IF(OR(Dati[[#This Row],[Categoria]]="Bollette",Dati[[#This Row],[Categoria]]="Conto &amp; Carte BNL",Dati[[#This Row],[Categoria]]="Prelievo",Dati[[#This Row],[Categoria]]="Affitto",Dati[[#This Row],[Categoria]]="BNL(Interessi Creditori)"),"Carta",IF(Dati[[#This Row],[Categoria]]&lt;&gt;0,"Cash",""))</f>
        <v/>
      </c>
      <c r="K237" s="59" t="str">
        <f>IF(OR(Data!$I237=SottocategorieUscite[[#Headers],[Fuori Casa]],Data!$I237=SottocategorieUscite[[#Headers],[Varie Uscite]],Data!$I237=SottocategorieUscite[[#Headers],[Personali]],Data!$I237=SottocategorieUscite[[#Headers],[Lavoro]]),"$ -","")</f>
        <v/>
      </c>
      <c r="L237" s="59" t="str">
        <f>IF(OR(Data!$I237=SottocategorieUscite[[#Headers],[Casa]],Data!$I237=SottocategorieUscite[[#Headers],[Utenze]],Data!$I237=SottocategorieUscite[[#Headers],[Business Uscite]],Data!$I237=SottocategorieUscite[[#Headers],[Banca]]),"$ -","")</f>
        <v/>
      </c>
      <c r="M237" s="59" t="str">
        <f>IF(OR($I237&lt;&gt;SottocategorieUscite[[#Headers],[Fuori Casa]],$I237&lt;&gt;SottocategorieUscite[[#Headers],[Varie Uscite]],$I237&lt;&gt;SottocategorieUscite[[#Headers],[Personali]],$I237&lt;&gt;SottocategorieUscite[[#Headers],[Lavoro]],$I237&lt;&gt;SottocategorieUscite[[#Headers],[Casa]],$I237&lt;&gt;SottocategorieUscite[[#Headers],[Utenze]],$I237&lt;&gt;SottocategorieUscite[[#Headers],[Business Uscite]],$I237&lt;&gt;SottocategorieUscite[[#Headers],[Banca]]),"","$ -")</f>
        <v/>
      </c>
      <c r="N237" s="59" t="str">
        <f>IF(OR(Data!$I237=SottocategorieEntrate[[#Headers],[Business Entrate]],Data!$I237=SottocategorieEntrate[[#Headers],[Varie Entrate]]),"$ -","")</f>
        <v/>
      </c>
      <c r="O237" s="59" t="str">
        <f>IF(OR(Data!$I237=SottocategorieEntrate[[#Headers],[Real Estate]],SottocategorieEntrate[[#Headers],[Other]]),"$ -","")</f>
        <v/>
      </c>
      <c r="P237" s="59" t="str">
        <f>IF(OR($I237&lt;&gt;SottocategorieEntrate[[#Headers],[Business Entrate]],$I237&lt;&gt;SottocategorieEntrate[[#Headers],[Varie Entrate]],$I237&lt;&gt;SottocategorieEntrate[[#Headers],[Real Estate]],$I237&lt;&gt;SottocategorieEntrate[[#Headers],[Other]]),"","$ -")</f>
        <v/>
      </c>
      <c r="Q237" s="59" t="str">
        <f>IF(Dati[[#This Row],[Categoria]]="Prelievo","€ -","")</f>
        <v/>
      </c>
      <c r="R237" s="244" t="str">
        <f t="shared" ca="1" si="11"/>
        <v/>
      </c>
      <c r="S237" s="59" t="str">
        <f>IF(Dati[[#This Row],[Categoria]]="Savings",0,"")</f>
        <v/>
      </c>
      <c r="T237" s="59"/>
      <c r="U237" s="59"/>
      <c r="V237" s="59"/>
      <c r="W237" s="59"/>
      <c r="X237" s="59"/>
      <c r="Y237" s="59"/>
      <c r="Z237" s="59"/>
      <c r="AA237" s="59"/>
      <c r="AB237" s="59"/>
      <c r="AC237" s="59"/>
      <c r="AD237" s="59"/>
      <c r="AE237" s="59"/>
      <c r="AF237" s="59"/>
      <c r="AG237" s="59"/>
      <c r="AH237" s="59"/>
      <c r="AI237" s="59" t="str">
        <f>IF(SUM(Dati[[#This Row],[Inv. Business]:[Inv. Cryptocurrency]])=0," ",SUM(Dati[[#This Row],[Inv. Business]:[Inv. Cryptocurrency]]))</f>
        <v xml:space="preserve"> </v>
      </c>
      <c r="AJ237" s="59"/>
      <c r="AK237" s="59" t="str">
        <f>IF(SUM(Dati[[#This Row],[Inv. Gold]:[Mutuo]])=0," ",SUM(Dati[[#This Row],[Inv. Gold]:[Mutuo]]))</f>
        <v xml:space="preserve"> </v>
      </c>
      <c r="AL237" s="59"/>
      <c r="AM237" s="59"/>
    </row>
    <row r="238" spans="2:39" ht="16" customHeight="1" x14ac:dyDescent="0.35">
      <c r="B238">
        <f t="shared" si="9"/>
        <v>218</v>
      </c>
      <c r="C238" s="49">
        <f t="shared" si="10"/>
        <v>45144</v>
      </c>
      <c r="D238" s="29">
        <f>DAY(Dati[[#This Row],[Data]])</f>
        <v>6</v>
      </c>
      <c r="E238" s="29" t="str">
        <f>IF(DAY(Data!$C$21:$C$1327)&gt;0,TEXT(Data!$C$21:$C$1327, "mmmm"),"")</f>
        <v>agosto</v>
      </c>
      <c r="F238" s="29" t="str">
        <f>IF(DAY(Data!$C$21:$C$1327)&gt;0,TEXT(Data!$C$21:$C$1327, "aaaa"),"")</f>
        <v>2023</v>
      </c>
      <c r="I238" t="str">
        <f>IF(OR(H238=$B$5,H238=$B$6,H238=$B$7,H238=$B$8,H238=$B$9,H238=$B$10,H238=$B$11,H238=$B$12,H238=$B$13,H238=$B$14),SottocategorieUscite[[#Headers],[Fuori Casa]],IF(OR(H238=$C$5,H238=$C$6,H238=$C$7,H238=$C$8,H238=$C$9,H238=$C$10,H238=$C$11,H238=$C$12,H238=$C$13,H238=$C$14),SottocategorieUscite[[#Headers],[Varie Uscite]],IF(OR(H238=$D$5,H238=$D$6,H238=$D$7,H238=$D$8,H238=$D$9,H238=$D$10,H238=$D$11,H238=$D$12,H238=$D$13,H238=$D$14),SottocategorieUscite[[#Headers],[Personali]],IF(OR(H238=$E$5,H238=$E$6,H238=$E$7,H238=$E$8,H238=$E$9,H238=$E$10,H238=$E$11,H238=$E$12,H238=$E$13,H238=$E$14),SottocategorieUscite[[#Headers],[Lavoro]],IF(OR(H238=$F$5,H238=$F$6,H238=$F$7,H238=$F$8,H238=$F$9,H238=$F$10,H238=$F$11,H238=$F$12,H238=$F$13,H238=$F$14),SottocategorieUscite[[#Headers],[Casa]],IF(OR(H238=$G$5,H238=$G$6,H238=$G$7,H238=$G$8,H238=$G$9,H238=$G$10,H238=$G$11,H238=$G$12,H238=$G$13,H238=$G$14),SottocategorieUscite[[#Headers],[Utenze]],IF(OR(H238=$H$5,H238=$H$6,H238=$H$7,H238=$H$8,H238=$H$9,H238=$H$10,H238=$H$11,H238=$H$12,H238=$H$13,H238=$H$14),SottocategorieUscite[[#Headers],[Business Uscite]],IF(OR(H238=$I$5,H238=$I$6,H238=$I$7,H238=$I$8,H238=$I$9,H238=$I$10,H238=$I$11,H238=$I$12,H238=$I$13,H238=$I$14),SottocategorieUscite[[#Headers],[Banca]],IF(OR(H238=K$5,H238=K$6,H238=K$7,H238=K$8,H238=K$9,H238=K$10,H238=K$11,H238=K$12,H238=K$13,H238=K$14),SottocategorieEntrate[[#Headers],[Business Entrate]],IF(OR(H238=L$5,H238=L$6,H238=L$7,H238=L$8,H238=L$9,H238=L$10,H238=L$11,H238=L$12,H238=L$13,H238=L$14),SottocategorieEntrate[[#Headers],[Varie Entrate]],IF(OR(H238=M$5,H238=M$6,H238=M$7,H238=M$8,H238=M$9,H238=M$10,H238=M$11,H238=M$12,H238=M$13,H238=M$14),SottocategorieEntrate[[#Headers],[Real Estate]],IF(OR(H238=N$5,H238=N$6,H238=N$7,H238=N$8,H238=N$9,H238=N$10,H238=N$11,H238=N$12,H238=N$13,H238=N$14),SottocategorieEntrate[[#Headers],[Other]],""))))))))))))</f>
        <v/>
      </c>
      <c r="J238" t="str">
        <f>IF(OR(Dati[[#This Row],[Categoria]]="Bollette",Dati[[#This Row],[Categoria]]="Conto &amp; Carte BNL",Dati[[#This Row],[Categoria]]="Prelievo",Dati[[#This Row],[Categoria]]="Affitto",Dati[[#This Row],[Categoria]]="BNL(Interessi Creditori)"),"Carta",IF(Dati[[#This Row],[Categoria]]&lt;&gt;0,"Cash",""))</f>
        <v/>
      </c>
      <c r="K238" s="59" t="str">
        <f>IF(OR(Data!$I238=SottocategorieUscite[[#Headers],[Fuori Casa]],Data!$I238=SottocategorieUscite[[#Headers],[Varie Uscite]],Data!$I238=SottocategorieUscite[[#Headers],[Personali]],Data!$I238=SottocategorieUscite[[#Headers],[Lavoro]]),"$ -","")</f>
        <v/>
      </c>
      <c r="L238" s="59" t="str">
        <f>IF(OR(Data!$I238=SottocategorieUscite[[#Headers],[Casa]],Data!$I238=SottocategorieUscite[[#Headers],[Utenze]],Data!$I238=SottocategorieUscite[[#Headers],[Business Uscite]],Data!$I238=SottocategorieUscite[[#Headers],[Banca]]),"$ -","")</f>
        <v/>
      </c>
      <c r="M238" s="59" t="str">
        <f>IF(OR($I238&lt;&gt;SottocategorieUscite[[#Headers],[Fuori Casa]],$I238&lt;&gt;SottocategorieUscite[[#Headers],[Varie Uscite]],$I238&lt;&gt;SottocategorieUscite[[#Headers],[Personali]],$I238&lt;&gt;SottocategorieUscite[[#Headers],[Lavoro]],$I238&lt;&gt;SottocategorieUscite[[#Headers],[Casa]],$I238&lt;&gt;SottocategorieUscite[[#Headers],[Utenze]],$I238&lt;&gt;SottocategorieUscite[[#Headers],[Business Uscite]],$I238&lt;&gt;SottocategorieUscite[[#Headers],[Banca]]),"","$ -")</f>
        <v/>
      </c>
      <c r="N238" s="59" t="str">
        <f>IF(OR(Data!$I238=SottocategorieEntrate[[#Headers],[Business Entrate]],Data!$I238=SottocategorieEntrate[[#Headers],[Varie Entrate]]),"$ -","")</f>
        <v/>
      </c>
      <c r="O238" s="59" t="str">
        <f>IF(OR(Data!$I238=SottocategorieEntrate[[#Headers],[Real Estate]],SottocategorieEntrate[[#Headers],[Other]]),"$ -","")</f>
        <v/>
      </c>
      <c r="P238" s="59" t="str">
        <f>IF(OR($I238&lt;&gt;SottocategorieEntrate[[#Headers],[Business Entrate]],$I238&lt;&gt;SottocategorieEntrate[[#Headers],[Varie Entrate]],$I238&lt;&gt;SottocategorieEntrate[[#Headers],[Real Estate]],$I238&lt;&gt;SottocategorieEntrate[[#Headers],[Other]]),"","$ -")</f>
        <v/>
      </c>
      <c r="Q238" s="59" t="str">
        <f>IF(Dati[[#This Row],[Categoria]]="Prelievo","€ -","")</f>
        <v/>
      </c>
      <c r="R238" s="244" t="str">
        <f t="shared" ca="1" si="11"/>
        <v/>
      </c>
      <c r="S238" s="59" t="str">
        <f>IF(Dati[[#This Row],[Categoria]]="Savings",0,"")</f>
        <v/>
      </c>
      <c r="T238" s="59"/>
      <c r="U238" s="59"/>
      <c r="V238" s="59"/>
      <c r="W238" s="59"/>
      <c r="X238" s="59"/>
      <c r="Y238" s="59"/>
      <c r="Z238" s="59"/>
      <c r="AA238" s="59"/>
      <c r="AB238" s="59"/>
      <c r="AC238" s="59"/>
      <c r="AD238" s="59"/>
      <c r="AE238" s="59"/>
      <c r="AF238" s="59"/>
      <c r="AG238" s="59"/>
      <c r="AH238" s="59"/>
      <c r="AI238" s="59" t="str">
        <f>IF(SUM(Dati[[#This Row],[Inv. Business]:[Inv. Cryptocurrency]])=0," ",SUM(Dati[[#This Row],[Inv. Business]:[Inv. Cryptocurrency]]))</f>
        <v xml:space="preserve"> </v>
      </c>
      <c r="AJ238" s="59"/>
      <c r="AK238" s="59" t="str">
        <f>IF(SUM(Dati[[#This Row],[Inv. Gold]:[Mutuo]])=0," ",SUM(Dati[[#This Row],[Inv. Gold]:[Mutuo]]))</f>
        <v xml:space="preserve"> </v>
      </c>
      <c r="AL238" s="59"/>
      <c r="AM238" s="59"/>
    </row>
    <row r="239" spans="2:39" ht="16" customHeight="1" x14ac:dyDescent="0.35">
      <c r="B239">
        <f t="shared" si="9"/>
        <v>219</v>
      </c>
      <c r="C239" s="49">
        <f t="shared" si="10"/>
        <v>45145</v>
      </c>
      <c r="D239" s="29">
        <f>DAY(Dati[[#This Row],[Data]])</f>
        <v>7</v>
      </c>
      <c r="E239" s="29" t="str">
        <f>IF(DAY(Data!$C$21:$C$1327)&gt;0,TEXT(Data!$C$21:$C$1327, "mmmm"),"")</f>
        <v>agosto</v>
      </c>
      <c r="F239" s="29" t="str">
        <f>IF(DAY(Data!$C$21:$C$1327)&gt;0,TEXT(Data!$C$21:$C$1327, "aaaa"),"")</f>
        <v>2023</v>
      </c>
      <c r="I239" t="str">
        <f>IF(OR(H239=$B$5,H239=$B$6,H239=$B$7,H239=$B$8,H239=$B$9,H239=$B$10,H239=$B$11,H239=$B$12,H239=$B$13,H239=$B$14),SottocategorieUscite[[#Headers],[Fuori Casa]],IF(OR(H239=$C$5,H239=$C$6,H239=$C$7,H239=$C$8,H239=$C$9,H239=$C$10,H239=$C$11,H239=$C$12,H239=$C$13,H239=$C$14),SottocategorieUscite[[#Headers],[Varie Uscite]],IF(OR(H239=$D$5,H239=$D$6,H239=$D$7,H239=$D$8,H239=$D$9,H239=$D$10,H239=$D$11,H239=$D$12,H239=$D$13,H239=$D$14),SottocategorieUscite[[#Headers],[Personali]],IF(OR(H239=$E$5,H239=$E$6,H239=$E$7,H239=$E$8,H239=$E$9,H239=$E$10,H239=$E$11,H239=$E$12,H239=$E$13,H239=$E$14),SottocategorieUscite[[#Headers],[Lavoro]],IF(OR(H239=$F$5,H239=$F$6,H239=$F$7,H239=$F$8,H239=$F$9,H239=$F$10,H239=$F$11,H239=$F$12,H239=$F$13,H239=$F$14),SottocategorieUscite[[#Headers],[Casa]],IF(OR(H239=$G$5,H239=$G$6,H239=$G$7,H239=$G$8,H239=$G$9,H239=$G$10,H239=$G$11,H239=$G$12,H239=$G$13,H239=$G$14),SottocategorieUscite[[#Headers],[Utenze]],IF(OR(H239=$H$5,H239=$H$6,H239=$H$7,H239=$H$8,H239=$H$9,H239=$H$10,H239=$H$11,H239=$H$12,H239=$H$13,H239=$H$14),SottocategorieUscite[[#Headers],[Business Uscite]],IF(OR(H239=$I$5,H239=$I$6,H239=$I$7,H239=$I$8,H239=$I$9,H239=$I$10,H239=$I$11,H239=$I$12,H239=$I$13,H239=$I$14),SottocategorieUscite[[#Headers],[Banca]],IF(OR(H239=K$5,H239=K$6,H239=K$7,H239=K$8,H239=K$9,H239=K$10,H239=K$11,H239=K$12,H239=K$13,H239=K$14),SottocategorieEntrate[[#Headers],[Business Entrate]],IF(OR(H239=L$5,H239=L$6,H239=L$7,H239=L$8,H239=L$9,H239=L$10,H239=L$11,H239=L$12,H239=L$13,H239=L$14),SottocategorieEntrate[[#Headers],[Varie Entrate]],IF(OR(H239=M$5,H239=M$6,H239=M$7,H239=M$8,H239=M$9,H239=M$10,H239=M$11,H239=M$12,H239=M$13,H239=M$14),SottocategorieEntrate[[#Headers],[Real Estate]],IF(OR(H239=N$5,H239=N$6,H239=N$7,H239=N$8,H239=N$9,H239=N$10,H239=N$11,H239=N$12,H239=N$13,H239=N$14),SottocategorieEntrate[[#Headers],[Other]],""))))))))))))</f>
        <v/>
      </c>
      <c r="J239" t="str">
        <f>IF(OR(Dati[[#This Row],[Categoria]]="Bollette",Dati[[#This Row],[Categoria]]="Conto &amp; Carte BNL",Dati[[#This Row],[Categoria]]="Prelievo",Dati[[#This Row],[Categoria]]="Affitto",Dati[[#This Row],[Categoria]]="BNL(Interessi Creditori)"),"Carta",IF(Dati[[#This Row],[Categoria]]&lt;&gt;0,"Cash",""))</f>
        <v/>
      </c>
      <c r="K239" s="59" t="str">
        <f>IF(OR(Data!$I239=SottocategorieUscite[[#Headers],[Fuori Casa]],Data!$I239=SottocategorieUscite[[#Headers],[Varie Uscite]],Data!$I239=SottocategorieUscite[[#Headers],[Personali]],Data!$I239=SottocategorieUscite[[#Headers],[Lavoro]]),"$ -","")</f>
        <v/>
      </c>
      <c r="L239" s="59" t="str">
        <f>IF(OR(Data!$I239=SottocategorieUscite[[#Headers],[Casa]],Data!$I239=SottocategorieUscite[[#Headers],[Utenze]],Data!$I239=SottocategorieUscite[[#Headers],[Business Uscite]],Data!$I239=SottocategorieUscite[[#Headers],[Banca]]),"$ -","")</f>
        <v/>
      </c>
      <c r="M239" s="59" t="str">
        <f>IF(OR($I239&lt;&gt;SottocategorieUscite[[#Headers],[Fuori Casa]],$I239&lt;&gt;SottocategorieUscite[[#Headers],[Varie Uscite]],$I239&lt;&gt;SottocategorieUscite[[#Headers],[Personali]],$I239&lt;&gt;SottocategorieUscite[[#Headers],[Lavoro]],$I239&lt;&gt;SottocategorieUscite[[#Headers],[Casa]],$I239&lt;&gt;SottocategorieUscite[[#Headers],[Utenze]],$I239&lt;&gt;SottocategorieUscite[[#Headers],[Business Uscite]],$I239&lt;&gt;SottocategorieUscite[[#Headers],[Banca]]),"","$ -")</f>
        <v/>
      </c>
      <c r="N239" s="59" t="str">
        <f>IF(OR(Data!$I239=SottocategorieEntrate[[#Headers],[Business Entrate]],Data!$I239=SottocategorieEntrate[[#Headers],[Varie Entrate]]),"$ -","")</f>
        <v/>
      </c>
      <c r="O239" s="59" t="str">
        <f>IF(OR(Data!$I239=SottocategorieEntrate[[#Headers],[Real Estate]],SottocategorieEntrate[[#Headers],[Other]]),"$ -","")</f>
        <v/>
      </c>
      <c r="P239" s="59" t="str">
        <f>IF(OR($I239&lt;&gt;SottocategorieEntrate[[#Headers],[Business Entrate]],$I239&lt;&gt;SottocategorieEntrate[[#Headers],[Varie Entrate]],$I239&lt;&gt;SottocategorieEntrate[[#Headers],[Real Estate]],$I239&lt;&gt;SottocategorieEntrate[[#Headers],[Other]]),"","$ -")</f>
        <v/>
      </c>
      <c r="Q239" s="59" t="str">
        <f>IF(Dati[[#This Row],[Categoria]]="Prelievo","€ -","")</f>
        <v/>
      </c>
      <c r="R239" s="244" t="str">
        <f t="shared" ca="1" si="11"/>
        <v/>
      </c>
      <c r="S239" s="59" t="str">
        <f>IF(Dati[[#This Row],[Categoria]]="Savings",0,"")</f>
        <v/>
      </c>
      <c r="T239" s="59"/>
      <c r="U239" s="59"/>
      <c r="V239" s="59"/>
      <c r="W239" s="59"/>
      <c r="X239" s="59"/>
      <c r="Y239" s="59"/>
      <c r="Z239" s="59"/>
      <c r="AA239" s="59"/>
      <c r="AB239" s="59"/>
      <c r="AC239" s="59"/>
      <c r="AD239" s="59"/>
      <c r="AE239" s="59"/>
      <c r="AF239" s="59"/>
      <c r="AG239" s="59"/>
      <c r="AH239" s="59"/>
      <c r="AI239" s="59" t="str">
        <f>IF(SUM(Dati[[#This Row],[Inv. Business]:[Inv. Cryptocurrency]])=0," ",SUM(Dati[[#This Row],[Inv. Business]:[Inv. Cryptocurrency]]))</f>
        <v xml:space="preserve"> </v>
      </c>
      <c r="AJ239" s="59"/>
      <c r="AK239" s="59" t="str">
        <f>IF(SUM(Dati[[#This Row],[Inv. Gold]:[Mutuo]])=0," ",SUM(Dati[[#This Row],[Inv. Gold]:[Mutuo]]))</f>
        <v xml:space="preserve"> </v>
      </c>
      <c r="AL239" s="59"/>
      <c r="AM239" s="59"/>
    </row>
    <row r="240" spans="2:39" ht="16" customHeight="1" x14ac:dyDescent="0.35">
      <c r="B240">
        <f t="shared" si="9"/>
        <v>220</v>
      </c>
      <c r="C240" s="49">
        <f t="shared" si="10"/>
        <v>45146</v>
      </c>
      <c r="D240" s="29">
        <f>DAY(Dati[[#This Row],[Data]])</f>
        <v>8</v>
      </c>
      <c r="E240" s="29" t="str">
        <f>IF(DAY(Data!$C$21:$C$1327)&gt;0,TEXT(Data!$C$21:$C$1327, "mmmm"),"")</f>
        <v>agosto</v>
      </c>
      <c r="F240" s="29" t="str">
        <f>IF(DAY(Data!$C$21:$C$1327)&gt;0,TEXT(Data!$C$21:$C$1327, "aaaa"),"")</f>
        <v>2023</v>
      </c>
      <c r="I240" t="str">
        <f>IF(OR(H240=$B$5,H240=$B$6,H240=$B$7,H240=$B$8,H240=$B$9,H240=$B$10,H240=$B$11,H240=$B$12,H240=$B$13,H240=$B$14),SottocategorieUscite[[#Headers],[Fuori Casa]],IF(OR(H240=$C$5,H240=$C$6,H240=$C$7,H240=$C$8,H240=$C$9,H240=$C$10,H240=$C$11,H240=$C$12,H240=$C$13,H240=$C$14),SottocategorieUscite[[#Headers],[Varie Uscite]],IF(OR(H240=$D$5,H240=$D$6,H240=$D$7,H240=$D$8,H240=$D$9,H240=$D$10,H240=$D$11,H240=$D$12,H240=$D$13,H240=$D$14),SottocategorieUscite[[#Headers],[Personali]],IF(OR(H240=$E$5,H240=$E$6,H240=$E$7,H240=$E$8,H240=$E$9,H240=$E$10,H240=$E$11,H240=$E$12,H240=$E$13,H240=$E$14),SottocategorieUscite[[#Headers],[Lavoro]],IF(OR(H240=$F$5,H240=$F$6,H240=$F$7,H240=$F$8,H240=$F$9,H240=$F$10,H240=$F$11,H240=$F$12,H240=$F$13,H240=$F$14),SottocategorieUscite[[#Headers],[Casa]],IF(OR(H240=$G$5,H240=$G$6,H240=$G$7,H240=$G$8,H240=$G$9,H240=$G$10,H240=$G$11,H240=$G$12,H240=$G$13,H240=$G$14),SottocategorieUscite[[#Headers],[Utenze]],IF(OR(H240=$H$5,H240=$H$6,H240=$H$7,H240=$H$8,H240=$H$9,H240=$H$10,H240=$H$11,H240=$H$12,H240=$H$13,H240=$H$14),SottocategorieUscite[[#Headers],[Business Uscite]],IF(OR(H240=$I$5,H240=$I$6,H240=$I$7,H240=$I$8,H240=$I$9,H240=$I$10,H240=$I$11,H240=$I$12,H240=$I$13,H240=$I$14),SottocategorieUscite[[#Headers],[Banca]],IF(OR(H240=K$5,H240=K$6,H240=K$7,H240=K$8,H240=K$9,H240=K$10,H240=K$11,H240=K$12,H240=K$13,H240=K$14),SottocategorieEntrate[[#Headers],[Business Entrate]],IF(OR(H240=L$5,H240=L$6,H240=L$7,H240=L$8,H240=L$9,H240=L$10,H240=L$11,H240=L$12,H240=L$13,H240=L$14),SottocategorieEntrate[[#Headers],[Varie Entrate]],IF(OR(H240=M$5,H240=M$6,H240=M$7,H240=M$8,H240=M$9,H240=M$10,H240=M$11,H240=M$12,H240=M$13,H240=M$14),SottocategorieEntrate[[#Headers],[Real Estate]],IF(OR(H240=N$5,H240=N$6,H240=N$7,H240=N$8,H240=N$9,H240=N$10,H240=N$11,H240=N$12,H240=N$13,H240=N$14),SottocategorieEntrate[[#Headers],[Other]],""))))))))))))</f>
        <v/>
      </c>
      <c r="J240" t="str">
        <f>IF(OR(Dati[[#This Row],[Categoria]]="Bollette",Dati[[#This Row],[Categoria]]="Conto &amp; Carte BNL",Dati[[#This Row],[Categoria]]="Prelievo",Dati[[#This Row],[Categoria]]="Affitto",Dati[[#This Row],[Categoria]]="BNL(Interessi Creditori)"),"Carta",IF(Dati[[#This Row],[Categoria]]&lt;&gt;0,"Cash",""))</f>
        <v/>
      </c>
      <c r="K240" s="59" t="str">
        <f>IF(OR(Data!$I240=SottocategorieUscite[[#Headers],[Fuori Casa]],Data!$I240=SottocategorieUscite[[#Headers],[Varie Uscite]],Data!$I240=SottocategorieUscite[[#Headers],[Personali]],Data!$I240=SottocategorieUscite[[#Headers],[Lavoro]]),"$ -","")</f>
        <v/>
      </c>
      <c r="L240" s="59" t="str">
        <f>IF(OR(Data!$I240=SottocategorieUscite[[#Headers],[Casa]],Data!$I240=SottocategorieUscite[[#Headers],[Utenze]],Data!$I240=SottocategorieUscite[[#Headers],[Business Uscite]],Data!$I240=SottocategorieUscite[[#Headers],[Banca]]),"$ -","")</f>
        <v/>
      </c>
      <c r="M240" s="59" t="str">
        <f>IF(OR($I240&lt;&gt;SottocategorieUscite[[#Headers],[Fuori Casa]],$I240&lt;&gt;SottocategorieUscite[[#Headers],[Varie Uscite]],$I240&lt;&gt;SottocategorieUscite[[#Headers],[Personali]],$I240&lt;&gt;SottocategorieUscite[[#Headers],[Lavoro]],$I240&lt;&gt;SottocategorieUscite[[#Headers],[Casa]],$I240&lt;&gt;SottocategorieUscite[[#Headers],[Utenze]],$I240&lt;&gt;SottocategorieUscite[[#Headers],[Business Uscite]],$I240&lt;&gt;SottocategorieUscite[[#Headers],[Banca]]),"","$ -")</f>
        <v/>
      </c>
      <c r="N240" s="59" t="str">
        <f>IF(OR(Data!$I240=SottocategorieEntrate[[#Headers],[Business Entrate]],Data!$I240=SottocategorieEntrate[[#Headers],[Varie Entrate]]),"$ -","")</f>
        <v/>
      </c>
      <c r="O240" s="59" t="str">
        <f>IF(OR(Data!$I240=SottocategorieEntrate[[#Headers],[Real Estate]],SottocategorieEntrate[[#Headers],[Other]]),"$ -","")</f>
        <v/>
      </c>
      <c r="P240" s="59" t="str">
        <f>IF(OR($I240&lt;&gt;SottocategorieEntrate[[#Headers],[Business Entrate]],$I240&lt;&gt;SottocategorieEntrate[[#Headers],[Varie Entrate]],$I240&lt;&gt;SottocategorieEntrate[[#Headers],[Real Estate]],$I240&lt;&gt;SottocategorieEntrate[[#Headers],[Other]]),"","$ -")</f>
        <v/>
      </c>
      <c r="Q240" s="59" t="str">
        <f>IF(Dati[[#This Row],[Categoria]]="Prelievo","€ -","")</f>
        <v/>
      </c>
      <c r="R240" s="244" t="str">
        <f t="shared" ca="1" si="11"/>
        <v/>
      </c>
      <c r="S240" s="59" t="str">
        <f>IF(Dati[[#This Row],[Categoria]]="Savings",0,"")</f>
        <v/>
      </c>
      <c r="T240" s="59"/>
      <c r="U240" s="59"/>
      <c r="V240" s="59"/>
      <c r="W240" s="59"/>
      <c r="X240" s="59"/>
      <c r="Y240" s="59"/>
      <c r="Z240" s="59"/>
      <c r="AA240" s="59"/>
      <c r="AB240" s="59"/>
      <c r="AC240" s="59"/>
      <c r="AD240" s="59"/>
      <c r="AE240" s="59"/>
      <c r="AF240" s="59"/>
      <c r="AG240" s="59"/>
      <c r="AH240" s="59"/>
      <c r="AI240" s="59" t="str">
        <f>IF(SUM(Dati[[#This Row],[Inv. Business]:[Inv. Cryptocurrency]])=0," ",SUM(Dati[[#This Row],[Inv. Business]:[Inv. Cryptocurrency]]))</f>
        <v xml:space="preserve"> </v>
      </c>
      <c r="AJ240" s="59"/>
      <c r="AK240" s="59" t="str">
        <f>IF(SUM(Dati[[#This Row],[Inv. Gold]:[Mutuo]])=0," ",SUM(Dati[[#This Row],[Inv. Gold]:[Mutuo]]))</f>
        <v xml:space="preserve"> </v>
      </c>
      <c r="AL240" s="59"/>
      <c r="AM240" s="59"/>
    </row>
    <row r="241" spans="2:39" ht="16" customHeight="1" x14ac:dyDescent="0.35">
      <c r="B241">
        <f t="shared" si="9"/>
        <v>221</v>
      </c>
      <c r="C241" s="49">
        <f t="shared" si="10"/>
        <v>45147</v>
      </c>
      <c r="D241" s="29">
        <f>DAY(Dati[[#This Row],[Data]])</f>
        <v>9</v>
      </c>
      <c r="E241" s="29" t="str">
        <f>IF(DAY(Data!$C$21:$C$1327)&gt;0,TEXT(Data!$C$21:$C$1327, "mmmm"),"")</f>
        <v>agosto</v>
      </c>
      <c r="F241" s="29" t="str">
        <f>IF(DAY(Data!$C$21:$C$1327)&gt;0,TEXT(Data!$C$21:$C$1327, "aaaa"),"")</f>
        <v>2023</v>
      </c>
      <c r="I241" t="str">
        <f>IF(OR(H241=$B$5,H241=$B$6,H241=$B$7,H241=$B$8,H241=$B$9,H241=$B$10,H241=$B$11,H241=$B$12,H241=$B$13,H241=$B$14),SottocategorieUscite[[#Headers],[Fuori Casa]],IF(OR(H241=$C$5,H241=$C$6,H241=$C$7,H241=$C$8,H241=$C$9,H241=$C$10,H241=$C$11,H241=$C$12,H241=$C$13,H241=$C$14),SottocategorieUscite[[#Headers],[Varie Uscite]],IF(OR(H241=$D$5,H241=$D$6,H241=$D$7,H241=$D$8,H241=$D$9,H241=$D$10,H241=$D$11,H241=$D$12,H241=$D$13,H241=$D$14),SottocategorieUscite[[#Headers],[Personali]],IF(OR(H241=$E$5,H241=$E$6,H241=$E$7,H241=$E$8,H241=$E$9,H241=$E$10,H241=$E$11,H241=$E$12,H241=$E$13,H241=$E$14),SottocategorieUscite[[#Headers],[Lavoro]],IF(OR(H241=$F$5,H241=$F$6,H241=$F$7,H241=$F$8,H241=$F$9,H241=$F$10,H241=$F$11,H241=$F$12,H241=$F$13,H241=$F$14),SottocategorieUscite[[#Headers],[Casa]],IF(OR(H241=$G$5,H241=$G$6,H241=$G$7,H241=$G$8,H241=$G$9,H241=$G$10,H241=$G$11,H241=$G$12,H241=$G$13,H241=$G$14),SottocategorieUscite[[#Headers],[Utenze]],IF(OR(H241=$H$5,H241=$H$6,H241=$H$7,H241=$H$8,H241=$H$9,H241=$H$10,H241=$H$11,H241=$H$12,H241=$H$13,H241=$H$14),SottocategorieUscite[[#Headers],[Business Uscite]],IF(OR(H241=$I$5,H241=$I$6,H241=$I$7,H241=$I$8,H241=$I$9,H241=$I$10,H241=$I$11,H241=$I$12,H241=$I$13,H241=$I$14),SottocategorieUscite[[#Headers],[Banca]],IF(OR(H241=K$5,H241=K$6,H241=K$7,H241=K$8,H241=K$9,H241=K$10,H241=K$11,H241=K$12,H241=K$13,H241=K$14),SottocategorieEntrate[[#Headers],[Business Entrate]],IF(OR(H241=L$5,H241=L$6,H241=L$7,H241=L$8,H241=L$9,H241=L$10,H241=L$11,H241=L$12,H241=L$13,H241=L$14),SottocategorieEntrate[[#Headers],[Varie Entrate]],IF(OR(H241=M$5,H241=M$6,H241=M$7,H241=M$8,H241=M$9,H241=M$10,H241=M$11,H241=M$12,H241=M$13,H241=M$14),SottocategorieEntrate[[#Headers],[Real Estate]],IF(OR(H241=N$5,H241=N$6,H241=N$7,H241=N$8,H241=N$9,H241=N$10,H241=N$11,H241=N$12,H241=N$13,H241=N$14),SottocategorieEntrate[[#Headers],[Other]],""))))))))))))</f>
        <v/>
      </c>
      <c r="J241" t="str">
        <f>IF(OR(Dati[[#This Row],[Categoria]]="Bollette",Dati[[#This Row],[Categoria]]="Conto &amp; Carte BNL",Dati[[#This Row],[Categoria]]="Prelievo",Dati[[#This Row],[Categoria]]="Affitto",Dati[[#This Row],[Categoria]]="BNL(Interessi Creditori)"),"Carta",IF(Dati[[#This Row],[Categoria]]&lt;&gt;0,"Cash",""))</f>
        <v/>
      </c>
      <c r="K241" s="59" t="str">
        <f>IF(OR(Data!$I241=SottocategorieUscite[[#Headers],[Fuori Casa]],Data!$I241=SottocategorieUscite[[#Headers],[Varie Uscite]],Data!$I241=SottocategorieUscite[[#Headers],[Personali]],Data!$I241=SottocategorieUscite[[#Headers],[Lavoro]]),"$ -","")</f>
        <v/>
      </c>
      <c r="L241" s="59" t="str">
        <f>IF(OR(Data!$I241=SottocategorieUscite[[#Headers],[Casa]],Data!$I241=SottocategorieUscite[[#Headers],[Utenze]],Data!$I241=SottocategorieUscite[[#Headers],[Business Uscite]],Data!$I241=SottocategorieUscite[[#Headers],[Banca]]),"$ -","")</f>
        <v/>
      </c>
      <c r="M241" s="59" t="str">
        <f>IF(OR($I241&lt;&gt;SottocategorieUscite[[#Headers],[Fuori Casa]],$I241&lt;&gt;SottocategorieUscite[[#Headers],[Varie Uscite]],$I241&lt;&gt;SottocategorieUscite[[#Headers],[Personali]],$I241&lt;&gt;SottocategorieUscite[[#Headers],[Lavoro]],$I241&lt;&gt;SottocategorieUscite[[#Headers],[Casa]],$I241&lt;&gt;SottocategorieUscite[[#Headers],[Utenze]],$I241&lt;&gt;SottocategorieUscite[[#Headers],[Business Uscite]],$I241&lt;&gt;SottocategorieUscite[[#Headers],[Banca]]),"","$ -")</f>
        <v/>
      </c>
      <c r="N241" s="59" t="str">
        <f>IF(OR(Data!$I241=SottocategorieEntrate[[#Headers],[Business Entrate]],Data!$I241=SottocategorieEntrate[[#Headers],[Varie Entrate]]),"$ -","")</f>
        <v/>
      </c>
      <c r="O241" s="59" t="str">
        <f>IF(OR(Data!$I241=SottocategorieEntrate[[#Headers],[Real Estate]],SottocategorieEntrate[[#Headers],[Other]]),"$ -","")</f>
        <v/>
      </c>
      <c r="P241" s="59" t="str">
        <f>IF(OR($I241&lt;&gt;SottocategorieEntrate[[#Headers],[Business Entrate]],$I241&lt;&gt;SottocategorieEntrate[[#Headers],[Varie Entrate]],$I241&lt;&gt;SottocategorieEntrate[[#Headers],[Real Estate]],$I241&lt;&gt;SottocategorieEntrate[[#Headers],[Other]]),"","$ -")</f>
        <v/>
      </c>
      <c r="Q241" s="59" t="str">
        <f>IF(Dati[[#This Row],[Categoria]]="Prelievo","€ -","")</f>
        <v/>
      </c>
      <c r="R241" s="244" t="str">
        <f t="shared" ca="1" si="11"/>
        <v/>
      </c>
      <c r="S241" s="59" t="str">
        <f>IF(Dati[[#This Row],[Categoria]]="Savings",0,"")</f>
        <v/>
      </c>
      <c r="T241" s="59"/>
      <c r="U241" s="59"/>
      <c r="V241" s="59"/>
      <c r="W241" s="59"/>
      <c r="X241" s="59"/>
      <c r="Y241" s="59"/>
      <c r="Z241" s="59"/>
      <c r="AA241" s="59"/>
      <c r="AB241" s="59"/>
      <c r="AC241" s="59"/>
      <c r="AD241" s="59"/>
      <c r="AE241" s="59"/>
      <c r="AF241" s="59"/>
      <c r="AG241" s="59"/>
      <c r="AH241" s="59"/>
      <c r="AI241" s="59" t="str">
        <f>IF(SUM(Dati[[#This Row],[Inv. Business]:[Inv. Cryptocurrency]])=0," ",SUM(Dati[[#This Row],[Inv. Business]:[Inv. Cryptocurrency]]))</f>
        <v xml:space="preserve"> </v>
      </c>
      <c r="AJ241" s="59"/>
      <c r="AK241" s="59" t="str">
        <f>IF(SUM(Dati[[#This Row],[Inv. Gold]:[Mutuo]])=0," ",SUM(Dati[[#This Row],[Inv. Gold]:[Mutuo]]))</f>
        <v xml:space="preserve"> </v>
      </c>
      <c r="AL241" s="59"/>
      <c r="AM241" s="59"/>
    </row>
    <row r="242" spans="2:39" ht="16" customHeight="1" x14ac:dyDescent="0.35">
      <c r="B242">
        <f t="shared" si="9"/>
        <v>222</v>
      </c>
      <c r="C242" s="49">
        <f t="shared" si="10"/>
        <v>45148</v>
      </c>
      <c r="D242" s="29">
        <f>DAY(Dati[[#This Row],[Data]])</f>
        <v>10</v>
      </c>
      <c r="E242" s="29" t="str">
        <f>IF(DAY(Data!$C$21:$C$1327)&gt;0,TEXT(Data!$C$21:$C$1327, "mmmm"),"")</f>
        <v>agosto</v>
      </c>
      <c r="F242" s="29" t="str">
        <f>IF(DAY(Data!$C$21:$C$1327)&gt;0,TEXT(Data!$C$21:$C$1327, "aaaa"),"")</f>
        <v>2023</v>
      </c>
      <c r="I242" t="str">
        <f>IF(OR(H242=$B$5,H242=$B$6,H242=$B$7,H242=$B$8,H242=$B$9,H242=$B$10,H242=$B$11,H242=$B$12,H242=$B$13,H242=$B$14),SottocategorieUscite[[#Headers],[Fuori Casa]],IF(OR(H242=$C$5,H242=$C$6,H242=$C$7,H242=$C$8,H242=$C$9,H242=$C$10,H242=$C$11,H242=$C$12,H242=$C$13,H242=$C$14),SottocategorieUscite[[#Headers],[Varie Uscite]],IF(OR(H242=$D$5,H242=$D$6,H242=$D$7,H242=$D$8,H242=$D$9,H242=$D$10,H242=$D$11,H242=$D$12,H242=$D$13,H242=$D$14),SottocategorieUscite[[#Headers],[Personali]],IF(OR(H242=$E$5,H242=$E$6,H242=$E$7,H242=$E$8,H242=$E$9,H242=$E$10,H242=$E$11,H242=$E$12,H242=$E$13,H242=$E$14),SottocategorieUscite[[#Headers],[Lavoro]],IF(OR(H242=$F$5,H242=$F$6,H242=$F$7,H242=$F$8,H242=$F$9,H242=$F$10,H242=$F$11,H242=$F$12,H242=$F$13,H242=$F$14),SottocategorieUscite[[#Headers],[Casa]],IF(OR(H242=$G$5,H242=$G$6,H242=$G$7,H242=$G$8,H242=$G$9,H242=$G$10,H242=$G$11,H242=$G$12,H242=$G$13,H242=$G$14),SottocategorieUscite[[#Headers],[Utenze]],IF(OR(H242=$H$5,H242=$H$6,H242=$H$7,H242=$H$8,H242=$H$9,H242=$H$10,H242=$H$11,H242=$H$12,H242=$H$13,H242=$H$14),SottocategorieUscite[[#Headers],[Business Uscite]],IF(OR(H242=$I$5,H242=$I$6,H242=$I$7,H242=$I$8,H242=$I$9,H242=$I$10,H242=$I$11,H242=$I$12,H242=$I$13,H242=$I$14),SottocategorieUscite[[#Headers],[Banca]],IF(OR(H242=K$5,H242=K$6,H242=K$7,H242=K$8,H242=K$9,H242=K$10,H242=K$11,H242=K$12,H242=K$13,H242=K$14),SottocategorieEntrate[[#Headers],[Business Entrate]],IF(OR(H242=L$5,H242=L$6,H242=L$7,H242=L$8,H242=L$9,H242=L$10,H242=L$11,H242=L$12,H242=L$13,H242=L$14),SottocategorieEntrate[[#Headers],[Varie Entrate]],IF(OR(H242=M$5,H242=M$6,H242=M$7,H242=M$8,H242=M$9,H242=M$10,H242=M$11,H242=M$12,H242=M$13,H242=M$14),SottocategorieEntrate[[#Headers],[Real Estate]],IF(OR(H242=N$5,H242=N$6,H242=N$7,H242=N$8,H242=N$9,H242=N$10,H242=N$11,H242=N$12,H242=N$13,H242=N$14),SottocategorieEntrate[[#Headers],[Other]],""))))))))))))</f>
        <v/>
      </c>
      <c r="J242" t="str">
        <f>IF(OR(Dati[[#This Row],[Categoria]]="Bollette",Dati[[#This Row],[Categoria]]="Conto &amp; Carte BNL",Dati[[#This Row],[Categoria]]="Prelievo",Dati[[#This Row],[Categoria]]="Affitto",Dati[[#This Row],[Categoria]]="BNL(Interessi Creditori)"),"Carta",IF(Dati[[#This Row],[Categoria]]&lt;&gt;0,"Cash",""))</f>
        <v/>
      </c>
      <c r="K242" s="59" t="str">
        <f>IF(OR(Data!$I242=SottocategorieUscite[[#Headers],[Fuori Casa]],Data!$I242=SottocategorieUscite[[#Headers],[Varie Uscite]],Data!$I242=SottocategorieUscite[[#Headers],[Personali]],Data!$I242=SottocategorieUscite[[#Headers],[Lavoro]]),"$ -","")</f>
        <v/>
      </c>
      <c r="L242" s="59" t="str">
        <f>IF(OR(Data!$I242=SottocategorieUscite[[#Headers],[Casa]],Data!$I242=SottocategorieUscite[[#Headers],[Utenze]],Data!$I242=SottocategorieUscite[[#Headers],[Business Uscite]],Data!$I242=SottocategorieUscite[[#Headers],[Banca]]),"$ -","")</f>
        <v/>
      </c>
      <c r="M242" s="59" t="str">
        <f>IF(OR($I242&lt;&gt;SottocategorieUscite[[#Headers],[Fuori Casa]],$I242&lt;&gt;SottocategorieUscite[[#Headers],[Varie Uscite]],$I242&lt;&gt;SottocategorieUscite[[#Headers],[Personali]],$I242&lt;&gt;SottocategorieUscite[[#Headers],[Lavoro]],$I242&lt;&gt;SottocategorieUscite[[#Headers],[Casa]],$I242&lt;&gt;SottocategorieUscite[[#Headers],[Utenze]],$I242&lt;&gt;SottocategorieUscite[[#Headers],[Business Uscite]],$I242&lt;&gt;SottocategorieUscite[[#Headers],[Banca]]),"","$ -")</f>
        <v/>
      </c>
      <c r="N242" s="59" t="str">
        <f>IF(OR(Data!$I242=SottocategorieEntrate[[#Headers],[Business Entrate]],Data!$I242=SottocategorieEntrate[[#Headers],[Varie Entrate]]),"$ -","")</f>
        <v/>
      </c>
      <c r="O242" s="59" t="str">
        <f>IF(OR(Data!$I242=SottocategorieEntrate[[#Headers],[Real Estate]],SottocategorieEntrate[[#Headers],[Other]]),"$ -","")</f>
        <v/>
      </c>
      <c r="P242" s="59" t="str">
        <f>IF(OR($I242&lt;&gt;SottocategorieEntrate[[#Headers],[Business Entrate]],$I242&lt;&gt;SottocategorieEntrate[[#Headers],[Varie Entrate]],$I242&lt;&gt;SottocategorieEntrate[[#Headers],[Real Estate]],$I242&lt;&gt;SottocategorieEntrate[[#Headers],[Other]]),"","$ -")</f>
        <v/>
      </c>
      <c r="Q242" s="59" t="str">
        <f>IF(Dati[[#This Row],[Categoria]]="Prelievo","€ -","")</f>
        <v/>
      </c>
      <c r="R242" s="244" t="str">
        <f t="shared" ca="1" si="11"/>
        <v/>
      </c>
      <c r="S242" s="59" t="str">
        <f>IF(Dati[[#This Row],[Categoria]]="Savings",0,"")</f>
        <v/>
      </c>
      <c r="T242" s="59"/>
      <c r="U242" s="59"/>
      <c r="V242" s="59"/>
      <c r="W242" s="59"/>
      <c r="X242" s="59"/>
      <c r="Y242" s="59"/>
      <c r="Z242" s="59"/>
      <c r="AA242" s="59"/>
      <c r="AB242" s="59"/>
      <c r="AC242" s="59"/>
      <c r="AD242" s="59"/>
      <c r="AE242" s="59"/>
      <c r="AF242" s="59"/>
      <c r="AG242" s="59"/>
      <c r="AH242" s="59"/>
      <c r="AI242" s="59" t="str">
        <f>IF(SUM(Dati[[#This Row],[Inv. Business]:[Inv. Cryptocurrency]])=0," ",SUM(Dati[[#This Row],[Inv. Business]:[Inv. Cryptocurrency]]))</f>
        <v xml:space="preserve"> </v>
      </c>
      <c r="AJ242" s="59"/>
      <c r="AK242" s="59" t="str">
        <f>IF(SUM(Dati[[#This Row],[Inv. Gold]:[Mutuo]])=0," ",SUM(Dati[[#This Row],[Inv. Gold]:[Mutuo]]))</f>
        <v xml:space="preserve"> </v>
      </c>
      <c r="AL242" s="59"/>
      <c r="AM242" s="59"/>
    </row>
    <row r="243" spans="2:39" ht="16" customHeight="1" x14ac:dyDescent="0.35">
      <c r="B243">
        <f t="shared" si="9"/>
        <v>223</v>
      </c>
      <c r="C243" s="49">
        <f t="shared" si="10"/>
        <v>45149</v>
      </c>
      <c r="D243" s="29">
        <f>DAY(Dati[[#This Row],[Data]])</f>
        <v>11</v>
      </c>
      <c r="E243" s="29" t="str">
        <f>IF(DAY(Data!$C$21:$C$1327)&gt;0,TEXT(Data!$C$21:$C$1327, "mmmm"),"")</f>
        <v>agosto</v>
      </c>
      <c r="F243" s="29" t="str">
        <f>IF(DAY(Data!$C$21:$C$1327)&gt;0,TEXT(Data!$C$21:$C$1327, "aaaa"),"")</f>
        <v>2023</v>
      </c>
      <c r="I243" t="str">
        <f>IF(OR(H243=$B$5,H243=$B$6,H243=$B$7,H243=$B$8,H243=$B$9,H243=$B$10,H243=$B$11,H243=$B$12,H243=$B$13,H243=$B$14),SottocategorieUscite[[#Headers],[Fuori Casa]],IF(OR(H243=$C$5,H243=$C$6,H243=$C$7,H243=$C$8,H243=$C$9,H243=$C$10,H243=$C$11,H243=$C$12,H243=$C$13,H243=$C$14),SottocategorieUscite[[#Headers],[Varie Uscite]],IF(OR(H243=$D$5,H243=$D$6,H243=$D$7,H243=$D$8,H243=$D$9,H243=$D$10,H243=$D$11,H243=$D$12,H243=$D$13,H243=$D$14),SottocategorieUscite[[#Headers],[Personali]],IF(OR(H243=$E$5,H243=$E$6,H243=$E$7,H243=$E$8,H243=$E$9,H243=$E$10,H243=$E$11,H243=$E$12,H243=$E$13,H243=$E$14),SottocategorieUscite[[#Headers],[Lavoro]],IF(OR(H243=$F$5,H243=$F$6,H243=$F$7,H243=$F$8,H243=$F$9,H243=$F$10,H243=$F$11,H243=$F$12,H243=$F$13,H243=$F$14),SottocategorieUscite[[#Headers],[Casa]],IF(OR(H243=$G$5,H243=$G$6,H243=$G$7,H243=$G$8,H243=$G$9,H243=$G$10,H243=$G$11,H243=$G$12,H243=$G$13,H243=$G$14),SottocategorieUscite[[#Headers],[Utenze]],IF(OR(H243=$H$5,H243=$H$6,H243=$H$7,H243=$H$8,H243=$H$9,H243=$H$10,H243=$H$11,H243=$H$12,H243=$H$13,H243=$H$14),SottocategorieUscite[[#Headers],[Business Uscite]],IF(OR(H243=$I$5,H243=$I$6,H243=$I$7,H243=$I$8,H243=$I$9,H243=$I$10,H243=$I$11,H243=$I$12,H243=$I$13,H243=$I$14),SottocategorieUscite[[#Headers],[Banca]],IF(OR(H243=K$5,H243=K$6,H243=K$7,H243=K$8,H243=K$9,H243=K$10,H243=K$11,H243=K$12,H243=K$13,H243=K$14),SottocategorieEntrate[[#Headers],[Business Entrate]],IF(OR(H243=L$5,H243=L$6,H243=L$7,H243=L$8,H243=L$9,H243=L$10,H243=L$11,H243=L$12,H243=L$13,H243=L$14),SottocategorieEntrate[[#Headers],[Varie Entrate]],IF(OR(H243=M$5,H243=M$6,H243=M$7,H243=M$8,H243=M$9,H243=M$10,H243=M$11,H243=M$12,H243=M$13,H243=M$14),SottocategorieEntrate[[#Headers],[Real Estate]],IF(OR(H243=N$5,H243=N$6,H243=N$7,H243=N$8,H243=N$9,H243=N$10,H243=N$11,H243=N$12,H243=N$13,H243=N$14),SottocategorieEntrate[[#Headers],[Other]],""))))))))))))</f>
        <v/>
      </c>
      <c r="J243" t="str">
        <f>IF(OR(Dati[[#This Row],[Categoria]]="Bollette",Dati[[#This Row],[Categoria]]="Conto &amp; Carte BNL",Dati[[#This Row],[Categoria]]="Prelievo",Dati[[#This Row],[Categoria]]="Affitto",Dati[[#This Row],[Categoria]]="BNL(Interessi Creditori)"),"Carta",IF(Dati[[#This Row],[Categoria]]&lt;&gt;0,"Cash",""))</f>
        <v/>
      </c>
      <c r="K243" s="59" t="str">
        <f>IF(OR(Data!$I243=SottocategorieUscite[[#Headers],[Fuori Casa]],Data!$I243=SottocategorieUscite[[#Headers],[Varie Uscite]],Data!$I243=SottocategorieUscite[[#Headers],[Personali]],Data!$I243=SottocategorieUscite[[#Headers],[Lavoro]]),"$ -","")</f>
        <v/>
      </c>
      <c r="L243" s="59" t="str">
        <f>IF(OR(Data!$I243=SottocategorieUscite[[#Headers],[Casa]],Data!$I243=SottocategorieUscite[[#Headers],[Utenze]],Data!$I243=SottocategorieUscite[[#Headers],[Business Uscite]],Data!$I243=SottocategorieUscite[[#Headers],[Banca]]),"$ -","")</f>
        <v/>
      </c>
      <c r="M243" s="59" t="str">
        <f>IF(OR($I243&lt;&gt;SottocategorieUscite[[#Headers],[Fuori Casa]],$I243&lt;&gt;SottocategorieUscite[[#Headers],[Varie Uscite]],$I243&lt;&gt;SottocategorieUscite[[#Headers],[Personali]],$I243&lt;&gt;SottocategorieUscite[[#Headers],[Lavoro]],$I243&lt;&gt;SottocategorieUscite[[#Headers],[Casa]],$I243&lt;&gt;SottocategorieUscite[[#Headers],[Utenze]],$I243&lt;&gt;SottocategorieUscite[[#Headers],[Business Uscite]],$I243&lt;&gt;SottocategorieUscite[[#Headers],[Banca]]),"","$ -")</f>
        <v/>
      </c>
      <c r="N243" s="59" t="str">
        <f>IF(OR(Data!$I243=SottocategorieEntrate[[#Headers],[Business Entrate]],Data!$I243=SottocategorieEntrate[[#Headers],[Varie Entrate]]),"$ -","")</f>
        <v/>
      </c>
      <c r="O243" s="59" t="str">
        <f>IF(OR(Data!$I243=SottocategorieEntrate[[#Headers],[Real Estate]],SottocategorieEntrate[[#Headers],[Other]]),"$ -","")</f>
        <v/>
      </c>
      <c r="P243" s="59" t="str">
        <f>IF(OR($I243&lt;&gt;SottocategorieEntrate[[#Headers],[Business Entrate]],$I243&lt;&gt;SottocategorieEntrate[[#Headers],[Varie Entrate]],$I243&lt;&gt;SottocategorieEntrate[[#Headers],[Real Estate]],$I243&lt;&gt;SottocategorieEntrate[[#Headers],[Other]]),"","$ -")</f>
        <v/>
      </c>
      <c r="Q243" s="59" t="str">
        <f>IF(Dati[[#This Row],[Categoria]]="Prelievo","€ -","")</f>
        <v/>
      </c>
      <c r="R243" s="244" t="str">
        <f t="shared" ca="1" si="11"/>
        <v/>
      </c>
      <c r="S243" s="59" t="str">
        <f>IF(Dati[[#This Row],[Categoria]]="Savings",0,"")</f>
        <v/>
      </c>
      <c r="T243" s="59"/>
      <c r="U243" s="59"/>
      <c r="V243" s="59"/>
      <c r="W243" s="59"/>
      <c r="X243" s="59"/>
      <c r="Y243" s="59"/>
      <c r="Z243" s="59"/>
      <c r="AA243" s="59"/>
      <c r="AB243" s="59"/>
      <c r="AC243" s="59"/>
      <c r="AD243" s="59"/>
      <c r="AE243" s="59"/>
      <c r="AF243" s="59"/>
      <c r="AG243" s="59"/>
      <c r="AH243" s="59"/>
      <c r="AI243" s="59" t="str">
        <f>IF(SUM(Dati[[#This Row],[Inv. Business]:[Inv. Cryptocurrency]])=0," ",SUM(Dati[[#This Row],[Inv. Business]:[Inv. Cryptocurrency]]))</f>
        <v xml:space="preserve"> </v>
      </c>
      <c r="AJ243" s="59"/>
      <c r="AK243" s="59" t="str">
        <f>IF(SUM(Dati[[#This Row],[Inv. Gold]:[Mutuo]])=0," ",SUM(Dati[[#This Row],[Inv. Gold]:[Mutuo]]))</f>
        <v xml:space="preserve"> </v>
      </c>
      <c r="AL243" s="59"/>
      <c r="AM243" s="59"/>
    </row>
    <row r="244" spans="2:39" ht="16" customHeight="1" x14ac:dyDescent="0.35">
      <c r="B244">
        <f t="shared" si="9"/>
        <v>224</v>
      </c>
      <c r="C244" s="49">
        <f t="shared" si="10"/>
        <v>45150</v>
      </c>
      <c r="D244" s="29">
        <f>DAY(Dati[[#This Row],[Data]])</f>
        <v>12</v>
      </c>
      <c r="E244" s="29" t="str">
        <f>IF(DAY(Data!$C$21:$C$1327)&gt;0,TEXT(Data!$C$21:$C$1327, "mmmm"),"")</f>
        <v>agosto</v>
      </c>
      <c r="F244" s="29" t="str">
        <f>IF(DAY(Data!$C$21:$C$1327)&gt;0,TEXT(Data!$C$21:$C$1327, "aaaa"),"")</f>
        <v>2023</v>
      </c>
      <c r="I244" t="str">
        <f>IF(OR(H244=$B$5,H244=$B$6,H244=$B$7,H244=$B$8,H244=$B$9,H244=$B$10,H244=$B$11,H244=$B$12,H244=$B$13,H244=$B$14),SottocategorieUscite[[#Headers],[Fuori Casa]],IF(OR(H244=$C$5,H244=$C$6,H244=$C$7,H244=$C$8,H244=$C$9,H244=$C$10,H244=$C$11,H244=$C$12,H244=$C$13,H244=$C$14),SottocategorieUscite[[#Headers],[Varie Uscite]],IF(OR(H244=$D$5,H244=$D$6,H244=$D$7,H244=$D$8,H244=$D$9,H244=$D$10,H244=$D$11,H244=$D$12,H244=$D$13,H244=$D$14),SottocategorieUscite[[#Headers],[Personali]],IF(OR(H244=$E$5,H244=$E$6,H244=$E$7,H244=$E$8,H244=$E$9,H244=$E$10,H244=$E$11,H244=$E$12,H244=$E$13,H244=$E$14),SottocategorieUscite[[#Headers],[Lavoro]],IF(OR(H244=$F$5,H244=$F$6,H244=$F$7,H244=$F$8,H244=$F$9,H244=$F$10,H244=$F$11,H244=$F$12,H244=$F$13,H244=$F$14),SottocategorieUscite[[#Headers],[Casa]],IF(OR(H244=$G$5,H244=$G$6,H244=$G$7,H244=$G$8,H244=$G$9,H244=$G$10,H244=$G$11,H244=$G$12,H244=$G$13,H244=$G$14),SottocategorieUscite[[#Headers],[Utenze]],IF(OR(H244=$H$5,H244=$H$6,H244=$H$7,H244=$H$8,H244=$H$9,H244=$H$10,H244=$H$11,H244=$H$12,H244=$H$13,H244=$H$14),SottocategorieUscite[[#Headers],[Business Uscite]],IF(OR(H244=$I$5,H244=$I$6,H244=$I$7,H244=$I$8,H244=$I$9,H244=$I$10,H244=$I$11,H244=$I$12,H244=$I$13,H244=$I$14),SottocategorieUscite[[#Headers],[Banca]],IF(OR(H244=K$5,H244=K$6,H244=K$7,H244=K$8,H244=K$9,H244=K$10,H244=K$11,H244=K$12,H244=K$13,H244=K$14),SottocategorieEntrate[[#Headers],[Business Entrate]],IF(OR(H244=L$5,H244=L$6,H244=L$7,H244=L$8,H244=L$9,H244=L$10,H244=L$11,H244=L$12,H244=L$13,H244=L$14),SottocategorieEntrate[[#Headers],[Varie Entrate]],IF(OR(H244=M$5,H244=M$6,H244=M$7,H244=M$8,H244=M$9,H244=M$10,H244=M$11,H244=M$12,H244=M$13,H244=M$14),SottocategorieEntrate[[#Headers],[Real Estate]],IF(OR(H244=N$5,H244=N$6,H244=N$7,H244=N$8,H244=N$9,H244=N$10,H244=N$11,H244=N$12,H244=N$13,H244=N$14),SottocategorieEntrate[[#Headers],[Other]],""))))))))))))</f>
        <v/>
      </c>
      <c r="J244" t="str">
        <f>IF(OR(Dati[[#This Row],[Categoria]]="Bollette",Dati[[#This Row],[Categoria]]="Conto &amp; Carte BNL",Dati[[#This Row],[Categoria]]="Prelievo",Dati[[#This Row],[Categoria]]="Affitto",Dati[[#This Row],[Categoria]]="BNL(Interessi Creditori)"),"Carta",IF(Dati[[#This Row],[Categoria]]&lt;&gt;0,"Cash",""))</f>
        <v/>
      </c>
      <c r="K244" s="59" t="str">
        <f>IF(OR(Data!$I244=SottocategorieUscite[[#Headers],[Fuori Casa]],Data!$I244=SottocategorieUscite[[#Headers],[Varie Uscite]],Data!$I244=SottocategorieUscite[[#Headers],[Personali]],Data!$I244=SottocategorieUscite[[#Headers],[Lavoro]]),"$ -","")</f>
        <v/>
      </c>
      <c r="L244" s="59" t="str">
        <f>IF(OR(Data!$I244=SottocategorieUscite[[#Headers],[Casa]],Data!$I244=SottocategorieUscite[[#Headers],[Utenze]],Data!$I244=SottocategorieUscite[[#Headers],[Business Uscite]],Data!$I244=SottocategorieUscite[[#Headers],[Banca]]),"$ -","")</f>
        <v/>
      </c>
      <c r="M244" s="59" t="str">
        <f>IF(OR($I244&lt;&gt;SottocategorieUscite[[#Headers],[Fuori Casa]],$I244&lt;&gt;SottocategorieUscite[[#Headers],[Varie Uscite]],$I244&lt;&gt;SottocategorieUscite[[#Headers],[Personali]],$I244&lt;&gt;SottocategorieUscite[[#Headers],[Lavoro]],$I244&lt;&gt;SottocategorieUscite[[#Headers],[Casa]],$I244&lt;&gt;SottocategorieUscite[[#Headers],[Utenze]],$I244&lt;&gt;SottocategorieUscite[[#Headers],[Business Uscite]],$I244&lt;&gt;SottocategorieUscite[[#Headers],[Banca]]),"","$ -")</f>
        <v/>
      </c>
      <c r="N244" s="59" t="str">
        <f>IF(OR(Data!$I244=SottocategorieEntrate[[#Headers],[Business Entrate]],Data!$I244=SottocategorieEntrate[[#Headers],[Varie Entrate]]),"$ -","")</f>
        <v/>
      </c>
      <c r="O244" s="59" t="str">
        <f>IF(OR(Data!$I244=SottocategorieEntrate[[#Headers],[Real Estate]],SottocategorieEntrate[[#Headers],[Other]]),"$ -","")</f>
        <v/>
      </c>
      <c r="P244" s="59" t="str">
        <f>IF(OR($I244&lt;&gt;SottocategorieEntrate[[#Headers],[Business Entrate]],$I244&lt;&gt;SottocategorieEntrate[[#Headers],[Varie Entrate]],$I244&lt;&gt;SottocategorieEntrate[[#Headers],[Real Estate]],$I244&lt;&gt;SottocategorieEntrate[[#Headers],[Other]]),"","$ -")</f>
        <v/>
      </c>
      <c r="Q244" s="59" t="str">
        <f>IF(Dati[[#This Row],[Categoria]]="Prelievo","€ -","")</f>
        <v/>
      </c>
      <c r="R244" s="244" t="str">
        <f t="shared" ca="1" si="11"/>
        <v/>
      </c>
      <c r="S244" s="59" t="str">
        <f>IF(Dati[[#This Row],[Categoria]]="Savings",0,"")</f>
        <v/>
      </c>
      <c r="T244" s="59"/>
      <c r="U244" s="59"/>
      <c r="V244" s="59"/>
      <c r="W244" s="59"/>
      <c r="X244" s="59"/>
      <c r="Y244" s="59"/>
      <c r="Z244" s="59"/>
      <c r="AA244" s="59"/>
      <c r="AB244" s="59"/>
      <c r="AC244" s="59"/>
      <c r="AD244" s="59"/>
      <c r="AE244" s="59"/>
      <c r="AF244" s="59"/>
      <c r="AG244" s="59"/>
      <c r="AH244" s="59"/>
      <c r="AI244" s="59" t="str">
        <f>IF(SUM(Dati[[#This Row],[Inv. Business]:[Inv. Cryptocurrency]])=0," ",SUM(Dati[[#This Row],[Inv. Business]:[Inv. Cryptocurrency]]))</f>
        <v xml:space="preserve"> </v>
      </c>
      <c r="AJ244" s="59"/>
      <c r="AK244" s="59" t="str">
        <f>IF(SUM(Dati[[#This Row],[Inv. Gold]:[Mutuo]])=0," ",SUM(Dati[[#This Row],[Inv. Gold]:[Mutuo]]))</f>
        <v xml:space="preserve"> </v>
      </c>
      <c r="AL244" s="59"/>
      <c r="AM244" s="59"/>
    </row>
    <row r="245" spans="2:39" ht="16" customHeight="1" x14ac:dyDescent="0.35">
      <c r="B245">
        <f t="shared" si="9"/>
        <v>225</v>
      </c>
      <c r="C245" s="49">
        <f t="shared" si="10"/>
        <v>45151</v>
      </c>
      <c r="D245" s="29">
        <f>DAY(Dati[[#This Row],[Data]])</f>
        <v>13</v>
      </c>
      <c r="E245" s="29" t="str">
        <f>IF(DAY(Data!$C$21:$C$1327)&gt;0,TEXT(Data!$C$21:$C$1327, "mmmm"),"")</f>
        <v>agosto</v>
      </c>
      <c r="F245" s="29" t="str">
        <f>IF(DAY(Data!$C$21:$C$1327)&gt;0,TEXT(Data!$C$21:$C$1327, "aaaa"),"")</f>
        <v>2023</v>
      </c>
      <c r="I245" t="str">
        <f>IF(OR(H245=$B$5,H245=$B$6,H245=$B$7,H245=$B$8,H245=$B$9,H245=$B$10,H245=$B$11,H245=$B$12,H245=$B$13,H245=$B$14),SottocategorieUscite[[#Headers],[Fuori Casa]],IF(OR(H245=$C$5,H245=$C$6,H245=$C$7,H245=$C$8,H245=$C$9,H245=$C$10,H245=$C$11,H245=$C$12,H245=$C$13,H245=$C$14),SottocategorieUscite[[#Headers],[Varie Uscite]],IF(OR(H245=$D$5,H245=$D$6,H245=$D$7,H245=$D$8,H245=$D$9,H245=$D$10,H245=$D$11,H245=$D$12,H245=$D$13,H245=$D$14),SottocategorieUscite[[#Headers],[Personali]],IF(OR(H245=$E$5,H245=$E$6,H245=$E$7,H245=$E$8,H245=$E$9,H245=$E$10,H245=$E$11,H245=$E$12,H245=$E$13,H245=$E$14),SottocategorieUscite[[#Headers],[Lavoro]],IF(OR(H245=$F$5,H245=$F$6,H245=$F$7,H245=$F$8,H245=$F$9,H245=$F$10,H245=$F$11,H245=$F$12,H245=$F$13,H245=$F$14),SottocategorieUscite[[#Headers],[Casa]],IF(OR(H245=$G$5,H245=$G$6,H245=$G$7,H245=$G$8,H245=$G$9,H245=$G$10,H245=$G$11,H245=$G$12,H245=$G$13,H245=$G$14),SottocategorieUscite[[#Headers],[Utenze]],IF(OR(H245=$H$5,H245=$H$6,H245=$H$7,H245=$H$8,H245=$H$9,H245=$H$10,H245=$H$11,H245=$H$12,H245=$H$13,H245=$H$14),SottocategorieUscite[[#Headers],[Business Uscite]],IF(OR(H245=$I$5,H245=$I$6,H245=$I$7,H245=$I$8,H245=$I$9,H245=$I$10,H245=$I$11,H245=$I$12,H245=$I$13,H245=$I$14),SottocategorieUscite[[#Headers],[Banca]],IF(OR(H245=K$5,H245=K$6,H245=K$7,H245=K$8,H245=K$9,H245=K$10,H245=K$11,H245=K$12,H245=K$13,H245=K$14),SottocategorieEntrate[[#Headers],[Business Entrate]],IF(OR(H245=L$5,H245=L$6,H245=L$7,H245=L$8,H245=L$9,H245=L$10,H245=L$11,H245=L$12,H245=L$13,H245=L$14),SottocategorieEntrate[[#Headers],[Varie Entrate]],IF(OR(H245=M$5,H245=M$6,H245=M$7,H245=M$8,H245=M$9,H245=M$10,H245=M$11,H245=M$12,H245=M$13,H245=M$14),SottocategorieEntrate[[#Headers],[Real Estate]],IF(OR(H245=N$5,H245=N$6,H245=N$7,H245=N$8,H245=N$9,H245=N$10,H245=N$11,H245=N$12,H245=N$13,H245=N$14),SottocategorieEntrate[[#Headers],[Other]],""))))))))))))</f>
        <v/>
      </c>
      <c r="J245" t="str">
        <f>IF(OR(Dati[[#This Row],[Categoria]]="Bollette",Dati[[#This Row],[Categoria]]="Conto &amp; Carte BNL",Dati[[#This Row],[Categoria]]="Prelievo",Dati[[#This Row],[Categoria]]="Affitto",Dati[[#This Row],[Categoria]]="BNL(Interessi Creditori)"),"Carta",IF(Dati[[#This Row],[Categoria]]&lt;&gt;0,"Cash",""))</f>
        <v/>
      </c>
      <c r="K245" s="59" t="str">
        <f>IF(OR(Data!$I245=SottocategorieUscite[[#Headers],[Fuori Casa]],Data!$I245=SottocategorieUscite[[#Headers],[Varie Uscite]],Data!$I245=SottocategorieUscite[[#Headers],[Personali]],Data!$I245=SottocategorieUscite[[#Headers],[Lavoro]]),"$ -","")</f>
        <v/>
      </c>
      <c r="L245" s="59" t="str">
        <f>IF(OR(Data!$I245=SottocategorieUscite[[#Headers],[Casa]],Data!$I245=SottocategorieUscite[[#Headers],[Utenze]],Data!$I245=SottocategorieUscite[[#Headers],[Business Uscite]],Data!$I245=SottocategorieUscite[[#Headers],[Banca]]),"$ -","")</f>
        <v/>
      </c>
      <c r="M245" s="59" t="str">
        <f>IF(OR($I245&lt;&gt;SottocategorieUscite[[#Headers],[Fuori Casa]],$I245&lt;&gt;SottocategorieUscite[[#Headers],[Varie Uscite]],$I245&lt;&gt;SottocategorieUscite[[#Headers],[Personali]],$I245&lt;&gt;SottocategorieUscite[[#Headers],[Lavoro]],$I245&lt;&gt;SottocategorieUscite[[#Headers],[Casa]],$I245&lt;&gt;SottocategorieUscite[[#Headers],[Utenze]],$I245&lt;&gt;SottocategorieUscite[[#Headers],[Business Uscite]],$I245&lt;&gt;SottocategorieUscite[[#Headers],[Banca]]),"","$ -")</f>
        <v/>
      </c>
      <c r="N245" s="59" t="str">
        <f>IF(OR(Data!$I245=SottocategorieEntrate[[#Headers],[Business Entrate]],Data!$I245=SottocategorieEntrate[[#Headers],[Varie Entrate]]),"$ -","")</f>
        <v/>
      </c>
      <c r="O245" s="59" t="str">
        <f>IF(OR(Data!$I245=SottocategorieEntrate[[#Headers],[Real Estate]],SottocategorieEntrate[[#Headers],[Other]]),"$ -","")</f>
        <v/>
      </c>
      <c r="P245" s="59" t="str">
        <f>IF(OR($I245&lt;&gt;SottocategorieEntrate[[#Headers],[Business Entrate]],$I245&lt;&gt;SottocategorieEntrate[[#Headers],[Varie Entrate]],$I245&lt;&gt;SottocategorieEntrate[[#Headers],[Real Estate]],$I245&lt;&gt;SottocategorieEntrate[[#Headers],[Other]]),"","$ -")</f>
        <v/>
      </c>
      <c r="Q245" s="59" t="str">
        <f>IF(Dati[[#This Row],[Categoria]]="Prelievo","€ -","")</f>
        <v/>
      </c>
      <c r="R245" s="244" t="str">
        <f t="shared" ca="1" si="11"/>
        <v/>
      </c>
      <c r="S245" s="59" t="str">
        <f>IF(Dati[[#This Row],[Categoria]]="Savings",0,"")</f>
        <v/>
      </c>
      <c r="T245" s="59"/>
      <c r="U245" s="59"/>
      <c r="V245" s="59"/>
      <c r="W245" s="59"/>
      <c r="X245" s="59"/>
      <c r="Y245" s="59"/>
      <c r="Z245" s="59"/>
      <c r="AA245" s="59"/>
      <c r="AB245" s="59"/>
      <c r="AC245" s="59"/>
      <c r="AD245" s="59"/>
      <c r="AE245" s="59"/>
      <c r="AF245" s="59"/>
      <c r="AG245" s="59"/>
      <c r="AH245" s="59"/>
      <c r="AI245" s="59" t="str">
        <f>IF(SUM(Dati[[#This Row],[Inv. Business]:[Inv. Cryptocurrency]])=0," ",SUM(Dati[[#This Row],[Inv. Business]:[Inv. Cryptocurrency]]))</f>
        <v xml:space="preserve"> </v>
      </c>
      <c r="AJ245" s="59"/>
      <c r="AK245" s="59" t="str">
        <f>IF(SUM(Dati[[#This Row],[Inv. Gold]:[Mutuo]])=0," ",SUM(Dati[[#This Row],[Inv. Gold]:[Mutuo]]))</f>
        <v xml:space="preserve"> </v>
      </c>
      <c r="AL245" s="59"/>
      <c r="AM245" s="59"/>
    </row>
    <row r="246" spans="2:39" ht="16" customHeight="1" x14ac:dyDescent="0.35">
      <c r="B246">
        <f t="shared" si="9"/>
        <v>226</v>
      </c>
      <c r="C246" s="49">
        <f t="shared" si="10"/>
        <v>45152</v>
      </c>
      <c r="D246" s="29">
        <f>DAY(Dati[[#This Row],[Data]])</f>
        <v>14</v>
      </c>
      <c r="E246" s="29" t="str">
        <f>IF(DAY(Data!$C$21:$C$1327)&gt;0,TEXT(Data!$C$21:$C$1327, "mmmm"),"")</f>
        <v>agosto</v>
      </c>
      <c r="F246" s="29" t="str">
        <f>IF(DAY(Data!$C$21:$C$1327)&gt;0,TEXT(Data!$C$21:$C$1327, "aaaa"),"")</f>
        <v>2023</v>
      </c>
      <c r="I246" t="str">
        <f>IF(OR(H246=$B$5,H246=$B$6,H246=$B$7,H246=$B$8,H246=$B$9,H246=$B$10,H246=$B$11,H246=$B$12,H246=$B$13,H246=$B$14),SottocategorieUscite[[#Headers],[Fuori Casa]],IF(OR(H246=$C$5,H246=$C$6,H246=$C$7,H246=$C$8,H246=$C$9,H246=$C$10,H246=$C$11,H246=$C$12,H246=$C$13,H246=$C$14),SottocategorieUscite[[#Headers],[Varie Uscite]],IF(OR(H246=$D$5,H246=$D$6,H246=$D$7,H246=$D$8,H246=$D$9,H246=$D$10,H246=$D$11,H246=$D$12,H246=$D$13,H246=$D$14),SottocategorieUscite[[#Headers],[Personali]],IF(OR(H246=$E$5,H246=$E$6,H246=$E$7,H246=$E$8,H246=$E$9,H246=$E$10,H246=$E$11,H246=$E$12,H246=$E$13,H246=$E$14),SottocategorieUscite[[#Headers],[Lavoro]],IF(OR(H246=$F$5,H246=$F$6,H246=$F$7,H246=$F$8,H246=$F$9,H246=$F$10,H246=$F$11,H246=$F$12,H246=$F$13,H246=$F$14),SottocategorieUscite[[#Headers],[Casa]],IF(OR(H246=$G$5,H246=$G$6,H246=$G$7,H246=$G$8,H246=$G$9,H246=$G$10,H246=$G$11,H246=$G$12,H246=$G$13,H246=$G$14),SottocategorieUscite[[#Headers],[Utenze]],IF(OR(H246=$H$5,H246=$H$6,H246=$H$7,H246=$H$8,H246=$H$9,H246=$H$10,H246=$H$11,H246=$H$12,H246=$H$13,H246=$H$14),SottocategorieUscite[[#Headers],[Business Uscite]],IF(OR(H246=$I$5,H246=$I$6,H246=$I$7,H246=$I$8,H246=$I$9,H246=$I$10,H246=$I$11,H246=$I$12,H246=$I$13,H246=$I$14),SottocategorieUscite[[#Headers],[Banca]],IF(OR(H246=K$5,H246=K$6,H246=K$7,H246=K$8,H246=K$9,H246=K$10,H246=K$11,H246=K$12,H246=K$13,H246=K$14),SottocategorieEntrate[[#Headers],[Business Entrate]],IF(OR(H246=L$5,H246=L$6,H246=L$7,H246=L$8,H246=L$9,H246=L$10,H246=L$11,H246=L$12,H246=L$13,H246=L$14),SottocategorieEntrate[[#Headers],[Varie Entrate]],IF(OR(H246=M$5,H246=M$6,H246=M$7,H246=M$8,H246=M$9,H246=M$10,H246=M$11,H246=M$12,H246=M$13,H246=M$14),SottocategorieEntrate[[#Headers],[Real Estate]],IF(OR(H246=N$5,H246=N$6,H246=N$7,H246=N$8,H246=N$9,H246=N$10,H246=N$11,H246=N$12,H246=N$13,H246=N$14),SottocategorieEntrate[[#Headers],[Other]],""))))))))))))</f>
        <v/>
      </c>
      <c r="J246" t="str">
        <f>IF(OR(Dati[[#This Row],[Categoria]]="Bollette",Dati[[#This Row],[Categoria]]="Conto &amp; Carte BNL",Dati[[#This Row],[Categoria]]="Prelievo",Dati[[#This Row],[Categoria]]="Affitto",Dati[[#This Row],[Categoria]]="BNL(Interessi Creditori)"),"Carta",IF(Dati[[#This Row],[Categoria]]&lt;&gt;0,"Cash",""))</f>
        <v/>
      </c>
      <c r="K246" s="59" t="str">
        <f>IF(OR(Data!$I246=SottocategorieUscite[[#Headers],[Fuori Casa]],Data!$I246=SottocategorieUscite[[#Headers],[Varie Uscite]],Data!$I246=SottocategorieUscite[[#Headers],[Personali]],Data!$I246=SottocategorieUscite[[#Headers],[Lavoro]]),"$ -","")</f>
        <v/>
      </c>
      <c r="L246" s="59" t="str">
        <f>IF(OR(Data!$I246=SottocategorieUscite[[#Headers],[Casa]],Data!$I246=SottocategorieUscite[[#Headers],[Utenze]],Data!$I246=SottocategorieUscite[[#Headers],[Business Uscite]],Data!$I246=SottocategorieUscite[[#Headers],[Banca]]),"$ -","")</f>
        <v/>
      </c>
      <c r="M246" s="59" t="str">
        <f>IF(OR($I246&lt;&gt;SottocategorieUscite[[#Headers],[Fuori Casa]],$I246&lt;&gt;SottocategorieUscite[[#Headers],[Varie Uscite]],$I246&lt;&gt;SottocategorieUscite[[#Headers],[Personali]],$I246&lt;&gt;SottocategorieUscite[[#Headers],[Lavoro]],$I246&lt;&gt;SottocategorieUscite[[#Headers],[Casa]],$I246&lt;&gt;SottocategorieUscite[[#Headers],[Utenze]],$I246&lt;&gt;SottocategorieUscite[[#Headers],[Business Uscite]],$I246&lt;&gt;SottocategorieUscite[[#Headers],[Banca]]),"","$ -")</f>
        <v/>
      </c>
      <c r="N246" s="59" t="str">
        <f>IF(OR(Data!$I246=SottocategorieEntrate[[#Headers],[Business Entrate]],Data!$I246=SottocategorieEntrate[[#Headers],[Varie Entrate]]),"$ -","")</f>
        <v/>
      </c>
      <c r="O246" s="59" t="str">
        <f>IF(OR(Data!$I246=SottocategorieEntrate[[#Headers],[Real Estate]],SottocategorieEntrate[[#Headers],[Other]]),"$ -","")</f>
        <v/>
      </c>
      <c r="P246" s="59" t="str">
        <f>IF(OR($I246&lt;&gt;SottocategorieEntrate[[#Headers],[Business Entrate]],$I246&lt;&gt;SottocategorieEntrate[[#Headers],[Varie Entrate]],$I246&lt;&gt;SottocategorieEntrate[[#Headers],[Real Estate]],$I246&lt;&gt;SottocategorieEntrate[[#Headers],[Other]]),"","$ -")</f>
        <v/>
      </c>
      <c r="Q246" s="59" t="str">
        <f>IF(Dati[[#This Row],[Categoria]]="Prelievo","€ -","")</f>
        <v/>
      </c>
      <c r="R246" s="244" t="str">
        <f t="shared" ca="1" si="11"/>
        <v/>
      </c>
      <c r="S246" s="59" t="str">
        <f>IF(Dati[[#This Row],[Categoria]]="Savings",0,"")</f>
        <v/>
      </c>
      <c r="T246" s="59"/>
      <c r="U246" s="59"/>
      <c r="V246" s="59"/>
      <c r="W246" s="59"/>
      <c r="X246" s="59"/>
      <c r="Y246" s="59"/>
      <c r="Z246" s="59"/>
      <c r="AA246" s="59"/>
      <c r="AB246" s="59"/>
      <c r="AC246" s="59"/>
      <c r="AD246" s="59"/>
      <c r="AE246" s="59"/>
      <c r="AF246" s="59"/>
      <c r="AG246" s="59"/>
      <c r="AH246" s="59"/>
      <c r="AI246" s="59" t="str">
        <f>IF(SUM(Dati[[#This Row],[Inv. Business]:[Inv. Cryptocurrency]])=0," ",SUM(Dati[[#This Row],[Inv. Business]:[Inv. Cryptocurrency]]))</f>
        <v xml:space="preserve"> </v>
      </c>
      <c r="AJ246" s="59"/>
      <c r="AK246" s="59" t="str">
        <f>IF(SUM(Dati[[#This Row],[Inv. Gold]:[Mutuo]])=0," ",SUM(Dati[[#This Row],[Inv. Gold]:[Mutuo]]))</f>
        <v xml:space="preserve"> </v>
      </c>
      <c r="AL246" s="59"/>
      <c r="AM246" s="59"/>
    </row>
    <row r="247" spans="2:39" ht="16" customHeight="1" x14ac:dyDescent="0.35">
      <c r="B247">
        <f t="shared" si="9"/>
        <v>227</v>
      </c>
      <c r="C247" s="49">
        <f t="shared" si="10"/>
        <v>45153</v>
      </c>
      <c r="D247" s="29">
        <f>DAY(Dati[[#This Row],[Data]])</f>
        <v>15</v>
      </c>
      <c r="E247" s="29" t="str">
        <f>IF(DAY(Data!$C$21:$C$1327)&gt;0,TEXT(Data!$C$21:$C$1327, "mmmm"),"")</f>
        <v>agosto</v>
      </c>
      <c r="F247" s="29" t="str">
        <f>IF(DAY(Data!$C$21:$C$1327)&gt;0,TEXT(Data!$C$21:$C$1327, "aaaa"),"")</f>
        <v>2023</v>
      </c>
      <c r="I247" t="str">
        <f>IF(OR(H247=$B$5,H247=$B$6,H247=$B$7,H247=$B$8,H247=$B$9,H247=$B$10,H247=$B$11,H247=$B$12,H247=$B$13,H247=$B$14),SottocategorieUscite[[#Headers],[Fuori Casa]],IF(OR(H247=$C$5,H247=$C$6,H247=$C$7,H247=$C$8,H247=$C$9,H247=$C$10,H247=$C$11,H247=$C$12,H247=$C$13,H247=$C$14),SottocategorieUscite[[#Headers],[Varie Uscite]],IF(OR(H247=$D$5,H247=$D$6,H247=$D$7,H247=$D$8,H247=$D$9,H247=$D$10,H247=$D$11,H247=$D$12,H247=$D$13,H247=$D$14),SottocategorieUscite[[#Headers],[Personali]],IF(OR(H247=$E$5,H247=$E$6,H247=$E$7,H247=$E$8,H247=$E$9,H247=$E$10,H247=$E$11,H247=$E$12,H247=$E$13,H247=$E$14),SottocategorieUscite[[#Headers],[Lavoro]],IF(OR(H247=$F$5,H247=$F$6,H247=$F$7,H247=$F$8,H247=$F$9,H247=$F$10,H247=$F$11,H247=$F$12,H247=$F$13,H247=$F$14),SottocategorieUscite[[#Headers],[Casa]],IF(OR(H247=$G$5,H247=$G$6,H247=$G$7,H247=$G$8,H247=$G$9,H247=$G$10,H247=$G$11,H247=$G$12,H247=$G$13,H247=$G$14),SottocategorieUscite[[#Headers],[Utenze]],IF(OR(H247=$H$5,H247=$H$6,H247=$H$7,H247=$H$8,H247=$H$9,H247=$H$10,H247=$H$11,H247=$H$12,H247=$H$13,H247=$H$14),SottocategorieUscite[[#Headers],[Business Uscite]],IF(OR(H247=$I$5,H247=$I$6,H247=$I$7,H247=$I$8,H247=$I$9,H247=$I$10,H247=$I$11,H247=$I$12,H247=$I$13,H247=$I$14),SottocategorieUscite[[#Headers],[Banca]],IF(OR(H247=K$5,H247=K$6,H247=K$7,H247=K$8,H247=K$9,H247=K$10,H247=K$11,H247=K$12,H247=K$13,H247=K$14),SottocategorieEntrate[[#Headers],[Business Entrate]],IF(OR(H247=L$5,H247=L$6,H247=L$7,H247=L$8,H247=L$9,H247=L$10,H247=L$11,H247=L$12,H247=L$13,H247=L$14),SottocategorieEntrate[[#Headers],[Varie Entrate]],IF(OR(H247=M$5,H247=M$6,H247=M$7,H247=M$8,H247=M$9,H247=M$10,H247=M$11,H247=M$12,H247=M$13,H247=M$14),SottocategorieEntrate[[#Headers],[Real Estate]],IF(OR(H247=N$5,H247=N$6,H247=N$7,H247=N$8,H247=N$9,H247=N$10,H247=N$11,H247=N$12,H247=N$13,H247=N$14),SottocategorieEntrate[[#Headers],[Other]],""))))))))))))</f>
        <v/>
      </c>
      <c r="J247" t="str">
        <f>IF(OR(Dati[[#This Row],[Categoria]]="Bollette",Dati[[#This Row],[Categoria]]="Conto &amp; Carte BNL",Dati[[#This Row],[Categoria]]="Prelievo",Dati[[#This Row],[Categoria]]="Affitto",Dati[[#This Row],[Categoria]]="BNL(Interessi Creditori)"),"Carta",IF(Dati[[#This Row],[Categoria]]&lt;&gt;0,"Cash",""))</f>
        <v/>
      </c>
      <c r="K247" s="59" t="str">
        <f>IF(OR(Data!$I247=SottocategorieUscite[[#Headers],[Fuori Casa]],Data!$I247=SottocategorieUscite[[#Headers],[Varie Uscite]],Data!$I247=SottocategorieUscite[[#Headers],[Personali]],Data!$I247=SottocategorieUscite[[#Headers],[Lavoro]]),"$ -","")</f>
        <v/>
      </c>
      <c r="L247" s="59" t="str">
        <f>IF(OR(Data!$I247=SottocategorieUscite[[#Headers],[Casa]],Data!$I247=SottocategorieUscite[[#Headers],[Utenze]],Data!$I247=SottocategorieUscite[[#Headers],[Business Uscite]],Data!$I247=SottocategorieUscite[[#Headers],[Banca]]),"$ -","")</f>
        <v/>
      </c>
      <c r="M247" s="59" t="str">
        <f>IF(OR($I247&lt;&gt;SottocategorieUscite[[#Headers],[Fuori Casa]],$I247&lt;&gt;SottocategorieUscite[[#Headers],[Varie Uscite]],$I247&lt;&gt;SottocategorieUscite[[#Headers],[Personali]],$I247&lt;&gt;SottocategorieUscite[[#Headers],[Lavoro]],$I247&lt;&gt;SottocategorieUscite[[#Headers],[Casa]],$I247&lt;&gt;SottocategorieUscite[[#Headers],[Utenze]],$I247&lt;&gt;SottocategorieUscite[[#Headers],[Business Uscite]],$I247&lt;&gt;SottocategorieUscite[[#Headers],[Banca]]),"","$ -")</f>
        <v/>
      </c>
      <c r="N247" s="59" t="str">
        <f>IF(OR(Data!$I247=SottocategorieEntrate[[#Headers],[Business Entrate]],Data!$I247=SottocategorieEntrate[[#Headers],[Varie Entrate]]),"$ -","")</f>
        <v/>
      </c>
      <c r="O247" s="59" t="str">
        <f>IF(OR(Data!$I247=SottocategorieEntrate[[#Headers],[Real Estate]],SottocategorieEntrate[[#Headers],[Other]]),"$ -","")</f>
        <v/>
      </c>
      <c r="P247" s="59" t="str">
        <f>IF(OR($I247&lt;&gt;SottocategorieEntrate[[#Headers],[Business Entrate]],$I247&lt;&gt;SottocategorieEntrate[[#Headers],[Varie Entrate]],$I247&lt;&gt;SottocategorieEntrate[[#Headers],[Real Estate]],$I247&lt;&gt;SottocategorieEntrate[[#Headers],[Other]]),"","$ -")</f>
        <v/>
      </c>
      <c r="Q247" s="59" t="str">
        <f>IF(Dati[[#This Row],[Categoria]]="Prelievo","€ -","")</f>
        <v/>
      </c>
      <c r="R247" s="244" t="str">
        <f t="shared" ca="1" si="11"/>
        <v/>
      </c>
      <c r="S247" s="59" t="str">
        <f>IF(Dati[[#This Row],[Categoria]]="Savings",0,"")</f>
        <v/>
      </c>
      <c r="T247" s="59"/>
      <c r="U247" s="59"/>
      <c r="V247" s="59"/>
      <c r="W247" s="59"/>
      <c r="X247" s="59"/>
      <c r="Y247" s="59"/>
      <c r="Z247" s="59"/>
      <c r="AA247" s="59"/>
      <c r="AB247" s="59"/>
      <c r="AC247" s="59"/>
      <c r="AD247" s="59"/>
      <c r="AE247" s="59"/>
      <c r="AF247" s="59"/>
      <c r="AG247" s="59"/>
      <c r="AH247" s="59"/>
      <c r="AI247" s="59" t="str">
        <f>IF(SUM(Dati[[#This Row],[Inv. Business]:[Inv. Cryptocurrency]])=0," ",SUM(Dati[[#This Row],[Inv. Business]:[Inv. Cryptocurrency]]))</f>
        <v xml:space="preserve"> </v>
      </c>
      <c r="AJ247" s="59"/>
      <c r="AK247" s="59" t="str">
        <f>IF(SUM(Dati[[#This Row],[Inv. Gold]:[Mutuo]])=0," ",SUM(Dati[[#This Row],[Inv. Gold]:[Mutuo]]))</f>
        <v xml:space="preserve"> </v>
      </c>
      <c r="AL247" s="59"/>
      <c r="AM247" s="59"/>
    </row>
    <row r="248" spans="2:39" ht="16" customHeight="1" x14ac:dyDescent="0.35">
      <c r="B248">
        <f t="shared" si="9"/>
        <v>228</v>
      </c>
      <c r="C248" s="49">
        <f t="shared" si="10"/>
        <v>45154</v>
      </c>
      <c r="D248" s="29">
        <f>DAY(Dati[[#This Row],[Data]])</f>
        <v>16</v>
      </c>
      <c r="E248" s="29" t="str">
        <f>IF(DAY(Data!$C$21:$C$1327)&gt;0,TEXT(Data!$C$21:$C$1327, "mmmm"),"")</f>
        <v>agosto</v>
      </c>
      <c r="F248" s="29" t="str">
        <f>IF(DAY(Data!$C$21:$C$1327)&gt;0,TEXT(Data!$C$21:$C$1327, "aaaa"),"")</f>
        <v>2023</v>
      </c>
      <c r="I248" t="str">
        <f>IF(OR(H248=$B$5,H248=$B$6,H248=$B$7,H248=$B$8,H248=$B$9,H248=$B$10,H248=$B$11,H248=$B$12,H248=$B$13,H248=$B$14),SottocategorieUscite[[#Headers],[Fuori Casa]],IF(OR(H248=$C$5,H248=$C$6,H248=$C$7,H248=$C$8,H248=$C$9,H248=$C$10,H248=$C$11,H248=$C$12,H248=$C$13,H248=$C$14),SottocategorieUscite[[#Headers],[Varie Uscite]],IF(OR(H248=$D$5,H248=$D$6,H248=$D$7,H248=$D$8,H248=$D$9,H248=$D$10,H248=$D$11,H248=$D$12,H248=$D$13,H248=$D$14),SottocategorieUscite[[#Headers],[Personali]],IF(OR(H248=$E$5,H248=$E$6,H248=$E$7,H248=$E$8,H248=$E$9,H248=$E$10,H248=$E$11,H248=$E$12,H248=$E$13,H248=$E$14),SottocategorieUscite[[#Headers],[Lavoro]],IF(OR(H248=$F$5,H248=$F$6,H248=$F$7,H248=$F$8,H248=$F$9,H248=$F$10,H248=$F$11,H248=$F$12,H248=$F$13,H248=$F$14),SottocategorieUscite[[#Headers],[Casa]],IF(OR(H248=$G$5,H248=$G$6,H248=$G$7,H248=$G$8,H248=$G$9,H248=$G$10,H248=$G$11,H248=$G$12,H248=$G$13,H248=$G$14),SottocategorieUscite[[#Headers],[Utenze]],IF(OR(H248=$H$5,H248=$H$6,H248=$H$7,H248=$H$8,H248=$H$9,H248=$H$10,H248=$H$11,H248=$H$12,H248=$H$13,H248=$H$14),SottocategorieUscite[[#Headers],[Business Uscite]],IF(OR(H248=$I$5,H248=$I$6,H248=$I$7,H248=$I$8,H248=$I$9,H248=$I$10,H248=$I$11,H248=$I$12,H248=$I$13,H248=$I$14),SottocategorieUscite[[#Headers],[Banca]],IF(OR(H248=K$5,H248=K$6,H248=K$7,H248=K$8,H248=K$9,H248=K$10,H248=K$11,H248=K$12,H248=K$13,H248=K$14),SottocategorieEntrate[[#Headers],[Business Entrate]],IF(OR(H248=L$5,H248=L$6,H248=L$7,H248=L$8,H248=L$9,H248=L$10,H248=L$11,H248=L$12,H248=L$13,H248=L$14),SottocategorieEntrate[[#Headers],[Varie Entrate]],IF(OR(H248=M$5,H248=M$6,H248=M$7,H248=M$8,H248=M$9,H248=M$10,H248=M$11,H248=M$12,H248=M$13,H248=M$14),SottocategorieEntrate[[#Headers],[Real Estate]],IF(OR(H248=N$5,H248=N$6,H248=N$7,H248=N$8,H248=N$9,H248=N$10,H248=N$11,H248=N$12,H248=N$13,H248=N$14),SottocategorieEntrate[[#Headers],[Other]],""))))))))))))</f>
        <v/>
      </c>
      <c r="J248" t="str">
        <f>IF(OR(Dati[[#This Row],[Categoria]]="Bollette",Dati[[#This Row],[Categoria]]="Conto &amp; Carte BNL",Dati[[#This Row],[Categoria]]="Prelievo",Dati[[#This Row],[Categoria]]="Affitto",Dati[[#This Row],[Categoria]]="BNL(Interessi Creditori)"),"Carta",IF(Dati[[#This Row],[Categoria]]&lt;&gt;0,"Cash",""))</f>
        <v/>
      </c>
      <c r="K248" s="59" t="str">
        <f>IF(OR(Data!$I248=SottocategorieUscite[[#Headers],[Fuori Casa]],Data!$I248=SottocategorieUscite[[#Headers],[Varie Uscite]],Data!$I248=SottocategorieUscite[[#Headers],[Personali]],Data!$I248=SottocategorieUscite[[#Headers],[Lavoro]]),"$ -","")</f>
        <v/>
      </c>
      <c r="L248" s="59" t="str">
        <f>IF(OR(Data!$I248=SottocategorieUscite[[#Headers],[Casa]],Data!$I248=SottocategorieUscite[[#Headers],[Utenze]],Data!$I248=SottocategorieUscite[[#Headers],[Business Uscite]],Data!$I248=SottocategorieUscite[[#Headers],[Banca]]),"$ -","")</f>
        <v/>
      </c>
      <c r="M248" s="59" t="str">
        <f>IF(OR($I248&lt;&gt;SottocategorieUscite[[#Headers],[Fuori Casa]],$I248&lt;&gt;SottocategorieUscite[[#Headers],[Varie Uscite]],$I248&lt;&gt;SottocategorieUscite[[#Headers],[Personali]],$I248&lt;&gt;SottocategorieUscite[[#Headers],[Lavoro]],$I248&lt;&gt;SottocategorieUscite[[#Headers],[Casa]],$I248&lt;&gt;SottocategorieUscite[[#Headers],[Utenze]],$I248&lt;&gt;SottocategorieUscite[[#Headers],[Business Uscite]],$I248&lt;&gt;SottocategorieUscite[[#Headers],[Banca]]),"","$ -")</f>
        <v/>
      </c>
      <c r="N248" s="59" t="str">
        <f>IF(OR(Data!$I248=SottocategorieEntrate[[#Headers],[Business Entrate]],Data!$I248=SottocategorieEntrate[[#Headers],[Varie Entrate]]),"$ -","")</f>
        <v/>
      </c>
      <c r="O248" s="59" t="str">
        <f>IF(OR(Data!$I248=SottocategorieEntrate[[#Headers],[Real Estate]],SottocategorieEntrate[[#Headers],[Other]]),"$ -","")</f>
        <v/>
      </c>
      <c r="P248" s="59" t="str">
        <f>IF(OR($I248&lt;&gt;SottocategorieEntrate[[#Headers],[Business Entrate]],$I248&lt;&gt;SottocategorieEntrate[[#Headers],[Varie Entrate]],$I248&lt;&gt;SottocategorieEntrate[[#Headers],[Real Estate]],$I248&lt;&gt;SottocategorieEntrate[[#Headers],[Other]]),"","$ -")</f>
        <v/>
      </c>
      <c r="Q248" s="59" t="str">
        <f>IF(Dati[[#This Row],[Categoria]]="Prelievo","€ -","")</f>
        <v/>
      </c>
      <c r="R248" s="244" t="str">
        <f t="shared" ca="1" si="11"/>
        <v/>
      </c>
      <c r="S248" s="59" t="str">
        <f>IF(Dati[[#This Row],[Categoria]]="Savings",0,"")</f>
        <v/>
      </c>
      <c r="T248" s="59"/>
      <c r="U248" s="59"/>
      <c r="V248" s="59"/>
      <c r="W248" s="59"/>
      <c r="X248" s="59"/>
      <c r="Y248" s="59"/>
      <c r="Z248" s="59"/>
      <c r="AA248" s="59"/>
      <c r="AB248" s="59"/>
      <c r="AC248" s="59"/>
      <c r="AD248" s="59"/>
      <c r="AE248" s="59"/>
      <c r="AF248" s="59"/>
      <c r="AG248" s="59"/>
      <c r="AH248" s="59"/>
      <c r="AI248" s="59" t="str">
        <f>IF(SUM(Dati[[#This Row],[Inv. Business]:[Inv. Cryptocurrency]])=0," ",SUM(Dati[[#This Row],[Inv. Business]:[Inv. Cryptocurrency]]))</f>
        <v xml:space="preserve"> </v>
      </c>
      <c r="AJ248" s="59"/>
      <c r="AK248" s="59" t="str">
        <f>IF(SUM(Dati[[#This Row],[Inv. Gold]:[Mutuo]])=0," ",SUM(Dati[[#This Row],[Inv. Gold]:[Mutuo]]))</f>
        <v xml:space="preserve"> </v>
      </c>
      <c r="AL248" s="59"/>
      <c r="AM248" s="59"/>
    </row>
    <row r="249" spans="2:39" ht="16" customHeight="1" x14ac:dyDescent="0.35">
      <c r="B249">
        <f t="shared" si="9"/>
        <v>229</v>
      </c>
      <c r="C249" s="49">
        <f t="shared" si="10"/>
        <v>45155</v>
      </c>
      <c r="D249" s="29">
        <f>DAY(Dati[[#This Row],[Data]])</f>
        <v>17</v>
      </c>
      <c r="E249" s="29" t="str">
        <f>IF(DAY(Data!$C$21:$C$1327)&gt;0,TEXT(Data!$C$21:$C$1327, "mmmm"),"")</f>
        <v>agosto</v>
      </c>
      <c r="F249" s="29" t="str">
        <f>IF(DAY(Data!$C$21:$C$1327)&gt;0,TEXT(Data!$C$21:$C$1327, "aaaa"),"")</f>
        <v>2023</v>
      </c>
      <c r="I249" t="str">
        <f>IF(OR(H249=$B$5,H249=$B$6,H249=$B$7,H249=$B$8,H249=$B$9,H249=$B$10,H249=$B$11,H249=$B$12,H249=$B$13,H249=$B$14),SottocategorieUscite[[#Headers],[Fuori Casa]],IF(OR(H249=$C$5,H249=$C$6,H249=$C$7,H249=$C$8,H249=$C$9,H249=$C$10,H249=$C$11,H249=$C$12,H249=$C$13,H249=$C$14),SottocategorieUscite[[#Headers],[Varie Uscite]],IF(OR(H249=$D$5,H249=$D$6,H249=$D$7,H249=$D$8,H249=$D$9,H249=$D$10,H249=$D$11,H249=$D$12,H249=$D$13,H249=$D$14),SottocategorieUscite[[#Headers],[Personali]],IF(OR(H249=$E$5,H249=$E$6,H249=$E$7,H249=$E$8,H249=$E$9,H249=$E$10,H249=$E$11,H249=$E$12,H249=$E$13,H249=$E$14),SottocategorieUscite[[#Headers],[Lavoro]],IF(OR(H249=$F$5,H249=$F$6,H249=$F$7,H249=$F$8,H249=$F$9,H249=$F$10,H249=$F$11,H249=$F$12,H249=$F$13,H249=$F$14),SottocategorieUscite[[#Headers],[Casa]],IF(OR(H249=$G$5,H249=$G$6,H249=$G$7,H249=$G$8,H249=$G$9,H249=$G$10,H249=$G$11,H249=$G$12,H249=$G$13,H249=$G$14),SottocategorieUscite[[#Headers],[Utenze]],IF(OR(H249=$H$5,H249=$H$6,H249=$H$7,H249=$H$8,H249=$H$9,H249=$H$10,H249=$H$11,H249=$H$12,H249=$H$13,H249=$H$14),SottocategorieUscite[[#Headers],[Business Uscite]],IF(OR(H249=$I$5,H249=$I$6,H249=$I$7,H249=$I$8,H249=$I$9,H249=$I$10,H249=$I$11,H249=$I$12,H249=$I$13,H249=$I$14),SottocategorieUscite[[#Headers],[Banca]],IF(OR(H249=K$5,H249=K$6,H249=K$7,H249=K$8,H249=K$9,H249=K$10,H249=K$11,H249=K$12,H249=K$13,H249=K$14),SottocategorieEntrate[[#Headers],[Business Entrate]],IF(OR(H249=L$5,H249=L$6,H249=L$7,H249=L$8,H249=L$9,H249=L$10,H249=L$11,H249=L$12,H249=L$13,H249=L$14),SottocategorieEntrate[[#Headers],[Varie Entrate]],IF(OR(H249=M$5,H249=M$6,H249=M$7,H249=M$8,H249=M$9,H249=M$10,H249=M$11,H249=M$12,H249=M$13,H249=M$14),SottocategorieEntrate[[#Headers],[Real Estate]],IF(OR(H249=N$5,H249=N$6,H249=N$7,H249=N$8,H249=N$9,H249=N$10,H249=N$11,H249=N$12,H249=N$13,H249=N$14),SottocategorieEntrate[[#Headers],[Other]],""))))))))))))</f>
        <v/>
      </c>
      <c r="J249" t="str">
        <f>IF(OR(Dati[[#This Row],[Categoria]]="Bollette",Dati[[#This Row],[Categoria]]="Conto &amp; Carte BNL",Dati[[#This Row],[Categoria]]="Prelievo",Dati[[#This Row],[Categoria]]="Affitto",Dati[[#This Row],[Categoria]]="BNL(Interessi Creditori)"),"Carta",IF(Dati[[#This Row],[Categoria]]&lt;&gt;0,"Cash",""))</f>
        <v/>
      </c>
      <c r="K249" s="59" t="str">
        <f>IF(OR(Data!$I249=SottocategorieUscite[[#Headers],[Fuori Casa]],Data!$I249=SottocategorieUscite[[#Headers],[Varie Uscite]],Data!$I249=SottocategorieUscite[[#Headers],[Personali]],Data!$I249=SottocategorieUscite[[#Headers],[Lavoro]]),"$ -","")</f>
        <v/>
      </c>
      <c r="L249" s="59" t="str">
        <f>IF(OR(Data!$I249=SottocategorieUscite[[#Headers],[Casa]],Data!$I249=SottocategorieUscite[[#Headers],[Utenze]],Data!$I249=SottocategorieUscite[[#Headers],[Business Uscite]],Data!$I249=SottocategorieUscite[[#Headers],[Banca]]),"$ -","")</f>
        <v/>
      </c>
      <c r="M249" s="59" t="str">
        <f>IF(OR($I249&lt;&gt;SottocategorieUscite[[#Headers],[Fuori Casa]],$I249&lt;&gt;SottocategorieUscite[[#Headers],[Varie Uscite]],$I249&lt;&gt;SottocategorieUscite[[#Headers],[Personali]],$I249&lt;&gt;SottocategorieUscite[[#Headers],[Lavoro]],$I249&lt;&gt;SottocategorieUscite[[#Headers],[Casa]],$I249&lt;&gt;SottocategorieUscite[[#Headers],[Utenze]],$I249&lt;&gt;SottocategorieUscite[[#Headers],[Business Uscite]],$I249&lt;&gt;SottocategorieUscite[[#Headers],[Banca]]),"","$ -")</f>
        <v/>
      </c>
      <c r="N249" s="59" t="str">
        <f>IF(OR(Data!$I249=SottocategorieEntrate[[#Headers],[Business Entrate]],Data!$I249=SottocategorieEntrate[[#Headers],[Varie Entrate]]),"$ -","")</f>
        <v/>
      </c>
      <c r="O249" s="59" t="str">
        <f>IF(OR(Data!$I249=SottocategorieEntrate[[#Headers],[Real Estate]],SottocategorieEntrate[[#Headers],[Other]]),"$ -","")</f>
        <v/>
      </c>
      <c r="P249" s="59" t="str">
        <f>IF(OR($I249&lt;&gt;SottocategorieEntrate[[#Headers],[Business Entrate]],$I249&lt;&gt;SottocategorieEntrate[[#Headers],[Varie Entrate]],$I249&lt;&gt;SottocategorieEntrate[[#Headers],[Real Estate]],$I249&lt;&gt;SottocategorieEntrate[[#Headers],[Other]]),"","$ -")</f>
        <v/>
      </c>
      <c r="Q249" s="59" t="str">
        <f>IF(Dati[[#This Row],[Categoria]]="Prelievo","€ -","")</f>
        <v/>
      </c>
      <c r="R249" s="244" t="str">
        <f t="shared" ca="1" si="11"/>
        <v/>
      </c>
      <c r="S249" s="59" t="str">
        <f>IF(Dati[[#This Row],[Categoria]]="Savings",0,"")</f>
        <v/>
      </c>
      <c r="T249" s="59"/>
      <c r="U249" s="59"/>
      <c r="V249" s="59"/>
      <c r="W249" s="59"/>
      <c r="X249" s="59"/>
      <c r="Y249" s="59"/>
      <c r="Z249" s="59"/>
      <c r="AA249" s="59"/>
      <c r="AB249" s="59"/>
      <c r="AC249" s="59"/>
      <c r="AD249" s="59"/>
      <c r="AE249" s="59"/>
      <c r="AF249" s="59"/>
      <c r="AG249" s="59"/>
      <c r="AH249" s="59"/>
      <c r="AI249" s="59" t="str">
        <f>IF(SUM(Dati[[#This Row],[Inv. Business]:[Inv. Cryptocurrency]])=0," ",SUM(Dati[[#This Row],[Inv. Business]:[Inv. Cryptocurrency]]))</f>
        <v xml:space="preserve"> </v>
      </c>
      <c r="AJ249" s="59"/>
      <c r="AK249" s="59" t="str">
        <f>IF(SUM(Dati[[#This Row],[Inv. Gold]:[Mutuo]])=0," ",SUM(Dati[[#This Row],[Inv. Gold]:[Mutuo]]))</f>
        <v xml:space="preserve"> </v>
      </c>
      <c r="AL249" s="59"/>
      <c r="AM249" s="59"/>
    </row>
    <row r="250" spans="2:39" ht="16" customHeight="1" x14ac:dyDescent="0.35">
      <c r="B250">
        <f t="shared" si="9"/>
        <v>230</v>
      </c>
      <c r="C250" s="49">
        <f t="shared" si="10"/>
        <v>45156</v>
      </c>
      <c r="D250" s="29">
        <f>DAY(Dati[[#This Row],[Data]])</f>
        <v>18</v>
      </c>
      <c r="E250" s="29" t="str">
        <f>IF(DAY(Data!$C$21:$C$1327)&gt;0,TEXT(Data!$C$21:$C$1327, "mmmm"),"")</f>
        <v>agosto</v>
      </c>
      <c r="F250" s="29" t="str">
        <f>IF(DAY(Data!$C$21:$C$1327)&gt;0,TEXT(Data!$C$21:$C$1327, "aaaa"),"")</f>
        <v>2023</v>
      </c>
      <c r="I250" t="str">
        <f>IF(OR(H250=$B$5,H250=$B$6,H250=$B$7,H250=$B$8,H250=$B$9,H250=$B$10,H250=$B$11,H250=$B$12,H250=$B$13,H250=$B$14),SottocategorieUscite[[#Headers],[Fuori Casa]],IF(OR(H250=$C$5,H250=$C$6,H250=$C$7,H250=$C$8,H250=$C$9,H250=$C$10,H250=$C$11,H250=$C$12,H250=$C$13,H250=$C$14),SottocategorieUscite[[#Headers],[Varie Uscite]],IF(OR(H250=$D$5,H250=$D$6,H250=$D$7,H250=$D$8,H250=$D$9,H250=$D$10,H250=$D$11,H250=$D$12,H250=$D$13,H250=$D$14),SottocategorieUscite[[#Headers],[Personali]],IF(OR(H250=$E$5,H250=$E$6,H250=$E$7,H250=$E$8,H250=$E$9,H250=$E$10,H250=$E$11,H250=$E$12,H250=$E$13,H250=$E$14),SottocategorieUscite[[#Headers],[Lavoro]],IF(OR(H250=$F$5,H250=$F$6,H250=$F$7,H250=$F$8,H250=$F$9,H250=$F$10,H250=$F$11,H250=$F$12,H250=$F$13,H250=$F$14),SottocategorieUscite[[#Headers],[Casa]],IF(OR(H250=$G$5,H250=$G$6,H250=$G$7,H250=$G$8,H250=$G$9,H250=$G$10,H250=$G$11,H250=$G$12,H250=$G$13,H250=$G$14),SottocategorieUscite[[#Headers],[Utenze]],IF(OR(H250=$H$5,H250=$H$6,H250=$H$7,H250=$H$8,H250=$H$9,H250=$H$10,H250=$H$11,H250=$H$12,H250=$H$13,H250=$H$14),SottocategorieUscite[[#Headers],[Business Uscite]],IF(OR(H250=$I$5,H250=$I$6,H250=$I$7,H250=$I$8,H250=$I$9,H250=$I$10,H250=$I$11,H250=$I$12,H250=$I$13,H250=$I$14),SottocategorieUscite[[#Headers],[Banca]],IF(OR(H250=K$5,H250=K$6,H250=K$7,H250=K$8,H250=K$9,H250=K$10,H250=K$11,H250=K$12,H250=K$13,H250=K$14),SottocategorieEntrate[[#Headers],[Business Entrate]],IF(OR(H250=L$5,H250=L$6,H250=L$7,H250=L$8,H250=L$9,H250=L$10,H250=L$11,H250=L$12,H250=L$13,H250=L$14),SottocategorieEntrate[[#Headers],[Varie Entrate]],IF(OR(H250=M$5,H250=M$6,H250=M$7,H250=M$8,H250=M$9,H250=M$10,H250=M$11,H250=M$12,H250=M$13,H250=M$14),SottocategorieEntrate[[#Headers],[Real Estate]],IF(OR(H250=N$5,H250=N$6,H250=N$7,H250=N$8,H250=N$9,H250=N$10,H250=N$11,H250=N$12,H250=N$13,H250=N$14),SottocategorieEntrate[[#Headers],[Other]],""))))))))))))</f>
        <v/>
      </c>
      <c r="J250" t="str">
        <f>IF(OR(Dati[[#This Row],[Categoria]]="Bollette",Dati[[#This Row],[Categoria]]="Conto &amp; Carte BNL",Dati[[#This Row],[Categoria]]="Prelievo",Dati[[#This Row],[Categoria]]="Affitto",Dati[[#This Row],[Categoria]]="BNL(Interessi Creditori)"),"Carta",IF(Dati[[#This Row],[Categoria]]&lt;&gt;0,"Cash",""))</f>
        <v/>
      </c>
      <c r="K250" s="59" t="str">
        <f>IF(OR(Data!$I250=SottocategorieUscite[[#Headers],[Fuori Casa]],Data!$I250=SottocategorieUscite[[#Headers],[Varie Uscite]],Data!$I250=SottocategorieUscite[[#Headers],[Personali]],Data!$I250=SottocategorieUscite[[#Headers],[Lavoro]]),"$ -","")</f>
        <v/>
      </c>
      <c r="L250" s="59" t="str">
        <f>IF(OR(Data!$I250=SottocategorieUscite[[#Headers],[Casa]],Data!$I250=SottocategorieUscite[[#Headers],[Utenze]],Data!$I250=SottocategorieUscite[[#Headers],[Business Uscite]],Data!$I250=SottocategorieUscite[[#Headers],[Banca]]),"$ -","")</f>
        <v/>
      </c>
      <c r="M250" s="59" t="str">
        <f>IF(OR($I250&lt;&gt;SottocategorieUscite[[#Headers],[Fuori Casa]],$I250&lt;&gt;SottocategorieUscite[[#Headers],[Varie Uscite]],$I250&lt;&gt;SottocategorieUscite[[#Headers],[Personali]],$I250&lt;&gt;SottocategorieUscite[[#Headers],[Lavoro]],$I250&lt;&gt;SottocategorieUscite[[#Headers],[Casa]],$I250&lt;&gt;SottocategorieUscite[[#Headers],[Utenze]],$I250&lt;&gt;SottocategorieUscite[[#Headers],[Business Uscite]],$I250&lt;&gt;SottocategorieUscite[[#Headers],[Banca]]),"","$ -")</f>
        <v/>
      </c>
      <c r="N250" s="59" t="str">
        <f>IF(OR(Data!$I250=SottocategorieEntrate[[#Headers],[Business Entrate]],Data!$I250=SottocategorieEntrate[[#Headers],[Varie Entrate]]),"$ -","")</f>
        <v/>
      </c>
      <c r="O250" s="59" t="str">
        <f>IF(OR(Data!$I250=SottocategorieEntrate[[#Headers],[Real Estate]],SottocategorieEntrate[[#Headers],[Other]]),"$ -","")</f>
        <v/>
      </c>
      <c r="P250" s="59" t="str">
        <f>IF(OR($I250&lt;&gt;SottocategorieEntrate[[#Headers],[Business Entrate]],$I250&lt;&gt;SottocategorieEntrate[[#Headers],[Varie Entrate]],$I250&lt;&gt;SottocategorieEntrate[[#Headers],[Real Estate]],$I250&lt;&gt;SottocategorieEntrate[[#Headers],[Other]]),"","$ -")</f>
        <v/>
      </c>
      <c r="Q250" s="59" t="str">
        <f>IF(Dati[[#This Row],[Categoria]]="Prelievo","€ -","")</f>
        <v/>
      </c>
      <c r="R250" s="244" t="str">
        <f t="shared" ca="1" si="11"/>
        <v/>
      </c>
      <c r="S250" s="59" t="str">
        <f>IF(Dati[[#This Row],[Categoria]]="Savings",0,"")</f>
        <v/>
      </c>
      <c r="T250" s="59"/>
      <c r="U250" s="59"/>
      <c r="V250" s="59"/>
      <c r="W250" s="59"/>
      <c r="X250" s="59"/>
      <c r="Y250" s="59"/>
      <c r="Z250" s="59"/>
      <c r="AA250" s="59"/>
      <c r="AB250" s="59"/>
      <c r="AC250" s="59"/>
      <c r="AD250" s="59"/>
      <c r="AE250" s="59"/>
      <c r="AF250" s="59"/>
      <c r="AG250" s="59"/>
      <c r="AH250" s="59"/>
      <c r="AI250" s="59" t="str">
        <f>IF(SUM(Dati[[#This Row],[Inv. Business]:[Inv. Cryptocurrency]])=0," ",SUM(Dati[[#This Row],[Inv. Business]:[Inv. Cryptocurrency]]))</f>
        <v xml:space="preserve"> </v>
      </c>
      <c r="AJ250" s="59"/>
      <c r="AK250" s="59" t="str">
        <f>IF(SUM(Dati[[#This Row],[Inv. Gold]:[Mutuo]])=0," ",SUM(Dati[[#This Row],[Inv. Gold]:[Mutuo]]))</f>
        <v xml:space="preserve"> </v>
      </c>
      <c r="AL250" s="59"/>
      <c r="AM250" s="59"/>
    </row>
    <row r="251" spans="2:39" ht="16" customHeight="1" x14ac:dyDescent="0.35">
      <c r="B251">
        <f t="shared" si="9"/>
        <v>231</v>
      </c>
      <c r="C251" s="49">
        <f t="shared" si="10"/>
        <v>45157</v>
      </c>
      <c r="D251" s="29">
        <f>DAY(Dati[[#This Row],[Data]])</f>
        <v>19</v>
      </c>
      <c r="E251" s="29" t="str">
        <f>IF(DAY(Data!$C$21:$C$1327)&gt;0,TEXT(Data!$C$21:$C$1327, "mmmm"),"")</f>
        <v>agosto</v>
      </c>
      <c r="F251" s="29" t="str">
        <f>IF(DAY(Data!$C$21:$C$1327)&gt;0,TEXT(Data!$C$21:$C$1327, "aaaa"),"")</f>
        <v>2023</v>
      </c>
      <c r="I251" t="str">
        <f>IF(OR(H251=$B$5,H251=$B$6,H251=$B$7,H251=$B$8,H251=$B$9,H251=$B$10,H251=$B$11,H251=$B$12,H251=$B$13,H251=$B$14),SottocategorieUscite[[#Headers],[Fuori Casa]],IF(OR(H251=$C$5,H251=$C$6,H251=$C$7,H251=$C$8,H251=$C$9,H251=$C$10,H251=$C$11,H251=$C$12,H251=$C$13,H251=$C$14),SottocategorieUscite[[#Headers],[Varie Uscite]],IF(OR(H251=$D$5,H251=$D$6,H251=$D$7,H251=$D$8,H251=$D$9,H251=$D$10,H251=$D$11,H251=$D$12,H251=$D$13,H251=$D$14),SottocategorieUscite[[#Headers],[Personali]],IF(OR(H251=$E$5,H251=$E$6,H251=$E$7,H251=$E$8,H251=$E$9,H251=$E$10,H251=$E$11,H251=$E$12,H251=$E$13,H251=$E$14),SottocategorieUscite[[#Headers],[Lavoro]],IF(OR(H251=$F$5,H251=$F$6,H251=$F$7,H251=$F$8,H251=$F$9,H251=$F$10,H251=$F$11,H251=$F$12,H251=$F$13,H251=$F$14),SottocategorieUscite[[#Headers],[Casa]],IF(OR(H251=$G$5,H251=$G$6,H251=$G$7,H251=$G$8,H251=$G$9,H251=$G$10,H251=$G$11,H251=$G$12,H251=$G$13,H251=$G$14),SottocategorieUscite[[#Headers],[Utenze]],IF(OR(H251=$H$5,H251=$H$6,H251=$H$7,H251=$H$8,H251=$H$9,H251=$H$10,H251=$H$11,H251=$H$12,H251=$H$13,H251=$H$14),SottocategorieUscite[[#Headers],[Business Uscite]],IF(OR(H251=$I$5,H251=$I$6,H251=$I$7,H251=$I$8,H251=$I$9,H251=$I$10,H251=$I$11,H251=$I$12,H251=$I$13,H251=$I$14),SottocategorieUscite[[#Headers],[Banca]],IF(OR(H251=K$5,H251=K$6,H251=K$7,H251=K$8,H251=K$9,H251=K$10,H251=K$11,H251=K$12,H251=K$13,H251=K$14),SottocategorieEntrate[[#Headers],[Business Entrate]],IF(OR(H251=L$5,H251=L$6,H251=L$7,H251=L$8,H251=L$9,H251=L$10,H251=L$11,H251=L$12,H251=L$13,H251=L$14),SottocategorieEntrate[[#Headers],[Varie Entrate]],IF(OR(H251=M$5,H251=M$6,H251=M$7,H251=M$8,H251=M$9,H251=M$10,H251=M$11,H251=M$12,H251=M$13,H251=M$14),SottocategorieEntrate[[#Headers],[Real Estate]],IF(OR(H251=N$5,H251=N$6,H251=N$7,H251=N$8,H251=N$9,H251=N$10,H251=N$11,H251=N$12,H251=N$13,H251=N$14),SottocategorieEntrate[[#Headers],[Other]],""))))))))))))</f>
        <v/>
      </c>
      <c r="J251" t="str">
        <f>IF(OR(Dati[[#This Row],[Categoria]]="Bollette",Dati[[#This Row],[Categoria]]="Conto &amp; Carte BNL",Dati[[#This Row],[Categoria]]="Prelievo",Dati[[#This Row],[Categoria]]="Affitto",Dati[[#This Row],[Categoria]]="BNL(Interessi Creditori)"),"Carta",IF(Dati[[#This Row],[Categoria]]&lt;&gt;0,"Cash",""))</f>
        <v/>
      </c>
      <c r="K251" s="59" t="str">
        <f>IF(OR(Data!$I251=SottocategorieUscite[[#Headers],[Fuori Casa]],Data!$I251=SottocategorieUscite[[#Headers],[Varie Uscite]],Data!$I251=SottocategorieUscite[[#Headers],[Personali]],Data!$I251=SottocategorieUscite[[#Headers],[Lavoro]]),"$ -","")</f>
        <v/>
      </c>
      <c r="L251" s="59" t="str">
        <f>IF(OR(Data!$I251=SottocategorieUscite[[#Headers],[Casa]],Data!$I251=SottocategorieUscite[[#Headers],[Utenze]],Data!$I251=SottocategorieUscite[[#Headers],[Business Uscite]],Data!$I251=SottocategorieUscite[[#Headers],[Banca]]),"$ -","")</f>
        <v/>
      </c>
      <c r="M251" s="59" t="str">
        <f>IF(OR($I251&lt;&gt;SottocategorieUscite[[#Headers],[Fuori Casa]],$I251&lt;&gt;SottocategorieUscite[[#Headers],[Varie Uscite]],$I251&lt;&gt;SottocategorieUscite[[#Headers],[Personali]],$I251&lt;&gt;SottocategorieUscite[[#Headers],[Lavoro]],$I251&lt;&gt;SottocategorieUscite[[#Headers],[Casa]],$I251&lt;&gt;SottocategorieUscite[[#Headers],[Utenze]],$I251&lt;&gt;SottocategorieUscite[[#Headers],[Business Uscite]],$I251&lt;&gt;SottocategorieUscite[[#Headers],[Banca]]),"","$ -")</f>
        <v/>
      </c>
      <c r="N251" s="59" t="str">
        <f>IF(OR(Data!$I251=SottocategorieEntrate[[#Headers],[Business Entrate]],Data!$I251=SottocategorieEntrate[[#Headers],[Varie Entrate]]),"$ -","")</f>
        <v/>
      </c>
      <c r="O251" s="59" t="str">
        <f>IF(OR(Data!$I251=SottocategorieEntrate[[#Headers],[Real Estate]],SottocategorieEntrate[[#Headers],[Other]]),"$ -","")</f>
        <v/>
      </c>
      <c r="P251" s="59" t="str">
        <f>IF(OR($I251&lt;&gt;SottocategorieEntrate[[#Headers],[Business Entrate]],$I251&lt;&gt;SottocategorieEntrate[[#Headers],[Varie Entrate]],$I251&lt;&gt;SottocategorieEntrate[[#Headers],[Real Estate]],$I251&lt;&gt;SottocategorieEntrate[[#Headers],[Other]]),"","$ -")</f>
        <v/>
      </c>
      <c r="Q251" s="59" t="str">
        <f>IF(Dati[[#This Row],[Categoria]]="Prelievo","€ -","")</f>
        <v/>
      </c>
      <c r="R251" s="244" t="str">
        <f t="shared" ca="1" si="11"/>
        <v/>
      </c>
      <c r="S251" s="59" t="str">
        <f>IF(Dati[[#This Row],[Categoria]]="Savings",0,"")</f>
        <v/>
      </c>
      <c r="T251" s="59"/>
      <c r="U251" s="59"/>
      <c r="V251" s="59"/>
      <c r="W251" s="59"/>
      <c r="X251" s="59"/>
      <c r="Y251" s="59"/>
      <c r="Z251" s="59"/>
      <c r="AA251" s="59"/>
      <c r="AB251" s="59"/>
      <c r="AC251" s="59"/>
      <c r="AD251" s="59"/>
      <c r="AE251" s="59"/>
      <c r="AF251" s="59"/>
      <c r="AG251" s="59"/>
      <c r="AH251" s="59"/>
      <c r="AI251" s="59" t="str">
        <f>IF(SUM(Dati[[#This Row],[Inv. Business]:[Inv. Cryptocurrency]])=0," ",SUM(Dati[[#This Row],[Inv. Business]:[Inv. Cryptocurrency]]))</f>
        <v xml:space="preserve"> </v>
      </c>
      <c r="AJ251" s="59"/>
      <c r="AK251" s="59" t="str">
        <f>IF(SUM(Dati[[#This Row],[Inv. Gold]:[Mutuo]])=0," ",SUM(Dati[[#This Row],[Inv. Gold]:[Mutuo]]))</f>
        <v xml:space="preserve"> </v>
      </c>
      <c r="AL251" s="59"/>
      <c r="AM251" s="59"/>
    </row>
    <row r="252" spans="2:39" ht="16" customHeight="1" x14ac:dyDescent="0.35">
      <c r="B252">
        <f t="shared" si="9"/>
        <v>232</v>
      </c>
      <c r="C252" s="49">
        <f t="shared" si="10"/>
        <v>45158</v>
      </c>
      <c r="D252" s="29">
        <f>DAY(Dati[[#This Row],[Data]])</f>
        <v>20</v>
      </c>
      <c r="E252" s="29" t="str">
        <f>IF(DAY(Data!$C$21:$C$1327)&gt;0,TEXT(Data!$C$21:$C$1327, "mmmm"),"")</f>
        <v>agosto</v>
      </c>
      <c r="F252" s="29" t="str">
        <f>IF(DAY(Data!$C$21:$C$1327)&gt;0,TEXT(Data!$C$21:$C$1327, "aaaa"),"")</f>
        <v>2023</v>
      </c>
      <c r="I252" t="str">
        <f>IF(OR(H252=$B$5,H252=$B$6,H252=$B$7,H252=$B$8,H252=$B$9,H252=$B$10,H252=$B$11,H252=$B$12,H252=$B$13,H252=$B$14),SottocategorieUscite[[#Headers],[Fuori Casa]],IF(OR(H252=$C$5,H252=$C$6,H252=$C$7,H252=$C$8,H252=$C$9,H252=$C$10,H252=$C$11,H252=$C$12,H252=$C$13,H252=$C$14),SottocategorieUscite[[#Headers],[Varie Uscite]],IF(OR(H252=$D$5,H252=$D$6,H252=$D$7,H252=$D$8,H252=$D$9,H252=$D$10,H252=$D$11,H252=$D$12,H252=$D$13,H252=$D$14),SottocategorieUscite[[#Headers],[Personali]],IF(OR(H252=$E$5,H252=$E$6,H252=$E$7,H252=$E$8,H252=$E$9,H252=$E$10,H252=$E$11,H252=$E$12,H252=$E$13,H252=$E$14),SottocategorieUscite[[#Headers],[Lavoro]],IF(OR(H252=$F$5,H252=$F$6,H252=$F$7,H252=$F$8,H252=$F$9,H252=$F$10,H252=$F$11,H252=$F$12,H252=$F$13,H252=$F$14),SottocategorieUscite[[#Headers],[Casa]],IF(OR(H252=$G$5,H252=$G$6,H252=$G$7,H252=$G$8,H252=$G$9,H252=$G$10,H252=$G$11,H252=$G$12,H252=$G$13,H252=$G$14),SottocategorieUscite[[#Headers],[Utenze]],IF(OR(H252=$H$5,H252=$H$6,H252=$H$7,H252=$H$8,H252=$H$9,H252=$H$10,H252=$H$11,H252=$H$12,H252=$H$13,H252=$H$14),SottocategorieUscite[[#Headers],[Business Uscite]],IF(OR(H252=$I$5,H252=$I$6,H252=$I$7,H252=$I$8,H252=$I$9,H252=$I$10,H252=$I$11,H252=$I$12,H252=$I$13,H252=$I$14),SottocategorieUscite[[#Headers],[Banca]],IF(OR(H252=K$5,H252=K$6,H252=K$7,H252=K$8,H252=K$9,H252=K$10,H252=K$11,H252=K$12,H252=K$13,H252=K$14),SottocategorieEntrate[[#Headers],[Business Entrate]],IF(OR(H252=L$5,H252=L$6,H252=L$7,H252=L$8,H252=L$9,H252=L$10,H252=L$11,H252=L$12,H252=L$13,H252=L$14),SottocategorieEntrate[[#Headers],[Varie Entrate]],IF(OR(H252=M$5,H252=M$6,H252=M$7,H252=M$8,H252=M$9,H252=M$10,H252=M$11,H252=M$12,H252=M$13,H252=M$14),SottocategorieEntrate[[#Headers],[Real Estate]],IF(OR(H252=N$5,H252=N$6,H252=N$7,H252=N$8,H252=N$9,H252=N$10,H252=N$11,H252=N$12,H252=N$13,H252=N$14),SottocategorieEntrate[[#Headers],[Other]],""))))))))))))</f>
        <v/>
      </c>
      <c r="J252" t="str">
        <f>IF(OR(Dati[[#This Row],[Categoria]]="Bollette",Dati[[#This Row],[Categoria]]="Conto &amp; Carte BNL",Dati[[#This Row],[Categoria]]="Prelievo",Dati[[#This Row],[Categoria]]="Affitto",Dati[[#This Row],[Categoria]]="BNL(Interessi Creditori)"),"Carta",IF(Dati[[#This Row],[Categoria]]&lt;&gt;0,"Cash",""))</f>
        <v/>
      </c>
      <c r="K252" s="59" t="str">
        <f>IF(OR(Data!$I252=SottocategorieUscite[[#Headers],[Fuori Casa]],Data!$I252=SottocategorieUscite[[#Headers],[Varie Uscite]],Data!$I252=SottocategorieUscite[[#Headers],[Personali]],Data!$I252=SottocategorieUscite[[#Headers],[Lavoro]]),"$ -","")</f>
        <v/>
      </c>
      <c r="L252" s="59" t="str">
        <f>IF(OR(Data!$I252=SottocategorieUscite[[#Headers],[Casa]],Data!$I252=SottocategorieUscite[[#Headers],[Utenze]],Data!$I252=SottocategorieUscite[[#Headers],[Business Uscite]],Data!$I252=SottocategorieUscite[[#Headers],[Banca]]),"$ -","")</f>
        <v/>
      </c>
      <c r="M252" s="59" t="str">
        <f>IF(OR($I252&lt;&gt;SottocategorieUscite[[#Headers],[Fuori Casa]],$I252&lt;&gt;SottocategorieUscite[[#Headers],[Varie Uscite]],$I252&lt;&gt;SottocategorieUscite[[#Headers],[Personali]],$I252&lt;&gt;SottocategorieUscite[[#Headers],[Lavoro]],$I252&lt;&gt;SottocategorieUscite[[#Headers],[Casa]],$I252&lt;&gt;SottocategorieUscite[[#Headers],[Utenze]],$I252&lt;&gt;SottocategorieUscite[[#Headers],[Business Uscite]],$I252&lt;&gt;SottocategorieUscite[[#Headers],[Banca]]),"","$ -")</f>
        <v/>
      </c>
      <c r="N252" s="59" t="str">
        <f>IF(OR(Data!$I252=SottocategorieEntrate[[#Headers],[Business Entrate]],Data!$I252=SottocategorieEntrate[[#Headers],[Varie Entrate]]),"$ -","")</f>
        <v/>
      </c>
      <c r="O252" s="59" t="str">
        <f>IF(OR(Data!$I252=SottocategorieEntrate[[#Headers],[Real Estate]],SottocategorieEntrate[[#Headers],[Other]]),"$ -","")</f>
        <v/>
      </c>
      <c r="P252" s="59" t="str">
        <f>IF(OR($I252&lt;&gt;SottocategorieEntrate[[#Headers],[Business Entrate]],$I252&lt;&gt;SottocategorieEntrate[[#Headers],[Varie Entrate]],$I252&lt;&gt;SottocategorieEntrate[[#Headers],[Real Estate]],$I252&lt;&gt;SottocategorieEntrate[[#Headers],[Other]]),"","$ -")</f>
        <v/>
      </c>
      <c r="Q252" s="59" t="str">
        <f>IF(Dati[[#This Row],[Categoria]]="Prelievo","€ -","")</f>
        <v/>
      </c>
      <c r="R252" s="244" t="str">
        <f t="shared" ca="1" si="11"/>
        <v/>
      </c>
      <c r="S252" s="59" t="str">
        <f>IF(Dati[[#This Row],[Categoria]]="Savings",0,"")</f>
        <v/>
      </c>
      <c r="T252" s="59"/>
      <c r="U252" s="59"/>
      <c r="V252" s="59"/>
      <c r="W252" s="59"/>
      <c r="X252" s="59"/>
      <c r="Y252" s="59"/>
      <c r="Z252" s="59"/>
      <c r="AA252" s="59"/>
      <c r="AB252" s="59"/>
      <c r="AC252" s="59"/>
      <c r="AD252" s="59"/>
      <c r="AE252" s="59"/>
      <c r="AF252" s="59"/>
      <c r="AG252" s="59"/>
      <c r="AH252" s="59"/>
      <c r="AI252" s="59" t="str">
        <f>IF(SUM(Dati[[#This Row],[Inv. Business]:[Inv. Cryptocurrency]])=0," ",SUM(Dati[[#This Row],[Inv. Business]:[Inv. Cryptocurrency]]))</f>
        <v xml:space="preserve"> </v>
      </c>
      <c r="AJ252" s="59"/>
      <c r="AK252" s="59" t="str">
        <f>IF(SUM(Dati[[#This Row],[Inv. Gold]:[Mutuo]])=0," ",SUM(Dati[[#This Row],[Inv. Gold]:[Mutuo]]))</f>
        <v xml:space="preserve"> </v>
      </c>
      <c r="AL252" s="59"/>
      <c r="AM252" s="59"/>
    </row>
    <row r="253" spans="2:39" ht="16" customHeight="1" x14ac:dyDescent="0.35">
      <c r="B253">
        <f t="shared" si="9"/>
        <v>233</v>
      </c>
      <c r="C253" s="49">
        <f t="shared" si="10"/>
        <v>45159</v>
      </c>
      <c r="D253" s="29">
        <f>DAY(Dati[[#This Row],[Data]])</f>
        <v>21</v>
      </c>
      <c r="E253" s="29" t="str">
        <f>IF(DAY(Data!$C$21:$C$1327)&gt;0,TEXT(Data!$C$21:$C$1327, "mmmm"),"")</f>
        <v>agosto</v>
      </c>
      <c r="F253" s="29" t="str">
        <f>IF(DAY(Data!$C$21:$C$1327)&gt;0,TEXT(Data!$C$21:$C$1327, "aaaa"),"")</f>
        <v>2023</v>
      </c>
      <c r="I253" t="str">
        <f>IF(OR(H253=$B$5,H253=$B$6,H253=$B$7,H253=$B$8,H253=$B$9,H253=$B$10,H253=$B$11,H253=$B$12,H253=$B$13,H253=$B$14),SottocategorieUscite[[#Headers],[Fuori Casa]],IF(OR(H253=$C$5,H253=$C$6,H253=$C$7,H253=$C$8,H253=$C$9,H253=$C$10,H253=$C$11,H253=$C$12,H253=$C$13,H253=$C$14),SottocategorieUscite[[#Headers],[Varie Uscite]],IF(OR(H253=$D$5,H253=$D$6,H253=$D$7,H253=$D$8,H253=$D$9,H253=$D$10,H253=$D$11,H253=$D$12,H253=$D$13,H253=$D$14),SottocategorieUscite[[#Headers],[Personali]],IF(OR(H253=$E$5,H253=$E$6,H253=$E$7,H253=$E$8,H253=$E$9,H253=$E$10,H253=$E$11,H253=$E$12,H253=$E$13,H253=$E$14),SottocategorieUscite[[#Headers],[Lavoro]],IF(OR(H253=$F$5,H253=$F$6,H253=$F$7,H253=$F$8,H253=$F$9,H253=$F$10,H253=$F$11,H253=$F$12,H253=$F$13,H253=$F$14),SottocategorieUscite[[#Headers],[Casa]],IF(OR(H253=$G$5,H253=$G$6,H253=$G$7,H253=$G$8,H253=$G$9,H253=$G$10,H253=$G$11,H253=$G$12,H253=$G$13,H253=$G$14),SottocategorieUscite[[#Headers],[Utenze]],IF(OR(H253=$H$5,H253=$H$6,H253=$H$7,H253=$H$8,H253=$H$9,H253=$H$10,H253=$H$11,H253=$H$12,H253=$H$13,H253=$H$14),SottocategorieUscite[[#Headers],[Business Uscite]],IF(OR(H253=$I$5,H253=$I$6,H253=$I$7,H253=$I$8,H253=$I$9,H253=$I$10,H253=$I$11,H253=$I$12,H253=$I$13,H253=$I$14),SottocategorieUscite[[#Headers],[Banca]],IF(OR(H253=K$5,H253=K$6,H253=K$7,H253=K$8,H253=K$9,H253=K$10,H253=K$11,H253=K$12,H253=K$13,H253=K$14),SottocategorieEntrate[[#Headers],[Business Entrate]],IF(OR(H253=L$5,H253=L$6,H253=L$7,H253=L$8,H253=L$9,H253=L$10,H253=L$11,H253=L$12,H253=L$13,H253=L$14),SottocategorieEntrate[[#Headers],[Varie Entrate]],IF(OR(H253=M$5,H253=M$6,H253=M$7,H253=M$8,H253=M$9,H253=M$10,H253=M$11,H253=M$12,H253=M$13,H253=M$14),SottocategorieEntrate[[#Headers],[Real Estate]],IF(OR(H253=N$5,H253=N$6,H253=N$7,H253=N$8,H253=N$9,H253=N$10,H253=N$11,H253=N$12,H253=N$13,H253=N$14),SottocategorieEntrate[[#Headers],[Other]],""))))))))))))</f>
        <v/>
      </c>
      <c r="J253" t="str">
        <f>IF(OR(Dati[[#This Row],[Categoria]]="Bollette",Dati[[#This Row],[Categoria]]="Conto &amp; Carte BNL",Dati[[#This Row],[Categoria]]="Prelievo",Dati[[#This Row],[Categoria]]="Affitto",Dati[[#This Row],[Categoria]]="BNL(Interessi Creditori)"),"Carta",IF(Dati[[#This Row],[Categoria]]&lt;&gt;0,"Cash",""))</f>
        <v/>
      </c>
      <c r="K253" s="59" t="str">
        <f>IF(OR(Data!$I253=SottocategorieUscite[[#Headers],[Fuori Casa]],Data!$I253=SottocategorieUscite[[#Headers],[Varie Uscite]],Data!$I253=SottocategorieUscite[[#Headers],[Personali]],Data!$I253=SottocategorieUscite[[#Headers],[Lavoro]]),"$ -","")</f>
        <v/>
      </c>
      <c r="L253" s="59" t="str">
        <f>IF(OR(Data!$I253=SottocategorieUscite[[#Headers],[Casa]],Data!$I253=SottocategorieUscite[[#Headers],[Utenze]],Data!$I253=SottocategorieUscite[[#Headers],[Business Uscite]],Data!$I253=SottocategorieUscite[[#Headers],[Banca]]),"$ -","")</f>
        <v/>
      </c>
      <c r="M253" s="59" t="str">
        <f>IF(OR($I253&lt;&gt;SottocategorieUscite[[#Headers],[Fuori Casa]],$I253&lt;&gt;SottocategorieUscite[[#Headers],[Varie Uscite]],$I253&lt;&gt;SottocategorieUscite[[#Headers],[Personali]],$I253&lt;&gt;SottocategorieUscite[[#Headers],[Lavoro]],$I253&lt;&gt;SottocategorieUscite[[#Headers],[Casa]],$I253&lt;&gt;SottocategorieUscite[[#Headers],[Utenze]],$I253&lt;&gt;SottocategorieUscite[[#Headers],[Business Uscite]],$I253&lt;&gt;SottocategorieUscite[[#Headers],[Banca]]),"","$ -")</f>
        <v/>
      </c>
      <c r="N253" s="59" t="str">
        <f>IF(OR(Data!$I253=SottocategorieEntrate[[#Headers],[Business Entrate]],Data!$I253=SottocategorieEntrate[[#Headers],[Varie Entrate]]),"$ -","")</f>
        <v/>
      </c>
      <c r="O253" s="59" t="str">
        <f>IF(OR(Data!$I253=SottocategorieEntrate[[#Headers],[Real Estate]],SottocategorieEntrate[[#Headers],[Other]]),"$ -","")</f>
        <v/>
      </c>
      <c r="P253" s="59" t="str">
        <f>IF(OR($I253&lt;&gt;SottocategorieEntrate[[#Headers],[Business Entrate]],$I253&lt;&gt;SottocategorieEntrate[[#Headers],[Varie Entrate]],$I253&lt;&gt;SottocategorieEntrate[[#Headers],[Real Estate]],$I253&lt;&gt;SottocategorieEntrate[[#Headers],[Other]]),"","$ -")</f>
        <v/>
      </c>
      <c r="Q253" s="59" t="str">
        <f>IF(Dati[[#This Row],[Categoria]]="Prelievo","€ -","")</f>
        <v/>
      </c>
      <c r="R253" s="244" t="str">
        <f t="shared" ca="1" si="11"/>
        <v/>
      </c>
      <c r="S253" s="59" t="str">
        <f>IF(Dati[[#This Row],[Categoria]]="Savings",0,"")</f>
        <v/>
      </c>
      <c r="T253" s="59"/>
      <c r="U253" s="59"/>
      <c r="V253" s="59"/>
      <c r="W253" s="59"/>
      <c r="X253" s="59"/>
      <c r="Y253" s="59"/>
      <c r="Z253" s="59"/>
      <c r="AA253" s="59"/>
      <c r="AB253" s="59"/>
      <c r="AC253" s="59"/>
      <c r="AD253" s="59"/>
      <c r="AE253" s="59"/>
      <c r="AF253" s="59"/>
      <c r="AG253" s="59"/>
      <c r="AH253" s="59"/>
      <c r="AI253" s="59" t="str">
        <f>IF(SUM(Dati[[#This Row],[Inv. Business]:[Inv. Cryptocurrency]])=0," ",SUM(Dati[[#This Row],[Inv. Business]:[Inv. Cryptocurrency]]))</f>
        <v xml:space="preserve"> </v>
      </c>
      <c r="AJ253" s="59"/>
      <c r="AK253" s="59" t="str">
        <f>IF(SUM(Dati[[#This Row],[Inv. Gold]:[Mutuo]])=0," ",SUM(Dati[[#This Row],[Inv. Gold]:[Mutuo]]))</f>
        <v xml:space="preserve"> </v>
      </c>
      <c r="AL253" s="59"/>
      <c r="AM253" s="59"/>
    </row>
    <row r="254" spans="2:39" ht="16" customHeight="1" x14ac:dyDescent="0.35">
      <c r="B254">
        <f t="shared" si="9"/>
        <v>234</v>
      </c>
      <c r="C254" s="49">
        <f t="shared" si="10"/>
        <v>45160</v>
      </c>
      <c r="D254" s="29">
        <f>DAY(Dati[[#This Row],[Data]])</f>
        <v>22</v>
      </c>
      <c r="E254" s="29" t="str">
        <f>IF(DAY(Data!$C$21:$C$1327)&gt;0,TEXT(Data!$C$21:$C$1327, "mmmm"),"")</f>
        <v>agosto</v>
      </c>
      <c r="F254" s="29" t="str">
        <f>IF(DAY(Data!$C$21:$C$1327)&gt;0,TEXT(Data!$C$21:$C$1327, "aaaa"),"")</f>
        <v>2023</v>
      </c>
      <c r="I254" t="str">
        <f>IF(OR(H254=$B$5,H254=$B$6,H254=$B$7,H254=$B$8,H254=$B$9,H254=$B$10,H254=$B$11,H254=$B$12,H254=$B$13,H254=$B$14),SottocategorieUscite[[#Headers],[Fuori Casa]],IF(OR(H254=$C$5,H254=$C$6,H254=$C$7,H254=$C$8,H254=$C$9,H254=$C$10,H254=$C$11,H254=$C$12,H254=$C$13,H254=$C$14),SottocategorieUscite[[#Headers],[Varie Uscite]],IF(OR(H254=$D$5,H254=$D$6,H254=$D$7,H254=$D$8,H254=$D$9,H254=$D$10,H254=$D$11,H254=$D$12,H254=$D$13,H254=$D$14),SottocategorieUscite[[#Headers],[Personali]],IF(OR(H254=$E$5,H254=$E$6,H254=$E$7,H254=$E$8,H254=$E$9,H254=$E$10,H254=$E$11,H254=$E$12,H254=$E$13,H254=$E$14),SottocategorieUscite[[#Headers],[Lavoro]],IF(OR(H254=$F$5,H254=$F$6,H254=$F$7,H254=$F$8,H254=$F$9,H254=$F$10,H254=$F$11,H254=$F$12,H254=$F$13,H254=$F$14),SottocategorieUscite[[#Headers],[Casa]],IF(OR(H254=$G$5,H254=$G$6,H254=$G$7,H254=$G$8,H254=$G$9,H254=$G$10,H254=$G$11,H254=$G$12,H254=$G$13,H254=$G$14),SottocategorieUscite[[#Headers],[Utenze]],IF(OR(H254=$H$5,H254=$H$6,H254=$H$7,H254=$H$8,H254=$H$9,H254=$H$10,H254=$H$11,H254=$H$12,H254=$H$13,H254=$H$14),SottocategorieUscite[[#Headers],[Business Uscite]],IF(OR(H254=$I$5,H254=$I$6,H254=$I$7,H254=$I$8,H254=$I$9,H254=$I$10,H254=$I$11,H254=$I$12,H254=$I$13,H254=$I$14),SottocategorieUscite[[#Headers],[Banca]],IF(OR(H254=K$5,H254=K$6,H254=K$7,H254=K$8,H254=K$9,H254=K$10,H254=K$11,H254=K$12,H254=K$13,H254=K$14),SottocategorieEntrate[[#Headers],[Business Entrate]],IF(OR(H254=L$5,H254=L$6,H254=L$7,H254=L$8,H254=L$9,H254=L$10,H254=L$11,H254=L$12,H254=L$13,H254=L$14),SottocategorieEntrate[[#Headers],[Varie Entrate]],IF(OR(H254=M$5,H254=M$6,H254=M$7,H254=M$8,H254=M$9,H254=M$10,H254=M$11,H254=M$12,H254=M$13,H254=M$14),SottocategorieEntrate[[#Headers],[Real Estate]],IF(OR(H254=N$5,H254=N$6,H254=N$7,H254=N$8,H254=N$9,H254=N$10,H254=N$11,H254=N$12,H254=N$13,H254=N$14),SottocategorieEntrate[[#Headers],[Other]],""))))))))))))</f>
        <v/>
      </c>
      <c r="J254" t="str">
        <f>IF(OR(Dati[[#This Row],[Categoria]]="Bollette",Dati[[#This Row],[Categoria]]="Conto &amp; Carte BNL",Dati[[#This Row],[Categoria]]="Prelievo",Dati[[#This Row],[Categoria]]="Affitto",Dati[[#This Row],[Categoria]]="BNL(Interessi Creditori)"),"Carta",IF(Dati[[#This Row],[Categoria]]&lt;&gt;0,"Cash",""))</f>
        <v/>
      </c>
      <c r="K254" s="59" t="str">
        <f>IF(OR(Data!$I254=SottocategorieUscite[[#Headers],[Fuori Casa]],Data!$I254=SottocategorieUscite[[#Headers],[Varie Uscite]],Data!$I254=SottocategorieUscite[[#Headers],[Personali]],Data!$I254=SottocategorieUscite[[#Headers],[Lavoro]]),"$ -","")</f>
        <v/>
      </c>
      <c r="L254" s="59" t="str">
        <f>IF(OR(Data!$I254=SottocategorieUscite[[#Headers],[Casa]],Data!$I254=SottocategorieUscite[[#Headers],[Utenze]],Data!$I254=SottocategorieUscite[[#Headers],[Business Uscite]],Data!$I254=SottocategorieUscite[[#Headers],[Banca]]),"$ -","")</f>
        <v/>
      </c>
      <c r="M254" s="59" t="str">
        <f>IF(OR($I254&lt;&gt;SottocategorieUscite[[#Headers],[Fuori Casa]],$I254&lt;&gt;SottocategorieUscite[[#Headers],[Varie Uscite]],$I254&lt;&gt;SottocategorieUscite[[#Headers],[Personali]],$I254&lt;&gt;SottocategorieUscite[[#Headers],[Lavoro]],$I254&lt;&gt;SottocategorieUscite[[#Headers],[Casa]],$I254&lt;&gt;SottocategorieUscite[[#Headers],[Utenze]],$I254&lt;&gt;SottocategorieUscite[[#Headers],[Business Uscite]],$I254&lt;&gt;SottocategorieUscite[[#Headers],[Banca]]),"","$ -")</f>
        <v/>
      </c>
      <c r="N254" s="59" t="str">
        <f>IF(OR(Data!$I254=SottocategorieEntrate[[#Headers],[Business Entrate]],Data!$I254=SottocategorieEntrate[[#Headers],[Varie Entrate]]),"$ -","")</f>
        <v/>
      </c>
      <c r="O254" s="59" t="str">
        <f>IF(OR(Data!$I254=SottocategorieEntrate[[#Headers],[Real Estate]],SottocategorieEntrate[[#Headers],[Other]]),"$ -","")</f>
        <v/>
      </c>
      <c r="P254" s="59" t="str">
        <f>IF(OR($I254&lt;&gt;SottocategorieEntrate[[#Headers],[Business Entrate]],$I254&lt;&gt;SottocategorieEntrate[[#Headers],[Varie Entrate]],$I254&lt;&gt;SottocategorieEntrate[[#Headers],[Real Estate]],$I254&lt;&gt;SottocategorieEntrate[[#Headers],[Other]]),"","$ -")</f>
        <v/>
      </c>
      <c r="Q254" s="59" t="str">
        <f>IF(Dati[[#This Row],[Categoria]]="Prelievo","€ -","")</f>
        <v/>
      </c>
      <c r="R254" s="244" t="str">
        <f t="shared" ca="1" si="11"/>
        <v/>
      </c>
      <c r="S254" s="59" t="str">
        <f>IF(Dati[[#This Row],[Categoria]]="Savings",0,"")</f>
        <v/>
      </c>
      <c r="T254" s="59"/>
      <c r="U254" s="59"/>
      <c r="V254" s="59"/>
      <c r="W254" s="59"/>
      <c r="X254" s="59"/>
      <c r="Y254" s="59"/>
      <c r="Z254" s="59"/>
      <c r="AA254" s="59"/>
      <c r="AB254" s="59"/>
      <c r="AC254" s="59"/>
      <c r="AD254" s="59"/>
      <c r="AE254" s="59"/>
      <c r="AF254" s="59"/>
      <c r="AG254" s="59"/>
      <c r="AH254" s="59"/>
      <c r="AI254" s="59" t="str">
        <f>IF(SUM(Dati[[#This Row],[Inv. Business]:[Inv. Cryptocurrency]])=0," ",SUM(Dati[[#This Row],[Inv. Business]:[Inv. Cryptocurrency]]))</f>
        <v xml:space="preserve"> </v>
      </c>
      <c r="AJ254" s="59"/>
      <c r="AK254" s="59" t="str">
        <f>IF(SUM(Dati[[#This Row],[Inv. Gold]:[Mutuo]])=0," ",SUM(Dati[[#This Row],[Inv. Gold]:[Mutuo]]))</f>
        <v xml:space="preserve"> </v>
      </c>
      <c r="AL254" s="59"/>
      <c r="AM254" s="59"/>
    </row>
    <row r="255" spans="2:39" ht="16" customHeight="1" x14ac:dyDescent="0.35">
      <c r="B255">
        <f t="shared" si="9"/>
        <v>235</v>
      </c>
      <c r="C255" s="49">
        <f t="shared" si="10"/>
        <v>45161</v>
      </c>
      <c r="D255" s="29">
        <f>DAY(Dati[[#This Row],[Data]])</f>
        <v>23</v>
      </c>
      <c r="E255" s="29" t="str">
        <f>IF(DAY(Data!$C$21:$C$1327)&gt;0,TEXT(Data!$C$21:$C$1327, "mmmm"),"")</f>
        <v>agosto</v>
      </c>
      <c r="F255" s="29" t="str">
        <f>IF(DAY(Data!$C$21:$C$1327)&gt;0,TEXT(Data!$C$21:$C$1327, "aaaa"),"")</f>
        <v>2023</v>
      </c>
      <c r="I255" t="str">
        <f>IF(OR(H255=$B$5,H255=$B$6,H255=$B$7,H255=$B$8,H255=$B$9,H255=$B$10,H255=$B$11,H255=$B$12,H255=$B$13,H255=$B$14),SottocategorieUscite[[#Headers],[Fuori Casa]],IF(OR(H255=$C$5,H255=$C$6,H255=$C$7,H255=$C$8,H255=$C$9,H255=$C$10,H255=$C$11,H255=$C$12,H255=$C$13,H255=$C$14),SottocategorieUscite[[#Headers],[Varie Uscite]],IF(OR(H255=$D$5,H255=$D$6,H255=$D$7,H255=$D$8,H255=$D$9,H255=$D$10,H255=$D$11,H255=$D$12,H255=$D$13,H255=$D$14),SottocategorieUscite[[#Headers],[Personali]],IF(OR(H255=$E$5,H255=$E$6,H255=$E$7,H255=$E$8,H255=$E$9,H255=$E$10,H255=$E$11,H255=$E$12,H255=$E$13,H255=$E$14),SottocategorieUscite[[#Headers],[Lavoro]],IF(OR(H255=$F$5,H255=$F$6,H255=$F$7,H255=$F$8,H255=$F$9,H255=$F$10,H255=$F$11,H255=$F$12,H255=$F$13,H255=$F$14),SottocategorieUscite[[#Headers],[Casa]],IF(OR(H255=$G$5,H255=$G$6,H255=$G$7,H255=$G$8,H255=$G$9,H255=$G$10,H255=$G$11,H255=$G$12,H255=$G$13,H255=$G$14),SottocategorieUscite[[#Headers],[Utenze]],IF(OR(H255=$H$5,H255=$H$6,H255=$H$7,H255=$H$8,H255=$H$9,H255=$H$10,H255=$H$11,H255=$H$12,H255=$H$13,H255=$H$14),SottocategorieUscite[[#Headers],[Business Uscite]],IF(OR(H255=$I$5,H255=$I$6,H255=$I$7,H255=$I$8,H255=$I$9,H255=$I$10,H255=$I$11,H255=$I$12,H255=$I$13,H255=$I$14),SottocategorieUscite[[#Headers],[Banca]],IF(OR(H255=K$5,H255=K$6,H255=K$7,H255=K$8,H255=K$9,H255=K$10,H255=K$11,H255=K$12,H255=K$13,H255=K$14),SottocategorieEntrate[[#Headers],[Business Entrate]],IF(OR(H255=L$5,H255=L$6,H255=L$7,H255=L$8,H255=L$9,H255=L$10,H255=L$11,H255=L$12,H255=L$13,H255=L$14),SottocategorieEntrate[[#Headers],[Varie Entrate]],IF(OR(H255=M$5,H255=M$6,H255=M$7,H255=M$8,H255=M$9,H255=M$10,H255=M$11,H255=M$12,H255=M$13,H255=M$14),SottocategorieEntrate[[#Headers],[Real Estate]],IF(OR(H255=N$5,H255=N$6,H255=N$7,H255=N$8,H255=N$9,H255=N$10,H255=N$11,H255=N$12,H255=N$13,H255=N$14),SottocategorieEntrate[[#Headers],[Other]],""))))))))))))</f>
        <v/>
      </c>
      <c r="J255" t="str">
        <f>IF(OR(Dati[[#This Row],[Categoria]]="Bollette",Dati[[#This Row],[Categoria]]="Conto &amp; Carte BNL",Dati[[#This Row],[Categoria]]="Prelievo",Dati[[#This Row],[Categoria]]="Affitto",Dati[[#This Row],[Categoria]]="BNL(Interessi Creditori)"),"Carta",IF(Dati[[#This Row],[Categoria]]&lt;&gt;0,"Cash",""))</f>
        <v/>
      </c>
      <c r="K255" s="59" t="str">
        <f>IF(OR(Data!$I255=SottocategorieUscite[[#Headers],[Fuori Casa]],Data!$I255=SottocategorieUscite[[#Headers],[Varie Uscite]],Data!$I255=SottocategorieUscite[[#Headers],[Personali]],Data!$I255=SottocategorieUscite[[#Headers],[Lavoro]]),"$ -","")</f>
        <v/>
      </c>
      <c r="L255" s="59" t="str">
        <f>IF(OR(Data!$I255=SottocategorieUscite[[#Headers],[Casa]],Data!$I255=SottocategorieUscite[[#Headers],[Utenze]],Data!$I255=SottocategorieUscite[[#Headers],[Business Uscite]],Data!$I255=SottocategorieUscite[[#Headers],[Banca]]),"$ -","")</f>
        <v/>
      </c>
      <c r="M255" s="59" t="str">
        <f>IF(OR($I255&lt;&gt;SottocategorieUscite[[#Headers],[Fuori Casa]],$I255&lt;&gt;SottocategorieUscite[[#Headers],[Varie Uscite]],$I255&lt;&gt;SottocategorieUscite[[#Headers],[Personali]],$I255&lt;&gt;SottocategorieUscite[[#Headers],[Lavoro]],$I255&lt;&gt;SottocategorieUscite[[#Headers],[Casa]],$I255&lt;&gt;SottocategorieUscite[[#Headers],[Utenze]],$I255&lt;&gt;SottocategorieUscite[[#Headers],[Business Uscite]],$I255&lt;&gt;SottocategorieUscite[[#Headers],[Banca]]),"","$ -")</f>
        <v/>
      </c>
      <c r="N255" s="59" t="str">
        <f>IF(OR(Data!$I255=SottocategorieEntrate[[#Headers],[Business Entrate]],Data!$I255=SottocategorieEntrate[[#Headers],[Varie Entrate]]),"$ -","")</f>
        <v/>
      </c>
      <c r="O255" s="59" t="str">
        <f>IF(OR(Data!$I255=SottocategorieEntrate[[#Headers],[Real Estate]],SottocategorieEntrate[[#Headers],[Other]]),"$ -","")</f>
        <v/>
      </c>
      <c r="P255" s="59" t="str">
        <f>IF(OR($I255&lt;&gt;SottocategorieEntrate[[#Headers],[Business Entrate]],$I255&lt;&gt;SottocategorieEntrate[[#Headers],[Varie Entrate]],$I255&lt;&gt;SottocategorieEntrate[[#Headers],[Real Estate]],$I255&lt;&gt;SottocategorieEntrate[[#Headers],[Other]]),"","$ -")</f>
        <v/>
      </c>
      <c r="Q255" s="59" t="str">
        <f>IF(Dati[[#This Row],[Categoria]]="Prelievo","€ -","")</f>
        <v/>
      </c>
      <c r="R255" s="244" t="str">
        <f t="shared" ca="1" si="11"/>
        <v/>
      </c>
      <c r="S255" s="59" t="str">
        <f>IF(Dati[[#This Row],[Categoria]]="Savings",0,"")</f>
        <v/>
      </c>
      <c r="T255" s="59"/>
      <c r="U255" s="59"/>
      <c r="V255" s="59"/>
      <c r="W255" s="59"/>
      <c r="X255" s="59"/>
      <c r="Y255" s="59"/>
      <c r="Z255" s="59"/>
      <c r="AA255" s="59"/>
      <c r="AB255" s="59"/>
      <c r="AC255" s="59"/>
      <c r="AD255" s="59"/>
      <c r="AE255" s="59"/>
      <c r="AF255" s="59"/>
      <c r="AG255" s="59"/>
      <c r="AH255" s="59"/>
      <c r="AI255" s="59" t="str">
        <f>IF(SUM(Dati[[#This Row],[Inv. Business]:[Inv. Cryptocurrency]])=0," ",SUM(Dati[[#This Row],[Inv. Business]:[Inv. Cryptocurrency]]))</f>
        <v xml:space="preserve"> </v>
      </c>
      <c r="AJ255" s="59"/>
      <c r="AK255" s="59" t="str">
        <f>IF(SUM(Dati[[#This Row],[Inv. Gold]:[Mutuo]])=0," ",SUM(Dati[[#This Row],[Inv. Gold]:[Mutuo]]))</f>
        <v xml:space="preserve"> </v>
      </c>
      <c r="AL255" s="59"/>
      <c r="AM255" s="59"/>
    </row>
    <row r="256" spans="2:39" ht="16" customHeight="1" x14ac:dyDescent="0.35">
      <c r="B256">
        <f t="shared" si="9"/>
        <v>236</v>
      </c>
      <c r="C256" s="49">
        <f t="shared" si="10"/>
        <v>45162</v>
      </c>
      <c r="D256" s="29">
        <f>DAY(Dati[[#This Row],[Data]])</f>
        <v>24</v>
      </c>
      <c r="E256" s="29" t="str">
        <f>IF(DAY(Data!$C$21:$C$1327)&gt;0,TEXT(Data!$C$21:$C$1327, "mmmm"),"")</f>
        <v>agosto</v>
      </c>
      <c r="F256" s="29" t="str">
        <f>IF(DAY(Data!$C$21:$C$1327)&gt;0,TEXT(Data!$C$21:$C$1327, "aaaa"),"")</f>
        <v>2023</v>
      </c>
      <c r="I256" t="str">
        <f>IF(OR(H256=$B$5,H256=$B$6,H256=$B$7,H256=$B$8,H256=$B$9,H256=$B$10,H256=$B$11,H256=$B$12,H256=$B$13,H256=$B$14),SottocategorieUscite[[#Headers],[Fuori Casa]],IF(OR(H256=$C$5,H256=$C$6,H256=$C$7,H256=$C$8,H256=$C$9,H256=$C$10,H256=$C$11,H256=$C$12,H256=$C$13,H256=$C$14),SottocategorieUscite[[#Headers],[Varie Uscite]],IF(OR(H256=$D$5,H256=$D$6,H256=$D$7,H256=$D$8,H256=$D$9,H256=$D$10,H256=$D$11,H256=$D$12,H256=$D$13,H256=$D$14),SottocategorieUscite[[#Headers],[Personali]],IF(OR(H256=$E$5,H256=$E$6,H256=$E$7,H256=$E$8,H256=$E$9,H256=$E$10,H256=$E$11,H256=$E$12,H256=$E$13,H256=$E$14),SottocategorieUscite[[#Headers],[Lavoro]],IF(OR(H256=$F$5,H256=$F$6,H256=$F$7,H256=$F$8,H256=$F$9,H256=$F$10,H256=$F$11,H256=$F$12,H256=$F$13,H256=$F$14),SottocategorieUscite[[#Headers],[Casa]],IF(OR(H256=$G$5,H256=$G$6,H256=$G$7,H256=$G$8,H256=$G$9,H256=$G$10,H256=$G$11,H256=$G$12,H256=$G$13,H256=$G$14),SottocategorieUscite[[#Headers],[Utenze]],IF(OR(H256=$H$5,H256=$H$6,H256=$H$7,H256=$H$8,H256=$H$9,H256=$H$10,H256=$H$11,H256=$H$12,H256=$H$13,H256=$H$14),SottocategorieUscite[[#Headers],[Business Uscite]],IF(OR(H256=$I$5,H256=$I$6,H256=$I$7,H256=$I$8,H256=$I$9,H256=$I$10,H256=$I$11,H256=$I$12,H256=$I$13,H256=$I$14),SottocategorieUscite[[#Headers],[Banca]],IF(OR(H256=K$5,H256=K$6,H256=K$7,H256=K$8,H256=K$9,H256=K$10,H256=K$11,H256=K$12,H256=K$13,H256=K$14),SottocategorieEntrate[[#Headers],[Business Entrate]],IF(OR(H256=L$5,H256=L$6,H256=L$7,H256=L$8,H256=L$9,H256=L$10,H256=L$11,H256=L$12,H256=L$13,H256=L$14),SottocategorieEntrate[[#Headers],[Varie Entrate]],IF(OR(H256=M$5,H256=M$6,H256=M$7,H256=M$8,H256=M$9,H256=M$10,H256=M$11,H256=M$12,H256=M$13,H256=M$14),SottocategorieEntrate[[#Headers],[Real Estate]],IF(OR(H256=N$5,H256=N$6,H256=N$7,H256=N$8,H256=N$9,H256=N$10,H256=N$11,H256=N$12,H256=N$13,H256=N$14),SottocategorieEntrate[[#Headers],[Other]],""))))))))))))</f>
        <v/>
      </c>
      <c r="J256" t="str">
        <f>IF(OR(Dati[[#This Row],[Categoria]]="Bollette",Dati[[#This Row],[Categoria]]="Conto &amp; Carte BNL",Dati[[#This Row],[Categoria]]="Prelievo",Dati[[#This Row],[Categoria]]="Affitto",Dati[[#This Row],[Categoria]]="BNL(Interessi Creditori)"),"Carta",IF(Dati[[#This Row],[Categoria]]&lt;&gt;0,"Cash",""))</f>
        <v/>
      </c>
      <c r="K256" s="59" t="str">
        <f>IF(OR(Data!$I256=SottocategorieUscite[[#Headers],[Fuori Casa]],Data!$I256=SottocategorieUscite[[#Headers],[Varie Uscite]],Data!$I256=SottocategorieUscite[[#Headers],[Personali]],Data!$I256=SottocategorieUscite[[#Headers],[Lavoro]]),"$ -","")</f>
        <v/>
      </c>
      <c r="L256" s="59" t="str">
        <f>IF(OR(Data!$I256=SottocategorieUscite[[#Headers],[Casa]],Data!$I256=SottocategorieUscite[[#Headers],[Utenze]],Data!$I256=SottocategorieUscite[[#Headers],[Business Uscite]],Data!$I256=SottocategorieUscite[[#Headers],[Banca]]),"$ -","")</f>
        <v/>
      </c>
      <c r="M256" s="59" t="str">
        <f>IF(OR($I256&lt;&gt;SottocategorieUscite[[#Headers],[Fuori Casa]],$I256&lt;&gt;SottocategorieUscite[[#Headers],[Varie Uscite]],$I256&lt;&gt;SottocategorieUscite[[#Headers],[Personali]],$I256&lt;&gt;SottocategorieUscite[[#Headers],[Lavoro]],$I256&lt;&gt;SottocategorieUscite[[#Headers],[Casa]],$I256&lt;&gt;SottocategorieUscite[[#Headers],[Utenze]],$I256&lt;&gt;SottocategorieUscite[[#Headers],[Business Uscite]],$I256&lt;&gt;SottocategorieUscite[[#Headers],[Banca]]),"","$ -")</f>
        <v/>
      </c>
      <c r="N256" s="59" t="str">
        <f>IF(OR(Data!$I256=SottocategorieEntrate[[#Headers],[Business Entrate]],Data!$I256=SottocategorieEntrate[[#Headers],[Varie Entrate]]),"$ -","")</f>
        <v/>
      </c>
      <c r="O256" s="59" t="str">
        <f>IF(OR(Data!$I256=SottocategorieEntrate[[#Headers],[Real Estate]],SottocategorieEntrate[[#Headers],[Other]]),"$ -","")</f>
        <v/>
      </c>
      <c r="P256" s="59" t="str">
        <f>IF(OR($I256&lt;&gt;SottocategorieEntrate[[#Headers],[Business Entrate]],$I256&lt;&gt;SottocategorieEntrate[[#Headers],[Varie Entrate]],$I256&lt;&gt;SottocategorieEntrate[[#Headers],[Real Estate]],$I256&lt;&gt;SottocategorieEntrate[[#Headers],[Other]]),"","$ -")</f>
        <v/>
      </c>
      <c r="Q256" s="59" t="str">
        <f>IF(Dati[[#This Row],[Categoria]]="Prelievo","€ -","")</f>
        <v/>
      </c>
      <c r="R256" s="244" t="str">
        <f t="shared" ca="1" si="11"/>
        <v/>
      </c>
      <c r="S256" s="59" t="str">
        <f>IF(Dati[[#This Row],[Categoria]]="Savings",0,"")</f>
        <v/>
      </c>
      <c r="T256" s="59"/>
      <c r="U256" s="59"/>
      <c r="V256" s="59"/>
      <c r="W256" s="59"/>
      <c r="X256" s="59"/>
      <c r="Y256" s="59"/>
      <c r="Z256" s="59"/>
      <c r="AA256" s="59"/>
      <c r="AB256" s="59"/>
      <c r="AC256" s="59"/>
      <c r="AD256" s="59"/>
      <c r="AE256" s="59"/>
      <c r="AF256" s="59"/>
      <c r="AG256" s="59"/>
      <c r="AH256" s="59"/>
      <c r="AI256" s="59" t="str">
        <f>IF(SUM(Dati[[#This Row],[Inv. Business]:[Inv. Cryptocurrency]])=0," ",SUM(Dati[[#This Row],[Inv. Business]:[Inv. Cryptocurrency]]))</f>
        <v xml:space="preserve"> </v>
      </c>
      <c r="AJ256" s="59"/>
      <c r="AK256" s="59" t="str">
        <f>IF(SUM(Dati[[#This Row],[Inv. Gold]:[Mutuo]])=0," ",SUM(Dati[[#This Row],[Inv. Gold]:[Mutuo]]))</f>
        <v xml:space="preserve"> </v>
      </c>
      <c r="AL256" s="59"/>
      <c r="AM256" s="59"/>
    </row>
    <row r="257" spans="2:39" ht="16" customHeight="1" x14ac:dyDescent="0.35">
      <c r="B257">
        <f t="shared" si="9"/>
        <v>237</v>
      </c>
      <c r="C257" s="49">
        <f t="shared" si="10"/>
        <v>45163</v>
      </c>
      <c r="D257" s="29">
        <f>DAY(Dati[[#This Row],[Data]])</f>
        <v>25</v>
      </c>
      <c r="E257" s="29" t="str">
        <f>IF(DAY(Data!$C$21:$C$1327)&gt;0,TEXT(Data!$C$21:$C$1327, "mmmm"),"")</f>
        <v>agosto</v>
      </c>
      <c r="F257" s="29" t="str">
        <f>IF(DAY(Data!$C$21:$C$1327)&gt;0,TEXT(Data!$C$21:$C$1327, "aaaa"),"")</f>
        <v>2023</v>
      </c>
      <c r="I257" t="str">
        <f>IF(OR(H257=$B$5,H257=$B$6,H257=$B$7,H257=$B$8,H257=$B$9,H257=$B$10,H257=$B$11,H257=$B$12,H257=$B$13,H257=$B$14),SottocategorieUscite[[#Headers],[Fuori Casa]],IF(OR(H257=$C$5,H257=$C$6,H257=$C$7,H257=$C$8,H257=$C$9,H257=$C$10,H257=$C$11,H257=$C$12,H257=$C$13,H257=$C$14),SottocategorieUscite[[#Headers],[Varie Uscite]],IF(OR(H257=$D$5,H257=$D$6,H257=$D$7,H257=$D$8,H257=$D$9,H257=$D$10,H257=$D$11,H257=$D$12,H257=$D$13,H257=$D$14),SottocategorieUscite[[#Headers],[Personali]],IF(OR(H257=$E$5,H257=$E$6,H257=$E$7,H257=$E$8,H257=$E$9,H257=$E$10,H257=$E$11,H257=$E$12,H257=$E$13,H257=$E$14),SottocategorieUscite[[#Headers],[Lavoro]],IF(OR(H257=$F$5,H257=$F$6,H257=$F$7,H257=$F$8,H257=$F$9,H257=$F$10,H257=$F$11,H257=$F$12,H257=$F$13,H257=$F$14),SottocategorieUscite[[#Headers],[Casa]],IF(OR(H257=$G$5,H257=$G$6,H257=$G$7,H257=$G$8,H257=$G$9,H257=$G$10,H257=$G$11,H257=$G$12,H257=$G$13,H257=$G$14),SottocategorieUscite[[#Headers],[Utenze]],IF(OR(H257=$H$5,H257=$H$6,H257=$H$7,H257=$H$8,H257=$H$9,H257=$H$10,H257=$H$11,H257=$H$12,H257=$H$13,H257=$H$14),SottocategorieUscite[[#Headers],[Business Uscite]],IF(OR(H257=$I$5,H257=$I$6,H257=$I$7,H257=$I$8,H257=$I$9,H257=$I$10,H257=$I$11,H257=$I$12,H257=$I$13,H257=$I$14),SottocategorieUscite[[#Headers],[Banca]],IF(OR(H257=K$5,H257=K$6,H257=K$7,H257=K$8,H257=K$9,H257=K$10,H257=K$11,H257=K$12,H257=K$13,H257=K$14),SottocategorieEntrate[[#Headers],[Business Entrate]],IF(OR(H257=L$5,H257=L$6,H257=L$7,H257=L$8,H257=L$9,H257=L$10,H257=L$11,H257=L$12,H257=L$13,H257=L$14),SottocategorieEntrate[[#Headers],[Varie Entrate]],IF(OR(H257=M$5,H257=M$6,H257=M$7,H257=M$8,H257=M$9,H257=M$10,H257=M$11,H257=M$12,H257=M$13,H257=M$14),SottocategorieEntrate[[#Headers],[Real Estate]],IF(OR(H257=N$5,H257=N$6,H257=N$7,H257=N$8,H257=N$9,H257=N$10,H257=N$11,H257=N$12,H257=N$13,H257=N$14),SottocategorieEntrate[[#Headers],[Other]],""))))))))))))</f>
        <v/>
      </c>
      <c r="J257" t="str">
        <f>IF(OR(Dati[[#This Row],[Categoria]]="Bollette",Dati[[#This Row],[Categoria]]="Conto &amp; Carte BNL",Dati[[#This Row],[Categoria]]="Prelievo",Dati[[#This Row],[Categoria]]="Affitto",Dati[[#This Row],[Categoria]]="BNL(Interessi Creditori)"),"Carta",IF(Dati[[#This Row],[Categoria]]&lt;&gt;0,"Cash",""))</f>
        <v/>
      </c>
      <c r="K257" s="59" t="str">
        <f>IF(OR(Data!$I257=SottocategorieUscite[[#Headers],[Fuori Casa]],Data!$I257=SottocategorieUscite[[#Headers],[Varie Uscite]],Data!$I257=SottocategorieUscite[[#Headers],[Personali]],Data!$I257=SottocategorieUscite[[#Headers],[Lavoro]]),"$ -","")</f>
        <v/>
      </c>
      <c r="L257" s="59" t="str">
        <f>IF(OR(Data!$I257=SottocategorieUscite[[#Headers],[Casa]],Data!$I257=SottocategorieUscite[[#Headers],[Utenze]],Data!$I257=SottocategorieUscite[[#Headers],[Business Uscite]],Data!$I257=SottocategorieUscite[[#Headers],[Banca]]),"$ -","")</f>
        <v/>
      </c>
      <c r="M257" s="59" t="str">
        <f>IF(OR($I257&lt;&gt;SottocategorieUscite[[#Headers],[Fuori Casa]],$I257&lt;&gt;SottocategorieUscite[[#Headers],[Varie Uscite]],$I257&lt;&gt;SottocategorieUscite[[#Headers],[Personali]],$I257&lt;&gt;SottocategorieUscite[[#Headers],[Lavoro]],$I257&lt;&gt;SottocategorieUscite[[#Headers],[Casa]],$I257&lt;&gt;SottocategorieUscite[[#Headers],[Utenze]],$I257&lt;&gt;SottocategorieUscite[[#Headers],[Business Uscite]],$I257&lt;&gt;SottocategorieUscite[[#Headers],[Banca]]),"","$ -")</f>
        <v/>
      </c>
      <c r="N257" s="59" t="str">
        <f>IF(OR(Data!$I257=SottocategorieEntrate[[#Headers],[Business Entrate]],Data!$I257=SottocategorieEntrate[[#Headers],[Varie Entrate]]),"$ -","")</f>
        <v/>
      </c>
      <c r="O257" s="59" t="str">
        <f>IF(OR(Data!$I257=SottocategorieEntrate[[#Headers],[Real Estate]],SottocategorieEntrate[[#Headers],[Other]]),"$ -","")</f>
        <v/>
      </c>
      <c r="P257" s="59" t="str">
        <f>IF(OR($I257&lt;&gt;SottocategorieEntrate[[#Headers],[Business Entrate]],$I257&lt;&gt;SottocategorieEntrate[[#Headers],[Varie Entrate]],$I257&lt;&gt;SottocategorieEntrate[[#Headers],[Real Estate]],$I257&lt;&gt;SottocategorieEntrate[[#Headers],[Other]]),"","$ -")</f>
        <v/>
      </c>
      <c r="Q257" s="59" t="str">
        <f>IF(Dati[[#This Row],[Categoria]]="Prelievo","€ -","")</f>
        <v/>
      </c>
      <c r="R257" s="244" t="str">
        <f t="shared" ca="1" si="11"/>
        <v/>
      </c>
      <c r="S257" s="59" t="str">
        <f>IF(Dati[[#This Row],[Categoria]]="Savings",0,"")</f>
        <v/>
      </c>
      <c r="T257" s="59"/>
      <c r="U257" s="59"/>
      <c r="V257" s="59"/>
      <c r="W257" s="59"/>
      <c r="X257" s="59"/>
      <c r="Y257" s="59"/>
      <c r="Z257" s="59"/>
      <c r="AA257" s="59"/>
      <c r="AB257" s="59"/>
      <c r="AC257" s="59"/>
      <c r="AD257" s="59"/>
      <c r="AE257" s="59"/>
      <c r="AF257" s="59"/>
      <c r="AG257" s="59"/>
      <c r="AH257" s="59"/>
      <c r="AI257" s="59" t="str">
        <f>IF(SUM(Dati[[#This Row],[Inv. Business]:[Inv. Cryptocurrency]])=0," ",SUM(Dati[[#This Row],[Inv. Business]:[Inv. Cryptocurrency]]))</f>
        <v xml:space="preserve"> </v>
      </c>
      <c r="AJ257" s="59"/>
      <c r="AK257" s="59" t="str">
        <f>IF(SUM(Dati[[#This Row],[Inv. Gold]:[Mutuo]])=0," ",SUM(Dati[[#This Row],[Inv. Gold]:[Mutuo]]))</f>
        <v xml:space="preserve"> </v>
      </c>
      <c r="AL257" s="59"/>
      <c r="AM257" s="59"/>
    </row>
    <row r="258" spans="2:39" ht="16" customHeight="1" x14ac:dyDescent="0.35">
      <c r="B258">
        <f t="shared" si="9"/>
        <v>238</v>
      </c>
      <c r="C258" s="49">
        <f t="shared" si="10"/>
        <v>45164</v>
      </c>
      <c r="D258" s="29">
        <f>DAY(Dati[[#This Row],[Data]])</f>
        <v>26</v>
      </c>
      <c r="E258" s="29" t="str">
        <f>IF(DAY(Data!$C$21:$C$1327)&gt;0,TEXT(Data!$C$21:$C$1327, "mmmm"),"")</f>
        <v>agosto</v>
      </c>
      <c r="F258" s="29" t="str">
        <f>IF(DAY(Data!$C$21:$C$1327)&gt;0,TEXT(Data!$C$21:$C$1327, "aaaa"),"")</f>
        <v>2023</v>
      </c>
      <c r="I258" t="str">
        <f>IF(OR(H258=$B$5,H258=$B$6,H258=$B$7,H258=$B$8,H258=$B$9,H258=$B$10,H258=$B$11,H258=$B$12,H258=$B$13,H258=$B$14),SottocategorieUscite[[#Headers],[Fuori Casa]],IF(OR(H258=$C$5,H258=$C$6,H258=$C$7,H258=$C$8,H258=$C$9,H258=$C$10,H258=$C$11,H258=$C$12,H258=$C$13,H258=$C$14),SottocategorieUscite[[#Headers],[Varie Uscite]],IF(OR(H258=$D$5,H258=$D$6,H258=$D$7,H258=$D$8,H258=$D$9,H258=$D$10,H258=$D$11,H258=$D$12,H258=$D$13,H258=$D$14),SottocategorieUscite[[#Headers],[Personali]],IF(OR(H258=$E$5,H258=$E$6,H258=$E$7,H258=$E$8,H258=$E$9,H258=$E$10,H258=$E$11,H258=$E$12,H258=$E$13,H258=$E$14),SottocategorieUscite[[#Headers],[Lavoro]],IF(OR(H258=$F$5,H258=$F$6,H258=$F$7,H258=$F$8,H258=$F$9,H258=$F$10,H258=$F$11,H258=$F$12,H258=$F$13,H258=$F$14),SottocategorieUscite[[#Headers],[Casa]],IF(OR(H258=$G$5,H258=$G$6,H258=$G$7,H258=$G$8,H258=$G$9,H258=$G$10,H258=$G$11,H258=$G$12,H258=$G$13,H258=$G$14),SottocategorieUscite[[#Headers],[Utenze]],IF(OR(H258=$H$5,H258=$H$6,H258=$H$7,H258=$H$8,H258=$H$9,H258=$H$10,H258=$H$11,H258=$H$12,H258=$H$13,H258=$H$14),SottocategorieUscite[[#Headers],[Business Uscite]],IF(OR(H258=$I$5,H258=$I$6,H258=$I$7,H258=$I$8,H258=$I$9,H258=$I$10,H258=$I$11,H258=$I$12,H258=$I$13,H258=$I$14),SottocategorieUscite[[#Headers],[Banca]],IF(OR(H258=K$5,H258=K$6,H258=K$7,H258=K$8,H258=K$9,H258=K$10,H258=K$11,H258=K$12,H258=K$13,H258=K$14),SottocategorieEntrate[[#Headers],[Business Entrate]],IF(OR(H258=L$5,H258=L$6,H258=L$7,H258=L$8,H258=L$9,H258=L$10,H258=L$11,H258=L$12,H258=L$13,H258=L$14),SottocategorieEntrate[[#Headers],[Varie Entrate]],IF(OR(H258=M$5,H258=M$6,H258=M$7,H258=M$8,H258=M$9,H258=M$10,H258=M$11,H258=M$12,H258=M$13,H258=M$14),SottocategorieEntrate[[#Headers],[Real Estate]],IF(OR(H258=N$5,H258=N$6,H258=N$7,H258=N$8,H258=N$9,H258=N$10,H258=N$11,H258=N$12,H258=N$13,H258=N$14),SottocategorieEntrate[[#Headers],[Other]],""))))))))))))</f>
        <v/>
      </c>
      <c r="J258" t="str">
        <f>IF(OR(Dati[[#This Row],[Categoria]]="Bollette",Dati[[#This Row],[Categoria]]="Conto &amp; Carte BNL",Dati[[#This Row],[Categoria]]="Prelievo",Dati[[#This Row],[Categoria]]="Affitto",Dati[[#This Row],[Categoria]]="BNL(Interessi Creditori)"),"Carta",IF(Dati[[#This Row],[Categoria]]&lt;&gt;0,"Cash",""))</f>
        <v/>
      </c>
      <c r="K258" s="59" t="str">
        <f>IF(OR(Data!$I258=SottocategorieUscite[[#Headers],[Fuori Casa]],Data!$I258=SottocategorieUscite[[#Headers],[Varie Uscite]],Data!$I258=SottocategorieUscite[[#Headers],[Personali]],Data!$I258=SottocategorieUscite[[#Headers],[Lavoro]]),"$ -","")</f>
        <v/>
      </c>
      <c r="L258" s="59" t="str">
        <f>IF(OR(Data!$I258=SottocategorieUscite[[#Headers],[Casa]],Data!$I258=SottocategorieUscite[[#Headers],[Utenze]],Data!$I258=SottocategorieUscite[[#Headers],[Business Uscite]],Data!$I258=SottocategorieUscite[[#Headers],[Banca]]),"$ -","")</f>
        <v/>
      </c>
      <c r="M258" s="59" t="str">
        <f>IF(OR($I258&lt;&gt;SottocategorieUscite[[#Headers],[Fuori Casa]],$I258&lt;&gt;SottocategorieUscite[[#Headers],[Varie Uscite]],$I258&lt;&gt;SottocategorieUscite[[#Headers],[Personali]],$I258&lt;&gt;SottocategorieUscite[[#Headers],[Lavoro]],$I258&lt;&gt;SottocategorieUscite[[#Headers],[Casa]],$I258&lt;&gt;SottocategorieUscite[[#Headers],[Utenze]],$I258&lt;&gt;SottocategorieUscite[[#Headers],[Business Uscite]],$I258&lt;&gt;SottocategorieUscite[[#Headers],[Banca]]),"","$ -")</f>
        <v/>
      </c>
      <c r="N258" s="59" t="str">
        <f>IF(OR(Data!$I258=SottocategorieEntrate[[#Headers],[Business Entrate]],Data!$I258=SottocategorieEntrate[[#Headers],[Varie Entrate]]),"$ -","")</f>
        <v/>
      </c>
      <c r="O258" s="59" t="str">
        <f>IF(OR(Data!$I258=SottocategorieEntrate[[#Headers],[Real Estate]],SottocategorieEntrate[[#Headers],[Other]]),"$ -","")</f>
        <v/>
      </c>
      <c r="P258" s="59" t="str">
        <f>IF(OR($I258&lt;&gt;SottocategorieEntrate[[#Headers],[Business Entrate]],$I258&lt;&gt;SottocategorieEntrate[[#Headers],[Varie Entrate]],$I258&lt;&gt;SottocategorieEntrate[[#Headers],[Real Estate]],$I258&lt;&gt;SottocategorieEntrate[[#Headers],[Other]]),"","$ -")</f>
        <v/>
      </c>
      <c r="Q258" s="59" t="str">
        <f>IF(Dati[[#This Row],[Categoria]]="Prelievo","€ -","")</f>
        <v/>
      </c>
      <c r="R258" s="244" t="str">
        <f t="shared" ca="1" si="11"/>
        <v/>
      </c>
      <c r="S258" s="59" t="str">
        <f>IF(Dati[[#This Row],[Categoria]]="Savings",0,"")</f>
        <v/>
      </c>
      <c r="T258" s="59"/>
      <c r="U258" s="59"/>
      <c r="V258" s="59"/>
      <c r="W258" s="59"/>
      <c r="X258" s="59"/>
      <c r="Y258" s="59"/>
      <c r="Z258" s="59"/>
      <c r="AA258" s="59"/>
      <c r="AB258" s="59"/>
      <c r="AC258" s="59"/>
      <c r="AD258" s="59"/>
      <c r="AE258" s="59"/>
      <c r="AF258" s="59"/>
      <c r="AG258" s="59"/>
      <c r="AH258" s="59"/>
      <c r="AI258" s="59" t="str">
        <f>IF(SUM(Dati[[#This Row],[Inv. Business]:[Inv. Cryptocurrency]])=0," ",SUM(Dati[[#This Row],[Inv. Business]:[Inv. Cryptocurrency]]))</f>
        <v xml:space="preserve"> </v>
      </c>
      <c r="AJ258" s="59"/>
      <c r="AK258" s="59" t="str">
        <f>IF(SUM(Dati[[#This Row],[Inv. Gold]:[Mutuo]])=0," ",SUM(Dati[[#This Row],[Inv. Gold]:[Mutuo]]))</f>
        <v xml:space="preserve"> </v>
      </c>
      <c r="AL258" s="59"/>
      <c r="AM258" s="59"/>
    </row>
    <row r="259" spans="2:39" ht="16" customHeight="1" x14ac:dyDescent="0.35">
      <c r="B259">
        <f t="shared" si="9"/>
        <v>239</v>
      </c>
      <c r="C259" s="49">
        <f t="shared" si="10"/>
        <v>45165</v>
      </c>
      <c r="D259" s="29">
        <f>DAY(Dati[[#This Row],[Data]])</f>
        <v>27</v>
      </c>
      <c r="E259" s="29" t="str">
        <f>IF(DAY(Data!$C$21:$C$1327)&gt;0,TEXT(Data!$C$21:$C$1327, "mmmm"),"")</f>
        <v>agosto</v>
      </c>
      <c r="F259" s="29" t="str">
        <f>IF(DAY(Data!$C$21:$C$1327)&gt;0,TEXT(Data!$C$21:$C$1327, "aaaa"),"")</f>
        <v>2023</v>
      </c>
      <c r="I259" t="str">
        <f>IF(OR(H259=$B$5,H259=$B$6,H259=$B$7,H259=$B$8,H259=$B$9,H259=$B$10,H259=$B$11,H259=$B$12,H259=$B$13,H259=$B$14),SottocategorieUscite[[#Headers],[Fuori Casa]],IF(OR(H259=$C$5,H259=$C$6,H259=$C$7,H259=$C$8,H259=$C$9,H259=$C$10,H259=$C$11,H259=$C$12,H259=$C$13,H259=$C$14),SottocategorieUscite[[#Headers],[Varie Uscite]],IF(OR(H259=$D$5,H259=$D$6,H259=$D$7,H259=$D$8,H259=$D$9,H259=$D$10,H259=$D$11,H259=$D$12,H259=$D$13,H259=$D$14),SottocategorieUscite[[#Headers],[Personali]],IF(OR(H259=$E$5,H259=$E$6,H259=$E$7,H259=$E$8,H259=$E$9,H259=$E$10,H259=$E$11,H259=$E$12,H259=$E$13,H259=$E$14),SottocategorieUscite[[#Headers],[Lavoro]],IF(OR(H259=$F$5,H259=$F$6,H259=$F$7,H259=$F$8,H259=$F$9,H259=$F$10,H259=$F$11,H259=$F$12,H259=$F$13,H259=$F$14),SottocategorieUscite[[#Headers],[Casa]],IF(OR(H259=$G$5,H259=$G$6,H259=$G$7,H259=$G$8,H259=$G$9,H259=$G$10,H259=$G$11,H259=$G$12,H259=$G$13,H259=$G$14),SottocategorieUscite[[#Headers],[Utenze]],IF(OR(H259=$H$5,H259=$H$6,H259=$H$7,H259=$H$8,H259=$H$9,H259=$H$10,H259=$H$11,H259=$H$12,H259=$H$13,H259=$H$14),SottocategorieUscite[[#Headers],[Business Uscite]],IF(OR(H259=$I$5,H259=$I$6,H259=$I$7,H259=$I$8,H259=$I$9,H259=$I$10,H259=$I$11,H259=$I$12,H259=$I$13,H259=$I$14),SottocategorieUscite[[#Headers],[Banca]],IF(OR(H259=K$5,H259=K$6,H259=K$7,H259=K$8,H259=K$9,H259=K$10,H259=K$11,H259=K$12,H259=K$13,H259=K$14),SottocategorieEntrate[[#Headers],[Business Entrate]],IF(OR(H259=L$5,H259=L$6,H259=L$7,H259=L$8,H259=L$9,H259=L$10,H259=L$11,H259=L$12,H259=L$13,H259=L$14),SottocategorieEntrate[[#Headers],[Varie Entrate]],IF(OR(H259=M$5,H259=M$6,H259=M$7,H259=M$8,H259=M$9,H259=M$10,H259=M$11,H259=M$12,H259=M$13,H259=M$14),SottocategorieEntrate[[#Headers],[Real Estate]],IF(OR(H259=N$5,H259=N$6,H259=N$7,H259=N$8,H259=N$9,H259=N$10,H259=N$11,H259=N$12,H259=N$13,H259=N$14),SottocategorieEntrate[[#Headers],[Other]],""))))))))))))</f>
        <v/>
      </c>
      <c r="J259" t="str">
        <f>IF(OR(Dati[[#This Row],[Categoria]]="Bollette",Dati[[#This Row],[Categoria]]="Conto &amp; Carte BNL",Dati[[#This Row],[Categoria]]="Prelievo",Dati[[#This Row],[Categoria]]="Affitto",Dati[[#This Row],[Categoria]]="BNL(Interessi Creditori)"),"Carta",IF(Dati[[#This Row],[Categoria]]&lt;&gt;0,"Cash",""))</f>
        <v/>
      </c>
      <c r="K259" s="59" t="str">
        <f>IF(OR(Data!$I259=SottocategorieUscite[[#Headers],[Fuori Casa]],Data!$I259=SottocategorieUscite[[#Headers],[Varie Uscite]],Data!$I259=SottocategorieUscite[[#Headers],[Personali]],Data!$I259=SottocategorieUscite[[#Headers],[Lavoro]]),"$ -","")</f>
        <v/>
      </c>
      <c r="L259" s="59" t="str">
        <f>IF(OR(Data!$I259=SottocategorieUscite[[#Headers],[Casa]],Data!$I259=SottocategorieUscite[[#Headers],[Utenze]],Data!$I259=SottocategorieUscite[[#Headers],[Business Uscite]],Data!$I259=SottocategorieUscite[[#Headers],[Banca]]),"$ -","")</f>
        <v/>
      </c>
      <c r="M259" s="59" t="str">
        <f>IF(OR($I259&lt;&gt;SottocategorieUscite[[#Headers],[Fuori Casa]],$I259&lt;&gt;SottocategorieUscite[[#Headers],[Varie Uscite]],$I259&lt;&gt;SottocategorieUscite[[#Headers],[Personali]],$I259&lt;&gt;SottocategorieUscite[[#Headers],[Lavoro]],$I259&lt;&gt;SottocategorieUscite[[#Headers],[Casa]],$I259&lt;&gt;SottocategorieUscite[[#Headers],[Utenze]],$I259&lt;&gt;SottocategorieUscite[[#Headers],[Business Uscite]],$I259&lt;&gt;SottocategorieUscite[[#Headers],[Banca]]),"","$ -")</f>
        <v/>
      </c>
      <c r="N259" s="59" t="str">
        <f>IF(OR(Data!$I259=SottocategorieEntrate[[#Headers],[Business Entrate]],Data!$I259=SottocategorieEntrate[[#Headers],[Varie Entrate]]),"$ -","")</f>
        <v/>
      </c>
      <c r="O259" s="59" t="str">
        <f>IF(OR(Data!$I259=SottocategorieEntrate[[#Headers],[Real Estate]],SottocategorieEntrate[[#Headers],[Other]]),"$ -","")</f>
        <v/>
      </c>
      <c r="P259" s="59" t="str">
        <f>IF(OR($I259&lt;&gt;SottocategorieEntrate[[#Headers],[Business Entrate]],$I259&lt;&gt;SottocategorieEntrate[[#Headers],[Varie Entrate]],$I259&lt;&gt;SottocategorieEntrate[[#Headers],[Real Estate]],$I259&lt;&gt;SottocategorieEntrate[[#Headers],[Other]]),"","$ -")</f>
        <v/>
      </c>
      <c r="Q259" s="59" t="str">
        <f>IF(Dati[[#This Row],[Categoria]]="Prelievo","€ -","")</f>
        <v/>
      </c>
      <c r="R259" s="244" t="str">
        <f t="shared" ca="1" si="11"/>
        <v/>
      </c>
      <c r="S259" s="59" t="str">
        <f>IF(Dati[[#This Row],[Categoria]]="Savings",0,"")</f>
        <v/>
      </c>
      <c r="T259" s="59"/>
      <c r="U259" s="59"/>
      <c r="V259" s="59"/>
      <c r="W259" s="59"/>
      <c r="X259" s="59"/>
      <c r="Y259" s="59"/>
      <c r="Z259" s="59"/>
      <c r="AA259" s="59"/>
      <c r="AB259" s="59"/>
      <c r="AC259" s="59"/>
      <c r="AD259" s="59"/>
      <c r="AE259" s="59"/>
      <c r="AF259" s="59"/>
      <c r="AG259" s="59"/>
      <c r="AH259" s="59"/>
      <c r="AI259" s="59" t="str">
        <f>IF(SUM(Dati[[#This Row],[Inv. Business]:[Inv. Cryptocurrency]])=0," ",SUM(Dati[[#This Row],[Inv. Business]:[Inv. Cryptocurrency]]))</f>
        <v xml:space="preserve"> </v>
      </c>
      <c r="AJ259" s="59"/>
      <c r="AK259" s="59" t="str">
        <f>IF(SUM(Dati[[#This Row],[Inv. Gold]:[Mutuo]])=0," ",SUM(Dati[[#This Row],[Inv. Gold]:[Mutuo]]))</f>
        <v xml:space="preserve"> </v>
      </c>
      <c r="AL259" s="59"/>
      <c r="AM259" s="59"/>
    </row>
    <row r="260" spans="2:39" ht="16" customHeight="1" x14ac:dyDescent="0.35">
      <c r="B260">
        <f t="shared" si="9"/>
        <v>240</v>
      </c>
      <c r="C260" s="49">
        <f t="shared" si="10"/>
        <v>45166</v>
      </c>
      <c r="D260" s="29">
        <f>DAY(Dati[[#This Row],[Data]])</f>
        <v>28</v>
      </c>
      <c r="E260" s="29" t="str">
        <f>IF(DAY(Data!$C$21:$C$1327)&gt;0,TEXT(Data!$C$21:$C$1327, "mmmm"),"")</f>
        <v>agosto</v>
      </c>
      <c r="F260" s="29" t="str">
        <f>IF(DAY(Data!$C$21:$C$1327)&gt;0,TEXT(Data!$C$21:$C$1327, "aaaa"),"")</f>
        <v>2023</v>
      </c>
      <c r="I260" t="str">
        <f>IF(OR(H260=$B$5,H260=$B$6,H260=$B$7,H260=$B$8,H260=$B$9,H260=$B$10,H260=$B$11,H260=$B$12,H260=$B$13,H260=$B$14),SottocategorieUscite[[#Headers],[Fuori Casa]],IF(OR(H260=$C$5,H260=$C$6,H260=$C$7,H260=$C$8,H260=$C$9,H260=$C$10,H260=$C$11,H260=$C$12,H260=$C$13,H260=$C$14),SottocategorieUscite[[#Headers],[Varie Uscite]],IF(OR(H260=$D$5,H260=$D$6,H260=$D$7,H260=$D$8,H260=$D$9,H260=$D$10,H260=$D$11,H260=$D$12,H260=$D$13,H260=$D$14),SottocategorieUscite[[#Headers],[Personali]],IF(OR(H260=$E$5,H260=$E$6,H260=$E$7,H260=$E$8,H260=$E$9,H260=$E$10,H260=$E$11,H260=$E$12,H260=$E$13,H260=$E$14),SottocategorieUscite[[#Headers],[Lavoro]],IF(OR(H260=$F$5,H260=$F$6,H260=$F$7,H260=$F$8,H260=$F$9,H260=$F$10,H260=$F$11,H260=$F$12,H260=$F$13,H260=$F$14),SottocategorieUscite[[#Headers],[Casa]],IF(OR(H260=$G$5,H260=$G$6,H260=$G$7,H260=$G$8,H260=$G$9,H260=$G$10,H260=$G$11,H260=$G$12,H260=$G$13,H260=$G$14),SottocategorieUscite[[#Headers],[Utenze]],IF(OR(H260=$H$5,H260=$H$6,H260=$H$7,H260=$H$8,H260=$H$9,H260=$H$10,H260=$H$11,H260=$H$12,H260=$H$13,H260=$H$14),SottocategorieUscite[[#Headers],[Business Uscite]],IF(OR(H260=$I$5,H260=$I$6,H260=$I$7,H260=$I$8,H260=$I$9,H260=$I$10,H260=$I$11,H260=$I$12,H260=$I$13,H260=$I$14),SottocategorieUscite[[#Headers],[Banca]],IF(OR(H260=K$5,H260=K$6,H260=K$7,H260=K$8,H260=K$9,H260=K$10,H260=K$11,H260=K$12,H260=K$13,H260=K$14),SottocategorieEntrate[[#Headers],[Business Entrate]],IF(OR(H260=L$5,H260=L$6,H260=L$7,H260=L$8,H260=L$9,H260=L$10,H260=L$11,H260=L$12,H260=L$13,H260=L$14),SottocategorieEntrate[[#Headers],[Varie Entrate]],IF(OR(H260=M$5,H260=M$6,H260=M$7,H260=M$8,H260=M$9,H260=M$10,H260=M$11,H260=M$12,H260=M$13,H260=M$14),SottocategorieEntrate[[#Headers],[Real Estate]],IF(OR(H260=N$5,H260=N$6,H260=N$7,H260=N$8,H260=N$9,H260=N$10,H260=N$11,H260=N$12,H260=N$13,H260=N$14),SottocategorieEntrate[[#Headers],[Other]],""))))))))))))</f>
        <v/>
      </c>
      <c r="J260" t="str">
        <f>IF(OR(Dati[[#This Row],[Categoria]]="Bollette",Dati[[#This Row],[Categoria]]="Conto &amp; Carte BNL",Dati[[#This Row],[Categoria]]="Prelievo",Dati[[#This Row],[Categoria]]="Affitto",Dati[[#This Row],[Categoria]]="BNL(Interessi Creditori)"),"Carta",IF(Dati[[#This Row],[Categoria]]&lt;&gt;0,"Cash",""))</f>
        <v/>
      </c>
      <c r="K260" s="59" t="str">
        <f>IF(OR(Data!$I260=SottocategorieUscite[[#Headers],[Fuori Casa]],Data!$I260=SottocategorieUscite[[#Headers],[Varie Uscite]],Data!$I260=SottocategorieUscite[[#Headers],[Personali]],Data!$I260=SottocategorieUscite[[#Headers],[Lavoro]]),"$ -","")</f>
        <v/>
      </c>
      <c r="L260" s="59" t="str">
        <f>IF(OR(Data!$I260=SottocategorieUscite[[#Headers],[Casa]],Data!$I260=SottocategorieUscite[[#Headers],[Utenze]],Data!$I260=SottocategorieUscite[[#Headers],[Business Uscite]],Data!$I260=SottocategorieUscite[[#Headers],[Banca]]),"$ -","")</f>
        <v/>
      </c>
      <c r="M260" s="59" t="str">
        <f>IF(OR($I260&lt;&gt;SottocategorieUscite[[#Headers],[Fuori Casa]],$I260&lt;&gt;SottocategorieUscite[[#Headers],[Varie Uscite]],$I260&lt;&gt;SottocategorieUscite[[#Headers],[Personali]],$I260&lt;&gt;SottocategorieUscite[[#Headers],[Lavoro]],$I260&lt;&gt;SottocategorieUscite[[#Headers],[Casa]],$I260&lt;&gt;SottocategorieUscite[[#Headers],[Utenze]],$I260&lt;&gt;SottocategorieUscite[[#Headers],[Business Uscite]],$I260&lt;&gt;SottocategorieUscite[[#Headers],[Banca]]),"","$ -")</f>
        <v/>
      </c>
      <c r="N260" s="59" t="str">
        <f>IF(OR(Data!$I260=SottocategorieEntrate[[#Headers],[Business Entrate]],Data!$I260=SottocategorieEntrate[[#Headers],[Varie Entrate]]),"$ -","")</f>
        <v/>
      </c>
      <c r="O260" s="59" t="str">
        <f>IF(OR(Data!$I260=SottocategorieEntrate[[#Headers],[Real Estate]],SottocategorieEntrate[[#Headers],[Other]]),"$ -","")</f>
        <v/>
      </c>
      <c r="P260" s="59" t="str">
        <f>IF(OR($I260&lt;&gt;SottocategorieEntrate[[#Headers],[Business Entrate]],$I260&lt;&gt;SottocategorieEntrate[[#Headers],[Varie Entrate]],$I260&lt;&gt;SottocategorieEntrate[[#Headers],[Real Estate]],$I260&lt;&gt;SottocategorieEntrate[[#Headers],[Other]]),"","$ -")</f>
        <v/>
      </c>
      <c r="Q260" s="59" t="str">
        <f>IF(Dati[[#This Row],[Categoria]]="Prelievo","€ -","")</f>
        <v/>
      </c>
      <c r="R260" s="244" t="str">
        <f t="shared" ca="1" si="11"/>
        <v/>
      </c>
      <c r="S260" s="59" t="str">
        <f>IF(Dati[[#This Row],[Categoria]]="Savings",0,"")</f>
        <v/>
      </c>
      <c r="T260" s="59"/>
      <c r="U260" s="59"/>
      <c r="V260" s="59"/>
      <c r="W260" s="59"/>
      <c r="X260" s="59"/>
      <c r="Y260" s="59"/>
      <c r="Z260" s="59"/>
      <c r="AA260" s="59"/>
      <c r="AB260" s="59"/>
      <c r="AC260" s="59"/>
      <c r="AD260" s="59"/>
      <c r="AE260" s="59"/>
      <c r="AF260" s="59"/>
      <c r="AG260" s="59"/>
      <c r="AH260" s="59"/>
      <c r="AI260" s="59" t="str">
        <f>IF(SUM(Dati[[#This Row],[Inv. Business]:[Inv. Cryptocurrency]])=0," ",SUM(Dati[[#This Row],[Inv. Business]:[Inv. Cryptocurrency]]))</f>
        <v xml:space="preserve"> </v>
      </c>
      <c r="AJ260" s="59"/>
      <c r="AK260" s="59" t="str">
        <f>IF(SUM(Dati[[#This Row],[Inv. Gold]:[Mutuo]])=0," ",SUM(Dati[[#This Row],[Inv. Gold]:[Mutuo]]))</f>
        <v xml:space="preserve"> </v>
      </c>
      <c r="AL260" s="59"/>
      <c r="AM260" s="59"/>
    </row>
    <row r="261" spans="2:39" ht="16" customHeight="1" x14ac:dyDescent="0.35">
      <c r="B261">
        <f t="shared" si="9"/>
        <v>241</v>
      </c>
      <c r="C261" s="49">
        <f t="shared" si="10"/>
        <v>45167</v>
      </c>
      <c r="D261" s="29">
        <f>DAY(Dati[[#This Row],[Data]])</f>
        <v>29</v>
      </c>
      <c r="E261" s="29" t="str">
        <f>IF(DAY(Data!$C$21:$C$1327)&gt;0,TEXT(Data!$C$21:$C$1327, "mmmm"),"")</f>
        <v>agosto</v>
      </c>
      <c r="F261" s="29" t="str">
        <f>IF(DAY(Data!$C$21:$C$1327)&gt;0,TEXT(Data!$C$21:$C$1327, "aaaa"),"")</f>
        <v>2023</v>
      </c>
      <c r="I261" t="str">
        <f>IF(OR(H261=$B$5,H261=$B$6,H261=$B$7,H261=$B$8,H261=$B$9,H261=$B$10,H261=$B$11,H261=$B$12,H261=$B$13,H261=$B$14),SottocategorieUscite[[#Headers],[Fuori Casa]],IF(OR(H261=$C$5,H261=$C$6,H261=$C$7,H261=$C$8,H261=$C$9,H261=$C$10,H261=$C$11,H261=$C$12,H261=$C$13,H261=$C$14),SottocategorieUscite[[#Headers],[Varie Uscite]],IF(OR(H261=$D$5,H261=$D$6,H261=$D$7,H261=$D$8,H261=$D$9,H261=$D$10,H261=$D$11,H261=$D$12,H261=$D$13,H261=$D$14),SottocategorieUscite[[#Headers],[Personali]],IF(OR(H261=$E$5,H261=$E$6,H261=$E$7,H261=$E$8,H261=$E$9,H261=$E$10,H261=$E$11,H261=$E$12,H261=$E$13,H261=$E$14),SottocategorieUscite[[#Headers],[Lavoro]],IF(OR(H261=$F$5,H261=$F$6,H261=$F$7,H261=$F$8,H261=$F$9,H261=$F$10,H261=$F$11,H261=$F$12,H261=$F$13,H261=$F$14),SottocategorieUscite[[#Headers],[Casa]],IF(OR(H261=$G$5,H261=$G$6,H261=$G$7,H261=$G$8,H261=$G$9,H261=$G$10,H261=$G$11,H261=$G$12,H261=$G$13,H261=$G$14),SottocategorieUscite[[#Headers],[Utenze]],IF(OR(H261=$H$5,H261=$H$6,H261=$H$7,H261=$H$8,H261=$H$9,H261=$H$10,H261=$H$11,H261=$H$12,H261=$H$13,H261=$H$14),SottocategorieUscite[[#Headers],[Business Uscite]],IF(OR(H261=$I$5,H261=$I$6,H261=$I$7,H261=$I$8,H261=$I$9,H261=$I$10,H261=$I$11,H261=$I$12,H261=$I$13,H261=$I$14),SottocategorieUscite[[#Headers],[Banca]],IF(OR(H261=K$5,H261=K$6,H261=K$7,H261=K$8,H261=K$9,H261=K$10,H261=K$11,H261=K$12,H261=K$13,H261=K$14),SottocategorieEntrate[[#Headers],[Business Entrate]],IF(OR(H261=L$5,H261=L$6,H261=L$7,H261=L$8,H261=L$9,H261=L$10,H261=L$11,H261=L$12,H261=L$13,H261=L$14),SottocategorieEntrate[[#Headers],[Varie Entrate]],IF(OR(H261=M$5,H261=M$6,H261=M$7,H261=M$8,H261=M$9,H261=M$10,H261=M$11,H261=M$12,H261=M$13,H261=M$14),SottocategorieEntrate[[#Headers],[Real Estate]],IF(OR(H261=N$5,H261=N$6,H261=N$7,H261=N$8,H261=N$9,H261=N$10,H261=N$11,H261=N$12,H261=N$13,H261=N$14),SottocategorieEntrate[[#Headers],[Other]],""))))))))))))</f>
        <v/>
      </c>
      <c r="J261" t="str">
        <f>IF(OR(Dati[[#This Row],[Categoria]]="Bollette",Dati[[#This Row],[Categoria]]="Conto &amp; Carte BNL",Dati[[#This Row],[Categoria]]="Prelievo",Dati[[#This Row],[Categoria]]="Affitto",Dati[[#This Row],[Categoria]]="BNL(Interessi Creditori)"),"Carta",IF(Dati[[#This Row],[Categoria]]&lt;&gt;0,"Cash",""))</f>
        <v/>
      </c>
      <c r="K261" s="59" t="str">
        <f>IF(OR(Data!$I261=SottocategorieUscite[[#Headers],[Fuori Casa]],Data!$I261=SottocategorieUscite[[#Headers],[Varie Uscite]],Data!$I261=SottocategorieUscite[[#Headers],[Personali]],Data!$I261=SottocategorieUscite[[#Headers],[Lavoro]]),"$ -","")</f>
        <v/>
      </c>
      <c r="L261" s="59" t="str">
        <f>IF(OR(Data!$I261=SottocategorieUscite[[#Headers],[Casa]],Data!$I261=SottocategorieUscite[[#Headers],[Utenze]],Data!$I261=SottocategorieUscite[[#Headers],[Business Uscite]],Data!$I261=SottocategorieUscite[[#Headers],[Banca]]),"$ -","")</f>
        <v/>
      </c>
      <c r="M261" s="59" t="str">
        <f>IF(OR($I261&lt;&gt;SottocategorieUscite[[#Headers],[Fuori Casa]],$I261&lt;&gt;SottocategorieUscite[[#Headers],[Varie Uscite]],$I261&lt;&gt;SottocategorieUscite[[#Headers],[Personali]],$I261&lt;&gt;SottocategorieUscite[[#Headers],[Lavoro]],$I261&lt;&gt;SottocategorieUscite[[#Headers],[Casa]],$I261&lt;&gt;SottocategorieUscite[[#Headers],[Utenze]],$I261&lt;&gt;SottocategorieUscite[[#Headers],[Business Uscite]],$I261&lt;&gt;SottocategorieUscite[[#Headers],[Banca]]),"","$ -")</f>
        <v/>
      </c>
      <c r="N261" s="59" t="str">
        <f>IF(OR(Data!$I261=SottocategorieEntrate[[#Headers],[Business Entrate]],Data!$I261=SottocategorieEntrate[[#Headers],[Varie Entrate]]),"$ -","")</f>
        <v/>
      </c>
      <c r="O261" s="59" t="str">
        <f>IF(OR(Data!$I261=SottocategorieEntrate[[#Headers],[Real Estate]],SottocategorieEntrate[[#Headers],[Other]]),"$ -","")</f>
        <v/>
      </c>
      <c r="P261" s="59" t="str">
        <f>IF(OR($I261&lt;&gt;SottocategorieEntrate[[#Headers],[Business Entrate]],$I261&lt;&gt;SottocategorieEntrate[[#Headers],[Varie Entrate]],$I261&lt;&gt;SottocategorieEntrate[[#Headers],[Real Estate]],$I261&lt;&gt;SottocategorieEntrate[[#Headers],[Other]]),"","$ -")</f>
        <v/>
      </c>
      <c r="Q261" s="59" t="str">
        <f>IF(Dati[[#This Row],[Categoria]]="Prelievo","€ -","")</f>
        <v/>
      </c>
      <c r="R261" s="244" t="str">
        <f t="shared" ca="1" si="11"/>
        <v/>
      </c>
      <c r="S261" s="59" t="str">
        <f>IF(Dati[[#This Row],[Categoria]]="Savings",0,"")</f>
        <v/>
      </c>
      <c r="T261" s="59"/>
      <c r="U261" s="59"/>
      <c r="V261" s="59"/>
      <c r="W261" s="59"/>
      <c r="X261" s="59"/>
      <c r="Y261" s="59"/>
      <c r="Z261" s="59"/>
      <c r="AA261" s="59"/>
      <c r="AB261" s="59"/>
      <c r="AC261" s="59"/>
      <c r="AD261" s="59"/>
      <c r="AE261" s="59"/>
      <c r="AF261" s="59"/>
      <c r="AG261" s="59"/>
      <c r="AH261" s="59"/>
      <c r="AI261" s="59" t="str">
        <f>IF(SUM(Dati[[#This Row],[Inv. Business]:[Inv. Cryptocurrency]])=0," ",SUM(Dati[[#This Row],[Inv. Business]:[Inv. Cryptocurrency]]))</f>
        <v xml:space="preserve"> </v>
      </c>
      <c r="AJ261" s="59"/>
      <c r="AK261" s="59" t="str">
        <f>IF(SUM(Dati[[#This Row],[Inv. Gold]:[Mutuo]])=0," ",SUM(Dati[[#This Row],[Inv. Gold]:[Mutuo]]))</f>
        <v xml:space="preserve"> </v>
      </c>
      <c r="AL261" s="59"/>
      <c r="AM261" s="59"/>
    </row>
    <row r="262" spans="2:39" ht="16" customHeight="1" x14ac:dyDescent="0.35">
      <c r="B262">
        <f t="shared" si="9"/>
        <v>242</v>
      </c>
      <c r="C262" s="49">
        <f t="shared" si="10"/>
        <v>45168</v>
      </c>
      <c r="D262" s="29">
        <f>DAY(Dati[[#This Row],[Data]])</f>
        <v>30</v>
      </c>
      <c r="E262" s="29" t="str">
        <f>IF(DAY(Data!$C$21:$C$1327)&gt;0,TEXT(Data!$C$21:$C$1327, "mmmm"),"")</f>
        <v>agosto</v>
      </c>
      <c r="F262" s="29" t="str">
        <f>IF(DAY(Data!$C$21:$C$1327)&gt;0,TEXT(Data!$C$21:$C$1327, "aaaa"),"")</f>
        <v>2023</v>
      </c>
      <c r="I262" t="str">
        <f>IF(OR(H262=$B$5,H262=$B$6,H262=$B$7,H262=$B$8,H262=$B$9,H262=$B$10,H262=$B$11,H262=$B$12,H262=$B$13,H262=$B$14),SottocategorieUscite[[#Headers],[Fuori Casa]],IF(OR(H262=$C$5,H262=$C$6,H262=$C$7,H262=$C$8,H262=$C$9,H262=$C$10,H262=$C$11,H262=$C$12,H262=$C$13,H262=$C$14),SottocategorieUscite[[#Headers],[Varie Uscite]],IF(OR(H262=$D$5,H262=$D$6,H262=$D$7,H262=$D$8,H262=$D$9,H262=$D$10,H262=$D$11,H262=$D$12,H262=$D$13,H262=$D$14),SottocategorieUscite[[#Headers],[Personali]],IF(OR(H262=$E$5,H262=$E$6,H262=$E$7,H262=$E$8,H262=$E$9,H262=$E$10,H262=$E$11,H262=$E$12,H262=$E$13,H262=$E$14),SottocategorieUscite[[#Headers],[Lavoro]],IF(OR(H262=$F$5,H262=$F$6,H262=$F$7,H262=$F$8,H262=$F$9,H262=$F$10,H262=$F$11,H262=$F$12,H262=$F$13,H262=$F$14),SottocategorieUscite[[#Headers],[Casa]],IF(OR(H262=$G$5,H262=$G$6,H262=$G$7,H262=$G$8,H262=$G$9,H262=$G$10,H262=$G$11,H262=$G$12,H262=$G$13,H262=$G$14),SottocategorieUscite[[#Headers],[Utenze]],IF(OR(H262=$H$5,H262=$H$6,H262=$H$7,H262=$H$8,H262=$H$9,H262=$H$10,H262=$H$11,H262=$H$12,H262=$H$13,H262=$H$14),SottocategorieUscite[[#Headers],[Business Uscite]],IF(OR(H262=$I$5,H262=$I$6,H262=$I$7,H262=$I$8,H262=$I$9,H262=$I$10,H262=$I$11,H262=$I$12,H262=$I$13,H262=$I$14),SottocategorieUscite[[#Headers],[Banca]],IF(OR(H262=K$5,H262=K$6,H262=K$7,H262=K$8,H262=K$9,H262=K$10,H262=K$11,H262=K$12,H262=K$13,H262=K$14),SottocategorieEntrate[[#Headers],[Business Entrate]],IF(OR(H262=L$5,H262=L$6,H262=L$7,H262=L$8,H262=L$9,H262=L$10,H262=L$11,H262=L$12,H262=L$13,H262=L$14),SottocategorieEntrate[[#Headers],[Varie Entrate]],IF(OR(H262=M$5,H262=M$6,H262=M$7,H262=M$8,H262=M$9,H262=M$10,H262=M$11,H262=M$12,H262=M$13,H262=M$14),SottocategorieEntrate[[#Headers],[Real Estate]],IF(OR(H262=N$5,H262=N$6,H262=N$7,H262=N$8,H262=N$9,H262=N$10,H262=N$11,H262=N$12,H262=N$13,H262=N$14),SottocategorieEntrate[[#Headers],[Other]],""))))))))))))</f>
        <v/>
      </c>
      <c r="J262" t="str">
        <f>IF(OR(Dati[[#This Row],[Categoria]]="Bollette",Dati[[#This Row],[Categoria]]="Conto &amp; Carte BNL",Dati[[#This Row],[Categoria]]="Prelievo",Dati[[#This Row],[Categoria]]="Affitto",Dati[[#This Row],[Categoria]]="BNL(Interessi Creditori)"),"Carta",IF(Dati[[#This Row],[Categoria]]&lt;&gt;0,"Cash",""))</f>
        <v/>
      </c>
      <c r="K262" s="59" t="str">
        <f>IF(OR(Data!$I262=SottocategorieUscite[[#Headers],[Fuori Casa]],Data!$I262=SottocategorieUscite[[#Headers],[Varie Uscite]],Data!$I262=SottocategorieUscite[[#Headers],[Personali]],Data!$I262=SottocategorieUscite[[#Headers],[Lavoro]]),"$ -","")</f>
        <v/>
      </c>
      <c r="L262" s="59" t="str">
        <f>IF(OR(Data!$I262=SottocategorieUscite[[#Headers],[Casa]],Data!$I262=SottocategorieUscite[[#Headers],[Utenze]],Data!$I262=SottocategorieUscite[[#Headers],[Business Uscite]],Data!$I262=SottocategorieUscite[[#Headers],[Banca]]),"$ -","")</f>
        <v/>
      </c>
      <c r="M262" s="59" t="str">
        <f>IF(OR($I262&lt;&gt;SottocategorieUscite[[#Headers],[Fuori Casa]],$I262&lt;&gt;SottocategorieUscite[[#Headers],[Varie Uscite]],$I262&lt;&gt;SottocategorieUscite[[#Headers],[Personali]],$I262&lt;&gt;SottocategorieUscite[[#Headers],[Lavoro]],$I262&lt;&gt;SottocategorieUscite[[#Headers],[Casa]],$I262&lt;&gt;SottocategorieUscite[[#Headers],[Utenze]],$I262&lt;&gt;SottocategorieUscite[[#Headers],[Business Uscite]],$I262&lt;&gt;SottocategorieUscite[[#Headers],[Banca]]),"","$ -")</f>
        <v/>
      </c>
      <c r="N262" s="59" t="str">
        <f>IF(OR(Data!$I262=SottocategorieEntrate[[#Headers],[Business Entrate]],Data!$I262=SottocategorieEntrate[[#Headers],[Varie Entrate]]),"$ -","")</f>
        <v/>
      </c>
      <c r="O262" s="59" t="str">
        <f>IF(OR(Data!$I262=SottocategorieEntrate[[#Headers],[Real Estate]],SottocategorieEntrate[[#Headers],[Other]]),"$ -","")</f>
        <v/>
      </c>
      <c r="P262" s="59" t="str">
        <f>IF(OR($I262&lt;&gt;SottocategorieEntrate[[#Headers],[Business Entrate]],$I262&lt;&gt;SottocategorieEntrate[[#Headers],[Varie Entrate]],$I262&lt;&gt;SottocategorieEntrate[[#Headers],[Real Estate]],$I262&lt;&gt;SottocategorieEntrate[[#Headers],[Other]]),"","$ -")</f>
        <v/>
      </c>
      <c r="Q262" s="59" t="str">
        <f>IF(Dati[[#This Row],[Categoria]]="Prelievo","€ -","")</f>
        <v/>
      </c>
      <c r="R262" s="244" t="str">
        <f t="shared" ca="1" si="11"/>
        <v/>
      </c>
      <c r="S262" s="59" t="str">
        <f>IF(Dati[[#This Row],[Categoria]]="Savings",0,"")</f>
        <v/>
      </c>
      <c r="T262" s="59"/>
      <c r="U262" s="59"/>
      <c r="V262" s="59"/>
      <c r="W262" s="59"/>
      <c r="X262" s="59"/>
      <c r="Y262" s="59"/>
      <c r="Z262" s="59"/>
      <c r="AA262" s="59"/>
      <c r="AB262" s="59"/>
      <c r="AC262" s="59"/>
      <c r="AD262" s="59"/>
      <c r="AE262" s="59"/>
      <c r="AF262" s="59"/>
      <c r="AG262" s="59"/>
      <c r="AH262" s="59"/>
      <c r="AI262" s="59" t="str">
        <f>IF(SUM(Dati[[#This Row],[Inv. Business]:[Inv. Cryptocurrency]])=0," ",SUM(Dati[[#This Row],[Inv. Business]:[Inv. Cryptocurrency]]))</f>
        <v xml:space="preserve"> </v>
      </c>
      <c r="AJ262" s="59"/>
      <c r="AK262" s="59" t="str">
        <f>IF(SUM(Dati[[#This Row],[Inv. Gold]:[Mutuo]])=0," ",SUM(Dati[[#This Row],[Inv. Gold]:[Mutuo]]))</f>
        <v xml:space="preserve"> </v>
      </c>
      <c r="AL262" s="59"/>
      <c r="AM262" s="59"/>
    </row>
    <row r="263" spans="2:39" ht="16" customHeight="1" x14ac:dyDescent="0.35">
      <c r="B263">
        <f t="shared" si="9"/>
        <v>243</v>
      </c>
      <c r="C263" s="49">
        <f t="shared" si="10"/>
        <v>45169</v>
      </c>
      <c r="D263" s="29">
        <f>DAY(Dati[[#This Row],[Data]])</f>
        <v>31</v>
      </c>
      <c r="E263" s="29" t="str">
        <f>IF(DAY(Data!$C$21:$C$1327)&gt;0,TEXT(Data!$C$21:$C$1327, "mmmm"),"")</f>
        <v>agosto</v>
      </c>
      <c r="F263" s="29" t="str">
        <f>IF(DAY(Data!$C$21:$C$1327)&gt;0,TEXT(Data!$C$21:$C$1327, "aaaa"),"")</f>
        <v>2023</v>
      </c>
      <c r="I263" t="str">
        <f>IF(OR(H263=$B$5,H263=$B$6,H263=$B$7,H263=$B$8,H263=$B$9,H263=$B$10,H263=$B$11,H263=$B$12,H263=$B$13,H263=$B$14),SottocategorieUscite[[#Headers],[Fuori Casa]],IF(OR(H263=$C$5,H263=$C$6,H263=$C$7,H263=$C$8,H263=$C$9,H263=$C$10,H263=$C$11,H263=$C$12,H263=$C$13,H263=$C$14),SottocategorieUscite[[#Headers],[Varie Uscite]],IF(OR(H263=$D$5,H263=$D$6,H263=$D$7,H263=$D$8,H263=$D$9,H263=$D$10,H263=$D$11,H263=$D$12,H263=$D$13,H263=$D$14),SottocategorieUscite[[#Headers],[Personali]],IF(OR(H263=$E$5,H263=$E$6,H263=$E$7,H263=$E$8,H263=$E$9,H263=$E$10,H263=$E$11,H263=$E$12,H263=$E$13,H263=$E$14),SottocategorieUscite[[#Headers],[Lavoro]],IF(OR(H263=$F$5,H263=$F$6,H263=$F$7,H263=$F$8,H263=$F$9,H263=$F$10,H263=$F$11,H263=$F$12,H263=$F$13,H263=$F$14),SottocategorieUscite[[#Headers],[Casa]],IF(OR(H263=$G$5,H263=$G$6,H263=$G$7,H263=$G$8,H263=$G$9,H263=$G$10,H263=$G$11,H263=$G$12,H263=$G$13,H263=$G$14),SottocategorieUscite[[#Headers],[Utenze]],IF(OR(H263=$H$5,H263=$H$6,H263=$H$7,H263=$H$8,H263=$H$9,H263=$H$10,H263=$H$11,H263=$H$12,H263=$H$13,H263=$H$14),SottocategorieUscite[[#Headers],[Business Uscite]],IF(OR(H263=$I$5,H263=$I$6,H263=$I$7,H263=$I$8,H263=$I$9,H263=$I$10,H263=$I$11,H263=$I$12,H263=$I$13,H263=$I$14),SottocategorieUscite[[#Headers],[Banca]],IF(OR(H263=K$5,H263=K$6,H263=K$7,H263=K$8,H263=K$9,H263=K$10,H263=K$11,H263=K$12,H263=K$13,H263=K$14),SottocategorieEntrate[[#Headers],[Business Entrate]],IF(OR(H263=L$5,H263=L$6,H263=L$7,H263=L$8,H263=L$9,H263=L$10,H263=L$11,H263=L$12,H263=L$13,H263=L$14),SottocategorieEntrate[[#Headers],[Varie Entrate]],IF(OR(H263=M$5,H263=M$6,H263=M$7,H263=M$8,H263=M$9,H263=M$10,H263=M$11,H263=M$12,H263=M$13,H263=M$14),SottocategorieEntrate[[#Headers],[Real Estate]],IF(OR(H263=N$5,H263=N$6,H263=N$7,H263=N$8,H263=N$9,H263=N$10,H263=N$11,H263=N$12,H263=N$13,H263=N$14),SottocategorieEntrate[[#Headers],[Other]],""))))))))))))</f>
        <v/>
      </c>
      <c r="J263" t="str">
        <f>IF(OR(Dati[[#This Row],[Categoria]]="Bollette",Dati[[#This Row],[Categoria]]="Conto &amp; Carte BNL",Dati[[#This Row],[Categoria]]="Prelievo",Dati[[#This Row],[Categoria]]="Affitto",Dati[[#This Row],[Categoria]]="BNL(Interessi Creditori)"),"Carta",IF(Dati[[#This Row],[Categoria]]&lt;&gt;0,"Cash",""))</f>
        <v/>
      </c>
      <c r="K263" s="59" t="str">
        <f>IF(OR(Data!$I263=SottocategorieUscite[[#Headers],[Fuori Casa]],Data!$I263=SottocategorieUscite[[#Headers],[Varie Uscite]],Data!$I263=SottocategorieUscite[[#Headers],[Personali]],Data!$I263=SottocategorieUscite[[#Headers],[Lavoro]]),"$ -","")</f>
        <v/>
      </c>
      <c r="L263" s="59" t="str">
        <f>IF(OR(Data!$I263=SottocategorieUscite[[#Headers],[Casa]],Data!$I263=SottocategorieUscite[[#Headers],[Utenze]],Data!$I263=SottocategorieUscite[[#Headers],[Business Uscite]],Data!$I263=SottocategorieUscite[[#Headers],[Banca]]),"$ -","")</f>
        <v/>
      </c>
      <c r="M263" s="59" t="str">
        <f>IF(OR($I263&lt;&gt;SottocategorieUscite[[#Headers],[Fuori Casa]],$I263&lt;&gt;SottocategorieUscite[[#Headers],[Varie Uscite]],$I263&lt;&gt;SottocategorieUscite[[#Headers],[Personali]],$I263&lt;&gt;SottocategorieUscite[[#Headers],[Lavoro]],$I263&lt;&gt;SottocategorieUscite[[#Headers],[Casa]],$I263&lt;&gt;SottocategorieUscite[[#Headers],[Utenze]],$I263&lt;&gt;SottocategorieUscite[[#Headers],[Business Uscite]],$I263&lt;&gt;SottocategorieUscite[[#Headers],[Banca]]),"","$ -")</f>
        <v/>
      </c>
      <c r="N263" s="59" t="str">
        <f>IF(OR(Data!$I263=SottocategorieEntrate[[#Headers],[Business Entrate]],Data!$I263=SottocategorieEntrate[[#Headers],[Varie Entrate]]),"$ -","")</f>
        <v/>
      </c>
      <c r="O263" s="59" t="str">
        <f>IF(OR(Data!$I263=SottocategorieEntrate[[#Headers],[Real Estate]],SottocategorieEntrate[[#Headers],[Other]]),"$ -","")</f>
        <v/>
      </c>
      <c r="P263" s="59" t="str">
        <f>IF(OR($I263&lt;&gt;SottocategorieEntrate[[#Headers],[Business Entrate]],$I263&lt;&gt;SottocategorieEntrate[[#Headers],[Varie Entrate]],$I263&lt;&gt;SottocategorieEntrate[[#Headers],[Real Estate]],$I263&lt;&gt;SottocategorieEntrate[[#Headers],[Other]]),"","$ -")</f>
        <v/>
      </c>
      <c r="Q263" s="59" t="str">
        <f>IF(Dati[[#This Row],[Categoria]]="Prelievo","€ -","")</f>
        <v/>
      </c>
      <c r="R263" s="244" t="str">
        <f t="shared" ca="1" si="11"/>
        <v/>
      </c>
      <c r="S263" s="59" t="str">
        <f>IF(Dati[[#This Row],[Categoria]]="Savings",0,"")</f>
        <v/>
      </c>
      <c r="T263" s="59"/>
      <c r="U263" s="59"/>
      <c r="V263" s="59"/>
      <c r="W263" s="59"/>
      <c r="X263" s="59"/>
      <c r="Y263" s="59"/>
      <c r="Z263" s="59"/>
      <c r="AA263" s="59"/>
      <c r="AB263" s="59"/>
      <c r="AC263" s="59"/>
      <c r="AD263" s="59"/>
      <c r="AE263" s="59"/>
      <c r="AF263" s="59"/>
      <c r="AG263" s="59"/>
      <c r="AH263" s="59"/>
      <c r="AI263" s="59" t="str">
        <f>IF(SUM(Dati[[#This Row],[Inv. Business]:[Inv. Cryptocurrency]])=0," ",SUM(Dati[[#This Row],[Inv. Business]:[Inv. Cryptocurrency]]))</f>
        <v xml:space="preserve"> </v>
      </c>
      <c r="AJ263" s="59"/>
      <c r="AK263" s="59" t="str">
        <f>IF(SUM(Dati[[#This Row],[Inv. Gold]:[Mutuo]])=0," ",SUM(Dati[[#This Row],[Inv. Gold]:[Mutuo]]))</f>
        <v xml:space="preserve"> </v>
      </c>
      <c r="AL263" s="59"/>
      <c r="AM263" s="59"/>
    </row>
    <row r="264" spans="2:39" ht="16" customHeight="1" x14ac:dyDescent="0.35">
      <c r="B264">
        <f t="shared" si="9"/>
        <v>244</v>
      </c>
      <c r="C264" s="49">
        <f t="shared" si="10"/>
        <v>45170</v>
      </c>
      <c r="D264" s="29">
        <f>DAY(Dati[[#This Row],[Data]])</f>
        <v>1</v>
      </c>
      <c r="E264" s="29" t="str">
        <f>IF(DAY(Data!$C$21:$C$1327)&gt;0,TEXT(Data!$C$21:$C$1327, "mmmm"),"")</f>
        <v>settembre</v>
      </c>
      <c r="F264" s="29" t="str">
        <f>IF(DAY(Data!$C$21:$C$1327)&gt;0,TEXT(Data!$C$21:$C$1327, "aaaa"),"")</f>
        <v>2023</v>
      </c>
      <c r="I264" t="str">
        <f>IF(OR(H264=$B$5,H264=$B$6,H264=$B$7,H264=$B$8,H264=$B$9,H264=$B$10,H264=$B$11,H264=$B$12,H264=$B$13,H264=$B$14),SottocategorieUscite[[#Headers],[Fuori Casa]],IF(OR(H264=$C$5,H264=$C$6,H264=$C$7,H264=$C$8,H264=$C$9,H264=$C$10,H264=$C$11,H264=$C$12,H264=$C$13,H264=$C$14),SottocategorieUscite[[#Headers],[Varie Uscite]],IF(OR(H264=$D$5,H264=$D$6,H264=$D$7,H264=$D$8,H264=$D$9,H264=$D$10,H264=$D$11,H264=$D$12,H264=$D$13,H264=$D$14),SottocategorieUscite[[#Headers],[Personali]],IF(OR(H264=$E$5,H264=$E$6,H264=$E$7,H264=$E$8,H264=$E$9,H264=$E$10,H264=$E$11,H264=$E$12,H264=$E$13,H264=$E$14),SottocategorieUscite[[#Headers],[Lavoro]],IF(OR(H264=$F$5,H264=$F$6,H264=$F$7,H264=$F$8,H264=$F$9,H264=$F$10,H264=$F$11,H264=$F$12,H264=$F$13,H264=$F$14),SottocategorieUscite[[#Headers],[Casa]],IF(OR(H264=$G$5,H264=$G$6,H264=$G$7,H264=$G$8,H264=$G$9,H264=$G$10,H264=$G$11,H264=$G$12,H264=$G$13,H264=$G$14),SottocategorieUscite[[#Headers],[Utenze]],IF(OR(H264=$H$5,H264=$H$6,H264=$H$7,H264=$H$8,H264=$H$9,H264=$H$10,H264=$H$11,H264=$H$12,H264=$H$13,H264=$H$14),SottocategorieUscite[[#Headers],[Business Uscite]],IF(OR(H264=$I$5,H264=$I$6,H264=$I$7,H264=$I$8,H264=$I$9,H264=$I$10,H264=$I$11,H264=$I$12,H264=$I$13,H264=$I$14),SottocategorieUscite[[#Headers],[Banca]],IF(OR(H264=K$5,H264=K$6,H264=K$7,H264=K$8,H264=K$9,H264=K$10,H264=K$11,H264=K$12,H264=K$13,H264=K$14),SottocategorieEntrate[[#Headers],[Business Entrate]],IF(OR(H264=L$5,H264=L$6,H264=L$7,H264=L$8,H264=L$9,H264=L$10,H264=L$11,H264=L$12,H264=L$13,H264=L$14),SottocategorieEntrate[[#Headers],[Varie Entrate]],IF(OR(H264=M$5,H264=M$6,H264=M$7,H264=M$8,H264=M$9,H264=M$10,H264=M$11,H264=M$12,H264=M$13,H264=M$14),SottocategorieEntrate[[#Headers],[Real Estate]],IF(OR(H264=N$5,H264=N$6,H264=N$7,H264=N$8,H264=N$9,H264=N$10,H264=N$11,H264=N$12,H264=N$13,H264=N$14),SottocategorieEntrate[[#Headers],[Other]],""))))))))))))</f>
        <v/>
      </c>
      <c r="J264" t="str">
        <f>IF(OR(Dati[[#This Row],[Categoria]]="Bollette",Dati[[#This Row],[Categoria]]="Conto &amp; Carte BNL",Dati[[#This Row],[Categoria]]="Prelievo",Dati[[#This Row],[Categoria]]="Affitto",Dati[[#This Row],[Categoria]]="BNL(Interessi Creditori)"),"Carta",IF(Dati[[#This Row],[Categoria]]&lt;&gt;0,"Cash",""))</f>
        <v/>
      </c>
      <c r="K264" s="59" t="str">
        <f>IF(OR(Data!$I264=SottocategorieUscite[[#Headers],[Fuori Casa]],Data!$I264=SottocategorieUscite[[#Headers],[Varie Uscite]],Data!$I264=SottocategorieUscite[[#Headers],[Personali]],Data!$I264=SottocategorieUscite[[#Headers],[Lavoro]]),"$ -","")</f>
        <v/>
      </c>
      <c r="L264" s="59" t="str">
        <f>IF(OR(Data!$I264=SottocategorieUscite[[#Headers],[Casa]],Data!$I264=SottocategorieUscite[[#Headers],[Utenze]],Data!$I264=SottocategorieUscite[[#Headers],[Business Uscite]],Data!$I264=SottocategorieUscite[[#Headers],[Banca]]),"$ -","")</f>
        <v/>
      </c>
      <c r="M264" s="59" t="str">
        <f>IF(OR($I264&lt;&gt;SottocategorieUscite[[#Headers],[Fuori Casa]],$I264&lt;&gt;SottocategorieUscite[[#Headers],[Varie Uscite]],$I264&lt;&gt;SottocategorieUscite[[#Headers],[Personali]],$I264&lt;&gt;SottocategorieUscite[[#Headers],[Lavoro]],$I264&lt;&gt;SottocategorieUscite[[#Headers],[Casa]],$I264&lt;&gt;SottocategorieUscite[[#Headers],[Utenze]],$I264&lt;&gt;SottocategorieUscite[[#Headers],[Business Uscite]],$I264&lt;&gt;SottocategorieUscite[[#Headers],[Banca]]),"","$ -")</f>
        <v/>
      </c>
      <c r="N264" s="59" t="str">
        <f>IF(OR(Data!$I264=SottocategorieEntrate[[#Headers],[Business Entrate]],Data!$I264=SottocategorieEntrate[[#Headers],[Varie Entrate]]),"$ -","")</f>
        <v/>
      </c>
      <c r="O264" s="59" t="str">
        <f>IF(OR(Data!$I264=SottocategorieEntrate[[#Headers],[Real Estate]],SottocategorieEntrate[[#Headers],[Other]]),"$ -","")</f>
        <v/>
      </c>
      <c r="P264" s="59" t="str">
        <f>IF(OR($I264&lt;&gt;SottocategorieEntrate[[#Headers],[Business Entrate]],$I264&lt;&gt;SottocategorieEntrate[[#Headers],[Varie Entrate]],$I264&lt;&gt;SottocategorieEntrate[[#Headers],[Real Estate]],$I264&lt;&gt;SottocategorieEntrate[[#Headers],[Other]]),"","$ -")</f>
        <v/>
      </c>
      <c r="Q264" s="59" t="str">
        <f>IF(Dati[[#This Row],[Categoria]]="Prelievo","€ -","")</f>
        <v/>
      </c>
      <c r="R264" s="244" t="str">
        <f t="shared" ca="1" si="11"/>
        <v/>
      </c>
      <c r="S264" s="59" t="str">
        <f>IF(Dati[[#This Row],[Categoria]]="Savings",0,"")</f>
        <v/>
      </c>
      <c r="T264" s="59"/>
      <c r="U264" s="59"/>
      <c r="V264" s="59"/>
      <c r="W264" s="59"/>
      <c r="X264" s="59"/>
      <c r="Y264" s="59"/>
      <c r="Z264" s="59"/>
      <c r="AA264" s="59"/>
      <c r="AB264" s="59"/>
      <c r="AC264" s="59"/>
      <c r="AD264" s="59"/>
      <c r="AE264" s="59"/>
      <c r="AF264" s="59"/>
      <c r="AG264" s="59"/>
      <c r="AH264" s="59"/>
      <c r="AI264" s="59" t="str">
        <f>IF(SUM(Dati[[#This Row],[Inv. Business]:[Inv. Cryptocurrency]])=0," ",SUM(Dati[[#This Row],[Inv. Business]:[Inv. Cryptocurrency]]))</f>
        <v xml:space="preserve"> </v>
      </c>
      <c r="AJ264" s="59"/>
      <c r="AK264" s="59" t="str">
        <f>IF(SUM(Dati[[#This Row],[Inv. Gold]:[Mutuo]])=0," ",SUM(Dati[[#This Row],[Inv. Gold]:[Mutuo]]))</f>
        <v xml:space="preserve"> </v>
      </c>
      <c r="AL264" s="59"/>
      <c r="AM264" s="59"/>
    </row>
    <row r="265" spans="2:39" ht="16" customHeight="1" x14ac:dyDescent="0.35">
      <c r="B265">
        <f t="shared" si="9"/>
        <v>245</v>
      </c>
      <c r="C265" s="49">
        <f t="shared" si="10"/>
        <v>45171</v>
      </c>
      <c r="D265" s="29">
        <f>DAY(Dati[[#This Row],[Data]])</f>
        <v>2</v>
      </c>
      <c r="E265" s="29" t="str">
        <f>IF(DAY(Data!$C$21:$C$1327)&gt;0,TEXT(Data!$C$21:$C$1327, "mmmm"),"")</f>
        <v>settembre</v>
      </c>
      <c r="F265" s="29" t="str">
        <f>IF(DAY(Data!$C$21:$C$1327)&gt;0,TEXT(Data!$C$21:$C$1327, "aaaa"),"")</f>
        <v>2023</v>
      </c>
      <c r="I265" t="str">
        <f>IF(OR(H265=$B$5,H265=$B$6,H265=$B$7,H265=$B$8,H265=$B$9,H265=$B$10,H265=$B$11,H265=$B$12,H265=$B$13,H265=$B$14),SottocategorieUscite[[#Headers],[Fuori Casa]],IF(OR(H265=$C$5,H265=$C$6,H265=$C$7,H265=$C$8,H265=$C$9,H265=$C$10,H265=$C$11,H265=$C$12,H265=$C$13,H265=$C$14),SottocategorieUscite[[#Headers],[Varie Uscite]],IF(OR(H265=$D$5,H265=$D$6,H265=$D$7,H265=$D$8,H265=$D$9,H265=$D$10,H265=$D$11,H265=$D$12,H265=$D$13,H265=$D$14),SottocategorieUscite[[#Headers],[Personali]],IF(OR(H265=$E$5,H265=$E$6,H265=$E$7,H265=$E$8,H265=$E$9,H265=$E$10,H265=$E$11,H265=$E$12,H265=$E$13,H265=$E$14),SottocategorieUscite[[#Headers],[Lavoro]],IF(OR(H265=$F$5,H265=$F$6,H265=$F$7,H265=$F$8,H265=$F$9,H265=$F$10,H265=$F$11,H265=$F$12,H265=$F$13,H265=$F$14),SottocategorieUscite[[#Headers],[Casa]],IF(OR(H265=$G$5,H265=$G$6,H265=$G$7,H265=$G$8,H265=$G$9,H265=$G$10,H265=$G$11,H265=$G$12,H265=$G$13,H265=$G$14),SottocategorieUscite[[#Headers],[Utenze]],IF(OR(H265=$H$5,H265=$H$6,H265=$H$7,H265=$H$8,H265=$H$9,H265=$H$10,H265=$H$11,H265=$H$12,H265=$H$13,H265=$H$14),SottocategorieUscite[[#Headers],[Business Uscite]],IF(OR(H265=$I$5,H265=$I$6,H265=$I$7,H265=$I$8,H265=$I$9,H265=$I$10,H265=$I$11,H265=$I$12,H265=$I$13,H265=$I$14),SottocategorieUscite[[#Headers],[Banca]],IF(OR(H265=K$5,H265=K$6,H265=K$7,H265=K$8,H265=K$9,H265=K$10,H265=K$11,H265=K$12,H265=K$13,H265=K$14),SottocategorieEntrate[[#Headers],[Business Entrate]],IF(OR(H265=L$5,H265=L$6,H265=L$7,H265=L$8,H265=L$9,H265=L$10,H265=L$11,H265=L$12,H265=L$13,H265=L$14),SottocategorieEntrate[[#Headers],[Varie Entrate]],IF(OR(H265=M$5,H265=M$6,H265=M$7,H265=M$8,H265=M$9,H265=M$10,H265=M$11,H265=M$12,H265=M$13,H265=M$14),SottocategorieEntrate[[#Headers],[Real Estate]],IF(OR(H265=N$5,H265=N$6,H265=N$7,H265=N$8,H265=N$9,H265=N$10,H265=N$11,H265=N$12,H265=N$13,H265=N$14),SottocategorieEntrate[[#Headers],[Other]],""))))))))))))</f>
        <v/>
      </c>
      <c r="J265" t="str">
        <f>IF(OR(Dati[[#This Row],[Categoria]]="Bollette",Dati[[#This Row],[Categoria]]="Conto &amp; Carte BNL",Dati[[#This Row],[Categoria]]="Prelievo",Dati[[#This Row],[Categoria]]="Affitto",Dati[[#This Row],[Categoria]]="BNL(Interessi Creditori)"),"Carta",IF(Dati[[#This Row],[Categoria]]&lt;&gt;0,"Cash",""))</f>
        <v/>
      </c>
      <c r="K265" s="59" t="str">
        <f>IF(OR(Data!$I265=SottocategorieUscite[[#Headers],[Fuori Casa]],Data!$I265=SottocategorieUscite[[#Headers],[Varie Uscite]],Data!$I265=SottocategorieUscite[[#Headers],[Personali]],Data!$I265=SottocategorieUscite[[#Headers],[Lavoro]]),"$ -","")</f>
        <v/>
      </c>
      <c r="L265" s="59" t="str">
        <f>IF(OR(Data!$I265=SottocategorieUscite[[#Headers],[Casa]],Data!$I265=SottocategorieUscite[[#Headers],[Utenze]],Data!$I265=SottocategorieUscite[[#Headers],[Business Uscite]],Data!$I265=SottocategorieUscite[[#Headers],[Banca]]),"$ -","")</f>
        <v/>
      </c>
      <c r="M265" s="59" t="str">
        <f>IF(OR($I265&lt;&gt;SottocategorieUscite[[#Headers],[Fuori Casa]],$I265&lt;&gt;SottocategorieUscite[[#Headers],[Varie Uscite]],$I265&lt;&gt;SottocategorieUscite[[#Headers],[Personali]],$I265&lt;&gt;SottocategorieUscite[[#Headers],[Lavoro]],$I265&lt;&gt;SottocategorieUscite[[#Headers],[Casa]],$I265&lt;&gt;SottocategorieUscite[[#Headers],[Utenze]],$I265&lt;&gt;SottocategorieUscite[[#Headers],[Business Uscite]],$I265&lt;&gt;SottocategorieUscite[[#Headers],[Banca]]),"","$ -")</f>
        <v/>
      </c>
      <c r="N265" s="59" t="str">
        <f>IF(OR(Data!$I265=SottocategorieEntrate[[#Headers],[Business Entrate]],Data!$I265=SottocategorieEntrate[[#Headers],[Varie Entrate]]),"$ -","")</f>
        <v/>
      </c>
      <c r="O265" s="59" t="str">
        <f>IF(OR(Data!$I265=SottocategorieEntrate[[#Headers],[Real Estate]],SottocategorieEntrate[[#Headers],[Other]]),"$ -","")</f>
        <v/>
      </c>
      <c r="P265" s="59" t="str">
        <f>IF(OR($I265&lt;&gt;SottocategorieEntrate[[#Headers],[Business Entrate]],$I265&lt;&gt;SottocategorieEntrate[[#Headers],[Varie Entrate]],$I265&lt;&gt;SottocategorieEntrate[[#Headers],[Real Estate]],$I265&lt;&gt;SottocategorieEntrate[[#Headers],[Other]]),"","$ -")</f>
        <v/>
      </c>
      <c r="Q265" s="59" t="str">
        <f>IF(Dati[[#This Row],[Categoria]]="Prelievo","€ -","")</f>
        <v/>
      </c>
      <c r="R265" s="244" t="str">
        <f t="shared" ca="1" si="11"/>
        <v/>
      </c>
      <c r="S265" s="59" t="str">
        <f>IF(Dati[[#This Row],[Categoria]]="Savings",0,"")</f>
        <v/>
      </c>
      <c r="T265" s="59"/>
      <c r="U265" s="59"/>
      <c r="V265" s="59"/>
      <c r="W265" s="59"/>
      <c r="X265" s="59"/>
      <c r="Y265" s="59"/>
      <c r="Z265" s="59"/>
      <c r="AA265" s="59"/>
      <c r="AB265" s="59"/>
      <c r="AC265" s="59"/>
      <c r="AD265" s="59"/>
      <c r="AE265" s="59"/>
      <c r="AF265" s="59"/>
      <c r="AG265" s="59"/>
      <c r="AH265" s="59"/>
      <c r="AI265" s="59" t="str">
        <f>IF(SUM(Dati[[#This Row],[Inv. Business]:[Inv. Cryptocurrency]])=0," ",SUM(Dati[[#This Row],[Inv. Business]:[Inv. Cryptocurrency]]))</f>
        <v xml:space="preserve"> </v>
      </c>
      <c r="AJ265" s="59"/>
      <c r="AK265" s="59" t="str">
        <f>IF(SUM(Dati[[#This Row],[Inv. Gold]:[Mutuo]])=0," ",SUM(Dati[[#This Row],[Inv. Gold]:[Mutuo]]))</f>
        <v xml:space="preserve"> </v>
      </c>
      <c r="AL265" s="59"/>
      <c r="AM265" s="59"/>
    </row>
    <row r="266" spans="2:39" ht="16" customHeight="1" x14ac:dyDescent="0.35">
      <c r="B266">
        <f t="shared" si="9"/>
        <v>246</v>
      </c>
      <c r="C266" s="49">
        <f t="shared" si="10"/>
        <v>45172</v>
      </c>
      <c r="D266" s="29">
        <f>DAY(Dati[[#This Row],[Data]])</f>
        <v>3</v>
      </c>
      <c r="E266" s="29" t="str">
        <f>IF(DAY(Data!$C$21:$C$1327)&gt;0,TEXT(Data!$C$21:$C$1327, "mmmm"),"")</f>
        <v>settembre</v>
      </c>
      <c r="F266" s="29" t="str">
        <f>IF(DAY(Data!$C$21:$C$1327)&gt;0,TEXT(Data!$C$21:$C$1327, "aaaa"),"")</f>
        <v>2023</v>
      </c>
      <c r="I266" t="str">
        <f>IF(OR(H266=$B$5,H266=$B$6,H266=$B$7,H266=$B$8,H266=$B$9,H266=$B$10,H266=$B$11,H266=$B$12,H266=$B$13,H266=$B$14),SottocategorieUscite[[#Headers],[Fuori Casa]],IF(OR(H266=$C$5,H266=$C$6,H266=$C$7,H266=$C$8,H266=$C$9,H266=$C$10,H266=$C$11,H266=$C$12,H266=$C$13,H266=$C$14),SottocategorieUscite[[#Headers],[Varie Uscite]],IF(OR(H266=$D$5,H266=$D$6,H266=$D$7,H266=$D$8,H266=$D$9,H266=$D$10,H266=$D$11,H266=$D$12,H266=$D$13,H266=$D$14),SottocategorieUscite[[#Headers],[Personali]],IF(OR(H266=$E$5,H266=$E$6,H266=$E$7,H266=$E$8,H266=$E$9,H266=$E$10,H266=$E$11,H266=$E$12,H266=$E$13,H266=$E$14),SottocategorieUscite[[#Headers],[Lavoro]],IF(OR(H266=$F$5,H266=$F$6,H266=$F$7,H266=$F$8,H266=$F$9,H266=$F$10,H266=$F$11,H266=$F$12,H266=$F$13,H266=$F$14),SottocategorieUscite[[#Headers],[Casa]],IF(OR(H266=$G$5,H266=$G$6,H266=$G$7,H266=$G$8,H266=$G$9,H266=$G$10,H266=$G$11,H266=$G$12,H266=$G$13,H266=$G$14),SottocategorieUscite[[#Headers],[Utenze]],IF(OR(H266=$H$5,H266=$H$6,H266=$H$7,H266=$H$8,H266=$H$9,H266=$H$10,H266=$H$11,H266=$H$12,H266=$H$13,H266=$H$14),SottocategorieUscite[[#Headers],[Business Uscite]],IF(OR(H266=$I$5,H266=$I$6,H266=$I$7,H266=$I$8,H266=$I$9,H266=$I$10,H266=$I$11,H266=$I$12,H266=$I$13,H266=$I$14),SottocategorieUscite[[#Headers],[Banca]],IF(OR(H266=K$5,H266=K$6,H266=K$7,H266=K$8,H266=K$9,H266=K$10,H266=K$11,H266=K$12,H266=K$13,H266=K$14),SottocategorieEntrate[[#Headers],[Business Entrate]],IF(OR(H266=L$5,H266=L$6,H266=L$7,H266=L$8,H266=L$9,H266=L$10,H266=L$11,H266=L$12,H266=L$13,H266=L$14),SottocategorieEntrate[[#Headers],[Varie Entrate]],IF(OR(H266=M$5,H266=M$6,H266=M$7,H266=M$8,H266=M$9,H266=M$10,H266=M$11,H266=M$12,H266=M$13,H266=M$14),SottocategorieEntrate[[#Headers],[Real Estate]],IF(OR(H266=N$5,H266=N$6,H266=N$7,H266=N$8,H266=N$9,H266=N$10,H266=N$11,H266=N$12,H266=N$13,H266=N$14),SottocategorieEntrate[[#Headers],[Other]],""))))))))))))</f>
        <v/>
      </c>
      <c r="J266" t="str">
        <f>IF(OR(Dati[[#This Row],[Categoria]]="Bollette",Dati[[#This Row],[Categoria]]="Conto &amp; Carte BNL",Dati[[#This Row],[Categoria]]="Prelievo",Dati[[#This Row],[Categoria]]="Affitto",Dati[[#This Row],[Categoria]]="BNL(Interessi Creditori)"),"Carta",IF(Dati[[#This Row],[Categoria]]&lt;&gt;0,"Cash",""))</f>
        <v/>
      </c>
      <c r="K266" s="59" t="str">
        <f>IF(OR(Data!$I266=SottocategorieUscite[[#Headers],[Fuori Casa]],Data!$I266=SottocategorieUscite[[#Headers],[Varie Uscite]],Data!$I266=SottocategorieUscite[[#Headers],[Personali]],Data!$I266=SottocategorieUscite[[#Headers],[Lavoro]]),"$ -","")</f>
        <v/>
      </c>
      <c r="L266" s="59" t="str">
        <f>IF(OR(Data!$I266=SottocategorieUscite[[#Headers],[Casa]],Data!$I266=SottocategorieUscite[[#Headers],[Utenze]],Data!$I266=SottocategorieUscite[[#Headers],[Business Uscite]],Data!$I266=SottocategorieUscite[[#Headers],[Banca]]),"$ -","")</f>
        <v/>
      </c>
      <c r="M266" s="59" t="str">
        <f>IF(OR($I266&lt;&gt;SottocategorieUscite[[#Headers],[Fuori Casa]],$I266&lt;&gt;SottocategorieUscite[[#Headers],[Varie Uscite]],$I266&lt;&gt;SottocategorieUscite[[#Headers],[Personali]],$I266&lt;&gt;SottocategorieUscite[[#Headers],[Lavoro]],$I266&lt;&gt;SottocategorieUscite[[#Headers],[Casa]],$I266&lt;&gt;SottocategorieUscite[[#Headers],[Utenze]],$I266&lt;&gt;SottocategorieUscite[[#Headers],[Business Uscite]],$I266&lt;&gt;SottocategorieUscite[[#Headers],[Banca]]),"","$ -")</f>
        <v/>
      </c>
      <c r="N266" s="59" t="str">
        <f>IF(OR(Data!$I266=SottocategorieEntrate[[#Headers],[Business Entrate]],Data!$I266=SottocategorieEntrate[[#Headers],[Varie Entrate]]),"$ -","")</f>
        <v/>
      </c>
      <c r="O266" s="59" t="str">
        <f>IF(OR(Data!$I266=SottocategorieEntrate[[#Headers],[Real Estate]],SottocategorieEntrate[[#Headers],[Other]]),"$ -","")</f>
        <v/>
      </c>
      <c r="P266" s="59" t="str">
        <f>IF(OR($I266&lt;&gt;SottocategorieEntrate[[#Headers],[Business Entrate]],$I266&lt;&gt;SottocategorieEntrate[[#Headers],[Varie Entrate]],$I266&lt;&gt;SottocategorieEntrate[[#Headers],[Real Estate]],$I266&lt;&gt;SottocategorieEntrate[[#Headers],[Other]]),"","$ -")</f>
        <v/>
      </c>
      <c r="Q266" s="59" t="str">
        <f>IF(Dati[[#This Row],[Categoria]]="Prelievo","€ -","")</f>
        <v/>
      </c>
      <c r="R266" s="244" t="str">
        <f t="shared" ca="1" si="11"/>
        <v/>
      </c>
      <c r="S266" s="59" t="str">
        <f>IF(Dati[[#This Row],[Categoria]]="Savings",0,"")</f>
        <v/>
      </c>
      <c r="T266" s="59"/>
      <c r="U266" s="59"/>
      <c r="V266" s="59"/>
      <c r="W266" s="59"/>
      <c r="X266" s="59"/>
      <c r="Y266" s="59"/>
      <c r="Z266" s="59"/>
      <c r="AA266" s="59"/>
      <c r="AB266" s="59"/>
      <c r="AC266" s="59"/>
      <c r="AD266" s="59"/>
      <c r="AE266" s="59"/>
      <c r="AF266" s="59"/>
      <c r="AG266" s="59"/>
      <c r="AH266" s="59"/>
      <c r="AI266" s="59" t="str">
        <f>IF(SUM(Dati[[#This Row],[Inv. Business]:[Inv. Cryptocurrency]])=0," ",SUM(Dati[[#This Row],[Inv. Business]:[Inv. Cryptocurrency]]))</f>
        <v xml:space="preserve"> </v>
      </c>
      <c r="AJ266" s="59"/>
      <c r="AK266" s="59" t="str">
        <f>IF(SUM(Dati[[#This Row],[Inv. Gold]:[Mutuo]])=0," ",SUM(Dati[[#This Row],[Inv. Gold]:[Mutuo]]))</f>
        <v xml:space="preserve"> </v>
      </c>
      <c r="AL266" s="59"/>
      <c r="AM266" s="59"/>
    </row>
    <row r="267" spans="2:39" ht="16" customHeight="1" x14ac:dyDescent="0.35">
      <c r="B267">
        <f t="shared" si="9"/>
        <v>247</v>
      </c>
      <c r="C267" s="49">
        <f t="shared" si="10"/>
        <v>45173</v>
      </c>
      <c r="D267" s="29">
        <f>DAY(Dati[[#This Row],[Data]])</f>
        <v>4</v>
      </c>
      <c r="E267" s="29" t="str">
        <f>IF(DAY(Data!$C$21:$C$1327)&gt;0,TEXT(Data!$C$21:$C$1327, "mmmm"),"")</f>
        <v>settembre</v>
      </c>
      <c r="F267" s="29" t="str">
        <f>IF(DAY(Data!$C$21:$C$1327)&gt;0,TEXT(Data!$C$21:$C$1327, "aaaa"),"")</f>
        <v>2023</v>
      </c>
      <c r="I267" t="str">
        <f>IF(OR(H267=$B$5,H267=$B$6,H267=$B$7,H267=$B$8,H267=$B$9,H267=$B$10,H267=$B$11,H267=$B$12,H267=$B$13,H267=$B$14),SottocategorieUscite[[#Headers],[Fuori Casa]],IF(OR(H267=$C$5,H267=$C$6,H267=$C$7,H267=$C$8,H267=$C$9,H267=$C$10,H267=$C$11,H267=$C$12,H267=$C$13,H267=$C$14),SottocategorieUscite[[#Headers],[Varie Uscite]],IF(OR(H267=$D$5,H267=$D$6,H267=$D$7,H267=$D$8,H267=$D$9,H267=$D$10,H267=$D$11,H267=$D$12,H267=$D$13,H267=$D$14),SottocategorieUscite[[#Headers],[Personali]],IF(OR(H267=$E$5,H267=$E$6,H267=$E$7,H267=$E$8,H267=$E$9,H267=$E$10,H267=$E$11,H267=$E$12,H267=$E$13,H267=$E$14),SottocategorieUscite[[#Headers],[Lavoro]],IF(OR(H267=$F$5,H267=$F$6,H267=$F$7,H267=$F$8,H267=$F$9,H267=$F$10,H267=$F$11,H267=$F$12,H267=$F$13,H267=$F$14),SottocategorieUscite[[#Headers],[Casa]],IF(OR(H267=$G$5,H267=$G$6,H267=$G$7,H267=$G$8,H267=$G$9,H267=$G$10,H267=$G$11,H267=$G$12,H267=$G$13,H267=$G$14),SottocategorieUscite[[#Headers],[Utenze]],IF(OR(H267=$H$5,H267=$H$6,H267=$H$7,H267=$H$8,H267=$H$9,H267=$H$10,H267=$H$11,H267=$H$12,H267=$H$13,H267=$H$14),SottocategorieUscite[[#Headers],[Business Uscite]],IF(OR(H267=$I$5,H267=$I$6,H267=$I$7,H267=$I$8,H267=$I$9,H267=$I$10,H267=$I$11,H267=$I$12,H267=$I$13,H267=$I$14),SottocategorieUscite[[#Headers],[Banca]],IF(OR(H267=K$5,H267=K$6,H267=K$7,H267=K$8,H267=K$9,H267=K$10,H267=K$11,H267=K$12,H267=K$13,H267=K$14),SottocategorieEntrate[[#Headers],[Business Entrate]],IF(OR(H267=L$5,H267=L$6,H267=L$7,H267=L$8,H267=L$9,H267=L$10,H267=L$11,H267=L$12,H267=L$13,H267=L$14),SottocategorieEntrate[[#Headers],[Varie Entrate]],IF(OR(H267=M$5,H267=M$6,H267=M$7,H267=M$8,H267=M$9,H267=M$10,H267=M$11,H267=M$12,H267=M$13,H267=M$14),SottocategorieEntrate[[#Headers],[Real Estate]],IF(OR(H267=N$5,H267=N$6,H267=N$7,H267=N$8,H267=N$9,H267=N$10,H267=N$11,H267=N$12,H267=N$13,H267=N$14),SottocategorieEntrate[[#Headers],[Other]],""))))))))))))</f>
        <v/>
      </c>
      <c r="J267" t="str">
        <f>IF(OR(Dati[[#This Row],[Categoria]]="Bollette",Dati[[#This Row],[Categoria]]="Conto &amp; Carte BNL",Dati[[#This Row],[Categoria]]="Prelievo",Dati[[#This Row],[Categoria]]="Affitto",Dati[[#This Row],[Categoria]]="BNL(Interessi Creditori)"),"Carta",IF(Dati[[#This Row],[Categoria]]&lt;&gt;0,"Cash",""))</f>
        <v/>
      </c>
      <c r="K267" s="59" t="str">
        <f>IF(OR(Data!$I267=SottocategorieUscite[[#Headers],[Fuori Casa]],Data!$I267=SottocategorieUscite[[#Headers],[Varie Uscite]],Data!$I267=SottocategorieUscite[[#Headers],[Personali]],Data!$I267=SottocategorieUscite[[#Headers],[Lavoro]]),"$ -","")</f>
        <v/>
      </c>
      <c r="L267" s="59" t="str">
        <f>IF(OR(Data!$I267=SottocategorieUscite[[#Headers],[Casa]],Data!$I267=SottocategorieUscite[[#Headers],[Utenze]],Data!$I267=SottocategorieUscite[[#Headers],[Business Uscite]],Data!$I267=SottocategorieUscite[[#Headers],[Banca]]),"$ -","")</f>
        <v/>
      </c>
      <c r="M267" s="59" t="str">
        <f>IF(OR($I267&lt;&gt;SottocategorieUscite[[#Headers],[Fuori Casa]],$I267&lt;&gt;SottocategorieUscite[[#Headers],[Varie Uscite]],$I267&lt;&gt;SottocategorieUscite[[#Headers],[Personali]],$I267&lt;&gt;SottocategorieUscite[[#Headers],[Lavoro]],$I267&lt;&gt;SottocategorieUscite[[#Headers],[Casa]],$I267&lt;&gt;SottocategorieUscite[[#Headers],[Utenze]],$I267&lt;&gt;SottocategorieUscite[[#Headers],[Business Uscite]],$I267&lt;&gt;SottocategorieUscite[[#Headers],[Banca]]),"","$ -")</f>
        <v/>
      </c>
      <c r="N267" s="59" t="str">
        <f>IF(OR(Data!$I267=SottocategorieEntrate[[#Headers],[Business Entrate]],Data!$I267=SottocategorieEntrate[[#Headers],[Varie Entrate]]),"$ -","")</f>
        <v/>
      </c>
      <c r="O267" s="59" t="str">
        <f>IF(OR(Data!$I267=SottocategorieEntrate[[#Headers],[Real Estate]],SottocategorieEntrate[[#Headers],[Other]]),"$ -","")</f>
        <v/>
      </c>
      <c r="P267" s="59" t="str">
        <f>IF(OR($I267&lt;&gt;SottocategorieEntrate[[#Headers],[Business Entrate]],$I267&lt;&gt;SottocategorieEntrate[[#Headers],[Varie Entrate]],$I267&lt;&gt;SottocategorieEntrate[[#Headers],[Real Estate]],$I267&lt;&gt;SottocategorieEntrate[[#Headers],[Other]]),"","$ -")</f>
        <v/>
      </c>
      <c r="Q267" s="59" t="str">
        <f>IF(Dati[[#This Row],[Categoria]]="Prelievo","€ -","")</f>
        <v/>
      </c>
      <c r="R267" s="244" t="str">
        <f t="shared" ca="1" si="11"/>
        <v/>
      </c>
      <c r="S267" s="59" t="str">
        <f>IF(Dati[[#This Row],[Categoria]]="Savings",0,"")</f>
        <v/>
      </c>
      <c r="T267" s="59"/>
      <c r="U267" s="59"/>
      <c r="V267" s="59"/>
      <c r="W267" s="59"/>
      <c r="X267" s="59"/>
      <c r="Y267" s="59"/>
      <c r="Z267" s="59"/>
      <c r="AA267" s="59"/>
      <c r="AB267" s="59"/>
      <c r="AC267" s="59"/>
      <c r="AD267" s="59"/>
      <c r="AE267" s="59"/>
      <c r="AF267" s="59"/>
      <c r="AG267" s="59"/>
      <c r="AH267" s="59"/>
      <c r="AI267" s="59" t="str">
        <f>IF(SUM(Dati[[#This Row],[Inv. Business]:[Inv. Cryptocurrency]])=0," ",SUM(Dati[[#This Row],[Inv. Business]:[Inv. Cryptocurrency]]))</f>
        <v xml:space="preserve"> </v>
      </c>
      <c r="AJ267" s="59"/>
      <c r="AK267" s="59" t="str">
        <f>IF(SUM(Dati[[#This Row],[Inv. Gold]:[Mutuo]])=0," ",SUM(Dati[[#This Row],[Inv. Gold]:[Mutuo]]))</f>
        <v xml:space="preserve"> </v>
      </c>
      <c r="AL267" s="59"/>
      <c r="AM267" s="59"/>
    </row>
    <row r="268" spans="2:39" ht="16" customHeight="1" x14ac:dyDescent="0.35">
      <c r="B268">
        <f t="shared" si="9"/>
        <v>248</v>
      </c>
      <c r="C268" s="49">
        <f t="shared" si="10"/>
        <v>45174</v>
      </c>
      <c r="D268" s="29">
        <f>DAY(Dati[[#This Row],[Data]])</f>
        <v>5</v>
      </c>
      <c r="E268" s="29" t="str">
        <f>IF(DAY(Data!$C$21:$C$1327)&gt;0,TEXT(Data!$C$21:$C$1327, "mmmm"),"")</f>
        <v>settembre</v>
      </c>
      <c r="F268" s="29" t="str">
        <f>IF(DAY(Data!$C$21:$C$1327)&gt;0,TEXT(Data!$C$21:$C$1327, "aaaa"),"")</f>
        <v>2023</v>
      </c>
      <c r="I268" t="str">
        <f>IF(OR(H268=$B$5,H268=$B$6,H268=$B$7,H268=$B$8,H268=$B$9,H268=$B$10,H268=$B$11,H268=$B$12,H268=$B$13,H268=$B$14),SottocategorieUscite[[#Headers],[Fuori Casa]],IF(OR(H268=$C$5,H268=$C$6,H268=$C$7,H268=$C$8,H268=$C$9,H268=$C$10,H268=$C$11,H268=$C$12,H268=$C$13,H268=$C$14),SottocategorieUscite[[#Headers],[Varie Uscite]],IF(OR(H268=$D$5,H268=$D$6,H268=$D$7,H268=$D$8,H268=$D$9,H268=$D$10,H268=$D$11,H268=$D$12,H268=$D$13,H268=$D$14),SottocategorieUscite[[#Headers],[Personali]],IF(OR(H268=$E$5,H268=$E$6,H268=$E$7,H268=$E$8,H268=$E$9,H268=$E$10,H268=$E$11,H268=$E$12,H268=$E$13,H268=$E$14),SottocategorieUscite[[#Headers],[Lavoro]],IF(OR(H268=$F$5,H268=$F$6,H268=$F$7,H268=$F$8,H268=$F$9,H268=$F$10,H268=$F$11,H268=$F$12,H268=$F$13,H268=$F$14),SottocategorieUscite[[#Headers],[Casa]],IF(OR(H268=$G$5,H268=$G$6,H268=$G$7,H268=$G$8,H268=$G$9,H268=$G$10,H268=$G$11,H268=$G$12,H268=$G$13,H268=$G$14),SottocategorieUscite[[#Headers],[Utenze]],IF(OR(H268=$H$5,H268=$H$6,H268=$H$7,H268=$H$8,H268=$H$9,H268=$H$10,H268=$H$11,H268=$H$12,H268=$H$13,H268=$H$14),SottocategorieUscite[[#Headers],[Business Uscite]],IF(OR(H268=$I$5,H268=$I$6,H268=$I$7,H268=$I$8,H268=$I$9,H268=$I$10,H268=$I$11,H268=$I$12,H268=$I$13,H268=$I$14),SottocategorieUscite[[#Headers],[Banca]],IF(OR(H268=K$5,H268=K$6,H268=K$7,H268=K$8,H268=K$9,H268=K$10,H268=K$11,H268=K$12,H268=K$13,H268=K$14),SottocategorieEntrate[[#Headers],[Business Entrate]],IF(OR(H268=L$5,H268=L$6,H268=L$7,H268=L$8,H268=L$9,H268=L$10,H268=L$11,H268=L$12,H268=L$13,H268=L$14),SottocategorieEntrate[[#Headers],[Varie Entrate]],IF(OR(H268=M$5,H268=M$6,H268=M$7,H268=M$8,H268=M$9,H268=M$10,H268=M$11,H268=M$12,H268=M$13,H268=M$14),SottocategorieEntrate[[#Headers],[Real Estate]],IF(OR(H268=N$5,H268=N$6,H268=N$7,H268=N$8,H268=N$9,H268=N$10,H268=N$11,H268=N$12,H268=N$13,H268=N$14),SottocategorieEntrate[[#Headers],[Other]],""))))))))))))</f>
        <v/>
      </c>
      <c r="J268" t="str">
        <f>IF(OR(Dati[[#This Row],[Categoria]]="Bollette",Dati[[#This Row],[Categoria]]="Conto &amp; Carte BNL",Dati[[#This Row],[Categoria]]="Prelievo",Dati[[#This Row],[Categoria]]="Affitto",Dati[[#This Row],[Categoria]]="BNL(Interessi Creditori)"),"Carta",IF(Dati[[#This Row],[Categoria]]&lt;&gt;0,"Cash",""))</f>
        <v/>
      </c>
      <c r="K268" s="59" t="str">
        <f>IF(OR(Data!$I268=SottocategorieUscite[[#Headers],[Fuori Casa]],Data!$I268=SottocategorieUscite[[#Headers],[Varie Uscite]],Data!$I268=SottocategorieUscite[[#Headers],[Personali]],Data!$I268=SottocategorieUscite[[#Headers],[Lavoro]]),"$ -","")</f>
        <v/>
      </c>
      <c r="L268" s="59" t="str">
        <f>IF(OR(Data!$I268=SottocategorieUscite[[#Headers],[Casa]],Data!$I268=SottocategorieUscite[[#Headers],[Utenze]],Data!$I268=SottocategorieUscite[[#Headers],[Business Uscite]],Data!$I268=SottocategorieUscite[[#Headers],[Banca]]),"$ -","")</f>
        <v/>
      </c>
      <c r="M268" s="59" t="str">
        <f>IF(OR($I268&lt;&gt;SottocategorieUscite[[#Headers],[Fuori Casa]],$I268&lt;&gt;SottocategorieUscite[[#Headers],[Varie Uscite]],$I268&lt;&gt;SottocategorieUscite[[#Headers],[Personali]],$I268&lt;&gt;SottocategorieUscite[[#Headers],[Lavoro]],$I268&lt;&gt;SottocategorieUscite[[#Headers],[Casa]],$I268&lt;&gt;SottocategorieUscite[[#Headers],[Utenze]],$I268&lt;&gt;SottocategorieUscite[[#Headers],[Business Uscite]],$I268&lt;&gt;SottocategorieUscite[[#Headers],[Banca]]),"","$ -")</f>
        <v/>
      </c>
      <c r="N268" s="59" t="str">
        <f>IF(OR(Data!$I268=SottocategorieEntrate[[#Headers],[Business Entrate]],Data!$I268=SottocategorieEntrate[[#Headers],[Varie Entrate]]),"$ -","")</f>
        <v/>
      </c>
      <c r="O268" s="59" t="str">
        <f>IF(OR(Data!$I268=SottocategorieEntrate[[#Headers],[Real Estate]],SottocategorieEntrate[[#Headers],[Other]]),"$ -","")</f>
        <v/>
      </c>
      <c r="P268" s="59" t="str">
        <f>IF(OR($I268&lt;&gt;SottocategorieEntrate[[#Headers],[Business Entrate]],$I268&lt;&gt;SottocategorieEntrate[[#Headers],[Varie Entrate]],$I268&lt;&gt;SottocategorieEntrate[[#Headers],[Real Estate]],$I268&lt;&gt;SottocategorieEntrate[[#Headers],[Other]]),"","$ -")</f>
        <v/>
      </c>
      <c r="Q268" s="59" t="str">
        <f>IF(Dati[[#This Row],[Categoria]]="Prelievo","€ -","")</f>
        <v/>
      </c>
      <c r="R268" s="244" t="str">
        <f t="shared" ca="1" si="11"/>
        <v/>
      </c>
      <c r="S268" s="59" t="str">
        <f>IF(Dati[[#This Row],[Categoria]]="Savings",0,"")</f>
        <v/>
      </c>
      <c r="T268" s="59"/>
      <c r="U268" s="59"/>
      <c r="V268" s="59"/>
      <c r="W268" s="59"/>
      <c r="X268" s="59"/>
      <c r="Y268" s="59"/>
      <c r="Z268" s="59"/>
      <c r="AA268" s="59"/>
      <c r="AB268" s="59"/>
      <c r="AC268" s="59"/>
      <c r="AD268" s="59"/>
      <c r="AE268" s="59"/>
      <c r="AF268" s="59"/>
      <c r="AG268" s="59"/>
      <c r="AH268" s="59"/>
      <c r="AI268" s="59" t="str">
        <f>IF(SUM(Dati[[#This Row],[Inv. Business]:[Inv. Cryptocurrency]])=0," ",SUM(Dati[[#This Row],[Inv. Business]:[Inv. Cryptocurrency]]))</f>
        <v xml:space="preserve"> </v>
      </c>
      <c r="AJ268" s="59"/>
      <c r="AK268" s="59" t="str">
        <f>IF(SUM(Dati[[#This Row],[Inv. Gold]:[Mutuo]])=0," ",SUM(Dati[[#This Row],[Inv. Gold]:[Mutuo]]))</f>
        <v xml:space="preserve"> </v>
      </c>
      <c r="AL268" s="59"/>
      <c r="AM268" s="59"/>
    </row>
    <row r="269" spans="2:39" ht="16" customHeight="1" x14ac:dyDescent="0.35">
      <c r="B269">
        <f t="shared" si="9"/>
        <v>249</v>
      </c>
      <c r="C269" s="49">
        <f t="shared" si="10"/>
        <v>45175</v>
      </c>
      <c r="D269" s="29">
        <f>DAY(Dati[[#This Row],[Data]])</f>
        <v>6</v>
      </c>
      <c r="E269" s="29" t="str">
        <f>IF(DAY(Data!$C$21:$C$1327)&gt;0,TEXT(Data!$C$21:$C$1327, "mmmm"),"")</f>
        <v>settembre</v>
      </c>
      <c r="F269" s="29" t="str">
        <f>IF(DAY(Data!$C$21:$C$1327)&gt;0,TEXT(Data!$C$21:$C$1327, "aaaa"),"")</f>
        <v>2023</v>
      </c>
      <c r="I269" t="str">
        <f>IF(OR(H269=$B$5,H269=$B$6,H269=$B$7,H269=$B$8,H269=$B$9,H269=$B$10,H269=$B$11,H269=$B$12,H269=$B$13,H269=$B$14),SottocategorieUscite[[#Headers],[Fuori Casa]],IF(OR(H269=$C$5,H269=$C$6,H269=$C$7,H269=$C$8,H269=$C$9,H269=$C$10,H269=$C$11,H269=$C$12,H269=$C$13,H269=$C$14),SottocategorieUscite[[#Headers],[Varie Uscite]],IF(OR(H269=$D$5,H269=$D$6,H269=$D$7,H269=$D$8,H269=$D$9,H269=$D$10,H269=$D$11,H269=$D$12,H269=$D$13,H269=$D$14),SottocategorieUscite[[#Headers],[Personali]],IF(OR(H269=$E$5,H269=$E$6,H269=$E$7,H269=$E$8,H269=$E$9,H269=$E$10,H269=$E$11,H269=$E$12,H269=$E$13,H269=$E$14),SottocategorieUscite[[#Headers],[Lavoro]],IF(OR(H269=$F$5,H269=$F$6,H269=$F$7,H269=$F$8,H269=$F$9,H269=$F$10,H269=$F$11,H269=$F$12,H269=$F$13,H269=$F$14),SottocategorieUscite[[#Headers],[Casa]],IF(OR(H269=$G$5,H269=$G$6,H269=$G$7,H269=$G$8,H269=$G$9,H269=$G$10,H269=$G$11,H269=$G$12,H269=$G$13,H269=$G$14),SottocategorieUscite[[#Headers],[Utenze]],IF(OR(H269=$H$5,H269=$H$6,H269=$H$7,H269=$H$8,H269=$H$9,H269=$H$10,H269=$H$11,H269=$H$12,H269=$H$13,H269=$H$14),SottocategorieUscite[[#Headers],[Business Uscite]],IF(OR(H269=$I$5,H269=$I$6,H269=$I$7,H269=$I$8,H269=$I$9,H269=$I$10,H269=$I$11,H269=$I$12,H269=$I$13,H269=$I$14),SottocategorieUscite[[#Headers],[Banca]],IF(OR(H269=K$5,H269=K$6,H269=K$7,H269=K$8,H269=K$9,H269=K$10,H269=K$11,H269=K$12,H269=K$13,H269=K$14),SottocategorieEntrate[[#Headers],[Business Entrate]],IF(OR(H269=L$5,H269=L$6,H269=L$7,H269=L$8,H269=L$9,H269=L$10,H269=L$11,H269=L$12,H269=L$13,H269=L$14),SottocategorieEntrate[[#Headers],[Varie Entrate]],IF(OR(H269=M$5,H269=M$6,H269=M$7,H269=M$8,H269=M$9,H269=M$10,H269=M$11,H269=M$12,H269=M$13,H269=M$14),SottocategorieEntrate[[#Headers],[Real Estate]],IF(OR(H269=N$5,H269=N$6,H269=N$7,H269=N$8,H269=N$9,H269=N$10,H269=N$11,H269=N$12,H269=N$13,H269=N$14),SottocategorieEntrate[[#Headers],[Other]],""))))))))))))</f>
        <v/>
      </c>
      <c r="J269" t="str">
        <f>IF(OR(Dati[[#This Row],[Categoria]]="Bollette",Dati[[#This Row],[Categoria]]="Conto &amp; Carte BNL",Dati[[#This Row],[Categoria]]="Prelievo",Dati[[#This Row],[Categoria]]="Affitto",Dati[[#This Row],[Categoria]]="BNL(Interessi Creditori)"),"Carta",IF(Dati[[#This Row],[Categoria]]&lt;&gt;0,"Cash",""))</f>
        <v/>
      </c>
      <c r="K269" s="59" t="str">
        <f>IF(OR(Data!$I269=SottocategorieUscite[[#Headers],[Fuori Casa]],Data!$I269=SottocategorieUscite[[#Headers],[Varie Uscite]],Data!$I269=SottocategorieUscite[[#Headers],[Personali]],Data!$I269=SottocategorieUscite[[#Headers],[Lavoro]]),"$ -","")</f>
        <v/>
      </c>
      <c r="L269" s="59" t="str">
        <f>IF(OR(Data!$I269=SottocategorieUscite[[#Headers],[Casa]],Data!$I269=SottocategorieUscite[[#Headers],[Utenze]],Data!$I269=SottocategorieUscite[[#Headers],[Business Uscite]],Data!$I269=SottocategorieUscite[[#Headers],[Banca]]),"$ -","")</f>
        <v/>
      </c>
      <c r="M269" s="59" t="str">
        <f>IF(OR($I269&lt;&gt;SottocategorieUscite[[#Headers],[Fuori Casa]],$I269&lt;&gt;SottocategorieUscite[[#Headers],[Varie Uscite]],$I269&lt;&gt;SottocategorieUscite[[#Headers],[Personali]],$I269&lt;&gt;SottocategorieUscite[[#Headers],[Lavoro]],$I269&lt;&gt;SottocategorieUscite[[#Headers],[Casa]],$I269&lt;&gt;SottocategorieUscite[[#Headers],[Utenze]],$I269&lt;&gt;SottocategorieUscite[[#Headers],[Business Uscite]],$I269&lt;&gt;SottocategorieUscite[[#Headers],[Banca]]),"","$ -")</f>
        <v/>
      </c>
      <c r="N269" s="59" t="str">
        <f>IF(OR(Data!$I269=SottocategorieEntrate[[#Headers],[Business Entrate]],Data!$I269=SottocategorieEntrate[[#Headers],[Varie Entrate]]),"$ -","")</f>
        <v/>
      </c>
      <c r="O269" s="59" t="str">
        <f>IF(OR(Data!$I269=SottocategorieEntrate[[#Headers],[Real Estate]],SottocategorieEntrate[[#Headers],[Other]]),"$ -","")</f>
        <v/>
      </c>
      <c r="P269" s="59" t="str">
        <f>IF(OR($I269&lt;&gt;SottocategorieEntrate[[#Headers],[Business Entrate]],$I269&lt;&gt;SottocategorieEntrate[[#Headers],[Varie Entrate]],$I269&lt;&gt;SottocategorieEntrate[[#Headers],[Real Estate]],$I269&lt;&gt;SottocategorieEntrate[[#Headers],[Other]]),"","$ -")</f>
        <v/>
      </c>
      <c r="Q269" s="59" t="str">
        <f>IF(Dati[[#This Row],[Categoria]]="Prelievo","€ -","")</f>
        <v/>
      </c>
      <c r="R269" s="244" t="str">
        <f t="shared" ca="1" si="11"/>
        <v/>
      </c>
      <c r="S269" s="59" t="str">
        <f>IF(Dati[[#This Row],[Categoria]]="Savings",0,"")</f>
        <v/>
      </c>
      <c r="T269" s="59"/>
      <c r="U269" s="59"/>
      <c r="V269" s="59"/>
      <c r="W269" s="59"/>
      <c r="X269" s="59"/>
      <c r="Y269" s="59"/>
      <c r="Z269" s="59"/>
      <c r="AA269" s="59"/>
      <c r="AB269" s="59"/>
      <c r="AC269" s="59"/>
      <c r="AD269" s="59"/>
      <c r="AE269" s="59"/>
      <c r="AF269" s="59"/>
      <c r="AG269" s="59"/>
      <c r="AH269" s="59"/>
      <c r="AI269" s="59" t="str">
        <f>IF(SUM(Dati[[#This Row],[Inv. Business]:[Inv. Cryptocurrency]])=0," ",SUM(Dati[[#This Row],[Inv. Business]:[Inv. Cryptocurrency]]))</f>
        <v xml:space="preserve"> </v>
      </c>
      <c r="AJ269" s="59"/>
      <c r="AK269" s="59" t="str">
        <f>IF(SUM(Dati[[#This Row],[Inv. Gold]:[Mutuo]])=0," ",SUM(Dati[[#This Row],[Inv. Gold]:[Mutuo]]))</f>
        <v xml:space="preserve"> </v>
      </c>
      <c r="AL269" s="59"/>
      <c r="AM269" s="59"/>
    </row>
    <row r="270" spans="2:39" ht="16" customHeight="1" x14ac:dyDescent="0.35">
      <c r="B270">
        <f t="shared" si="9"/>
        <v>250</v>
      </c>
      <c r="C270" s="49">
        <f t="shared" si="10"/>
        <v>45176</v>
      </c>
      <c r="D270" s="29">
        <f>DAY(Dati[[#This Row],[Data]])</f>
        <v>7</v>
      </c>
      <c r="E270" s="29" t="str">
        <f>IF(DAY(Data!$C$21:$C$1327)&gt;0,TEXT(Data!$C$21:$C$1327, "mmmm"),"")</f>
        <v>settembre</v>
      </c>
      <c r="F270" s="29" t="str">
        <f>IF(DAY(Data!$C$21:$C$1327)&gt;0,TEXT(Data!$C$21:$C$1327, "aaaa"),"")</f>
        <v>2023</v>
      </c>
      <c r="I270" t="str">
        <f>IF(OR(H270=$B$5,H270=$B$6,H270=$B$7,H270=$B$8,H270=$B$9,H270=$B$10,H270=$B$11,H270=$B$12,H270=$B$13,H270=$B$14),SottocategorieUscite[[#Headers],[Fuori Casa]],IF(OR(H270=$C$5,H270=$C$6,H270=$C$7,H270=$C$8,H270=$C$9,H270=$C$10,H270=$C$11,H270=$C$12,H270=$C$13,H270=$C$14),SottocategorieUscite[[#Headers],[Varie Uscite]],IF(OR(H270=$D$5,H270=$D$6,H270=$D$7,H270=$D$8,H270=$D$9,H270=$D$10,H270=$D$11,H270=$D$12,H270=$D$13,H270=$D$14),SottocategorieUscite[[#Headers],[Personali]],IF(OR(H270=$E$5,H270=$E$6,H270=$E$7,H270=$E$8,H270=$E$9,H270=$E$10,H270=$E$11,H270=$E$12,H270=$E$13,H270=$E$14),SottocategorieUscite[[#Headers],[Lavoro]],IF(OR(H270=$F$5,H270=$F$6,H270=$F$7,H270=$F$8,H270=$F$9,H270=$F$10,H270=$F$11,H270=$F$12,H270=$F$13,H270=$F$14),SottocategorieUscite[[#Headers],[Casa]],IF(OR(H270=$G$5,H270=$G$6,H270=$G$7,H270=$G$8,H270=$G$9,H270=$G$10,H270=$G$11,H270=$G$12,H270=$G$13,H270=$G$14),SottocategorieUscite[[#Headers],[Utenze]],IF(OR(H270=$H$5,H270=$H$6,H270=$H$7,H270=$H$8,H270=$H$9,H270=$H$10,H270=$H$11,H270=$H$12,H270=$H$13,H270=$H$14),SottocategorieUscite[[#Headers],[Business Uscite]],IF(OR(H270=$I$5,H270=$I$6,H270=$I$7,H270=$I$8,H270=$I$9,H270=$I$10,H270=$I$11,H270=$I$12,H270=$I$13,H270=$I$14),SottocategorieUscite[[#Headers],[Banca]],IF(OR(H270=K$5,H270=K$6,H270=K$7,H270=K$8,H270=K$9,H270=K$10,H270=K$11,H270=K$12,H270=K$13,H270=K$14),SottocategorieEntrate[[#Headers],[Business Entrate]],IF(OR(H270=L$5,H270=L$6,H270=L$7,H270=L$8,H270=L$9,H270=L$10,H270=L$11,H270=L$12,H270=L$13,H270=L$14),SottocategorieEntrate[[#Headers],[Varie Entrate]],IF(OR(H270=M$5,H270=M$6,H270=M$7,H270=M$8,H270=M$9,H270=M$10,H270=M$11,H270=M$12,H270=M$13,H270=M$14),SottocategorieEntrate[[#Headers],[Real Estate]],IF(OR(H270=N$5,H270=N$6,H270=N$7,H270=N$8,H270=N$9,H270=N$10,H270=N$11,H270=N$12,H270=N$13,H270=N$14),SottocategorieEntrate[[#Headers],[Other]],""))))))))))))</f>
        <v/>
      </c>
      <c r="J270" t="str">
        <f>IF(OR(Dati[[#This Row],[Categoria]]="Bollette",Dati[[#This Row],[Categoria]]="Conto &amp; Carte BNL",Dati[[#This Row],[Categoria]]="Prelievo",Dati[[#This Row],[Categoria]]="Affitto",Dati[[#This Row],[Categoria]]="BNL(Interessi Creditori)"),"Carta",IF(Dati[[#This Row],[Categoria]]&lt;&gt;0,"Cash",""))</f>
        <v/>
      </c>
      <c r="K270" s="59" t="str">
        <f>IF(OR(Data!$I270=SottocategorieUscite[[#Headers],[Fuori Casa]],Data!$I270=SottocategorieUscite[[#Headers],[Varie Uscite]],Data!$I270=SottocategorieUscite[[#Headers],[Personali]],Data!$I270=SottocategorieUscite[[#Headers],[Lavoro]]),"$ -","")</f>
        <v/>
      </c>
      <c r="L270" s="59" t="str">
        <f>IF(OR(Data!$I270=SottocategorieUscite[[#Headers],[Casa]],Data!$I270=SottocategorieUscite[[#Headers],[Utenze]],Data!$I270=SottocategorieUscite[[#Headers],[Business Uscite]],Data!$I270=SottocategorieUscite[[#Headers],[Banca]]),"$ -","")</f>
        <v/>
      </c>
      <c r="M270" s="59" t="str">
        <f>IF(OR($I270&lt;&gt;SottocategorieUscite[[#Headers],[Fuori Casa]],$I270&lt;&gt;SottocategorieUscite[[#Headers],[Varie Uscite]],$I270&lt;&gt;SottocategorieUscite[[#Headers],[Personali]],$I270&lt;&gt;SottocategorieUscite[[#Headers],[Lavoro]],$I270&lt;&gt;SottocategorieUscite[[#Headers],[Casa]],$I270&lt;&gt;SottocategorieUscite[[#Headers],[Utenze]],$I270&lt;&gt;SottocategorieUscite[[#Headers],[Business Uscite]],$I270&lt;&gt;SottocategorieUscite[[#Headers],[Banca]]),"","$ -")</f>
        <v/>
      </c>
      <c r="N270" s="59" t="str">
        <f>IF(OR(Data!$I270=SottocategorieEntrate[[#Headers],[Business Entrate]],Data!$I270=SottocategorieEntrate[[#Headers],[Varie Entrate]]),"$ -","")</f>
        <v/>
      </c>
      <c r="O270" s="59" t="str">
        <f>IF(OR(Data!$I270=SottocategorieEntrate[[#Headers],[Real Estate]],SottocategorieEntrate[[#Headers],[Other]]),"$ -","")</f>
        <v/>
      </c>
      <c r="P270" s="59" t="str">
        <f>IF(OR($I270&lt;&gt;SottocategorieEntrate[[#Headers],[Business Entrate]],$I270&lt;&gt;SottocategorieEntrate[[#Headers],[Varie Entrate]],$I270&lt;&gt;SottocategorieEntrate[[#Headers],[Real Estate]],$I270&lt;&gt;SottocategorieEntrate[[#Headers],[Other]]),"","$ -")</f>
        <v/>
      </c>
      <c r="Q270" s="59" t="str">
        <f>IF(Dati[[#This Row],[Categoria]]="Prelievo","€ -","")</f>
        <v/>
      </c>
      <c r="R270" s="244" t="str">
        <f t="shared" ca="1" si="11"/>
        <v/>
      </c>
      <c r="S270" s="59" t="str">
        <f>IF(Dati[[#This Row],[Categoria]]="Savings",0,"")</f>
        <v/>
      </c>
      <c r="T270" s="59"/>
      <c r="U270" s="59"/>
      <c r="V270" s="59"/>
      <c r="W270" s="59"/>
      <c r="X270" s="59"/>
      <c r="Y270" s="59"/>
      <c r="Z270" s="59"/>
      <c r="AA270" s="59"/>
      <c r="AB270" s="59"/>
      <c r="AC270" s="59"/>
      <c r="AD270" s="59"/>
      <c r="AE270" s="59"/>
      <c r="AF270" s="59"/>
      <c r="AG270" s="59"/>
      <c r="AH270" s="59"/>
      <c r="AI270" s="59" t="str">
        <f>IF(SUM(Dati[[#This Row],[Inv. Business]:[Inv. Cryptocurrency]])=0," ",SUM(Dati[[#This Row],[Inv. Business]:[Inv. Cryptocurrency]]))</f>
        <v xml:space="preserve"> </v>
      </c>
      <c r="AJ270" s="59"/>
      <c r="AK270" s="59" t="str">
        <f>IF(SUM(Dati[[#This Row],[Inv. Gold]:[Mutuo]])=0," ",SUM(Dati[[#This Row],[Inv. Gold]:[Mutuo]]))</f>
        <v xml:space="preserve"> </v>
      </c>
      <c r="AL270" s="59"/>
      <c r="AM270" s="59"/>
    </row>
    <row r="271" spans="2:39" ht="16" customHeight="1" x14ac:dyDescent="0.35">
      <c r="B271">
        <f t="shared" si="9"/>
        <v>251</v>
      </c>
      <c r="C271" s="49">
        <f t="shared" si="10"/>
        <v>45177</v>
      </c>
      <c r="D271" s="29">
        <f>DAY(Dati[[#This Row],[Data]])</f>
        <v>8</v>
      </c>
      <c r="E271" s="29" t="str">
        <f>IF(DAY(Data!$C$21:$C$1327)&gt;0,TEXT(Data!$C$21:$C$1327, "mmmm"),"")</f>
        <v>settembre</v>
      </c>
      <c r="F271" s="29" t="str">
        <f>IF(DAY(Data!$C$21:$C$1327)&gt;0,TEXT(Data!$C$21:$C$1327, "aaaa"),"")</f>
        <v>2023</v>
      </c>
      <c r="I271" t="str">
        <f>IF(OR(H271=$B$5,H271=$B$6,H271=$B$7,H271=$B$8,H271=$B$9,H271=$B$10,H271=$B$11,H271=$B$12,H271=$B$13,H271=$B$14),SottocategorieUscite[[#Headers],[Fuori Casa]],IF(OR(H271=$C$5,H271=$C$6,H271=$C$7,H271=$C$8,H271=$C$9,H271=$C$10,H271=$C$11,H271=$C$12,H271=$C$13,H271=$C$14),SottocategorieUscite[[#Headers],[Varie Uscite]],IF(OR(H271=$D$5,H271=$D$6,H271=$D$7,H271=$D$8,H271=$D$9,H271=$D$10,H271=$D$11,H271=$D$12,H271=$D$13,H271=$D$14),SottocategorieUscite[[#Headers],[Personali]],IF(OR(H271=$E$5,H271=$E$6,H271=$E$7,H271=$E$8,H271=$E$9,H271=$E$10,H271=$E$11,H271=$E$12,H271=$E$13,H271=$E$14),SottocategorieUscite[[#Headers],[Lavoro]],IF(OR(H271=$F$5,H271=$F$6,H271=$F$7,H271=$F$8,H271=$F$9,H271=$F$10,H271=$F$11,H271=$F$12,H271=$F$13,H271=$F$14),SottocategorieUscite[[#Headers],[Casa]],IF(OR(H271=$G$5,H271=$G$6,H271=$G$7,H271=$G$8,H271=$G$9,H271=$G$10,H271=$G$11,H271=$G$12,H271=$G$13,H271=$G$14),SottocategorieUscite[[#Headers],[Utenze]],IF(OR(H271=$H$5,H271=$H$6,H271=$H$7,H271=$H$8,H271=$H$9,H271=$H$10,H271=$H$11,H271=$H$12,H271=$H$13,H271=$H$14),SottocategorieUscite[[#Headers],[Business Uscite]],IF(OR(H271=$I$5,H271=$I$6,H271=$I$7,H271=$I$8,H271=$I$9,H271=$I$10,H271=$I$11,H271=$I$12,H271=$I$13,H271=$I$14),SottocategorieUscite[[#Headers],[Banca]],IF(OR(H271=K$5,H271=K$6,H271=K$7,H271=K$8,H271=K$9,H271=K$10,H271=K$11,H271=K$12,H271=K$13,H271=K$14),SottocategorieEntrate[[#Headers],[Business Entrate]],IF(OR(H271=L$5,H271=L$6,H271=L$7,H271=L$8,H271=L$9,H271=L$10,H271=L$11,H271=L$12,H271=L$13,H271=L$14),SottocategorieEntrate[[#Headers],[Varie Entrate]],IF(OR(H271=M$5,H271=M$6,H271=M$7,H271=M$8,H271=M$9,H271=M$10,H271=M$11,H271=M$12,H271=M$13,H271=M$14),SottocategorieEntrate[[#Headers],[Real Estate]],IF(OR(H271=N$5,H271=N$6,H271=N$7,H271=N$8,H271=N$9,H271=N$10,H271=N$11,H271=N$12,H271=N$13,H271=N$14),SottocategorieEntrate[[#Headers],[Other]],""))))))))))))</f>
        <v/>
      </c>
      <c r="J271" t="str">
        <f>IF(OR(Dati[[#This Row],[Categoria]]="Bollette",Dati[[#This Row],[Categoria]]="Conto &amp; Carte BNL",Dati[[#This Row],[Categoria]]="Prelievo",Dati[[#This Row],[Categoria]]="Affitto",Dati[[#This Row],[Categoria]]="BNL(Interessi Creditori)"),"Carta",IF(Dati[[#This Row],[Categoria]]&lt;&gt;0,"Cash",""))</f>
        <v/>
      </c>
      <c r="K271" s="59" t="str">
        <f>IF(OR(Data!$I271=SottocategorieUscite[[#Headers],[Fuori Casa]],Data!$I271=SottocategorieUscite[[#Headers],[Varie Uscite]],Data!$I271=SottocategorieUscite[[#Headers],[Personali]],Data!$I271=SottocategorieUscite[[#Headers],[Lavoro]]),"$ -","")</f>
        <v/>
      </c>
      <c r="L271" s="59" t="str">
        <f>IF(OR(Data!$I271=SottocategorieUscite[[#Headers],[Casa]],Data!$I271=SottocategorieUscite[[#Headers],[Utenze]],Data!$I271=SottocategorieUscite[[#Headers],[Business Uscite]],Data!$I271=SottocategorieUscite[[#Headers],[Banca]]),"$ -","")</f>
        <v/>
      </c>
      <c r="M271" s="59" t="str">
        <f>IF(OR($I271&lt;&gt;SottocategorieUscite[[#Headers],[Fuori Casa]],$I271&lt;&gt;SottocategorieUscite[[#Headers],[Varie Uscite]],$I271&lt;&gt;SottocategorieUscite[[#Headers],[Personali]],$I271&lt;&gt;SottocategorieUscite[[#Headers],[Lavoro]],$I271&lt;&gt;SottocategorieUscite[[#Headers],[Casa]],$I271&lt;&gt;SottocategorieUscite[[#Headers],[Utenze]],$I271&lt;&gt;SottocategorieUscite[[#Headers],[Business Uscite]],$I271&lt;&gt;SottocategorieUscite[[#Headers],[Banca]]),"","$ -")</f>
        <v/>
      </c>
      <c r="N271" s="59" t="str">
        <f>IF(OR(Data!$I271=SottocategorieEntrate[[#Headers],[Business Entrate]],Data!$I271=SottocategorieEntrate[[#Headers],[Varie Entrate]]),"$ -","")</f>
        <v/>
      </c>
      <c r="O271" s="59" t="str">
        <f>IF(OR(Data!$I271=SottocategorieEntrate[[#Headers],[Real Estate]],SottocategorieEntrate[[#Headers],[Other]]),"$ -","")</f>
        <v/>
      </c>
      <c r="P271" s="59" t="str">
        <f>IF(OR($I271&lt;&gt;SottocategorieEntrate[[#Headers],[Business Entrate]],$I271&lt;&gt;SottocategorieEntrate[[#Headers],[Varie Entrate]],$I271&lt;&gt;SottocategorieEntrate[[#Headers],[Real Estate]],$I271&lt;&gt;SottocategorieEntrate[[#Headers],[Other]]),"","$ -")</f>
        <v/>
      </c>
      <c r="Q271" s="59" t="str">
        <f>IF(Dati[[#This Row],[Categoria]]="Prelievo","€ -","")</f>
        <v/>
      </c>
      <c r="R271" s="244" t="str">
        <f t="shared" ca="1" si="11"/>
        <v/>
      </c>
      <c r="S271" s="59" t="str">
        <f>IF(Dati[[#This Row],[Categoria]]="Savings",0,"")</f>
        <v/>
      </c>
      <c r="T271" s="59"/>
      <c r="U271" s="59"/>
      <c r="V271" s="59"/>
      <c r="W271" s="59"/>
      <c r="X271" s="59"/>
      <c r="Y271" s="59"/>
      <c r="Z271" s="59"/>
      <c r="AA271" s="59"/>
      <c r="AB271" s="59"/>
      <c r="AC271" s="59"/>
      <c r="AD271" s="59"/>
      <c r="AE271" s="59"/>
      <c r="AF271" s="59"/>
      <c r="AG271" s="59"/>
      <c r="AH271" s="59"/>
      <c r="AI271" s="59" t="str">
        <f>IF(SUM(Dati[[#This Row],[Inv. Business]:[Inv. Cryptocurrency]])=0," ",SUM(Dati[[#This Row],[Inv. Business]:[Inv. Cryptocurrency]]))</f>
        <v xml:space="preserve"> </v>
      </c>
      <c r="AJ271" s="59"/>
      <c r="AK271" s="59" t="str">
        <f>IF(SUM(Dati[[#This Row],[Inv. Gold]:[Mutuo]])=0," ",SUM(Dati[[#This Row],[Inv. Gold]:[Mutuo]]))</f>
        <v xml:space="preserve"> </v>
      </c>
      <c r="AL271" s="59"/>
      <c r="AM271" s="59"/>
    </row>
    <row r="272" spans="2:39" ht="16" customHeight="1" x14ac:dyDescent="0.35">
      <c r="B272">
        <f t="shared" si="9"/>
        <v>252</v>
      </c>
      <c r="C272" s="49">
        <f t="shared" si="10"/>
        <v>45178</v>
      </c>
      <c r="D272" s="29">
        <f>DAY(Dati[[#This Row],[Data]])</f>
        <v>9</v>
      </c>
      <c r="E272" s="29" t="str">
        <f>IF(DAY(Data!$C$21:$C$1327)&gt;0,TEXT(Data!$C$21:$C$1327, "mmmm"),"")</f>
        <v>settembre</v>
      </c>
      <c r="F272" s="29" t="str">
        <f>IF(DAY(Data!$C$21:$C$1327)&gt;0,TEXT(Data!$C$21:$C$1327, "aaaa"),"")</f>
        <v>2023</v>
      </c>
      <c r="I272" t="str">
        <f>IF(OR(H272=$B$5,H272=$B$6,H272=$B$7,H272=$B$8,H272=$B$9,H272=$B$10,H272=$B$11,H272=$B$12,H272=$B$13,H272=$B$14),SottocategorieUscite[[#Headers],[Fuori Casa]],IF(OR(H272=$C$5,H272=$C$6,H272=$C$7,H272=$C$8,H272=$C$9,H272=$C$10,H272=$C$11,H272=$C$12,H272=$C$13,H272=$C$14),SottocategorieUscite[[#Headers],[Varie Uscite]],IF(OR(H272=$D$5,H272=$D$6,H272=$D$7,H272=$D$8,H272=$D$9,H272=$D$10,H272=$D$11,H272=$D$12,H272=$D$13,H272=$D$14),SottocategorieUscite[[#Headers],[Personali]],IF(OR(H272=$E$5,H272=$E$6,H272=$E$7,H272=$E$8,H272=$E$9,H272=$E$10,H272=$E$11,H272=$E$12,H272=$E$13,H272=$E$14),SottocategorieUscite[[#Headers],[Lavoro]],IF(OR(H272=$F$5,H272=$F$6,H272=$F$7,H272=$F$8,H272=$F$9,H272=$F$10,H272=$F$11,H272=$F$12,H272=$F$13,H272=$F$14),SottocategorieUscite[[#Headers],[Casa]],IF(OR(H272=$G$5,H272=$G$6,H272=$G$7,H272=$G$8,H272=$G$9,H272=$G$10,H272=$G$11,H272=$G$12,H272=$G$13,H272=$G$14),SottocategorieUscite[[#Headers],[Utenze]],IF(OR(H272=$H$5,H272=$H$6,H272=$H$7,H272=$H$8,H272=$H$9,H272=$H$10,H272=$H$11,H272=$H$12,H272=$H$13,H272=$H$14),SottocategorieUscite[[#Headers],[Business Uscite]],IF(OR(H272=$I$5,H272=$I$6,H272=$I$7,H272=$I$8,H272=$I$9,H272=$I$10,H272=$I$11,H272=$I$12,H272=$I$13,H272=$I$14),SottocategorieUscite[[#Headers],[Banca]],IF(OR(H272=K$5,H272=K$6,H272=K$7,H272=K$8,H272=K$9,H272=K$10,H272=K$11,H272=K$12,H272=K$13,H272=K$14),SottocategorieEntrate[[#Headers],[Business Entrate]],IF(OR(H272=L$5,H272=L$6,H272=L$7,H272=L$8,H272=L$9,H272=L$10,H272=L$11,H272=L$12,H272=L$13,H272=L$14),SottocategorieEntrate[[#Headers],[Varie Entrate]],IF(OR(H272=M$5,H272=M$6,H272=M$7,H272=M$8,H272=M$9,H272=M$10,H272=M$11,H272=M$12,H272=M$13,H272=M$14),SottocategorieEntrate[[#Headers],[Real Estate]],IF(OR(H272=N$5,H272=N$6,H272=N$7,H272=N$8,H272=N$9,H272=N$10,H272=N$11,H272=N$12,H272=N$13,H272=N$14),SottocategorieEntrate[[#Headers],[Other]],""))))))))))))</f>
        <v/>
      </c>
      <c r="J272" t="str">
        <f>IF(OR(Dati[[#This Row],[Categoria]]="Bollette",Dati[[#This Row],[Categoria]]="Conto &amp; Carte BNL",Dati[[#This Row],[Categoria]]="Prelievo",Dati[[#This Row],[Categoria]]="Affitto",Dati[[#This Row],[Categoria]]="BNL(Interessi Creditori)"),"Carta",IF(Dati[[#This Row],[Categoria]]&lt;&gt;0,"Cash",""))</f>
        <v/>
      </c>
      <c r="K272" s="59" t="str">
        <f>IF(OR(Data!$I272=SottocategorieUscite[[#Headers],[Fuori Casa]],Data!$I272=SottocategorieUscite[[#Headers],[Varie Uscite]],Data!$I272=SottocategorieUscite[[#Headers],[Personali]],Data!$I272=SottocategorieUscite[[#Headers],[Lavoro]]),"$ -","")</f>
        <v/>
      </c>
      <c r="L272" s="59" t="str">
        <f>IF(OR(Data!$I272=SottocategorieUscite[[#Headers],[Casa]],Data!$I272=SottocategorieUscite[[#Headers],[Utenze]],Data!$I272=SottocategorieUscite[[#Headers],[Business Uscite]],Data!$I272=SottocategorieUscite[[#Headers],[Banca]]),"$ -","")</f>
        <v/>
      </c>
      <c r="M272" s="59" t="str">
        <f>IF(OR($I272&lt;&gt;SottocategorieUscite[[#Headers],[Fuori Casa]],$I272&lt;&gt;SottocategorieUscite[[#Headers],[Varie Uscite]],$I272&lt;&gt;SottocategorieUscite[[#Headers],[Personali]],$I272&lt;&gt;SottocategorieUscite[[#Headers],[Lavoro]],$I272&lt;&gt;SottocategorieUscite[[#Headers],[Casa]],$I272&lt;&gt;SottocategorieUscite[[#Headers],[Utenze]],$I272&lt;&gt;SottocategorieUscite[[#Headers],[Business Uscite]],$I272&lt;&gt;SottocategorieUscite[[#Headers],[Banca]]),"","$ -")</f>
        <v/>
      </c>
      <c r="N272" s="59" t="str">
        <f>IF(OR(Data!$I272=SottocategorieEntrate[[#Headers],[Business Entrate]],Data!$I272=SottocategorieEntrate[[#Headers],[Varie Entrate]]),"$ -","")</f>
        <v/>
      </c>
      <c r="O272" s="59" t="str">
        <f>IF(OR(Data!$I272=SottocategorieEntrate[[#Headers],[Real Estate]],SottocategorieEntrate[[#Headers],[Other]]),"$ -","")</f>
        <v/>
      </c>
      <c r="P272" s="59" t="str">
        <f>IF(OR($I272&lt;&gt;SottocategorieEntrate[[#Headers],[Business Entrate]],$I272&lt;&gt;SottocategorieEntrate[[#Headers],[Varie Entrate]],$I272&lt;&gt;SottocategorieEntrate[[#Headers],[Real Estate]],$I272&lt;&gt;SottocategorieEntrate[[#Headers],[Other]]),"","$ -")</f>
        <v/>
      </c>
      <c r="Q272" s="59" t="str">
        <f>IF(Dati[[#This Row],[Categoria]]="Prelievo","€ -","")</f>
        <v/>
      </c>
      <c r="R272" s="244" t="str">
        <f t="shared" ca="1" si="11"/>
        <v/>
      </c>
      <c r="S272" s="59" t="str">
        <f>IF(Dati[[#This Row],[Categoria]]="Savings",0,"")</f>
        <v/>
      </c>
      <c r="T272" s="59"/>
      <c r="U272" s="59"/>
      <c r="V272" s="59"/>
      <c r="W272" s="59"/>
      <c r="X272" s="59"/>
      <c r="Y272" s="59"/>
      <c r="Z272" s="59"/>
      <c r="AA272" s="59"/>
      <c r="AB272" s="59"/>
      <c r="AC272" s="59"/>
      <c r="AD272" s="59"/>
      <c r="AE272" s="59"/>
      <c r="AF272" s="59"/>
      <c r="AG272" s="59"/>
      <c r="AH272" s="59"/>
      <c r="AI272" s="59" t="str">
        <f>IF(SUM(Dati[[#This Row],[Inv. Business]:[Inv. Cryptocurrency]])=0," ",SUM(Dati[[#This Row],[Inv. Business]:[Inv. Cryptocurrency]]))</f>
        <v xml:space="preserve"> </v>
      </c>
      <c r="AJ272" s="59"/>
      <c r="AK272" s="59" t="str">
        <f>IF(SUM(Dati[[#This Row],[Inv. Gold]:[Mutuo]])=0," ",SUM(Dati[[#This Row],[Inv. Gold]:[Mutuo]]))</f>
        <v xml:space="preserve"> </v>
      </c>
      <c r="AL272" s="59"/>
      <c r="AM272" s="59"/>
    </row>
    <row r="273" spans="2:39" ht="16" customHeight="1" x14ac:dyDescent="0.35">
      <c r="B273">
        <f t="shared" si="9"/>
        <v>253</v>
      </c>
      <c r="C273" s="49">
        <f t="shared" si="10"/>
        <v>45179</v>
      </c>
      <c r="D273" s="29">
        <f>DAY(Dati[[#This Row],[Data]])</f>
        <v>10</v>
      </c>
      <c r="E273" s="29" t="str">
        <f>IF(DAY(Data!$C$21:$C$1327)&gt;0,TEXT(Data!$C$21:$C$1327, "mmmm"),"")</f>
        <v>settembre</v>
      </c>
      <c r="F273" s="29" t="str">
        <f>IF(DAY(Data!$C$21:$C$1327)&gt;0,TEXT(Data!$C$21:$C$1327, "aaaa"),"")</f>
        <v>2023</v>
      </c>
      <c r="I273" t="str">
        <f>IF(OR(H273=$B$5,H273=$B$6,H273=$B$7,H273=$B$8,H273=$B$9,H273=$B$10,H273=$B$11,H273=$B$12,H273=$B$13,H273=$B$14),SottocategorieUscite[[#Headers],[Fuori Casa]],IF(OR(H273=$C$5,H273=$C$6,H273=$C$7,H273=$C$8,H273=$C$9,H273=$C$10,H273=$C$11,H273=$C$12,H273=$C$13,H273=$C$14),SottocategorieUscite[[#Headers],[Varie Uscite]],IF(OR(H273=$D$5,H273=$D$6,H273=$D$7,H273=$D$8,H273=$D$9,H273=$D$10,H273=$D$11,H273=$D$12,H273=$D$13,H273=$D$14),SottocategorieUscite[[#Headers],[Personali]],IF(OR(H273=$E$5,H273=$E$6,H273=$E$7,H273=$E$8,H273=$E$9,H273=$E$10,H273=$E$11,H273=$E$12,H273=$E$13,H273=$E$14),SottocategorieUscite[[#Headers],[Lavoro]],IF(OR(H273=$F$5,H273=$F$6,H273=$F$7,H273=$F$8,H273=$F$9,H273=$F$10,H273=$F$11,H273=$F$12,H273=$F$13,H273=$F$14),SottocategorieUscite[[#Headers],[Casa]],IF(OR(H273=$G$5,H273=$G$6,H273=$G$7,H273=$G$8,H273=$G$9,H273=$G$10,H273=$G$11,H273=$G$12,H273=$G$13,H273=$G$14),SottocategorieUscite[[#Headers],[Utenze]],IF(OR(H273=$H$5,H273=$H$6,H273=$H$7,H273=$H$8,H273=$H$9,H273=$H$10,H273=$H$11,H273=$H$12,H273=$H$13,H273=$H$14),SottocategorieUscite[[#Headers],[Business Uscite]],IF(OR(H273=$I$5,H273=$I$6,H273=$I$7,H273=$I$8,H273=$I$9,H273=$I$10,H273=$I$11,H273=$I$12,H273=$I$13,H273=$I$14),SottocategorieUscite[[#Headers],[Banca]],IF(OR(H273=K$5,H273=K$6,H273=K$7,H273=K$8,H273=K$9,H273=K$10,H273=K$11,H273=K$12,H273=K$13,H273=K$14),SottocategorieEntrate[[#Headers],[Business Entrate]],IF(OR(H273=L$5,H273=L$6,H273=L$7,H273=L$8,H273=L$9,H273=L$10,H273=L$11,H273=L$12,H273=L$13,H273=L$14),SottocategorieEntrate[[#Headers],[Varie Entrate]],IF(OR(H273=M$5,H273=M$6,H273=M$7,H273=M$8,H273=M$9,H273=M$10,H273=M$11,H273=M$12,H273=M$13,H273=M$14),SottocategorieEntrate[[#Headers],[Real Estate]],IF(OR(H273=N$5,H273=N$6,H273=N$7,H273=N$8,H273=N$9,H273=N$10,H273=N$11,H273=N$12,H273=N$13,H273=N$14),SottocategorieEntrate[[#Headers],[Other]],""))))))))))))</f>
        <v/>
      </c>
      <c r="J273" t="str">
        <f>IF(OR(Dati[[#This Row],[Categoria]]="Bollette",Dati[[#This Row],[Categoria]]="Conto &amp; Carte BNL",Dati[[#This Row],[Categoria]]="Prelievo",Dati[[#This Row],[Categoria]]="Affitto",Dati[[#This Row],[Categoria]]="BNL(Interessi Creditori)"),"Carta",IF(Dati[[#This Row],[Categoria]]&lt;&gt;0,"Cash",""))</f>
        <v/>
      </c>
      <c r="K273" s="59" t="str">
        <f>IF(OR(Data!$I273=SottocategorieUscite[[#Headers],[Fuori Casa]],Data!$I273=SottocategorieUscite[[#Headers],[Varie Uscite]],Data!$I273=SottocategorieUscite[[#Headers],[Personali]],Data!$I273=SottocategorieUscite[[#Headers],[Lavoro]]),"$ -","")</f>
        <v/>
      </c>
      <c r="L273" s="59" t="str">
        <f>IF(OR(Data!$I273=SottocategorieUscite[[#Headers],[Casa]],Data!$I273=SottocategorieUscite[[#Headers],[Utenze]],Data!$I273=SottocategorieUscite[[#Headers],[Business Uscite]],Data!$I273=SottocategorieUscite[[#Headers],[Banca]]),"$ -","")</f>
        <v/>
      </c>
      <c r="M273" s="59" t="str">
        <f>IF(OR($I273&lt;&gt;SottocategorieUscite[[#Headers],[Fuori Casa]],$I273&lt;&gt;SottocategorieUscite[[#Headers],[Varie Uscite]],$I273&lt;&gt;SottocategorieUscite[[#Headers],[Personali]],$I273&lt;&gt;SottocategorieUscite[[#Headers],[Lavoro]],$I273&lt;&gt;SottocategorieUscite[[#Headers],[Casa]],$I273&lt;&gt;SottocategorieUscite[[#Headers],[Utenze]],$I273&lt;&gt;SottocategorieUscite[[#Headers],[Business Uscite]],$I273&lt;&gt;SottocategorieUscite[[#Headers],[Banca]]),"","$ -")</f>
        <v/>
      </c>
      <c r="N273" s="59" t="str">
        <f>IF(OR(Data!$I273=SottocategorieEntrate[[#Headers],[Business Entrate]],Data!$I273=SottocategorieEntrate[[#Headers],[Varie Entrate]]),"$ -","")</f>
        <v/>
      </c>
      <c r="O273" s="59" t="str">
        <f>IF(OR(Data!$I273=SottocategorieEntrate[[#Headers],[Real Estate]],SottocategorieEntrate[[#Headers],[Other]]),"$ -","")</f>
        <v/>
      </c>
      <c r="P273" s="59" t="str">
        <f>IF(OR($I273&lt;&gt;SottocategorieEntrate[[#Headers],[Business Entrate]],$I273&lt;&gt;SottocategorieEntrate[[#Headers],[Varie Entrate]],$I273&lt;&gt;SottocategorieEntrate[[#Headers],[Real Estate]],$I273&lt;&gt;SottocategorieEntrate[[#Headers],[Other]]),"","$ -")</f>
        <v/>
      </c>
      <c r="Q273" s="59" t="str">
        <f>IF(Dati[[#This Row],[Categoria]]="Prelievo","€ -","")</f>
        <v/>
      </c>
      <c r="R273" s="244" t="str">
        <f t="shared" ca="1" si="11"/>
        <v/>
      </c>
      <c r="S273" s="59" t="str">
        <f>IF(Dati[[#This Row],[Categoria]]="Savings",0,"")</f>
        <v/>
      </c>
      <c r="T273" s="59"/>
      <c r="U273" s="59"/>
      <c r="V273" s="59"/>
      <c r="W273" s="59"/>
      <c r="X273" s="59"/>
      <c r="Y273" s="59"/>
      <c r="Z273" s="59"/>
      <c r="AA273" s="59"/>
      <c r="AB273" s="59"/>
      <c r="AC273" s="59"/>
      <c r="AD273" s="59"/>
      <c r="AE273" s="59"/>
      <c r="AF273" s="59"/>
      <c r="AG273" s="59"/>
      <c r="AH273" s="59"/>
      <c r="AI273" s="59" t="str">
        <f>IF(SUM(Dati[[#This Row],[Inv. Business]:[Inv. Cryptocurrency]])=0," ",SUM(Dati[[#This Row],[Inv. Business]:[Inv. Cryptocurrency]]))</f>
        <v xml:space="preserve"> </v>
      </c>
      <c r="AJ273" s="59"/>
      <c r="AK273" s="59" t="str">
        <f>IF(SUM(Dati[[#This Row],[Inv. Gold]:[Mutuo]])=0," ",SUM(Dati[[#This Row],[Inv. Gold]:[Mutuo]]))</f>
        <v xml:space="preserve"> </v>
      </c>
      <c r="AL273" s="59"/>
      <c r="AM273" s="59"/>
    </row>
    <row r="274" spans="2:39" ht="16" customHeight="1" x14ac:dyDescent="0.35">
      <c r="B274">
        <f t="shared" si="9"/>
        <v>254</v>
      </c>
      <c r="C274" s="49">
        <f t="shared" si="10"/>
        <v>45180</v>
      </c>
      <c r="D274" s="29">
        <f>DAY(Dati[[#This Row],[Data]])</f>
        <v>11</v>
      </c>
      <c r="E274" s="29" t="str">
        <f>IF(DAY(Data!$C$21:$C$1327)&gt;0,TEXT(Data!$C$21:$C$1327, "mmmm"),"")</f>
        <v>settembre</v>
      </c>
      <c r="F274" s="29" t="str">
        <f>IF(DAY(Data!$C$21:$C$1327)&gt;0,TEXT(Data!$C$21:$C$1327, "aaaa"),"")</f>
        <v>2023</v>
      </c>
      <c r="I274" t="str">
        <f>IF(OR(H274=$B$5,H274=$B$6,H274=$B$7,H274=$B$8,H274=$B$9,H274=$B$10,H274=$B$11,H274=$B$12,H274=$B$13,H274=$B$14),SottocategorieUscite[[#Headers],[Fuori Casa]],IF(OR(H274=$C$5,H274=$C$6,H274=$C$7,H274=$C$8,H274=$C$9,H274=$C$10,H274=$C$11,H274=$C$12,H274=$C$13,H274=$C$14),SottocategorieUscite[[#Headers],[Varie Uscite]],IF(OR(H274=$D$5,H274=$D$6,H274=$D$7,H274=$D$8,H274=$D$9,H274=$D$10,H274=$D$11,H274=$D$12,H274=$D$13,H274=$D$14),SottocategorieUscite[[#Headers],[Personali]],IF(OR(H274=$E$5,H274=$E$6,H274=$E$7,H274=$E$8,H274=$E$9,H274=$E$10,H274=$E$11,H274=$E$12,H274=$E$13,H274=$E$14),SottocategorieUscite[[#Headers],[Lavoro]],IF(OR(H274=$F$5,H274=$F$6,H274=$F$7,H274=$F$8,H274=$F$9,H274=$F$10,H274=$F$11,H274=$F$12,H274=$F$13,H274=$F$14),SottocategorieUscite[[#Headers],[Casa]],IF(OR(H274=$G$5,H274=$G$6,H274=$G$7,H274=$G$8,H274=$G$9,H274=$G$10,H274=$G$11,H274=$G$12,H274=$G$13,H274=$G$14),SottocategorieUscite[[#Headers],[Utenze]],IF(OR(H274=$H$5,H274=$H$6,H274=$H$7,H274=$H$8,H274=$H$9,H274=$H$10,H274=$H$11,H274=$H$12,H274=$H$13,H274=$H$14),SottocategorieUscite[[#Headers],[Business Uscite]],IF(OR(H274=$I$5,H274=$I$6,H274=$I$7,H274=$I$8,H274=$I$9,H274=$I$10,H274=$I$11,H274=$I$12,H274=$I$13,H274=$I$14),SottocategorieUscite[[#Headers],[Banca]],IF(OR(H274=K$5,H274=K$6,H274=K$7,H274=K$8,H274=K$9,H274=K$10,H274=K$11,H274=K$12,H274=K$13,H274=K$14),SottocategorieEntrate[[#Headers],[Business Entrate]],IF(OR(H274=L$5,H274=L$6,H274=L$7,H274=L$8,H274=L$9,H274=L$10,H274=L$11,H274=L$12,H274=L$13,H274=L$14),SottocategorieEntrate[[#Headers],[Varie Entrate]],IF(OR(H274=M$5,H274=M$6,H274=M$7,H274=M$8,H274=M$9,H274=M$10,H274=M$11,H274=M$12,H274=M$13,H274=M$14),SottocategorieEntrate[[#Headers],[Real Estate]],IF(OR(H274=N$5,H274=N$6,H274=N$7,H274=N$8,H274=N$9,H274=N$10,H274=N$11,H274=N$12,H274=N$13,H274=N$14),SottocategorieEntrate[[#Headers],[Other]],""))))))))))))</f>
        <v/>
      </c>
      <c r="J274" t="str">
        <f>IF(OR(Dati[[#This Row],[Categoria]]="Bollette",Dati[[#This Row],[Categoria]]="Conto &amp; Carte BNL",Dati[[#This Row],[Categoria]]="Prelievo",Dati[[#This Row],[Categoria]]="Affitto",Dati[[#This Row],[Categoria]]="BNL(Interessi Creditori)"),"Carta",IF(Dati[[#This Row],[Categoria]]&lt;&gt;0,"Cash",""))</f>
        <v/>
      </c>
      <c r="K274" s="59" t="str">
        <f>IF(OR(Data!$I274=SottocategorieUscite[[#Headers],[Fuori Casa]],Data!$I274=SottocategorieUscite[[#Headers],[Varie Uscite]],Data!$I274=SottocategorieUscite[[#Headers],[Personali]],Data!$I274=SottocategorieUscite[[#Headers],[Lavoro]]),"$ -","")</f>
        <v/>
      </c>
      <c r="L274" s="59" t="str">
        <f>IF(OR(Data!$I274=SottocategorieUscite[[#Headers],[Casa]],Data!$I274=SottocategorieUscite[[#Headers],[Utenze]],Data!$I274=SottocategorieUscite[[#Headers],[Business Uscite]],Data!$I274=SottocategorieUscite[[#Headers],[Banca]]),"$ -","")</f>
        <v/>
      </c>
      <c r="M274" s="59" t="str">
        <f>IF(OR($I274&lt;&gt;SottocategorieUscite[[#Headers],[Fuori Casa]],$I274&lt;&gt;SottocategorieUscite[[#Headers],[Varie Uscite]],$I274&lt;&gt;SottocategorieUscite[[#Headers],[Personali]],$I274&lt;&gt;SottocategorieUscite[[#Headers],[Lavoro]],$I274&lt;&gt;SottocategorieUscite[[#Headers],[Casa]],$I274&lt;&gt;SottocategorieUscite[[#Headers],[Utenze]],$I274&lt;&gt;SottocategorieUscite[[#Headers],[Business Uscite]],$I274&lt;&gt;SottocategorieUscite[[#Headers],[Banca]]),"","$ -")</f>
        <v/>
      </c>
      <c r="N274" s="59" t="str">
        <f>IF(OR(Data!$I274=SottocategorieEntrate[[#Headers],[Business Entrate]],Data!$I274=SottocategorieEntrate[[#Headers],[Varie Entrate]]),"$ -","")</f>
        <v/>
      </c>
      <c r="O274" s="59" t="str">
        <f>IF(OR(Data!$I274=SottocategorieEntrate[[#Headers],[Real Estate]],SottocategorieEntrate[[#Headers],[Other]]),"$ -","")</f>
        <v/>
      </c>
      <c r="P274" s="59" t="str">
        <f>IF(OR($I274&lt;&gt;SottocategorieEntrate[[#Headers],[Business Entrate]],$I274&lt;&gt;SottocategorieEntrate[[#Headers],[Varie Entrate]],$I274&lt;&gt;SottocategorieEntrate[[#Headers],[Real Estate]],$I274&lt;&gt;SottocategorieEntrate[[#Headers],[Other]]),"","$ -")</f>
        <v/>
      </c>
      <c r="Q274" s="59" t="str">
        <f>IF(Dati[[#This Row],[Categoria]]="Prelievo","€ -","")</f>
        <v/>
      </c>
      <c r="R274" s="244" t="str">
        <f t="shared" ca="1" si="11"/>
        <v/>
      </c>
      <c r="S274" s="59" t="str">
        <f>IF(Dati[[#This Row],[Categoria]]="Savings",0,"")</f>
        <v/>
      </c>
      <c r="T274" s="59"/>
      <c r="U274" s="59"/>
      <c r="V274" s="59"/>
      <c r="W274" s="59"/>
      <c r="X274" s="59"/>
      <c r="Y274" s="59"/>
      <c r="Z274" s="59"/>
      <c r="AA274" s="59"/>
      <c r="AB274" s="59"/>
      <c r="AC274" s="59"/>
      <c r="AD274" s="59"/>
      <c r="AE274" s="59"/>
      <c r="AF274" s="59"/>
      <c r="AG274" s="59"/>
      <c r="AH274" s="59"/>
      <c r="AI274" s="59" t="str">
        <f>IF(SUM(Dati[[#This Row],[Inv. Business]:[Inv. Cryptocurrency]])=0," ",SUM(Dati[[#This Row],[Inv. Business]:[Inv. Cryptocurrency]]))</f>
        <v xml:space="preserve"> </v>
      </c>
      <c r="AJ274" s="59"/>
      <c r="AK274" s="59" t="str">
        <f>IF(SUM(Dati[[#This Row],[Inv. Gold]:[Mutuo]])=0," ",SUM(Dati[[#This Row],[Inv. Gold]:[Mutuo]]))</f>
        <v xml:space="preserve"> </v>
      </c>
      <c r="AL274" s="59"/>
      <c r="AM274" s="59"/>
    </row>
    <row r="275" spans="2:39" ht="16" customHeight="1" x14ac:dyDescent="0.35">
      <c r="B275">
        <f t="shared" si="9"/>
        <v>255</v>
      </c>
      <c r="C275" s="49">
        <f t="shared" si="10"/>
        <v>45181</v>
      </c>
      <c r="D275" s="29">
        <f>DAY(Dati[[#This Row],[Data]])</f>
        <v>12</v>
      </c>
      <c r="E275" s="29" t="str">
        <f>IF(DAY(Data!$C$21:$C$1327)&gt;0,TEXT(Data!$C$21:$C$1327, "mmmm"),"")</f>
        <v>settembre</v>
      </c>
      <c r="F275" s="29" t="str">
        <f>IF(DAY(Data!$C$21:$C$1327)&gt;0,TEXT(Data!$C$21:$C$1327, "aaaa"),"")</f>
        <v>2023</v>
      </c>
      <c r="I275" t="str">
        <f>IF(OR(H275=$B$5,H275=$B$6,H275=$B$7,H275=$B$8,H275=$B$9,H275=$B$10,H275=$B$11,H275=$B$12,H275=$B$13,H275=$B$14),SottocategorieUscite[[#Headers],[Fuori Casa]],IF(OR(H275=$C$5,H275=$C$6,H275=$C$7,H275=$C$8,H275=$C$9,H275=$C$10,H275=$C$11,H275=$C$12,H275=$C$13,H275=$C$14),SottocategorieUscite[[#Headers],[Varie Uscite]],IF(OR(H275=$D$5,H275=$D$6,H275=$D$7,H275=$D$8,H275=$D$9,H275=$D$10,H275=$D$11,H275=$D$12,H275=$D$13,H275=$D$14),SottocategorieUscite[[#Headers],[Personali]],IF(OR(H275=$E$5,H275=$E$6,H275=$E$7,H275=$E$8,H275=$E$9,H275=$E$10,H275=$E$11,H275=$E$12,H275=$E$13,H275=$E$14),SottocategorieUscite[[#Headers],[Lavoro]],IF(OR(H275=$F$5,H275=$F$6,H275=$F$7,H275=$F$8,H275=$F$9,H275=$F$10,H275=$F$11,H275=$F$12,H275=$F$13,H275=$F$14),SottocategorieUscite[[#Headers],[Casa]],IF(OR(H275=$G$5,H275=$G$6,H275=$G$7,H275=$G$8,H275=$G$9,H275=$G$10,H275=$G$11,H275=$G$12,H275=$G$13,H275=$G$14),SottocategorieUscite[[#Headers],[Utenze]],IF(OR(H275=$H$5,H275=$H$6,H275=$H$7,H275=$H$8,H275=$H$9,H275=$H$10,H275=$H$11,H275=$H$12,H275=$H$13,H275=$H$14),SottocategorieUscite[[#Headers],[Business Uscite]],IF(OR(H275=$I$5,H275=$I$6,H275=$I$7,H275=$I$8,H275=$I$9,H275=$I$10,H275=$I$11,H275=$I$12,H275=$I$13,H275=$I$14),SottocategorieUscite[[#Headers],[Banca]],IF(OR(H275=K$5,H275=K$6,H275=K$7,H275=K$8,H275=K$9,H275=K$10,H275=K$11,H275=K$12,H275=K$13,H275=K$14),SottocategorieEntrate[[#Headers],[Business Entrate]],IF(OR(H275=L$5,H275=L$6,H275=L$7,H275=L$8,H275=L$9,H275=L$10,H275=L$11,H275=L$12,H275=L$13,H275=L$14),SottocategorieEntrate[[#Headers],[Varie Entrate]],IF(OR(H275=M$5,H275=M$6,H275=M$7,H275=M$8,H275=M$9,H275=M$10,H275=M$11,H275=M$12,H275=M$13,H275=M$14),SottocategorieEntrate[[#Headers],[Real Estate]],IF(OR(H275=N$5,H275=N$6,H275=N$7,H275=N$8,H275=N$9,H275=N$10,H275=N$11,H275=N$12,H275=N$13,H275=N$14),SottocategorieEntrate[[#Headers],[Other]],""))))))))))))</f>
        <v/>
      </c>
      <c r="J275" t="str">
        <f>IF(OR(Dati[[#This Row],[Categoria]]="Bollette",Dati[[#This Row],[Categoria]]="Conto &amp; Carte BNL",Dati[[#This Row],[Categoria]]="Prelievo",Dati[[#This Row],[Categoria]]="Affitto",Dati[[#This Row],[Categoria]]="BNL(Interessi Creditori)"),"Carta",IF(Dati[[#This Row],[Categoria]]&lt;&gt;0,"Cash",""))</f>
        <v/>
      </c>
      <c r="K275" s="59" t="str">
        <f>IF(OR(Data!$I275=SottocategorieUscite[[#Headers],[Fuori Casa]],Data!$I275=SottocategorieUscite[[#Headers],[Varie Uscite]],Data!$I275=SottocategorieUscite[[#Headers],[Personali]],Data!$I275=SottocategorieUscite[[#Headers],[Lavoro]]),"$ -","")</f>
        <v/>
      </c>
      <c r="L275" s="59" t="str">
        <f>IF(OR(Data!$I275=SottocategorieUscite[[#Headers],[Casa]],Data!$I275=SottocategorieUscite[[#Headers],[Utenze]],Data!$I275=SottocategorieUscite[[#Headers],[Business Uscite]],Data!$I275=SottocategorieUscite[[#Headers],[Banca]]),"$ -","")</f>
        <v/>
      </c>
      <c r="M275" s="59" t="str">
        <f>IF(OR($I275&lt;&gt;SottocategorieUscite[[#Headers],[Fuori Casa]],$I275&lt;&gt;SottocategorieUscite[[#Headers],[Varie Uscite]],$I275&lt;&gt;SottocategorieUscite[[#Headers],[Personali]],$I275&lt;&gt;SottocategorieUscite[[#Headers],[Lavoro]],$I275&lt;&gt;SottocategorieUscite[[#Headers],[Casa]],$I275&lt;&gt;SottocategorieUscite[[#Headers],[Utenze]],$I275&lt;&gt;SottocategorieUscite[[#Headers],[Business Uscite]],$I275&lt;&gt;SottocategorieUscite[[#Headers],[Banca]]),"","$ -")</f>
        <v/>
      </c>
      <c r="N275" s="59" t="str">
        <f>IF(OR(Data!$I275=SottocategorieEntrate[[#Headers],[Business Entrate]],Data!$I275=SottocategorieEntrate[[#Headers],[Varie Entrate]]),"$ -","")</f>
        <v/>
      </c>
      <c r="O275" s="59" t="str">
        <f>IF(OR(Data!$I275=SottocategorieEntrate[[#Headers],[Real Estate]],SottocategorieEntrate[[#Headers],[Other]]),"$ -","")</f>
        <v/>
      </c>
      <c r="P275" s="59" t="str">
        <f>IF(OR($I275&lt;&gt;SottocategorieEntrate[[#Headers],[Business Entrate]],$I275&lt;&gt;SottocategorieEntrate[[#Headers],[Varie Entrate]],$I275&lt;&gt;SottocategorieEntrate[[#Headers],[Real Estate]],$I275&lt;&gt;SottocategorieEntrate[[#Headers],[Other]]),"","$ -")</f>
        <v/>
      </c>
      <c r="Q275" s="59" t="str">
        <f>IF(Dati[[#This Row],[Categoria]]="Prelievo","€ -","")</f>
        <v/>
      </c>
      <c r="R275" s="244" t="str">
        <f t="shared" ca="1" si="11"/>
        <v/>
      </c>
      <c r="S275" s="59" t="str">
        <f>IF(Dati[[#This Row],[Categoria]]="Savings",0,"")</f>
        <v/>
      </c>
      <c r="T275" s="59"/>
      <c r="U275" s="59"/>
      <c r="V275" s="59"/>
      <c r="W275" s="59"/>
      <c r="X275" s="59"/>
      <c r="Y275" s="59"/>
      <c r="Z275" s="59"/>
      <c r="AA275" s="59"/>
      <c r="AB275" s="59"/>
      <c r="AC275" s="59"/>
      <c r="AD275" s="59"/>
      <c r="AE275" s="59"/>
      <c r="AF275" s="59"/>
      <c r="AG275" s="59"/>
      <c r="AH275" s="59"/>
      <c r="AI275" s="59" t="str">
        <f>IF(SUM(Dati[[#This Row],[Inv. Business]:[Inv. Cryptocurrency]])=0," ",SUM(Dati[[#This Row],[Inv. Business]:[Inv. Cryptocurrency]]))</f>
        <v xml:space="preserve"> </v>
      </c>
      <c r="AJ275" s="59"/>
      <c r="AK275" s="59" t="str">
        <f>IF(SUM(Dati[[#This Row],[Inv. Gold]:[Mutuo]])=0," ",SUM(Dati[[#This Row],[Inv. Gold]:[Mutuo]]))</f>
        <v xml:space="preserve"> </v>
      </c>
      <c r="AL275" s="59"/>
      <c r="AM275" s="59"/>
    </row>
    <row r="276" spans="2:39" ht="16" customHeight="1" x14ac:dyDescent="0.35">
      <c r="B276">
        <f t="shared" si="9"/>
        <v>256</v>
      </c>
      <c r="C276" s="49">
        <f t="shared" si="10"/>
        <v>45182</v>
      </c>
      <c r="D276" s="29">
        <f>DAY(Dati[[#This Row],[Data]])</f>
        <v>13</v>
      </c>
      <c r="E276" s="29" t="str">
        <f>IF(DAY(Data!$C$21:$C$1327)&gt;0,TEXT(Data!$C$21:$C$1327, "mmmm"),"")</f>
        <v>settembre</v>
      </c>
      <c r="F276" s="29" t="str">
        <f>IF(DAY(Data!$C$21:$C$1327)&gt;0,TEXT(Data!$C$21:$C$1327, "aaaa"),"")</f>
        <v>2023</v>
      </c>
      <c r="I276" t="str">
        <f>IF(OR(H276=$B$5,H276=$B$6,H276=$B$7,H276=$B$8,H276=$B$9,H276=$B$10,H276=$B$11,H276=$B$12,H276=$B$13,H276=$B$14),SottocategorieUscite[[#Headers],[Fuori Casa]],IF(OR(H276=$C$5,H276=$C$6,H276=$C$7,H276=$C$8,H276=$C$9,H276=$C$10,H276=$C$11,H276=$C$12,H276=$C$13,H276=$C$14),SottocategorieUscite[[#Headers],[Varie Uscite]],IF(OR(H276=$D$5,H276=$D$6,H276=$D$7,H276=$D$8,H276=$D$9,H276=$D$10,H276=$D$11,H276=$D$12,H276=$D$13,H276=$D$14),SottocategorieUscite[[#Headers],[Personali]],IF(OR(H276=$E$5,H276=$E$6,H276=$E$7,H276=$E$8,H276=$E$9,H276=$E$10,H276=$E$11,H276=$E$12,H276=$E$13,H276=$E$14),SottocategorieUscite[[#Headers],[Lavoro]],IF(OR(H276=$F$5,H276=$F$6,H276=$F$7,H276=$F$8,H276=$F$9,H276=$F$10,H276=$F$11,H276=$F$12,H276=$F$13,H276=$F$14),SottocategorieUscite[[#Headers],[Casa]],IF(OR(H276=$G$5,H276=$G$6,H276=$G$7,H276=$G$8,H276=$G$9,H276=$G$10,H276=$G$11,H276=$G$12,H276=$G$13,H276=$G$14),SottocategorieUscite[[#Headers],[Utenze]],IF(OR(H276=$H$5,H276=$H$6,H276=$H$7,H276=$H$8,H276=$H$9,H276=$H$10,H276=$H$11,H276=$H$12,H276=$H$13,H276=$H$14),SottocategorieUscite[[#Headers],[Business Uscite]],IF(OR(H276=$I$5,H276=$I$6,H276=$I$7,H276=$I$8,H276=$I$9,H276=$I$10,H276=$I$11,H276=$I$12,H276=$I$13,H276=$I$14),SottocategorieUscite[[#Headers],[Banca]],IF(OR(H276=K$5,H276=K$6,H276=K$7,H276=K$8,H276=K$9,H276=K$10,H276=K$11,H276=K$12,H276=K$13,H276=K$14),SottocategorieEntrate[[#Headers],[Business Entrate]],IF(OR(H276=L$5,H276=L$6,H276=L$7,H276=L$8,H276=L$9,H276=L$10,H276=L$11,H276=L$12,H276=L$13,H276=L$14),SottocategorieEntrate[[#Headers],[Varie Entrate]],IF(OR(H276=M$5,H276=M$6,H276=M$7,H276=M$8,H276=M$9,H276=M$10,H276=M$11,H276=M$12,H276=M$13,H276=M$14),SottocategorieEntrate[[#Headers],[Real Estate]],IF(OR(H276=N$5,H276=N$6,H276=N$7,H276=N$8,H276=N$9,H276=N$10,H276=N$11,H276=N$12,H276=N$13,H276=N$14),SottocategorieEntrate[[#Headers],[Other]],""))))))))))))</f>
        <v/>
      </c>
      <c r="J276" t="str">
        <f>IF(OR(Dati[[#This Row],[Categoria]]="Bollette",Dati[[#This Row],[Categoria]]="Conto &amp; Carte BNL",Dati[[#This Row],[Categoria]]="Prelievo",Dati[[#This Row],[Categoria]]="Affitto",Dati[[#This Row],[Categoria]]="BNL(Interessi Creditori)"),"Carta",IF(Dati[[#This Row],[Categoria]]&lt;&gt;0,"Cash",""))</f>
        <v/>
      </c>
      <c r="K276" s="59" t="str">
        <f>IF(OR(Data!$I276=SottocategorieUscite[[#Headers],[Fuori Casa]],Data!$I276=SottocategorieUscite[[#Headers],[Varie Uscite]],Data!$I276=SottocategorieUscite[[#Headers],[Personali]],Data!$I276=SottocategorieUscite[[#Headers],[Lavoro]]),"$ -","")</f>
        <v/>
      </c>
      <c r="L276" s="59" t="str">
        <f>IF(OR(Data!$I276=SottocategorieUscite[[#Headers],[Casa]],Data!$I276=SottocategorieUscite[[#Headers],[Utenze]],Data!$I276=SottocategorieUscite[[#Headers],[Business Uscite]],Data!$I276=SottocategorieUscite[[#Headers],[Banca]]),"$ -","")</f>
        <v/>
      </c>
      <c r="M276" s="59" t="str">
        <f>IF(OR($I276&lt;&gt;SottocategorieUscite[[#Headers],[Fuori Casa]],$I276&lt;&gt;SottocategorieUscite[[#Headers],[Varie Uscite]],$I276&lt;&gt;SottocategorieUscite[[#Headers],[Personali]],$I276&lt;&gt;SottocategorieUscite[[#Headers],[Lavoro]],$I276&lt;&gt;SottocategorieUscite[[#Headers],[Casa]],$I276&lt;&gt;SottocategorieUscite[[#Headers],[Utenze]],$I276&lt;&gt;SottocategorieUscite[[#Headers],[Business Uscite]],$I276&lt;&gt;SottocategorieUscite[[#Headers],[Banca]]),"","$ -")</f>
        <v/>
      </c>
      <c r="N276" s="59" t="str">
        <f>IF(OR(Data!$I276=SottocategorieEntrate[[#Headers],[Business Entrate]],Data!$I276=SottocategorieEntrate[[#Headers],[Varie Entrate]]),"$ -","")</f>
        <v/>
      </c>
      <c r="O276" s="59" t="str">
        <f>IF(OR(Data!$I276=SottocategorieEntrate[[#Headers],[Real Estate]],SottocategorieEntrate[[#Headers],[Other]]),"$ -","")</f>
        <v/>
      </c>
      <c r="P276" s="59" t="str">
        <f>IF(OR($I276&lt;&gt;SottocategorieEntrate[[#Headers],[Business Entrate]],$I276&lt;&gt;SottocategorieEntrate[[#Headers],[Varie Entrate]],$I276&lt;&gt;SottocategorieEntrate[[#Headers],[Real Estate]],$I276&lt;&gt;SottocategorieEntrate[[#Headers],[Other]]),"","$ -")</f>
        <v/>
      </c>
      <c r="Q276" s="59" t="str">
        <f>IF(Dati[[#This Row],[Categoria]]="Prelievo","€ -","")</f>
        <v/>
      </c>
      <c r="R276" s="244" t="str">
        <f t="shared" ca="1" si="11"/>
        <v/>
      </c>
      <c r="S276" s="59" t="str">
        <f>IF(Dati[[#This Row],[Categoria]]="Savings",0,"")</f>
        <v/>
      </c>
      <c r="T276" s="59"/>
      <c r="U276" s="59"/>
      <c r="V276" s="59"/>
      <c r="W276" s="59"/>
      <c r="X276" s="59"/>
      <c r="Y276" s="59"/>
      <c r="Z276" s="59"/>
      <c r="AA276" s="59"/>
      <c r="AB276" s="59"/>
      <c r="AC276" s="59"/>
      <c r="AD276" s="59"/>
      <c r="AE276" s="59"/>
      <c r="AF276" s="59"/>
      <c r="AG276" s="59"/>
      <c r="AH276" s="59"/>
      <c r="AI276" s="59" t="str">
        <f>IF(SUM(Dati[[#This Row],[Inv. Business]:[Inv. Cryptocurrency]])=0," ",SUM(Dati[[#This Row],[Inv. Business]:[Inv. Cryptocurrency]]))</f>
        <v xml:space="preserve"> </v>
      </c>
      <c r="AJ276" s="59"/>
      <c r="AK276" s="59" t="str">
        <f>IF(SUM(Dati[[#This Row],[Inv. Gold]:[Mutuo]])=0," ",SUM(Dati[[#This Row],[Inv. Gold]:[Mutuo]]))</f>
        <v xml:space="preserve"> </v>
      </c>
      <c r="AL276" s="59"/>
      <c r="AM276" s="59"/>
    </row>
    <row r="277" spans="2:39" ht="16" customHeight="1" x14ac:dyDescent="0.35">
      <c r="B277">
        <f t="shared" ref="B277:B340" si="12">ROW(257:257)</f>
        <v>257</v>
      </c>
      <c r="C277" s="49">
        <f t="shared" si="10"/>
        <v>45183</v>
      </c>
      <c r="D277" s="29">
        <f>DAY(Dati[[#This Row],[Data]])</f>
        <v>14</v>
      </c>
      <c r="E277" s="29" t="str">
        <f>IF(DAY(Data!$C$21:$C$1327)&gt;0,TEXT(Data!$C$21:$C$1327, "mmmm"),"")</f>
        <v>settembre</v>
      </c>
      <c r="F277" s="29" t="str">
        <f>IF(DAY(Data!$C$21:$C$1327)&gt;0,TEXT(Data!$C$21:$C$1327, "aaaa"),"")</f>
        <v>2023</v>
      </c>
      <c r="I277" t="str">
        <f>IF(OR(H277=$B$5,H277=$B$6,H277=$B$7,H277=$B$8,H277=$B$9,H277=$B$10,H277=$B$11,H277=$B$12,H277=$B$13,H277=$B$14),SottocategorieUscite[[#Headers],[Fuori Casa]],IF(OR(H277=$C$5,H277=$C$6,H277=$C$7,H277=$C$8,H277=$C$9,H277=$C$10,H277=$C$11,H277=$C$12,H277=$C$13,H277=$C$14),SottocategorieUscite[[#Headers],[Varie Uscite]],IF(OR(H277=$D$5,H277=$D$6,H277=$D$7,H277=$D$8,H277=$D$9,H277=$D$10,H277=$D$11,H277=$D$12,H277=$D$13,H277=$D$14),SottocategorieUscite[[#Headers],[Personali]],IF(OR(H277=$E$5,H277=$E$6,H277=$E$7,H277=$E$8,H277=$E$9,H277=$E$10,H277=$E$11,H277=$E$12,H277=$E$13,H277=$E$14),SottocategorieUscite[[#Headers],[Lavoro]],IF(OR(H277=$F$5,H277=$F$6,H277=$F$7,H277=$F$8,H277=$F$9,H277=$F$10,H277=$F$11,H277=$F$12,H277=$F$13,H277=$F$14),SottocategorieUscite[[#Headers],[Casa]],IF(OR(H277=$G$5,H277=$G$6,H277=$G$7,H277=$G$8,H277=$G$9,H277=$G$10,H277=$G$11,H277=$G$12,H277=$G$13,H277=$G$14),SottocategorieUscite[[#Headers],[Utenze]],IF(OR(H277=$H$5,H277=$H$6,H277=$H$7,H277=$H$8,H277=$H$9,H277=$H$10,H277=$H$11,H277=$H$12,H277=$H$13,H277=$H$14),SottocategorieUscite[[#Headers],[Business Uscite]],IF(OR(H277=$I$5,H277=$I$6,H277=$I$7,H277=$I$8,H277=$I$9,H277=$I$10,H277=$I$11,H277=$I$12,H277=$I$13,H277=$I$14),SottocategorieUscite[[#Headers],[Banca]],IF(OR(H277=K$5,H277=K$6,H277=K$7,H277=K$8,H277=K$9,H277=K$10,H277=K$11,H277=K$12,H277=K$13,H277=K$14),SottocategorieEntrate[[#Headers],[Business Entrate]],IF(OR(H277=L$5,H277=L$6,H277=L$7,H277=L$8,H277=L$9,H277=L$10,H277=L$11,H277=L$12,H277=L$13,H277=L$14),SottocategorieEntrate[[#Headers],[Varie Entrate]],IF(OR(H277=M$5,H277=M$6,H277=M$7,H277=M$8,H277=M$9,H277=M$10,H277=M$11,H277=M$12,H277=M$13,H277=M$14),SottocategorieEntrate[[#Headers],[Real Estate]],IF(OR(H277=N$5,H277=N$6,H277=N$7,H277=N$8,H277=N$9,H277=N$10,H277=N$11,H277=N$12,H277=N$13,H277=N$14),SottocategorieEntrate[[#Headers],[Other]],""))))))))))))</f>
        <v/>
      </c>
      <c r="J277" t="str">
        <f>IF(OR(Dati[[#This Row],[Categoria]]="Bollette",Dati[[#This Row],[Categoria]]="Conto &amp; Carte BNL",Dati[[#This Row],[Categoria]]="Prelievo",Dati[[#This Row],[Categoria]]="Affitto",Dati[[#This Row],[Categoria]]="BNL(Interessi Creditori)"),"Carta",IF(Dati[[#This Row],[Categoria]]&lt;&gt;0,"Cash",""))</f>
        <v/>
      </c>
      <c r="K277" s="59" t="str">
        <f>IF(OR(Data!$I277=SottocategorieUscite[[#Headers],[Fuori Casa]],Data!$I277=SottocategorieUscite[[#Headers],[Varie Uscite]],Data!$I277=SottocategorieUscite[[#Headers],[Personali]],Data!$I277=SottocategorieUscite[[#Headers],[Lavoro]]),"$ -","")</f>
        <v/>
      </c>
      <c r="L277" s="59" t="str">
        <f>IF(OR(Data!$I277=SottocategorieUscite[[#Headers],[Casa]],Data!$I277=SottocategorieUscite[[#Headers],[Utenze]],Data!$I277=SottocategorieUscite[[#Headers],[Business Uscite]],Data!$I277=SottocategorieUscite[[#Headers],[Banca]]),"$ -","")</f>
        <v/>
      </c>
      <c r="M277" s="59" t="str">
        <f>IF(OR($I277&lt;&gt;SottocategorieUscite[[#Headers],[Fuori Casa]],$I277&lt;&gt;SottocategorieUscite[[#Headers],[Varie Uscite]],$I277&lt;&gt;SottocategorieUscite[[#Headers],[Personali]],$I277&lt;&gt;SottocategorieUscite[[#Headers],[Lavoro]],$I277&lt;&gt;SottocategorieUscite[[#Headers],[Casa]],$I277&lt;&gt;SottocategorieUscite[[#Headers],[Utenze]],$I277&lt;&gt;SottocategorieUscite[[#Headers],[Business Uscite]],$I277&lt;&gt;SottocategorieUscite[[#Headers],[Banca]]),"","$ -")</f>
        <v/>
      </c>
      <c r="N277" s="59" t="str">
        <f>IF(OR(Data!$I277=SottocategorieEntrate[[#Headers],[Business Entrate]],Data!$I277=SottocategorieEntrate[[#Headers],[Varie Entrate]]),"$ -","")</f>
        <v/>
      </c>
      <c r="O277" s="59" t="str">
        <f>IF(OR(Data!$I277=SottocategorieEntrate[[#Headers],[Real Estate]],SottocategorieEntrate[[#Headers],[Other]]),"$ -","")</f>
        <v/>
      </c>
      <c r="P277" s="59" t="str">
        <f>IF(OR($I277&lt;&gt;SottocategorieEntrate[[#Headers],[Business Entrate]],$I277&lt;&gt;SottocategorieEntrate[[#Headers],[Varie Entrate]],$I277&lt;&gt;SottocategorieEntrate[[#Headers],[Real Estate]],$I277&lt;&gt;SottocategorieEntrate[[#Headers],[Other]]),"","$ -")</f>
        <v/>
      </c>
      <c r="Q277" s="59" t="str">
        <f>IF(Dati[[#This Row],[Categoria]]="Prelievo","€ -","")</f>
        <v/>
      </c>
      <c r="R277" s="244" t="str">
        <f t="shared" ca="1" si="11"/>
        <v/>
      </c>
      <c r="S277" s="59" t="str">
        <f>IF(Dati[[#This Row],[Categoria]]="Savings",0,"")</f>
        <v/>
      </c>
      <c r="T277" s="59"/>
      <c r="U277" s="59"/>
      <c r="V277" s="59"/>
      <c r="W277" s="59"/>
      <c r="X277" s="59"/>
      <c r="Y277" s="59"/>
      <c r="Z277" s="59"/>
      <c r="AA277" s="59"/>
      <c r="AB277" s="59"/>
      <c r="AC277" s="59"/>
      <c r="AD277" s="59"/>
      <c r="AE277" s="59"/>
      <c r="AF277" s="59"/>
      <c r="AG277" s="59"/>
      <c r="AH277" s="59"/>
      <c r="AI277" s="59" t="str">
        <f>IF(SUM(Dati[[#This Row],[Inv. Business]:[Inv. Cryptocurrency]])=0," ",SUM(Dati[[#This Row],[Inv. Business]:[Inv. Cryptocurrency]]))</f>
        <v xml:space="preserve"> </v>
      </c>
      <c r="AJ277" s="59"/>
      <c r="AK277" s="59" t="str">
        <f>IF(SUM(Dati[[#This Row],[Inv. Gold]:[Mutuo]])=0," ",SUM(Dati[[#This Row],[Inv. Gold]:[Mutuo]]))</f>
        <v xml:space="preserve"> </v>
      </c>
      <c r="AL277" s="59"/>
      <c r="AM277" s="59"/>
    </row>
    <row r="278" spans="2:39" ht="16" customHeight="1" x14ac:dyDescent="0.35">
      <c r="B278">
        <f t="shared" si="12"/>
        <v>258</v>
      </c>
      <c r="C278" s="49">
        <f t="shared" si="10"/>
        <v>45184</v>
      </c>
      <c r="D278" s="29">
        <f>DAY(Dati[[#This Row],[Data]])</f>
        <v>15</v>
      </c>
      <c r="E278" s="29" t="str">
        <f>IF(DAY(Data!$C$21:$C$1327)&gt;0,TEXT(Data!$C$21:$C$1327, "mmmm"),"")</f>
        <v>settembre</v>
      </c>
      <c r="F278" s="29" t="str">
        <f>IF(DAY(Data!$C$21:$C$1327)&gt;0,TEXT(Data!$C$21:$C$1327, "aaaa"),"")</f>
        <v>2023</v>
      </c>
      <c r="I278" t="str">
        <f>IF(OR(H278=$B$5,H278=$B$6,H278=$B$7,H278=$B$8,H278=$B$9,H278=$B$10,H278=$B$11,H278=$B$12,H278=$B$13,H278=$B$14),SottocategorieUscite[[#Headers],[Fuori Casa]],IF(OR(H278=$C$5,H278=$C$6,H278=$C$7,H278=$C$8,H278=$C$9,H278=$C$10,H278=$C$11,H278=$C$12,H278=$C$13,H278=$C$14),SottocategorieUscite[[#Headers],[Varie Uscite]],IF(OR(H278=$D$5,H278=$D$6,H278=$D$7,H278=$D$8,H278=$D$9,H278=$D$10,H278=$D$11,H278=$D$12,H278=$D$13,H278=$D$14),SottocategorieUscite[[#Headers],[Personali]],IF(OR(H278=$E$5,H278=$E$6,H278=$E$7,H278=$E$8,H278=$E$9,H278=$E$10,H278=$E$11,H278=$E$12,H278=$E$13,H278=$E$14),SottocategorieUscite[[#Headers],[Lavoro]],IF(OR(H278=$F$5,H278=$F$6,H278=$F$7,H278=$F$8,H278=$F$9,H278=$F$10,H278=$F$11,H278=$F$12,H278=$F$13,H278=$F$14),SottocategorieUscite[[#Headers],[Casa]],IF(OR(H278=$G$5,H278=$G$6,H278=$G$7,H278=$G$8,H278=$G$9,H278=$G$10,H278=$G$11,H278=$G$12,H278=$G$13,H278=$G$14),SottocategorieUscite[[#Headers],[Utenze]],IF(OR(H278=$H$5,H278=$H$6,H278=$H$7,H278=$H$8,H278=$H$9,H278=$H$10,H278=$H$11,H278=$H$12,H278=$H$13,H278=$H$14),SottocategorieUscite[[#Headers],[Business Uscite]],IF(OR(H278=$I$5,H278=$I$6,H278=$I$7,H278=$I$8,H278=$I$9,H278=$I$10,H278=$I$11,H278=$I$12,H278=$I$13,H278=$I$14),SottocategorieUscite[[#Headers],[Banca]],IF(OR(H278=K$5,H278=K$6,H278=K$7,H278=K$8,H278=K$9,H278=K$10,H278=K$11,H278=K$12,H278=K$13,H278=K$14),SottocategorieEntrate[[#Headers],[Business Entrate]],IF(OR(H278=L$5,H278=L$6,H278=L$7,H278=L$8,H278=L$9,H278=L$10,H278=L$11,H278=L$12,H278=L$13,H278=L$14),SottocategorieEntrate[[#Headers],[Varie Entrate]],IF(OR(H278=M$5,H278=M$6,H278=M$7,H278=M$8,H278=M$9,H278=M$10,H278=M$11,H278=M$12,H278=M$13,H278=M$14),SottocategorieEntrate[[#Headers],[Real Estate]],IF(OR(H278=N$5,H278=N$6,H278=N$7,H278=N$8,H278=N$9,H278=N$10,H278=N$11,H278=N$12,H278=N$13,H278=N$14),SottocategorieEntrate[[#Headers],[Other]],""))))))))))))</f>
        <v/>
      </c>
      <c r="J278" t="str">
        <f>IF(OR(Dati[[#This Row],[Categoria]]="Bollette",Dati[[#This Row],[Categoria]]="Conto &amp; Carte BNL",Dati[[#This Row],[Categoria]]="Prelievo",Dati[[#This Row],[Categoria]]="Affitto",Dati[[#This Row],[Categoria]]="BNL(Interessi Creditori)"),"Carta",IF(Dati[[#This Row],[Categoria]]&lt;&gt;0,"Cash",""))</f>
        <v/>
      </c>
      <c r="K278" s="59" t="str">
        <f>IF(OR(Data!$I278=SottocategorieUscite[[#Headers],[Fuori Casa]],Data!$I278=SottocategorieUscite[[#Headers],[Varie Uscite]],Data!$I278=SottocategorieUscite[[#Headers],[Personali]],Data!$I278=SottocategorieUscite[[#Headers],[Lavoro]]),"$ -","")</f>
        <v/>
      </c>
      <c r="L278" s="59" t="str">
        <f>IF(OR(Data!$I278=SottocategorieUscite[[#Headers],[Casa]],Data!$I278=SottocategorieUscite[[#Headers],[Utenze]],Data!$I278=SottocategorieUscite[[#Headers],[Business Uscite]],Data!$I278=SottocategorieUscite[[#Headers],[Banca]]),"$ -","")</f>
        <v/>
      </c>
      <c r="M278" s="59" t="str">
        <f>IF(OR($I278&lt;&gt;SottocategorieUscite[[#Headers],[Fuori Casa]],$I278&lt;&gt;SottocategorieUscite[[#Headers],[Varie Uscite]],$I278&lt;&gt;SottocategorieUscite[[#Headers],[Personali]],$I278&lt;&gt;SottocategorieUscite[[#Headers],[Lavoro]],$I278&lt;&gt;SottocategorieUscite[[#Headers],[Casa]],$I278&lt;&gt;SottocategorieUscite[[#Headers],[Utenze]],$I278&lt;&gt;SottocategorieUscite[[#Headers],[Business Uscite]],$I278&lt;&gt;SottocategorieUscite[[#Headers],[Banca]]),"","$ -")</f>
        <v/>
      </c>
      <c r="N278" s="59" t="str">
        <f>IF(OR(Data!$I278=SottocategorieEntrate[[#Headers],[Business Entrate]],Data!$I278=SottocategorieEntrate[[#Headers],[Varie Entrate]]),"$ -","")</f>
        <v/>
      </c>
      <c r="O278" s="59" t="str">
        <f>IF(OR(Data!$I278=SottocategorieEntrate[[#Headers],[Real Estate]],SottocategorieEntrate[[#Headers],[Other]]),"$ -","")</f>
        <v/>
      </c>
      <c r="P278" s="59" t="str">
        <f>IF(OR($I278&lt;&gt;SottocategorieEntrate[[#Headers],[Business Entrate]],$I278&lt;&gt;SottocategorieEntrate[[#Headers],[Varie Entrate]],$I278&lt;&gt;SottocategorieEntrate[[#Headers],[Real Estate]],$I278&lt;&gt;SottocategorieEntrate[[#Headers],[Other]]),"","$ -")</f>
        <v/>
      </c>
      <c r="Q278" s="59" t="str">
        <f>IF(Dati[[#This Row],[Categoria]]="Prelievo","€ -","")</f>
        <v/>
      </c>
      <c r="R278" s="244" t="str">
        <f t="shared" ca="1" si="11"/>
        <v/>
      </c>
      <c r="S278" s="59" t="str">
        <f>IF(Dati[[#This Row],[Categoria]]="Savings",0,"")</f>
        <v/>
      </c>
      <c r="T278" s="59"/>
      <c r="U278" s="59"/>
      <c r="V278" s="59"/>
      <c r="W278" s="59"/>
      <c r="X278" s="59"/>
      <c r="Y278" s="59"/>
      <c r="Z278" s="59"/>
      <c r="AA278" s="59"/>
      <c r="AB278" s="59"/>
      <c r="AC278" s="59"/>
      <c r="AD278" s="59"/>
      <c r="AE278" s="59"/>
      <c r="AF278" s="59"/>
      <c r="AG278" s="59"/>
      <c r="AH278" s="59"/>
      <c r="AI278" s="59" t="str">
        <f>IF(SUM(Dati[[#This Row],[Inv. Business]:[Inv. Cryptocurrency]])=0," ",SUM(Dati[[#This Row],[Inv. Business]:[Inv. Cryptocurrency]]))</f>
        <v xml:space="preserve"> </v>
      </c>
      <c r="AJ278" s="59"/>
      <c r="AK278" s="59" t="str">
        <f>IF(SUM(Dati[[#This Row],[Inv. Gold]:[Mutuo]])=0," ",SUM(Dati[[#This Row],[Inv. Gold]:[Mutuo]]))</f>
        <v xml:space="preserve"> </v>
      </c>
      <c r="AL278" s="59"/>
      <c r="AM278" s="59"/>
    </row>
    <row r="279" spans="2:39" ht="16" customHeight="1" x14ac:dyDescent="0.35">
      <c r="B279">
        <f t="shared" si="12"/>
        <v>259</v>
      </c>
      <c r="C279" s="49">
        <f t="shared" ref="C279:C342" si="13">C278+1</f>
        <v>45185</v>
      </c>
      <c r="D279" s="29">
        <f>DAY(Dati[[#This Row],[Data]])</f>
        <v>16</v>
      </c>
      <c r="E279" s="29" t="str">
        <f>IF(DAY(Data!$C$21:$C$1327)&gt;0,TEXT(Data!$C$21:$C$1327, "mmmm"),"")</f>
        <v>settembre</v>
      </c>
      <c r="F279" s="29" t="str">
        <f>IF(DAY(Data!$C$21:$C$1327)&gt;0,TEXT(Data!$C$21:$C$1327, "aaaa"),"")</f>
        <v>2023</v>
      </c>
      <c r="I279" t="str">
        <f>IF(OR(H279=$B$5,H279=$B$6,H279=$B$7,H279=$B$8,H279=$B$9,H279=$B$10,H279=$B$11,H279=$B$12,H279=$B$13,H279=$B$14),SottocategorieUscite[[#Headers],[Fuori Casa]],IF(OR(H279=$C$5,H279=$C$6,H279=$C$7,H279=$C$8,H279=$C$9,H279=$C$10,H279=$C$11,H279=$C$12,H279=$C$13,H279=$C$14),SottocategorieUscite[[#Headers],[Varie Uscite]],IF(OR(H279=$D$5,H279=$D$6,H279=$D$7,H279=$D$8,H279=$D$9,H279=$D$10,H279=$D$11,H279=$D$12,H279=$D$13,H279=$D$14),SottocategorieUscite[[#Headers],[Personali]],IF(OR(H279=$E$5,H279=$E$6,H279=$E$7,H279=$E$8,H279=$E$9,H279=$E$10,H279=$E$11,H279=$E$12,H279=$E$13,H279=$E$14),SottocategorieUscite[[#Headers],[Lavoro]],IF(OR(H279=$F$5,H279=$F$6,H279=$F$7,H279=$F$8,H279=$F$9,H279=$F$10,H279=$F$11,H279=$F$12,H279=$F$13,H279=$F$14),SottocategorieUscite[[#Headers],[Casa]],IF(OR(H279=$G$5,H279=$G$6,H279=$G$7,H279=$G$8,H279=$G$9,H279=$G$10,H279=$G$11,H279=$G$12,H279=$G$13,H279=$G$14),SottocategorieUscite[[#Headers],[Utenze]],IF(OR(H279=$H$5,H279=$H$6,H279=$H$7,H279=$H$8,H279=$H$9,H279=$H$10,H279=$H$11,H279=$H$12,H279=$H$13,H279=$H$14),SottocategorieUscite[[#Headers],[Business Uscite]],IF(OR(H279=$I$5,H279=$I$6,H279=$I$7,H279=$I$8,H279=$I$9,H279=$I$10,H279=$I$11,H279=$I$12,H279=$I$13,H279=$I$14),SottocategorieUscite[[#Headers],[Banca]],IF(OR(H279=K$5,H279=K$6,H279=K$7,H279=K$8,H279=K$9,H279=K$10,H279=K$11,H279=K$12,H279=K$13,H279=K$14),SottocategorieEntrate[[#Headers],[Business Entrate]],IF(OR(H279=L$5,H279=L$6,H279=L$7,H279=L$8,H279=L$9,H279=L$10,H279=L$11,H279=L$12,H279=L$13,H279=L$14),SottocategorieEntrate[[#Headers],[Varie Entrate]],IF(OR(H279=M$5,H279=M$6,H279=M$7,H279=M$8,H279=M$9,H279=M$10,H279=M$11,H279=M$12,H279=M$13,H279=M$14),SottocategorieEntrate[[#Headers],[Real Estate]],IF(OR(H279=N$5,H279=N$6,H279=N$7,H279=N$8,H279=N$9,H279=N$10,H279=N$11,H279=N$12,H279=N$13,H279=N$14),SottocategorieEntrate[[#Headers],[Other]],""))))))))))))</f>
        <v/>
      </c>
      <c r="J279" t="str">
        <f>IF(OR(Dati[[#This Row],[Categoria]]="Bollette",Dati[[#This Row],[Categoria]]="Conto &amp; Carte BNL",Dati[[#This Row],[Categoria]]="Prelievo",Dati[[#This Row],[Categoria]]="Affitto",Dati[[#This Row],[Categoria]]="BNL(Interessi Creditori)"),"Carta",IF(Dati[[#This Row],[Categoria]]&lt;&gt;0,"Cash",""))</f>
        <v/>
      </c>
      <c r="K279" s="59" t="str">
        <f>IF(OR(Data!$I279=SottocategorieUscite[[#Headers],[Fuori Casa]],Data!$I279=SottocategorieUscite[[#Headers],[Varie Uscite]],Data!$I279=SottocategorieUscite[[#Headers],[Personali]],Data!$I279=SottocategorieUscite[[#Headers],[Lavoro]]),"$ -","")</f>
        <v/>
      </c>
      <c r="L279" s="59" t="str">
        <f>IF(OR(Data!$I279=SottocategorieUscite[[#Headers],[Casa]],Data!$I279=SottocategorieUscite[[#Headers],[Utenze]],Data!$I279=SottocategorieUscite[[#Headers],[Business Uscite]],Data!$I279=SottocategorieUscite[[#Headers],[Banca]]),"$ -","")</f>
        <v/>
      </c>
      <c r="M279" s="59" t="str">
        <f>IF(OR($I279&lt;&gt;SottocategorieUscite[[#Headers],[Fuori Casa]],$I279&lt;&gt;SottocategorieUscite[[#Headers],[Varie Uscite]],$I279&lt;&gt;SottocategorieUscite[[#Headers],[Personali]],$I279&lt;&gt;SottocategorieUscite[[#Headers],[Lavoro]],$I279&lt;&gt;SottocategorieUscite[[#Headers],[Casa]],$I279&lt;&gt;SottocategorieUscite[[#Headers],[Utenze]],$I279&lt;&gt;SottocategorieUscite[[#Headers],[Business Uscite]],$I279&lt;&gt;SottocategorieUscite[[#Headers],[Banca]]),"","$ -")</f>
        <v/>
      </c>
      <c r="N279" s="59" t="str">
        <f>IF(OR(Data!$I279=SottocategorieEntrate[[#Headers],[Business Entrate]],Data!$I279=SottocategorieEntrate[[#Headers],[Varie Entrate]]),"$ -","")</f>
        <v/>
      </c>
      <c r="O279" s="59" t="str">
        <f>IF(OR(Data!$I279=SottocategorieEntrate[[#Headers],[Real Estate]],SottocategorieEntrate[[#Headers],[Other]]),"$ -","")</f>
        <v/>
      </c>
      <c r="P279" s="59" t="str">
        <f>IF(OR($I279&lt;&gt;SottocategorieEntrate[[#Headers],[Business Entrate]],$I279&lt;&gt;SottocategorieEntrate[[#Headers],[Varie Entrate]],$I279&lt;&gt;SottocategorieEntrate[[#Headers],[Real Estate]],$I279&lt;&gt;SottocategorieEntrate[[#Headers],[Other]]),"","$ -")</f>
        <v/>
      </c>
      <c r="Q279" s="59" t="str">
        <f>IF(Dati[[#This Row],[Categoria]]="Prelievo","€ -","")</f>
        <v/>
      </c>
      <c r="R279" s="244" t="str">
        <f t="shared" ref="R279:R342" ca="1" si="14">IF(I279="","",IF(AND(I279&lt;&gt;"",COUNTBLANK(OFFSET(R279,-15,0,15,1))=15),SUM(OFFSET(R279,-16,0)+SUM(N279:P279)-SUM(K279:M279)),IF(AND(I279&lt;&gt;"",COUNTBLANK(OFFSET(R279,-14,0,14,1))=14),SUM(OFFSET(R279,-15,0)+SUM(N279:P279)-SUM(K279:M279)),IF(AND(I279&lt;&gt;"",COUNTBLANK(OFFSET(R279,-13,0,13,1))=13),SUM(OFFSET(R279,-14,0)+SUM(N279:P279)-SUM(K279:M279)),IF(AND(I279&lt;&gt;"",COUNTBLANK(OFFSET(R279,-12,0,12,1))=12),SUM(OFFSET(R279,-13,0)+SUM(N279:P279)-SUM(K279:M279)),IF(AND(I279&lt;&gt;"",COUNTBLANK(OFFSET(R279,-11,0,11,1))=11),SUM(OFFSET(R279,-12,0)+SUM(N279:P279)-SUM(K279:M279)),IF(AND(I279&lt;&gt;"",COUNTBLANK(OFFSET(R279,-10,0,10,1))=10),SUM(OFFSET(R279,-11,0)+SUM(N279:P279)-SUM(K279:M279)),IF(AND(I279&lt;&gt;"",COUNTBLANK(OFFSET(R279,-9,0,9,1))=9),SUM(OFFSET(R279,-10,0)+SUM(N279:P279)-SUM(K279:M279)),IF(AND(I279&lt;&gt;"",COUNTBLANK(OFFSET(R279,-8,0,8,1))=8),SUM(OFFSET(R279,-9,0)+SUM(N279:P279)-SUM(K279:M279)),IF(AND(I279&lt;&gt;"",COUNTBLANK(OFFSET(R279,-7,0,7,1))=7),SUM(OFFSET(R279,-8,0)+SUM(N279:P279)-SUM(K279:M279)),IF(AND(I279&lt;&gt;"",COUNTBLANK(OFFSET(R279,-6,0,6,1))=6),SUM(OFFSET(R279,-7,0)+SUM(N279:P279)-SUM(K279:M279)),IF(AND(I279&lt;&gt;"",COUNTBLANK(OFFSET(R279,-5,0,5,1))=5),SUM(OFFSET(R279,-6,0)+SUM(N279:P279)-SUM(K279:M279)),IF(AND(I279&lt;&gt;"",COUNTBLANK(OFFSET(R279,-4,0,4,1))=4),SUM(OFFSET(R279,-5,0)+SUM(N279:P279)-SUM(K279:M279)),IF(AND(I279&lt;&gt;"",COUNTBLANK(OFFSET(R279,-3,0,3,1))=3),SUM(OFFSET(R279,-4,0)+SUM(N279:P279)-SUM(K279:M279)),IF(AND(I279&lt;&gt;"",COUNTBLANK(OFFSET(R279,-2,0,2,1))=2),SUM(OFFSET(R279,-3,0)+SUM(N279:P279)-SUM(K279:M279)),IF(AND(I279&lt;&gt;"",COUNTBLANK(OFFSET(R279,-1,0,1,1))=1),SUM(OFFSET(R279,-2,0)+SUM(N279:P279)-SUM(K279:M279)),IF(AND(I279&lt;&gt;"",OFFSET(R279,-1,0)&gt;0),SUM(OFFSET(R279,-1,0)+SUM(N279:P279)-SUM(K279:M279)))))))))))))))))))</f>
        <v/>
      </c>
      <c r="S279" s="59" t="str">
        <f>IF(Dati[[#This Row],[Categoria]]="Savings",0,"")</f>
        <v/>
      </c>
      <c r="T279" s="59"/>
      <c r="U279" s="59"/>
      <c r="V279" s="59"/>
      <c r="W279" s="59"/>
      <c r="X279" s="59"/>
      <c r="Y279" s="59"/>
      <c r="Z279" s="59"/>
      <c r="AA279" s="59"/>
      <c r="AB279" s="59"/>
      <c r="AC279" s="59"/>
      <c r="AD279" s="59"/>
      <c r="AE279" s="59"/>
      <c r="AF279" s="59"/>
      <c r="AG279" s="59"/>
      <c r="AH279" s="59"/>
      <c r="AI279" s="59" t="str">
        <f>IF(SUM(Dati[[#This Row],[Inv. Business]:[Inv. Cryptocurrency]])=0," ",SUM(Dati[[#This Row],[Inv. Business]:[Inv. Cryptocurrency]]))</f>
        <v xml:space="preserve"> </v>
      </c>
      <c r="AJ279" s="59"/>
      <c r="AK279" s="59" t="str">
        <f>IF(SUM(Dati[[#This Row],[Inv. Gold]:[Mutuo]])=0," ",SUM(Dati[[#This Row],[Inv. Gold]:[Mutuo]]))</f>
        <v xml:space="preserve"> </v>
      </c>
      <c r="AL279" s="59"/>
      <c r="AM279" s="59"/>
    </row>
    <row r="280" spans="2:39" ht="16" customHeight="1" x14ac:dyDescent="0.35">
      <c r="B280">
        <f t="shared" si="12"/>
        <v>260</v>
      </c>
      <c r="C280" s="49">
        <f t="shared" si="13"/>
        <v>45186</v>
      </c>
      <c r="D280" s="29">
        <f>DAY(Dati[[#This Row],[Data]])</f>
        <v>17</v>
      </c>
      <c r="E280" s="29" t="str">
        <f>IF(DAY(Data!$C$21:$C$1327)&gt;0,TEXT(Data!$C$21:$C$1327, "mmmm"),"")</f>
        <v>settembre</v>
      </c>
      <c r="F280" s="29" t="str">
        <f>IF(DAY(Data!$C$21:$C$1327)&gt;0,TEXT(Data!$C$21:$C$1327, "aaaa"),"")</f>
        <v>2023</v>
      </c>
      <c r="I280" t="str">
        <f>IF(OR(H280=$B$5,H280=$B$6,H280=$B$7,H280=$B$8,H280=$B$9,H280=$B$10,H280=$B$11,H280=$B$12,H280=$B$13,H280=$B$14),SottocategorieUscite[[#Headers],[Fuori Casa]],IF(OR(H280=$C$5,H280=$C$6,H280=$C$7,H280=$C$8,H280=$C$9,H280=$C$10,H280=$C$11,H280=$C$12,H280=$C$13,H280=$C$14),SottocategorieUscite[[#Headers],[Varie Uscite]],IF(OR(H280=$D$5,H280=$D$6,H280=$D$7,H280=$D$8,H280=$D$9,H280=$D$10,H280=$D$11,H280=$D$12,H280=$D$13,H280=$D$14),SottocategorieUscite[[#Headers],[Personali]],IF(OR(H280=$E$5,H280=$E$6,H280=$E$7,H280=$E$8,H280=$E$9,H280=$E$10,H280=$E$11,H280=$E$12,H280=$E$13,H280=$E$14),SottocategorieUscite[[#Headers],[Lavoro]],IF(OR(H280=$F$5,H280=$F$6,H280=$F$7,H280=$F$8,H280=$F$9,H280=$F$10,H280=$F$11,H280=$F$12,H280=$F$13,H280=$F$14),SottocategorieUscite[[#Headers],[Casa]],IF(OR(H280=$G$5,H280=$G$6,H280=$G$7,H280=$G$8,H280=$G$9,H280=$G$10,H280=$G$11,H280=$G$12,H280=$G$13,H280=$G$14),SottocategorieUscite[[#Headers],[Utenze]],IF(OR(H280=$H$5,H280=$H$6,H280=$H$7,H280=$H$8,H280=$H$9,H280=$H$10,H280=$H$11,H280=$H$12,H280=$H$13,H280=$H$14),SottocategorieUscite[[#Headers],[Business Uscite]],IF(OR(H280=$I$5,H280=$I$6,H280=$I$7,H280=$I$8,H280=$I$9,H280=$I$10,H280=$I$11,H280=$I$12,H280=$I$13,H280=$I$14),SottocategorieUscite[[#Headers],[Banca]],IF(OR(H280=K$5,H280=K$6,H280=K$7,H280=K$8,H280=K$9,H280=K$10,H280=K$11,H280=K$12,H280=K$13,H280=K$14),SottocategorieEntrate[[#Headers],[Business Entrate]],IF(OR(H280=L$5,H280=L$6,H280=L$7,H280=L$8,H280=L$9,H280=L$10,H280=L$11,H280=L$12,H280=L$13,H280=L$14),SottocategorieEntrate[[#Headers],[Varie Entrate]],IF(OR(H280=M$5,H280=M$6,H280=M$7,H280=M$8,H280=M$9,H280=M$10,H280=M$11,H280=M$12,H280=M$13,H280=M$14),SottocategorieEntrate[[#Headers],[Real Estate]],IF(OR(H280=N$5,H280=N$6,H280=N$7,H280=N$8,H280=N$9,H280=N$10,H280=N$11,H280=N$12,H280=N$13,H280=N$14),SottocategorieEntrate[[#Headers],[Other]],""))))))))))))</f>
        <v/>
      </c>
      <c r="J280" t="str">
        <f>IF(OR(Dati[[#This Row],[Categoria]]="Bollette",Dati[[#This Row],[Categoria]]="Conto &amp; Carte BNL",Dati[[#This Row],[Categoria]]="Prelievo",Dati[[#This Row],[Categoria]]="Affitto",Dati[[#This Row],[Categoria]]="BNL(Interessi Creditori)"),"Carta",IF(Dati[[#This Row],[Categoria]]&lt;&gt;0,"Cash",""))</f>
        <v/>
      </c>
      <c r="K280" s="59" t="str">
        <f>IF(OR(Data!$I280=SottocategorieUscite[[#Headers],[Fuori Casa]],Data!$I280=SottocategorieUscite[[#Headers],[Varie Uscite]],Data!$I280=SottocategorieUscite[[#Headers],[Personali]],Data!$I280=SottocategorieUscite[[#Headers],[Lavoro]]),"$ -","")</f>
        <v/>
      </c>
      <c r="L280" s="59" t="str">
        <f>IF(OR(Data!$I280=SottocategorieUscite[[#Headers],[Casa]],Data!$I280=SottocategorieUscite[[#Headers],[Utenze]],Data!$I280=SottocategorieUscite[[#Headers],[Business Uscite]],Data!$I280=SottocategorieUscite[[#Headers],[Banca]]),"$ -","")</f>
        <v/>
      </c>
      <c r="M280" s="59" t="str">
        <f>IF(OR($I280&lt;&gt;SottocategorieUscite[[#Headers],[Fuori Casa]],$I280&lt;&gt;SottocategorieUscite[[#Headers],[Varie Uscite]],$I280&lt;&gt;SottocategorieUscite[[#Headers],[Personali]],$I280&lt;&gt;SottocategorieUscite[[#Headers],[Lavoro]],$I280&lt;&gt;SottocategorieUscite[[#Headers],[Casa]],$I280&lt;&gt;SottocategorieUscite[[#Headers],[Utenze]],$I280&lt;&gt;SottocategorieUscite[[#Headers],[Business Uscite]],$I280&lt;&gt;SottocategorieUscite[[#Headers],[Banca]]),"","$ -")</f>
        <v/>
      </c>
      <c r="N280" s="59" t="str">
        <f>IF(OR(Data!$I280=SottocategorieEntrate[[#Headers],[Business Entrate]],Data!$I280=SottocategorieEntrate[[#Headers],[Varie Entrate]]),"$ -","")</f>
        <v/>
      </c>
      <c r="O280" s="59" t="str">
        <f>IF(OR(Data!$I280=SottocategorieEntrate[[#Headers],[Real Estate]],SottocategorieEntrate[[#Headers],[Other]]),"$ -","")</f>
        <v/>
      </c>
      <c r="P280" s="59" t="str">
        <f>IF(OR($I280&lt;&gt;SottocategorieEntrate[[#Headers],[Business Entrate]],$I280&lt;&gt;SottocategorieEntrate[[#Headers],[Varie Entrate]],$I280&lt;&gt;SottocategorieEntrate[[#Headers],[Real Estate]],$I280&lt;&gt;SottocategorieEntrate[[#Headers],[Other]]),"","$ -")</f>
        <v/>
      </c>
      <c r="Q280" s="59" t="str">
        <f>IF(Dati[[#This Row],[Categoria]]="Prelievo","€ -","")</f>
        <v/>
      </c>
      <c r="R280" s="244" t="str">
        <f t="shared" ca="1" si="14"/>
        <v/>
      </c>
      <c r="S280" s="59" t="str">
        <f>IF(Dati[[#This Row],[Categoria]]="Savings",0,"")</f>
        <v/>
      </c>
      <c r="T280" s="59"/>
      <c r="U280" s="59"/>
      <c r="V280" s="59"/>
      <c r="W280" s="59"/>
      <c r="X280" s="59"/>
      <c r="Y280" s="59"/>
      <c r="Z280" s="59"/>
      <c r="AA280" s="59"/>
      <c r="AB280" s="59"/>
      <c r="AC280" s="59"/>
      <c r="AD280" s="59"/>
      <c r="AE280" s="59"/>
      <c r="AF280" s="59"/>
      <c r="AG280" s="59"/>
      <c r="AH280" s="59"/>
      <c r="AI280" s="59" t="str">
        <f>IF(SUM(Dati[[#This Row],[Inv. Business]:[Inv. Cryptocurrency]])=0," ",SUM(Dati[[#This Row],[Inv. Business]:[Inv. Cryptocurrency]]))</f>
        <v xml:space="preserve"> </v>
      </c>
      <c r="AJ280" s="59"/>
      <c r="AK280" s="59" t="str">
        <f>IF(SUM(Dati[[#This Row],[Inv. Gold]:[Mutuo]])=0," ",SUM(Dati[[#This Row],[Inv. Gold]:[Mutuo]]))</f>
        <v xml:space="preserve"> </v>
      </c>
      <c r="AL280" s="59"/>
      <c r="AM280" s="59"/>
    </row>
    <row r="281" spans="2:39" ht="16" customHeight="1" x14ac:dyDescent="0.35">
      <c r="B281">
        <f t="shared" si="12"/>
        <v>261</v>
      </c>
      <c r="C281" s="49">
        <f t="shared" si="13"/>
        <v>45187</v>
      </c>
      <c r="D281" s="29">
        <f>DAY(Dati[[#This Row],[Data]])</f>
        <v>18</v>
      </c>
      <c r="E281" s="29" t="str">
        <f>IF(DAY(Data!$C$21:$C$1327)&gt;0,TEXT(Data!$C$21:$C$1327, "mmmm"),"")</f>
        <v>settembre</v>
      </c>
      <c r="F281" s="29" t="str">
        <f>IF(DAY(Data!$C$21:$C$1327)&gt;0,TEXT(Data!$C$21:$C$1327, "aaaa"),"")</f>
        <v>2023</v>
      </c>
      <c r="I281" t="str">
        <f>IF(OR(H281=$B$5,H281=$B$6,H281=$B$7,H281=$B$8,H281=$B$9,H281=$B$10,H281=$B$11,H281=$B$12,H281=$B$13,H281=$B$14),SottocategorieUscite[[#Headers],[Fuori Casa]],IF(OR(H281=$C$5,H281=$C$6,H281=$C$7,H281=$C$8,H281=$C$9,H281=$C$10,H281=$C$11,H281=$C$12,H281=$C$13,H281=$C$14),SottocategorieUscite[[#Headers],[Varie Uscite]],IF(OR(H281=$D$5,H281=$D$6,H281=$D$7,H281=$D$8,H281=$D$9,H281=$D$10,H281=$D$11,H281=$D$12,H281=$D$13,H281=$D$14),SottocategorieUscite[[#Headers],[Personali]],IF(OR(H281=$E$5,H281=$E$6,H281=$E$7,H281=$E$8,H281=$E$9,H281=$E$10,H281=$E$11,H281=$E$12,H281=$E$13,H281=$E$14),SottocategorieUscite[[#Headers],[Lavoro]],IF(OR(H281=$F$5,H281=$F$6,H281=$F$7,H281=$F$8,H281=$F$9,H281=$F$10,H281=$F$11,H281=$F$12,H281=$F$13,H281=$F$14),SottocategorieUscite[[#Headers],[Casa]],IF(OR(H281=$G$5,H281=$G$6,H281=$G$7,H281=$G$8,H281=$G$9,H281=$G$10,H281=$G$11,H281=$G$12,H281=$G$13,H281=$G$14),SottocategorieUscite[[#Headers],[Utenze]],IF(OR(H281=$H$5,H281=$H$6,H281=$H$7,H281=$H$8,H281=$H$9,H281=$H$10,H281=$H$11,H281=$H$12,H281=$H$13,H281=$H$14),SottocategorieUscite[[#Headers],[Business Uscite]],IF(OR(H281=$I$5,H281=$I$6,H281=$I$7,H281=$I$8,H281=$I$9,H281=$I$10,H281=$I$11,H281=$I$12,H281=$I$13,H281=$I$14),SottocategorieUscite[[#Headers],[Banca]],IF(OR(H281=K$5,H281=K$6,H281=K$7,H281=K$8,H281=K$9,H281=K$10,H281=K$11,H281=K$12,H281=K$13,H281=K$14),SottocategorieEntrate[[#Headers],[Business Entrate]],IF(OR(H281=L$5,H281=L$6,H281=L$7,H281=L$8,H281=L$9,H281=L$10,H281=L$11,H281=L$12,H281=L$13,H281=L$14),SottocategorieEntrate[[#Headers],[Varie Entrate]],IF(OR(H281=M$5,H281=M$6,H281=M$7,H281=M$8,H281=M$9,H281=M$10,H281=M$11,H281=M$12,H281=M$13,H281=M$14),SottocategorieEntrate[[#Headers],[Real Estate]],IF(OR(H281=N$5,H281=N$6,H281=N$7,H281=N$8,H281=N$9,H281=N$10,H281=N$11,H281=N$12,H281=N$13,H281=N$14),SottocategorieEntrate[[#Headers],[Other]],""))))))))))))</f>
        <v/>
      </c>
      <c r="J281" t="str">
        <f>IF(OR(Dati[[#This Row],[Categoria]]="Bollette",Dati[[#This Row],[Categoria]]="Conto &amp; Carte BNL",Dati[[#This Row],[Categoria]]="Prelievo",Dati[[#This Row],[Categoria]]="Affitto",Dati[[#This Row],[Categoria]]="BNL(Interessi Creditori)"),"Carta",IF(Dati[[#This Row],[Categoria]]&lt;&gt;0,"Cash",""))</f>
        <v/>
      </c>
      <c r="K281" s="59" t="str">
        <f>IF(OR(Data!$I281=SottocategorieUscite[[#Headers],[Fuori Casa]],Data!$I281=SottocategorieUscite[[#Headers],[Varie Uscite]],Data!$I281=SottocategorieUscite[[#Headers],[Personali]],Data!$I281=SottocategorieUscite[[#Headers],[Lavoro]]),"$ -","")</f>
        <v/>
      </c>
      <c r="L281" s="59" t="str">
        <f>IF(OR(Data!$I281=SottocategorieUscite[[#Headers],[Casa]],Data!$I281=SottocategorieUscite[[#Headers],[Utenze]],Data!$I281=SottocategorieUscite[[#Headers],[Business Uscite]],Data!$I281=SottocategorieUscite[[#Headers],[Banca]]),"$ -","")</f>
        <v/>
      </c>
      <c r="M281" s="59" t="str">
        <f>IF(OR($I281&lt;&gt;SottocategorieUscite[[#Headers],[Fuori Casa]],$I281&lt;&gt;SottocategorieUscite[[#Headers],[Varie Uscite]],$I281&lt;&gt;SottocategorieUscite[[#Headers],[Personali]],$I281&lt;&gt;SottocategorieUscite[[#Headers],[Lavoro]],$I281&lt;&gt;SottocategorieUscite[[#Headers],[Casa]],$I281&lt;&gt;SottocategorieUscite[[#Headers],[Utenze]],$I281&lt;&gt;SottocategorieUscite[[#Headers],[Business Uscite]],$I281&lt;&gt;SottocategorieUscite[[#Headers],[Banca]]),"","$ -")</f>
        <v/>
      </c>
      <c r="N281" s="59" t="str">
        <f>IF(OR(Data!$I281=SottocategorieEntrate[[#Headers],[Business Entrate]],Data!$I281=SottocategorieEntrate[[#Headers],[Varie Entrate]]),"$ -","")</f>
        <v/>
      </c>
      <c r="O281" s="59" t="str">
        <f>IF(OR(Data!$I281=SottocategorieEntrate[[#Headers],[Real Estate]],SottocategorieEntrate[[#Headers],[Other]]),"$ -","")</f>
        <v/>
      </c>
      <c r="P281" s="59" t="str">
        <f>IF(OR($I281&lt;&gt;SottocategorieEntrate[[#Headers],[Business Entrate]],$I281&lt;&gt;SottocategorieEntrate[[#Headers],[Varie Entrate]],$I281&lt;&gt;SottocategorieEntrate[[#Headers],[Real Estate]],$I281&lt;&gt;SottocategorieEntrate[[#Headers],[Other]]),"","$ -")</f>
        <v/>
      </c>
      <c r="Q281" s="59" t="str">
        <f>IF(Dati[[#This Row],[Categoria]]="Prelievo","€ -","")</f>
        <v/>
      </c>
      <c r="R281" s="244" t="str">
        <f t="shared" ca="1" si="14"/>
        <v/>
      </c>
      <c r="S281" s="59" t="str">
        <f>IF(Dati[[#This Row],[Categoria]]="Savings",0,"")</f>
        <v/>
      </c>
      <c r="T281" s="59"/>
      <c r="U281" s="59"/>
      <c r="V281" s="59"/>
      <c r="W281" s="59"/>
      <c r="X281" s="59"/>
      <c r="Y281" s="59"/>
      <c r="Z281" s="59"/>
      <c r="AA281" s="59"/>
      <c r="AB281" s="59"/>
      <c r="AC281" s="59"/>
      <c r="AD281" s="59"/>
      <c r="AE281" s="59"/>
      <c r="AF281" s="59"/>
      <c r="AG281" s="59"/>
      <c r="AH281" s="59"/>
      <c r="AI281" s="59" t="str">
        <f>IF(SUM(Dati[[#This Row],[Inv. Business]:[Inv. Cryptocurrency]])=0," ",SUM(Dati[[#This Row],[Inv. Business]:[Inv. Cryptocurrency]]))</f>
        <v xml:space="preserve"> </v>
      </c>
      <c r="AJ281" s="59"/>
      <c r="AK281" s="59" t="str">
        <f>IF(SUM(Dati[[#This Row],[Inv. Gold]:[Mutuo]])=0," ",SUM(Dati[[#This Row],[Inv. Gold]:[Mutuo]]))</f>
        <v xml:space="preserve"> </v>
      </c>
      <c r="AL281" s="59"/>
      <c r="AM281" s="59"/>
    </row>
    <row r="282" spans="2:39" ht="16" customHeight="1" x14ac:dyDescent="0.35">
      <c r="B282">
        <f t="shared" si="12"/>
        <v>262</v>
      </c>
      <c r="C282" s="49">
        <f t="shared" si="13"/>
        <v>45188</v>
      </c>
      <c r="D282" s="29">
        <f>DAY(Dati[[#This Row],[Data]])</f>
        <v>19</v>
      </c>
      <c r="E282" s="29" t="str">
        <f>IF(DAY(Data!$C$21:$C$1327)&gt;0,TEXT(Data!$C$21:$C$1327, "mmmm"),"")</f>
        <v>settembre</v>
      </c>
      <c r="F282" s="29" t="str">
        <f>IF(DAY(Data!$C$21:$C$1327)&gt;0,TEXT(Data!$C$21:$C$1327, "aaaa"),"")</f>
        <v>2023</v>
      </c>
      <c r="I282" t="str">
        <f>IF(OR(H282=$B$5,H282=$B$6,H282=$B$7,H282=$B$8,H282=$B$9,H282=$B$10,H282=$B$11,H282=$B$12,H282=$B$13,H282=$B$14),SottocategorieUscite[[#Headers],[Fuori Casa]],IF(OR(H282=$C$5,H282=$C$6,H282=$C$7,H282=$C$8,H282=$C$9,H282=$C$10,H282=$C$11,H282=$C$12,H282=$C$13,H282=$C$14),SottocategorieUscite[[#Headers],[Varie Uscite]],IF(OR(H282=$D$5,H282=$D$6,H282=$D$7,H282=$D$8,H282=$D$9,H282=$D$10,H282=$D$11,H282=$D$12,H282=$D$13,H282=$D$14),SottocategorieUscite[[#Headers],[Personali]],IF(OR(H282=$E$5,H282=$E$6,H282=$E$7,H282=$E$8,H282=$E$9,H282=$E$10,H282=$E$11,H282=$E$12,H282=$E$13,H282=$E$14),SottocategorieUscite[[#Headers],[Lavoro]],IF(OR(H282=$F$5,H282=$F$6,H282=$F$7,H282=$F$8,H282=$F$9,H282=$F$10,H282=$F$11,H282=$F$12,H282=$F$13,H282=$F$14),SottocategorieUscite[[#Headers],[Casa]],IF(OR(H282=$G$5,H282=$G$6,H282=$G$7,H282=$G$8,H282=$G$9,H282=$G$10,H282=$G$11,H282=$G$12,H282=$G$13,H282=$G$14),SottocategorieUscite[[#Headers],[Utenze]],IF(OR(H282=$H$5,H282=$H$6,H282=$H$7,H282=$H$8,H282=$H$9,H282=$H$10,H282=$H$11,H282=$H$12,H282=$H$13,H282=$H$14),SottocategorieUscite[[#Headers],[Business Uscite]],IF(OR(H282=$I$5,H282=$I$6,H282=$I$7,H282=$I$8,H282=$I$9,H282=$I$10,H282=$I$11,H282=$I$12,H282=$I$13,H282=$I$14),SottocategorieUscite[[#Headers],[Banca]],IF(OR(H282=K$5,H282=K$6,H282=K$7,H282=K$8,H282=K$9,H282=K$10,H282=K$11,H282=K$12,H282=K$13,H282=K$14),SottocategorieEntrate[[#Headers],[Business Entrate]],IF(OR(H282=L$5,H282=L$6,H282=L$7,H282=L$8,H282=L$9,H282=L$10,H282=L$11,H282=L$12,H282=L$13,H282=L$14),SottocategorieEntrate[[#Headers],[Varie Entrate]],IF(OR(H282=M$5,H282=M$6,H282=M$7,H282=M$8,H282=M$9,H282=M$10,H282=M$11,H282=M$12,H282=M$13,H282=M$14),SottocategorieEntrate[[#Headers],[Real Estate]],IF(OR(H282=N$5,H282=N$6,H282=N$7,H282=N$8,H282=N$9,H282=N$10,H282=N$11,H282=N$12,H282=N$13,H282=N$14),SottocategorieEntrate[[#Headers],[Other]],""))))))))))))</f>
        <v/>
      </c>
      <c r="J282" t="str">
        <f>IF(OR(Dati[[#This Row],[Categoria]]="Bollette",Dati[[#This Row],[Categoria]]="Conto &amp; Carte BNL",Dati[[#This Row],[Categoria]]="Prelievo",Dati[[#This Row],[Categoria]]="Affitto",Dati[[#This Row],[Categoria]]="BNL(Interessi Creditori)"),"Carta",IF(Dati[[#This Row],[Categoria]]&lt;&gt;0,"Cash",""))</f>
        <v/>
      </c>
      <c r="K282" s="59" t="str">
        <f>IF(OR(Data!$I282=SottocategorieUscite[[#Headers],[Fuori Casa]],Data!$I282=SottocategorieUscite[[#Headers],[Varie Uscite]],Data!$I282=SottocategorieUscite[[#Headers],[Personali]],Data!$I282=SottocategorieUscite[[#Headers],[Lavoro]]),"$ -","")</f>
        <v/>
      </c>
      <c r="L282" s="59" t="str">
        <f>IF(OR(Data!$I282=SottocategorieUscite[[#Headers],[Casa]],Data!$I282=SottocategorieUscite[[#Headers],[Utenze]],Data!$I282=SottocategorieUscite[[#Headers],[Business Uscite]],Data!$I282=SottocategorieUscite[[#Headers],[Banca]]),"$ -","")</f>
        <v/>
      </c>
      <c r="M282" s="59" t="str">
        <f>IF(OR($I282&lt;&gt;SottocategorieUscite[[#Headers],[Fuori Casa]],$I282&lt;&gt;SottocategorieUscite[[#Headers],[Varie Uscite]],$I282&lt;&gt;SottocategorieUscite[[#Headers],[Personali]],$I282&lt;&gt;SottocategorieUscite[[#Headers],[Lavoro]],$I282&lt;&gt;SottocategorieUscite[[#Headers],[Casa]],$I282&lt;&gt;SottocategorieUscite[[#Headers],[Utenze]],$I282&lt;&gt;SottocategorieUscite[[#Headers],[Business Uscite]],$I282&lt;&gt;SottocategorieUscite[[#Headers],[Banca]]),"","$ -")</f>
        <v/>
      </c>
      <c r="N282" s="59" t="str">
        <f>IF(OR(Data!$I282=SottocategorieEntrate[[#Headers],[Business Entrate]],Data!$I282=SottocategorieEntrate[[#Headers],[Varie Entrate]]),"$ -","")</f>
        <v/>
      </c>
      <c r="O282" s="59" t="str">
        <f>IF(OR(Data!$I282=SottocategorieEntrate[[#Headers],[Real Estate]],SottocategorieEntrate[[#Headers],[Other]]),"$ -","")</f>
        <v/>
      </c>
      <c r="P282" s="59" t="str">
        <f>IF(OR($I282&lt;&gt;SottocategorieEntrate[[#Headers],[Business Entrate]],$I282&lt;&gt;SottocategorieEntrate[[#Headers],[Varie Entrate]],$I282&lt;&gt;SottocategorieEntrate[[#Headers],[Real Estate]],$I282&lt;&gt;SottocategorieEntrate[[#Headers],[Other]]),"","$ -")</f>
        <v/>
      </c>
      <c r="Q282" s="59" t="str">
        <f>IF(Dati[[#This Row],[Categoria]]="Prelievo","€ -","")</f>
        <v/>
      </c>
      <c r="R282" s="244" t="str">
        <f t="shared" ca="1" si="14"/>
        <v/>
      </c>
      <c r="S282" s="59" t="str">
        <f>IF(Dati[[#This Row],[Categoria]]="Savings",0,"")</f>
        <v/>
      </c>
      <c r="T282" s="59"/>
      <c r="U282" s="59"/>
      <c r="V282" s="59"/>
      <c r="W282" s="59"/>
      <c r="X282" s="59"/>
      <c r="Y282" s="59"/>
      <c r="Z282" s="59"/>
      <c r="AA282" s="59"/>
      <c r="AB282" s="59"/>
      <c r="AC282" s="59"/>
      <c r="AD282" s="59"/>
      <c r="AE282" s="59"/>
      <c r="AF282" s="59"/>
      <c r="AG282" s="59"/>
      <c r="AH282" s="59"/>
      <c r="AI282" s="59" t="str">
        <f>IF(SUM(Dati[[#This Row],[Inv. Business]:[Inv. Cryptocurrency]])=0," ",SUM(Dati[[#This Row],[Inv. Business]:[Inv. Cryptocurrency]]))</f>
        <v xml:space="preserve"> </v>
      </c>
      <c r="AJ282" s="59"/>
      <c r="AK282" s="59" t="str">
        <f>IF(SUM(Dati[[#This Row],[Inv. Gold]:[Mutuo]])=0," ",SUM(Dati[[#This Row],[Inv. Gold]:[Mutuo]]))</f>
        <v xml:space="preserve"> </v>
      </c>
      <c r="AL282" s="59"/>
      <c r="AM282" s="59"/>
    </row>
    <row r="283" spans="2:39" ht="16" customHeight="1" x14ac:dyDescent="0.35">
      <c r="B283">
        <f t="shared" si="12"/>
        <v>263</v>
      </c>
      <c r="C283" s="49">
        <f t="shared" si="13"/>
        <v>45189</v>
      </c>
      <c r="D283" s="29">
        <f>DAY(Dati[[#This Row],[Data]])</f>
        <v>20</v>
      </c>
      <c r="E283" s="29" t="str">
        <f>IF(DAY(Data!$C$21:$C$1327)&gt;0,TEXT(Data!$C$21:$C$1327, "mmmm"),"")</f>
        <v>settembre</v>
      </c>
      <c r="F283" s="29" t="str">
        <f>IF(DAY(Data!$C$21:$C$1327)&gt;0,TEXT(Data!$C$21:$C$1327, "aaaa"),"")</f>
        <v>2023</v>
      </c>
      <c r="I283" t="str">
        <f>IF(OR(H283=$B$5,H283=$B$6,H283=$B$7,H283=$B$8,H283=$B$9,H283=$B$10,H283=$B$11,H283=$B$12,H283=$B$13,H283=$B$14),SottocategorieUscite[[#Headers],[Fuori Casa]],IF(OR(H283=$C$5,H283=$C$6,H283=$C$7,H283=$C$8,H283=$C$9,H283=$C$10,H283=$C$11,H283=$C$12,H283=$C$13,H283=$C$14),SottocategorieUscite[[#Headers],[Varie Uscite]],IF(OR(H283=$D$5,H283=$D$6,H283=$D$7,H283=$D$8,H283=$D$9,H283=$D$10,H283=$D$11,H283=$D$12,H283=$D$13,H283=$D$14),SottocategorieUscite[[#Headers],[Personali]],IF(OR(H283=$E$5,H283=$E$6,H283=$E$7,H283=$E$8,H283=$E$9,H283=$E$10,H283=$E$11,H283=$E$12,H283=$E$13,H283=$E$14),SottocategorieUscite[[#Headers],[Lavoro]],IF(OR(H283=$F$5,H283=$F$6,H283=$F$7,H283=$F$8,H283=$F$9,H283=$F$10,H283=$F$11,H283=$F$12,H283=$F$13,H283=$F$14),SottocategorieUscite[[#Headers],[Casa]],IF(OR(H283=$G$5,H283=$G$6,H283=$G$7,H283=$G$8,H283=$G$9,H283=$G$10,H283=$G$11,H283=$G$12,H283=$G$13,H283=$G$14),SottocategorieUscite[[#Headers],[Utenze]],IF(OR(H283=$H$5,H283=$H$6,H283=$H$7,H283=$H$8,H283=$H$9,H283=$H$10,H283=$H$11,H283=$H$12,H283=$H$13,H283=$H$14),SottocategorieUscite[[#Headers],[Business Uscite]],IF(OR(H283=$I$5,H283=$I$6,H283=$I$7,H283=$I$8,H283=$I$9,H283=$I$10,H283=$I$11,H283=$I$12,H283=$I$13,H283=$I$14),SottocategorieUscite[[#Headers],[Banca]],IF(OR(H283=K$5,H283=K$6,H283=K$7,H283=K$8,H283=K$9,H283=K$10,H283=K$11,H283=K$12,H283=K$13,H283=K$14),SottocategorieEntrate[[#Headers],[Business Entrate]],IF(OR(H283=L$5,H283=L$6,H283=L$7,H283=L$8,H283=L$9,H283=L$10,H283=L$11,H283=L$12,H283=L$13,H283=L$14),SottocategorieEntrate[[#Headers],[Varie Entrate]],IF(OR(H283=M$5,H283=M$6,H283=M$7,H283=M$8,H283=M$9,H283=M$10,H283=M$11,H283=M$12,H283=M$13,H283=M$14),SottocategorieEntrate[[#Headers],[Real Estate]],IF(OR(H283=N$5,H283=N$6,H283=N$7,H283=N$8,H283=N$9,H283=N$10,H283=N$11,H283=N$12,H283=N$13,H283=N$14),SottocategorieEntrate[[#Headers],[Other]],""))))))))))))</f>
        <v/>
      </c>
      <c r="J283" t="str">
        <f>IF(OR(Dati[[#This Row],[Categoria]]="Bollette",Dati[[#This Row],[Categoria]]="Conto &amp; Carte BNL",Dati[[#This Row],[Categoria]]="Prelievo",Dati[[#This Row],[Categoria]]="Affitto",Dati[[#This Row],[Categoria]]="BNL(Interessi Creditori)"),"Carta",IF(Dati[[#This Row],[Categoria]]&lt;&gt;0,"Cash",""))</f>
        <v/>
      </c>
      <c r="K283" s="59" t="str">
        <f>IF(OR(Data!$I283=SottocategorieUscite[[#Headers],[Fuori Casa]],Data!$I283=SottocategorieUscite[[#Headers],[Varie Uscite]],Data!$I283=SottocategorieUscite[[#Headers],[Personali]],Data!$I283=SottocategorieUscite[[#Headers],[Lavoro]]),"$ -","")</f>
        <v/>
      </c>
      <c r="L283" s="59" t="str">
        <f>IF(OR(Data!$I283=SottocategorieUscite[[#Headers],[Casa]],Data!$I283=SottocategorieUscite[[#Headers],[Utenze]],Data!$I283=SottocategorieUscite[[#Headers],[Business Uscite]],Data!$I283=SottocategorieUscite[[#Headers],[Banca]]),"$ -","")</f>
        <v/>
      </c>
      <c r="M283" s="59" t="str">
        <f>IF(OR($I283&lt;&gt;SottocategorieUscite[[#Headers],[Fuori Casa]],$I283&lt;&gt;SottocategorieUscite[[#Headers],[Varie Uscite]],$I283&lt;&gt;SottocategorieUscite[[#Headers],[Personali]],$I283&lt;&gt;SottocategorieUscite[[#Headers],[Lavoro]],$I283&lt;&gt;SottocategorieUscite[[#Headers],[Casa]],$I283&lt;&gt;SottocategorieUscite[[#Headers],[Utenze]],$I283&lt;&gt;SottocategorieUscite[[#Headers],[Business Uscite]],$I283&lt;&gt;SottocategorieUscite[[#Headers],[Banca]]),"","$ -")</f>
        <v/>
      </c>
      <c r="N283" s="59" t="str">
        <f>IF(OR(Data!$I283=SottocategorieEntrate[[#Headers],[Business Entrate]],Data!$I283=SottocategorieEntrate[[#Headers],[Varie Entrate]]),"$ -","")</f>
        <v/>
      </c>
      <c r="O283" s="59" t="str">
        <f>IF(OR(Data!$I283=SottocategorieEntrate[[#Headers],[Real Estate]],SottocategorieEntrate[[#Headers],[Other]]),"$ -","")</f>
        <v/>
      </c>
      <c r="P283" s="59" t="str">
        <f>IF(OR($I283&lt;&gt;SottocategorieEntrate[[#Headers],[Business Entrate]],$I283&lt;&gt;SottocategorieEntrate[[#Headers],[Varie Entrate]],$I283&lt;&gt;SottocategorieEntrate[[#Headers],[Real Estate]],$I283&lt;&gt;SottocategorieEntrate[[#Headers],[Other]]),"","$ -")</f>
        <v/>
      </c>
      <c r="Q283" s="59" t="str">
        <f>IF(Dati[[#This Row],[Categoria]]="Prelievo","€ -","")</f>
        <v/>
      </c>
      <c r="R283" s="244" t="str">
        <f t="shared" ca="1" si="14"/>
        <v/>
      </c>
      <c r="S283" s="59" t="str">
        <f>IF(Dati[[#This Row],[Categoria]]="Savings",0,"")</f>
        <v/>
      </c>
      <c r="T283" s="59"/>
      <c r="U283" s="59"/>
      <c r="V283" s="59"/>
      <c r="W283" s="59"/>
      <c r="X283" s="59"/>
      <c r="Y283" s="59"/>
      <c r="Z283" s="59"/>
      <c r="AA283" s="59"/>
      <c r="AB283" s="59"/>
      <c r="AC283" s="59"/>
      <c r="AD283" s="59"/>
      <c r="AE283" s="59"/>
      <c r="AF283" s="59"/>
      <c r="AG283" s="59"/>
      <c r="AH283" s="59"/>
      <c r="AI283" s="59" t="str">
        <f>IF(SUM(Dati[[#This Row],[Inv. Business]:[Inv. Cryptocurrency]])=0," ",SUM(Dati[[#This Row],[Inv. Business]:[Inv. Cryptocurrency]]))</f>
        <v xml:space="preserve"> </v>
      </c>
      <c r="AJ283" s="59"/>
      <c r="AK283" s="59" t="str">
        <f>IF(SUM(Dati[[#This Row],[Inv. Gold]:[Mutuo]])=0," ",SUM(Dati[[#This Row],[Inv. Gold]:[Mutuo]]))</f>
        <v xml:space="preserve"> </v>
      </c>
      <c r="AL283" s="59"/>
      <c r="AM283" s="59"/>
    </row>
    <row r="284" spans="2:39" ht="16" customHeight="1" x14ac:dyDescent="0.35">
      <c r="B284">
        <f t="shared" si="12"/>
        <v>264</v>
      </c>
      <c r="C284" s="49">
        <f t="shared" si="13"/>
        <v>45190</v>
      </c>
      <c r="D284" s="29">
        <f>DAY(Dati[[#This Row],[Data]])</f>
        <v>21</v>
      </c>
      <c r="E284" s="29" t="str">
        <f>IF(DAY(Data!$C$21:$C$1327)&gt;0,TEXT(Data!$C$21:$C$1327, "mmmm"),"")</f>
        <v>settembre</v>
      </c>
      <c r="F284" s="29" t="str">
        <f>IF(DAY(Data!$C$21:$C$1327)&gt;0,TEXT(Data!$C$21:$C$1327, "aaaa"),"")</f>
        <v>2023</v>
      </c>
      <c r="I284" t="str">
        <f>IF(OR(H284=$B$5,H284=$B$6,H284=$B$7,H284=$B$8,H284=$B$9,H284=$B$10,H284=$B$11,H284=$B$12,H284=$B$13,H284=$B$14),SottocategorieUscite[[#Headers],[Fuori Casa]],IF(OR(H284=$C$5,H284=$C$6,H284=$C$7,H284=$C$8,H284=$C$9,H284=$C$10,H284=$C$11,H284=$C$12,H284=$C$13,H284=$C$14),SottocategorieUscite[[#Headers],[Varie Uscite]],IF(OR(H284=$D$5,H284=$D$6,H284=$D$7,H284=$D$8,H284=$D$9,H284=$D$10,H284=$D$11,H284=$D$12,H284=$D$13,H284=$D$14),SottocategorieUscite[[#Headers],[Personali]],IF(OR(H284=$E$5,H284=$E$6,H284=$E$7,H284=$E$8,H284=$E$9,H284=$E$10,H284=$E$11,H284=$E$12,H284=$E$13,H284=$E$14),SottocategorieUscite[[#Headers],[Lavoro]],IF(OR(H284=$F$5,H284=$F$6,H284=$F$7,H284=$F$8,H284=$F$9,H284=$F$10,H284=$F$11,H284=$F$12,H284=$F$13,H284=$F$14),SottocategorieUscite[[#Headers],[Casa]],IF(OR(H284=$G$5,H284=$G$6,H284=$G$7,H284=$G$8,H284=$G$9,H284=$G$10,H284=$G$11,H284=$G$12,H284=$G$13,H284=$G$14),SottocategorieUscite[[#Headers],[Utenze]],IF(OR(H284=$H$5,H284=$H$6,H284=$H$7,H284=$H$8,H284=$H$9,H284=$H$10,H284=$H$11,H284=$H$12,H284=$H$13,H284=$H$14),SottocategorieUscite[[#Headers],[Business Uscite]],IF(OR(H284=$I$5,H284=$I$6,H284=$I$7,H284=$I$8,H284=$I$9,H284=$I$10,H284=$I$11,H284=$I$12,H284=$I$13,H284=$I$14),SottocategorieUscite[[#Headers],[Banca]],IF(OR(H284=K$5,H284=K$6,H284=K$7,H284=K$8,H284=K$9,H284=K$10,H284=K$11,H284=K$12,H284=K$13,H284=K$14),SottocategorieEntrate[[#Headers],[Business Entrate]],IF(OR(H284=L$5,H284=L$6,H284=L$7,H284=L$8,H284=L$9,H284=L$10,H284=L$11,H284=L$12,H284=L$13,H284=L$14),SottocategorieEntrate[[#Headers],[Varie Entrate]],IF(OR(H284=M$5,H284=M$6,H284=M$7,H284=M$8,H284=M$9,H284=M$10,H284=M$11,H284=M$12,H284=M$13,H284=M$14),SottocategorieEntrate[[#Headers],[Real Estate]],IF(OR(H284=N$5,H284=N$6,H284=N$7,H284=N$8,H284=N$9,H284=N$10,H284=N$11,H284=N$12,H284=N$13,H284=N$14),SottocategorieEntrate[[#Headers],[Other]],""))))))))))))</f>
        <v/>
      </c>
      <c r="J284" t="str">
        <f>IF(OR(Dati[[#This Row],[Categoria]]="Bollette",Dati[[#This Row],[Categoria]]="Conto &amp; Carte BNL",Dati[[#This Row],[Categoria]]="Prelievo",Dati[[#This Row],[Categoria]]="Affitto",Dati[[#This Row],[Categoria]]="BNL(Interessi Creditori)"),"Carta",IF(Dati[[#This Row],[Categoria]]&lt;&gt;0,"Cash",""))</f>
        <v/>
      </c>
      <c r="K284" s="59" t="str">
        <f>IF(OR(Data!$I284=SottocategorieUscite[[#Headers],[Fuori Casa]],Data!$I284=SottocategorieUscite[[#Headers],[Varie Uscite]],Data!$I284=SottocategorieUscite[[#Headers],[Personali]],Data!$I284=SottocategorieUscite[[#Headers],[Lavoro]]),"$ -","")</f>
        <v/>
      </c>
      <c r="L284" s="59" t="str">
        <f>IF(OR(Data!$I284=SottocategorieUscite[[#Headers],[Casa]],Data!$I284=SottocategorieUscite[[#Headers],[Utenze]],Data!$I284=SottocategorieUscite[[#Headers],[Business Uscite]],Data!$I284=SottocategorieUscite[[#Headers],[Banca]]),"$ -","")</f>
        <v/>
      </c>
      <c r="M284" s="59" t="str">
        <f>IF(OR($I284&lt;&gt;SottocategorieUscite[[#Headers],[Fuori Casa]],$I284&lt;&gt;SottocategorieUscite[[#Headers],[Varie Uscite]],$I284&lt;&gt;SottocategorieUscite[[#Headers],[Personali]],$I284&lt;&gt;SottocategorieUscite[[#Headers],[Lavoro]],$I284&lt;&gt;SottocategorieUscite[[#Headers],[Casa]],$I284&lt;&gt;SottocategorieUscite[[#Headers],[Utenze]],$I284&lt;&gt;SottocategorieUscite[[#Headers],[Business Uscite]],$I284&lt;&gt;SottocategorieUscite[[#Headers],[Banca]]),"","$ -")</f>
        <v/>
      </c>
      <c r="N284" s="59" t="str">
        <f>IF(OR(Data!$I284=SottocategorieEntrate[[#Headers],[Business Entrate]],Data!$I284=SottocategorieEntrate[[#Headers],[Varie Entrate]]),"$ -","")</f>
        <v/>
      </c>
      <c r="O284" s="59" t="str">
        <f>IF(OR(Data!$I284=SottocategorieEntrate[[#Headers],[Real Estate]],SottocategorieEntrate[[#Headers],[Other]]),"$ -","")</f>
        <v/>
      </c>
      <c r="P284" s="59" t="str">
        <f>IF(OR($I284&lt;&gt;SottocategorieEntrate[[#Headers],[Business Entrate]],$I284&lt;&gt;SottocategorieEntrate[[#Headers],[Varie Entrate]],$I284&lt;&gt;SottocategorieEntrate[[#Headers],[Real Estate]],$I284&lt;&gt;SottocategorieEntrate[[#Headers],[Other]]),"","$ -")</f>
        <v/>
      </c>
      <c r="Q284" s="59" t="str">
        <f>IF(Dati[[#This Row],[Categoria]]="Prelievo","€ -","")</f>
        <v/>
      </c>
      <c r="R284" s="244" t="str">
        <f t="shared" ca="1" si="14"/>
        <v/>
      </c>
      <c r="S284" s="59" t="str">
        <f>IF(Dati[[#This Row],[Categoria]]="Savings",0,"")</f>
        <v/>
      </c>
      <c r="T284" s="59"/>
      <c r="U284" s="59"/>
      <c r="V284" s="59"/>
      <c r="W284" s="59"/>
      <c r="X284" s="59"/>
      <c r="Y284" s="59"/>
      <c r="Z284" s="59"/>
      <c r="AA284" s="59"/>
      <c r="AB284" s="59"/>
      <c r="AC284" s="59"/>
      <c r="AD284" s="59"/>
      <c r="AE284" s="59"/>
      <c r="AF284" s="59"/>
      <c r="AG284" s="59"/>
      <c r="AH284" s="59"/>
      <c r="AI284" s="59" t="str">
        <f>IF(SUM(Dati[[#This Row],[Inv. Business]:[Inv. Cryptocurrency]])=0," ",SUM(Dati[[#This Row],[Inv. Business]:[Inv. Cryptocurrency]]))</f>
        <v xml:space="preserve"> </v>
      </c>
      <c r="AJ284" s="59"/>
      <c r="AK284" s="59" t="str">
        <f>IF(SUM(Dati[[#This Row],[Inv. Gold]:[Mutuo]])=0," ",SUM(Dati[[#This Row],[Inv. Gold]:[Mutuo]]))</f>
        <v xml:space="preserve"> </v>
      </c>
      <c r="AL284" s="59"/>
      <c r="AM284" s="59"/>
    </row>
    <row r="285" spans="2:39" ht="16" customHeight="1" x14ac:dyDescent="0.35">
      <c r="B285">
        <f t="shared" si="12"/>
        <v>265</v>
      </c>
      <c r="C285" s="49">
        <f t="shared" si="13"/>
        <v>45191</v>
      </c>
      <c r="D285" s="29">
        <f>DAY(Dati[[#This Row],[Data]])</f>
        <v>22</v>
      </c>
      <c r="E285" s="29" t="str">
        <f>IF(DAY(Data!$C$21:$C$1327)&gt;0,TEXT(Data!$C$21:$C$1327, "mmmm"),"")</f>
        <v>settembre</v>
      </c>
      <c r="F285" s="29" t="str">
        <f>IF(DAY(Data!$C$21:$C$1327)&gt;0,TEXT(Data!$C$21:$C$1327, "aaaa"),"")</f>
        <v>2023</v>
      </c>
      <c r="I285" t="str">
        <f>IF(OR(H285=$B$5,H285=$B$6,H285=$B$7,H285=$B$8,H285=$B$9,H285=$B$10,H285=$B$11,H285=$B$12,H285=$B$13,H285=$B$14),SottocategorieUscite[[#Headers],[Fuori Casa]],IF(OR(H285=$C$5,H285=$C$6,H285=$C$7,H285=$C$8,H285=$C$9,H285=$C$10,H285=$C$11,H285=$C$12,H285=$C$13,H285=$C$14),SottocategorieUscite[[#Headers],[Varie Uscite]],IF(OR(H285=$D$5,H285=$D$6,H285=$D$7,H285=$D$8,H285=$D$9,H285=$D$10,H285=$D$11,H285=$D$12,H285=$D$13,H285=$D$14),SottocategorieUscite[[#Headers],[Personali]],IF(OR(H285=$E$5,H285=$E$6,H285=$E$7,H285=$E$8,H285=$E$9,H285=$E$10,H285=$E$11,H285=$E$12,H285=$E$13,H285=$E$14),SottocategorieUscite[[#Headers],[Lavoro]],IF(OR(H285=$F$5,H285=$F$6,H285=$F$7,H285=$F$8,H285=$F$9,H285=$F$10,H285=$F$11,H285=$F$12,H285=$F$13,H285=$F$14),SottocategorieUscite[[#Headers],[Casa]],IF(OR(H285=$G$5,H285=$G$6,H285=$G$7,H285=$G$8,H285=$G$9,H285=$G$10,H285=$G$11,H285=$G$12,H285=$G$13,H285=$G$14),SottocategorieUscite[[#Headers],[Utenze]],IF(OR(H285=$H$5,H285=$H$6,H285=$H$7,H285=$H$8,H285=$H$9,H285=$H$10,H285=$H$11,H285=$H$12,H285=$H$13,H285=$H$14),SottocategorieUscite[[#Headers],[Business Uscite]],IF(OR(H285=$I$5,H285=$I$6,H285=$I$7,H285=$I$8,H285=$I$9,H285=$I$10,H285=$I$11,H285=$I$12,H285=$I$13,H285=$I$14),SottocategorieUscite[[#Headers],[Banca]],IF(OR(H285=K$5,H285=K$6,H285=K$7,H285=K$8,H285=K$9,H285=K$10,H285=K$11,H285=K$12,H285=K$13,H285=K$14),SottocategorieEntrate[[#Headers],[Business Entrate]],IF(OR(H285=L$5,H285=L$6,H285=L$7,H285=L$8,H285=L$9,H285=L$10,H285=L$11,H285=L$12,H285=L$13,H285=L$14),SottocategorieEntrate[[#Headers],[Varie Entrate]],IF(OR(H285=M$5,H285=M$6,H285=M$7,H285=M$8,H285=M$9,H285=M$10,H285=M$11,H285=M$12,H285=M$13,H285=M$14),SottocategorieEntrate[[#Headers],[Real Estate]],IF(OR(H285=N$5,H285=N$6,H285=N$7,H285=N$8,H285=N$9,H285=N$10,H285=N$11,H285=N$12,H285=N$13,H285=N$14),SottocategorieEntrate[[#Headers],[Other]],""))))))))))))</f>
        <v/>
      </c>
      <c r="J285" t="str">
        <f>IF(OR(Dati[[#This Row],[Categoria]]="Bollette",Dati[[#This Row],[Categoria]]="Conto &amp; Carte BNL",Dati[[#This Row],[Categoria]]="Prelievo",Dati[[#This Row],[Categoria]]="Affitto",Dati[[#This Row],[Categoria]]="BNL(Interessi Creditori)"),"Carta",IF(Dati[[#This Row],[Categoria]]&lt;&gt;0,"Cash",""))</f>
        <v/>
      </c>
      <c r="K285" s="59" t="str">
        <f>IF(OR(Data!$I285=SottocategorieUscite[[#Headers],[Fuori Casa]],Data!$I285=SottocategorieUscite[[#Headers],[Varie Uscite]],Data!$I285=SottocategorieUscite[[#Headers],[Personali]],Data!$I285=SottocategorieUscite[[#Headers],[Lavoro]]),"$ -","")</f>
        <v/>
      </c>
      <c r="L285" s="59" t="str">
        <f>IF(OR(Data!$I285=SottocategorieUscite[[#Headers],[Casa]],Data!$I285=SottocategorieUscite[[#Headers],[Utenze]],Data!$I285=SottocategorieUscite[[#Headers],[Business Uscite]],Data!$I285=SottocategorieUscite[[#Headers],[Banca]]),"$ -","")</f>
        <v/>
      </c>
      <c r="M285" s="59" t="str">
        <f>IF(OR($I285&lt;&gt;SottocategorieUscite[[#Headers],[Fuori Casa]],$I285&lt;&gt;SottocategorieUscite[[#Headers],[Varie Uscite]],$I285&lt;&gt;SottocategorieUscite[[#Headers],[Personali]],$I285&lt;&gt;SottocategorieUscite[[#Headers],[Lavoro]],$I285&lt;&gt;SottocategorieUscite[[#Headers],[Casa]],$I285&lt;&gt;SottocategorieUscite[[#Headers],[Utenze]],$I285&lt;&gt;SottocategorieUscite[[#Headers],[Business Uscite]],$I285&lt;&gt;SottocategorieUscite[[#Headers],[Banca]]),"","$ -")</f>
        <v/>
      </c>
      <c r="N285" s="59" t="str">
        <f>IF(OR(Data!$I285=SottocategorieEntrate[[#Headers],[Business Entrate]],Data!$I285=SottocategorieEntrate[[#Headers],[Varie Entrate]]),"$ -","")</f>
        <v/>
      </c>
      <c r="O285" s="59" t="str">
        <f>IF(OR(Data!$I285=SottocategorieEntrate[[#Headers],[Real Estate]],SottocategorieEntrate[[#Headers],[Other]]),"$ -","")</f>
        <v/>
      </c>
      <c r="P285" s="59" t="str">
        <f>IF(OR($I285&lt;&gt;SottocategorieEntrate[[#Headers],[Business Entrate]],$I285&lt;&gt;SottocategorieEntrate[[#Headers],[Varie Entrate]],$I285&lt;&gt;SottocategorieEntrate[[#Headers],[Real Estate]],$I285&lt;&gt;SottocategorieEntrate[[#Headers],[Other]]),"","$ -")</f>
        <v/>
      </c>
      <c r="Q285" s="59" t="str">
        <f>IF(Dati[[#This Row],[Categoria]]="Prelievo","€ -","")</f>
        <v/>
      </c>
      <c r="R285" s="244" t="str">
        <f t="shared" ca="1" si="14"/>
        <v/>
      </c>
      <c r="S285" s="59" t="str">
        <f>IF(Dati[[#This Row],[Categoria]]="Savings",0,"")</f>
        <v/>
      </c>
      <c r="T285" s="59"/>
      <c r="U285" s="59"/>
      <c r="V285" s="59"/>
      <c r="W285" s="59"/>
      <c r="X285" s="59"/>
      <c r="Y285" s="59"/>
      <c r="Z285" s="59"/>
      <c r="AA285" s="59"/>
      <c r="AB285" s="59"/>
      <c r="AC285" s="59"/>
      <c r="AD285" s="59"/>
      <c r="AE285" s="59"/>
      <c r="AF285" s="59"/>
      <c r="AG285" s="59"/>
      <c r="AH285" s="59"/>
      <c r="AI285" s="59" t="str">
        <f>IF(SUM(Dati[[#This Row],[Inv. Business]:[Inv. Cryptocurrency]])=0," ",SUM(Dati[[#This Row],[Inv. Business]:[Inv. Cryptocurrency]]))</f>
        <v xml:space="preserve"> </v>
      </c>
      <c r="AJ285" s="59"/>
      <c r="AK285" s="59" t="str">
        <f>IF(SUM(Dati[[#This Row],[Inv. Gold]:[Mutuo]])=0," ",SUM(Dati[[#This Row],[Inv. Gold]:[Mutuo]]))</f>
        <v xml:space="preserve"> </v>
      </c>
      <c r="AL285" s="59"/>
      <c r="AM285" s="59"/>
    </row>
    <row r="286" spans="2:39" ht="16" customHeight="1" x14ac:dyDescent="0.35">
      <c r="B286">
        <f t="shared" si="12"/>
        <v>266</v>
      </c>
      <c r="C286" s="49">
        <f t="shared" si="13"/>
        <v>45192</v>
      </c>
      <c r="D286" s="29">
        <f>DAY(Dati[[#This Row],[Data]])</f>
        <v>23</v>
      </c>
      <c r="E286" s="29" t="str">
        <f>IF(DAY(Data!$C$21:$C$1327)&gt;0,TEXT(Data!$C$21:$C$1327, "mmmm"),"")</f>
        <v>settembre</v>
      </c>
      <c r="F286" s="29" t="str">
        <f>IF(DAY(Data!$C$21:$C$1327)&gt;0,TEXT(Data!$C$21:$C$1327, "aaaa"),"")</f>
        <v>2023</v>
      </c>
      <c r="I286" t="str">
        <f>IF(OR(H286=$B$5,H286=$B$6,H286=$B$7,H286=$B$8,H286=$B$9,H286=$B$10,H286=$B$11,H286=$B$12,H286=$B$13,H286=$B$14),SottocategorieUscite[[#Headers],[Fuori Casa]],IF(OR(H286=$C$5,H286=$C$6,H286=$C$7,H286=$C$8,H286=$C$9,H286=$C$10,H286=$C$11,H286=$C$12,H286=$C$13,H286=$C$14),SottocategorieUscite[[#Headers],[Varie Uscite]],IF(OR(H286=$D$5,H286=$D$6,H286=$D$7,H286=$D$8,H286=$D$9,H286=$D$10,H286=$D$11,H286=$D$12,H286=$D$13,H286=$D$14),SottocategorieUscite[[#Headers],[Personali]],IF(OR(H286=$E$5,H286=$E$6,H286=$E$7,H286=$E$8,H286=$E$9,H286=$E$10,H286=$E$11,H286=$E$12,H286=$E$13,H286=$E$14),SottocategorieUscite[[#Headers],[Lavoro]],IF(OR(H286=$F$5,H286=$F$6,H286=$F$7,H286=$F$8,H286=$F$9,H286=$F$10,H286=$F$11,H286=$F$12,H286=$F$13,H286=$F$14),SottocategorieUscite[[#Headers],[Casa]],IF(OR(H286=$G$5,H286=$G$6,H286=$G$7,H286=$G$8,H286=$G$9,H286=$G$10,H286=$G$11,H286=$G$12,H286=$G$13,H286=$G$14),SottocategorieUscite[[#Headers],[Utenze]],IF(OR(H286=$H$5,H286=$H$6,H286=$H$7,H286=$H$8,H286=$H$9,H286=$H$10,H286=$H$11,H286=$H$12,H286=$H$13,H286=$H$14),SottocategorieUscite[[#Headers],[Business Uscite]],IF(OR(H286=$I$5,H286=$I$6,H286=$I$7,H286=$I$8,H286=$I$9,H286=$I$10,H286=$I$11,H286=$I$12,H286=$I$13,H286=$I$14),SottocategorieUscite[[#Headers],[Banca]],IF(OR(H286=K$5,H286=K$6,H286=K$7,H286=K$8,H286=K$9,H286=K$10,H286=K$11,H286=K$12,H286=K$13,H286=K$14),SottocategorieEntrate[[#Headers],[Business Entrate]],IF(OR(H286=L$5,H286=L$6,H286=L$7,H286=L$8,H286=L$9,H286=L$10,H286=L$11,H286=L$12,H286=L$13,H286=L$14),SottocategorieEntrate[[#Headers],[Varie Entrate]],IF(OR(H286=M$5,H286=M$6,H286=M$7,H286=M$8,H286=M$9,H286=M$10,H286=M$11,H286=M$12,H286=M$13,H286=M$14),SottocategorieEntrate[[#Headers],[Real Estate]],IF(OR(H286=N$5,H286=N$6,H286=N$7,H286=N$8,H286=N$9,H286=N$10,H286=N$11,H286=N$12,H286=N$13,H286=N$14),SottocategorieEntrate[[#Headers],[Other]],""))))))))))))</f>
        <v/>
      </c>
      <c r="J286" t="str">
        <f>IF(OR(Dati[[#This Row],[Categoria]]="Bollette",Dati[[#This Row],[Categoria]]="Conto &amp; Carte BNL",Dati[[#This Row],[Categoria]]="Prelievo",Dati[[#This Row],[Categoria]]="Affitto",Dati[[#This Row],[Categoria]]="BNL(Interessi Creditori)"),"Carta",IF(Dati[[#This Row],[Categoria]]&lt;&gt;0,"Cash",""))</f>
        <v/>
      </c>
      <c r="K286" s="59" t="str">
        <f>IF(OR(Data!$I286=SottocategorieUscite[[#Headers],[Fuori Casa]],Data!$I286=SottocategorieUscite[[#Headers],[Varie Uscite]],Data!$I286=SottocategorieUscite[[#Headers],[Personali]],Data!$I286=SottocategorieUscite[[#Headers],[Lavoro]]),"$ -","")</f>
        <v/>
      </c>
      <c r="L286" s="59" t="str">
        <f>IF(OR(Data!$I286=SottocategorieUscite[[#Headers],[Casa]],Data!$I286=SottocategorieUscite[[#Headers],[Utenze]],Data!$I286=SottocategorieUscite[[#Headers],[Business Uscite]],Data!$I286=SottocategorieUscite[[#Headers],[Banca]]),"$ -","")</f>
        <v/>
      </c>
      <c r="M286" s="59" t="str">
        <f>IF(OR($I286&lt;&gt;SottocategorieUscite[[#Headers],[Fuori Casa]],$I286&lt;&gt;SottocategorieUscite[[#Headers],[Varie Uscite]],$I286&lt;&gt;SottocategorieUscite[[#Headers],[Personali]],$I286&lt;&gt;SottocategorieUscite[[#Headers],[Lavoro]],$I286&lt;&gt;SottocategorieUscite[[#Headers],[Casa]],$I286&lt;&gt;SottocategorieUscite[[#Headers],[Utenze]],$I286&lt;&gt;SottocategorieUscite[[#Headers],[Business Uscite]],$I286&lt;&gt;SottocategorieUscite[[#Headers],[Banca]]),"","$ -")</f>
        <v/>
      </c>
      <c r="N286" s="59" t="str">
        <f>IF(OR(Data!$I286=SottocategorieEntrate[[#Headers],[Business Entrate]],Data!$I286=SottocategorieEntrate[[#Headers],[Varie Entrate]]),"$ -","")</f>
        <v/>
      </c>
      <c r="O286" s="59" t="str">
        <f>IF(OR(Data!$I286=SottocategorieEntrate[[#Headers],[Real Estate]],SottocategorieEntrate[[#Headers],[Other]]),"$ -","")</f>
        <v/>
      </c>
      <c r="P286" s="59" t="str">
        <f>IF(OR($I286&lt;&gt;SottocategorieEntrate[[#Headers],[Business Entrate]],$I286&lt;&gt;SottocategorieEntrate[[#Headers],[Varie Entrate]],$I286&lt;&gt;SottocategorieEntrate[[#Headers],[Real Estate]],$I286&lt;&gt;SottocategorieEntrate[[#Headers],[Other]]),"","$ -")</f>
        <v/>
      </c>
      <c r="Q286" s="59" t="str">
        <f>IF(Dati[[#This Row],[Categoria]]="Prelievo","€ -","")</f>
        <v/>
      </c>
      <c r="R286" s="244" t="str">
        <f t="shared" ca="1" si="14"/>
        <v/>
      </c>
      <c r="S286" s="59" t="str">
        <f>IF(Dati[[#This Row],[Categoria]]="Savings",0,"")</f>
        <v/>
      </c>
      <c r="T286" s="59"/>
      <c r="U286" s="59"/>
      <c r="V286" s="59"/>
      <c r="W286" s="59"/>
      <c r="X286" s="59"/>
      <c r="Y286" s="59"/>
      <c r="Z286" s="59"/>
      <c r="AA286" s="59"/>
      <c r="AB286" s="59"/>
      <c r="AC286" s="59"/>
      <c r="AD286" s="59"/>
      <c r="AE286" s="59"/>
      <c r="AF286" s="59"/>
      <c r="AG286" s="59"/>
      <c r="AH286" s="59"/>
      <c r="AI286" s="59" t="str">
        <f>IF(SUM(Dati[[#This Row],[Inv. Business]:[Inv. Cryptocurrency]])=0," ",SUM(Dati[[#This Row],[Inv. Business]:[Inv. Cryptocurrency]]))</f>
        <v xml:space="preserve"> </v>
      </c>
      <c r="AJ286" s="59"/>
      <c r="AK286" s="59" t="str">
        <f>IF(SUM(Dati[[#This Row],[Inv. Gold]:[Mutuo]])=0," ",SUM(Dati[[#This Row],[Inv. Gold]:[Mutuo]]))</f>
        <v xml:space="preserve"> </v>
      </c>
      <c r="AL286" s="59"/>
      <c r="AM286" s="59"/>
    </row>
    <row r="287" spans="2:39" ht="16" customHeight="1" x14ac:dyDescent="0.35">
      <c r="B287">
        <f t="shared" si="12"/>
        <v>267</v>
      </c>
      <c r="C287" s="49">
        <f t="shared" si="13"/>
        <v>45193</v>
      </c>
      <c r="D287" s="29">
        <f>DAY(Dati[[#This Row],[Data]])</f>
        <v>24</v>
      </c>
      <c r="E287" s="29" t="str">
        <f>IF(DAY(Data!$C$21:$C$1327)&gt;0,TEXT(Data!$C$21:$C$1327, "mmmm"),"")</f>
        <v>settembre</v>
      </c>
      <c r="F287" s="29" t="str">
        <f>IF(DAY(Data!$C$21:$C$1327)&gt;0,TEXT(Data!$C$21:$C$1327, "aaaa"),"")</f>
        <v>2023</v>
      </c>
      <c r="I287" t="str">
        <f>IF(OR(H287=$B$5,H287=$B$6,H287=$B$7,H287=$B$8,H287=$B$9,H287=$B$10,H287=$B$11,H287=$B$12,H287=$B$13,H287=$B$14),SottocategorieUscite[[#Headers],[Fuori Casa]],IF(OR(H287=$C$5,H287=$C$6,H287=$C$7,H287=$C$8,H287=$C$9,H287=$C$10,H287=$C$11,H287=$C$12,H287=$C$13,H287=$C$14),SottocategorieUscite[[#Headers],[Varie Uscite]],IF(OR(H287=$D$5,H287=$D$6,H287=$D$7,H287=$D$8,H287=$D$9,H287=$D$10,H287=$D$11,H287=$D$12,H287=$D$13,H287=$D$14),SottocategorieUscite[[#Headers],[Personali]],IF(OR(H287=$E$5,H287=$E$6,H287=$E$7,H287=$E$8,H287=$E$9,H287=$E$10,H287=$E$11,H287=$E$12,H287=$E$13,H287=$E$14),SottocategorieUscite[[#Headers],[Lavoro]],IF(OR(H287=$F$5,H287=$F$6,H287=$F$7,H287=$F$8,H287=$F$9,H287=$F$10,H287=$F$11,H287=$F$12,H287=$F$13,H287=$F$14),SottocategorieUscite[[#Headers],[Casa]],IF(OR(H287=$G$5,H287=$G$6,H287=$G$7,H287=$G$8,H287=$G$9,H287=$G$10,H287=$G$11,H287=$G$12,H287=$G$13,H287=$G$14),SottocategorieUscite[[#Headers],[Utenze]],IF(OR(H287=$H$5,H287=$H$6,H287=$H$7,H287=$H$8,H287=$H$9,H287=$H$10,H287=$H$11,H287=$H$12,H287=$H$13,H287=$H$14),SottocategorieUscite[[#Headers],[Business Uscite]],IF(OR(H287=$I$5,H287=$I$6,H287=$I$7,H287=$I$8,H287=$I$9,H287=$I$10,H287=$I$11,H287=$I$12,H287=$I$13,H287=$I$14),SottocategorieUscite[[#Headers],[Banca]],IF(OR(H287=K$5,H287=K$6,H287=K$7,H287=K$8,H287=K$9,H287=K$10,H287=K$11,H287=K$12,H287=K$13,H287=K$14),SottocategorieEntrate[[#Headers],[Business Entrate]],IF(OR(H287=L$5,H287=L$6,H287=L$7,H287=L$8,H287=L$9,H287=L$10,H287=L$11,H287=L$12,H287=L$13,H287=L$14),SottocategorieEntrate[[#Headers],[Varie Entrate]],IF(OR(H287=M$5,H287=M$6,H287=M$7,H287=M$8,H287=M$9,H287=M$10,H287=M$11,H287=M$12,H287=M$13,H287=M$14),SottocategorieEntrate[[#Headers],[Real Estate]],IF(OR(H287=N$5,H287=N$6,H287=N$7,H287=N$8,H287=N$9,H287=N$10,H287=N$11,H287=N$12,H287=N$13,H287=N$14),SottocategorieEntrate[[#Headers],[Other]],""))))))))))))</f>
        <v/>
      </c>
      <c r="J287" t="str">
        <f>IF(OR(Dati[[#This Row],[Categoria]]="Bollette",Dati[[#This Row],[Categoria]]="Conto &amp; Carte BNL",Dati[[#This Row],[Categoria]]="Prelievo",Dati[[#This Row],[Categoria]]="Affitto",Dati[[#This Row],[Categoria]]="BNL(Interessi Creditori)"),"Carta",IF(Dati[[#This Row],[Categoria]]&lt;&gt;0,"Cash",""))</f>
        <v/>
      </c>
      <c r="K287" s="59" t="str">
        <f>IF(OR(Data!$I287=SottocategorieUscite[[#Headers],[Fuori Casa]],Data!$I287=SottocategorieUscite[[#Headers],[Varie Uscite]],Data!$I287=SottocategorieUscite[[#Headers],[Personali]],Data!$I287=SottocategorieUscite[[#Headers],[Lavoro]]),"$ -","")</f>
        <v/>
      </c>
      <c r="L287" s="59" t="str">
        <f>IF(OR(Data!$I287=SottocategorieUscite[[#Headers],[Casa]],Data!$I287=SottocategorieUscite[[#Headers],[Utenze]],Data!$I287=SottocategorieUscite[[#Headers],[Business Uscite]],Data!$I287=SottocategorieUscite[[#Headers],[Banca]]),"$ -","")</f>
        <v/>
      </c>
      <c r="M287" s="59" t="str">
        <f>IF(OR($I287&lt;&gt;SottocategorieUscite[[#Headers],[Fuori Casa]],$I287&lt;&gt;SottocategorieUscite[[#Headers],[Varie Uscite]],$I287&lt;&gt;SottocategorieUscite[[#Headers],[Personali]],$I287&lt;&gt;SottocategorieUscite[[#Headers],[Lavoro]],$I287&lt;&gt;SottocategorieUscite[[#Headers],[Casa]],$I287&lt;&gt;SottocategorieUscite[[#Headers],[Utenze]],$I287&lt;&gt;SottocategorieUscite[[#Headers],[Business Uscite]],$I287&lt;&gt;SottocategorieUscite[[#Headers],[Banca]]),"","$ -")</f>
        <v/>
      </c>
      <c r="N287" s="59" t="str">
        <f>IF(OR(Data!$I287=SottocategorieEntrate[[#Headers],[Business Entrate]],Data!$I287=SottocategorieEntrate[[#Headers],[Varie Entrate]]),"$ -","")</f>
        <v/>
      </c>
      <c r="O287" s="59" t="str">
        <f>IF(OR(Data!$I287=SottocategorieEntrate[[#Headers],[Real Estate]],SottocategorieEntrate[[#Headers],[Other]]),"$ -","")</f>
        <v/>
      </c>
      <c r="P287" s="59" t="str">
        <f>IF(OR($I287&lt;&gt;SottocategorieEntrate[[#Headers],[Business Entrate]],$I287&lt;&gt;SottocategorieEntrate[[#Headers],[Varie Entrate]],$I287&lt;&gt;SottocategorieEntrate[[#Headers],[Real Estate]],$I287&lt;&gt;SottocategorieEntrate[[#Headers],[Other]]),"","$ -")</f>
        <v/>
      </c>
      <c r="Q287" s="59" t="str">
        <f>IF(Dati[[#This Row],[Categoria]]="Prelievo","€ -","")</f>
        <v/>
      </c>
      <c r="R287" s="244" t="str">
        <f t="shared" ca="1" si="14"/>
        <v/>
      </c>
      <c r="S287" s="59" t="str">
        <f>IF(Dati[[#This Row],[Categoria]]="Savings",0,"")</f>
        <v/>
      </c>
      <c r="T287" s="59"/>
      <c r="U287" s="59"/>
      <c r="V287" s="59"/>
      <c r="W287" s="59"/>
      <c r="X287" s="59"/>
      <c r="Y287" s="59"/>
      <c r="Z287" s="59"/>
      <c r="AA287" s="59"/>
      <c r="AB287" s="59"/>
      <c r="AC287" s="59"/>
      <c r="AD287" s="59"/>
      <c r="AE287" s="59"/>
      <c r="AF287" s="59"/>
      <c r="AG287" s="59"/>
      <c r="AH287" s="59"/>
      <c r="AI287" s="59" t="str">
        <f>IF(SUM(Dati[[#This Row],[Inv. Business]:[Inv. Cryptocurrency]])=0," ",SUM(Dati[[#This Row],[Inv. Business]:[Inv. Cryptocurrency]]))</f>
        <v xml:space="preserve"> </v>
      </c>
      <c r="AJ287" s="59"/>
      <c r="AK287" s="59" t="str">
        <f>IF(SUM(Dati[[#This Row],[Inv. Gold]:[Mutuo]])=0," ",SUM(Dati[[#This Row],[Inv. Gold]:[Mutuo]]))</f>
        <v xml:space="preserve"> </v>
      </c>
      <c r="AL287" s="59"/>
      <c r="AM287" s="59"/>
    </row>
    <row r="288" spans="2:39" ht="16" customHeight="1" x14ac:dyDescent="0.35">
      <c r="B288">
        <f t="shared" si="12"/>
        <v>268</v>
      </c>
      <c r="C288" s="49">
        <f t="shared" si="13"/>
        <v>45194</v>
      </c>
      <c r="D288" s="29">
        <f>DAY(Dati[[#This Row],[Data]])</f>
        <v>25</v>
      </c>
      <c r="E288" s="29" t="str">
        <f>IF(DAY(Data!$C$21:$C$1327)&gt;0,TEXT(Data!$C$21:$C$1327, "mmmm"),"")</f>
        <v>settembre</v>
      </c>
      <c r="F288" s="29" t="str">
        <f>IF(DAY(Data!$C$21:$C$1327)&gt;0,TEXT(Data!$C$21:$C$1327, "aaaa"),"")</f>
        <v>2023</v>
      </c>
      <c r="I288" t="str">
        <f>IF(OR(H288=$B$5,H288=$B$6,H288=$B$7,H288=$B$8,H288=$B$9,H288=$B$10,H288=$B$11,H288=$B$12,H288=$B$13,H288=$B$14),SottocategorieUscite[[#Headers],[Fuori Casa]],IF(OR(H288=$C$5,H288=$C$6,H288=$C$7,H288=$C$8,H288=$C$9,H288=$C$10,H288=$C$11,H288=$C$12,H288=$C$13,H288=$C$14),SottocategorieUscite[[#Headers],[Varie Uscite]],IF(OR(H288=$D$5,H288=$D$6,H288=$D$7,H288=$D$8,H288=$D$9,H288=$D$10,H288=$D$11,H288=$D$12,H288=$D$13,H288=$D$14),SottocategorieUscite[[#Headers],[Personali]],IF(OR(H288=$E$5,H288=$E$6,H288=$E$7,H288=$E$8,H288=$E$9,H288=$E$10,H288=$E$11,H288=$E$12,H288=$E$13,H288=$E$14),SottocategorieUscite[[#Headers],[Lavoro]],IF(OR(H288=$F$5,H288=$F$6,H288=$F$7,H288=$F$8,H288=$F$9,H288=$F$10,H288=$F$11,H288=$F$12,H288=$F$13,H288=$F$14),SottocategorieUscite[[#Headers],[Casa]],IF(OR(H288=$G$5,H288=$G$6,H288=$G$7,H288=$G$8,H288=$G$9,H288=$G$10,H288=$G$11,H288=$G$12,H288=$G$13,H288=$G$14),SottocategorieUscite[[#Headers],[Utenze]],IF(OR(H288=$H$5,H288=$H$6,H288=$H$7,H288=$H$8,H288=$H$9,H288=$H$10,H288=$H$11,H288=$H$12,H288=$H$13,H288=$H$14),SottocategorieUscite[[#Headers],[Business Uscite]],IF(OR(H288=$I$5,H288=$I$6,H288=$I$7,H288=$I$8,H288=$I$9,H288=$I$10,H288=$I$11,H288=$I$12,H288=$I$13,H288=$I$14),SottocategorieUscite[[#Headers],[Banca]],IF(OR(H288=K$5,H288=K$6,H288=K$7,H288=K$8,H288=K$9,H288=K$10,H288=K$11,H288=K$12,H288=K$13,H288=K$14),SottocategorieEntrate[[#Headers],[Business Entrate]],IF(OR(H288=L$5,H288=L$6,H288=L$7,H288=L$8,H288=L$9,H288=L$10,H288=L$11,H288=L$12,H288=L$13,H288=L$14),SottocategorieEntrate[[#Headers],[Varie Entrate]],IF(OR(H288=M$5,H288=M$6,H288=M$7,H288=M$8,H288=M$9,H288=M$10,H288=M$11,H288=M$12,H288=M$13,H288=M$14),SottocategorieEntrate[[#Headers],[Real Estate]],IF(OR(H288=N$5,H288=N$6,H288=N$7,H288=N$8,H288=N$9,H288=N$10,H288=N$11,H288=N$12,H288=N$13,H288=N$14),SottocategorieEntrate[[#Headers],[Other]],""))))))))))))</f>
        <v/>
      </c>
      <c r="J288" t="str">
        <f>IF(OR(Dati[[#This Row],[Categoria]]="Bollette",Dati[[#This Row],[Categoria]]="Conto &amp; Carte BNL",Dati[[#This Row],[Categoria]]="Prelievo",Dati[[#This Row],[Categoria]]="Affitto",Dati[[#This Row],[Categoria]]="BNL(Interessi Creditori)"),"Carta",IF(Dati[[#This Row],[Categoria]]&lt;&gt;0,"Cash",""))</f>
        <v/>
      </c>
      <c r="K288" s="59" t="str">
        <f>IF(OR(Data!$I288=SottocategorieUscite[[#Headers],[Fuori Casa]],Data!$I288=SottocategorieUscite[[#Headers],[Varie Uscite]],Data!$I288=SottocategorieUscite[[#Headers],[Personali]],Data!$I288=SottocategorieUscite[[#Headers],[Lavoro]]),"$ -","")</f>
        <v/>
      </c>
      <c r="L288" s="59" t="str">
        <f>IF(OR(Data!$I288=SottocategorieUscite[[#Headers],[Casa]],Data!$I288=SottocategorieUscite[[#Headers],[Utenze]],Data!$I288=SottocategorieUscite[[#Headers],[Business Uscite]],Data!$I288=SottocategorieUscite[[#Headers],[Banca]]),"$ -","")</f>
        <v/>
      </c>
      <c r="M288" s="59" t="str">
        <f>IF(OR($I288&lt;&gt;SottocategorieUscite[[#Headers],[Fuori Casa]],$I288&lt;&gt;SottocategorieUscite[[#Headers],[Varie Uscite]],$I288&lt;&gt;SottocategorieUscite[[#Headers],[Personali]],$I288&lt;&gt;SottocategorieUscite[[#Headers],[Lavoro]],$I288&lt;&gt;SottocategorieUscite[[#Headers],[Casa]],$I288&lt;&gt;SottocategorieUscite[[#Headers],[Utenze]],$I288&lt;&gt;SottocategorieUscite[[#Headers],[Business Uscite]],$I288&lt;&gt;SottocategorieUscite[[#Headers],[Banca]]),"","$ -")</f>
        <v/>
      </c>
      <c r="N288" s="59" t="str">
        <f>IF(OR(Data!$I288=SottocategorieEntrate[[#Headers],[Business Entrate]],Data!$I288=SottocategorieEntrate[[#Headers],[Varie Entrate]]),"$ -","")</f>
        <v/>
      </c>
      <c r="O288" s="59" t="str">
        <f>IF(OR(Data!$I288=SottocategorieEntrate[[#Headers],[Real Estate]],SottocategorieEntrate[[#Headers],[Other]]),"$ -","")</f>
        <v/>
      </c>
      <c r="P288" s="59" t="str">
        <f>IF(OR($I288&lt;&gt;SottocategorieEntrate[[#Headers],[Business Entrate]],$I288&lt;&gt;SottocategorieEntrate[[#Headers],[Varie Entrate]],$I288&lt;&gt;SottocategorieEntrate[[#Headers],[Real Estate]],$I288&lt;&gt;SottocategorieEntrate[[#Headers],[Other]]),"","$ -")</f>
        <v/>
      </c>
      <c r="Q288" s="59" t="str">
        <f>IF(Dati[[#This Row],[Categoria]]="Prelievo","€ -","")</f>
        <v/>
      </c>
      <c r="R288" s="244" t="str">
        <f t="shared" ca="1" si="14"/>
        <v/>
      </c>
      <c r="S288" s="59" t="str">
        <f>IF(Dati[[#This Row],[Categoria]]="Savings",0,"")</f>
        <v/>
      </c>
      <c r="T288" s="59"/>
      <c r="U288" s="59"/>
      <c r="V288" s="59"/>
      <c r="W288" s="59"/>
      <c r="X288" s="59"/>
      <c r="Y288" s="59"/>
      <c r="Z288" s="59"/>
      <c r="AA288" s="59"/>
      <c r="AB288" s="59"/>
      <c r="AC288" s="59"/>
      <c r="AD288" s="59"/>
      <c r="AE288" s="59"/>
      <c r="AF288" s="59"/>
      <c r="AG288" s="59"/>
      <c r="AH288" s="59"/>
      <c r="AI288" s="59" t="str">
        <f>IF(SUM(Dati[[#This Row],[Inv. Business]:[Inv. Cryptocurrency]])=0," ",SUM(Dati[[#This Row],[Inv. Business]:[Inv. Cryptocurrency]]))</f>
        <v xml:space="preserve"> </v>
      </c>
      <c r="AJ288" s="59"/>
      <c r="AK288" s="59" t="str">
        <f>IF(SUM(Dati[[#This Row],[Inv. Gold]:[Mutuo]])=0," ",SUM(Dati[[#This Row],[Inv. Gold]:[Mutuo]]))</f>
        <v xml:space="preserve"> </v>
      </c>
      <c r="AL288" s="59"/>
      <c r="AM288" s="59"/>
    </row>
    <row r="289" spans="2:39" ht="16" customHeight="1" x14ac:dyDescent="0.35">
      <c r="B289">
        <f t="shared" si="12"/>
        <v>269</v>
      </c>
      <c r="C289" s="49">
        <f t="shared" si="13"/>
        <v>45195</v>
      </c>
      <c r="D289" s="29">
        <f>DAY(Dati[[#This Row],[Data]])</f>
        <v>26</v>
      </c>
      <c r="E289" s="29" t="str">
        <f>IF(DAY(Data!$C$21:$C$1327)&gt;0,TEXT(Data!$C$21:$C$1327, "mmmm"),"")</f>
        <v>settembre</v>
      </c>
      <c r="F289" s="29" t="str">
        <f>IF(DAY(Data!$C$21:$C$1327)&gt;0,TEXT(Data!$C$21:$C$1327, "aaaa"),"")</f>
        <v>2023</v>
      </c>
      <c r="I289" t="str">
        <f>IF(OR(H289=$B$5,H289=$B$6,H289=$B$7,H289=$B$8,H289=$B$9,H289=$B$10,H289=$B$11,H289=$B$12,H289=$B$13,H289=$B$14),SottocategorieUscite[[#Headers],[Fuori Casa]],IF(OR(H289=$C$5,H289=$C$6,H289=$C$7,H289=$C$8,H289=$C$9,H289=$C$10,H289=$C$11,H289=$C$12,H289=$C$13,H289=$C$14),SottocategorieUscite[[#Headers],[Varie Uscite]],IF(OR(H289=$D$5,H289=$D$6,H289=$D$7,H289=$D$8,H289=$D$9,H289=$D$10,H289=$D$11,H289=$D$12,H289=$D$13,H289=$D$14),SottocategorieUscite[[#Headers],[Personali]],IF(OR(H289=$E$5,H289=$E$6,H289=$E$7,H289=$E$8,H289=$E$9,H289=$E$10,H289=$E$11,H289=$E$12,H289=$E$13,H289=$E$14),SottocategorieUscite[[#Headers],[Lavoro]],IF(OR(H289=$F$5,H289=$F$6,H289=$F$7,H289=$F$8,H289=$F$9,H289=$F$10,H289=$F$11,H289=$F$12,H289=$F$13,H289=$F$14),SottocategorieUscite[[#Headers],[Casa]],IF(OR(H289=$G$5,H289=$G$6,H289=$G$7,H289=$G$8,H289=$G$9,H289=$G$10,H289=$G$11,H289=$G$12,H289=$G$13,H289=$G$14),SottocategorieUscite[[#Headers],[Utenze]],IF(OR(H289=$H$5,H289=$H$6,H289=$H$7,H289=$H$8,H289=$H$9,H289=$H$10,H289=$H$11,H289=$H$12,H289=$H$13,H289=$H$14),SottocategorieUscite[[#Headers],[Business Uscite]],IF(OR(H289=$I$5,H289=$I$6,H289=$I$7,H289=$I$8,H289=$I$9,H289=$I$10,H289=$I$11,H289=$I$12,H289=$I$13,H289=$I$14),SottocategorieUscite[[#Headers],[Banca]],IF(OR(H289=K$5,H289=K$6,H289=K$7,H289=K$8,H289=K$9,H289=K$10,H289=K$11,H289=K$12,H289=K$13,H289=K$14),SottocategorieEntrate[[#Headers],[Business Entrate]],IF(OR(H289=L$5,H289=L$6,H289=L$7,H289=L$8,H289=L$9,H289=L$10,H289=L$11,H289=L$12,H289=L$13,H289=L$14),SottocategorieEntrate[[#Headers],[Varie Entrate]],IF(OR(H289=M$5,H289=M$6,H289=M$7,H289=M$8,H289=M$9,H289=M$10,H289=M$11,H289=M$12,H289=M$13,H289=M$14),SottocategorieEntrate[[#Headers],[Real Estate]],IF(OR(H289=N$5,H289=N$6,H289=N$7,H289=N$8,H289=N$9,H289=N$10,H289=N$11,H289=N$12,H289=N$13,H289=N$14),SottocategorieEntrate[[#Headers],[Other]],""))))))))))))</f>
        <v/>
      </c>
      <c r="J289" t="str">
        <f>IF(OR(Dati[[#This Row],[Categoria]]="Bollette",Dati[[#This Row],[Categoria]]="Conto &amp; Carte BNL",Dati[[#This Row],[Categoria]]="Prelievo",Dati[[#This Row],[Categoria]]="Affitto",Dati[[#This Row],[Categoria]]="BNL(Interessi Creditori)"),"Carta",IF(Dati[[#This Row],[Categoria]]&lt;&gt;0,"Cash",""))</f>
        <v/>
      </c>
      <c r="K289" s="59" t="str">
        <f>IF(OR(Data!$I289=SottocategorieUscite[[#Headers],[Fuori Casa]],Data!$I289=SottocategorieUscite[[#Headers],[Varie Uscite]],Data!$I289=SottocategorieUscite[[#Headers],[Personali]],Data!$I289=SottocategorieUscite[[#Headers],[Lavoro]]),"$ -","")</f>
        <v/>
      </c>
      <c r="L289" s="59" t="str">
        <f>IF(OR(Data!$I289=SottocategorieUscite[[#Headers],[Casa]],Data!$I289=SottocategorieUscite[[#Headers],[Utenze]],Data!$I289=SottocategorieUscite[[#Headers],[Business Uscite]],Data!$I289=SottocategorieUscite[[#Headers],[Banca]]),"$ -","")</f>
        <v/>
      </c>
      <c r="M289" s="59" t="str">
        <f>IF(OR($I289&lt;&gt;SottocategorieUscite[[#Headers],[Fuori Casa]],$I289&lt;&gt;SottocategorieUscite[[#Headers],[Varie Uscite]],$I289&lt;&gt;SottocategorieUscite[[#Headers],[Personali]],$I289&lt;&gt;SottocategorieUscite[[#Headers],[Lavoro]],$I289&lt;&gt;SottocategorieUscite[[#Headers],[Casa]],$I289&lt;&gt;SottocategorieUscite[[#Headers],[Utenze]],$I289&lt;&gt;SottocategorieUscite[[#Headers],[Business Uscite]],$I289&lt;&gt;SottocategorieUscite[[#Headers],[Banca]]),"","$ -")</f>
        <v/>
      </c>
      <c r="N289" s="59" t="str">
        <f>IF(OR(Data!$I289=SottocategorieEntrate[[#Headers],[Business Entrate]],Data!$I289=SottocategorieEntrate[[#Headers],[Varie Entrate]]),"$ -","")</f>
        <v/>
      </c>
      <c r="O289" s="59" t="str">
        <f>IF(OR(Data!$I289=SottocategorieEntrate[[#Headers],[Real Estate]],SottocategorieEntrate[[#Headers],[Other]]),"$ -","")</f>
        <v/>
      </c>
      <c r="P289" s="59" t="str">
        <f>IF(OR($I289&lt;&gt;SottocategorieEntrate[[#Headers],[Business Entrate]],$I289&lt;&gt;SottocategorieEntrate[[#Headers],[Varie Entrate]],$I289&lt;&gt;SottocategorieEntrate[[#Headers],[Real Estate]],$I289&lt;&gt;SottocategorieEntrate[[#Headers],[Other]]),"","$ -")</f>
        <v/>
      </c>
      <c r="Q289" s="59" t="str">
        <f>IF(Dati[[#This Row],[Categoria]]="Prelievo","€ -","")</f>
        <v/>
      </c>
      <c r="R289" s="244" t="str">
        <f t="shared" ca="1" si="14"/>
        <v/>
      </c>
      <c r="S289" s="59" t="str">
        <f>IF(Dati[[#This Row],[Categoria]]="Savings",0,"")</f>
        <v/>
      </c>
      <c r="T289" s="59"/>
      <c r="U289" s="59"/>
      <c r="V289" s="59"/>
      <c r="W289" s="59"/>
      <c r="X289" s="59"/>
      <c r="Y289" s="59"/>
      <c r="Z289" s="59"/>
      <c r="AA289" s="59"/>
      <c r="AB289" s="59"/>
      <c r="AC289" s="59"/>
      <c r="AD289" s="59"/>
      <c r="AE289" s="59"/>
      <c r="AF289" s="59"/>
      <c r="AG289" s="59"/>
      <c r="AH289" s="59"/>
      <c r="AI289" s="59" t="str">
        <f>IF(SUM(Dati[[#This Row],[Inv. Business]:[Inv. Cryptocurrency]])=0," ",SUM(Dati[[#This Row],[Inv. Business]:[Inv. Cryptocurrency]]))</f>
        <v xml:space="preserve"> </v>
      </c>
      <c r="AJ289" s="59"/>
      <c r="AK289" s="59" t="str">
        <f>IF(SUM(Dati[[#This Row],[Inv. Gold]:[Mutuo]])=0," ",SUM(Dati[[#This Row],[Inv. Gold]:[Mutuo]]))</f>
        <v xml:space="preserve"> </v>
      </c>
      <c r="AL289" s="59"/>
      <c r="AM289" s="59"/>
    </row>
    <row r="290" spans="2:39" ht="16" customHeight="1" x14ac:dyDescent="0.35">
      <c r="B290">
        <f t="shared" si="12"/>
        <v>270</v>
      </c>
      <c r="C290" s="49">
        <f t="shared" si="13"/>
        <v>45196</v>
      </c>
      <c r="D290" s="29">
        <f>DAY(Dati[[#This Row],[Data]])</f>
        <v>27</v>
      </c>
      <c r="E290" s="29" t="str">
        <f>IF(DAY(Data!$C$21:$C$1327)&gt;0,TEXT(Data!$C$21:$C$1327, "mmmm"),"")</f>
        <v>settembre</v>
      </c>
      <c r="F290" s="29" t="str">
        <f>IF(DAY(Data!$C$21:$C$1327)&gt;0,TEXT(Data!$C$21:$C$1327, "aaaa"),"")</f>
        <v>2023</v>
      </c>
      <c r="I290" t="str">
        <f>IF(OR(H290=$B$5,H290=$B$6,H290=$B$7,H290=$B$8,H290=$B$9,H290=$B$10,H290=$B$11,H290=$B$12,H290=$B$13,H290=$B$14),SottocategorieUscite[[#Headers],[Fuori Casa]],IF(OR(H290=$C$5,H290=$C$6,H290=$C$7,H290=$C$8,H290=$C$9,H290=$C$10,H290=$C$11,H290=$C$12,H290=$C$13,H290=$C$14),SottocategorieUscite[[#Headers],[Varie Uscite]],IF(OR(H290=$D$5,H290=$D$6,H290=$D$7,H290=$D$8,H290=$D$9,H290=$D$10,H290=$D$11,H290=$D$12,H290=$D$13,H290=$D$14),SottocategorieUscite[[#Headers],[Personali]],IF(OR(H290=$E$5,H290=$E$6,H290=$E$7,H290=$E$8,H290=$E$9,H290=$E$10,H290=$E$11,H290=$E$12,H290=$E$13,H290=$E$14),SottocategorieUscite[[#Headers],[Lavoro]],IF(OR(H290=$F$5,H290=$F$6,H290=$F$7,H290=$F$8,H290=$F$9,H290=$F$10,H290=$F$11,H290=$F$12,H290=$F$13,H290=$F$14),SottocategorieUscite[[#Headers],[Casa]],IF(OR(H290=$G$5,H290=$G$6,H290=$G$7,H290=$G$8,H290=$G$9,H290=$G$10,H290=$G$11,H290=$G$12,H290=$G$13,H290=$G$14),SottocategorieUscite[[#Headers],[Utenze]],IF(OR(H290=$H$5,H290=$H$6,H290=$H$7,H290=$H$8,H290=$H$9,H290=$H$10,H290=$H$11,H290=$H$12,H290=$H$13,H290=$H$14),SottocategorieUscite[[#Headers],[Business Uscite]],IF(OR(H290=$I$5,H290=$I$6,H290=$I$7,H290=$I$8,H290=$I$9,H290=$I$10,H290=$I$11,H290=$I$12,H290=$I$13,H290=$I$14),SottocategorieUscite[[#Headers],[Banca]],IF(OR(H290=K$5,H290=K$6,H290=K$7,H290=K$8,H290=K$9,H290=K$10,H290=K$11,H290=K$12,H290=K$13,H290=K$14),SottocategorieEntrate[[#Headers],[Business Entrate]],IF(OR(H290=L$5,H290=L$6,H290=L$7,H290=L$8,H290=L$9,H290=L$10,H290=L$11,H290=L$12,H290=L$13,H290=L$14),SottocategorieEntrate[[#Headers],[Varie Entrate]],IF(OR(H290=M$5,H290=M$6,H290=M$7,H290=M$8,H290=M$9,H290=M$10,H290=M$11,H290=M$12,H290=M$13,H290=M$14),SottocategorieEntrate[[#Headers],[Real Estate]],IF(OR(H290=N$5,H290=N$6,H290=N$7,H290=N$8,H290=N$9,H290=N$10,H290=N$11,H290=N$12,H290=N$13,H290=N$14),SottocategorieEntrate[[#Headers],[Other]],""))))))))))))</f>
        <v/>
      </c>
      <c r="J290" t="str">
        <f>IF(OR(Dati[[#This Row],[Categoria]]="Bollette",Dati[[#This Row],[Categoria]]="Conto &amp; Carte BNL",Dati[[#This Row],[Categoria]]="Prelievo",Dati[[#This Row],[Categoria]]="Affitto",Dati[[#This Row],[Categoria]]="BNL(Interessi Creditori)"),"Carta",IF(Dati[[#This Row],[Categoria]]&lt;&gt;0,"Cash",""))</f>
        <v/>
      </c>
      <c r="K290" s="59" t="str">
        <f>IF(OR(Data!$I290=SottocategorieUscite[[#Headers],[Fuori Casa]],Data!$I290=SottocategorieUscite[[#Headers],[Varie Uscite]],Data!$I290=SottocategorieUscite[[#Headers],[Personali]],Data!$I290=SottocategorieUscite[[#Headers],[Lavoro]]),"$ -","")</f>
        <v/>
      </c>
      <c r="L290" s="59" t="str">
        <f>IF(OR(Data!$I290=SottocategorieUscite[[#Headers],[Casa]],Data!$I290=SottocategorieUscite[[#Headers],[Utenze]],Data!$I290=SottocategorieUscite[[#Headers],[Business Uscite]],Data!$I290=SottocategorieUscite[[#Headers],[Banca]]),"$ -","")</f>
        <v/>
      </c>
      <c r="M290" s="59" t="str">
        <f>IF(OR($I290&lt;&gt;SottocategorieUscite[[#Headers],[Fuori Casa]],$I290&lt;&gt;SottocategorieUscite[[#Headers],[Varie Uscite]],$I290&lt;&gt;SottocategorieUscite[[#Headers],[Personali]],$I290&lt;&gt;SottocategorieUscite[[#Headers],[Lavoro]],$I290&lt;&gt;SottocategorieUscite[[#Headers],[Casa]],$I290&lt;&gt;SottocategorieUscite[[#Headers],[Utenze]],$I290&lt;&gt;SottocategorieUscite[[#Headers],[Business Uscite]],$I290&lt;&gt;SottocategorieUscite[[#Headers],[Banca]]),"","$ -")</f>
        <v/>
      </c>
      <c r="N290" s="59" t="str">
        <f>IF(OR(Data!$I290=SottocategorieEntrate[[#Headers],[Business Entrate]],Data!$I290=SottocategorieEntrate[[#Headers],[Varie Entrate]]),"$ -","")</f>
        <v/>
      </c>
      <c r="O290" s="59" t="str">
        <f>IF(OR(Data!$I290=SottocategorieEntrate[[#Headers],[Real Estate]],SottocategorieEntrate[[#Headers],[Other]]),"$ -","")</f>
        <v/>
      </c>
      <c r="P290" s="59" t="str">
        <f>IF(OR($I290&lt;&gt;SottocategorieEntrate[[#Headers],[Business Entrate]],$I290&lt;&gt;SottocategorieEntrate[[#Headers],[Varie Entrate]],$I290&lt;&gt;SottocategorieEntrate[[#Headers],[Real Estate]],$I290&lt;&gt;SottocategorieEntrate[[#Headers],[Other]]),"","$ -")</f>
        <v/>
      </c>
      <c r="Q290" s="59" t="str">
        <f>IF(Dati[[#This Row],[Categoria]]="Prelievo","€ -","")</f>
        <v/>
      </c>
      <c r="R290" s="244" t="str">
        <f t="shared" ca="1" si="14"/>
        <v/>
      </c>
      <c r="S290" s="59" t="str">
        <f>IF(Dati[[#This Row],[Categoria]]="Savings",0,"")</f>
        <v/>
      </c>
      <c r="T290" s="59"/>
      <c r="U290" s="59"/>
      <c r="V290" s="59"/>
      <c r="W290" s="59"/>
      <c r="X290" s="59"/>
      <c r="Y290" s="59"/>
      <c r="Z290" s="59"/>
      <c r="AA290" s="59"/>
      <c r="AB290" s="59"/>
      <c r="AC290" s="59"/>
      <c r="AD290" s="59"/>
      <c r="AE290" s="59"/>
      <c r="AF290" s="59"/>
      <c r="AG290" s="59"/>
      <c r="AH290" s="59"/>
      <c r="AI290" s="59" t="str">
        <f>IF(SUM(Dati[[#This Row],[Inv. Business]:[Inv. Cryptocurrency]])=0," ",SUM(Dati[[#This Row],[Inv. Business]:[Inv. Cryptocurrency]]))</f>
        <v xml:space="preserve"> </v>
      </c>
      <c r="AJ290" s="59"/>
      <c r="AK290" s="59" t="str">
        <f>IF(SUM(Dati[[#This Row],[Inv. Gold]:[Mutuo]])=0," ",SUM(Dati[[#This Row],[Inv. Gold]:[Mutuo]]))</f>
        <v xml:space="preserve"> </v>
      </c>
      <c r="AL290" s="59"/>
      <c r="AM290" s="59"/>
    </row>
    <row r="291" spans="2:39" ht="16" customHeight="1" x14ac:dyDescent="0.35">
      <c r="B291">
        <f t="shared" si="12"/>
        <v>271</v>
      </c>
      <c r="C291" s="49">
        <f t="shared" si="13"/>
        <v>45197</v>
      </c>
      <c r="D291" s="29">
        <f>DAY(Dati[[#This Row],[Data]])</f>
        <v>28</v>
      </c>
      <c r="E291" s="29" t="str">
        <f>IF(DAY(Data!$C$21:$C$1327)&gt;0,TEXT(Data!$C$21:$C$1327, "mmmm"),"")</f>
        <v>settembre</v>
      </c>
      <c r="F291" s="29" t="str">
        <f>IF(DAY(Data!$C$21:$C$1327)&gt;0,TEXT(Data!$C$21:$C$1327, "aaaa"),"")</f>
        <v>2023</v>
      </c>
      <c r="I291" t="str">
        <f>IF(OR(H291=$B$5,H291=$B$6,H291=$B$7,H291=$B$8,H291=$B$9,H291=$B$10,H291=$B$11,H291=$B$12,H291=$B$13,H291=$B$14),SottocategorieUscite[[#Headers],[Fuori Casa]],IF(OR(H291=$C$5,H291=$C$6,H291=$C$7,H291=$C$8,H291=$C$9,H291=$C$10,H291=$C$11,H291=$C$12,H291=$C$13,H291=$C$14),SottocategorieUscite[[#Headers],[Varie Uscite]],IF(OR(H291=$D$5,H291=$D$6,H291=$D$7,H291=$D$8,H291=$D$9,H291=$D$10,H291=$D$11,H291=$D$12,H291=$D$13,H291=$D$14),SottocategorieUscite[[#Headers],[Personali]],IF(OR(H291=$E$5,H291=$E$6,H291=$E$7,H291=$E$8,H291=$E$9,H291=$E$10,H291=$E$11,H291=$E$12,H291=$E$13,H291=$E$14),SottocategorieUscite[[#Headers],[Lavoro]],IF(OR(H291=$F$5,H291=$F$6,H291=$F$7,H291=$F$8,H291=$F$9,H291=$F$10,H291=$F$11,H291=$F$12,H291=$F$13,H291=$F$14),SottocategorieUscite[[#Headers],[Casa]],IF(OR(H291=$G$5,H291=$G$6,H291=$G$7,H291=$G$8,H291=$G$9,H291=$G$10,H291=$G$11,H291=$G$12,H291=$G$13,H291=$G$14),SottocategorieUscite[[#Headers],[Utenze]],IF(OR(H291=$H$5,H291=$H$6,H291=$H$7,H291=$H$8,H291=$H$9,H291=$H$10,H291=$H$11,H291=$H$12,H291=$H$13,H291=$H$14),SottocategorieUscite[[#Headers],[Business Uscite]],IF(OR(H291=$I$5,H291=$I$6,H291=$I$7,H291=$I$8,H291=$I$9,H291=$I$10,H291=$I$11,H291=$I$12,H291=$I$13,H291=$I$14),SottocategorieUscite[[#Headers],[Banca]],IF(OR(H291=K$5,H291=K$6,H291=K$7,H291=K$8,H291=K$9,H291=K$10,H291=K$11,H291=K$12,H291=K$13,H291=K$14),SottocategorieEntrate[[#Headers],[Business Entrate]],IF(OR(H291=L$5,H291=L$6,H291=L$7,H291=L$8,H291=L$9,H291=L$10,H291=L$11,H291=L$12,H291=L$13,H291=L$14),SottocategorieEntrate[[#Headers],[Varie Entrate]],IF(OR(H291=M$5,H291=M$6,H291=M$7,H291=M$8,H291=M$9,H291=M$10,H291=M$11,H291=M$12,H291=M$13,H291=M$14),SottocategorieEntrate[[#Headers],[Real Estate]],IF(OR(H291=N$5,H291=N$6,H291=N$7,H291=N$8,H291=N$9,H291=N$10,H291=N$11,H291=N$12,H291=N$13,H291=N$14),SottocategorieEntrate[[#Headers],[Other]],""))))))))))))</f>
        <v/>
      </c>
      <c r="J291" t="str">
        <f>IF(OR(Dati[[#This Row],[Categoria]]="Bollette",Dati[[#This Row],[Categoria]]="Conto &amp; Carte BNL",Dati[[#This Row],[Categoria]]="Prelievo",Dati[[#This Row],[Categoria]]="Affitto",Dati[[#This Row],[Categoria]]="BNL(Interessi Creditori)"),"Carta",IF(Dati[[#This Row],[Categoria]]&lt;&gt;0,"Cash",""))</f>
        <v/>
      </c>
      <c r="K291" s="59" t="str">
        <f>IF(OR(Data!$I291=SottocategorieUscite[[#Headers],[Fuori Casa]],Data!$I291=SottocategorieUscite[[#Headers],[Varie Uscite]],Data!$I291=SottocategorieUscite[[#Headers],[Personali]],Data!$I291=SottocategorieUscite[[#Headers],[Lavoro]]),"$ -","")</f>
        <v/>
      </c>
      <c r="L291" s="59" t="str">
        <f>IF(OR(Data!$I291=SottocategorieUscite[[#Headers],[Casa]],Data!$I291=SottocategorieUscite[[#Headers],[Utenze]],Data!$I291=SottocategorieUscite[[#Headers],[Business Uscite]],Data!$I291=SottocategorieUscite[[#Headers],[Banca]]),"$ -","")</f>
        <v/>
      </c>
      <c r="M291" s="59" t="str">
        <f>IF(OR($I291&lt;&gt;SottocategorieUscite[[#Headers],[Fuori Casa]],$I291&lt;&gt;SottocategorieUscite[[#Headers],[Varie Uscite]],$I291&lt;&gt;SottocategorieUscite[[#Headers],[Personali]],$I291&lt;&gt;SottocategorieUscite[[#Headers],[Lavoro]],$I291&lt;&gt;SottocategorieUscite[[#Headers],[Casa]],$I291&lt;&gt;SottocategorieUscite[[#Headers],[Utenze]],$I291&lt;&gt;SottocategorieUscite[[#Headers],[Business Uscite]],$I291&lt;&gt;SottocategorieUscite[[#Headers],[Banca]]),"","$ -")</f>
        <v/>
      </c>
      <c r="N291" s="59" t="str">
        <f>IF(OR(Data!$I291=SottocategorieEntrate[[#Headers],[Business Entrate]],Data!$I291=SottocategorieEntrate[[#Headers],[Varie Entrate]]),"$ -","")</f>
        <v/>
      </c>
      <c r="O291" s="59" t="str">
        <f>IF(OR(Data!$I291=SottocategorieEntrate[[#Headers],[Real Estate]],SottocategorieEntrate[[#Headers],[Other]]),"$ -","")</f>
        <v/>
      </c>
      <c r="P291" s="59" t="str">
        <f>IF(OR($I291&lt;&gt;SottocategorieEntrate[[#Headers],[Business Entrate]],$I291&lt;&gt;SottocategorieEntrate[[#Headers],[Varie Entrate]],$I291&lt;&gt;SottocategorieEntrate[[#Headers],[Real Estate]],$I291&lt;&gt;SottocategorieEntrate[[#Headers],[Other]]),"","$ -")</f>
        <v/>
      </c>
      <c r="Q291" s="59" t="str">
        <f>IF(Dati[[#This Row],[Categoria]]="Prelievo","€ -","")</f>
        <v/>
      </c>
      <c r="R291" s="244" t="str">
        <f t="shared" ca="1" si="14"/>
        <v/>
      </c>
      <c r="S291" s="59" t="str">
        <f>IF(Dati[[#This Row],[Categoria]]="Savings",0,"")</f>
        <v/>
      </c>
      <c r="T291" s="59"/>
      <c r="U291" s="59"/>
      <c r="V291" s="59"/>
      <c r="W291" s="59"/>
      <c r="X291" s="59"/>
      <c r="Y291" s="59"/>
      <c r="Z291" s="59"/>
      <c r="AA291" s="59"/>
      <c r="AB291" s="59"/>
      <c r="AC291" s="59"/>
      <c r="AD291" s="59"/>
      <c r="AE291" s="59"/>
      <c r="AF291" s="59"/>
      <c r="AG291" s="59"/>
      <c r="AH291" s="59"/>
      <c r="AI291" s="59" t="str">
        <f>IF(SUM(Dati[[#This Row],[Inv. Business]:[Inv. Cryptocurrency]])=0," ",SUM(Dati[[#This Row],[Inv. Business]:[Inv. Cryptocurrency]]))</f>
        <v xml:space="preserve"> </v>
      </c>
      <c r="AJ291" s="59"/>
      <c r="AK291" s="59" t="str">
        <f>IF(SUM(Dati[[#This Row],[Inv. Gold]:[Mutuo]])=0," ",SUM(Dati[[#This Row],[Inv. Gold]:[Mutuo]]))</f>
        <v xml:space="preserve"> </v>
      </c>
      <c r="AL291" s="59"/>
      <c r="AM291" s="59"/>
    </row>
    <row r="292" spans="2:39" ht="16" customHeight="1" x14ac:dyDescent="0.35">
      <c r="B292">
        <f t="shared" si="12"/>
        <v>272</v>
      </c>
      <c r="C292" s="49">
        <f t="shared" si="13"/>
        <v>45198</v>
      </c>
      <c r="D292" s="29">
        <f>DAY(Dati[[#This Row],[Data]])</f>
        <v>29</v>
      </c>
      <c r="E292" s="29" t="str">
        <f>IF(DAY(Data!$C$21:$C$1327)&gt;0,TEXT(Data!$C$21:$C$1327, "mmmm"),"")</f>
        <v>settembre</v>
      </c>
      <c r="F292" s="29" t="str">
        <f>IF(DAY(Data!$C$21:$C$1327)&gt;0,TEXT(Data!$C$21:$C$1327, "aaaa"),"")</f>
        <v>2023</v>
      </c>
      <c r="I292" t="str">
        <f>IF(OR(H292=$B$5,H292=$B$6,H292=$B$7,H292=$B$8,H292=$B$9,H292=$B$10,H292=$B$11,H292=$B$12,H292=$B$13,H292=$B$14),SottocategorieUscite[[#Headers],[Fuori Casa]],IF(OR(H292=$C$5,H292=$C$6,H292=$C$7,H292=$C$8,H292=$C$9,H292=$C$10,H292=$C$11,H292=$C$12,H292=$C$13,H292=$C$14),SottocategorieUscite[[#Headers],[Varie Uscite]],IF(OR(H292=$D$5,H292=$D$6,H292=$D$7,H292=$D$8,H292=$D$9,H292=$D$10,H292=$D$11,H292=$D$12,H292=$D$13,H292=$D$14),SottocategorieUscite[[#Headers],[Personali]],IF(OR(H292=$E$5,H292=$E$6,H292=$E$7,H292=$E$8,H292=$E$9,H292=$E$10,H292=$E$11,H292=$E$12,H292=$E$13,H292=$E$14),SottocategorieUscite[[#Headers],[Lavoro]],IF(OR(H292=$F$5,H292=$F$6,H292=$F$7,H292=$F$8,H292=$F$9,H292=$F$10,H292=$F$11,H292=$F$12,H292=$F$13,H292=$F$14),SottocategorieUscite[[#Headers],[Casa]],IF(OR(H292=$G$5,H292=$G$6,H292=$G$7,H292=$G$8,H292=$G$9,H292=$G$10,H292=$G$11,H292=$G$12,H292=$G$13,H292=$G$14),SottocategorieUscite[[#Headers],[Utenze]],IF(OR(H292=$H$5,H292=$H$6,H292=$H$7,H292=$H$8,H292=$H$9,H292=$H$10,H292=$H$11,H292=$H$12,H292=$H$13,H292=$H$14),SottocategorieUscite[[#Headers],[Business Uscite]],IF(OR(H292=$I$5,H292=$I$6,H292=$I$7,H292=$I$8,H292=$I$9,H292=$I$10,H292=$I$11,H292=$I$12,H292=$I$13,H292=$I$14),SottocategorieUscite[[#Headers],[Banca]],IF(OR(H292=K$5,H292=K$6,H292=K$7,H292=K$8,H292=K$9,H292=K$10,H292=K$11,H292=K$12,H292=K$13,H292=K$14),SottocategorieEntrate[[#Headers],[Business Entrate]],IF(OR(H292=L$5,H292=L$6,H292=L$7,H292=L$8,H292=L$9,H292=L$10,H292=L$11,H292=L$12,H292=L$13,H292=L$14),SottocategorieEntrate[[#Headers],[Varie Entrate]],IF(OR(H292=M$5,H292=M$6,H292=M$7,H292=M$8,H292=M$9,H292=M$10,H292=M$11,H292=M$12,H292=M$13,H292=M$14),SottocategorieEntrate[[#Headers],[Real Estate]],IF(OR(H292=N$5,H292=N$6,H292=N$7,H292=N$8,H292=N$9,H292=N$10,H292=N$11,H292=N$12,H292=N$13,H292=N$14),SottocategorieEntrate[[#Headers],[Other]],""))))))))))))</f>
        <v/>
      </c>
      <c r="J292" t="str">
        <f>IF(OR(Dati[[#This Row],[Categoria]]="Bollette",Dati[[#This Row],[Categoria]]="Conto &amp; Carte BNL",Dati[[#This Row],[Categoria]]="Prelievo",Dati[[#This Row],[Categoria]]="Affitto",Dati[[#This Row],[Categoria]]="BNL(Interessi Creditori)"),"Carta",IF(Dati[[#This Row],[Categoria]]&lt;&gt;0,"Cash",""))</f>
        <v/>
      </c>
      <c r="K292" s="59" t="str">
        <f>IF(OR(Data!$I292=SottocategorieUscite[[#Headers],[Fuori Casa]],Data!$I292=SottocategorieUscite[[#Headers],[Varie Uscite]],Data!$I292=SottocategorieUscite[[#Headers],[Personali]],Data!$I292=SottocategorieUscite[[#Headers],[Lavoro]]),"$ -","")</f>
        <v/>
      </c>
      <c r="L292" s="59" t="str">
        <f>IF(OR(Data!$I292=SottocategorieUscite[[#Headers],[Casa]],Data!$I292=SottocategorieUscite[[#Headers],[Utenze]],Data!$I292=SottocategorieUscite[[#Headers],[Business Uscite]],Data!$I292=SottocategorieUscite[[#Headers],[Banca]]),"$ -","")</f>
        <v/>
      </c>
      <c r="M292" s="59" t="str">
        <f>IF(OR($I292&lt;&gt;SottocategorieUscite[[#Headers],[Fuori Casa]],$I292&lt;&gt;SottocategorieUscite[[#Headers],[Varie Uscite]],$I292&lt;&gt;SottocategorieUscite[[#Headers],[Personali]],$I292&lt;&gt;SottocategorieUscite[[#Headers],[Lavoro]],$I292&lt;&gt;SottocategorieUscite[[#Headers],[Casa]],$I292&lt;&gt;SottocategorieUscite[[#Headers],[Utenze]],$I292&lt;&gt;SottocategorieUscite[[#Headers],[Business Uscite]],$I292&lt;&gt;SottocategorieUscite[[#Headers],[Banca]]),"","$ -")</f>
        <v/>
      </c>
      <c r="N292" s="59" t="str">
        <f>IF(OR(Data!$I292=SottocategorieEntrate[[#Headers],[Business Entrate]],Data!$I292=SottocategorieEntrate[[#Headers],[Varie Entrate]]),"$ -","")</f>
        <v/>
      </c>
      <c r="O292" s="59" t="str">
        <f>IF(OR(Data!$I292=SottocategorieEntrate[[#Headers],[Real Estate]],SottocategorieEntrate[[#Headers],[Other]]),"$ -","")</f>
        <v/>
      </c>
      <c r="P292" s="59" t="str">
        <f>IF(OR($I292&lt;&gt;SottocategorieEntrate[[#Headers],[Business Entrate]],$I292&lt;&gt;SottocategorieEntrate[[#Headers],[Varie Entrate]],$I292&lt;&gt;SottocategorieEntrate[[#Headers],[Real Estate]],$I292&lt;&gt;SottocategorieEntrate[[#Headers],[Other]]),"","$ -")</f>
        <v/>
      </c>
      <c r="Q292" s="59" t="str">
        <f>IF(Dati[[#This Row],[Categoria]]="Prelievo","€ -","")</f>
        <v/>
      </c>
      <c r="R292" s="244" t="str">
        <f t="shared" ca="1" si="14"/>
        <v/>
      </c>
      <c r="S292" s="59" t="str">
        <f>IF(Dati[[#This Row],[Categoria]]="Savings",0,"")</f>
        <v/>
      </c>
      <c r="T292" s="59"/>
      <c r="U292" s="59"/>
      <c r="V292" s="59"/>
      <c r="W292" s="59"/>
      <c r="X292" s="59"/>
      <c r="Y292" s="59"/>
      <c r="Z292" s="59"/>
      <c r="AA292" s="59"/>
      <c r="AB292" s="59"/>
      <c r="AC292" s="59"/>
      <c r="AD292" s="59"/>
      <c r="AE292" s="59"/>
      <c r="AF292" s="59"/>
      <c r="AG292" s="59"/>
      <c r="AH292" s="59"/>
      <c r="AI292" s="59" t="str">
        <f>IF(SUM(Dati[[#This Row],[Inv. Business]:[Inv. Cryptocurrency]])=0," ",SUM(Dati[[#This Row],[Inv. Business]:[Inv. Cryptocurrency]]))</f>
        <v xml:space="preserve"> </v>
      </c>
      <c r="AJ292" s="59"/>
      <c r="AK292" s="59" t="str">
        <f>IF(SUM(Dati[[#This Row],[Inv. Gold]:[Mutuo]])=0," ",SUM(Dati[[#This Row],[Inv. Gold]:[Mutuo]]))</f>
        <v xml:space="preserve"> </v>
      </c>
      <c r="AL292" s="59"/>
      <c r="AM292" s="59"/>
    </row>
    <row r="293" spans="2:39" ht="16" customHeight="1" x14ac:dyDescent="0.35">
      <c r="B293">
        <f t="shared" si="12"/>
        <v>273</v>
      </c>
      <c r="C293" s="49">
        <f t="shared" si="13"/>
        <v>45199</v>
      </c>
      <c r="D293" s="29">
        <f>DAY(Dati[[#This Row],[Data]])</f>
        <v>30</v>
      </c>
      <c r="E293" s="29" t="str">
        <f>IF(DAY(Data!$C$21:$C$1327)&gt;0,TEXT(Data!$C$21:$C$1327, "mmmm"),"")</f>
        <v>settembre</v>
      </c>
      <c r="F293" s="29" t="str">
        <f>IF(DAY(Data!$C$21:$C$1327)&gt;0,TEXT(Data!$C$21:$C$1327, "aaaa"),"")</f>
        <v>2023</v>
      </c>
      <c r="I293" t="str">
        <f>IF(OR(H293=$B$5,H293=$B$6,H293=$B$7,H293=$B$8,H293=$B$9,H293=$B$10,H293=$B$11,H293=$B$12,H293=$B$13,H293=$B$14),SottocategorieUscite[[#Headers],[Fuori Casa]],IF(OR(H293=$C$5,H293=$C$6,H293=$C$7,H293=$C$8,H293=$C$9,H293=$C$10,H293=$C$11,H293=$C$12,H293=$C$13,H293=$C$14),SottocategorieUscite[[#Headers],[Varie Uscite]],IF(OR(H293=$D$5,H293=$D$6,H293=$D$7,H293=$D$8,H293=$D$9,H293=$D$10,H293=$D$11,H293=$D$12,H293=$D$13,H293=$D$14),SottocategorieUscite[[#Headers],[Personali]],IF(OR(H293=$E$5,H293=$E$6,H293=$E$7,H293=$E$8,H293=$E$9,H293=$E$10,H293=$E$11,H293=$E$12,H293=$E$13,H293=$E$14),SottocategorieUscite[[#Headers],[Lavoro]],IF(OR(H293=$F$5,H293=$F$6,H293=$F$7,H293=$F$8,H293=$F$9,H293=$F$10,H293=$F$11,H293=$F$12,H293=$F$13,H293=$F$14),SottocategorieUscite[[#Headers],[Casa]],IF(OR(H293=$G$5,H293=$G$6,H293=$G$7,H293=$G$8,H293=$G$9,H293=$G$10,H293=$G$11,H293=$G$12,H293=$G$13,H293=$G$14),SottocategorieUscite[[#Headers],[Utenze]],IF(OR(H293=$H$5,H293=$H$6,H293=$H$7,H293=$H$8,H293=$H$9,H293=$H$10,H293=$H$11,H293=$H$12,H293=$H$13,H293=$H$14),SottocategorieUscite[[#Headers],[Business Uscite]],IF(OR(H293=$I$5,H293=$I$6,H293=$I$7,H293=$I$8,H293=$I$9,H293=$I$10,H293=$I$11,H293=$I$12,H293=$I$13,H293=$I$14),SottocategorieUscite[[#Headers],[Banca]],IF(OR(H293=K$5,H293=K$6,H293=K$7,H293=K$8,H293=K$9,H293=K$10,H293=K$11,H293=K$12,H293=K$13,H293=K$14),SottocategorieEntrate[[#Headers],[Business Entrate]],IF(OR(H293=L$5,H293=L$6,H293=L$7,H293=L$8,H293=L$9,H293=L$10,H293=L$11,H293=L$12,H293=L$13,H293=L$14),SottocategorieEntrate[[#Headers],[Varie Entrate]],IF(OR(H293=M$5,H293=M$6,H293=M$7,H293=M$8,H293=M$9,H293=M$10,H293=M$11,H293=M$12,H293=M$13,H293=M$14),SottocategorieEntrate[[#Headers],[Real Estate]],IF(OR(H293=N$5,H293=N$6,H293=N$7,H293=N$8,H293=N$9,H293=N$10,H293=N$11,H293=N$12,H293=N$13,H293=N$14),SottocategorieEntrate[[#Headers],[Other]],""))))))))))))</f>
        <v/>
      </c>
      <c r="J293" t="str">
        <f>IF(OR(Dati[[#This Row],[Categoria]]="Bollette",Dati[[#This Row],[Categoria]]="Conto &amp; Carte BNL",Dati[[#This Row],[Categoria]]="Prelievo",Dati[[#This Row],[Categoria]]="Affitto",Dati[[#This Row],[Categoria]]="BNL(Interessi Creditori)"),"Carta",IF(Dati[[#This Row],[Categoria]]&lt;&gt;0,"Cash",""))</f>
        <v/>
      </c>
      <c r="K293" s="59" t="str">
        <f>IF(OR(Data!$I293=SottocategorieUscite[[#Headers],[Fuori Casa]],Data!$I293=SottocategorieUscite[[#Headers],[Varie Uscite]],Data!$I293=SottocategorieUscite[[#Headers],[Personali]],Data!$I293=SottocategorieUscite[[#Headers],[Lavoro]]),"$ -","")</f>
        <v/>
      </c>
      <c r="L293" s="59" t="str">
        <f>IF(OR(Data!$I293=SottocategorieUscite[[#Headers],[Casa]],Data!$I293=SottocategorieUscite[[#Headers],[Utenze]],Data!$I293=SottocategorieUscite[[#Headers],[Business Uscite]],Data!$I293=SottocategorieUscite[[#Headers],[Banca]]),"$ -","")</f>
        <v/>
      </c>
      <c r="M293" s="59" t="str">
        <f>IF(OR($I293&lt;&gt;SottocategorieUscite[[#Headers],[Fuori Casa]],$I293&lt;&gt;SottocategorieUscite[[#Headers],[Varie Uscite]],$I293&lt;&gt;SottocategorieUscite[[#Headers],[Personali]],$I293&lt;&gt;SottocategorieUscite[[#Headers],[Lavoro]],$I293&lt;&gt;SottocategorieUscite[[#Headers],[Casa]],$I293&lt;&gt;SottocategorieUscite[[#Headers],[Utenze]],$I293&lt;&gt;SottocategorieUscite[[#Headers],[Business Uscite]],$I293&lt;&gt;SottocategorieUscite[[#Headers],[Banca]]),"","$ -")</f>
        <v/>
      </c>
      <c r="N293" s="59" t="str">
        <f>IF(OR(Data!$I293=SottocategorieEntrate[[#Headers],[Business Entrate]],Data!$I293=SottocategorieEntrate[[#Headers],[Varie Entrate]]),"$ -","")</f>
        <v/>
      </c>
      <c r="O293" s="59" t="str">
        <f>IF(OR(Data!$I293=SottocategorieEntrate[[#Headers],[Real Estate]],SottocategorieEntrate[[#Headers],[Other]]),"$ -","")</f>
        <v/>
      </c>
      <c r="P293" s="59" t="str">
        <f>IF(OR($I293&lt;&gt;SottocategorieEntrate[[#Headers],[Business Entrate]],$I293&lt;&gt;SottocategorieEntrate[[#Headers],[Varie Entrate]],$I293&lt;&gt;SottocategorieEntrate[[#Headers],[Real Estate]],$I293&lt;&gt;SottocategorieEntrate[[#Headers],[Other]]),"","$ -")</f>
        <v/>
      </c>
      <c r="Q293" s="59" t="str">
        <f>IF(Dati[[#This Row],[Categoria]]="Prelievo","€ -","")</f>
        <v/>
      </c>
      <c r="R293" s="245">
        <f>R7</f>
        <v>7298.85</v>
      </c>
      <c r="S293" s="59" t="str">
        <f>IF(Dati[[#This Row],[Categoria]]="Savings",0,"")</f>
        <v/>
      </c>
      <c r="T293" s="59"/>
      <c r="U293" s="59"/>
      <c r="V293" s="59"/>
      <c r="W293" s="59"/>
      <c r="X293" s="59"/>
      <c r="Y293" s="59"/>
      <c r="Z293" s="59"/>
      <c r="AA293" s="59"/>
      <c r="AB293" s="59"/>
      <c r="AC293" s="59"/>
      <c r="AD293" s="59"/>
      <c r="AE293" s="59"/>
      <c r="AF293" s="59"/>
      <c r="AG293" s="59"/>
      <c r="AH293" s="59"/>
      <c r="AI293" s="59" t="str">
        <f>IF(SUM(Dati[[#This Row],[Inv. Business]:[Inv. Cryptocurrency]])=0," ",SUM(Dati[[#This Row],[Inv. Business]:[Inv. Cryptocurrency]]))</f>
        <v xml:space="preserve"> </v>
      </c>
      <c r="AJ293" s="59"/>
      <c r="AK293" s="59" t="str">
        <f>IF(SUM(Dati[[#This Row],[Inv. Gold]:[Mutuo]])=0," ",SUM(Dati[[#This Row],[Inv. Gold]:[Mutuo]]))</f>
        <v xml:space="preserve"> </v>
      </c>
      <c r="AL293" s="59"/>
      <c r="AM293" s="59"/>
    </row>
    <row r="294" spans="2:39" ht="16" customHeight="1" x14ac:dyDescent="0.35">
      <c r="B294">
        <f t="shared" si="12"/>
        <v>274</v>
      </c>
      <c r="C294" s="49">
        <f t="shared" si="13"/>
        <v>45200</v>
      </c>
      <c r="D294" s="29">
        <f>DAY(Dati[[#This Row],[Data]])</f>
        <v>1</v>
      </c>
      <c r="E294" s="29" t="str">
        <f>IF(DAY(Data!$C$21:$C$1327)&gt;0,TEXT(Data!$C$21:$C$1327, "mmmm"),"")</f>
        <v>ottobre</v>
      </c>
      <c r="F294" s="29" t="str">
        <f>IF(DAY(Data!$C$21:$C$1327)&gt;0,TEXT(Data!$C$21:$C$1327, "aaaa"),"")</f>
        <v>2023</v>
      </c>
      <c r="I294" t="str">
        <f>IF(OR(H294=$B$5,H294=$B$6,H294=$B$7,H294=$B$8,H294=$B$9,H294=$B$10,H294=$B$11,H294=$B$12,H294=$B$13,H294=$B$14),SottocategorieUscite[[#Headers],[Fuori Casa]],IF(OR(H294=$C$5,H294=$C$6,H294=$C$7,H294=$C$8,H294=$C$9,H294=$C$10,H294=$C$11,H294=$C$12,H294=$C$13,H294=$C$14),SottocategorieUscite[[#Headers],[Varie Uscite]],IF(OR(H294=$D$5,H294=$D$6,H294=$D$7,H294=$D$8,H294=$D$9,H294=$D$10,H294=$D$11,H294=$D$12,H294=$D$13,H294=$D$14),SottocategorieUscite[[#Headers],[Personali]],IF(OR(H294=$E$5,H294=$E$6,H294=$E$7,H294=$E$8,H294=$E$9,H294=$E$10,H294=$E$11,H294=$E$12,H294=$E$13,H294=$E$14),SottocategorieUscite[[#Headers],[Lavoro]],IF(OR(H294=$F$5,H294=$F$6,H294=$F$7,H294=$F$8,H294=$F$9,H294=$F$10,H294=$F$11,H294=$F$12,H294=$F$13,H294=$F$14),SottocategorieUscite[[#Headers],[Casa]],IF(OR(H294=$G$5,H294=$G$6,H294=$G$7,H294=$G$8,H294=$G$9,H294=$G$10,H294=$G$11,H294=$G$12,H294=$G$13,H294=$G$14),SottocategorieUscite[[#Headers],[Utenze]],IF(OR(H294=$H$5,H294=$H$6,H294=$H$7,H294=$H$8,H294=$H$9,H294=$H$10,H294=$H$11,H294=$H$12,H294=$H$13,H294=$H$14),SottocategorieUscite[[#Headers],[Business Uscite]],IF(OR(H294=$I$5,H294=$I$6,H294=$I$7,H294=$I$8,H294=$I$9,H294=$I$10,H294=$I$11,H294=$I$12,H294=$I$13,H294=$I$14),SottocategorieUscite[[#Headers],[Banca]],IF(OR(H294=K$5,H294=K$6,H294=K$7,H294=K$8,H294=K$9,H294=K$10,H294=K$11,H294=K$12,H294=K$13,H294=K$14),SottocategorieEntrate[[#Headers],[Business Entrate]],IF(OR(H294=L$5,H294=L$6,H294=L$7,H294=L$8,H294=L$9,H294=L$10,H294=L$11,H294=L$12,H294=L$13,H294=L$14),SottocategorieEntrate[[#Headers],[Varie Entrate]],IF(OR(H294=M$5,H294=M$6,H294=M$7,H294=M$8,H294=M$9,H294=M$10,H294=M$11,H294=M$12,H294=M$13,H294=M$14),SottocategorieEntrate[[#Headers],[Real Estate]],IF(OR(H294=N$5,H294=N$6,H294=N$7,H294=N$8,H294=N$9,H294=N$10,H294=N$11,H294=N$12,H294=N$13,H294=N$14),SottocategorieEntrate[[#Headers],[Other]],""))))))))))))</f>
        <v/>
      </c>
      <c r="J294" t="str">
        <f>IF(OR(Dati[[#This Row],[Categoria]]="Bollette",Dati[[#This Row],[Categoria]]="Conto &amp; Carte BNL",Dati[[#This Row],[Categoria]]="Prelievo",Dati[[#This Row],[Categoria]]="Affitto",Dati[[#This Row],[Categoria]]="BNL(Interessi Creditori)"),"Carta",IF(Dati[[#This Row],[Categoria]]&lt;&gt;0,"Cash",""))</f>
        <v/>
      </c>
      <c r="K294" s="59" t="str">
        <f>IF(OR(Data!$I294=SottocategorieUscite[[#Headers],[Fuori Casa]],Data!$I294=SottocategorieUscite[[#Headers],[Varie Uscite]],Data!$I294=SottocategorieUscite[[#Headers],[Personali]],Data!$I294=SottocategorieUscite[[#Headers],[Lavoro]]),"$ -","")</f>
        <v/>
      </c>
      <c r="L294" s="59" t="str">
        <f>IF(OR(Data!$I294=SottocategorieUscite[[#Headers],[Casa]],Data!$I294=SottocategorieUscite[[#Headers],[Utenze]],Data!$I294=SottocategorieUscite[[#Headers],[Business Uscite]],Data!$I294=SottocategorieUscite[[#Headers],[Banca]]),"$ -","")</f>
        <v/>
      </c>
      <c r="M294" s="59" t="str">
        <f>IF(OR($I294&lt;&gt;SottocategorieUscite[[#Headers],[Fuori Casa]],$I294&lt;&gt;SottocategorieUscite[[#Headers],[Varie Uscite]],$I294&lt;&gt;SottocategorieUscite[[#Headers],[Personali]],$I294&lt;&gt;SottocategorieUscite[[#Headers],[Lavoro]],$I294&lt;&gt;SottocategorieUscite[[#Headers],[Casa]],$I294&lt;&gt;SottocategorieUscite[[#Headers],[Utenze]],$I294&lt;&gt;SottocategorieUscite[[#Headers],[Business Uscite]],$I294&lt;&gt;SottocategorieUscite[[#Headers],[Banca]]),"","$ -")</f>
        <v/>
      </c>
      <c r="N294" s="59" t="str">
        <f>IF(OR(Data!$I294=SottocategorieEntrate[[#Headers],[Business Entrate]],Data!$I294=SottocategorieEntrate[[#Headers],[Varie Entrate]]),"$ -","")</f>
        <v/>
      </c>
      <c r="O294" s="59" t="str">
        <f>IF(OR(Data!$I294=SottocategorieEntrate[[#Headers],[Real Estate]],SottocategorieEntrate[[#Headers],[Other]]),"$ -","")</f>
        <v/>
      </c>
      <c r="P294" s="59" t="str">
        <f>IF(OR($I294&lt;&gt;SottocategorieEntrate[[#Headers],[Business Entrate]],$I294&lt;&gt;SottocategorieEntrate[[#Headers],[Varie Entrate]],$I294&lt;&gt;SottocategorieEntrate[[#Headers],[Real Estate]],$I294&lt;&gt;SottocategorieEntrate[[#Headers],[Other]]),"","$ -")</f>
        <v/>
      </c>
      <c r="Q294" s="59" t="str">
        <f>IF(Dati[[#This Row],[Categoria]]="Prelievo","€ -","")</f>
        <v/>
      </c>
      <c r="R294" s="244"/>
      <c r="S294" s="59" t="str">
        <f>IF(Dati[[#This Row],[Categoria]]="Savings",0,"")</f>
        <v/>
      </c>
      <c r="T294" s="59"/>
      <c r="U294" s="59"/>
      <c r="V294" s="59"/>
      <c r="W294" s="59"/>
      <c r="X294" s="59"/>
      <c r="Y294" s="59"/>
      <c r="Z294" s="59"/>
      <c r="AA294" s="59"/>
      <c r="AB294" s="59"/>
      <c r="AC294" s="59"/>
      <c r="AD294" s="59"/>
      <c r="AE294" s="59"/>
      <c r="AF294" s="59"/>
      <c r="AG294" s="59"/>
      <c r="AH294" s="59"/>
      <c r="AI294" s="59" t="str">
        <f>IF(SUM(Dati[[#This Row],[Inv. Business]:[Inv. Cryptocurrency]])=0," ",SUM(Dati[[#This Row],[Inv. Business]:[Inv. Cryptocurrency]]))</f>
        <v xml:space="preserve"> </v>
      </c>
      <c r="AJ294" s="59"/>
      <c r="AK294" s="59" t="str">
        <f>IF(SUM(Dati[[#This Row],[Inv. Gold]:[Mutuo]])=0," ",SUM(Dati[[#This Row],[Inv. Gold]:[Mutuo]]))</f>
        <v xml:space="preserve"> </v>
      </c>
      <c r="AL294" s="59"/>
      <c r="AM294" s="59"/>
    </row>
    <row r="295" spans="2:39" ht="16" customHeight="1" x14ac:dyDescent="0.35">
      <c r="B295">
        <f t="shared" si="12"/>
        <v>275</v>
      </c>
      <c r="C295" s="49">
        <f>C293+1</f>
        <v>45200</v>
      </c>
      <c r="D295" s="29">
        <f>DAY(Dati[[#This Row],[Data]])</f>
        <v>1</v>
      </c>
      <c r="E295" s="29" t="str">
        <f>IF(DAY(Data!$C$21:$C$1327)&gt;0,TEXT(Data!$C$21:$C$1327, "mmmm"),"")</f>
        <v>ottobre</v>
      </c>
      <c r="F295" s="29" t="str">
        <f>IF(DAY(Data!$C$21:$C$1327)&gt;0,TEXT(Data!$C$21:$C$1327, "aaaa"),"")</f>
        <v>2023</v>
      </c>
      <c r="I295" t="str">
        <f>IF(OR(H295=$B$5,H295=$B$6,H295=$B$7,H295=$B$8,H295=$B$9,H295=$B$10,H295=$B$11,H295=$B$12,H295=$B$13,H295=$B$14),SottocategorieUscite[[#Headers],[Fuori Casa]],IF(OR(H295=$C$5,H295=$C$6,H295=$C$7,H295=$C$8,H295=$C$9,H295=$C$10,H295=$C$11,H295=$C$12,H295=$C$13,H295=$C$14),SottocategorieUscite[[#Headers],[Varie Uscite]],IF(OR(H295=$D$5,H295=$D$6,H295=$D$7,H295=$D$8,H295=$D$9,H295=$D$10,H295=$D$11,H295=$D$12,H295=$D$13,H295=$D$14),SottocategorieUscite[[#Headers],[Personali]],IF(OR(H295=$E$5,H295=$E$6,H295=$E$7,H295=$E$8,H295=$E$9,H295=$E$10,H295=$E$11,H295=$E$12,H295=$E$13,H295=$E$14),SottocategorieUscite[[#Headers],[Lavoro]],IF(OR(H295=$F$5,H295=$F$6,H295=$F$7,H295=$F$8,H295=$F$9,H295=$F$10,H295=$F$11,H295=$F$12,H295=$F$13,H295=$F$14),SottocategorieUscite[[#Headers],[Casa]],IF(OR(H295=$G$5,H295=$G$6,H295=$G$7,H295=$G$8,H295=$G$9,H295=$G$10,H295=$G$11,H295=$G$12,H295=$G$13,H295=$G$14),SottocategorieUscite[[#Headers],[Utenze]],IF(OR(H295=$H$5,H295=$H$6,H295=$H$7,H295=$H$8,H295=$H$9,H295=$H$10,H295=$H$11,H295=$H$12,H295=$H$13,H295=$H$14),SottocategorieUscite[[#Headers],[Business Uscite]],IF(OR(H295=$I$5,H295=$I$6,H295=$I$7,H295=$I$8,H295=$I$9,H295=$I$10,H295=$I$11,H295=$I$12,H295=$I$13,H295=$I$14),SottocategorieUscite[[#Headers],[Banca]],IF(OR(H295=K$5,H295=K$6,H295=K$7,H295=K$8,H295=K$9,H295=K$10,H295=K$11,H295=K$12,H295=K$13,H295=K$14),SottocategorieEntrate[[#Headers],[Business Entrate]],IF(OR(H295=L$5,H295=L$6,H295=L$7,H295=L$8,H295=L$9,H295=L$10,H295=L$11,H295=L$12,H295=L$13,H295=L$14),SottocategorieEntrate[[#Headers],[Varie Entrate]],IF(OR(H295=M$5,H295=M$6,H295=M$7,H295=M$8,H295=M$9,H295=M$10,H295=M$11,H295=M$12,H295=M$13,H295=M$14),SottocategorieEntrate[[#Headers],[Real Estate]],IF(OR(H295=N$5,H295=N$6,H295=N$7,H295=N$8,H295=N$9,H295=N$10,H295=N$11,H295=N$12,H295=N$13,H295=N$14),SottocategorieEntrate[[#Headers],[Other]],""))))))))))))</f>
        <v/>
      </c>
      <c r="J295" t="str">
        <f>IF(OR(Dati[[#This Row],[Categoria]]="Bollette",Dati[[#This Row],[Categoria]]="Conto &amp; Carte BNL",Dati[[#This Row],[Categoria]]="Prelievo",Dati[[#This Row],[Categoria]]="Affitto",Dati[[#This Row],[Categoria]]="BNL(Interessi Creditori)"),"Carta",IF(Dati[[#This Row],[Categoria]]&lt;&gt;0,"Cash",""))</f>
        <v/>
      </c>
      <c r="K295" s="59" t="str">
        <f>IF(OR(Data!$I295=SottocategorieUscite[[#Headers],[Fuori Casa]],Data!$I295=SottocategorieUscite[[#Headers],[Varie Uscite]],Data!$I295=SottocategorieUscite[[#Headers],[Personali]],Data!$I295=SottocategorieUscite[[#Headers],[Lavoro]]),"$ -","")</f>
        <v/>
      </c>
      <c r="L295" s="59" t="str">
        <f>IF(OR(Data!$I295=SottocategorieUscite[[#Headers],[Casa]],Data!$I295=SottocategorieUscite[[#Headers],[Utenze]],Data!$I295=SottocategorieUscite[[#Headers],[Business Uscite]],Data!$I295=SottocategorieUscite[[#Headers],[Banca]]),"$ -","")</f>
        <v/>
      </c>
      <c r="M295" s="59" t="str">
        <f>IF(OR($I295&lt;&gt;SottocategorieUscite[[#Headers],[Fuori Casa]],$I295&lt;&gt;SottocategorieUscite[[#Headers],[Varie Uscite]],$I295&lt;&gt;SottocategorieUscite[[#Headers],[Personali]],$I295&lt;&gt;SottocategorieUscite[[#Headers],[Lavoro]],$I295&lt;&gt;SottocategorieUscite[[#Headers],[Casa]],$I295&lt;&gt;SottocategorieUscite[[#Headers],[Utenze]],$I295&lt;&gt;SottocategorieUscite[[#Headers],[Business Uscite]],$I295&lt;&gt;SottocategorieUscite[[#Headers],[Banca]]),"","$ -")</f>
        <v/>
      </c>
      <c r="N295" s="59" t="str">
        <f>IF(OR(Data!$I295=SottocategorieEntrate[[#Headers],[Business Entrate]],Data!$I295=SottocategorieEntrate[[#Headers],[Varie Entrate]]),"$ -","")</f>
        <v/>
      </c>
      <c r="O295" s="59" t="str">
        <f>IF(OR(Data!$I295=SottocategorieEntrate[[#Headers],[Real Estate]],SottocategorieEntrate[[#Headers],[Other]]),"$ -","")</f>
        <v/>
      </c>
      <c r="P295" s="59" t="str">
        <f>IF(OR($I295&lt;&gt;SottocategorieEntrate[[#Headers],[Business Entrate]],$I295&lt;&gt;SottocategorieEntrate[[#Headers],[Varie Entrate]],$I295&lt;&gt;SottocategorieEntrate[[#Headers],[Real Estate]],$I295&lt;&gt;SottocategorieEntrate[[#Headers],[Other]]),"","$ -")</f>
        <v/>
      </c>
      <c r="Q295" s="59" t="str">
        <f>IF(Dati[[#This Row],[Categoria]]="Prelievo","€ -","")</f>
        <v/>
      </c>
      <c r="R295" s="244"/>
      <c r="S295" s="59" t="str">
        <f>IF(Dati[[#This Row],[Categoria]]="Savings",0,"")</f>
        <v/>
      </c>
      <c r="T295" s="59"/>
      <c r="U295" s="59"/>
      <c r="V295" s="59"/>
      <c r="W295" s="59"/>
      <c r="X295" s="59"/>
      <c r="Y295" s="59"/>
      <c r="Z295" s="59"/>
      <c r="AA295" s="59"/>
      <c r="AB295" s="59"/>
      <c r="AC295" s="59"/>
      <c r="AD295" s="59"/>
      <c r="AE295" s="210"/>
      <c r="AF295" s="59"/>
      <c r="AG295" s="59"/>
      <c r="AH295" s="59"/>
      <c r="AI295" s="59" t="str">
        <f>IF(SUM(Dati[[#This Row],[Inv. Business]:[Inv. Cryptocurrency]])=0," ",SUM(Dati[[#This Row],[Inv. Business]:[Inv. Cryptocurrency]]))</f>
        <v xml:space="preserve"> </v>
      </c>
      <c r="AJ295" s="59"/>
      <c r="AK295" s="59" t="str">
        <f>IF(SUM(Dati[[#This Row],[Inv. Gold]:[Mutuo]])=0," ",SUM(Dati[[#This Row],[Inv. Gold]:[Mutuo]]))</f>
        <v xml:space="preserve"> </v>
      </c>
      <c r="AL295" s="59"/>
      <c r="AM295" s="59"/>
    </row>
    <row r="296" spans="2:39" ht="16" customHeight="1" x14ac:dyDescent="0.35">
      <c r="B296">
        <f t="shared" si="12"/>
        <v>276</v>
      </c>
      <c r="C296" s="49">
        <f>C294+1</f>
        <v>45201</v>
      </c>
      <c r="D296" s="29">
        <f>DAY(Dati[[#This Row],[Data]])</f>
        <v>2</v>
      </c>
      <c r="E296" s="29" t="str">
        <f>IF(DAY(Data!$C$21:$C$1327)&gt;0,TEXT(Data!$C$21:$C$1327, "mmmm"),"")</f>
        <v>ottobre</v>
      </c>
      <c r="F296" s="29" t="str">
        <f>IF(DAY(Data!$C$21:$C$1327)&gt;0,TEXT(Data!$C$21:$C$1327, "aaaa"),"")</f>
        <v>2023</v>
      </c>
      <c r="I296" t="str">
        <f>IF(OR(H296=$B$5,H296=$B$6,H296=$B$7,H296=$B$8,H296=$B$9,H296=$B$10,H296=$B$11,H296=$B$12,H296=$B$13,H296=$B$14),SottocategorieUscite[[#Headers],[Fuori Casa]],IF(OR(H296=$C$5,H296=$C$6,H296=$C$7,H296=$C$8,H296=$C$9,H296=$C$10,H296=$C$11,H296=$C$12,H296=$C$13,H296=$C$14),SottocategorieUscite[[#Headers],[Varie Uscite]],IF(OR(H296=$D$5,H296=$D$6,H296=$D$7,H296=$D$8,H296=$D$9,H296=$D$10,H296=$D$11,H296=$D$12,H296=$D$13,H296=$D$14),SottocategorieUscite[[#Headers],[Personali]],IF(OR(H296=$E$5,H296=$E$6,H296=$E$7,H296=$E$8,H296=$E$9,H296=$E$10,H296=$E$11,H296=$E$12,H296=$E$13,H296=$E$14),SottocategorieUscite[[#Headers],[Lavoro]],IF(OR(H296=$F$5,H296=$F$6,H296=$F$7,H296=$F$8,H296=$F$9,H296=$F$10,H296=$F$11,H296=$F$12,H296=$F$13,H296=$F$14),SottocategorieUscite[[#Headers],[Casa]],IF(OR(H296=$G$5,H296=$G$6,H296=$G$7,H296=$G$8,H296=$G$9,H296=$G$10,H296=$G$11,H296=$G$12,H296=$G$13,H296=$G$14),SottocategorieUscite[[#Headers],[Utenze]],IF(OR(H296=$H$5,H296=$H$6,H296=$H$7,H296=$H$8,H296=$H$9,H296=$H$10,H296=$H$11,H296=$H$12,H296=$H$13,H296=$H$14),SottocategorieUscite[[#Headers],[Business Uscite]],IF(OR(H296=$I$5,H296=$I$6,H296=$I$7,H296=$I$8,H296=$I$9,H296=$I$10,H296=$I$11,H296=$I$12,H296=$I$13,H296=$I$14),SottocategorieUscite[[#Headers],[Banca]],IF(OR(H296=K$5,H296=K$6,H296=K$7,H296=K$8,H296=K$9,H296=K$10,H296=K$11,H296=K$12,H296=K$13,H296=K$14),SottocategorieEntrate[[#Headers],[Business Entrate]],IF(OR(H296=L$5,H296=L$6,H296=L$7,H296=L$8,H296=L$9,H296=L$10,H296=L$11,H296=L$12,H296=L$13,H296=L$14),SottocategorieEntrate[[#Headers],[Varie Entrate]],IF(OR(H296=M$5,H296=M$6,H296=M$7,H296=M$8,H296=M$9,H296=M$10,H296=M$11,H296=M$12,H296=M$13,H296=M$14),SottocategorieEntrate[[#Headers],[Real Estate]],IF(OR(H296=N$5,H296=N$6,H296=N$7,H296=N$8,H296=N$9,H296=N$10,H296=N$11,H296=N$12,H296=N$13,H296=N$14),SottocategorieEntrate[[#Headers],[Other]],""))))))))))))</f>
        <v/>
      </c>
      <c r="J296" t="str">
        <f>IF(OR(Dati[[#This Row],[Categoria]]="Bollette",Dati[[#This Row],[Categoria]]="Conto &amp; Carte BNL",Dati[[#This Row],[Categoria]]="Prelievo",Dati[[#This Row],[Categoria]]="Affitto",Dati[[#This Row],[Categoria]]="BNL(Interessi Creditori)"),"Carta",IF(Dati[[#This Row],[Categoria]]&lt;&gt;0,"Cash",""))</f>
        <v/>
      </c>
      <c r="K296" s="59" t="str">
        <f>IF(OR(Data!$I296=SottocategorieUscite[[#Headers],[Fuori Casa]],Data!$I296=SottocategorieUscite[[#Headers],[Varie Uscite]],Data!$I296=SottocategorieUscite[[#Headers],[Personali]],Data!$I296=SottocategorieUscite[[#Headers],[Lavoro]]),"$ -","")</f>
        <v/>
      </c>
      <c r="L296" s="59" t="str">
        <f>IF(OR(Data!$I296=SottocategorieUscite[[#Headers],[Casa]],Data!$I296=SottocategorieUscite[[#Headers],[Utenze]],Data!$I296=SottocategorieUscite[[#Headers],[Business Uscite]],Data!$I296=SottocategorieUscite[[#Headers],[Banca]]),"$ -","")</f>
        <v/>
      </c>
      <c r="M296" s="59" t="str">
        <f>IF(OR($I296&lt;&gt;SottocategorieUscite[[#Headers],[Fuori Casa]],$I296&lt;&gt;SottocategorieUscite[[#Headers],[Varie Uscite]],$I296&lt;&gt;SottocategorieUscite[[#Headers],[Personali]],$I296&lt;&gt;SottocategorieUscite[[#Headers],[Lavoro]],$I296&lt;&gt;SottocategorieUscite[[#Headers],[Casa]],$I296&lt;&gt;SottocategorieUscite[[#Headers],[Utenze]],$I296&lt;&gt;SottocategorieUscite[[#Headers],[Business Uscite]],$I296&lt;&gt;SottocategorieUscite[[#Headers],[Banca]]),"","$ -")</f>
        <v/>
      </c>
      <c r="N296" s="59" t="str">
        <f>IF(OR(Data!$I296=SottocategorieEntrate[[#Headers],[Business Entrate]],Data!$I296=SottocategorieEntrate[[#Headers],[Varie Entrate]]),"$ -","")</f>
        <v/>
      </c>
      <c r="O296" s="59" t="str">
        <f>IF(OR(Data!$I296=SottocategorieEntrate[[#Headers],[Real Estate]],SottocategorieEntrate[[#Headers],[Other]]),"$ -","")</f>
        <v/>
      </c>
      <c r="P296" s="59" t="str">
        <f>IF(OR($I296&lt;&gt;SottocategorieEntrate[[#Headers],[Business Entrate]],$I296&lt;&gt;SottocategorieEntrate[[#Headers],[Varie Entrate]],$I296&lt;&gt;SottocategorieEntrate[[#Headers],[Real Estate]],$I296&lt;&gt;SottocategorieEntrate[[#Headers],[Other]]),"","$ -")</f>
        <v/>
      </c>
      <c r="Q296" s="59" t="str">
        <f>IF(Dati[[#This Row],[Categoria]]="Prelievo","€ -","")</f>
        <v/>
      </c>
      <c r="R296" s="244"/>
      <c r="S296" s="59" t="str">
        <f>IF(Dati[[#This Row],[Categoria]]="Savings",0,"")</f>
        <v/>
      </c>
      <c r="T296" s="59"/>
      <c r="U296" s="59"/>
      <c r="V296" s="59"/>
      <c r="W296" s="59"/>
      <c r="X296" s="59"/>
      <c r="Y296" s="59"/>
      <c r="Z296" s="59"/>
      <c r="AA296" s="59"/>
      <c r="AB296" s="59"/>
      <c r="AC296" s="59"/>
      <c r="AD296" s="59"/>
      <c r="AE296" s="210"/>
      <c r="AF296" s="59"/>
      <c r="AG296" s="59"/>
      <c r="AH296" s="59"/>
      <c r="AI296" s="59" t="str">
        <f>IF(SUM(Dati[[#This Row],[Inv. Business]:[Inv. Cryptocurrency]])=0," ",SUM(Dati[[#This Row],[Inv. Business]:[Inv. Cryptocurrency]]))</f>
        <v xml:space="preserve"> </v>
      </c>
      <c r="AJ296" s="59"/>
      <c r="AK296" s="59" t="str">
        <f>IF(SUM(Dati[[#This Row],[Inv. Gold]:[Mutuo]])=0," ",SUM(Dati[[#This Row],[Inv. Gold]:[Mutuo]]))</f>
        <v xml:space="preserve"> </v>
      </c>
      <c r="AL296" s="59"/>
      <c r="AM296" s="59"/>
    </row>
    <row r="297" spans="2:39" ht="16" customHeight="1" x14ac:dyDescent="0.35">
      <c r="B297">
        <f t="shared" si="12"/>
        <v>277</v>
      </c>
      <c r="C297" s="49">
        <f t="shared" si="13"/>
        <v>45202</v>
      </c>
      <c r="D297" s="29">
        <f>DAY(Dati[[#This Row],[Data]])</f>
        <v>3</v>
      </c>
      <c r="E297" s="29" t="str">
        <f>IF(DAY(Data!$C$21:$C$1327)&gt;0,TEXT(Data!$C$21:$C$1327, "mmmm"),"")</f>
        <v>ottobre</v>
      </c>
      <c r="F297" s="29" t="str">
        <f>IF(DAY(Data!$C$21:$C$1327)&gt;0,TEXT(Data!$C$21:$C$1327, "aaaa"),"")</f>
        <v>2023</v>
      </c>
      <c r="I297" t="str">
        <f>IF(OR(H297=$B$5,H297=$B$6,H297=$B$7,H297=$B$8,H297=$B$9,H297=$B$10,H297=$B$11,H297=$B$12,H297=$B$13,H297=$B$14),SottocategorieUscite[[#Headers],[Fuori Casa]],IF(OR(H297=$C$5,H297=$C$6,H297=$C$7,H297=$C$8,H297=$C$9,H297=$C$10,H297=$C$11,H297=$C$12,H297=$C$13,H297=$C$14),SottocategorieUscite[[#Headers],[Varie Uscite]],IF(OR(H297=$D$5,H297=$D$6,H297=$D$7,H297=$D$8,H297=$D$9,H297=$D$10,H297=$D$11,H297=$D$12,H297=$D$13,H297=$D$14),SottocategorieUscite[[#Headers],[Personali]],IF(OR(H297=$E$5,H297=$E$6,H297=$E$7,H297=$E$8,H297=$E$9,H297=$E$10,H297=$E$11,H297=$E$12,H297=$E$13,H297=$E$14),SottocategorieUscite[[#Headers],[Lavoro]],IF(OR(H297=$F$5,H297=$F$6,H297=$F$7,H297=$F$8,H297=$F$9,H297=$F$10,H297=$F$11,H297=$F$12,H297=$F$13,H297=$F$14),SottocategorieUscite[[#Headers],[Casa]],IF(OR(H297=$G$5,H297=$G$6,H297=$G$7,H297=$G$8,H297=$G$9,H297=$G$10,H297=$G$11,H297=$G$12,H297=$G$13,H297=$G$14),SottocategorieUscite[[#Headers],[Utenze]],IF(OR(H297=$H$5,H297=$H$6,H297=$H$7,H297=$H$8,H297=$H$9,H297=$H$10,H297=$H$11,H297=$H$12,H297=$H$13,H297=$H$14),SottocategorieUscite[[#Headers],[Business Uscite]],IF(OR(H297=$I$5,H297=$I$6,H297=$I$7,H297=$I$8,H297=$I$9,H297=$I$10,H297=$I$11,H297=$I$12,H297=$I$13,H297=$I$14),SottocategorieUscite[[#Headers],[Banca]],IF(OR(H297=K$5,H297=K$6,H297=K$7,H297=K$8,H297=K$9,H297=K$10,H297=K$11,H297=K$12,H297=K$13,H297=K$14),SottocategorieEntrate[[#Headers],[Business Entrate]],IF(OR(H297=L$5,H297=L$6,H297=L$7,H297=L$8,H297=L$9,H297=L$10,H297=L$11,H297=L$12,H297=L$13,H297=L$14),SottocategorieEntrate[[#Headers],[Varie Entrate]],IF(OR(H297=M$5,H297=M$6,H297=M$7,H297=M$8,H297=M$9,H297=M$10,H297=M$11,H297=M$12,H297=M$13,H297=M$14),SottocategorieEntrate[[#Headers],[Real Estate]],IF(OR(H297=N$5,H297=N$6,H297=N$7,H297=N$8,H297=N$9,H297=N$10,H297=N$11,H297=N$12,H297=N$13,H297=N$14),SottocategorieEntrate[[#Headers],[Other]],""))))))))))))</f>
        <v/>
      </c>
      <c r="J297" t="str">
        <f>IF(OR(Dati[[#This Row],[Categoria]]="Bollette",Dati[[#This Row],[Categoria]]="Conto &amp; Carte BNL",Dati[[#This Row],[Categoria]]="Prelievo",Dati[[#This Row],[Categoria]]="Affitto",Dati[[#This Row],[Categoria]]="BNL(Interessi Creditori)"),"Carta",IF(Dati[[#This Row],[Categoria]]&lt;&gt;0,"Cash",""))</f>
        <v/>
      </c>
      <c r="K297" s="59" t="str">
        <f>IF(OR(Data!$I297=SottocategorieUscite[[#Headers],[Fuori Casa]],Data!$I297=SottocategorieUscite[[#Headers],[Varie Uscite]],Data!$I297=SottocategorieUscite[[#Headers],[Personali]],Data!$I297=SottocategorieUscite[[#Headers],[Lavoro]]),"$ -","")</f>
        <v/>
      </c>
      <c r="L297" s="59" t="str">
        <f>IF(OR(Data!$I297=SottocategorieUscite[[#Headers],[Casa]],Data!$I297=SottocategorieUscite[[#Headers],[Utenze]],Data!$I297=SottocategorieUscite[[#Headers],[Business Uscite]],Data!$I297=SottocategorieUscite[[#Headers],[Banca]]),"$ -","")</f>
        <v/>
      </c>
      <c r="M297" s="59" t="str">
        <f>IF(OR($I297&lt;&gt;SottocategorieUscite[[#Headers],[Fuori Casa]],$I297&lt;&gt;SottocategorieUscite[[#Headers],[Varie Uscite]],$I297&lt;&gt;SottocategorieUscite[[#Headers],[Personali]],$I297&lt;&gt;SottocategorieUscite[[#Headers],[Lavoro]],$I297&lt;&gt;SottocategorieUscite[[#Headers],[Casa]],$I297&lt;&gt;SottocategorieUscite[[#Headers],[Utenze]],$I297&lt;&gt;SottocategorieUscite[[#Headers],[Business Uscite]],$I297&lt;&gt;SottocategorieUscite[[#Headers],[Banca]]),"","$ -")</f>
        <v/>
      </c>
      <c r="N297" s="59" t="str">
        <f>IF(OR(Data!$I297=SottocategorieEntrate[[#Headers],[Business Entrate]],Data!$I297=SottocategorieEntrate[[#Headers],[Varie Entrate]]),"$ -","")</f>
        <v/>
      </c>
      <c r="O297" s="59" t="str">
        <f>IF(OR(Data!$I297=SottocategorieEntrate[[#Headers],[Real Estate]],SottocategorieEntrate[[#Headers],[Other]]),"$ -","")</f>
        <v/>
      </c>
      <c r="P297" s="59" t="str">
        <f>IF(OR($I297&lt;&gt;SottocategorieEntrate[[#Headers],[Business Entrate]],$I297&lt;&gt;SottocategorieEntrate[[#Headers],[Varie Entrate]],$I297&lt;&gt;SottocategorieEntrate[[#Headers],[Real Estate]],$I297&lt;&gt;SottocategorieEntrate[[#Headers],[Other]]),"","$ -")</f>
        <v/>
      </c>
      <c r="Q297" s="59" t="str">
        <f>IF(Dati[[#This Row],[Categoria]]="Prelievo","€ -","")</f>
        <v/>
      </c>
      <c r="R297" s="244"/>
      <c r="S297" s="59" t="str">
        <f>IF(Dati[[#This Row],[Categoria]]="Savings",0,"")</f>
        <v/>
      </c>
      <c r="T297" s="59"/>
      <c r="U297" s="59"/>
      <c r="V297" s="59"/>
      <c r="W297" s="59"/>
      <c r="X297" s="59"/>
      <c r="Y297" s="59"/>
      <c r="Z297" s="59"/>
      <c r="AA297" s="59"/>
      <c r="AB297" s="59"/>
      <c r="AC297" s="59"/>
      <c r="AD297" s="59"/>
      <c r="AE297" s="59"/>
      <c r="AF297" s="59"/>
      <c r="AG297" s="59"/>
      <c r="AH297" s="59"/>
      <c r="AI297" s="59" t="str">
        <f>IF(SUM(Dati[[#This Row],[Inv. Business]:[Inv. Cryptocurrency]])=0," ",SUM(Dati[[#This Row],[Inv. Business]:[Inv. Cryptocurrency]]))</f>
        <v xml:space="preserve"> </v>
      </c>
      <c r="AJ297" s="59"/>
      <c r="AK297" s="59" t="str">
        <f>IF(SUM(Dati[[#This Row],[Inv. Gold]:[Mutuo]])=0," ",SUM(Dati[[#This Row],[Inv. Gold]:[Mutuo]]))</f>
        <v xml:space="preserve"> </v>
      </c>
      <c r="AL297" s="59"/>
      <c r="AM297" s="59"/>
    </row>
    <row r="298" spans="2:39" ht="16" customHeight="1" x14ac:dyDescent="0.35">
      <c r="B298">
        <f t="shared" si="12"/>
        <v>278</v>
      </c>
      <c r="C298" s="49">
        <f t="shared" si="13"/>
        <v>45203</v>
      </c>
      <c r="D298" s="29">
        <f>DAY(Dati[[#This Row],[Data]])</f>
        <v>4</v>
      </c>
      <c r="E298" s="29" t="str">
        <f>IF(DAY(Data!$C$21:$C$1327)&gt;0,TEXT(Data!$C$21:$C$1327, "mmmm"),"")</f>
        <v>ottobre</v>
      </c>
      <c r="F298" s="29" t="str">
        <f>IF(DAY(Data!$C$21:$C$1327)&gt;0,TEXT(Data!$C$21:$C$1327, "aaaa"),"")</f>
        <v>2023</v>
      </c>
      <c r="I298" t="str">
        <f>IF(OR(H298=$B$5,H298=$B$6,H298=$B$7,H298=$B$8,H298=$B$9,H298=$B$10,H298=$B$11,H298=$B$12,H298=$B$13,H298=$B$14),SottocategorieUscite[[#Headers],[Fuori Casa]],IF(OR(H298=$C$5,H298=$C$6,H298=$C$7,H298=$C$8,H298=$C$9,H298=$C$10,H298=$C$11,H298=$C$12,H298=$C$13,H298=$C$14),SottocategorieUscite[[#Headers],[Varie Uscite]],IF(OR(H298=$D$5,H298=$D$6,H298=$D$7,H298=$D$8,H298=$D$9,H298=$D$10,H298=$D$11,H298=$D$12,H298=$D$13,H298=$D$14),SottocategorieUscite[[#Headers],[Personali]],IF(OR(H298=$E$5,H298=$E$6,H298=$E$7,H298=$E$8,H298=$E$9,H298=$E$10,H298=$E$11,H298=$E$12,H298=$E$13,H298=$E$14),SottocategorieUscite[[#Headers],[Lavoro]],IF(OR(H298=$F$5,H298=$F$6,H298=$F$7,H298=$F$8,H298=$F$9,H298=$F$10,H298=$F$11,H298=$F$12,H298=$F$13,H298=$F$14),SottocategorieUscite[[#Headers],[Casa]],IF(OR(H298=$G$5,H298=$G$6,H298=$G$7,H298=$G$8,H298=$G$9,H298=$G$10,H298=$G$11,H298=$G$12,H298=$G$13,H298=$G$14),SottocategorieUscite[[#Headers],[Utenze]],IF(OR(H298=$H$5,H298=$H$6,H298=$H$7,H298=$H$8,H298=$H$9,H298=$H$10,H298=$H$11,H298=$H$12,H298=$H$13,H298=$H$14),SottocategorieUscite[[#Headers],[Business Uscite]],IF(OR(H298=$I$5,H298=$I$6,H298=$I$7,H298=$I$8,H298=$I$9,H298=$I$10,H298=$I$11,H298=$I$12,H298=$I$13,H298=$I$14),SottocategorieUscite[[#Headers],[Banca]],IF(OR(H298=K$5,H298=K$6,H298=K$7,H298=K$8,H298=K$9,H298=K$10,H298=K$11,H298=K$12,H298=K$13,H298=K$14),SottocategorieEntrate[[#Headers],[Business Entrate]],IF(OR(H298=L$5,H298=L$6,H298=L$7,H298=L$8,H298=L$9,H298=L$10,H298=L$11,H298=L$12,H298=L$13,H298=L$14),SottocategorieEntrate[[#Headers],[Varie Entrate]],IF(OR(H298=M$5,H298=M$6,H298=M$7,H298=M$8,H298=M$9,H298=M$10,H298=M$11,H298=M$12,H298=M$13,H298=M$14),SottocategorieEntrate[[#Headers],[Real Estate]],IF(OR(H298=N$5,H298=N$6,H298=N$7,H298=N$8,H298=N$9,H298=N$10,H298=N$11,H298=N$12,H298=N$13,H298=N$14),SottocategorieEntrate[[#Headers],[Other]],""))))))))))))</f>
        <v/>
      </c>
      <c r="J298" t="str">
        <f>IF(OR(Dati[[#This Row],[Categoria]]="Bollette",Dati[[#This Row],[Categoria]]="Conto &amp; Carte BNL",Dati[[#This Row],[Categoria]]="Prelievo",Dati[[#This Row],[Categoria]]="Affitto",Dati[[#This Row],[Categoria]]="BNL(Interessi Creditori)"),"Carta",IF(Dati[[#This Row],[Categoria]]&lt;&gt;0,"Cash",""))</f>
        <v/>
      </c>
      <c r="K298" s="59" t="str">
        <f>IF(OR(Data!$I298=SottocategorieUscite[[#Headers],[Fuori Casa]],Data!$I298=SottocategorieUscite[[#Headers],[Varie Uscite]],Data!$I298=SottocategorieUscite[[#Headers],[Personali]],Data!$I298=SottocategorieUscite[[#Headers],[Lavoro]]),"$ -","")</f>
        <v/>
      </c>
      <c r="L298" s="59" t="str">
        <f>IF(OR(Data!$I298=SottocategorieUscite[[#Headers],[Casa]],Data!$I298=SottocategorieUscite[[#Headers],[Utenze]],Data!$I298=SottocategorieUscite[[#Headers],[Business Uscite]],Data!$I298=SottocategorieUscite[[#Headers],[Banca]]),"$ -","")</f>
        <v/>
      </c>
      <c r="M298" s="59" t="str">
        <f>IF(OR($I298&lt;&gt;SottocategorieUscite[[#Headers],[Fuori Casa]],$I298&lt;&gt;SottocategorieUscite[[#Headers],[Varie Uscite]],$I298&lt;&gt;SottocategorieUscite[[#Headers],[Personali]],$I298&lt;&gt;SottocategorieUscite[[#Headers],[Lavoro]],$I298&lt;&gt;SottocategorieUscite[[#Headers],[Casa]],$I298&lt;&gt;SottocategorieUscite[[#Headers],[Utenze]],$I298&lt;&gt;SottocategorieUscite[[#Headers],[Business Uscite]],$I298&lt;&gt;SottocategorieUscite[[#Headers],[Banca]]),"","$ -")</f>
        <v/>
      </c>
      <c r="N298" s="59" t="str">
        <f>IF(OR(Data!$I298=SottocategorieEntrate[[#Headers],[Business Entrate]],Data!$I298=SottocategorieEntrate[[#Headers],[Varie Entrate]]),"$ -","")</f>
        <v/>
      </c>
      <c r="O298" s="59" t="str">
        <f>IF(OR(Data!$I298=SottocategorieEntrate[[#Headers],[Real Estate]],SottocategorieEntrate[[#Headers],[Other]]),"$ -","")</f>
        <v/>
      </c>
      <c r="P298" s="59" t="str">
        <f>IF(OR($I298&lt;&gt;SottocategorieEntrate[[#Headers],[Business Entrate]],$I298&lt;&gt;SottocategorieEntrate[[#Headers],[Varie Entrate]],$I298&lt;&gt;SottocategorieEntrate[[#Headers],[Real Estate]],$I298&lt;&gt;SottocategorieEntrate[[#Headers],[Other]]),"","$ -")</f>
        <v/>
      </c>
      <c r="Q298" s="59" t="str">
        <f>IF(Dati[[#This Row],[Categoria]]="Prelievo","€ -","")</f>
        <v/>
      </c>
      <c r="R298" s="244"/>
      <c r="S298" s="59" t="str">
        <f>IF(Dati[[#This Row],[Categoria]]="Savings",0,"")</f>
        <v/>
      </c>
      <c r="T298" s="59"/>
      <c r="U298" s="59"/>
      <c r="V298" s="59"/>
      <c r="W298" s="59"/>
      <c r="X298" s="59"/>
      <c r="Y298" s="59"/>
      <c r="Z298" s="59"/>
      <c r="AA298" s="59"/>
      <c r="AB298" s="59"/>
      <c r="AC298" s="59"/>
      <c r="AD298" s="59"/>
      <c r="AE298" s="59"/>
      <c r="AF298" s="59"/>
      <c r="AG298" s="59"/>
      <c r="AH298" s="59"/>
      <c r="AI298" s="59" t="str">
        <f>IF(SUM(Dati[[#This Row],[Inv. Business]:[Inv. Cryptocurrency]])=0," ",SUM(Dati[[#This Row],[Inv. Business]:[Inv. Cryptocurrency]]))</f>
        <v xml:space="preserve"> </v>
      </c>
      <c r="AJ298" s="59"/>
      <c r="AK298" s="59" t="str">
        <f>IF(SUM(Dati[[#This Row],[Inv. Gold]:[Mutuo]])=0," ",SUM(Dati[[#This Row],[Inv. Gold]:[Mutuo]]))</f>
        <v xml:space="preserve"> </v>
      </c>
      <c r="AL298" s="59"/>
      <c r="AM298" s="59"/>
    </row>
    <row r="299" spans="2:39" ht="16" customHeight="1" x14ac:dyDescent="0.35">
      <c r="B299">
        <f t="shared" si="12"/>
        <v>279</v>
      </c>
      <c r="C299" s="49">
        <f t="shared" si="13"/>
        <v>45204</v>
      </c>
      <c r="D299" s="29">
        <f>DAY(Dati[[#This Row],[Data]])</f>
        <v>5</v>
      </c>
      <c r="E299" s="29" t="str">
        <f>IF(DAY(Data!$C$21:$C$1327)&gt;0,TEXT(Data!$C$21:$C$1327, "mmmm"),"")</f>
        <v>ottobre</v>
      </c>
      <c r="F299" s="29" t="str">
        <f>IF(DAY(Data!$C$21:$C$1327)&gt;0,TEXT(Data!$C$21:$C$1327, "aaaa"),"")</f>
        <v>2023</v>
      </c>
      <c r="I299" t="str">
        <f>IF(OR(H299=$B$5,H299=$B$6,H299=$B$7,H299=$B$8,H299=$B$9,H299=$B$10,H299=$B$11,H299=$B$12,H299=$B$13,H299=$B$14),SottocategorieUscite[[#Headers],[Fuori Casa]],IF(OR(H299=$C$5,H299=$C$6,H299=$C$7,H299=$C$8,H299=$C$9,H299=$C$10,H299=$C$11,H299=$C$12,H299=$C$13,H299=$C$14),SottocategorieUscite[[#Headers],[Varie Uscite]],IF(OR(H299=$D$5,H299=$D$6,H299=$D$7,H299=$D$8,H299=$D$9,H299=$D$10,H299=$D$11,H299=$D$12,H299=$D$13,H299=$D$14),SottocategorieUscite[[#Headers],[Personali]],IF(OR(H299=$E$5,H299=$E$6,H299=$E$7,H299=$E$8,H299=$E$9,H299=$E$10,H299=$E$11,H299=$E$12,H299=$E$13,H299=$E$14),SottocategorieUscite[[#Headers],[Lavoro]],IF(OR(H299=$F$5,H299=$F$6,H299=$F$7,H299=$F$8,H299=$F$9,H299=$F$10,H299=$F$11,H299=$F$12,H299=$F$13,H299=$F$14),SottocategorieUscite[[#Headers],[Casa]],IF(OR(H299=$G$5,H299=$G$6,H299=$G$7,H299=$G$8,H299=$G$9,H299=$G$10,H299=$G$11,H299=$G$12,H299=$G$13,H299=$G$14),SottocategorieUscite[[#Headers],[Utenze]],IF(OR(H299=$H$5,H299=$H$6,H299=$H$7,H299=$H$8,H299=$H$9,H299=$H$10,H299=$H$11,H299=$H$12,H299=$H$13,H299=$H$14),SottocategorieUscite[[#Headers],[Business Uscite]],IF(OR(H299=$I$5,H299=$I$6,H299=$I$7,H299=$I$8,H299=$I$9,H299=$I$10,H299=$I$11,H299=$I$12,H299=$I$13,H299=$I$14),SottocategorieUscite[[#Headers],[Banca]],IF(OR(H299=K$5,H299=K$6,H299=K$7,H299=K$8,H299=K$9,H299=K$10,H299=K$11,H299=K$12,H299=K$13,H299=K$14),SottocategorieEntrate[[#Headers],[Business Entrate]],IF(OR(H299=L$5,H299=L$6,H299=L$7,H299=L$8,H299=L$9,H299=L$10,H299=L$11,H299=L$12,H299=L$13,H299=L$14),SottocategorieEntrate[[#Headers],[Varie Entrate]],IF(OR(H299=M$5,H299=M$6,H299=M$7,H299=M$8,H299=M$9,H299=M$10,H299=M$11,H299=M$12,H299=M$13,H299=M$14),SottocategorieEntrate[[#Headers],[Real Estate]],IF(OR(H299=N$5,H299=N$6,H299=N$7,H299=N$8,H299=N$9,H299=N$10,H299=N$11,H299=N$12,H299=N$13,H299=N$14),SottocategorieEntrate[[#Headers],[Other]],""))))))))))))</f>
        <v/>
      </c>
      <c r="J299" t="str">
        <f>IF(OR(Dati[[#This Row],[Categoria]]="Bollette",Dati[[#This Row],[Categoria]]="Conto &amp; Carte BNL",Dati[[#This Row],[Categoria]]="Prelievo",Dati[[#This Row],[Categoria]]="Affitto",Dati[[#This Row],[Categoria]]="BNL(Interessi Creditori)"),"Carta",IF(Dati[[#This Row],[Categoria]]&lt;&gt;0,"Cash",""))</f>
        <v/>
      </c>
      <c r="K299" s="59" t="str">
        <f>IF(OR(Data!$I299=SottocategorieUscite[[#Headers],[Fuori Casa]],Data!$I299=SottocategorieUscite[[#Headers],[Varie Uscite]],Data!$I299=SottocategorieUscite[[#Headers],[Personali]],Data!$I299=SottocategorieUscite[[#Headers],[Lavoro]]),"$ -","")</f>
        <v/>
      </c>
      <c r="L299" s="59" t="str">
        <f>IF(OR(Data!$I299=SottocategorieUscite[[#Headers],[Casa]],Data!$I299=SottocategorieUscite[[#Headers],[Utenze]],Data!$I299=SottocategorieUscite[[#Headers],[Business Uscite]],Data!$I299=SottocategorieUscite[[#Headers],[Banca]]),"$ -","")</f>
        <v/>
      </c>
      <c r="M299" s="59" t="str">
        <f>IF(OR($I299&lt;&gt;SottocategorieUscite[[#Headers],[Fuori Casa]],$I299&lt;&gt;SottocategorieUscite[[#Headers],[Varie Uscite]],$I299&lt;&gt;SottocategorieUscite[[#Headers],[Personali]],$I299&lt;&gt;SottocategorieUscite[[#Headers],[Lavoro]],$I299&lt;&gt;SottocategorieUscite[[#Headers],[Casa]],$I299&lt;&gt;SottocategorieUscite[[#Headers],[Utenze]],$I299&lt;&gt;SottocategorieUscite[[#Headers],[Business Uscite]],$I299&lt;&gt;SottocategorieUscite[[#Headers],[Banca]]),"","$ -")</f>
        <v/>
      </c>
      <c r="N299" s="59" t="str">
        <f>IF(OR(Data!$I299=SottocategorieEntrate[[#Headers],[Business Entrate]],Data!$I299=SottocategorieEntrate[[#Headers],[Varie Entrate]]),"$ -","")</f>
        <v/>
      </c>
      <c r="O299" s="59" t="str">
        <f>IF(OR(Data!$I299=SottocategorieEntrate[[#Headers],[Real Estate]],SottocategorieEntrate[[#Headers],[Other]]),"$ -","")</f>
        <v/>
      </c>
      <c r="P299" s="59" t="str">
        <f>IF(OR($I299&lt;&gt;SottocategorieEntrate[[#Headers],[Business Entrate]],$I299&lt;&gt;SottocategorieEntrate[[#Headers],[Varie Entrate]],$I299&lt;&gt;SottocategorieEntrate[[#Headers],[Real Estate]],$I299&lt;&gt;SottocategorieEntrate[[#Headers],[Other]]),"","$ -")</f>
        <v/>
      </c>
      <c r="Q299" s="59" t="str">
        <f>IF(Dati[[#This Row],[Categoria]]="Prelievo","€ -","")</f>
        <v/>
      </c>
      <c r="R299" s="244"/>
      <c r="S299" s="59" t="str">
        <f>IF(Dati[[#This Row],[Categoria]]="Savings",0,"")</f>
        <v/>
      </c>
      <c r="T299" s="59"/>
      <c r="U299" s="59"/>
      <c r="V299" s="59"/>
      <c r="W299" s="59"/>
      <c r="X299" s="59"/>
      <c r="Y299" s="59"/>
      <c r="Z299" s="59"/>
      <c r="AA299" s="59"/>
      <c r="AB299" s="59"/>
      <c r="AC299" s="59"/>
      <c r="AD299" s="59"/>
      <c r="AE299" s="59"/>
      <c r="AF299" s="59"/>
      <c r="AG299" s="59"/>
      <c r="AH299" s="59"/>
      <c r="AI299" s="59" t="str">
        <f>IF(SUM(Dati[[#This Row],[Inv. Business]:[Inv. Cryptocurrency]])=0," ",SUM(Dati[[#This Row],[Inv. Business]:[Inv. Cryptocurrency]]))</f>
        <v xml:space="preserve"> </v>
      </c>
      <c r="AJ299" s="59"/>
      <c r="AK299" s="59" t="str">
        <f>IF(SUM(Dati[[#This Row],[Inv. Gold]:[Mutuo]])=0," ",SUM(Dati[[#This Row],[Inv. Gold]:[Mutuo]]))</f>
        <v xml:space="preserve"> </v>
      </c>
      <c r="AL299" s="59"/>
      <c r="AM299" s="59"/>
    </row>
    <row r="300" spans="2:39" ht="16" customHeight="1" x14ac:dyDescent="0.35">
      <c r="B300">
        <f t="shared" si="12"/>
        <v>280</v>
      </c>
      <c r="C300" s="49">
        <f t="shared" si="13"/>
        <v>45205</v>
      </c>
      <c r="D300" s="29">
        <f>DAY(Dati[[#This Row],[Data]])</f>
        <v>6</v>
      </c>
      <c r="E300" s="29" t="str">
        <f>IF(DAY(Data!$C$21:$C$1327)&gt;0,TEXT(Data!$C$21:$C$1327, "mmmm"),"")</f>
        <v>ottobre</v>
      </c>
      <c r="F300" s="29" t="str">
        <f>IF(DAY(Data!$C$21:$C$1327)&gt;0,TEXT(Data!$C$21:$C$1327, "aaaa"),"")</f>
        <v>2023</v>
      </c>
      <c r="I300" t="str">
        <f>IF(OR(H300=$B$5,H300=$B$6,H300=$B$7,H300=$B$8,H300=$B$9,H300=$B$10,H300=$B$11,H300=$B$12,H300=$B$13,H300=$B$14),SottocategorieUscite[[#Headers],[Fuori Casa]],IF(OR(H300=$C$5,H300=$C$6,H300=$C$7,H300=$C$8,H300=$C$9,H300=$C$10,H300=$C$11,H300=$C$12,H300=$C$13,H300=$C$14),SottocategorieUscite[[#Headers],[Varie Uscite]],IF(OR(H300=$D$5,H300=$D$6,H300=$D$7,H300=$D$8,H300=$D$9,H300=$D$10,H300=$D$11,H300=$D$12,H300=$D$13,H300=$D$14),SottocategorieUscite[[#Headers],[Personali]],IF(OR(H300=$E$5,H300=$E$6,H300=$E$7,H300=$E$8,H300=$E$9,H300=$E$10,H300=$E$11,H300=$E$12,H300=$E$13,H300=$E$14),SottocategorieUscite[[#Headers],[Lavoro]],IF(OR(H300=$F$5,H300=$F$6,H300=$F$7,H300=$F$8,H300=$F$9,H300=$F$10,H300=$F$11,H300=$F$12,H300=$F$13,H300=$F$14),SottocategorieUscite[[#Headers],[Casa]],IF(OR(H300=$G$5,H300=$G$6,H300=$G$7,H300=$G$8,H300=$G$9,H300=$G$10,H300=$G$11,H300=$G$12,H300=$G$13,H300=$G$14),SottocategorieUscite[[#Headers],[Utenze]],IF(OR(H300=$H$5,H300=$H$6,H300=$H$7,H300=$H$8,H300=$H$9,H300=$H$10,H300=$H$11,H300=$H$12,H300=$H$13,H300=$H$14),SottocategorieUscite[[#Headers],[Business Uscite]],IF(OR(H300=$I$5,H300=$I$6,H300=$I$7,H300=$I$8,H300=$I$9,H300=$I$10,H300=$I$11,H300=$I$12,H300=$I$13,H300=$I$14),SottocategorieUscite[[#Headers],[Banca]],IF(OR(H300=K$5,H300=K$6,H300=K$7,H300=K$8,H300=K$9,H300=K$10,H300=K$11,H300=K$12,H300=K$13,H300=K$14),SottocategorieEntrate[[#Headers],[Business Entrate]],IF(OR(H300=L$5,H300=L$6,H300=L$7,H300=L$8,H300=L$9,H300=L$10,H300=L$11,H300=L$12,H300=L$13,H300=L$14),SottocategorieEntrate[[#Headers],[Varie Entrate]],IF(OR(H300=M$5,H300=M$6,H300=M$7,H300=M$8,H300=M$9,H300=M$10,H300=M$11,H300=M$12,H300=M$13,H300=M$14),SottocategorieEntrate[[#Headers],[Real Estate]],IF(OR(H300=N$5,H300=N$6,H300=N$7,H300=N$8,H300=N$9,H300=N$10,H300=N$11,H300=N$12,H300=N$13,H300=N$14),SottocategorieEntrate[[#Headers],[Other]],""))))))))))))</f>
        <v/>
      </c>
      <c r="J300" t="str">
        <f>IF(OR(Dati[[#This Row],[Categoria]]="Bollette",Dati[[#This Row],[Categoria]]="Conto &amp; Carte BNL",Dati[[#This Row],[Categoria]]="Prelievo",Dati[[#This Row],[Categoria]]="Affitto",Dati[[#This Row],[Categoria]]="BNL(Interessi Creditori)"),"Carta",IF(Dati[[#This Row],[Categoria]]&lt;&gt;0,"Cash",""))</f>
        <v/>
      </c>
      <c r="K300" s="59" t="str">
        <f>IF(OR(Data!$I300=SottocategorieUscite[[#Headers],[Fuori Casa]],Data!$I300=SottocategorieUscite[[#Headers],[Varie Uscite]],Data!$I300=SottocategorieUscite[[#Headers],[Personali]],Data!$I300=SottocategorieUscite[[#Headers],[Lavoro]]),"$ -","")</f>
        <v/>
      </c>
      <c r="L300" s="59" t="str">
        <f>IF(OR(Data!$I300=SottocategorieUscite[[#Headers],[Casa]],Data!$I300=SottocategorieUscite[[#Headers],[Utenze]],Data!$I300=SottocategorieUscite[[#Headers],[Business Uscite]],Data!$I300=SottocategorieUscite[[#Headers],[Banca]]),"$ -","")</f>
        <v/>
      </c>
      <c r="M300" s="59" t="str">
        <f>IF(OR($I300&lt;&gt;SottocategorieUscite[[#Headers],[Fuori Casa]],$I300&lt;&gt;SottocategorieUscite[[#Headers],[Varie Uscite]],$I300&lt;&gt;SottocategorieUscite[[#Headers],[Personali]],$I300&lt;&gt;SottocategorieUscite[[#Headers],[Lavoro]],$I300&lt;&gt;SottocategorieUscite[[#Headers],[Casa]],$I300&lt;&gt;SottocategorieUscite[[#Headers],[Utenze]],$I300&lt;&gt;SottocategorieUscite[[#Headers],[Business Uscite]],$I300&lt;&gt;SottocategorieUscite[[#Headers],[Banca]]),"","$ -")</f>
        <v/>
      </c>
      <c r="N300" s="59" t="str">
        <f>IF(OR(Data!$I300=SottocategorieEntrate[[#Headers],[Business Entrate]],Data!$I300=SottocategorieEntrate[[#Headers],[Varie Entrate]]),"$ -","")</f>
        <v/>
      </c>
      <c r="O300" s="59" t="str">
        <f>IF(OR(Data!$I300=SottocategorieEntrate[[#Headers],[Real Estate]],SottocategorieEntrate[[#Headers],[Other]]),"$ -","")</f>
        <v/>
      </c>
      <c r="P300" s="59" t="str">
        <f>IF(OR($I300&lt;&gt;SottocategorieEntrate[[#Headers],[Business Entrate]],$I300&lt;&gt;SottocategorieEntrate[[#Headers],[Varie Entrate]],$I300&lt;&gt;SottocategorieEntrate[[#Headers],[Real Estate]],$I300&lt;&gt;SottocategorieEntrate[[#Headers],[Other]]),"","$ -")</f>
        <v/>
      </c>
      <c r="Q300" s="59" t="str">
        <f>IF(Dati[[#This Row],[Categoria]]="Prelievo","€ -","")</f>
        <v/>
      </c>
      <c r="R300" s="244"/>
      <c r="S300" s="59" t="str">
        <f>IF(Dati[[#This Row],[Categoria]]="Savings",0,"")</f>
        <v/>
      </c>
      <c r="T300" s="59"/>
      <c r="U300" s="59"/>
      <c r="V300" s="59"/>
      <c r="W300" s="59"/>
      <c r="X300" s="59"/>
      <c r="Y300" s="59"/>
      <c r="Z300" s="59"/>
      <c r="AA300" s="59"/>
      <c r="AB300" s="59"/>
      <c r="AC300" s="59"/>
      <c r="AD300" s="59"/>
      <c r="AE300" s="59"/>
      <c r="AF300" s="59"/>
      <c r="AG300" s="59"/>
      <c r="AH300" s="59"/>
      <c r="AI300" s="59" t="str">
        <f>IF(SUM(Dati[[#This Row],[Inv. Business]:[Inv. Cryptocurrency]])=0," ",SUM(Dati[[#This Row],[Inv. Business]:[Inv. Cryptocurrency]]))</f>
        <v xml:space="preserve"> </v>
      </c>
      <c r="AJ300" s="59"/>
      <c r="AK300" s="59" t="str">
        <f>IF(SUM(Dati[[#This Row],[Inv. Gold]:[Mutuo]])=0," ",SUM(Dati[[#This Row],[Inv. Gold]:[Mutuo]]))</f>
        <v xml:space="preserve"> </v>
      </c>
      <c r="AL300" s="59"/>
      <c r="AM300" s="59"/>
    </row>
    <row r="301" spans="2:39" ht="16" customHeight="1" x14ac:dyDescent="0.35">
      <c r="B301">
        <f t="shared" si="12"/>
        <v>281</v>
      </c>
      <c r="C301" s="49">
        <f t="shared" si="13"/>
        <v>45206</v>
      </c>
      <c r="D301" s="29">
        <f>DAY(Dati[[#This Row],[Data]])</f>
        <v>7</v>
      </c>
      <c r="E301" s="29" t="str">
        <f>IF(DAY(Data!$C$21:$C$1327)&gt;0,TEXT(Data!$C$21:$C$1327, "mmmm"),"")</f>
        <v>ottobre</v>
      </c>
      <c r="F301" s="29" t="str">
        <f>IF(DAY(Data!$C$21:$C$1327)&gt;0,TEXT(Data!$C$21:$C$1327, "aaaa"),"")</f>
        <v>2023</v>
      </c>
      <c r="I301" t="str">
        <f>IF(OR(H301=$B$5,H301=$B$6,H301=$B$7,H301=$B$8,H301=$B$9,H301=$B$10,H301=$B$11,H301=$B$12,H301=$B$13,H301=$B$14),SottocategorieUscite[[#Headers],[Fuori Casa]],IF(OR(H301=$C$5,H301=$C$6,H301=$C$7,H301=$C$8,H301=$C$9,H301=$C$10,H301=$C$11,H301=$C$12,H301=$C$13,H301=$C$14),SottocategorieUscite[[#Headers],[Varie Uscite]],IF(OR(H301=$D$5,H301=$D$6,H301=$D$7,H301=$D$8,H301=$D$9,H301=$D$10,H301=$D$11,H301=$D$12,H301=$D$13,H301=$D$14),SottocategorieUscite[[#Headers],[Personali]],IF(OR(H301=$E$5,H301=$E$6,H301=$E$7,H301=$E$8,H301=$E$9,H301=$E$10,H301=$E$11,H301=$E$12,H301=$E$13,H301=$E$14),SottocategorieUscite[[#Headers],[Lavoro]],IF(OR(H301=$F$5,H301=$F$6,H301=$F$7,H301=$F$8,H301=$F$9,H301=$F$10,H301=$F$11,H301=$F$12,H301=$F$13,H301=$F$14),SottocategorieUscite[[#Headers],[Casa]],IF(OR(H301=$G$5,H301=$G$6,H301=$G$7,H301=$G$8,H301=$G$9,H301=$G$10,H301=$G$11,H301=$G$12,H301=$G$13,H301=$G$14),SottocategorieUscite[[#Headers],[Utenze]],IF(OR(H301=$H$5,H301=$H$6,H301=$H$7,H301=$H$8,H301=$H$9,H301=$H$10,H301=$H$11,H301=$H$12,H301=$H$13,H301=$H$14),SottocategorieUscite[[#Headers],[Business Uscite]],IF(OR(H301=$I$5,H301=$I$6,H301=$I$7,H301=$I$8,H301=$I$9,H301=$I$10,H301=$I$11,H301=$I$12,H301=$I$13,H301=$I$14),SottocategorieUscite[[#Headers],[Banca]],IF(OR(H301=K$5,H301=K$6,H301=K$7,H301=K$8,H301=K$9,H301=K$10,H301=K$11,H301=K$12,H301=K$13,H301=K$14),SottocategorieEntrate[[#Headers],[Business Entrate]],IF(OR(H301=L$5,H301=L$6,H301=L$7,H301=L$8,H301=L$9,H301=L$10,H301=L$11,H301=L$12,H301=L$13,H301=L$14),SottocategorieEntrate[[#Headers],[Varie Entrate]],IF(OR(H301=M$5,H301=M$6,H301=M$7,H301=M$8,H301=M$9,H301=M$10,H301=M$11,H301=M$12,H301=M$13,H301=M$14),SottocategorieEntrate[[#Headers],[Real Estate]],IF(OR(H301=N$5,H301=N$6,H301=N$7,H301=N$8,H301=N$9,H301=N$10,H301=N$11,H301=N$12,H301=N$13,H301=N$14),SottocategorieEntrate[[#Headers],[Other]],""))))))))))))</f>
        <v/>
      </c>
      <c r="J301" t="str">
        <f>IF(OR(Dati[[#This Row],[Categoria]]="Bollette",Dati[[#This Row],[Categoria]]="Conto &amp; Carte BNL",Dati[[#This Row],[Categoria]]="Prelievo",Dati[[#This Row],[Categoria]]="Affitto",Dati[[#This Row],[Categoria]]="BNL(Interessi Creditori)"),"Carta",IF(Dati[[#This Row],[Categoria]]&lt;&gt;0,"Cash",""))</f>
        <v/>
      </c>
      <c r="K301" s="59" t="str">
        <f>IF(OR(Data!$I301=SottocategorieUscite[[#Headers],[Fuori Casa]],Data!$I301=SottocategorieUscite[[#Headers],[Varie Uscite]],Data!$I301=SottocategorieUscite[[#Headers],[Personali]],Data!$I301=SottocategorieUscite[[#Headers],[Lavoro]]),"$ -","")</f>
        <v/>
      </c>
      <c r="L301" s="59" t="str">
        <f>IF(OR(Data!$I301=SottocategorieUscite[[#Headers],[Casa]],Data!$I301=SottocategorieUscite[[#Headers],[Utenze]],Data!$I301=SottocategorieUscite[[#Headers],[Business Uscite]],Data!$I301=SottocategorieUscite[[#Headers],[Banca]]),"$ -","")</f>
        <v/>
      </c>
      <c r="M301" s="59" t="str">
        <f>IF(OR($I301&lt;&gt;SottocategorieUscite[[#Headers],[Fuori Casa]],$I301&lt;&gt;SottocategorieUscite[[#Headers],[Varie Uscite]],$I301&lt;&gt;SottocategorieUscite[[#Headers],[Personali]],$I301&lt;&gt;SottocategorieUscite[[#Headers],[Lavoro]],$I301&lt;&gt;SottocategorieUscite[[#Headers],[Casa]],$I301&lt;&gt;SottocategorieUscite[[#Headers],[Utenze]],$I301&lt;&gt;SottocategorieUscite[[#Headers],[Business Uscite]],$I301&lt;&gt;SottocategorieUscite[[#Headers],[Banca]]),"","$ -")</f>
        <v/>
      </c>
      <c r="N301" s="59" t="str">
        <f>IF(OR(Data!$I301=SottocategorieEntrate[[#Headers],[Business Entrate]],Data!$I301=SottocategorieEntrate[[#Headers],[Varie Entrate]]),"$ -","")</f>
        <v/>
      </c>
      <c r="O301" s="59" t="str">
        <f>IF(OR(Data!$I301=SottocategorieEntrate[[#Headers],[Real Estate]],SottocategorieEntrate[[#Headers],[Other]]),"$ -","")</f>
        <v/>
      </c>
      <c r="P301" s="59" t="str">
        <f>IF(OR($I301&lt;&gt;SottocategorieEntrate[[#Headers],[Business Entrate]],$I301&lt;&gt;SottocategorieEntrate[[#Headers],[Varie Entrate]],$I301&lt;&gt;SottocategorieEntrate[[#Headers],[Real Estate]],$I301&lt;&gt;SottocategorieEntrate[[#Headers],[Other]]),"","$ -")</f>
        <v/>
      </c>
      <c r="Q301" s="59" t="str">
        <f>IF(Dati[[#This Row],[Categoria]]="Prelievo","€ -","")</f>
        <v/>
      </c>
      <c r="R301" s="244"/>
      <c r="S301" s="59" t="str">
        <f>IF(Dati[[#This Row],[Categoria]]="Savings",0,"")</f>
        <v/>
      </c>
      <c r="T301" s="59"/>
      <c r="U301" s="59"/>
      <c r="V301" s="59"/>
      <c r="W301" s="59"/>
      <c r="X301" s="59"/>
      <c r="Y301" s="59"/>
      <c r="Z301" s="59"/>
      <c r="AA301" s="59"/>
      <c r="AB301" s="59"/>
      <c r="AC301" s="59"/>
      <c r="AD301" s="59"/>
      <c r="AE301" s="59"/>
      <c r="AF301" s="59"/>
      <c r="AG301" s="59"/>
      <c r="AH301" s="59"/>
      <c r="AI301" s="59" t="str">
        <f>IF(SUM(Dati[[#This Row],[Inv. Business]:[Inv. Cryptocurrency]])=0," ",SUM(Dati[[#This Row],[Inv. Business]:[Inv. Cryptocurrency]]))</f>
        <v xml:space="preserve"> </v>
      </c>
      <c r="AJ301" s="59"/>
      <c r="AK301" s="59" t="str">
        <f>IF(SUM(Dati[[#This Row],[Inv. Gold]:[Mutuo]])=0," ",SUM(Dati[[#This Row],[Inv. Gold]:[Mutuo]]))</f>
        <v xml:space="preserve"> </v>
      </c>
      <c r="AL301" s="59"/>
      <c r="AM301" s="59"/>
    </row>
    <row r="302" spans="2:39" ht="16" customHeight="1" x14ac:dyDescent="0.35">
      <c r="B302">
        <f t="shared" si="12"/>
        <v>282</v>
      </c>
      <c r="C302" s="49">
        <f t="shared" si="13"/>
        <v>45207</v>
      </c>
      <c r="D302" s="29">
        <f>DAY(Dati[[#This Row],[Data]])</f>
        <v>8</v>
      </c>
      <c r="E302" s="29" t="str">
        <f>IF(DAY(Data!$C$21:$C$1327)&gt;0,TEXT(Data!$C$21:$C$1327, "mmmm"),"")</f>
        <v>ottobre</v>
      </c>
      <c r="F302" s="29" t="str">
        <f>IF(DAY(Data!$C$21:$C$1327)&gt;0,TEXT(Data!$C$21:$C$1327, "aaaa"),"")</f>
        <v>2023</v>
      </c>
      <c r="I302" t="str">
        <f>IF(OR(H302=$B$5,H302=$B$6,H302=$B$7,H302=$B$8,H302=$B$9,H302=$B$10,H302=$B$11,H302=$B$12,H302=$B$13,H302=$B$14),SottocategorieUscite[[#Headers],[Fuori Casa]],IF(OR(H302=$C$5,H302=$C$6,H302=$C$7,H302=$C$8,H302=$C$9,H302=$C$10,H302=$C$11,H302=$C$12,H302=$C$13,H302=$C$14),SottocategorieUscite[[#Headers],[Varie Uscite]],IF(OR(H302=$D$5,H302=$D$6,H302=$D$7,H302=$D$8,H302=$D$9,H302=$D$10,H302=$D$11,H302=$D$12,H302=$D$13,H302=$D$14),SottocategorieUscite[[#Headers],[Personali]],IF(OR(H302=$E$5,H302=$E$6,H302=$E$7,H302=$E$8,H302=$E$9,H302=$E$10,H302=$E$11,H302=$E$12,H302=$E$13,H302=$E$14),SottocategorieUscite[[#Headers],[Lavoro]],IF(OR(H302=$F$5,H302=$F$6,H302=$F$7,H302=$F$8,H302=$F$9,H302=$F$10,H302=$F$11,H302=$F$12,H302=$F$13,H302=$F$14),SottocategorieUscite[[#Headers],[Casa]],IF(OR(H302=$G$5,H302=$G$6,H302=$G$7,H302=$G$8,H302=$G$9,H302=$G$10,H302=$G$11,H302=$G$12,H302=$G$13,H302=$G$14),SottocategorieUscite[[#Headers],[Utenze]],IF(OR(H302=$H$5,H302=$H$6,H302=$H$7,H302=$H$8,H302=$H$9,H302=$H$10,H302=$H$11,H302=$H$12,H302=$H$13,H302=$H$14),SottocategorieUscite[[#Headers],[Business Uscite]],IF(OR(H302=$I$5,H302=$I$6,H302=$I$7,H302=$I$8,H302=$I$9,H302=$I$10,H302=$I$11,H302=$I$12,H302=$I$13,H302=$I$14),SottocategorieUscite[[#Headers],[Banca]],IF(OR(H302=K$5,H302=K$6,H302=K$7,H302=K$8,H302=K$9,H302=K$10,H302=K$11,H302=K$12,H302=K$13,H302=K$14),SottocategorieEntrate[[#Headers],[Business Entrate]],IF(OR(H302=L$5,H302=L$6,H302=L$7,H302=L$8,H302=L$9,H302=L$10,H302=L$11,H302=L$12,H302=L$13,H302=L$14),SottocategorieEntrate[[#Headers],[Varie Entrate]],IF(OR(H302=M$5,H302=M$6,H302=M$7,H302=M$8,H302=M$9,H302=M$10,H302=M$11,H302=M$12,H302=M$13,H302=M$14),SottocategorieEntrate[[#Headers],[Real Estate]],IF(OR(H302=N$5,H302=N$6,H302=N$7,H302=N$8,H302=N$9,H302=N$10,H302=N$11,H302=N$12,H302=N$13,H302=N$14),SottocategorieEntrate[[#Headers],[Other]],""))))))))))))</f>
        <v/>
      </c>
      <c r="J302" t="str">
        <f>IF(OR(Dati[[#This Row],[Categoria]]="Bollette",Dati[[#This Row],[Categoria]]="Conto &amp; Carte BNL",Dati[[#This Row],[Categoria]]="Prelievo",Dati[[#This Row],[Categoria]]="Affitto",Dati[[#This Row],[Categoria]]="BNL(Interessi Creditori)"),"Carta",IF(Dati[[#This Row],[Categoria]]&lt;&gt;0,"Cash",""))</f>
        <v/>
      </c>
      <c r="K302" s="59" t="str">
        <f>IF(OR(Data!$I302=SottocategorieUscite[[#Headers],[Fuori Casa]],Data!$I302=SottocategorieUscite[[#Headers],[Varie Uscite]],Data!$I302=SottocategorieUscite[[#Headers],[Personali]],Data!$I302=SottocategorieUscite[[#Headers],[Lavoro]]),"$ -","")</f>
        <v/>
      </c>
      <c r="L302" s="59" t="str">
        <f>IF(OR(Data!$I302=SottocategorieUscite[[#Headers],[Casa]],Data!$I302=SottocategorieUscite[[#Headers],[Utenze]],Data!$I302=SottocategorieUscite[[#Headers],[Business Uscite]],Data!$I302=SottocategorieUscite[[#Headers],[Banca]]),"$ -","")</f>
        <v/>
      </c>
      <c r="M302" s="59" t="str">
        <f>IF(OR($I302&lt;&gt;SottocategorieUscite[[#Headers],[Fuori Casa]],$I302&lt;&gt;SottocategorieUscite[[#Headers],[Varie Uscite]],$I302&lt;&gt;SottocategorieUscite[[#Headers],[Personali]],$I302&lt;&gt;SottocategorieUscite[[#Headers],[Lavoro]],$I302&lt;&gt;SottocategorieUscite[[#Headers],[Casa]],$I302&lt;&gt;SottocategorieUscite[[#Headers],[Utenze]],$I302&lt;&gt;SottocategorieUscite[[#Headers],[Business Uscite]],$I302&lt;&gt;SottocategorieUscite[[#Headers],[Banca]]),"","$ -")</f>
        <v/>
      </c>
      <c r="N302" s="59" t="str">
        <f>IF(OR(Data!$I302=SottocategorieEntrate[[#Headers],[Business Entrate]],Data!$I302=SottocategorieEntrate[[#Headers],[Varie Entrate]]),"$ -","")</f>
        <v/>
      </c>
      <c r="O302" s="59" t="str">
        <f>IF(OR(Data!$I302=SottocategorieEntrate[[#Headers],[Real Estate]],SottocategorieEntrate[[#Headers],[Other]]),"$ -","")</f>
        <v/>
      </c>
      <c r="P302" s="59" t="str">
        <f>IF(OR($I302&lt;&gt;SottocategorieEntrate[[#Headers],[Business Entrate]],$I302&lt;&gt;SottocategorieEntrate[[#Headers],[Varie Entrate]],$I302&lt;&gt;SottocategorieEntrate[[#Headers],[Real Estate]],$I302&lt;&gt;SottocategorieEntrate[[#Headers],[Other]]),"","$ -")</f>
        <v/>
      </c>
      <c r="Q302" s="59" t="str">
        <f>IF(Dati[[#This Row],[Categoria]]="Prelievo","€ -","")</f>
        <v/>
      </c>
      <c r="R302" s="244"/>
      <c r="S302" s="59" t="str">
        <f>IF(Dati[[#This Row],[Categoria]]="Savings",0,"")</f>
        <v/>
      </c>
      <c r="T302" s="59"/>
      <c r="U302" s="59"/>
      <c r="V302" s="59"/>
      <c r="W302" s="59"/>
      <c r="X302" s="59"/>
      <c r="Y302" s="59"/>
      <c r="Z302" s="59"/>
      <c r="AA302" s="59"/>
      <c r="AB302" s="59"/>
      <c r="AC302" s="59"/>
      <c r="AD302" s="59"/>
      <c r="AE302" s="59"/>
      <c r="AF302" s="59"/>
      <c r="AG302" s="59"/>
      <c r="AH302" s="59"/>
      <c r="AI302" s="59" t="str">
        <f>IF(SUM(Dati[[#This Row],[Inv. Business]:[Inv. Cryptocurrency]])=0," ",SUM(Dati[[#This Row],[Inv. Business]:[Inv. Cryptocurrency]]))</f>
        <v xml:space="preserve"> </v>
      </c>
      <c r="AJ302" s="59"/>
      <c r="AK302" s="59" t="str">
        <f>IF(SUM(Dati[[#This Row],[Inv. Gold]:[Mutuo]])=0," ",SUM(Dati[[#This Row],[Inv. Gold]:[Mutuo]]))</f>
        <v xml:space="preserve"> </v>
      </c>
      <c r="AL302" s="59"/>
      <c r="AM302" s="59"/>
    </row>
    <row r="303" spans="2:39" ht="16" customHeight="1" x14ac:dyDescent="0.35">
      <c r="B303">
        <f t="shared" si="12"/>
        <v>283</v>
      </c>
      <c r="C303" s="49">
        <f t="shared" si="13"/>
        <v>45208</v>
      </c>
      <c r="D303" s="29">
        <f>DAY(Dati[[#This Row],[Data]])</f>
        <v>9</v>
      </c>
      <c r="E303" s="29" t="str">
        <f>IF(DAY(Data!$C$21:$C$1327)&gt;0,TEXT(Data!$C$21:$C$1327, "mmmm"),"")</f>
        <v>ottobre</v>
      </c>
      <c r="F303" s="29" t="str">
        <f>IF(DAY(Data!$C$21:$C$1327)&gt;0,TEXT(Data!$C$21:$C$1327, "aaaa"),"")</f>
        <v>2023</v>
      </c>
      <c r="I303" t="str">
        <f>IF(OR(H303=$B$5,H303=$B$6,H303=$B$7,H303=$B$8,H303=$B$9,H303=$B$10,H303=$B$11,H303=$B$12,H303=$B$13,H303=$B$14),SottocategorieUscite[[#Headers],[Fuori Casa]],IF(OR(H303=$C$5,H303=$C$6,H303=$C$7,H303=$C$8,H303=$C$9,H303=$C$10,H303=$C$11,H303=$C$12,H303=$C$13,H303=$C$14),SottocategorieUscite[[#Headers],[Varie Uscite]],IF(OR(H303=$D$5,H303=$D$6,H303=$D$7,H303=$D$8,H303=$D$9,H303=$D$10,H303=$D$11,H303=$D$12,H303=$D$13,H303=$D$14),SottocategorieUscite[[#Headers],[Personali]],IF(OR(H303=$E$5,H303=$E$6,H303=$E$7,H303=$E$8,H303=$E$9,H303=$E$10,H303=$E$11,H303=$E$12,H303=$E$13,H303=$E$14),SottocategorieUscite[[#Headers],[Lavoro]],IF(OR(H303=$F$5,H303=$F$6,H303=$F$7,H303=$F$8,H303=$F$9,H303=$F$10,H303=$F$11,H303=$F$12,H303=$F$13,H303=$F$14),SottocategorieUscite[[#Headers],[Casa]],IF(OR(H303=$G$5,H303=$G$6,H303=$G$7,H303=$G$8,H303=$G$9,H303=$G$10,H303=$G$11,H303=$G$12,H303=$G$13,H303=$G$14),SottocategorieUscite[[#Headers],[Utenze]],IF(OR(H303=$H$5,H303=$H$6,H303=$H$7,H303=$H$8,H303=$H$9,H303=$H$10,H303=$H$11,H303=$H$12,H303=$H$13,H303=$H$14),SottocategorieUscite[[#Headers],[Business Uscite]],IF(OR(H303=$I$5,H303=$I$6,H303=$I$7,H303=$I$8,H303=$I$9,H303=$I$10,H303=$I$11,H303=$I$12,H303=$I$13,H303=$I$14),SottocategorieUscite[[#Headers],[Banca]],IF(OR(H303=K$5,H303=K$6,H303=K$7,H303=K$8,H303=K$9,H303=K$10,H303=K$11,H303=K$12,H303=K$13,H303=K$14),SottocategorieEntrate[[#Headers],[Business Entrate]],IF(OR(H303=L$5,H303=L$6,H303=L$7,H303=L$8,H303=L$9,H303=L$10,H303=L$11,H303=L$12,H303=L$13,H303=L$14),SottocategorieEntrate[[#Headers],[Varie Entrate]],IF(OR(H303=M$5,H303=M$6,H303=M$7,H303=M$8,H303=M$9,H303=M$10,H303=M$11,H303=M$12,H303=M$13,H303=M$14),SottocategorieEntrate[[#Headers],[Real Estate]],IF(OR(H303=N$5,H303=N$6,H303=N$7,H303=N$8,H303=N$9,H303=N$10,H303=N$11,H303=N$12,H303=N$13,H303=N$14),SottocategorieEntrate[[#Headers],[Other]],""))))))))))))</f>
        <v/>
      </c>
      <c r="J303" t="str">
        <f>IF(OR(Dati[[#This Row],[Categoria]]="Bollette",Dati[[#This Row],[Categoria]]="Conto &amp; Carte BNL",Dati[[#This Row],[Categoria]]="Prelievo",Dati[[#This Row],[Categoria]]="Affitto",Dati[[#This Row],[Categoria]]="BNL(Interessi Creditori)"),"Carta",IF(Dati[[#This Row],[Categoria]]&lt;&gt;0,"Cash",""))</f>
        <v/>
      </c>
      <c r="K303" s="59" t="str">
        <f>IF(OR(Data!$I303=SottocategorieUscite[[#Headers],[Fuori Casa]],Data!$I303=SottocategorieUscite[[#Headers],[Varie Uscite]],Data!$I303=SottocategorieUscite[[#Headers],[Personali]],Data!$I303=SottocategorieUscite[[#Headers],[Lavoro]]),"$ -","")</f>
        <v/>
      </c>
      <c r="L303" s="59" t="str">
        <f>IF(OR(Data!$I303=SottocategorieUscite[[#Headers],[Casa]],Data!$I303=SottocategorieUscite[[#Headers],[Utenze]],Data!$I303=SottocategorieUscite[[#Headers],[Business Uscite]],Data!$I303=SottocategorieUscite[[#Headers],[Banca]]),"$ -","")</f>
        <v/>
      </c>
      <c r="M303" s="59" t="str">
        <f>IF(OR($I303&lt;&gt;SottocategorieUscite[[#Headers],[Fuori Casa]],$I303&lt;&gt;SottocategorieUscite[[#Headers],[Varie Uscite]],$I303&lt;&gt;SottocategorieUscite[[#Headers],[Personali]],$I303&lt;&gt;SottocategorieUscite[[#Headers],[Lavoro]],$I303&lt;&gt;SottocategorieUscite[[#Headers],[Casa]],$I303&lt;&gt;SottocategorieUscite[[#Headers],[Utenze]],$I303&lt;&gt;SottocategorieUscite[[#Headers],[Business Uscite]],$I303&lt;&gt;SottocategorieUscite[[#Headers],[Banca]]),"","$ -")</f>
        <v/>
      </c>
      <c r="N303" s="59" t="str">
        <f>IF(OR(Data!$I303=SottocategorieEntrate[[#Headers],[Business Entrate]],Data!$I303=SottocategorieEntrate[[#Headers],[Varie Entrate]]),"$ -","")</f>
        <v/>
      </c>
      <c r="O303" s="59" t="str">
        <f>IF(OR(Data!$I303=SottocategorieEntrate[[#Headers],[Real Estate]],SottocategorieEntrate[[#Headers],[Other]]),"$ -","")</f>
        <v/>
      </c>
      <c r="P303" s="59" t="str">
        <f>IF(OR($I303&lt;&gt;SottocategorieEntrate[[#Headers],[Business Entrate]],$I303&lt;&gt;SottocategorieEntrate[[#Headers],[Varie Entrate]],$I303&lt;&gt;SottocategorieEntrate[[#Headers],[Real Estate]],$I303&lt;&gt;SottocategorieEntrate[[#Headers],[Other]]),"","$ -")</f>
        <v/>
      </c>
      <c r="Q303" s="59" t="str">
        <f>IF(Dati[[#This Row],[Categoria]]="Prelievo","€ -","")</f>
        <v/>
      </c>
      <c r="R303" s="244"/>
      <c r="S303" s="59" t="str">
        <f>IF(Dati[[#This Row],[Categoria]]="Savings",0,"")</f>
        <v/>
      </c>
      <c r="T303" s="59"/>
      <c r="U303" s="59"/>
      <c r="V303" s="59"/>
      <c r="W303" s="59"/>
      <c r="X303" s="59"/>
      <c r="Y303" s="59"/>
      <c r="Z303" s="59"/>
      <c r="AA303" s="59"/>
      <c r="AB303" s="59"/>
      <c r="AC303" s="59"/>
      <c r="AD303" s="59"/>
      <c r="AE303" s="59"/>
      <c r="AF303" s="59"/>
      <c r="AG303" s="59"/>
      <c r="AH303" s="59"/>
      <c r="AI303" s="59" t="str">
        <f>IF(SUM(Dati[[#This Row],[Inv. Business]:[Inv. Cryptocurrency]])=0," ",SUM(Dati[[#This Row],[Inv. Business]:[Inv. Cryptocurrency]]))</f>
        <v xml:space="preserve"> </v>
      </c>
      <c r="AJ303" s="59"/>
      <c r="AK303" s="59" t="str">
        <f>IF(SUM(Dati[[#This Row],[Inv. Gold]:[Mutuo]])=0," ",SUM(Dati[[#This Row],[Inv. Gold]:[Mutuo]]))</f>
        <v xml:space="preserve"> </v>
      </c>
      <c r="AL303" s="59"/>
      <c r="AM303" s="59"/>
    </row>
    <row r="304" spans="2:39" ht="16" customHeight="1" x14ac:dyDescent="0.35">
      <c r="B304">
        <f t="shared" si="12"/>
        <v>284</v>
      </c>
      <c r="C304" s="49">
        <f t="shared" si="13"/>
        <v>45209</v>
      </c>
      <c r="D304" s="29">
        <f>DAY(Dati[[#This Row],[Data]])</f>
        <v>10</v>
      </c>
      <c r="E304" s="29" t="str">
        <f>IF(DAY(Data!$C$21:$C$1327)&gt;0,TEXT(Data!$C$21:$C$1327, "mmmm"),"")</f>
        <v>ottobre</v>
      </c>
      <c r="F304" s="29" t="str">
        <f>IF(DAY(Data!$C$21:$C$1327)&gt;0,TEXT(Data!$C$21:$C$1327, "aaaa"),"")</f>
        <v>2023</v>
      </c>
      <c r="I304" t="str">
        <f>IF(OR(H304=$B$5,H304=$B$6,H304=$B$7,H304=$B$8,H304=$B$9,H304=$B$10,H304=$B$11,H304=$B$12,H304=$B$13,H304=$B$14),SottocategorieUscite[[#Headers],[Fuori Casa]],IF(OR(H304=$C$5,H304=$C$6,H304=$C$7,H304=$C$8,H304=$C$9,H304=$C$10,H304=$C$11,H304=$C$12,H304=$C$13,H304=$C$14),SottocategorieUscite[[#Headers],[Varie Uscite]],IF(OR(H304=$D$5,H304=$D$6,H304=$D$7,H304=$D$8,H304=$D$9,H304=$D$10,H304=$D$11,H304=$D$12,H304=$D$13,H304=$D$14),SottocategorieUscite[[#Headers],[Personali]],IF(OR(H304=$E$5,H304=$E$6,H304=$E$7,H304=$E$8,H304=$E$9,H304=$E$10,H304=$E$11,H304=$E$12,H304=$E$13,H304=$E$14),SottocategorieUscite[[#Headers],[Lavoro]],IF(OR(H304=$F$5,H304=$F$6,H304=$F$7,H304=$F$8,H304=$F$9,H304=$F$10,H304=$F$11,H304=$F$12,H304=$F$13,H304=$F$14),SottocategorieUscite[[#Headers],[Casa]],IF(OR(H304=$G$5,H304=$G$6,H304=$G$7,H304=$G$8,H304=$G$9,H304=$G$10,H304=$G$11,H304=$G$12,H304=$G$13,H304=$G$14),SottocategorieUscite[[#Headers],[Utenze]],IF(OR(H304=$H$5,H304=$H$6,H304=$H$7,H304=$H$8,H304=$H$9,H304=$H$10,H304=$H$11,H304=$H$12,H304=$H$13,H304=$H$14),SottocategorieUscite[[#Headers],[Business Uscite]],IF(OR(H304=$I$5,H304=$I$6,H304=$I$7,H304=$I$8,H304=$I$9,H304=$I$10,H304=$I$11,H304=$I$12,H304=$I$13,H304=$I$14),SottocategorieUscite[[#Headers],[Banca]],IF(OR(H304=K$5,H304=K$6,H304=K$7,H304=K$8,H304=K$9,H304=K$10,H304=K$11,H304=K$12,H304=K$13,H304=K$14),SottocategorieEntrate[[#Headers],[Business Entrate]],IF(OR(H304=L$5,H304=L$6,H304=L$7,H304=L$8,H304=L$9,H304=L$10,H304=L$11,H304=L$12,H304=L$13,H304=L$14),SottocategorieEntrate[[#Headers],[Varie Entrate]],IF(OR(H304=M$5,H304=M$6,H304=M$7,H304=M$8,H304=M$9,H304=M$10,H304=M$11,H304=M$12,H304=M$13,H304=M$14),SottocategorieEntrate[[#Headers],[Real Estate]],IF(OR(H304=N$5,H304=N$6,H304=N$7,H304=N$8,H304=N$9,H304=N$10,H304=N$11,H304=N$12,H304=N$13,H304=N$14),SottocategorieEntrate[[#Headers],[Other]],""))))))))))))</f>
        <v/>
      </c>
      <c r="J304" t="str">
        <f>IF(OR(Dati[[#This Row],[Categoria]]="Bollette",Dati[[#This Row],[Categoria]]="Conto &amp; Carte BNL",Dati[[#This Row],[Categoria]]="Prelievo",Dati[[#This Row],[Categoria]]="Affitto",Dati[[#This Row],[Categoria]]="BNL(Interessi Creditori)"),"Carta",IF(Dati[[#This Row],[Categoria]]&lt;&gt;0,"Cash",""))</f>
        <v/>
      </c>
      <c r="K304" s="59" t="str">
        <f>IF(OR(Data!$I304=SottocategorieUscite[[#Headers],[Fuori Casa]],Data!$I304=SottocategorieUscite[[#Headers],[Varie Uscite]],Data!$I304=SottocategorieUscite[[#Headers],[Personali]],Data!$I304=SottocategorieUscite[[#Headers],[Lavoro]]),"$ -","")</f>
        <v/>
      </c>
      <c r="L304" s="59" t="str">
        <f>IF(OR(Data!$I304=SottocategorieUscite[[#Headers],[Casa]],Data!$I304=SottocategorieUscite[[#Headers],[Utenze]],Data!$I304=SottocategorieUscite[[#Headers],[Business Uscite]],Data!$I304=SottocategorieUscite[[#Headers],[Banca]]),"$ -","")</f>
        <v/>
      </c>
      <c r="M304" s="59" t="str">
        <f>IF(OR($I304&lt;&gt;SottocategorieUscite[[#Headers],[Fuori Casa]],$I304&lt;&gt;SottocategorieUscite[[#Headers],[Varie Uscite]],$I304&lt;&gt;SottocategorieUscite[[#Headers],[Personali]],$I304&lt;&gt;SottocategorieUscite[[#Headers],[Lavoro]],$I304&lt;&gt;SottocategorieUscite[[#Headers],[Casa]],$I304&lt;&gt;SottocategorieUscite[[#Headers],[Utenze]],$I304&lt;&gt;SottocategorieUscite[[#Headers],[Business Uscite]],$I304&lt;&gt;SottocategorieUscite[[#Headers],[Banca]]),"","$ -")</f>
        <v/>
      </c>
      <c r="N304" s="59" t="str">
        <f>IF(OR(Data!$I304=SottocategorieEntrate[[#Headers],[Business Entrate]],Data!$I304=SottocategorieEntrate[[#Headers],[Varie Entrate]]),"$ -","")</f>
        <v/>
      </c>
      <c r="O304" s="59" t="str">
        <f>IF(OR(Data!$I304=SottocategorieEntrate[[#Headers],[Real Estate]],SottocategorieEntrate[[#Headers],[Other]]),"$ -","")</f>
        <v/>
      </c>
      <c r="P304" s="59" t="str">
        <f>IF(OR($I304&lt;&gt;SottocategorieEntrate[[#Headers],[Business Entrate]],$I304&lt;&gt;SottocategorieEntrate[[#Headers],[Varie Entrate]],$I304&lt;&gt;SottocategorieEntrate[[#Headers],[Real Estate]],$I304&lt;&gt;SottocategorieEntrate[[#Headers],[Other]]),"","$ -")</f>
        <v/>
      </c>
      <c r="Q304" s="59" t="str">
        <f>IF(Dati[[#This Row],[Categoria]]="Prelievo","€ -","")</f>
        <v/>
      </c>
      <c r="R304" s="244"/>
      <c r="S304" s="59" t="str">
        <f>IF(Dati[[#This Row],[Categoria]]="Savings",0,"")</f>
        <v/>
      </c>
      <c r="T304" s="59"/>
      <c r="U304" s="59"/>
      <c r="V304" s="59"/>
      <c r="W304" s="59"/>
      <c r="X304" s="59"/>
      <c r="Y304" s="59"/>
      <c r="Z304" s="59"/>
      <c r="AA304" s="59"/>
      <c r="AB304" s="59"/>
      <c r="AC304" s="59"/>
      <c r="AD304" s="59"/>
      <c r="AE304" s="59"/>
      <c r="AF304" s="59"/>
      <c r="AG304" s="59"/>
      <c r="AH304" s="59"/>
      <c r="AI304" s="59" t="str">
        <f>IF(SUM(Dati[[#This Row],[Inv. Business]:[Inv. Cryptocurrency]])=0," ",SUM(Dati[[#This Row],[Inv. Business]:[Inv. Cryptocurrency]]))</f>
        <v xml:space="preserve"> </v>
      </c>
      <c r="AJ304" s="59"/>
      <c r="AK304" s="59" t="str">
        <f>IF(SUM(Dati[[#This Row],[Inv. Gold]:[Mutuo]])=0," ",SUM(Dati[[#This Row],[Inv. Gold]:[Mutuo]]))</f>
        <v xml:space="preserve"> </v>
      </c>
      <c r="AL304" s="59"/>
      <c r="AM304" s="59"/>
    </row>
    <row r="305" spans="2:39" ht="16" customHeight="1" x14ac:dyDescent="0.35">
      <c r="B305">
        <f t="shared" si="12"/>
        <v>285</v>
      </c>
      <c r="C305" s="49">
        <f t="shared" si="13"/>
        <v>45210</v>
      </c>
      <c r="D305" s="29">
        <f>DAY(Dati[[#This Row],[Data]])</f>
        <v>11</v>
      </c>
      <c r="E305" s="29" t="str">
        <f>IF(DAY(Data!$C$21:$C$1327)&gt;0,TEXT(Data!$C$21:$C$1327, "mmmm"),"")</f>
        <v>ottobre</v>
      </c>
      <c r="F305" s="29" t="str">
        <f>IF(DAY(Data!$C$21:$C$1327)&gt;0,TEXT(Data!$C$21:$C$1327, "aaaa"),"")</f>
        <v>2023</v>
      </c>
      <c r="I305" t="str">
        <f>IF(OR(H305=$B$5,H305=$B$6,H305=$B$7,H305=$B$8,H305=$B$9,H305=$B$10,H305=$B$11,H305=$B$12,H305=$B$13,H305=$B$14),SottocategorieUscite[[#Headers],[Fuori Casa]],IF(OR(H305=$C$5,H305=$C$6,H305=$C$7,H305=$C$8,H305=$C$9,H305=$C$10,H305=$C$11,H305=$C$12,H305=$C$13,H305=$C$14),SottocategorieUscite[[#Headers],[Varie Uscite]],IF(OR(H305=$D$5,H305=$D$6,H305=$D$7,H305=$D$8,H305=$D$9,H305=$D$10,H305=$D$11,H305=$D$12,H305=$D$13,H305=$D$14),SottocategorieUscite[[#Headers],[Personali]],IF(OR(H305=$E$5,H305=$E$6,H305=$E$7,H305=$E$8,H305=$E$9,H305=$E$10,H305=$E$11,H305=$E$12,H305=$E$13,H305=$E$14),SottocategorieUscite[[#Headers],[Lavoro]],IF(OR(H305=$F$5,H305=$F$6,H305=$F$7,H305=$F$8,H305=$F$9,H305=$F$10,H305=$F$11,H305=$F$12,H305=$F$13,H305=$F$14),SottocategorieUscite[[#Headers],[Casa]],IF(OR(H305=$G$5,H305=$G$6,H305=$G$7,H305=$G$8,H305=$G$9,H305=$G$10,H305=$G$11,H305=$G$12,H305=$G$13,H305=$G$14),SottocategorieUscite[[#Headers],[Utenze]],IF(OR(H305=$H$5,H305=$H$6,H305=$H$7,H305=$H$8,H305=$H$9,H305=$H$10,H305=$H$11,H305=$H$12,H305=$H$13,H305=$H$14),SottocategorieUscite[[#Headers],[Business Uscite]],IF(OR(H305=$I$5,H305=$I$6,H305=$I$7,H305=$I$8,H305=$I$9,H305=$I$10,H305=$I$11,H305=$I$12,H305=$I$13,H305=$I$14),SottocategorieUscite[[#Headers],[Banca]],IF(OR(H305=K$5,H305=K$6,H305=K$7,H305=K$8,H305=K$9,H305=K$10,H305=K$11,H305=K$12,H305=K$13,H305=K$14),SottocategorieEntrate[[#Headers],[Business Entrate]],IF(OR(H305=L$5,H305=L$6,H305=L$7,H305=L$8,H305=L$9,H305=L$10,H305=L$11,H305=L$12,H305=L$13,H305=L$14),SottocategorieEntrate[[#Headers],[Varie Entrate]],IF(OR(H305=M$5,H305=M$6,H305=M$7,H305=M$8,H305=M$9,H305=M$10,H305=M$11,H305=M$12,H305=M$13,H305=M$14),SottocategorieEntrate[[#Headers],[Real Estate]],IF(OR(H305=N$5,H305=N$6,H305=N$7,H305=N$8,H305=N$9,H305=N$10,H305=N$11,H305=N$12,H305=N$13,H305=N$14),SottocategorieEntrate[[#Headers],[Other]],""))))))))))))</f>
        <v/>
      </c>
      <c r="J305" t="str">
        <f>IF(OR(Dati[[#This Row],[Categoria]]="Bollette",Dati[[#This Row],[Categoria]]="Conto &amp; Carte BNL",Dati[[#This Row],[Categoria]]="Prelievo",Dati[[#This Row],[Categoria]]="Affitto",Dati[[#This Row],[Categoria]]="BNL(Interessi Creditori)"),"Carta",IF(Dati[[#This Row],[Categoria]]&lt;&gt;0,"Cash",""))</f>
        <v/>
      </c>
      <c r="K305" s="59" t="str">
        <f>IF(OR(Data!$I305=SottocategorieUscite[[#Headers],[Fuori Casa]],Data!$I305=SottocategorieUscite[[#Headers],[Varie Uscite]],Data!$I305=SottocategorieUscite[[#Headers],[Personali]],Data!$I305=SottocategorieUscite[[#Headers],[Lavoro]]),"$ -","")</f>
        <v/>
      </c>
      <c r="L305" s="59" t="str">
        <f>IF(OR(Data!$I305=SottocategorieUscite[[#Headers],[Casa]],Data!$I305=SottocategorieUscite[[#Headers],[Utenze]],Data!$I305=SottocategorieUscite[[#Headers],[Business Uscite]],Data!$I305=SottocategorieUscite[[#Headers],[Banca]]),"$ -","")</f>
        <v/>
      </c>
      <c r="M305" s="59" t="str">
        <f>IF(OR($I305&lt;&gt;SottocategorieUscite[[#Headers],[Fuori Casa]],$I305&lt;&gt;SottocategorieUscite[[#Headers],[Varie Uscite]],$I305&lt;&gt;SottocategorieUscite[[#Headers],[Personali]],$I305&lt;&gt;SottocategorieUscite[[#Headers],[Lavoro]],$I305&lt;&gt;SottocategorieUscite[[#Headers],[Casa]],$I305&lt;&gt;SottocategorieUscite[[#Headers],[Utenze]],$I305&lt;&gt;SottocategorieUscite[[#Headers],[Business Uscite]],$I305&lt;&gt;SottocategorieUscite[[#Headers],[Banca]]),"","$ -")</f>
        <v/>
      </c>
      <c r="N305" s="59" t="str">
        <f>IF(OR(Data!$I305=SottocategorieEntrate[[#Headers],[Business Entrate]],Data!$I305=SottocategorieEntrate[[#Headers],[Varie Entrate]]),"$ -","")</f>
        <v/>
      </c>
      <c r="O305" s="59" t="str">
        <f>IF(OR(Data!$I305=SottocategorieEntrate[[#Headers],[Real Estate]],SottocategorieEntrate[[#Headers],[Other]]),"$ -","")</f>
        <v/>
      </c>
      <c r="P305" s="59" t="str">
        <f>IF(OR($I305&lt;&gt;SottocategorieEntrate[[#Headers],[Business Entrate]],$I305&lt;&gt;SottocategorieEntrate[[#Headers],[Varie Entrate]],$I305&lt;&gt;SottocategorieEntrate[[#Headers],[Real Estate]],$I305&lt;&gt;SottocategorieEntrate[[#Headers],[Other]]),"","$ -")</f>
        <v/>
      </c>
      <c r="Q305" s="59" t="str">
        <f>IF(Dati[[#This Row],[Categoria]]="Prelievo","€ -","")</f>
        <v/>
      </c>
      <c r="R305" s="244"/>
      <c r="S305" s="59" t="str">
        <f>IF(Dati[[#This Row],[Categoria]]="Savings",0,"")</f>
        <v/>
      </c>
      <c r="T305" s="59"/>
      <c r="U305" s="59"/>
      <c r="V305" s="59"/>
      <c r="W305" s="59"/>
      <c r="X305" s="59"/>
      <c r="Y305" s="59"/>
      <c r="Z305" s="59"/>
      <c r="AA305" s="59"/>
      <c r="AB305" s="59"/>
      <c r="AC305" s="59"/>
      <c r="AD305" s="59"/>
      <c r="AE305" s="59"/>
      <c r="AF305" s="59"/>
      <c r="AG305" s="59"/>
      <c r="AH305" s="59"/>
      <c r="AI305" s="59" t="str">
        <f>IF(SUM(Dati[[#This Row],[Inv. Business]:[Inv. Cryptocurrency]])=0," ",SUM(Dati[[#This Row],[Inv. Business]:[Inv. Cryptocurrency]]))</f>
        <v xml:space="preserve"> </v>
      </c>
      <c r="AJ305" s="59"/>
      <c r="AK305" s="59" t="str">
        <f>IF(SUM(Dati[[#This Row],[Inv. Gold]:[Mutuo]])=0," ",SUM(Dati[[#This Row],[Inv. Gold]:[Mutuo]]))</f>
        <v xml:space="preserve"> </v>
      </c>
      <c r="AL305" s="59"/>
      <c r="AM305" s="59"/>
    </row>
    <row r="306" spans="2:39" ht="16" customHeight="1" x14ac:dyDescent="0.35">
      <c r="B306">
        <f t="shared" si="12"/>
        <v>286</v>
      </c>
      <c r="C306" s="49">
        <f>C305+1</f>
        <v>45211</v>
      </c>
      <c r="D306" s="29">
        <f>DAY(Dati[[#This Row],[Data]])</f>
        <v>12</v>
      </c>
      <c r="E306" s="29" t="str">
        <f>IF(DAY(Data!$C$21:$C$1327)&gt;0,TEXT(Data!$C$21:$C$1327, "mmmm"),"")</f>
        <v>ottobre</v>
      </c>
      <c r="F306" s="29" t="str">
        <f>IF(DAY(Data!$C$21:$C$1327)&gt;0,TEXT(Data!$C$21:$C$1327, "aaaa"),"")</f>
        <v>2023</v>
      </c>
      <c r="I306" t="str">
        <f>IF(OR(H306=$B$5,H306=$B$6,H306=$B$7,H306=$B$8,H306=$B$9,H306=$B$10,H306=$B$11,H306=$B$12,H306=$B$13,H306=$B$14),SottocategorieUscite[[#Headers],[Fuori Casa]],IF(OR(H306=$C$5,H306=$C$6,H306=$C$7,H306=$C$8,H306=$C$9,H306=$C$10,H306=$C$11,H306=$C$12,H306=$C$13,H306=$C$14),SottocategorieUscite[[#Headers],[Varie Uscite]],IF(OR(H306=$D$5,H306=$D$6,H306=$D$7,H306=$D$8,H306=$D$9,H306=$D$10,H306=$D$11,H306=$D$12,H306=$D$13,H306=$D$14),SottocategorieUscite[[#Headers],[Personali]],IF(OR(H306=$E$5,H306=$E$6,H306=$E$7,H306=$E$8,H306=$E$9,H306=$E$10,H306=$E$11,H306=$E$12,H306=$E$13,H306=$E$14),SottocategorieUscite[[#Headers],[Lavoro]],IF(OR(H306=$F$5,H306=$F$6,H306=$F$7,H306=$F$8,H306=$F$9,H306=$F$10,H306=$F$11,H306=$F$12,H306=$F$13,H306=$F$14),SottocategorieUscite[[#Headers],[Casa]],IF(OR(H306=$G$5,H306=$G$6,H306=$G$7,H306=$G$8,H306=$G$9,H306=$G$10,H306=$G$11,H306=$G$12,H306=$G$13,H306=$G$14),SottocategorieUscite[[#Headers],[Utenze]],IF(OR(H306=$H$5,H306=$H$6,H306=$H$7,H306=$H$8,H306=$H$9,H306=$H$10,H306=$H$11,H306=$H$12,H306=$H$13,H306=$H$14),SottocategorieUscite[[#Headers],[Business Uscite]],IF(OR(H306=$I$5,H306=$I$6,H306=$I$7,H306=$I$8,H306=$I$9,H306=$I$10,H306=$I$11,H306=$I$12,H306=$I$13,H306=$I$14),SottocategorieUscite[[#Headers],[Banca]],IF(OR(H306=K$5,H306=K$6,H306=K$7,H306=K$8,H306=K$9,H306=K$10,H306=K$11,H306=K$12,H306=K$13,H306=K$14),SottocategorieEntrate[[#Headers],[Business Entrate]],IF(OR(H306=L$5,H306=L$6,H306=L$7,H306=L$8,H306=L$9,H306=L$10,H306=L$11,H306=L$12,H306=L$13,H306=L$14),SottocategorieEntrate[[#Headers],[Varie Entrate]],IF(OR(H306=M$5,H306=M$6,H306=M$7,H306=M$8,H306=M$9,H306=M$10,H306=M$11,H306=M$12,H306=M$13,H306=M$14),SottocategorieEntrate[[#Headers],[Real Estate]],IF(OR(H306=N$5,H306=N$6,H306=N$7,H306=N$8,H306=N$9,H306=N$10,H306=N$11,H306=N$12,H306=N$13,H306=N$14),SottocategorieEntrate[[#Headers],[Other]],""))))))))))))</f>
        <v/>
      </c>
      <c r="J306" t="str">
        <f>IF(OR(Dati[[#This Row],[Categoria]]="Bollette",Dati[[#This Row],[Categoria]]="Conto &amp; Carte BNL",Dati[[#This Row],[Categoria]]="Prelievo",Dati[[#This Row],[Categoria]]="Affitto",Dati[[#This Row],[Categoria]]="BNL(Interessi Creditori)"),"Carta",IF(Dati[[#This Row],[Categoria]]&lt;&gt;0,"Cash",""))</f>
        <v/>
      </c>
      <c r="K306" s="59" t="str">
        <f>IF(OR(Data!$I306=SottocategorieUscite[[#Headers],[Fuori Casa]],Data!$I306=SottocategorieUscite[[#Headers],[Varie Uscite]],Data!$I306=SottocategorieUscite[[#Headers],[Personali]],Data!$I306=SottocategorieUscite[[#Headers],[Lavoro]]),"$ -","")</f>
        <v/>
      </c>
      <c r="L306" s="59" t="str">
        <f>IF(OR(Data!$I306=SottocategorieUscite[[#Headers],[Casa]],Data!$I306=SottocategorieUscite[[#Headers],[Utenze]],Data!$I306=SottocategorieUscite[[#Headers],[Business Uscite]],Data!$I306=SottocategorieUscite[[#Headers],[Banca]]),"$ -","")</f>
        <v/>
      </c>
      <c r="M306" s="59" t="str">
        <f>IF(OR($I306&lt;&gt;SottocategorieUscite[[#Headers],[Fuori Casa]],$I306&lt;&gt;SottocategorieUscite[[#Headers],[Varie Uscite]],$I306&lt;&gt;SottocategorieUscite[[#Headers],[Personali]],$I306&lt;&gt;SottocategorieUscite[[#Headers],[Lavoro]],$I306&lt;&gt;SottocategorieUscite[[#Headers],[Casa]],$I306&lt;&gt;SottocategorieUscite[[#Headers],[Utenze]],$I306&lt;&gt;SottocategorieUscite[[#Headers],[Business Uscite]],$I306&lt;&gt;SottocategorieUscite[[#Headers],[Banca]]),"","$ -")</f>
        <v/>
      </c>
      <c r="N306" s="59" t="str">
        <f>IF(OR(Data!$I306=SottocategorieEntrate[[#Headers],[Business Entrate]],Data!$I306=SottocategorieEntrate[[#Headers],[Varie Entrate]]),"$ -","")</f>
        <v/>
      </c>
      <c r="O306" s="59" t="str">
        <f>IF(OR(Data!$I306=SottocategorieEntrate[[#Headers],[Real Estate]],SottocategorieEntrate[[#Headers],[Other]]),"$ -","")</f>
        <v/>
      </c>
      <c r="P306" s="59" t="str">
        <f>IF(OR($I306&lt;&gt;SottocategorieEntrate[[#Headers],[Business Entrate]],$I306&lt;&gt;SottocategorieEntrate[[#Headers],[Varie Entrate]],$I306&lt;&gt;SottocategorieEntrate[[#Headers],[Real Estate]],$I306&lt;&gt;SottocategorieEntrate[[#Headers],[Other]]),"","$ -")</f>
        <v/>
      </c>
      <c r="Q306" s="59" t="str">
        <f>IF(Dati[[#This Row],[Categoria]]="Prelievo","€ -","")</f>
        <v/>
      </c>
      <c r="R306" s="244"/>
      <c r="S306" s="59" t="str">
        <f>IF(Dati[[#This Row],[Categoria]]="Savings",0,"")</f>
        <v/>
      </c>
      <c r="T306" s="59"/>
      <c r="U306" s="59"/>
      <c r="V306" s="59"/>
      <c r="W306" s="59"/>
      <c r="X306" s="59"/>
      <c r="Y306" s="59"/>
      <c r="Z306" s="59"/>
      <c r="AA306" s="59"/>
      <c r="AB306" s="59"/>
      <c r="AC306" s="59"/>
      <c r="AD306" s="59"/>
      <c r="AE306" s="59"/>
      <c r="AF306" s="59"/>
      <c r="AG306" s="59"/>
      <c r="AH306" s="59"/>
      <c r="AI306" s="59" t="str">
        <f>IF(SUM(Dati[[#This Row],[Inv. Business]:[Inv. Cryptocurrency]])=0," ",SUM(Dati[[#This Row],[Inv. Business]:[Inv. Cryptocurrency]]))</f>
        <v xml:space="preserve"> </v>
      </c>
      <c r="AJ306" s="59"/>
      <c r="AK306" s="59" t="str">
        <f>IF(SUM(Dati[[#This Row],[Inv. Gold]:[Mutuo]])=0," ",SUM(Dati[[#This Row],[Inv. Gold]:[Mutuo]]))</f>
        <v xml:space="preserve"> </v>
      </c>
      <c r="AL306" s="59"/>
      <c r="AM306" s="59"/>
    </row>
    <row r="307" spans="2:39" ht="16" customHeight="1" x14ac:dyDescent="0.35">
      <c r="B307">
        <f t="shared" si="12"/>
        <v>287</v>
      </c>
      <c r="C307" s="49">
        <v>45211</v>
      </c>
      <c r="D307" s="29">
        <f>DAY(Dati[[#This Row],[Data]])</f>
        <v>12</v>
      </c>
      <c r="E307" s="29" t="str">
        <f>IF(DAY(Data!$C$21:$C$1327)&gt;0,TEXT(Data!$C$21:$C$1327, "mmmm"),"")</f>
        <v>ottobre</v>
      </c>
      <c r="F307" s="29" t="str">
        <f>IF(DAY(Data!$C$21:$C$1327)&gt;0,TEXT(Data!$C$21:$C$1327, "aaaa"),"")</f>
        <v>2023</v>
      </c>
      <c r="I307" t="str">
        <f>IF(OR(H307=$B$5,H307=$B$6,H307=$B$7,H307=$B$8,H307=$B$9,H307=$B$10,H307=$B$11,H307=$B$12,H307=$B$13,H307=$B$14),SottocategorieUscite[[#Headers],[Fuori Casa]],IF(OR(H307=$C$5,H307=$C$6,H307=$C$7,H307=$C$8,H307=$C$9,H307=$C$10,H307=$C$11,H307=$C$12,H307=$C$13,H307=$C$14),SottocategorieUscite[[#Headers],[Varie Uscite]],IF(OR(H307=$D$5,H307=$D$6,H307=$D$7,H307=$D$8,H307=$D$9,H307=$D$10,H307=$D$11,H307=$D$12,H307=$D$13,H307=$D$14),SottocategorieUscite[[#Headers],[Personali]],IF(OR(H307=$E$5,H307=$E$6,H307=$E$7,H307=$E$8,H307=$E$9,H307=$E$10,H307=$E$11,H307=$E$12,H307=$E$13,H307=$E$14),SottocategorieUscite[[#Headers],[Lavoro]],IF(OR(H307=$F$5,H307=$F$6,H307=$F$7,H307=$F$8,H307=$F$9,H307=$F$10,H307=$F$11,H307=$F$12,H307=$F$13,H307=$F$14),SottocategorieUscite[[#Headers],[Casa]],IF(OR(H307=$G$5,H307=$G$6,H307=$G$7,H307=$G$8,H307=$G$9,H307=$G$10,H307=$G$11,H307=$G$12,H307=$G$13,H307=$G$14),SottocategorieUscite[[#Headers],[Utenze]],IF(OR(H307=$H$5,H307=$H$6,H307=$H$7,H307=$H$8,H307=$H$9,H307=$H$10,H307=$H$11,H307=$H$12,H307=$H$13,H307=$H$14),SottocategorieUscite[[#Headers],[Business Uscite]],IF(OR(H307=$I$5,H307=$I$6,H307=$I$7,H307=$I$8,H307=$I$9,H307=$I$10,H307=$I$11,H307=$I$12,H307=$I$13,H307=$I$14),SottocategorieUscite[[#Headers],[Banca]],IF(OR(H307=K$5,H307=K$6,H307=K$7,H307=K$8,H307=K$9,H307=K$10,H307=K$11,H307=K$12,H307=K$13,H307=K$14),SottocategorieEntrate[[#Headers],[Business Entrate]],IF(OR(H307=L$5,H307=L$6,H307=L$7,H307=L$8,H307=L$9,H307=L$10,H307=L$11,H307=L$12,H307=L$13,H307=L$14),SottocategorieEntrate[[#Headers],[Varie Entrate]],IF(OR(H307=M$5,H307=M$6,H307=M$7,H307=M$8,H307=M$9,H307=M$10,H307=M$11,H307=M$12,H307=M$13,H307=M$14),SottocategorieEntrate[[#Headers],[Real Estate]],IF(OR(H307=N$5,H307=N$6,H307=N$7,H307=N$8,H307=N$9,H307=N$10,H307=N$11,H307=N$12,H307=N$13,H307=N$14),SottocategorieEntrate[[#Headers],[Other]],""))))))))))))</f>
        <v/>
      </c>
      <c r="J307" t="str">
        <f>IF(OR(Dati[[#This Row],[Categoria]]="Bollette",Dati[[#This Row],[Categoria]]="Conto &amp; Carte BNL",Dati[[#This Row],[Categoria]]="Prelievo",Dati[[#This Row],[Categoria]]="Affitto",Dati[[#This Row],[Categoria]]="BNL(Interessi Creditori)"),"Carta",IF(Dati[[#This Row],[Categoria]]&lt;&gt;0,"Cash",""))</f>
        <v/>
      </c>
      <c r="K307" s="59" t="str">
        <f>IF(OR(Data!$I307=SottocategorieUscite[[#Headers],[Fuori Casa]],Data!$I307=SottocategorieUscite[[#Headers],[Varie Uscite]],Data!$I307=SottocategorieUscite[[#Headers],[Personali]],Data!$I307=SottocategorieUscite[[#Headers],[Lavoro]]),"$ -","")</f>
        <v/>
      </c>
      <c r="L307" s="59" t="str">
        <f>IF(OR(Data!$I307=SottocategorieUscite[[#Headers],[Casa]],Data!$I307=SottocategorieUscite[[#Headers],[Utenze]],Data!$I307=SottocategorieUscite[[#Headers],[Business Uscite]],Data!$I307=SottocategorieUscite[[#Headers],[Banca]]),"$ -","")</f>
        <v/>
      </c>
      <c r="M307" s="59" t="str">
        <f>IF(OR($I307&lt;&gt;SottocategorieUscite[[#Headers],[Fuori Casa]],$I307&lt;&gt;SottocategorieUscite[[#Headers],[Varie Uscite]],$I307&lt;&gt;SottocategorieUscite[[#Headers],[Personali]],$I307&lt;&gt;SottocategorieUscite[[#Headers],[Lavoro]],$I307&lt;&gt;SottocategorieUscite[[#Headers],[Casa]],$I307&lt;&gt;SottocategorieUscite[[#Headers],[Utenze]],$I307&lt;&gt;SottocategorieUscite[[#Headers],[Business Uscite]],$I307&lt;&gt;SottocategorieUscite[[#Headers],[Banca]]),"","$ -")</f>
        <v/>
      </c>
      <c r="N307" s="59" t="str">
        <f>IF(OR(Data!$I307=SottocategorieEntrate[[#Headers],[Business Entrate]],Data!$I307=SottocategorieEntrate[[#Headers],[Varie Entrate]]),"$ -","")</f>
        <v/>
      </c>
      <c r="O307" s="59" t="str">
        <f>IF(OR(Data!$I307=SottocategorieEntrate[[#Headers],[Real Estate]],SottocategorieEntrate[[#Headers],[Other]]),"$ -","")</f>
        <v/>
      </c>
      <c r="P307" s="59" t="str">
        <f>IF(OR($I307&lt;&gt;SottocategorieEntrate[[#Headers],[Business Entrate]],$I307&lt;&gt;SottocategorieEntrate[[#Headers],[Varie Entrate]],$I307&lt;&gt;SottocategorieEntrate[[#Headers],[Real Estate]],$I307&lt;&gt;SottocategorieEntrate[[#Headers],[Other]]),"","$ -")</f>
        <v/>
      </c>
      <c r="Q307" s="59" t="str">
        <f>IF(Dati[[#This Row],[Categoria]]="Prelievo","€ -","")</f>
        <v/>
      </c>
      <c r="R307" s="244"/>
      <c r="S307" s="59" t="str">
        <f>IF(Dati[[#This Row],[Categoria]]="Savings",0,"")</f>
        <v/>
      </c>
      <c r="T307" s="59"/>
      <c r="U307" s="59"/>
      <c r="V307" s="59"/>
      <c r="W307" s="59"/>
      <c r="X307" s="59"/>
      <c r="Y307" s="59"/>
      <c r="Z307" s="59"/>
      <c r="AA307" s="59"/>
      <c r="AB307" s="59"/>
      <c r="AC307" s="59"/>
      <c r="AD307" s="59"/>
      <c r="AE307" s="59"/>
      <c r="AF307" s="59"/>
      <c r="AG307" s="59"/>
      <c r="AH307" s="59"/>
      <c r="AI307" s="59" t="str">
        <f>IF(SUM(Dati[[#This Row],[Inv. Business]:[Inv. Cryptocurrency]])=0," ",SUM(Dati[[#This Row],[Inv. Business]:[Inv. Cryptocurrency]]))</f>
        <v xml:space="preserve"> </v>
      </c>
      <c r="AJ307" s="59"/>
      <c r="AK307" s="59" t="str">
        <f>IF(SUM(Dati[[#This Row],[Inv. Gold]:[Mutuo]])=0," ",SUM(Dati[[#This Row],[Inv. Gold]:[Mutuo]]))</f>
        <v xml:space="preserve"> </v>
      </c>
      <c r="AL307" s="59"/>
      <c r="AM307" s="59"/>
    </row>
    <row r="308" spans="2:39" ht="16" customHeight="1" x14ac:dyDescent="0.35">
      <c r="B308">
        <f t="shared" si="12"/>
        <v>288</v>
      </c>
      <c r="C308" s="49">
        <v>45211</v>
      </c>
      <c r="D308" s="29">
        <f>DAY(Dati[[#This Row],[Data]])</f>
        <v>12</v>
      </c>
      <c r="E308" s="29" t="str">
        <f>IF(DAY(Data!$C$21:$C$1327)&gt;0,TEXT(Data!$C$21:$C$1327, "mmmm"),"")</f>
        <v>ottobre</v>
      </c>
      <c r="F308" s="29" t="str">
        <f>IF(DAY(Data!$C$21:$C$1327)&gt;0,TEXT(Data!$C$21:$C$1327, "aaaa"),"")</f>
        <v>2023</v>
      </c>
      <c r="I308" t="str">
        <f>IF(OR(H308=$B$5,H308=$B$6,H308=$B$7,H308=$B$8,H308=$B$9,H308=$B$10,H308=$B$11,H308=$B$12,H308=$B$13,H308=$B$14),SottocategorieUscite[[#Headers],[Fuori Casa]],IF(OR(H308=$C$5,H308=$C$6,H308=$C$7,H308=$C$8,H308=$C$9,H308=$C$10,H308=$C$11,H308=$C$12,H308=$C$13,H308=$C$14),SottocategorieUscite[[#Headers],[Varie Uscite]],IF(OR(H308=$D$5,H308=$D$6,H308=$D$7,H308=$D$8,H308=$D$9,H308=$D$10,H308=$D$11,H308=$D$12,H308=$D$13,H308=$D$14),SottocategorieUscite[[#Headers],[Personali]],IF(OR(H308=$E$5,H308=$E$6,H308=$E$7,H308=$E$8,H308=$E$9,H308=$E$10,H308=$E$11,H308=$E$12,H308=$E$13,H308=$E$14),SottocategorieUscite[[#Headers],[Lavoro]],IF(OR(H308=$F$5,H308=$F$6,H308=$F$7,H308=$F$8,H308=$F$9,H308=$F$10,H308=$F$11,H308=$F$12,H308=$F$13,H308=$F$14),SottocategorieUscite[[#Headers],[Casa]],IF(OR(H308=$G$5,H308=$G$6,H308=$G$7,H308=$G$8,H308=$G$9,H308=$G$10,H308=$G$11,H308=$G$12,H308=$G$13,H308=$G$14),SottocategorieUscite[[#Headers],[Utenze]],IF(OR(H308=$H$5,H308=$H$6,H308=$H$7,H308=$H$8,H308=$H$9,H308=$H$10,H308=$H$11,H308=$H$12,H308=$H$13,H308=$H$14),SottocategorieUscite[[#Headers],[Business Uscite]],IF(OR(H308=$I$5,H308=$I$6,H308=$I$7,H308=$I$8,H308=$I$9,H308=$I$10,H308=$I$11,H308=$I$12,H308=$I$13,H308=$I$14),SottocategorieUscite[[#Headers],[Banca]],IF(OR(H308=K$5,H308=K$6,H308=K$7,H308=K$8,H308=K$9,H308=K$10,H308=K$11,H308=K$12,H308=K$13,H308=K$14),SottocategorieEntrate[[#Headers],[Business Entrate]],IF(OR(H308=L$5,H308=L$6,H308=L$7,H308=L$8,H308=L$9,H308=L$10,H308=L$11,H308=L$12,H308=L$13,H308=L$14),SottocategorieEntrate[[#Headers],[Varie Entrate]],IF(OR(H308=M$5,H308=M$6,H308=M$7,H308=M$8,H308=M$9,H308=M$10,H308=M$11,H308=M$12,H308=M$13,H308=M$14),SottocategorieEntrate[[#Headers],[Real Estate]],IF(OR(H308=N$5,H308=N$6,H308=N$7,H308=N$8,H308=N$9,H308=N$10,H308=N$11,H308=N$12,H308=N$13,H308=N$14),SottocategorieEntrate[[#Headers],[Other]],""))))))))))))</f>
        <v/>
      </c>
      <c r="J308" t="str">
        <f>IF(OR(Dati[[#This Row],[Categoria]]="Bollette",Dati[[#This Row],[Categoria]]="Conto &amp; Carte BNL",Dati[[#This Row],[Categoria]]="Prelievo",Dati[[#This Row],[Categoria]]="Affitto",Dati[[#This Row],[Categoria]]="BNL(Interessi Creditori)"),"Carta",IF(Dati[[#This Row],[Categoria]]&lt;&gt;0,"Cash",""))</f>
        <v/>
      </c>
      <c r="K308" s="59" t="str">
        <f>IF(OR(Data!$I308=SottocategorieUscite[[#Headers],[Fuori Casa]],Data!$I308=SottocategorieUscite[[#Headers],[Varie Uscite]],Data!$I308=SottocategorieUscite[[#Headers],[Personali]],Data!$I308=SottocategorieUscite[[#Headers],[Lavoro]]),"$ -","")</f>
        <v/>
      </c>
      <c r="L308" s="59" t="str">
        <f>IF(OR(Data!$I308=SottocategorieUscite[[#Headers],[Casa]],Data!$I308=SottocategorieUscite[[#Headers],[Utenze]],Data!$I308=SottocategorieUscite[[#Headers],[Business Uscite]],Data!$I308=SottocategorieUscite[[#Headers],[Banca]]),"$ -","")</f>
        <v/>
      </c>
      <c r="M308" s="59" t="str">
        <f>IF(OR($I308&lt;&gt;SottocategorieUscite[[#Headers],[Fuori Casa]],$I308&lt;&gt;SottocategorieUscite[[#Headers],[Varie Uscite]],$I308&lt;&gt;SottocategorieUscite[[#Headers],[Personali]],$I308&lt;&gt;SottocategorieUscite[[#Headers],[Lavoro]],$I308&lt;&gt;SottocategorieUscite[[#Headers],[Casa]],$I308&lt;&gt;SottocategorieUscite[[#Headers],[Utenze]],$I308&lt;&gt;SottocategorieUscite[[#Headers],[Business Uscite]],$I308&lt;&gt;SottocategorieUscite[[#Headers],[Banca]]),"","$ -")</f>
        <v/>
      </c>
      <c r="N308" s="59" t="str">
        <f>IF(OR(Data!$I308=SottocategorieEntrate[[#Headers],[Business Entrate]],Data!$I308=SottocategorieEntrate[[#Headers],[Varie Entrate]]),"$ -","")</f>
        <v/>
      </c>
      <c r="O308" s="59" t="str">
        <f>IF(OR(Data!$I308=SottocategorieEntrate[[#Headers],[Real Estate]],SottocategorieEntrate[[#Headers],[Other]]),"$ -","")</f>
        <v/>
      </c>
      <c r="P308" s="59" t="str">
        <f>IF(OR($I308&lt;&gt;SottocategorieEntrate[[#Headers],[Business Entrate]],$I308&lt;&gt;SottocategorieEntrate[[#Headers],[Varie Entrate]],$I308&lt;&gt;SottocategorieEntrate[[#Headers],[Real Estate]],$I308&lt;&gt;SottocategorieEntrate[[#Headers],[Other]]),"","$ -")</f>
        <v/>
      </c>
      <c r="Q308" s="59" t="str">
        <f>IF(Dati[[#This Row],[Categoria]]="Prelievo","€ -","")</f>
        <v/>
      </c>
      <c r="R308" s="244"/>
      <c r="S308" s="59" t="str">
        <f>IF(Dati[[#This Row],[Categoria]]="Savings",0,"")</f>
        <v/>
      </c>
      <c r="T308" s="59"/>
      <c r="U308" s="59"/>
      <c r="V308" s="59"/>
      <c r="W308" s="59"/>
      <c r="X308" s="59"/>
      <c r="Y308" s="59"/>
      <c r="Z308" s="59"/>
      <c r="AA308" s="59"/>
      <c r="AB308" s="59"/>
      <c r="AC308" s="59"/>
      <c r="AD308" s="59"/>
      <c r="AE308" s="59"/>
      <c r="AF308" s="59"/>
      <c r="AG308" s="59"/>
      <c r="AH308" s="59"/>
      <c r="AI308" s="59" t="str">
        <f>IF(SUM(Dati[[#This Row],[Inv. Business]:[Inv. Cryptocurrency]])=0," ",SUM(Dati[[#This Row],[Inv. Business]:[Inv. Cryptocurrency]]))</f>
        <v xml:space="preserve"> </v>
      </c>
      <c r="AJ308" s="59"/>
      <c r="AK308" s="59" t="str">
        <f>IF(SUM(Dati[[#This Row],[Inv. Gold]:[Mutuo]])=0," ",SUM(Dati[[#This Row],[Inv. Gold]:[Mutuo]]))</f>
        <v xml:space="preserve"> </v>
      </c>
      <c r="AL308" s="59"/>
      <c r="AM308" s="59"/>
    </row>
    <row r="309" spans="2:39" ht="16" customHeight="1" x14ac:dyDescent="0.35">
      <c r="B309">
        <f t="shared" si="12"/>
        <v>289</v>
      </c>
      <c r="C309" s="49">
        <f>C306+1</f>
        <v>45212</v>
      </c>
      <c r="D309" s="29">
        <f>DAY(Dati[[#This Row],[Data]])</f>
        <v>13</v>
      </c>
      <c r="E309" s="29" t="str">
        <f>IF(DAY(Data!$C$21:$C$1327)&gt;0,TEXT(Data!$C$21:$C$1327, "mmmm"),"")</f>
        <v>ottobre</v>
      </c>
      <c r="F309" s="29" t="str">
        <f>IF(DAY(Data!$C$21:$C$1327)&gt;0,TEXT(Data!$C$21:$C$1327, "aaaa"),"")</f>
        <v>2023</v>
      </c>
      <c r="I309" t="str">
        <f>IF(OR(H309=$B$5,H309=$B$6,H309=$B$7,H309=$B$8,H309=$B$9,H309=$B$10,H309=$B$11,H309=$B$12,H309=$B$13,H309=$B$14),SottocategorieUscite[[#Headers],[Fuori Casa]],IF(OR(H309=$C$5,H309=$C$6,H309=$C$7,H309=$C$8,H309=$C$9,H309=$C$10,H309=$C$11,H309=$C$12,H309=$C$13,H309=$C$14),SottocategorieUscite[[#Headers],[Varie Uscite]],IF(OR(H309=$D$5,H309=$D$6,H309=$D$7,H309=$D$8,H309=$D$9,H309=$D$10,H309=$D$11,H309=$D$12,H309=$D$13,H309=$D$14),SottocategorieUscite[[#Headers],[Personali]],IF(OR(H309=$E$5,H309=$E$6,H309=$E$7,H309=$E$8,H309=$E$9,H309=$E$10,H309=$E$11,H309=$E$12,H309=$E$13,H309=$E$14),SottocategorieUscite[[#Headers],[Lavoro]],IF(OR(H309=$F$5,H309=$F$6,H309=$F$7,H309=$F$8,H309=$F$9,H309=$F$10,H309=$F$11,H309=$F$12,H309=$F$13,H309=$F$14),SottocategorieUscite[[#Headers],[Casa]],IF(OR(H309=$G$5,H309=$G$6,H309=$G$7,H309=$G$8,H309=$G$9,H309=$G$10,H309=$G$11,H309=$G$12,H309=$G$13,H309=$G$14),SottocategorieUscite[[#Headers],[Utenze]],IF(OR(H309=$H$5,H309=$H$6,H309=$H$7,H309=$H$8,H309=$H$9,H309=$H$10,H309=$H$11,H309=$H$12,H309=$H$13,H309=$H$14),SottocategorieUscite[[#Headers],[Business Uscite]],IF(OR(H309=$I$5,H309=$I$6,H309=$I$7,H309=$I$8,H309=$I$9,H309=$I$10,H309=$I$11,H309=$I$12,H309=$I$13,H309=$I$14),SottocategorieUscite[[#Headers],[Banca]],IF(OR(H309=K$5,H309=K$6,H309=K$7,H309=K$8,H309=K$9,H309=K$10,H309=K$11,H309=K$12,H309=K$13,H309=K$14),SottocategorieEntrate[[#Headers],[Business Entrate]],IF(OR(H309=L$5,H309=L$6,H309=L$7,H309=L$8,H309=L$9,H309=L$10,H309=L$11,H309=L$12,H309=L$13,H309=L$14),SottocategorieEntrate[[#Headers],[Varie Entrate]],IF(OR(H309=M$5,H309=M$6,H309=M$7,H309=M$8,H309=M$9,H309=M$10,H309=M$11,H309=M$12,H309=M$13,H309=M$14),SottocategorieEntrate[[#Headers],[Real Estate]],IF(OR(H309=N$5,H309=N$6,H309=N$7,H309=N$8,H309=N$9,H309=N$10,H309=N$11,H309=N$12,H309=N$13,H309=N$14),SottocategorieEntrate[[#Headers],[Other]],""))))))))))))</f>
        <v/>
      </c>
      <c r="J309" t="str">
        <f>IF(OR(Dati[[#This Row],[Categoria]]="Bollette",Dati[[#This Row],[Categoria]]="Conto &amp; Carte BNL",Dati[[#This Row],[Categoria]]="Prelievo",Dati[[#This Row],[Categoria]]="Affitto",Dati[[#This Row],[Categoria]]="BNL(Interessi Creditori)"),"Carta",IF(Dati[[#This Row],[Categoria]]&lt;&gt;0,"Cash",""))</f>
        <v/>
      </c>
      <c r="K309" s="59" t="str">
        <f>IF(OR(Data!$I309=SottocategorieUscite[[#Headers],[Fuori Casa]],Data!$I309=SottocategorieUscite[[#Headers],[Varie Uscite]],Data!$I309=SottocategorieUscite[[#Headers],[Personali]],Data!$I309=SottocategorieUscite[[#Headers],[Lavoro]]),"$ -","")</f>
        <v/>
      </c>
      <c r="L309" s="59" t="str">
        <f>IF(OR(Data!$I309=SottocategorieUscite[[#Headers],[Casa]],Data!$I309=SottocategorieUscite[[#Headers],[Utenze]],Data!$I309=SottocategorieUscite[[#Headers],[Business Uscite]],Data!$I309=SottocategorieUscite[[#Headers],[Banca]]),"$ -","")</f>
        <v/>
      </c>
      <c r="M309" s="59" t="str">
        <f>IF(OR($I309&lt;&gt;SottocategorieUscite[[#Headers],[Fuori Casa]],$I309&lt;&gt;SottocategorieUscite[[#Headers],[Varie Uscite]],$I309&lt;&gt;SottocategorieUscite[[#Headers],[Personali]],$I309&lt;&gt;SottocategorieUscite[[#Headers],[Lavoro]],$I309&lt;&gt;SottocategorieUscite[[#Headers],[Casa]],$I309&lt;&gt;SottocategorieUscite[[#Headers],[Utenze]],$I309&lt;&gt;SottocategorieUscite[[#Headers],[Business Uscite]],$I309&lt;&gt;SottocategorieUscite[[#Headers],[Banca]]),"","$ -")</f>
        <v/>
      </c>
      <c r="N309" s="59" t="str">
        <f>IF(OR(Data!$I309=SottocategorieEntrate[[#Headers],[Business Entrate]],Data!$I309=SottocategorieEntrate[[#Headers],[Varie Entrate]]),"$ -","")</f>
        <v/>
      </c>
      <c r="O309" s="59" t="str">
        <f>IF(OR(Data!$I309=SottocategorieEntrate[[#Headers],[Real Estate]],SottocategorieEntrate[[#Headers],[Other]]),"$ -","")</f>
        <v/>
      </c>
      <c r="P309" s="59" t="str">
        <f>IF(OR($I309&lt;&gt;SottocategorieEntrate[[#Headers],[Business Entrate]],$I309&lt;&gt;SottocategorieEntrate[[#Headers],[Varie Entrate]],$I309&lt;&gt;SottocategorieEntrate[[#Headers],[Real Estate]],$I309&lt;&gt;SottocategorieEntrate[[#Headers],[Other]]),"","$ -")</f>
        <v/>
      </c>
      <c r="Q309" s="59" t="str">
        <f>IF(Dati[[#This Row],[Categoria]]="Prelievo","€ -","")</f>
        <v/>
      </c>
      <c r="R309" s="244"/>
      <c r="S309" s="59" t="str">
        <f>IF(Dati[[#This Row],[Categoria]]="Savings",0,"")</f>
        <v/>
      </c>
      <c r="T309" s="59"/>
      <c r="U309" s="59"/>
      <c r="V309" s="59"/>
      <c r="W309" s="59"/>
      <c r="X309" s="59"/>
      <c r="Y309" s="59"/>
      <c r="Z309" s="59"/>
      <c r="AA309" s="59"/>
      <c r="AB309" s="59"/>
      <c r="AC309" s="59"/>
      <c r="AD309" s="59"/>
      <c r="AE309" s="59"/>
      <c r="AF309" s="59"/>
      <c r="AG309" s="59"/>
      <c r="AH309" s="59"/>
      <c r="AI309" s="59" t="str">
        <f>IF(SUM(Dati[[#This Row],[Inv. Business]:[Inv. Cryptocurrency]])=0," ",SUM(Dati[[#This Row],[Inv. Business]:[Inv. Cryptocurrency]]))</f>
        <v xml:space="preserve"> </v>
      </c>
      <c r="AJ309" s="59"/>
      <c r="AK309" s="59" t="str">
        <f>IF(SUM(Dati[[#This Row],[Inv. Gold]:[Mutuo]])=0," ",SUM(Dati[[#This Row],[Inv. Gold]:[Mutuo]]))</f>
        <v xml:space="preserve"> </v>
      </c>
      <c r="AL309" s="59"/>
      <c r="AM309" s="59"/>
    </row>
    <row r="310" spans="2:39" ht="16" customHeight="1" x14ac:dyDescent="0.35">
      <c r="B310">
        <f t="shared" si="12"/>
        <v>290</v>
      </c>
      <c r="C310" s="49">
        <v>45212</v>
      </c>
      <c r="D310" s="29">
        <f>DAY(Dati[[#This Row],[Data]])</f>
        <v>13</v>
      </c>
      <c r="E310" s="29" t="str">
        <f>IF(DAY(Data!$C$21:$C$1327)&gt;0,TEXT(Data!$C$21:$C$1327, "mmmm"),"")</f>
        <v>ottobre</v>
      </c>
      <c r="F310" s="29" t="str">
        <f>IF(DAY(Data!$C$21:$C$1327)&gt;0,TEXT(Data!$C$21:$C$1327, "aaaa"),"")</f>
        <v>2023</v>
      </c>
      <c r="I310" t="str">
        <f>IF(OR(H310=$B$5,H310=$B$6,H310=$B$7,H310=$B$8,H310=$B$9,H310=$B$10,H310=$B$11,H310=$B$12,H310=$B$13,H310=$B$14),SottocategorieUscite[[#Headers],[Fuori Casa]],IF(OR(H310=$C$5,H310=$C$6,H310=$C$7,H310=$C$8,H310=$C$9,H310=$C$10,H310=$C$11,H310=$C$12,H310=$C$13,H310=$C$14),SottocategorieUscite[[#Headers],[Varie Uscite]],IF(OR(H310=$D$5,H310=$D$6,H310=$D$7,H310=$D$8,H310=$D$9,H310=$D$10,H310=$D$11,H310=$D$12,H310=$D$13,H310=$D$14),SottocategorieUscite[[#Headers],[Personali]],IF(OR(H310=$E$5,H310=$E$6,H310=$E$7,H310=$E$8,H310=$E$9,H310=$E$10,H310=$E$11,H310=$E$12,H310=$E$13,H310=$E$14),SottocategorieUscite[[#Headers],[Lavoro]],IF(OR(H310=$F$5,H310=$F$6,H310=$F$7,H310=$F$8,H310=$F$9,H310=$F$10,H310=$F$11,H310=$F$12,H310=$F$13,H310=$F$14),SottocategorieUscite[[#Headers],[Casa]],IF(OR(H310=$G$5,H310=$G$6,H310=$G$7,H310=$G$8,H310=$G$9,H310=$G$10,H310=$G$11,H310=$G$12,H310=$G$13,H310=$G$14),SottocategorieUscite[[#Headers],[Utenze]],IF(OR(H310=$H$5,H310=$H$6,H310=$H$7,H310=$H$8,H310=$H$9,H310=$H$10,H310=$H$11,H310=$H$12,H310=$H$13,H310=$H$14),SottocategorieUscite[[#Headers],[Business Uscite]],IF(OR(H310=$I$5,H310=$I$6,H310=$I$7,H310=$I$8,H310=$I$9,H310=$I$10,H310=$I$11,H310=$I$12,H310=$I$13,H310=$I$14),SottocategorieUscite[[#Headers],[Banca]],IF(OR(H310=K$5,H310=K$6,H310=K$7,H310=K$8,H310=K$9,H310=K$10,H310=K$11,H310=K$12,H310=K$13,H310=K$14),SottocategorieEntrate[[#Headers],[Business Entrate]],IF(OR(H310=L$5,H310=L$6,H310=L$7,H310=L$8,H310=L$9,H310=L$10,H310=L$11,H310=L$12,H310=L$13,H310=L$14),SottocategorieEntrate[[#Headers],[Varie Entrate]],IF(OR(H310=M$5,H310=M$6,H310=M$7,H310=M$8,H310=M$9,H310=M$10,H310=M$11,H310=M$12,H310=M$13,H310=M$14),SottocategorieEntrate[[#Headers],[Real Estate]],IF(OR(H310=N$5,H310=N$6,H310=N$7,H310=N$8,H310=N$9,H310=N$10,H310=N$11,H310=N$12,H310=N$13,H310=N$14),SottocategorieEntrate[[#Headers],[Other]],""))))))))))))</f>
        <v/>
      </c>
      <c r="J310" t="str">
        <f>IF(OR(Dati[[#This Row],[Categoria]]="Bollette",Dati[[#This Row],[Categoria]]="Conto &amp; Carte BNL",Dati[[#This Row],[Categoria]]="Prelievo",Dati[[#This Row],[Categoria]]="Affitto",Dati[[#This Row],[Categoria]]="BNL(Interessi Creditori)"),"Carta",IF(Dati[[#This Row],[Categoria]]&lt;&gt;0,"Cash",""))</f>
        <v/>
      </c>
      <c r="K310" s="59" t="str">
        <f>IF(OR(Data!$I310=SottocategorieUscite[[#Headers],[Fuori Casa]],Data!$I310=SottocategorieUscite[[#Headers],[Varie Uscite]],Data!$I310=SottocategorieUscite[[#Headers],[Personali]],Data!$I310=SottocategorieUscite[[#Headers],[Lavoro]]),"$ -","")</f>
        <v/>
      </c>
      <c r="L310" s="59" t="str">
        <f>IF(OR(Data!$I310=SottocategorieUscite[[#Headers],[Casa]],Data!$I310=SottocategorieUscite[[#Headers],[Utenze]],Data!$I310=SottocategorieUscite[[#Headers],[Business Uscite]],Data!$I310=SottocategorieUscite[[#Headers],[Banca]]),"$ -","")</f>
        <v/>
      </c>
      <c r="M310" s="59" t="str">
        <f>IF(OR($I310&lt;&gt;SottocategorieUscite[[#Headers],[Fuori Casa]],$I310&lt;&gt;SottocategorieUscite[[#Headers],[Varie Uscite]],$I310&lt;&gt;SottocategorieUscite[[#Headers],[Personali]],$I310&lt;&gt;SottocategorieUscite[[#Headers],[Lavoro]],$I310&lt;&gt;SottocategorieUscite[[#Headers],[Casa]],$I310&lt;&gt;SottocategorieUscite[[#Headers],[Utenze]],$I310&lt;&gt;SottocategorieUscite[[#Headers],[Business Uscite]],$I310&lt;&gt;SottocategorieUscite[[#Headers],[Banca]]),"","$ -")</f>
        <v/>
      </c>
      <c r="N310" s="59" t="str">
        <f>IF(OR(Data!$I310=SottocategorieEntrate[[#Headers],[Business Entrate]],Data!$I310=SottocategorieEntrate[[#Headers],[Varie Entrate]]),"$ -","")</f>
        <v/>
      </c>
      <c r="O310" s="59" t="str">
        <f>IF(OR(Data!$I310=SottocategorieEntrate[[#Headers],[Real Estate]],SottocategorieEntrate[[#Headers],[Other]]),"$ -","")</f>
        <v/>
      </c>
      <c r="P310" s="59" t="str">
        <f>IF(OR($I310&lt;&gt;SottocategorieEntrate[[#Headers],[Business Entrate]],$I310&lt;&gt;SottocategorieEntrate[[#Headers],[Varie Entrate]],$I310&lt;&gt;SottocategorieEntrate[[#Headers],[Real Estate]],$I310&lt;&gt;SottocategorieEntrate[[#Headers],[Other]]),"","$ -")</f>
        <v/>
      </c>
      <c r="Q310" s="59" t="str">
        <f>IF(Dati[[#This Row],[Categoria]]="Prelievo","€ -","")</f>
        <v/>
      </c>
      <c r="R310" s="244"/>
      <c r="S310" s="59" t="str">
        <f>IF(Dati[[#This Row],[Categoria]]="Savings",0,"")</f>
        <v/>
      </c>
      <c r="T310" s="59"/>
      <c r="U310" s="59"/>
      <c r="V310" s="59"/>
      <c r="W310" s="59"/>
      <c r="X310" s="59"/>
      <c r="Y310" s="59"/>
      <c r="Z310" s="59"/>
      <c r="AA310" s="59"/>
      <c r="AB310" s="59"/>
      <c r="AC310" s="59"/>
      <c r="AD310" s="59"/>
      <c r="AE310" s="59"/>
      <c r="AF310" s="59"/>
      <c r="AG310" s="59"/>
      <c r="AH310" s="59"/>
      <c r="AI310" s="59" t="str">
        <f>IF(SUM(Dati[[#This Row],[Inv. Business]:[Inv. Cryptocurrency]])=0," ",SUM(Dati[[#This Row],[Inv. Business]:[Inv. Cryptocurrency]]))</f>
        <v xml:space="preserve"> </v>
      </c>
      <c r="AJ310" s="59"/>
      <c r="AK310" s="59" t="str">
        <f>IF(SUM(Dati[[#This Row],[Inv. Gold]:[Mutuo]])=0," ",SUM(Dati[[#This Row],[Inv. Gold]:[Mutuo]]))</f>
        <v xml:space="preserve"> </v>
      </c>
      <c r="AL310" s="59"/>
      <c r="AM310" s="59"/>
    </row>
    <row r="311" spans="2:39" ht="16" customHeight="1" x14ac:dyDescent="0.35">
      <c r="B311">
        <f t="shared" si="12"/>
        <v>291</v>
      </c>
      <c r="C311" s="49">
        <v>45212</v>
      </c>
      <c r="D311" s="29">
        <f>DAY(Dati[[#This Row],[Data]])</f>
        <v>13</v>
      </c>
      <c r="E311" s="29" t="str">
        <f>IF(DAY(Data!$C$21:$C$1327)&gt;0,TEXT(Data!$C$21:$C$1327, "mmmm"),"")</f>
        <v>ottobre</v>
      </c>
      <c r="F311" s="29" t="str">
        <f>IF(DAY(Data!$C$21:$C$1327)&gt;0,TEXT(Data!$C$21:$C$1327, "aaaa"),"")</f>
        <v>2023</v>
      </c>
      <c r="I311" t="str">
        <f>IF(OR(H311=$B$5,H311=$B$6,H311=$B$7,H311=$B$8,H311=$B$9,H311=$B$10,H311=$B$11,H311=$B$12,H311=$B$13,H311=$B$14),SottocategorieUscite[[#Headers],[Fuori Casa]],IF(OR(H311=$C$5,H311=$C$6,H311=$C$7,H311=$C$8,H311=$C$9,H311=$C$10,H311=$C$11,H311=$C$12,H311=$C$13,H311=$C$14),SottocategorieUscite[[#Headers],[Varie Uscite]],IF(OR(H311=$D$5,H311=$D$6,H311=$D$7,H311=$D$8,H311=$D$9,H311=$D$10,H311=$D$11,H311=$D$12,H311=$D$13,H311=$D$14),SottocategorieUscite[[#Headers],[Personali]],IF(OR(H311=$E$5,H311=$E$6,H311=$E$7,H311=$E$8,H311=$E$9,H311=$E$10,H311=$E$11,H311=$E$12,H311=$E$13,H311=$E$14),SottocategorieUscite[[#Headers],[Lavoro]],IF(OR(H311=$F$5,H311=$F$6,H311=$F$7,H311=$F$8,H311=$F$9,H311=$F$10,H311=$F$11,H311=$F$12,H311=$F$13,H311=$F$14),SottocategorieUscite[[#Headers],[Casa]],IF(OR(H311=$G$5,H311=$G$6,H311=$G$7,H311=$G$8,H311=$G$9,H311=$G$10,H311=$G$11,H311=$G$12,H311=$G$13,H311=$G$14),SottocategorieUscite[[#Headers],[Utenze]],IF(OR(H311=$H$5,H311=$H$6,H311=$H$7,H311=$H$8,H311=$H$9,H311=$H$10,H311=$H$11,H311=$H$12,H311=$H$13,H311=$H$14),SottocategorieUscite[[#Headers],[Business Uscite]],IF(OR(H311=$I$5,H311=$I$6,H311=$I$7,H311=$I$8,H311=$I$9,H311=$I$10,H311=$I$11,H311=$I$12,H311=$I$13,H311=$I$14),SottocategorieUscite[[#Headers],[Banca]],IF(OR(H311=K$5,H311=K$6,H311=K$7,H311=K$8,H311=K$9,H311=K$10,H311=K$11,H311=K$12,H311=K$13,H311=K$14),SottocategorieEntrate[[#Headers],[Business Entrate]],IF(OR(H311=L$5,H311=L$6,H311=L$7,H311=L$8,H311=L$9,H311=L$10,H311=L$11,H311=L$12,H311=L$13,H311=L$14),SottocategorieEntrate[[#Headers],[Varie Entrate]],IF(OR(H311=M$5,H311=M$6,H311=M$7,H311=M$8,H311=M$9,H311=M$10,H311=M$11,H311=M$12,H311=M$13,H311=M$14),SottocategorieEntrate[[#Headers],[Real Estate]],IF(OR(H311=N$5,H311=N$6,H311=N$7,H311=N$8,H311=N$9,H311=N$10,H311=N$11,H311=N$12,H311=N$13,H311=N$14),SottocategorieEntrate[[#Headers],[Other]],""))))))))))))</f>
        <v/>
      </c>
      <c r="J311" t="str">
        <f>IF(OR(Dati[[#This Row],[Categoria]]="Bollette",Dati[[#This Row],[Categoria]]="Conto &amp; Carte BNL",Dati[[#This Row],[Categoria]]="Prelievo",Dati[[#This Row],[Categoria]]="Affitto",Dati[[#This Row],[Categoria]]="BNL(Interessi Creditori)"),"Carta",IF(Dati[[#This Row],[Categoria]]&lt;&gt;0,"Cash",""))</f>
        <v/>
      </c>
      <c r="K311" s="59" t="str">
        <f>IF(OR(Data!$I311=SottocategorieUscite[[#Headers],[Fuori Casa]],Data!$I311=SottocategorieUscite[[#Headers],[Varie Uscite]],Data!$I311=SottocategorieUscite[[#Headers],[Personali]],Data!$I311=SottocategorieUscite[[#Headers],[Lavoro]]),"$ -","")</f>
        <v/>
      </c>
      <c r="L311" s="59" t="str">
        <f>IF(OR(Data!$I311=SottocategorieUscite[[#Headers],[Casa]],Data!$I311=SottocategorieUscite[[#Headers],[Utenze]],Data!$I311=SottocategorieUscite[[#Headers],[Business Uscite]],Data!$I311=SottocategorieUscite[[#Headers],[Banca]]),"$ -","")</f>
        <v/>
      </c>
      <c r="M311" s="59" t="str">
        <f>IF(OR($I311&lt;&gt;SottocategorieUscite[[#Headers],[Fuori Casa]],$I311&lt;&gt;SottocategorieUscite[[#Headers],[Varie Uscite]],$I311&lt;&gt;SottocategorieUscite[[#Headers],[Personali]],$I311&lt;&gt;SottocategorieUscite[[#Headers],[Lavoro]],$I311&lt;&gt;SottocategorieUscite[[#Headers],[Casa]],$I311&lt;&gt;SottocategorieUscite[[#Headers],[Utenze]],$I311&lt;&gt;SottocategorieUscite[[#Headers],[Business Uscite]],$I311&lt;&gt;SottocategorieUscite[[#Headers],[Banca]]),"","$ -")</f>
        <v/>
      </c>
      <c r="N311" s="59" t="str">
        <f>IF(OR(Data!$I311=SottocategorieEntrate[[#Headers],[Business Entrate]],Data!$I311=SottocategorieEntrate[[#Headers],[Varie Entrate]]),"$ -","")</f>
        <v/>
      </c>
      <c r="O311" s="59" t="str">
        <f>IF(OR(Data!$I311=SottocategorieEntrate[[#Headers],[Real Estate]],SottocategorieEntrate[[#Headers],[Other]]),"$ -","")</f>
        <v/>
      </c>
      <c r="P311" s="59" t="str">
        <f>IF(OR($I311&lt;&gt;SottocategorieEntrate[[#Headers],[Business Entrate]],$I311&lt;&gt;SottocategorieEntrate[[#Headers],[Varie Entrate]],$I311&lt;&gt;SottocategorieEntrate[[#Headers],[Real Estate]],$I311&lt;&gt;SottocategorieEntrate[[#Headers],[Other]]),"","$ -")</f>
        <v/>
      </c>
      <c r="Q311" s="59" t="str">
        <f>IF(Dati[[#This Row],[Categoria]]="Prelievo","€ -","")</f>
        <v/>
      </c>
      <c r="R311" s="244"/>
      <c r="S311" s="59" t="str">
        <f>IF(Dati[[#This Row],[Categoria]]="Savings",0,"")</f>
        <v/>
      </c>
      <c r="T311" s="59"/>
      <c r="U311" s="59"/>
      <c r="V311" s="59"/>
      <c r="W311" s="59"/>
      <c r="X311" s="59"/>
      <c r="Y311" s="59"/>
      <c r="Z311" s="59"/>
      <c r="AA311" s="59"/>
      <c r="AB311" s="59"/>
      <c r="AC311" s="59"/>
      <c r="AD311" s="59"/>
      <c r="AE311" s="59"/>
      <c r="AF311" s="59"/>
      <c r="AG311" s="59"/>
      <c r="AH311" s="59"/>
      <c r="AI311" s="59" t="str">
        <f>IF(SUM(Dati[[#This Row],[Inv. Business]:[Inv. Cryptocurrency]])=0," ",SUM(Dati[[#This Row],[Inv. Business]:[Inv. Cryptocurrency]]))</f>
        <v xml:space="preserve"> </v>
      </c>
      <c r="AJ311" s="59"/>
      <c r="AK311" s="59" t="str">
        <f>IF(SUM(Dati[[#This Row],[Inv. Gold]:[Mutuo]])=0," ",SUM(Dati[[#This Row],[Inv. Gold]:[Mutuo]]))</f>
        <v xml:space="preserve"> </v>
      </c>
      <c r="AL311" s="59"/>
      <c r="AM311" s="59"/>
    </row>
    <row r="312" spans="2:39" ht="16" customHeight="1" x14ac:dyDescent="0.35">
      <c r="B312">
        <f t="shared" si="12"/>
        <v>292</v>
      </c>
      <c r="C312" s="49">
        <v>45212</v>
      </c>
      <c r="D312" s="29">
        <f>DAY(Dati[[#This Row],[Data]])</f>
        <v>13</v>
      </c>
      <c r="E312" s="29" t="str">
        <f>IF(DAY(Data!$C$21:$C$1327)&gt;0,TEXT(Data!$C$21:$C$1327, "mmmm"),"")</f>
        <v>ottobre</v>
      </c>
      <c r="F312" s="29" t="str">
        <f>IF(DAY(Data!$C$21:$C$1327)&gt;0,TEXT(Data!$C$21:$C$1327, "aaaa"),"")</f>
        <v>2023</v>
      </c>
      <c r="I312" t="str">
        <f>IF(OR(H312=$B$5,H312=$B$6,H312=$B$7,H312=$B$8,H312=$B$9,H312=$B$10,H312=$B$11,H312=$B$12,H312=$B$13,H312=$B$14),SottocategorieUscite[[#Headers],[Fuori Casa]],IF(OR(H312=$C$5,H312=$C$6,H312=$C$7,H312=$C$8,H312=$C$9,H312=$C$10,H312=$C$11,H312=$C$12,H312=$C$13,H312=$C$14),SottocategorieUscite[[#Headers],[Varie Uscite]],IF(OR(H312=$D$5,H312=$D$6,H312=$D$7,H312=$D$8,H312=$D$9,H312=$D$10,H312=$D$11,H312=$D$12,H312=$D$13,H312=$D$14),SottocategorieUscite[[#Headers],[Personali]],IF(OR(H312=$E$5,H312=$E$6,H312=$E$7,H312=$E$8,H312=$E$9,H312=$E$10,H312=$E$11,H312=$E$12,H312=$E$13,H312=$E$14),SottocategorieUscite[[#Headers],[Lavoro]],IF(OR(H312=$F$5,H312=$F$6,H312=$F$7,H312=$F$8,H312=$F$9,H312=$F$10,H312=$F$11,H312=$F$12,H312=$F$13,H312=$F$14),SottocategorieUscite[[#Headers],[Casa]],IF(OR(H312=$G$5,H312=$G$6,H312=$G$7,H312=$G$8,H312=$G$9,H312=$G$10,H312=$G$11,H312=$G$12,H312=$G$13,H312=$G$14),SottocategorieUscite[[#Headers],[Utenze]],IF(OR(H312=$H$5,H312=$H$6,H312=$H$7,H312=$H$8,H312=$H$9,H312=$H$10,H312=$H$11,H312=$H$12,H312=$H$13,H312=$H$14),SottocategorieUscite[[#Headers],[Business Uscite]],IF(OR(H312=$I$5,H312=$I$6,H312=$I$7,H312=$I$8,H312=$I$9,H312=$I$10,H312=$I$11,H312=$I$12,H312=$I$13,H312=$I$14),SottocategorieUscite[[#Headers],[Banca]],IF(OR(H312=K$5,H312=K$6,H312=K$7,H312=K$8,H312=K$9,H312=K$10,H312=K$11,H312=K$12,H312=K$13,H312=K$14),SottocategorieEntrate[[#Headers],[Business Entrate]],IF(OR(H312=L$5,H312=L$6,H312=L$7,H312=L$8,H312=L$9,H312=L$10,H312=L$11,H312=L$12,H312=L$13,H312=L$14),SottocategorieEntrate[[#Headers],[Varie Entrate]],IF(OR(H312=M$5,H312=M$6,H312=M$7,H312=M$8,H312=M$9,H312=M$10,H312=M$11,H312=M$12,H312=M$13,H312=M$14),SottocategorieEntrate[[#Headers],[Real Estate]],IF(OR(H312=N$5,H312=N$6,H312=N$7,H312=N$8,H312=N$9,H312=N$10,H312=N$11,H312=N$12,H312=N$13,H312=N$14),SottocategorieEntrate[[#Headers],[Other]],""))))))))))))</f>
        <v/>
      </c>
      <c r="J312" t="str">
        <f>IF(OR(Dati[[#This Row],[Categoria]]="Bollette",Dati[[#This Row],[Categoria]]="Conto &amp; Carte BNL",Dati[[#This Row],[Categoria]]="Prelievo",Dati[[#This Row],[Categoria]]="Affitto",Dati[[#This Row],[Categoria]]="BNL(Interessi Creditori)"),"Carta",IF(Dati[[#This Row],[Categoria]]&lt;&gt;0,"Cash",""))</f>
        <v/>
      </c>
      <c r="K312" s="59" t="str">
        <f>IF(OR(Data!$I312=SottocategorieUscite[[#Headers],[Fuori Casa]],Data!$I312=SottocategorieUscite[[#Headers],[Varie Uscite]],Data!$I312=SottocategorieUscite[[#Headers],[Personali]],Data!$I312=SottocategorieUscite[[#Headers],[Lavoro]]),"$ -","")</f>
        <v/>
      </c>
      <c r="L312" s="59" t="str">
        <f>IF(OR(Data!$I312=SottocategorieUscite[[#Headers],[Casa]],Data!$I312=SottocategorieUscite[[#Headers],[Utenze]],Data!$I312=SottocategorieUscite[[#Headers],[Business Uscite]],Data!$I312=SottocategorieUscite[[#Headers],[Banca]]),"$ -","")</f>
        <v/>
      </c>
      <c r="M312" s="59" t="str">
        <f>IF(OR($I312&lt;&gt;SottocategorieUscite[[#Headers],[Fuori Casa]],$I312&lt;&gt;SottocategorieUscite[[#Headers],[Varie Uscite]],$I312&lt;&gt;SottocategorieUscite[[#Headers],[Personali]],$I312&lt;&gt;SottocategorieUscite[[#Headers],[Lavoro]],$I312&lt;&gt;SottocategorieUscite[[#Headers],[Casa]],$I312&lt;&gt;SottocategorieUscite[[#Headers],[Utenze]],$I312&lt;&gt;SottocategorieUscite[[#Headers],[Business Uscite]],$I312&lt;&gt;SottocategorieUscite[[#Headers],[Banca]]),"","$ -")</f>
        <v/>
      </c>
      <c r="N312" s="59" t="str">
        <f>IF(OR(Data!$I312=SottocategorieEntrate[[#Headers],[Business Entrate]],Data!$I312=SottocategorieEntrate[[#Headers],[Varie Entrate]]),"$ -","")</f>
        <v/>
      </c>
      <c r="O312" s="59" t="str">
        <f>IF(OR(Data!$I312=SottocategorieEntrate[[#Headers],[Real Estate]],SottocategorieEntrate[[#Headers],[Other]]),"$ -","")</f>
        <v/>
      </c>
      <c r="P312" s="59" t="str">
        <f>IF(OR($I312&lt;&gt;SottocategorieEntrate[[#Headers],[Business Entrate]],$I312&lt;&gt;SottocategorieEntrate[[#Headers],[Varie Entrate]],$I312&lt;&gt;SottocategorieEntrate[[#Headers],[Real Estate]],$I312&lt;&gt;SottocategorieEntrate[[#Headers],[Other]]),"","$ -")</f>
        <v/>
      </c>
      <c r="Q312" s="59" t="str">
        <f>IF(Dati[[#This Row],[Categoria]]="Prelievo","€ -","")</f>
        <v/>
      </c>
      <c r="R312" s="244"/>
      <c r="S312" s="59" t="str">
        <f>IF(Dati[[#This Row],[Categoria]]="Savings",0,"")</f>
        <v/>
      </c>
      <c r="T312" s="59"/>
      <c r="U312" s="59"/>
      <c r="V312" s="59"/>
      <c r="W312" s="59"/>
      <c r="X312" s="59"/>
      <c r="Y312" s="59"/>
      <c r="Z312" s="59"/>
      <c r="AA312" s="59"/>
      <c r="AB312" s="59"/>
      <c r="AC312" s="59"/>
      <c r="AD312" s="59"/>
      <c r="AE312" s="59"/>
      <c r="AF312" s="59"/>
      <c r="AG312" s="59"/>
      <c r="AH312" s="59"/>
      <c r="AI312" s="59" t="str">
        <f>IF(SUM(Dati[[#This Row],[Inv. Business]:[Inv. Cryptocurrency]])=0," ",SUM(Dati[[#This Row],[Inv. Business]:[Inv. Cryptocurrency]]))</f>
        <v xml:space="preserve"> </v>
      </c>
      <c r="AJ312" s="59"/>
      <c r="AK312" s="59" t="str">
        <f>IF(SUM(Dati[[#This Row],[Inv. Gold]:[Mutuo]])=0," ",SUM(Dati[[#This Row],[Inv. Gold]:[Mutuo]]))</f>
        <v xml:space="preserve"> </v>
      </c>
      <c r="AL312" s="59"/>
      <c r="AM312" s="59"/>
    </row>
    <row r="313" spans="2:39" ht="16" customHeight="1" x14ac:dyDescent="0.35">
      <c r="B313">
        <f t="shared" si="12"/>
        <v>293</v>
      </c>
      <c r="C313" s="49">
        <f>C309+1</f>
        <v>45213</v>
      </c>
      <c r="D313" s="29">
        <f>DAY(Dati[[#This Row],[Data]])</f>
        <v>14</v>
      </c>
      <c r="E313" s="29" t="str">
        <f>IF(DAY(Data!$C$21:$C$1327)&gt;0,TEXT(Data!$C$21:$C$1327, "mmmm"),"")</f>
        <v>ottobre</v>
      </c>
      <c r="F313" s="29" t="str">
        <f>IF(DAY(Data!$C$21:$C$1327)&gt;0,TEXT(Data!$C$21:$C$1327, "aaaa"),"")</f>
        <v>2023</v>
      </c>
      <c r="I313" t="str">
        <f>IF(OR(H313=$B$5,H313=$B$6,H313=$B$7,H313=$B$8,H313=$B$9,H313=$B$10,H313=$B$11,H313=$B$12,H313=$B$13,H313=$B$14),SottocategorieUscite[[#Headers],[Fuori Casa]],IF(OR(H313=$C$5,H313=$C$6,H313=$C$7,H313=$C$8,H313=$C$9,H313=$C$10,H313=$C$11,H313=$C$12,H313=$C$13,H313=$C$14),SottocategorieUscite[[#Headers],[Varie Uscite]],IF(OR(H313=$D$5,H313=$D$6,H313=$D$7,H313=$D$8,H313=$D$9,H313=$D$10,H313=$D$11,H313=$D$12,H313=$D$13,H313=$D$14),SottocategorieUscite[[#Headers],[Personali]],IF(OR(H313=$E$5,H313=$E$6,H313=$E$7,H313=$E$8,H313=$E$9,H313=$E$10,H313=$E$11,H313=$E$12,H313=$E$13,H313=$E$14),SottocategorieUscite[[#Headers],[Lavoro]],IF(OR(H313=$F$5,H313=$F$6,H313=$F$7,H313=$F$8,H313=$F$9,H313=$F$10,H313=$F$11,H313=$F$12,H313=$F$13,H313=$F$14),SottocategorieUscite[[#Headers],[Casa]],IF(OR(H313=$G$5,H313=$G$6,H313=$G$7,H313=$G$8,H313=$G$9,H313=$G$10,H313=$G$11,H313=$G$12,H313=$G$13,H313=$G$14),SottocategorieUscite[[#Headers],[Utenze]],IF(OR(H313=$H$5,H313=$H$6,H313=$H$7,H313=$H$8,H313=$H$9,H313=$H$10,H313=$H$11,H313=$H$12,H313=$H$13,H313=$H$14),SottocategorieUscite[[#Headers],[Business Uscite]],IF(OR(H313=$I$5,H313=$I$6,H313=$I$7,H313=$I$8,H313=$I$9,H313=$I$10,H313=$I$11,H313=$I$12,H313=$I$13,H313=$I$14),SottocategorieUscite[[#Headers],[Banca]],IF(OR(H313=K$5,H313=K$6,H313=K$7,H313=K$8,H313=K$9,H313=K$10,H313=K$11,H313=K$12,H313=K$13,H313=K$14),SottocategorieEntrate[[#Headers],[Business Entrate]],IF(OR(H313=L$5,H313=L$6,H313=L$7,H313=L$8,H313=L$9,H313=L$10,H313=L$11,H313=L$12,H313=L$13,H313=L$14),SottocategorieEntrate[[#Headers],[Varie Entrate]],IF(OR(H313=M$5,H313=M$6,H313=M$7,H313=M$8,H313=M$9,H313=M$10,H313=M$11,H313=M$12,H313=M$13,H313=M$14),SottocategorieEntrate[[#Headers],[Real Estate]],IF(OR(H313=N$5,H313=N$6,H313=N$7,H313=N$8,H313=N$9,H313=N$10,H313=N$11,H313=N$12,H313=N$13,H313=N$14),SottocategorieEntrate[[#Headers],[Other]],""))))))))))))</f>
        <v/>
      </c>
      <c r="J313" t="str">
        <f>IF(OR(Dati[[#This Row],[Categoria]]="Bollette",Dati[[#This Row],[Categoria]]="Conto &amp; Carte BNL",Dati[[#This Row],[Categoria]]="Prelievo",Dati[[#This Row],[Categoria]]="Affitto",Dati[[#This Row],[Categoria]]="BNL(Interessi Creditori)"),"Carta",IF(Dati[[#This Row],[Categoria]]&lt;&gt;0,"Cash",""))</f>
        <v/>
      </c>
      <c r="K313" s="59" t="str">
        <f>IF(OR(Data!$I313=SottocategorieUscite[[#Headers],[Fuori Casa]],Data!$I313=SottocategorieUscite[[#Headers],[Varie Uscite]],Data!$I313=SottocategorieUscite[[#Headers],[Personali]],Data!$I313=SottocategorieUscite[[#Headers],[Lavoro]]),"$ -","")</f>
        <v/>
      </c>
      <c r="L313" s="59" t="str">
        <f>IF(OR(Data!$I313=SottocategorieUscite[[#Headers],[Casa]],Data!$I313=SottocategorieUscite[[#Headers],[Utenze]],Data!$I313=SottocategorieUscite[[#Headers],[Business Uscite]],Data!$I313=SottocategorieUscite[[#Headers],[Banca]]),"$ -","")</f>
        <v/>
      </c>
      <c r="M313" s="59" t="str">
        <f>IF(OR($I313&lt;&gt;SottocategorieUscite[[#Headers],[Fuori Casa]],$I313&lt;&gt;SottocategorieUscite[[#Headers],[Varie Uscite]],$I313&lt;&gt;SottocategorieUscite[[#Headers],[Personali]],$I313&lt;&gt;SottocategorieUscite[[#Headers],[Lavoro]],$I313&lt;&gt;SottocategorieUscite[[#Headers],[Casa]],$I313&lt;&gt;SottocategorieUscite[[#Headers],[Utenze]],$I313&lt;&gt;SottocategorieUscite[[#Headers],[Business Uscite]],$I313&lt;&gt;SottocategorieUscite[[#Headers],[Banca]]),"","$ -")</f>
        <v/>
      </c>
      <c r="N313" s="59" t="str">
        <f>IF(OR(Data!$I313=SottocategorieEntrate[[#Headers],[Business Entrate]],Data!$I313=SottocategorieEntrate[[#Headers],[Varie Entrate]]),"$ -","")</f>
        <v/>
      </c>
      <c r="O313" s="59" t="str">
        <f>IF(OR(Data!$I313=SottocategorieEntrate[[#Headers],[Real Estate]],SottocategorieEntrate[[#Headers],[Other]]),"$ -","")</f>
        <v/>
      </c>
      <c r="P313" s="59" t="str">
        <f>IF(OR($I313&lt;&gt;SottocategorieEntrate[[#Headers],[Business Entrate]],$I313&lt;&gt;SottocategorieEntrate[[#Headers],[Varie Entrate]],$I313&lt;&gt;SottocategorieEntrate[[#Headers],[Real Estate]],$I313&lt;&gt;SottocategorieEntrate[[#Headers],[Other]]),"","$ -")</f>
        <v/>
      </c>
      <c r="Q313" s="59" t="str">
        <f>IF(Dati[[#This Row],[Categoria]]="Prelievo","€ -","")</f>
        <v/>
      </c>
      <c r="R313" s="244"/>
      <c r="S313" s="59" t="str">
        <f>IF(Dati[[#This Row],[Categoria]]="Savings",0,"")</f>
        <v/>
      </c>
      <c r="T313" s="59"/>
      <c r="U313" s="59"/>
      <c r="V313" s="59"/>
      <c r="W313" s="59"/>
      <c r="X313" s="59"/>
      <c r="Y313" s="59"/>
      <c r="Z313" s="59"/>
      <c r="AA313" s="59"/>
      <c r="AB313" s="59"/>
      <c r="AC313" s="59"/>
      <c r="AD313" s="59"/>
      <c r="AE313" s="59"/>
      <c r="AF313" s="59"/>
      <c r="AG313" s="59"/>
      <c r="AH313" s="59"/>
      <c r="AI313" s="59" t="str">
        <f>IF(SUM(Dati[[#This Row],[Inv. Business]:[Inv. Cryptocurrency]])=0," ",SUM(Dati[[#This Row],[Inv. Business]:[Inv. Cryptocurrency]]))</f>
        <v xml:space="preserve"> </v>
      </c>
      <c r="AJ313" s="59"/>
      <c r="AK313" s="59" t="str">
        <f>IF(SUM(Dati[[#This Row],[Inv. Gold]:[Mutuo]])=0," ",SUM(Dati[[#This Row],[Inv. Gold]:[Mutuo]]))</f>
        <v xml:space="preserve"> </v>
      </c>
      <c r="AL313" s="59"/>
      <c r="AM313" s="59"/>
    </row>
    <row r="314" spans="2:39" ht="16" customHeight="1" x14ac:dyDescent="0.35">
      <c r="B314">
        <f t="shared" si="12"/>
        <v>294</v>
      </c>
      <c r="C314" s="49">
        <f t="shared" si="13"/>
        <v>45214</v>
      </c>
      <c r="D314" s="29">
        <f>DAY(Dati[[#This Row],[Data]])</f>
        <v>15</v>
      </c>
      <c r="E314" s="29" t="str">
        <f>IF(DAY(Data!$C$21:$C$1327)&gt;0,TEXT(Data!$C$21:$C$1327, "mmmm"),"")</f>
        <v>ottobre</v>
      </c>
      <c r="F314" s="29" t="str">
        <f>IF(DAY(Data!$C$21:$C$1327)&gt;0,TEXT(Data!$C$21:$C$1327, "aaaa"),"")</f>
        <v>2023</v>
      </c>
      <c r="I314" t="str">
        <f>IF(OR(H314=$B$5,H314=$B$6,H314=$B$7,H314=$B$8,H314=$B$9,H314=$B$10,H314=$B$11,H314=$B$12,H314=$B$13,H314=$B$14),SottocategorieUscite[[#Headers],[Fuori Casa]],IF(OR(H314=$C$5,H314=$C$6,H314=$C$7,H314=$C$8,H314=$C$9,H314=$C$10,H314=$C$11,H314=$C$12,H314=$C$13,H314=$C$14),SottocategorieUscite[[#Headers],[Varie Uscite]],IF(OR(H314=$D$5,H314=$D$6,H314=$D$7,H314=$D$8,H314=$D$9,H314=$D$10,H314=$D$11,H314=$D$12,H314=$D$13,H314=$D$14),SottocategorieUscite[[#Headers],[Personali]],IF(OR(H314=$E$5,H314=$E$6,H314=$E$7,H314=$E$8,H314=$E$9,H314=$E$10,H314=$E$11,H314=$E$12,H314=$E$13,H314=$E$14),SottocategorieUscite[[#Headers],[Lavoro]],IF(OR(H314=$F$5,H314=$F$6,H314=$F$7,H314=$F$8,H314=$F$9,H314=$F$10,H314=$F$11,H314=$F$12,H314=$F$13,H314=$F$14),SottocategorieUscite[[#Headers],[Casa]],IF(OR(H314=$G$5,H314=$G$6,H314=$G$7,H314=$G$8,H314=$G$9,H314=$G$10,H314=$G$11,H314=$G$12,H314=$G$13,H314=$G$14),SottocategorieUscite[[#Headers],[Utenze]],IF(OR(H314=$H$5,H314=$H$6,H314=$H$7,H314=$H$8,H314=$H$9,H314=$H$10,H314=$H$11,H314=$H$12,H314=$H$13,H314=$H$14),SottocategorieUscite[[#Headers],[Business Uscite]],IF(OR(H314=$I$5,H314=$I$6,H314=$I$7,H314=$I$8,H314=$I$9,H314=$I$10,H314=$I$11,H314=$I$12,H314=$I$13,H314=$I$14),SottocategorieUscite[[#Headers],[Banca]],IF(OR(H314=K$5,H314=K$6,H314=K$7,H314=K$8,H314=K$9,H314=K$10,H314=K$11,H314=K$12,H314=K$13,H314=K$14),SottocategorieEntrate[[#Headers],[Business Entrate]],IF(OR(H314=L$5,H314=L$6,H314=L$7,H314=L$8,H314=L$9,H314=L$10,H314=L$11,H314=L$12,H314=L$13,H314=L$14),SottocategorieEntrate[[#Headers],[Varie Entrate]],IF(OR(H314=M$5,H314=M$6,H314=M$7,H314=M$8,H314=M$9,H314=M$10,H314=M$11,H314=M$12,H314=M$13,H314=M$14),SottocategorieEntrate[[#Headers],[Real Estate]],IF(OR(H314=N$5,H314=N$6,H314=N$7,H314=N$8,H314=N$9,H314=N$10,H314=N$11,H314=N$12,H314=N$13,H314=N$14),SottocategorieEntrate[[#Headers],[Other]],""))))))))))))</f>
        <v/>
      </c>
      <c r="J314" t="str">
        <f>IF(OR(Dati[[#This Row],[Categoria]]="Bollette",Dati[[#This Row],[Categoria]]="Conto &amp; Carte BNL",Dati[[#This Row],[Categoria]]="Prelievo",Dati[[#This Row],[Categoria]]="Affitto",Dati[[#This Row],[Categoria]]="BNL(Interessi Creditori)"),"Carta",IF(Dati[[#This Row],[Categoria]]&lt;&gt;0,"Cash",""))</f>
        <v/>
      </c>
      <c r="K314" s="59" t="str">
        <f>IF(OR(Data!$I314=SottocategorieUscite[[#Headers],[Fuori Casa]],Data!$I314=SottocategorieUscite[[#Headers],[Varie Uscite]],Data!$I314=SottocategorieUscite[[#Headers],[Personali]],Data!$I314=SottocategorieUscite[[#Headers],[Lavoro]]),"$ -","")</f>
        <v/>
      </c>
      <c r="L314" s="59" t="str">
        <f>IF(OR(Data!$I314=SottocategorieUscite[[#Headers],[Casa]],Data!$I314=SottocategorieUscite[[#Headers],[Utenze]],Data!$I314=SottocategorieUscite[[#Headers],[Business Uscite]],Data!$I314=SottocategorieUscite[[#Headers],[Banca]]),"$ -","")</f>
        <v/>
      </c>
      <c r="M314" s="59" t="str">
        <f>IF(OR($I314&lt;&gt;SottocategorieUscite[[#Headers],[Fuori Casa]],$I314&lt;&gt;SottocategorieUscite[[#Headers],[Varie Uscite]],$I314&lt;&gt;SottocategorieUscite[[#Headers],[Personali]],$I314&lt;&gt;SottocategorieUscite[[#Headers],[Lavoro]],$I314&lt;&gt;SottocategorieUscite[[#Headers],[Casa]],$I314&lt;&gt;SottocategorieUscite[[#Headers],[Utenze]],$I314&lt;&gt;SottocategorieUscite[[#Headers],[Business Uscite]],$I314&lt;&gt;SottocategorieUscite[[#Headers],[Banca]]),"","$ -")</f>
        <v/>
      </c>
      <c r="N314" s="59" t="str">
        <f>IF(OR(Data!$I314=SottocategorieEntrate[[#Headers],[Business Entrate]],Data!$I314=SottocategorieEntrate[[#Headers],[Varie Entrate]]),"$ -","")</f>
        <v/>
      </c>
      <c r="O314" s="59" t="str">
        <f>IF(OR(Data!$I314=SottocategorieEntrate[[#Headers],[Real Estate]],SottocategorieEntrate[[#Headers],[Other]]),"$ -","")</f>
        <v/>
      </c>
      <c r="P314" s="59" t="str">
        <f>IF(OR($I314&lt;&gt;SottocategorieEntrate[[#Headers],[Business Entrate]],$I314&lt;&gt;SottocategorieEntrate[[#Headers],[Varie Entrate]],$I314&lt;&gt;SottocategorieEntrate[[#Headers],[Real Estate]],$I314&lt;&gt;SottocategorieEntrate[[#Headers],[Other]]),"","$ -")</f>
        <v/>
      </c>
      <c r="Q314" s="59" t="str">
        <f>IF(Dati[[#This Row],[Categoria]]="Prelievo","€ -","")</f>
        <v/>
      </c>
      <c r="R314" s="244"/>
      <c r="S314" s="59" t="str">
        <f>IF(Dati[[#This Row],[Categoria]]="Savings",0,"")</f>
        <v/>
      </c>
      <c r="T314" s="59"/>
      <c r="U314" s="59"/>
      <c r="V314" s="59"/>
      <c r="W314" s="59"/>
      <c r="X314" s="59"/>
      <c r="Y314" s="59"/>
      <c r="Z314" s="59"/>
      <c r="AA314" s="59"/>
      <c r="AB314" s="59"/>
      <c r="AC314" s="59"/>
      <c r="AD314" s="59"/>
      <c r="AE314" s="59"/>
      <c r="AF314" s="59"/>
      <c r="AG314" s="59"/>
      <c r="AH314" s="59"/>
      <c r="AI314" s="59" t="str">
        <f>IF(SUM(Dati[[#This Row],[Inv. Business]:[Inv. Cryptocurrency]])=0," ",SUM(Dati[[#This Row],[Inv. Business]:[Inv. Cryptocurrency]]))</f>
        <v xml:space="preserve"> </v>
      </c>
      <c r="AJ314" s="59"/>
      <c r="AK314" s="59" t="str">
        <f>IF(SUM(Dati[[#This Row],[Inv. Gold]:[Mutuo]])=0," ",SUM(Dati[[#This Row],[Inv. Gold]:[Mutuo]]))</f>
        <v xml:space="preserve"> </v>
      </c>
      <c r="AL314" s="59"/>
      <c r="AM314" s="59"/>
    </row>
    <row r="315" spans="2:39" ht="16" customHeight="1" x14ac:dyDescent="0.35">
      <c r="B315">
        <f t="shared" si="12"/>
        <v>295</v>
      </c>
      <c r="C315" s="49">
        <f t="shared" si="13"/>
        <v>45215</v>
      </c>
      <c r="D315" s="29">
        <f>DAY(Dati[[#This Row],[Data]])</f>
        <v>16</v>
      </c>
      <c r="E315" s="29" t="str">
        <f>IF(DAY(Data!$C$21:$C$1327)&gt;0,TEXT(Data!$C$21:$C$1327, "mmmm"),"")</f>
        <v>ottobre</v>
      </c>
      <c r="F315" s="29" t="str">
        <f>IF(DAY(Data!$C$21:$C$1327)&gt;0,TEXT(Data!$C$21:$C$1327, "aaaa"),"")</f>
        <v>2023</v>
      </c>
      <c r="I315" t="str">
        <f>IF(OR(H315=$B$5,H315=$B$6,H315=$B$7,H315=$B$8,H315=$B$9,H315=$B$10,H315=$B$11,H315=$B$12,H315=$B$13,H315=$B$14),SottocategorieUscite[[#Headers],[Fuori Casa]],IF(OR(H315=$C$5,H315=$C$6,H315=$C$7,H315=$C$8,H315=$C$9,H315=$C$10,H315=$C$11,H315=$C$12,H315=$C$13,H315=$C$14),SottocategorieUscite[[#Headers],[Varie Uscite]],IF(OR(H315=$D$5,H315=$D$6,H315=$D$7,H315=$D$8,H315=$D$9,H315=$D$10,H315=$D$11,H315=$D$12,H315=$D$13,H315=$D$14),SottocategorieUscite[[#Headers],[Personali]],IF(OR(H315=$E$5,H315=$E$6,H315=$E$7,H315=$E$8,H315=$E$9,H315=$E$10,H315=$E$11,H315=$E$12,H315=$E$13,H315=$E$14),SottocategorieUscite[[#Headers],[Lavoro]],IF(OR(H315=$F$5,H315=$F$6,H315=$F$7,H315=$F$8,H315=$F$9,H315=$F$10,H315=$F$11,H315=$F$12,H315=$F$13,H315=$F$14),SottocategorieUscite[[#Headers],[Casa]],IF(OR(H315=$G$5,H315=$G$6,H315=$G$7,H315=$G$8,H315=$G$9,H315=$G$10,H315=$G$11,H315=$G$12,H315=$G$13,H315=$G$14),SottocategorieUscite[[#Headers],[Utenze]],IF(OR(H315=$H$5,H315=$H$6,H315=$H$7,H315=$H$8,H315=$H$9,H315=$H$10,H315=$H$11,H315=$H$12,H315=$H$13,H315=$H$14),SottocategorieUscite[[#Headers],[Business Uscite]],IF(OR(H315=$I$5,H315=$I$6,H315=$I$7,H315=$I$8,H315=$I$9,H315=$I$10,H315=$I$11,H315=$I$12,H315=$I$13,H315=$I$14),SottocategorieUscite[[#Headers],[Banca]],IF(OR(H315=K$5,H315=K$6,H315=K$7,H315=K$8,H315=K$9,H315=K$10,H315=K$11,H315=K$12,H315=K$13,H315=K$14),SottocategorieEntrate[[#Headers],[Business Entrate]],IF(OR(H315=L$5,H315=L$6,H315=L$7,H315=L$8,H315=L$9,H315=L$10,H315=L$11,H315=L$12,H315=L$13,H315=L$14),SottocategorieEntrate[[#Headers],[Varie Entrate]],IF(OR(H315=M$5,H315=M$6,H315=M$7,H315=M$8,H315=M$9,H315=M$10,H315=M$11,H315=M$12,H315=M$13,H315=M$14),SottocategorieEntrate[[#Headers],[Real Estate]],IF(OR(H315=N$5,H315=N$6,H315=N$7,H315=N$8,H315=N$9,H315=N$10,H315=N$11,H315=N$12,H315=N$13,H315=N$14),SottocategorieEntrate[[#Headers],[Other]],""))))))))))))</f>
        <v/>
      </c>
      <c r="J315" t="str">
        <f>IF(OR(Dati[[#This Row],[Categoria]]="Bollette",Dati[[#This Row],[Categoria]]="Conto &amp; Carte BNL",Dati[[#This Row],[Categoria]]="Prelievo",Dati[[#This Row],[Categoria]]="Affitto",Dati[[#This Row],[Categoria]]="BNL(Interessi Creditori)"),"Carta",IF(Dati[[#This Row],[Categoria]]&lt;&gt;0,"Cash",""))</f>
        <v/>
      </c>
      <c r="K315" s="59" t="str">
        <f>IF(OR(Data!$I315=SottocategorieUscite[[#Headers],[Fuori Casa]],Data!$I315=SottocategorieUscite[[#Headers],[Varie Uscite]],Data!$I315=SottocategorieUscite[[#Headers],[Personali]],Data!$I315=SottocategorieUscite[[#Headers],[Lavoro]]),"$ -","")</f>
        <v/>
      </c>
      <c r="L315" s="59" t="str">
        <f>IF(OR(Data!$I315=SottocategorieUscite[[#Headers],[Casa]],Data!$I315=SottocategorieUscite[[#Headers],[Utenze]],Data!$I315=SottocategorieUscite[[#Headers],[Business Uscite]],Data!$I315=SottocategorieUscite[[#Headers],[Banca]]),"$ -","")</f>
        <v/>
      </c>
      <c r="M315" s="59" t="str">
        <f>IF(OR($I315&lt;&gt;SottocategorieUscite[[#Headers],[Fuori Casa]],$I315&lt;&gt;SottocategorieUscite[[#Headers],[Varie Uscite]],$I315&lt;&gt;SottocategorieUscite[[#Headers],[Personali]],$I315&lt;&gt;SottocategorieUscite[[#Headers],[Lavoro]],$I315&lt;&gt;SottocategorieUscite[[#Headers],[Casa]],$I315&lt;&gt;SottocategorieUscite[[#Headers],[Utenze]],$I315&lt;&gt;SottocategorieUscite[[#Headers],[Business Uscite]],$I315&lt;&gt;SottocategorieUscite[[#Headers],[Banca]]),"","$ -")</f>
        <v/>
      </c>
      <c r="N315" s="59" t="str">
        <f>IF(OR(Data!$I315=SottocategorieEntrate[[#Headers],[Business Entrate]],Data!$I315=SottocategorieEntrate[[#Headers],[Varie Entrate]]),"$ -","")</f>
        <v/>
      </c>
      <c r="O315" s="59" t="str">
        <f>IF(OR(Data!$I315=SottocategorieEntrate[[#Headers],[Real Estate]],SottocategorieEntrate[[#Headers],[Other]]),"$ -","")</f>
        <v/>
      </c>
      <c r="P315" s="59" t="str">
        <f>IF(OR($I315&lt;&gt;SottocategorieEntrate[[#Headers],[Business Entrate]],$I315&lt;&gt;SottocategorieEntrate[[#Headers],[Varie Entrate]],$I315&lt;&gt;SottocategorieEntrate[[#Headers],[Real Estate]],$I315&lt;&gt;SottocategorieEntrate[[#Headers],[Other]]),"","$ -")</f>
        <v/>
      </c>
      <c r="Q315" s="59" t="str">
        <f>IF(Dati[[#This Row],[Categoria]]="Prelievo","€ -","")</f>
        <v/>
      </c>
      <c r="R315" s="244"/>
      <c r="S315" s="59" t="str">
        <f>IF(Dati[[#This Row],[Categoria]]="Savings",0,"")</f>
        <v/>
      </c>
      <c r="T315" s="59"/>
      <c r="U315" s="59"/>
      <c r="V315" s="59"/>
      <c r="W315" s="59"/>
      <c r="X315" s="59"/>
      <c r="Y315" s="59"/>
      <c r="Z315" s="59"/>
      <c r="AA315" s="59"/>
      <c r="AB315" s="59"/>
      <c r="AC315" s="59"/>
      <c r="AD315" s="59"/>
      <c r="AE315" s="59"/>
      <c r="AF315" s="59"/>
      <c r="AG315" s="59"/>
      <c r="AH315" s="59"/>
      <c r="AI315" s="59" t="str">
        <f>IF(SUM(Dati[[#This Row],[Inv. Business]:[Inv. Cryptocurrency]])=0," ",SUM(Dati[[#This Row],[Inv. Business]:[Inv. Cryptocurrency]]))</f>
        <v xml:space="preserve"> </v>
      </c>
      <c r="AJ315" s="59"/>
      <c r="AK315" s="59" t="str">
        <f>IF(SUM(Dati[[#This Row],[Inv. Gold]:[Mutuo]])=0," ",SUM(Dati[[#This Row],[Inv. Gold]:[Mutuo]]))</f>
        <v xml:space="preserve"> </v>
      </c>
      <c r="AL315" s="59"/>
      <c r="AM315" s="59"/>
    </row>
    <row r="316" spans="2:39" ht="16" customHeight="1" x14ac:dyDescent="0.35">
      <c r="B316">
        <f t="shared" si="12"/>
        <v>296</v>
      </c>
      <c r="C316" s="49">
        <v>45215</v>
      </c>
      <c r="D316" s="29">
        <f>DAY(Dati[[#This Row],[Data]])</f>
        <v>16</v>
      </c>
      <c r="E316" s="29" t="str">
        <f>IF(DAY(Data!$C$21:$C$1327)&gt;0,TEXT(Data!$C$21:$C$1327, "mmmm"),"")</f>
        <v>ottobre</v>
      </c>
      <c r="F316" s="29" t="str">
        <f>IF(DAY(Data!$C$21:$C$1327)&gt;0,TEXT(Data!$C$21:$C$1327, "aaaa"),"")</f>
        <v>2023</v>
      </c>
      <c r="I316" t="str">
        <f>IF(OR(H316=$B$5,H316=$B$6,H316=$B$7,H316=$B$8,H316=$B$9,H316=$B$10,H316=$B$11,H316=$B$12,H316=$B$13,H316=$B$14),SottocategorieUscite[[#Headers],[Fuori Casa]],IF(OR(H316=$C$5,H316=$C$6,H316=$C$7,H316=$C$8,H316=$C$9,H316=$C$10,H316=$C$11,H316=$C$12,H316=$C$13,H316=$C$14),SottocategorieUscite[[#Headers],[Varie Uscite]],IF(OR(H316=$D$5,H316=$D$6,H316=$D$7,H316=$D$8,H316=$D$9,H316=$D$10,H316=$D$11,H316=$D$12,H316=$D$13,H316=$D$14),SottocategorieUscite[[#Headers],[Personali]],IF(OR(H316=$E$5,H316=$E$6,H316=$E$7,H316=$E$8,H316=$E$9,H316=$E$10,H316=$E$11,H316=$E$12,H316=$E$13,H316=$E$14),SottocategorieUscite[[#Headers],[Lavoro]],IF(OR(H316=$F$5,H316=$F$6,H316=$F$7,H316=$F$8,H316=$F$9,H316=$F$10,H316=$F$11,H316=$F$12,H316=$F$13,H316=$F$14),SottocategorieUscite[[#Headers],[Casa]],IF(OR(H316=$G$5,H316=$G$6,H316=$G$7,H316=$G$8,H316=$G$9,H316=$G$10,H316=$G$11,H316=$G$12,H316=$G$13,H316=$G$14),SottocategorieUscite[[#Headers],[Utenze]],IF(OR(H316=$H$5,H316=$H$6,H316=$H$7,H316=$H$8,H316=$H$9,H316=$H$10,H316=$H$11,H316=$H$12,H316=$H$13,H316=$H$14),SottocategorieUscite[[#Headers],[Business Uscite]],IF(OR(H316=$I$5,H316=$I$6,H316=$I$7,H316=$I$8,H316=$I$9,H316=$I$10,H316=$I$11,H316=$I$12,H316=$I$13,H316=$I$14),SottocategorieUscite[[#Headers],[Banca]],IF(OR(H316=K$5,H316=K$6,H316=K$7,H316=K$8,H316=K$9,H316=K$10,H316=K$11,H316=K$12,H316=K$13,H316=K$14),SottocategorieEntrate[[#Headers],[Business Entrate]],IF(OR(H316=L$5,H316=L$6,H316=L$7,H316=L$8,H316=L$9,H316=L$10,H316=L$11,H316=L$12,H316=L$13,H316=L$14),SottocategorieEntrate[[#Headers],[Varie Entrate]],IF(OR(H316=M$5,H316=M$6,H316=M$7,H316=M$8,H316=M$9,H316=M$10,H316=M$11,H316=M$12,H316=M$13,H316=M$14),SottocategorieEntrate[[#Headers],[Real Estate]],IF(OR(H316=N$5,H316=N$6,H316=N$7,H316=N$8,H316=N$9,H316=N$10,H316=N$11,H316=N$12,H316=N$13,H316=N$14),SottocategorieEntrate[[#Headers],[Other]],""))))))))))))</f>
        <v/>
      </c>
      <c r="J316" t="str">
        <f>IF(OR(Dati[[#This Row],[Categoria]]="Bollette",Dati[[#This Row],[Categoria]]="Conto &amp; Carte BNL",Dati[[#This Row],[Categoria]]="Prelievo",Dati[[#This Row],[Categoria]]="Affitto",Dati[[#This Row],[Categoria]]="BNL(Interessi Creditori)"),"Carta",IF(Dati[[#This Row],[Categoria]]&lt;&gt;0,"Cash",""))</f>
        <v/>
      </c>
      <c r="K316" s="59" t="str">
        <f>IF(OR(Data!$I316=SottocategorieUscite[[#Headers],[Fuori Casa]],Data!$I316=SottocategorieUscite[[#Headers],[Varie Uscite]],Data!$I316=SottocategorieUscite[[#Headers],[Personali]],Data!$I316=SottocategorieUscite[[#Headers],[Lavoro]]),"$ -","")</f>
        <v/>
      </c>
      <c r="L316" s="59" t="str">
        <f>IF(OR(Data!$I316=SottocategorieUscite[[#Headers],[Casa]],Data!$I316=SottocategorieUscite[[#Headers],[Utenze]],Data!$I316=SottocategorieUscite[[#Headers],[Business Uscite]],Data!$I316=SottocategorieUscite[[#Headers],[Banca]]),"$ -","")</f>
        <v/>
      </c>
      <c r="M316" s="59" t="str">
        <f>IF(OR($I316&lt;&gt;SottocategorieUscite[[#Headers],[Fuori Casa]],$I316&lt;&gt;SottocategorieUscite[[#Headers],[Varie Uscite]],$I316&lt;&gt;SottocategorieUscite[[#Headers],[Personali]],$I316&lt;&gt;SottocategorieUscite[[#Headers],[Lavoro]],$I316&lt;&gt;SottocategorieUscite[[#Headers],[Casa]],$I316&lt;&gt;SottocategorieUscite[[#Headers],[Utenze]],$I316&lt;&gt;SottocategorieUscite[[#Headers],[Business Uscite]],$I316&lt;&gt;SottocategorieUscite[[#Headers],[Banca]]),"","$ -")</f>
        <v/>
      </c>
      <c r="N316" s="59" t="str">
        <f>IF(OR(Data!$I316=SottocategorieEntrate[[#Headers],[Business Entrate]],Data!$I316=SottocategorieEntrate[[#Headers],[Varie Entrate]]),"$ -","")</f>
        <v/>
      </c>
      <c r="O316" s="59" t="str">
        <f>IF(OR(Data!$I316=SottocategorieEntrate[[#Headers],[Real Estate]],SottocategorieEntrate[[#Headers],[Other]]),"$ -","")</f>
        <v/>
      </c>
      <c r="P316" s="59" t="str">
        <f>IF(OR($I316&lt;&gt;SottocategorieEntrate[[#Headers],[Business Entrate]],$I316&lt;&gt;SottocategorieEntrate[[#Headers],[Varie Entrate]],$I316&lt;&gt;SottocategorieEntrate[[#Headers],[Real Estate]],$I316&lt;&gt;SottocategorieEntrate[[#Headers],[Other]]),"","$ -")</f>
        <v/>
      </c>
      <c r="Q316" s="59" t="str">
        <f>IF(Dati[[#This Row],[Categoria]]="Prelievo","€ -","")</f>
        <v/>
      </c>
      <c r="R316" s="244"/>
      <c r="S316" s="59" t="str">
        <f>IF(Dati[[#This Row],[Categoria]]="Savings",0,"")</f>
        <v/>
      </c>
      <c r="T316" s="59"/>
      <c r="U316" s="59"/>
      <c r="V316" s="59"/>
      <c r="W316" s="59"/>
      <c r="X316" s="59"/>
      <c r="Y316" s="59"/>
      <c r="Z316" s="59"/>
      <c r="AA316" s="59"/>
      <c r="AB316" s="59"/>
      <c r="AC316" s="59"/>
      <c r="AD316" s="59"/>
      <c r="AE316" s="59"/>
      <c r="AF316" s="59"/>
      <c r="AG316" s="59"/>
      <c r="AH316" s="59"/>
      <c r="AI316" s="59" t="str">
        <f>IF(SUM(Dati[[#This Row],[Inv. Business]:[Inv. Cryptocurrency]])=0," ",SUM(Dati[[#This Row],[Inv. Business]:[Inv. Cryptocurrency]]))</f>
        <v xml:space="preserve"> </v>
      </c>
      <c r="AJ316" s="59"/>
      <c r="AK316" s="59" t="str">
        <f>IF(SUM(Dati[[#This Row],[Inv. Gold]:[Mutuo]])=0," ",SUM(Dati[[#This Row],[Inv. Gold]:[Mutuo]]))</f>
        <v xml:space="preserve"> </v>
      </c>
      <c r="AL316" s="59"/>
      <c r="AM316" s="59"/>
    </row>
    <row r="317" spans="2:39" ht="16" customHeight="1" x14ac:dyDescent="0.35">
      <c r="B317">
        <f t="shared" si="12"/>
        <v>297</v>
      </c>
      <c r="C317" s="49">
        <v>45215</v>
      </c>
      <c r="D317" s="29">
        <f>DAY(Dati[[#This Row],[Data]])</f>
        <v>16</v>
      </c>
      <c r="E317" s="29" t="str">
        <f>IF(DAY(Data!$C$21:$C$1327)&gt;0,TEXT(Data!$C$21:$C$1327, "mmmm"),"")</f>
        <v>ottobre</v>
      </c>
      <c r="F317" s="29" t="str">
        <f>IF(DAY(Data!$C$21:$C$1327)&gt;0,TEXT(Data!$C$21:$C$1327, "aaaa"),"")</f>
        <v>2023</v>
      </c>
      <c r="I317" t="str">
        <f>IF(OR(H317=$B$5,H317=$B$6,H317=$B$7,H317=$B$8,H317=$B$9,H317=$B$10,H317=$B$11,H317=$B$12,H317=$B$13,H317=$B$14),SottocategorieUscite[[#Headers],[Fuori Casa]],IF(OR(H317=$C$5,H317=$C$6,H317=$C$7,H317=$C$8,H317=$C$9,H317=$C$10,H317=$C$11,H317=$C$12,H317=$C$13,H317=$C$14),SottocategorieUscite[[#Headers],[Varie Uscite]],IF(OR(H317=$D$5,H317=$D$6,H317=$D$7,H317=$D$8,H317=$D$9,H317=$D$10,H317=$D$11,H317=$D$12,H317=$D$13,H317=$D$14),SottocategorieUscite[[#Headers],[Personali]],IF(OR(H317=$E$5,H317=$E$6,H317=$E$7,H317=$E$8,H317=$E$9,H317=$E$10,H317=$E$11,H317=$E$12,H317=$E$13,H317=$E$14),SottocategorieUscite[[#Headers],[Lavoro]],IF(OR(H317=$F$5,H317=$F$6,H317=$F$7,H317=$F$8,H317=$F$9,H317=$F$10,H317=$F$11,H317=$F$12,H317=$F$13,H317=$F$14),SottocategorieUscite[[#Headers],[Casa]],IF(OR(H317=$G$5,H317=$G$6,H317=$G$7,H317=$G$8,H317=$G$9,H317=$G$10,H317=$G$11,H317=$G$12,H317=$G$13,H317=$G$14),SottocategorieUscite[[#Headers],[Utenze]],IF(OR(H317=$H$5,H317=$H$6,H317=$H$7,H317=$H$8,H317=$H$9,H317=$H$10,H317=$H$11,H317=$H$12,H317=$H$13,H317=$H$14),SottocategorieUscite[[#Headers],[Business Uscite]],IF(OR(H317=$I$5,H317=$I$6,H317=$I$7,H317=$I$8,H317=$I$9,H317=$I$10,H317=$I$11,H317=$I$12,H317=$I$13,H317=$I$14),SottocategorieUscite[[#Headers],[Banca]],IF(OR(H317=K$5,H317=K$6,H317=K$7,H317=K$8,H317=K$9,H317=K$10,H317=K$11,H317=K$12,H317=K$13,H317=K$14),SottocategorieEntrate[[#Headers],[Business Entrate]],IF(OR(H317=L$5,H317=L$6,H317=L$7,H317=L$8,H317=L$9,H317=L$10,H317=L$11,H317=L$12,H317=L$13,H317=L$14),SottocategorieEntrate[[#Headers],[Varie Entrate]],IF(OR(H317=M$5,H317=M$6,H317=M$7,H317=M$8,H317=M$9,H317=M$10,H317=M$11,H317=M$12,H317=M$13,H317=M$14),SottocategorieEntrate[[#Headers],[Real Estate]],IF(OR(H317=N$5,H317=N$6,H317=N$7,H317=N$8,H317=N$9,H317=N$10,H317=N$11,H317=N$12,H317=N$13,H317=N$14),SottocategorieEntrate[[#Headers],[Other]],""))))))))))))</f>
        <v/>
      </c>
      <c r="J317" t="str">
        <f>IF(OR(Dati[[#This Row],[Categoria]]="Bollette",Dati[[#This Row],[Categoria]]="Conto &amp; Carte BNL",Dati[[#This Row],[Categoria]]="Prelievo",Dati[[#This Row],[Categoria]]="Affitto",Dati[[#This Row],[Categoria]]="BNL(Interessi Creditori)"),"Carta",IF(Dati[[#This Row],[Categoria]]&lt;&gt;0,"Cash",""))</f>
        <v/>
      </c>
      <c r="K317" s="59" t="str">
        <f>IF(OR(Data!$I317=SottocategorieUscite[[#Headers],[Fuori Casa]],Data!$I317=SottocategorieUscite[[#Headers],[Varie Uscite]],Data!$I317=SottocategorieUscite[[#Headers],[Personali]],Data!$I317=SottocategorieUscite[[#Headers],[Lavoro]]),"$ -","")</f>
        <v/>
      </c>
      <c r="L317" s="59" t="str">
        <f>IF(OR(Data!$I317=SottocategorieUscite[[#Headers],[Casa]],Data!$I317=SottocategorieUscite[[#Headers],[Utenze]],Data!$I317=SottocategorieUscite[[#Headers],[Business Uscite]],Data!$I317=SottocategorieUscite[[#Headers],[Banca]]),"$ -","")</f>
        <v/>
      </c>
      <c r="M317" s="59" t="str">
        <f>IF(OR($I317&lt;&gt;SottocategorieUscite[[#Headers],[Fuori Casa]],$I317&lt;&gt;SottocategorieUscite[[#Headers],[Varie Uscite]],$I317&lt;&gt;SottocategorieUscite[[#Headers],[Personali]],$I317&lt;&gt;SottocategorieUscite[[#Headers],[Lavoro]],$I317&lt;&gt;SottocategorieUscite[[#Headers],[Casa]],$I317&lt;&gt;SottocategorieUscite[[#Headers],[Utenze]],$I317&lt;&gt;SottocategorieUscite[[#Headers],[Business Uscite]],$I317&lt;&gt;SottocategorieUscite[[#Headers],[Banca]]),"","$ -")</f>
        <v/>
      </c>
      <c r="N317" s="59" t="str">
        <f>IF(OR(Data!$I317=SottocategorieEntrate[[#Headers],[Business Entrate]],Data!$I317=SottocategorieEntrate[[#Headers],[Varie Entrate]]),"$ -","")</f>
        <v/>
      </c>
      <c r="O317" s="59" t="str">
        <f>IF(OR(Data!$I317=SottocategorieEntrate[[#Headers],[Real Estate]],SottocategorieEntrate[[#Headers],[Other]]),"$ -","")</f>
        <v/>
      </c>
      <c r="P317" s="59" t="str">
        <f>IF(OR($I317&lt;&gt;SottocategorieEntrate[[#Headers],[Business Entrate]],$I317&lt;&gt;SottocategorieEntrate[[#Headers],[Varie Entrate]],$I317&lt;&gt;SottocategorieEntrate[[#Headers],[Real Estate]],$I317&lt;&gt;SottocategorieEntrate[[#Headers],[Other]]),"","$ -")</f>
        <v/>
      </c>
      <c r="Q317" s="59" t="str">
        <f>IF(Dati[[#This Row],[Categoria]]="Prelievo","€ -","")</f>
        <v/>
      </c>
      <c r="R317" s="244"/>
      <c r="S317" s="59" t="str">
        <f>IF(Dati[[#This Row],[Categoria]]="Savings",0,"")</f>
        <v/>
      </c>
      <c r="T317" s="59"/>
      <c r="U317" s="59"/>
      <c r="V317" s="59"/>
      <c r="W317" s="59"/>
      <c r="X317" s="59"/>
      <c r="Y317" s="59"/>
      <c r="Z317" s="59"/>
      <c r="AA317" s="59"/>
      <c r="AB317" s="59"/>
      <c r="AC317" s="59"/>
      <c r="AD317" s="59"/>
      <c r="AE317" s="59"/>
      <c r="AF317" s="59"/>
      <c r="AG317" s="59"/>
      <c r="AH317" s="59"/>
      <c r="AI317" s="59" t="str">
        <f>IF(SUM(Dati[[#This Row],[Inv. Business]:[Inv. Cryptocurrency]])=0," ",SUM(Dati[[#This Row],[Inv. Business]:[Inv. Cryptocurrency]]))</f>
        <v xml:space="preserve"> </v>
      </c>
      <c r="AJ317" s="59"/>
      <c r="AK317" s="59" t="str">
        <f>IF(SUM(Dati[[#This Row],[Inv. Gold]:[Mutuo]])=0," ",SUM(Dati[[#This Row],[Inv. Gold]:[Mutuo]]))</f>
        <v xml:space="preserve"> </v>
      </c>
      <c r="AL317" s="59"/>
      <c r="AM317" s="59"/>
    </row>
    <row r="318" spans="2:39" ht="16" customHeight="1" x14ac:dyDescent="0.35">
      <c r="B318">
        <f t="shared" si="12"/>
        <v>298</v>
      </c>
      <c r="C318" s="49">
        <v>45215</v>
      </c>
      <c r="D318" s="29">
        <f>DAY(Dati[[#This Row],[Data]])</f>
        <v>16</v>
      </c>
      <c r="E318" s="29" t="str">
        <f>IF(DAY(Data!$C$21:$C$1327)&gt;0,TEXT(Data!$C$21:$C$1327, "mmmm"),"")</f>
        <v>ottobre</v>
      </c>
      <c r="F318" s="29" t="str">
        <f>IF(DAY(Data!$C$21:$C$1327)&gt;0,TEXT(Data!$C$21:$C$1327, "aaaa"),"")</f>
        <v>2023</v>
      </c>
      <c r="I318" t="str">
        <f>IF(OR(H318=$B$5,H318=$B$6,H318=$B$7,H318=$B$8,H318=$B$9,H318=$B$10,H318=$B$11,H318=$B$12,H318=$B$13,H318=$B$14),SottocategorieUscite[[#Headers],[Fuori Casa]],IF(OR(H318=$C$5,H318=$C$6,H318=$C$7,H318=$C$8,H318=$C$9,H318=$C$10,H318=$C$11,H318=$C$12,H318=$C$13,H318=$C$14),SottocategorieUscite[[#Headers],[Varie Uscite]],IF(OR(H318=$D$5,H318=$D$6,H318=$D$7,H318=$D$8,H318=$D$9,H318=$D$10,H318=$D$11,H318=$D$12,H318=$D$13,H318=$D$14),SottocategorieUscite[[#Headers],[Personali]],IF(OR(H318=$E$5,H318=$E$6,H318=$E$7,H318=$E$8,H318=$E$9,H318=$E$10,H318=$E$11,H318=$E$12,H318=$E$13,H318=$E$14),SottocategorieUscite[[#Headers],[Lavoro]],IF(OR(H318=$F$5,H318=$F$6,H318=$F$7,H318=$F$8,H318=$F$9,H318=$F$10,H318=$F$11,H318=$F$12,H318=$F$13,H318=$F$14),SottocategorieUscite[[#Headers],[Casa]],IF(OR(H318=$G$5,H318=$G$6,H318=$G$7,H318=$G$8,H318=$G$9,H318=$G$10,H318=$G$11,H318=$G$12,H318=$G$13,H318=$G$14),SottocategorieUscite[[#Headers],[Utenze]],IF(OR(H318=$H$5,H318=$H$6,H318=$H$7,H318=$H$8,H318=$H$9,H318=$H$10,H318=$H$11,H318=$H$12,H318=$H$13,H318=$H$14),SottocategorieUscite[[#Headers],[Business Uscite]],IF(OR(H318=$I$5,H318=$I$6,H318=$I$7,H318=$I$8,H318=$I$9,H318=$I$10,H318=$I$11,H318=$I$12,H318=$I$13,H318=$I$14),SottocategorieUscite[[#Headers],[Banca]],IF(OR(H318=K$5,H318=K$6,H318=K$7,H318=K$8,H318=K$9,H318=K$10,H318=K$11,H318=K$12,H318=K$13,H318=K$14),SottocategorieEntrate[[#Headers],[Business Entrate]],IF(OR(H318=L$5,H318=L$6,H318=L$7,H318=L$8,H318=L$9,H318=L$10,H318=L$11,H318=L$12,H318=L$13,H318=L$14),SottocategorieEntrate[[#Headers],[Varie Entrate]],IF(OR(H318=M$5,H318=M$6,H318=M$7,H318=M$8,H318=M$9,H318=M$10,H318=M$11,H318=M$12,H318=M$13,H318=M$14),SottocategorieEntrate[[#Headers],[Real Estate]],IF(OR(H318=N$5,H318=N$6,H318=N$7,H318=N$8,H318=N$9,H318=N$10,H318=N$11,H318=N$12,H318=N$13,H318=N$14),SottocategorieEntrate[[#Headers],[Other]],""))))))))))))</f>
        <v/>
      </c>
      <c r="J318" t="str">
        <f>IF(OR(Dati[[#This Row],[Categoria]]="Bollette",Dati[[#This Row],[Categoria]]="Conto &amp; Carte BNL",Dati[[#This Row],[Categoria]]="Prelievo",Dati[[#This Row],[Categoria]]="Affitto",Dati[[#This Row],[Categoria]]="BNL(Interessi Creditori)"),"Carta",IF(Dati[[#This Row],[Categoria]]&lt;&gt;0,"Cash",""))</f>
        <v/>
      </c>
      <c r="K318" s="59" t="str">
        <f>IF(OR(Data!$I318=SottocategorieUscite[[#Headers],[Fuori Casa]],Data!$I318=SottocategorieUscite[[#Headers],[Varie Uscite]],Data!$I318=SottocategorieUscite[[#Headers],[Personali]],Data!$I318=SottocategorieUscite[[#Headers],[Lavoro]]),"$ -","")</f>
        <v/>
      </c>
      <c r="L318" s="59" t="str">
        <f>IF(OR(Data!$I318=SottocategorieUscite[[#Headers],[Casa]],Data!$I318=SottocategorieUscite[[#Headers],[Utenze]],Data!$I318=SottocategorieUscite[[#Headers],[Business Uscite]],Data!$I318=SottocategorieUscite[[#Headers],[Banca]]),"$ -","")</f>
        <v/>
      </c>
      <c r="M318" s="59" t="str">
        <f>IF(OR($I318&lt;&gt;SottocategorieUscite[[#Headers],[Fuori Casa]],$I318&lt;&gt;SottocategorieUscite[[#Headers],[Varie Uscite]],$I318&lt;&gt;SottocategorieUscite[[#Headers],[Personali]],$I318&lt;&gt;SottocategorieUscite[[#Headers],[Lavoro]],$I318&lt;&gt;SottocategorieUscite[[#Headers],[Casa]],$I318&lt;&gt;SottocategorieUscite[[#Headers],[Utenze]],$I318&lt;&gt;SottocategorieUscite[[#Headers],[Business Uscite]],$I318&lt;&gt;SottocategorieUscite[[#Headers],[Banca]]),"","$ -")</f>
        <v/>
      </c>
      <c r="N318" s="59" t="str">
        <f>IF(OR(Data!$I318=SottocategorieEntrate[[#Headers],[Business Entrate]],Data!$I318=SottocategorieEntrate[[#Headers],[Varie Entrate]]),"$ -","")</f>
        <v/>
      </c>
      <c r="O318" s="59" t="str">
        <f>IF(OR(Data!$I318=SottocategorieEntrate[[#Headers],[Real Estate]],SottocategorieEntrate[[#Headers],[Other]]),"$ -","")</f>
        <v/>
      </c>
      <c r="P318" s="59" t="str">
        <f>IF(OR($I318&lt;&gt;SottocategorieEntrate[[#Headers],[Business Entrate]],$I318&lt;&gt;SottocategorieEntrate[[#Headers],[Varie Entrate]],$I318&lt;&gt;SottocategorieEntrate[[#Headers],[Real Estate]],$I318&lt;&gt;SottocategorieEntrate[[#Headers],[Other]]),"","$ -")</f>
        <v/>
      </c>
      <c r="Q318" s="59" t="str">
        <f>IF(Dati[[#This Row],[Categoria]]="Prelievo","€ -","")</f>
        <v/>
      </c>
      <c r="R318" s="244"/>
      <c r="S318" s="59" t="str">
        <f>IF(Dati[[#This Row],[Categoria]]="Savings",0,"")</f>
        <v/>
      </c>
      <c r="T318" s="59"/>
      <c r="U318" s="59"/>
      <c r="V318" s="59"/>
      <c r="W318" s="59"/>
      <c r="X318" s="59"/>
      <c r="Y318" s="59"/>
      <c r="Z318" s="59"/>
      <c r="AA318" s="59"/>
      <c r="AB318" s="59"/>
      <c r="AC318" s="59"/>
      <c r="AD318" s="59"/>
      <c r="AE318" s="59"/>
      <c r="AF318" s="59"/>
      <c r="AG318" s="59"/>
      <c r="AH318" s="59"/>
      <c r="AI318" s="59" t="str">
        <f>IF(SUM(Dati[[#This Row],[Inv. Business]:[Inv. Cryptocurrency]])=0," ",SUM(Dati[[#This Row],[Inv. Business]:[Inv. Cryptocurrency]]))</f>
        <v xml:space="preserve"> </v>
      </c>
      <c r="AJ318" s="59"/>
      <c r="AK318" s="59" t="str">
        <f>IF(SUM(Dati[[#This Row],[Inv. Gold]:[Mutuo]])=0," ",SUM(Dati[[#This Row],[Inv. Gold]:[Mutuo]]))</f>
        <v xml:space="preserve"> </v>
      </c>
      <c r="AL318" s="59"/>
      <c r="AM318" s="59"/>
    </row>
    <row r="319" spans="2:39" ht="16" customHeight="1" x14ac:dyDescent="0.35">
      <c r="B319">
        <f t="shared" si="12"/>
        <v>299</v>
      </c>
      <c r="C319" s="49">
        <v>45215</v>
      </c>
      <c r="D319" s="29">
        <f>DAY(Dati[[#This Row],[Data]])</f>
        <v>16</v>
      </c>
      <c r="E319" s="29" t="str">
        <f>IF(DAY(Data!$C$21:$C$1327)&gt;0,TEXT(Data!$C$21:$C$1327, "mmmm"),"")</f>
        <v>ottobre</v>
      </c>
      <c r="F319" s="29" t="str">
        <f>IF(DAY(Data!$C$21:$C$1327)&gt;0,TEXT(Data!$C$21:$C$1327, "aaaa"),"")</f>
        <v>2023</v>
      </c>
      <c r="I319" t="str">
        <f>IF(OR(H319=$B$5,H319=$B$6,H319=$B$7,H319=$B$8,H319=$B$9,H319=$B$10,H319=$B$11,H319=$B$12,H319=$B$13,H319=$B$14),SottocategorieUscite[[#Headers],[Fuori Casa]],IF(OR(H319=$C$5,H319=$C$6,H319=$C$7,H319=$C$8,H319=$C$9,H319=$C$10,H319=$C$11,H319=$C$12,H319=$C$13,H319=$C$14),SottocategorieUscite[[#Headers],[Varie Uscite]],IF(OR(H319=$D$5,H319=$D$6,H319=$D$7,H319=$D$8,H319=$D$9,H319=$D$10,H319=$D$11,H319=$D$12,H319=$D$13,H319=$D$14),SottocategorieUscite[[#Headers],[Personali]],IF(OR(H319=$E$5,H319=$E$6,H319=$E$7,H319=$E$8,H319=$E$9,H319=$E$10,H319=$E$11,H319=$E$12,H319=$E$13,H319=$E$14),SottocategorieUscite[[#Headers],[Lavoro]],IF(OR(H319=$F$5,H319=$F$6,H319=$F$7,H319=$F$8,H319=$F$9,H319=$F$10,H319=$F$11,H319=$F$12,H319=$F$13,H319=$F$14),SottocategorieUscite[[#Headers],[Casa]],IF(OR(H319=$G$5,H319=$G$6,H319=$G$7,H319=$G$8,H319=$G$9,H319=$G$10,H319=$G$11,H319=$G$12,H319=$G$13,H319=$G$14),SottocategorieUscite[[#Headers],[Utenze]],IF(OR(H319=$H$5,H319=$H$6,H319=$H$7,H319=$H$8,H319=$H$9,H319=$H$10,H319=$H$11,H319=$H$12,H319=$H$13,H319=$H$14),SottocategorieUscite[[#Headers],[Business Uscite]],IF(OR(H319=$I$5,H319=$I$6,H319=$I$7,H319=$I$8,H319=$I$9,H319=$I$10,H319=$I$11,H319=$I$12,H319=$I$13,H319=$I$14),SottocategorieUscite[[#Headers],[Banca]],IF(OR(H319=K$5,H319=K$6,H319=K$7,H319=K$8,H319=K$9,H319=K$10,H319=K$11,H319=K$12,H319=K$13,H319=K$14),SottocategorieEntrate[[#Headers],[Business Entrate]],IF(OR(H319=L$5,H319=L$6,H319=L$7,H319=L$8,H319=L$9,H319=L$10,H319=L$11,H319=L$12,H319=L$13,H319=L$14),SottocategorieEntrate[[#Headers],[Varie Entrate]],IF(OR(H319=M$5,H319=M$6,H319=M$7,H319=M$8,H319=M$9,H319=M$10,H319=M$11,H319=M$12,H319=M$13,H319=M$14),SottocategorieEntrate[[#Headers],[Real Estate]],IF(OR(H319=N$5,H319=N$6,H319=N$7,H319=N$8,H319=N$9,H319=N$10,H319=N$11,H319=N$12,H319=N$13,H319=N$14),SottocategorieEntrate[[#Headers],[Other]],""))))))))))))</f>
        <v/>
      </c>
      <c r="J319" t="str">
        <f>IF(OR(Dati[[#This Row],[Categoria]]="Bollette",Dati[[#This Row],[Categoria]]="Conto &amp; Carte BNL",Dati[[#This Row],[Categoria]]="Prelievo",Dati[[#This Row],[Categoria]]="Affitto",Dati[[#This Row],[Categoria]]="BNL(Interessi Creditori)"),"Carta",IF(Dati[[#This Row],[Categoria]]&lt;&gt;0,"Cash",""))</f>
        <v/>
      </c>
      <c r="K319" s="59" t="str">
        <f>IF(OR(Data!$I319=SottocategorieUscite[[#Headers],[Fuori Casa]],Data!$I319=SottocategorieUscite[[#Headers],[Varie Uscite]],Data!$I319=SottocategorieUscite[[#Headers],[Personali]],Data!$I319=SottocategorieUscite[[#Headers],[Lavoro]]),"$ -","")</f>
        <v/>
      </c>
      <c r="L319" s="59" t="str">
        <f>IF(OR(Data!$I319=SottocategorieUscite[[#Headers],[Casa]],Data!$I319=SottocategorieUscite[[#Headers],[Utenze]],Data!$I319=SottocategorieUscite[[#Headers],[Business Uscite]],Data!$I319=SottocategorieUscite[[#Headers],[Banca]]),"$ -","")</f>
        <v/>
      </c>
      <c r="M319" s="59" t="str">
        <f>IF(OR($I319&lt;&gt;SottocategorieUscite[[#Headers],[Fuori Casa]],$I319&lt;&gt;SottocategorieUscite[[#Headers],[Varie Uscite]],$I319&lt;&gt;SottocategorieUscite[[#Headers],[Personali]],$I319&lt;&gt;SottocategorieUscite[[#Headers],[Lavoro]],$I319&lt;&gt;SottocategorieUscite[[#Headers],[Casa]],$I319&lt;&gt;SottocategorieUscite[[#Headers],[Utenze]],$I319&lt;&gt;SottocategorieUscite[[#Headers],[Business Uscite]],$I319&lt;&gt;SottocategorieUscite[[#Headers],[Banca]]),"","$ -")</f>
        <v/>
      </c>
      <c r="N319" s="59" t="str">
        <f>IF(OR(Data!$I319=SottocategorieEntrate[[#Headers],[Business Entrate]],Data!$I319=SottocategorieEntrate[[#Headers],[Varie Entrate]]),"$ -","")</f>
        <v/>
      </c>
      <c r="O319" s="59" t="str">
        <f>IF(OR(Data!$I319=SottocategorieEntrate[[#Headers],[Real Estate]],SottocategorieEntrate[[#Headers],[Other]]),"$ -","")</f>
        <v/>
      </c>
      <c r="P319" s="59" t="str">
        <f>IF(OR($I319&lt;&gt;SottocategorieEntrate[[#Headers],[Business Entrate]],$I319&lt;&gt;SottocategorieEntrate[[#Headers],[Varie Entrate]],$I319&lt;&gt;SottocategorieEntrate[[#Headers],[Real Estate]],$I319&lt;&gt;SottocategorieEntrate[[#Headers],[Other]]),"","$ -")</f>
        <v/>
      </c>
      <c r="Q319" s="59" t="str">
        <f>IF(Dati[[#This Row],[Categoria]]="Prelievo","€ -","")</f>
        <v/>
      </c>
      <c r="R319" s="244"/>
      <c r="S319" s="59" t="str">
        <f>IF(Dati[[#This Row],[Categoria]]="Savings",0,"")</f>
        <v/>
      </c>
      <c r="T319" s="59"/>
      <c r="U319" s="59"/>
      <c r="V319" s="59"/>
      <c r="W319" s="59"/>
      <c r="X319" s="59"/>
      <c r="Y319" s="59"/>
      <c r="Z319" s="59"/>
      <c r="AA319" s="59"/>
      <c r="AB319" s="59"/>
      <c r="AC319" s="59"/>
      <c r="AD319" s="59"/>
      <c r="AE319" s="59"/>
      <c r="AF319" s="59"/>
      <c r="AG319" s="59"/>
      <c r="AH319" s="59"/>
      <c r="AI319" s="59" t="str">
        <f>IF(SUM(Dati[[#This Row],[Inv. Business]:[Inv. Cryptocurrency]])=0," ",SUM(Dati[[#This Row],[Inv. Business]:[Inv. Cryptocurrency]]))</f>
        <v xml:space="preserve"> </v>
      </c>
      <c r="AJ319" s="59"/>
      <c r="AK319" s="59" t="str">
        <f>IF(SUM(Dati[[#This Row],[Inv. Gold]:[Mutuo]])=0," ",SUM(Dati[[#This Row],[Inv. Gold]:[Mutuo]]))</f>
        <v xml:space="preserve"> </v>
      </c>
      <c r="AL319" s="59"/>
      <c r="AM319" s="59"/>
    </row>
    <row r="320" spans="2:39" ht="16" customHeight="1" x14ac:dyDescent="0.35">
      <c r="B320">
        <f t="shared" si="12"/>
        <v>300</v>
      </c>
      <c r="C320" s="49">
        <f>C315+1</f>
        <v>45216</v>
      </c>
      <c r="D320" s="29">
        <f>DAY(Dati[[#This Row],[Data]])</f>
        <v>17</v>
      </c>
      <c r="E320" s="29" t="str">
        <f>IF(DAY(Data!$C$21:$C$1327)&gt;0,TEXT(Data!$C$21:$C$1327, "mmmm"),"")</f>
        <v>ottobre</v>
      </c>
      <c r="F320" s="29" t="str">
        <f>IF(DAY(Data!$C$21:$C$1327)&gt;0,TEXT(Data!$C$21:$C$1327, "aaaa"),"")</f>
        <v>2023</v>
      </c>
      <c r="I320" t="str">
        <f>IF(OR(H320=$B$5,H320=$B$6,H320=$B$7,H320=$B$8,H320=$B$9,H320=$B$10,H320=$B$11,H320=$B$12,H320=$B$13,H320=$B$14),SottocategorieUscite[[#Headers],[Fuori Casa]],IF(OR(H320=$C$5,H320=$C$6,H320=$C$7,H320=$C$8,H320=$C$9,H320=$C$10,H320=$C$11,H320=$C$12,H320=$C$13,H320=$C$14),SottocategorieUscite[[#Headers],[Varie Uscite]],IF(OR(H320=$D$5,H320=$D$6,H320=$D$7,H320=$D$8,H320=$D$9,H320=$D$10,H320=$D$11,H320=$D$12,H320=$D$13,H320=$D$14),SottocategorieUscite[[#Headers],[Personali]],IF(OR(H320=$E$5,H320=$E$6,H320=$E$7,H320=$E$8,H320=$E$9,H320=$E$10,H320=$E$11,H320=$E$12,H320=$E$13,H320=$E$14),SottocategorieUscite[[#Headers],[Lavoro]],IF(OR(H320=$F$5,H320=$F$6,H320=$F$7,H320=$F$8,H320=$F$9,H320=$F$10,H320=$F$11,H320=$F$12,H320=$F$13,H320=$F$14),SottocategorieUscite[[#Headers],[Casa]],IF(OR(H320=$G$5,H320=$G$6,H320=$G$7,H320=$G$8,H320=$G$9,H320=$G$10,H320=$G$11,H320=$G$12,H320=$G$13,H320=$G$14),SottocategorieUscite[[#Headers],[Utenze]],IF(OR(H320=$H$5,H320=$H$6,H320=$H$7,H320=$H$8,H320=$H$9,H320=$H$10,H320=$H$11,H320=$H$12,H320=$H$13,H320=$H$14),SottocategorieUscite[[#Headers],[Business Uscite]],IF(OR(H320=$I$5,H320=$I$6,H320=$I$7,H320=$I$8,H320=$I$9,H320=$I$10,H320=$I$11,H320=$I$12,H320=$I$13,H320=$I$14),SottocategorieUscite[[#Headers],[Banca]],IF(OR(H320=K$5,H320=K$6,H320=K$7,H320=K$8,H320=K$9,H320=K$10,H320=K$11,H320=K$12,H320=K$13,H320=K$14),SottocategorieEntrate[[#Headers],[Business Entrate]],IF(OR(H320=L$5,H320=L$6,H320=L$7,H320=L$8,H320=L$9,H320=L$10,H320=L$11,H320=L$12,H320=L$13,H320=L$14),SottocategorieEntrate[[#Headers],[Varie Entrate]],IF(OR(H320=M$5,H320=M$6,H320=M$7,H320=M$8,H320=M$9,H320=M$10,H320=M$11,H320=M$12,H320=M$13,H320=M$14),SottocategorieEntrate[[#Headers],[Real Estate]],IF(OR(H320=N$5,H320=N$6,H320=N$7,H320=N$8,H320=N$9,H320=N$10,H320=N$11,H320=N$12,H320=N$13,H320=N$14),SottocategorieEntrate[[#Headers],[Other]],""))))))))))))</f>
        <v/>
      </c>
      <c r="J320" t="str">
        <f>IF(OR(Dati[[#This Row],[Categoria]]="Bollette",Dati[[#This Row],[Categoria]]="Conto &amp; Carte BNL",Dati[[#This Row],[Categoria]]="Prelievo",Dati[[#This Row],[Categoria]]="Affitto",Dati[[#This Row],[Categoria]]="BNL(Interessi Creditori)"),"Carta",IF(Dati[[#This Row],[Categoria]]&lt;&gt;0,"Cash",""))</f>
        <v/>
      </c>
      <c r="K320" s="59" t="str">
        <f>IF(OR(Data!$I320=SottocategorieUscite[[#Headers],[Fuori Casa]],Data!$I320=SottocategorieUscite[[#Headers],[Varie Uscite]],Data!$I320=SottocategorieUscite[[#Headers],[Personali]],Data!$I320=SottocategorieUscite[[#Headers],[Lavoro]]),"$ -","")</f>
        <v/>
      </c>
      <c r="L320" s="59" t="str">
        <f>IF(OR(Data!$I320=SottocategorieUscite[[#Headers],[Casa]],Data!$I320=SottocategorieUscite[[#Headers],[Utenze]],Data!$I320=SottocategorieUscite[[#Headers],[Business Uscite]],Data!$I320=SottocategorieUscite[[#Headers],[Banca]]),"$ -","")</f>
        <v/>
      </c>
      <c r="M320" s="59" t="str">
        <f>IF(OR($I320&lt;&gt;SottocategorieUscite[[#Headers],[Fuori Casa]],$I320&lt;&gt;SottocategorieUscite[[#Headers],[Varie Uscite]],$I320&lt;&gt;SottocategorieUscite[[#Headers],[Personali]],$I320&lt;&gt;SottocategorieUscite[[#Headers],[Lavoro]],$I320&lt;&gt;SottocategorieUscite[[#Headers],[Casa]],$I320&lt;&gt;SottocategorieUscite[[#Headers],[Utenze]],$I320&lt;&gt;SottocategorieUscite[[#Headers],[Business Uscite]],$I320&lt;&gt;SottocategorieUscite[[#Headers],[Banca]]),"","$ -")</f>
        <v/>
      </c>
      <c r="N320" s="59" t="str">
        <f>IF(OR(Data!$I320=SottocategorieEntrate[[#Headers],[Business Entrate]],Data!$I320=SottocategorieEntrate[[#Headers],[Varie Entrate]]),"$ -","")</f>
        <v/>
      </c>
      <c r="O320" s="59" t="str">
        <f>IF(OR(Data!$I320=SottocategorieEntrate[[#Headers],[Real Estate]],SottocategorieEntrate[[#Headers],[Other]]),"$ -","")</f>
        <v/>
      </c>
      <c r="P320" s="59" t="str">
        <f>IF(OR($I320&lt;&gt;SottocategorieEntrate[[#Headers],[Business Entrate]],$I320&lt;&gt;SottocategorieEntrate[[#Headers],[Varie Entrate]],$I320&lt;&gt;SottocategorieEntrate[[#Headers],[Real Estate]],$I320&lt;&gt;SottocategorieEntrate[[#Headers],[Other]]),"","$ -")</f>
        <v/>
      </c>
      <c r="Q320" s="59" t="str">
        <f>IF(Dati[[#This Row],[Categoria]]="Prelievo","€ -","")</f>
        <v/>
      </c>
      <c r="R320" s="244"/>
      <c r="S320" s="59" t="str">
        <f>IF(Dati[[#This Row],[Categoria]]="Savings",0,"")</f>
        <v/>
      </c>
      <c r="T320" s="59"/>
      <c r="U320" s="59"/>
      <c r="V320" s="59"/>
      <c r="W320" s="59"/>
      <c r="X320" s="59"/>
      <c r="Y320" s="59"/>
      <c r="Z320" s="59"/>
      <c r="AA320" s="59"/>
      <c r="AB320" s="59"/>
      <c r="AC320" s="59"/>
      <c r="AD320" s="59"/>
      <c r="AE320" s="59"/>
      <c r="AF320" s="59"/>
      <c r="AG320" s="59"/>
      <c r="AH320" s="59"/>
      <c r="AI320" s="59" t="str">
        <f>IF(SUM(Dati[[#This Row],[Inv. Business]:[Inv. Cryptocurrency]])=0," ",SUM(Dati[[#This Row],[Inv. Business]:[Inv. Cryptocurrency]]))</f>
        <v xml:space="preserve"> </v>
      </c>
      <c r="AJ320" s="59"/>
      <c r="AK320" s="59" t="str">
        <f>IF(SUM(Dati[[#This Row],[Inv. Gold]:[Mutuo]])=0," ",SUM(Dati[[#This Row],[Inv. Gold]:[Mutuo]]))</f>
        <v xml:space="preserve"> </v>
      </c>
      <c r="AL320" s="59"/>
      <c r="AM320" s="59"/>
    </row>
    <row r="321" spans="2:39" ht="16" customHeight="1" x14ac:dyDescent="0.35">
      <c r="B321">
        <f t="shared" si="12"/>
        <v>301</v>
      </c>
      <c r="C321" s="49">
        <v>45216</v>
      </c>
      <c r="D321" s="29">
        <f>DAY(Dati[[#This Row],[Data]])</f>
        <v>17</v>
      </c>
      <c r="E321" s="29" t="str">
        <f>IF(DAY(Data!$C$21:$C$1327)&gt;0,TEXT(Data!$C$21:$C$1327, "mmmm"),"")</f>
        <v>ottobre</v>
      </c>
      <c r="F321" s="29" t="str">
        <f>IF(DAY(Data!$C$21:$C$1327)&gt;0,TEXT(Data!$C$21:$C$1327, "aaaa"),"")</f>
        <v>2023</v>
      </c>
      <c r="I321" t="str">
        <f>IF(OR(H321=$B$5,H321=$B$6,H321=$B$7,H321=$B$8,H321=$B$9,H321=$B$10,H321=$B$11,H321=$B$12,H321=$B$13,H321=$B$14),SottocategorieUscite[[#Headers],[Fuori Casa]],IF(OR(H321=$C$5,H321=$C$6,H321=$C$7,H321=$C$8,H321=$C$9,H321=$C$10,H321=$C$11,H321=$C$12,H321=$C$13,H321=$C$14),SottocategorieUscite[[#Headers],[Varie Uscite]],IF(OR(H321=$D$5,H321=$D$6,H321=$D$7,H321=$D$8,H321=$D$9,H321=$D$10,H321=$D$11,H321=$D$12,H321=$D$13,H321=$D$14),SottocategorieUscite[[#Headers],[Personali]],IF(OR(H321=$E$5,H321=$E$6,H321=$E$7,H321=$E$8,H321=$E$9,H321=$E$10,H321=$E$11,H321=$E$12,H321=$E$13,H321=$E$14),SottocategorieUscite[[#Headers],[Lavoro]],IF(OR(H321=$F$5,H321=$F$6,H321=$F$7,H321=$F$8,H321=$F$9,H321=$F$10,H321=$F$11,H321=$F$12,H321=$F$13,H321=$F$14),SottocategorieUscite[[#Headers],[Casa]],IF(OR(H321=$G$5,H321=$G$6,H321=$G$7,H321=$G$8,H321=$G$9,H321=$G$10,H321=$G$11,H321=$G$12,H321=$G$13,H321=$G$14),SottocategorieUscite[[#Headers],[Utenze]],IF(OR(H321=$H$5,H321=$H$6,H321=$H$7,H321=$H$8,H321=$H$9,H321=$H$10,H321=$H$11,H321=$H$12,H321=$H$13,H321=$H$14),SottocategorieUscite[[#Headers],[Business Uscite]],IF(OR(H321=$I$5,H321=$I$6,H321=$I$7,H321=$I$8,H321=$I$9,H321=$I$10,H321=$I$11,H321=$I$12,H321=$I$13,H321=$I$14),SottocategorieUscite[[#Headers],[Banca]],IF(OR(H321=K$5,H321=K$6,H321=K$7,H321=K$8,H321=K$9,H321=K$10,H321=K$11,H321=K$12,H321=K$13,H321=K$14),SottocategorieEntrate[[#Headers],[Business Entrate]],IF(OR(H321=L$5,H321=L$6,H321=L$7,H321=L$8,H321=L$9,H321=L$10,H321=L$11,H321=L$12,H321=L$13,H321=L$14),SottocategorieEntrate[[#Headers],[Varie Entrate]],IF(OR(H321=M$5,H321=M$6,H321=M$7,H321=M$8,H321=M$9,H321=M$10,H321=M$11,H321=M$12,H321=M$13,H321=M$14),SottocategorieEntrate[[#Headers],[Real Estate]],IF(OR(H321=N$5,H321=N$6,H321=N$7,H321=N$8,H321=N$9,H321=N$10,H321=N$11,H321=N$12,H321=N$13,H321=N$14),SottocategorieEntrate[[#Headers],[Other]],""))))))))))))</f>
        <v/>
      </c>
      <c r="J321" t="str">
        <f>IF(OR(Dati[[#This Row],[Categoria]]="Bollette",Dati[[#This Row],[Categoria]]="Conto &amp; Carte BNL",Dati[[#This Row],[Categoria]]="Prelievo",Dati[[#This Row],[Categoria]]="Affitto",Dati[[#This Row],[Categoria]]="BNL(Interessi Creditori)"),"Carta",IF(Dati[[#This Row],[Categoria]]&lt;&gt;0,"Cash",""))</f>
        <v/>
      </c>
      <c r="K321" s="59" t="str">
        <f>IF(OR(Data!$I321=SottocategorieUscite[[#Headers],[Fuori Casa]],Data!$I321=SottocategorieUscite[[#Headers],[Varie Uscite]],Data!$I321=SottocategorieUscite[[#Headers],[Personali]],Data!$I321=SottocategorieUscite[[#Headers],[Lavoro]]),"$ -","")</f>
        <v/>
      </c>
      <c r="L321" s="59" t="str">
        <f>IF(OR(Data!$I321=SottocategorieUscite[[#Headers],[Casa]],Data!$I321=SottocategorieUscite[[#Headers],[Utenze]],Data!$I321=SottocategorieUscite[[#Headers],[Business Uscite]],Data!$I321=SottocategorieUscite[[#Headers],[Banca]]),"$ -","")</f>
        <v/>
      </c>
      <c r="M321" s="59" t="str">
        <f>IF(OR($I321&lt;&gt;SottocategorieUscite[[#Headers],[Fuori Casa]],$I321&lt;&gt;SottocategorieUscite[[#Headers],[Varie Uscite]],$I321&lt;&gt;SottocategorieUscite[[#Headers],[Personali]],$I321&lt;&gt;SottocategorieUscite[[#Headers],[Lavoro]],$I321&lt;&gt;SottocategorieUscite[[#Headers],[Casa]],$I321&lt;&gt;SottocategorieUscite[[#Headers],[Utenze]],$I321&lt;&gt;SottocategorieUscite[[#Headers],[Business Uscite]],$I321&lt;&gt;SottocategorieUscite[[#Headers],[Banca]]),"","$ -")</f>
        <v/>
      </c>
      <c r="N321" s="59" t="str">
        <f>IF(OR(Data!$I321=SottocategorieEntrate[[#Headers],[Business Entrate]],Data!$I321=SottocategorieEntrate[[#Headers],[Varie Entrate]]),"$ -","")</f>
        <v/>
      </c>
      <c r="O321" s="59" t="str">
        <f>IF(OR(Data!$I321=SottocategorieEntrate[[#Headers],[Real Estate]],SottocategorieEntrate[[#Headers],[Other]]),"$ -","")</f>
        <v/>
      </c>
      <c r="P321" s="59" t="str">
        <f>IF(OR($I321&lt;&gt;SottocategorieEntrate[[#Headers],[Business Entrate]],$I321&lt;&gt;SottocategorieEntrate[[#Headers],[Varie Entrate]],$I321&lt;&gt;SottocategorieEntrate[[#Headers],[Real Estate]],$I321&lt;&gt;SottocategorieEntrate[[#Headers],[Other]]),"","$ -")</f>
        <v/>
      </c>
      <c r="Q321" s="59" t="str">
        <f>IF(Dati[[#This Row],[Categoria]]="Prelievo","€ -","")</f>
        <v/>
      </c>
      <c r="R321" s="244"/>
      <c r="S321" s="59" t="str">
        <f>IF(Dati[[#This Row],[Categoria]]="Savings",0,"")</f>
        <v/>
      </c>
      <c r="T321" s="59"/>
      <c r="U321" s="59"/>
      <c r="V321" s="59"/>
      <c r="W321" s="59"/>
      <c r="X321" s="59"/>
      <c r="Y321" s="59"/>
      <c r="Z321" s="59"/>
      <c r="AA321" s="59"/>
      <c r="AB321" s="59"/>
      <c r="AC321" s="59"/>
      <c r="AD321" s="59"/>
      <c r="AE321" s="59"/>
      <c r="AF321" s="59"/>
      <c r="AG321" s="59"/>
      <c r="AH321" s="59"/>
      <c r="AI321" s="59" t="str">
        <f>IF(SUM(Dati[[#This Row],[Inv. Business]:[Inv. Cryptocurrency]])=0," ",SUM(Dati[[#This Row],[Inv. Business]:[Inv. Cryptocurrency]]))</f>
        <v xml:space="preserve"> </v>
      </c>
      <c r="AJ321" s="59"/>
      <c r="AK321" s="59" t="str">
        <f>IF(SUM(Dati[[#This Row],[Inv. Gold]:[Mutuo]])=0," ",SUM(Dati[[#This Row],[Inv. Gold]:[Mutuo]]))</f>
        <v xml:space="preserve"> </v>
      </c>
      <c r="AL321" s="59"/>
      <c r="AM321" s="59"/>
    </row>
    <row r="322" spans="2:39" ht="16" customHeight="1" x14ac:dyDescent="0.35">
      <c r="B322">
        <f t="shared" si="12"/>
        <v>302</v>
      </c>
      <c r="C322" s="49">
        <v>45216</v>
      </c>
      <c r="D322" s="29">
        <f>DAY(Dati[[#This Row],[Data]])</f>
        <v>17</v>
      </c>
      <c r="E322" s="29" t="str">
        <f>IF(DAY(Data!$C$21:$C$1327)&gt;0,TEXT(Data!$C$21:$C$1327, "mmmm"),"")</f>
        <v>ottobre</v>
      </c>
      <c r="F322" s="29" t="str">
        <f>IF(DAY(Data!$C$21:$C$1327)&gt;0,TEXT(Data!$C$21:$C$1327, "aaaa"),"")</f>
        <v>2023</v>
      </c>
      <c r="I322" t="str">
        <f>IF(OR(H322=$B$5,H322=$B$6,H322=$B$7,H322=$B$8,H322=$B$9,H322=$B$10,H322=$B$11,H322=$B$12,H322=$B$13,H322=$B$14),SottocategorieUscite[[#Headers],[Fuori Casa]],IF(OR(H322=$C$5,H322=$C$6,H322=$C$7,H322=$C$8,H322=$C$9,H322=$C$10,H322=$C$11,H322=$C$12,H322=$C$13,H322=$C$14),SottocategorieUscite[[#Headers],[Varie Uscite]],IF(OR(H322=$D$5,H322=$D$6,H322=$D$7,H322=$D$8,H322=$D$9,H322=$D$10,H322=$D$11,H322=$D$12,H322=$D$13,H322=$D$14),SottocategorieUscite[[#Headers],[Personali]],IF(OR(H322=$E$5,H322=$E$6,H322=$E$7,H322=$E$8,H322=$E$9,H322=$E$10,H322=$E$11,H322=$E$12,H322=$E$13,H322=$E$14),SottocategorieUscite[[#Headers],[Lavoro]],IF(OR(H322=$F$5,H322=$F$6,H322=$F$7,H322=$F$8,H322=$F$9,H322=$F$10,H322=$F$11,H322=$F$12,H322=$F$13,H322=$F$14),SottocategorieUscite[[#Headers],[Casa]],IF(OR(H322=$G$5,H322=$G$6,H322=$G$7,H322=$G$8,H322=$G$9,H322=$G$10,H322=$G$11,H322=$G$12,H322=$G$13,H322=$G$14),SottocategorieUscite[[#Headers],[Utenze]],IF(OR(H322=$H$5,H322=$H$6,H322=$H$7,H322=$H$8,H322=$H$9,H322=$H$10,H322=$H$11,H322=$H$12,H322=$H$13,H322=$H$14),SottocategorieUscite[[#Headers],[Business Uscite]],IF(OR(H322=$I$5,H322=$I$6,H322=$I$7,H322=$I$8,H322=$I$9,H322=$I$10,H322=$I$11,H322=$I$12,H322=$I$13,H322=$I$14),SottocategorieUscite[[#Headers],[Banca]],IF(OR(H322=K$5,H322=K$6,H322=K$7,H322=K$8,H322=K$9,H322=K$10,H322=K$11,H322=K$12,H322=K$13,H322=K$14),SottocategorieEntrate[[#Headers],[Business Entrate]],IF(OR(H322=L$5,H322=L$6,H322=L$7,H322=L$8,H322=L$9,H322=L$10,H322=L$11,H322=L$12,H322=L$13,H322=L$14),SottocategorieEntrate[[#Headers],[Varie Entrate]],IF(OR(H322=M$5,H322=M$6,H322=M$7,H322=M$8,H322=M$9,H322=M$10,H322=M$11,H322=M$12,H322=M$13,H322=M$14),SottocategorieEntrate[[#Headers],[Real Estate]],IF(OR(H322=N$5,H322=N$6,H322=N$7,H322=N$8,H322=N$9,H322=N$10,H322=N$11,H322=N$12,H322=N$13,H322=N$14),SottocategorieEntrate[[#Headers],[Other]],""))))))))))))</f>
        <v/>
      </c>
      <c r="J322" t="str">
        <f>IF(OR(Dati[[#This Row],[Categoria]]="Bollette",Dati[[#This Row],[Categoria]]="Conto &amp; Carte BNL",Dati[[#This Row],[Categoria]]="Prelievo",Dati[[#This Row],[Categoria]]="Affitto",Dati[[#This Row],[Categoria]]="BNL(Interessi Creditori)"),"Carta",IF(Dati[[#This Row],[Categoria]]&lt;&gt;0,"Cash",""))</f>
        <v/>
      </c>
      <c r="K322" s="59" t="str">
        <f>IF(OR(Data!$I322=SottocategorieUscite[[#Headers],[Fuori Casa]],Data!$I322=SottocategorieUscite[[#Headers],[Varie Uscite]],Data!$I322=SottocategorieUscite[[#Headers],[Personali]],Data!$I322=SottocategorieUscite[[#Headers],[Lavoro]]),"$ -","")</f>
        <v/>
      </c>
      <c r="L322" s="59" t="str">
        <f>IF(OR(Data!$I322=SottocategorieUscite[[#Headers],[Casa]],Data!$I322=SottocategorieUscite[[#Headers],[Utenze]],Data!$I322=SottocategorieUscite[[#Headers],[Business Uscite]],Data!$I322=SottocategorieUscite[[#Headers],[Banca]]),"$ -","")</f>
        <v/>
      </c>
      <c r="M322" s="59" t="str">
        <f>IF(OR($I322&lt;&gt;SottocategorieUscite[[#Headers],[Fuori Casa]],$I322&lt;&gt;SottocategorieUscite[[#Headers],[Varie Uscite]],$I322&lt;&gt;SottocategorieUscite[[#Headers],[Personali]],$I322&lt;&gt;SottocategorieUscite[[#Headers],[Lavoro]],$I322&lt;&gt;SottocategorieUscite[[#Headers],[Casa]],$I322&lt;&gt;SottocategorieUscite[[#Headers],[Utenze]],$I322&lt;&gt;SottocategorieUscite[[#Headers],[Business Uscite]],$I322&lt;&gt;SottocategorieUscite[[#Headers],[Banca]]),"","$ -")</f>
        <v/>
      </c>
      <c r="N322" s="59" t="str">
        <f>IF(OR(Data!$I322=SottocategorieEntrate[[#Headers],[Business Entrate]],Data!$I322=SottocategorieEntrate[[#Headers],[Varie Entrate]]),"$ -","")</f>
        <v/>
      </c>
      <c r="O322" s="59" t="str">
        <f>IF(OR(Data!$I322=SottocategorieEntrate[[#Headers],[Real Estate]],SottocategorieEntrate[[#Headers],[Other]]),"$ -","")</f>
        <v/>
      </c>
      <c r="P322" s="59" t="str">
        <f>IF(OR($I322&lt;&gt;SottocategorieEntrate[[#Headers],[Business Entrate]],$I322&lt;&gt;SottocategorieEntrate[[#Headers],[Varie Entrate]],$I322&lt;&gt;SottocategorieEntrate[[#Headers],[Real Estate]],$I322&lt;&gt;SottocategorieEntrate[[#Headers],[Other]]),"","$ -")</f>
        <v/>
      </c>
      <c r="Q322" s="59" t="str">
        <f>IF(Dati[[#This Row],[Categoria]]="Prelievo","€ -","")</f>
        <v/>
      </c>
      <c r="R322" s="244"/>
      <c r="S322" s="59" t="str">
        <f>IF(Dati[[#This Row],[Categoria]]="Savings",0,"")</f>
        <v/>
      </c>
      <c r="T322" s="59"/>
      <c r="U322" s="59"/>
      <c r="V322" s="59"/>
      <c r="W322" s="59"/>
      <c r="X322" s="59"/>
      <c r="Y322" s="59"/>
      <c r="Z322" s="59"/>
      <c r="AA322" s="59"/>
      <c r="AB322" s="59"/>
      <c r="AC322" s="59"/>
      <c r="AD322" s="59"/>
      <c r="AE322" s="59"/>
      <c r="AF322" s="59"/>
      <c r="AG322" s="59"/>
      <c r="AH322" s="59"/>
      <c r="AI322" s="59" t="str">
        <f>IF(SUM(Dati[[#This Row],[Inv. Business]:[Inv. Cryptocurrency]])=0," ",SUM(Dati[[#This Row],[Inv. Business]:[Inv. Cryptocurrency]]))</f>
        <v xml:space="preserve"> </v>
      </c>
      <c r="AJ322" s="59"/>
      <c r="AK322" s="59" t="str">
        <f>IF(SUM(Dati[[#This Row],[Inv. Gold]:[Mutuo]])=0," ",SUM(Dati[[#This Row],[Inv. Gold]:[Mutuo]]))</f>
        <v xml:space="preserve"> </v>
      </c>
      <c r="AL322" s="59"/>
      <c r="AM322" s="59"/>
    </row>
    <row r="323" spans="2:39" ht="16" customHeight="1" x14ac:dyDescent="0.35">
      <c r="B323">
        <f t="shared" si="12"/>
        <v>303</v>
      </c>
      <c r="C323" s="49">
        <f>C320+1</f>
        <v>45217</v>
      </c>
      <c r="D323" s="29">
        <f>DAY(Dati[[#This Row],[Data]])</f>
        <v>18</v>
      </c>
      <c r="E323" s="29" t="str">
        <f>IF(DAY(Data!$C$21:$C$1327)&gt;0,TEXT(Data!$C$21:$C$1327, "mmmm"),"")</f>
        <v>ottobre</v>
      </c>
      <c r="F323" s="29" t="str">
        <f>IF(DAY(Data!$C$21:$C$1327)&gt;0,TEXT(Data!$C$21:$C$1327, "aaaa"),"")</f>
        <v>2023</v>
      </c>
      <c r="I323" t="str">
        <f>IF(OR(H323=$B$5,H323=$B$6,H323=$B$7,H323=$B$8,H323=$B$9,H323=$B$10,H323=$B$11,H323=$B$12,H323=$B$13,H323=$B$14),SottocategorieUscite[[#Headers],[Fuori Casa]],IF(OR(H323=$C$5,H323=$C$6,H323=$C$7,H323=$C$8,H323=$C$9,H323=$C$10,H323=$C$11,H323=$C$12,H323=$C$13,H323=$C$14),SottocategorieUscite[[#Headers],[Varie Uscite]],IF(OR(H323=$D$5,H323=$D$6,H323=$D$7,H323=$D$8,H323=$D$9,H323=$D$10,H323=$D$11,H323=$D$12,H323=$D$13,H323=$D$14),SottocategorieUscite[[#Headers],[Personali]],IF(OR(H323=$E$5,H323=$E$6,H323=$E$7,H323=$E$8,H323=$E$9,H323=$E$10,H323=$E$11,H323=$E$12,H323=$E$13,H323=$E$14),SottocategorieUscite[[#Headers],[Lavoro]],IF(OR(H323=$F$5,H323=$F$6,H323=$F$7,H323=$F$8,H323=$F$9,H323=$F$10,H323=$F$11,H323=$F$12,H323=$F$13,H323=$F$14),SottocategorieUscite[[#Headers],[Casa]],IF(OR(H323=$G$5,H323=$G$6,H323=$G$7,H323=$G$8,H323=$G$9,H323=$G$10,H323=$G$11,H323=$G$12,H323=$G$13,H323=$G$14),SottocategorieUscite[[#Headers],[Utenze]],IF(OR(H323=$H$5,H323=$H$6,H323=$H$7,H323=$H$8,H323=$H$9,H323=$H$10,H323=$H$11,H323=$H$12,H323=$H$13,H323=$H$14),SottocategorieUscite[[#Headers],[Business Uscite]],IF(OR(H323=$I$5,H323=$I$6,H323=$I$7,H323=$I$8,H323=$I$9,H323=$I$10,H323=$I$11,H323=$I$12,H323=$I$13,H323=$I$14),SottocategorieUscite[[#Headers],[Banca]],IF(OR(H323=K$5,H323=K$6,H323=K$7,H323=K$8,H323=K$9,H323=K$10,H323=K$11,H323=K$12,H323=K$13,H323=K$14),SottocategorieEntrate[[#Headers],[Business Entrate]],IF(OR(H323=L$5,H323=L$6,H323=L$7,H323=L$8,H323=L$9,H323=L$10,H323=L$11,H323=L$12,H323=L$13,H323=L$14),SottocategorieEntrate[[#Headers],[Varie Entrate]],IF(OR(H323=M$5,H323=M$6,H323=M$7,H323=M$8,H323=M$9,H323=M$10,H323=M$11,H323=M$12,H323=M$13,H323=M$14),SottocategorieEntrate[[#Headers],[Real Estate]],IF(OR(H323=N$5,H323=N$6,H323=N$7,H323=N$8,H323=N$9,H323=N$10,H323=N$11,H323=N$12,H323=N$13,H323=N$14),SottocategorieEntrate[[#Headers],[Other]],""))))))))))))</f>
        <v/>
      </c>
      <c r="J323" t="str">
        <f>IF(OR(Dati[[#This Row],[Categoria]]="Bollette",Dati[[#This Row],[Categoria]]="Conto &amp; Carte BNL",Dati[[#This Row],[Categoria]]="Prelievo",Dati[[#This Row],[Categoria]]="Affitto",Dati[[#This Row],[Categoria]]="BNL(Interessi Creditori)"),"Carta",IF(Dati[[#This Row],[Categoria]]&lt;&gt;0,"Cash",""))</f>
        <v/>
      </c>
      <c r="K323" s="59" t="str">
        <f>IF(OR(Data!$I323=SottocategorieUscite[[#Headers],[Fuori Casa]],Data!$I323=SottocategorieUscite[[#Headers],[Varie Uscite]],Data!$I323=SottocategorieUscite[[#Headers],[Personali]],Data!$I323=SottocategorieUscite[[#Headers],[Lavoro]]),"$ -","")</f>
        <v/>
      </c>
      <c r="L323" s="59" t="str">
        <f>IF(OR(Data!$I323=SottocategorieUscite[[#Headers],[Casa]],Data!$I323=SottocategorieUscite[[#Headers],[Utenze]],Data!$I323=SottocategorieUscite[[#Headers],[Business Uscite]],Data!$I323=SottocategorieUscite[[#Headers],[Banca]]),"$ -","")</f>
        <v/>
      </c>
      <c r="M323" s="59" t="str">
        <f>IF(OR($I323&lt;&gt;SottocategorieUscite[[#Headers],[Fuori Casa]],$I323&lt;&gt;SottocategorieUscite[[#Headers],[Varie Uscite]],$I323&lt;&gt;SottocategorieUscite[[#Headers],[Personali]],$I323&lt;&gt;SottocategorieUscite[[#Headers],[Lavoro]],$I323&lt;&gt;SottocategorieUscite[[#Headers],[Casa]],$I323&lt;&gt;SottocategorieUscite[[#Headers],[Utenze]],$I323&lt;&gt;SottocategorieUscite[[#Headers],[Business Uscite]],$I323&lt;&gt;SottocategorieUscite[[#Headers],[Banca]]),"","$ -")</f>
        <v/>
      </c>
      <c r="N323" s="59" t="str">
        <f>IF(OR(Data!$I323=SottocategorieEntrate[[#Headers],[Business Entrate]],Data!$I323=SottocategorieEntrate[[#Headers],[Varie Entrate]]),"$ -","")</f>
        <v/>
      </c>
      <c r="O323" s="59" t="str">
        <f>IF(OR(Data!$I323=SottocategorieEntrate[[#Headers],[Real Estate]],SottocategorieEntrate[[#Headers],[Other]]),"$ -","")</f>
        <v/>
      </c>
      <c r="P323" s="59" t="str">
        <f>IF(OR($I323&lt;&gt;SottocategorieEntrate[[#Headers],[Business Entrate]],$I323&lt;&gt;SottocategorieEntrate[[#Headers],[Varie Entrate]],$I323&lt;&gt;SottocategorieEntrate[[#Headers],[Real Estate]],$I323&lt;&gt;SottocategorieEntrate[[#Headers],[Other]]),"","$ -")</f>
        <v/>
      </c>
      <c r="Q323" s="59" t="str">
        <f>IF(Dati[[#This Row],[Categoria]]="Prelievo","€ -","")</f>
        <v/>
      </c>
      <c r="R323" s="244"/>
      <c r="S323" s="59" t="str">
        <f>IF(Dati[[#This Row],[Categoria]]="Savings",0,"")</f>
        <v/>
      </c>
      <c r="T323" s="59"/>
      <c r="U323" s="59"/>
      <c r="V323" s="59"/>
      <c r="W323" s="59"/>
      <c r="X323" s="59"/>
      <c r="Y323" s="59"/>
      <c r="Z323" s="59"/>
      <c r="AA323" s="59"/>
      <c r="AB323" s="59"/>
      <c r="AC323" s="59"/>
      <c r="AD323" s="59"/>
      <c r="AE323" s="59"/>
      <c r="AF323" s="59"/>
      <c r="AG323" s="59"/>
      <c r="AH323" s="59"/>
      <c r="AI323" s="59" t="str">
        <f>IF(SUM(Dati[[#This Row],[Inv. Business]:[Inv. Cryptocurrency]])=0," ",SUM(Dati[[#This Row],[Inv. Business]:[Inv. Cryptocurrency]]))</f>
        <v xml:space="preserve"> </v>
      </c>
      <c r="AJ323" s="59"/>
      <c r="AK323" s="59" t="str">
        <f>IF(SUM(Dati[[#This Row],[Inv. Gold]:[Mutuo]])=0," ",SUM(Dati[[#This Row],[Inv. Gold]:[Mutuo]]))</f>
        <v xml:space="preserve"> </v>
      </c>
      <c r="AL323" s="59"/>
      <c r="AM323" s="59"/>
    </row>
    <row r="324" spans="2:39" ht="16" customHeight="1" x14ac:dyDescent="0.35">
      <c r="B324">
        <f t="shared" si="12"/>
        <v>304</v>
      </c>
      <c r="C324" s="49">
        <v>45217</v>
      </c>
      <c r="D324" s="29">
        <f>DAY(Dati[[#This Row],[Data]])</f>
        <v>18</v>
      </c>
      <c r="E324" s="29" t="str">
        <f>IF(DAY(Data!$C$21:$C$1327)&gt;0,TEXT(Data!$C$21:$C$1327, "mmmm"),"")</f>
        <v>ottobre</v>
      </c>
      <c r="F324" s="29" t="str">
        <f>IF(DAY(Data!$C$21:$C$1327)&gt;0,TEXT(Data!$C$21:$C$1327, "aaaa"),"")</f>
        <v>2023</v>
      </c>
      <c r="I324" t="str">
        <f>IF(OR(H324=$B$5,H324=$B$6,H324=$B$7,H324=$B$8,H324=$B$9,H324=$B$10,H324=$B$11,H324=$B$12,H324=$B$13,H324=$B$14),SottocategorieUscite[[#Headers],[Fuori Casa]],IF(OR(H324=$C$5,H324=$C$6,H324=$C$7,H324=$C$8,H324=$C$9,H324=$C$10,H324=$C$11,H324=$C$12,H324=$C$13,H324=$C$14),SottocategorieUscite[[#Headers],[Varie Uscite]],IF(OR(H324=$D$5,H324=$D$6,H324=$D$7,H324=$D$8,H324=$D$9,H324=$D$10,H324=$D$11,H324=$D$12,H324=$D$13,H324=$D$14),SottocategorieUscite[[#Headers],[Personali]],IF(OR(H324=$E$5,H324=$E$6,H324=$E$7,H324=$E$8,H324=$E$9,H324=$E$10,H324=$E$11,H324=$E$12,H324=$E$13,H324=$E$14),SottocategorieUscite[[#Headers],[Lavoro]],IF(OR(H324=$F$5,H324=$F$6,H324=$F$7,H324=$F$8,H324=$F$9,H324=$F$10,H324=$F$11,H324=$F$12,H324=$F$13,H324=$F$14),SottocategorieUscite[[#Headers],[Casa]],IF(OR(H324=$G$5,H324=$G$6,H324=$G$7,H324=$G$8,H324=$G$9,H324=$G$10,H324=$G$11,H324=$G$12,H324=$G$13,H324=$G$14),SottocategorieUscite[[#Headers],[Utenze]],IF(OR(H324=$H$5,H324=$H$6,H324=$H$7,H324=$H$8,H324=$H$9,H324=$H$10,H324=$H$11,H324=$H$12,H324=$H$13,H324=$H$14),SottocategorieUscite[[#Headers],[Business Uscite]],IF(OR(H324=$I$5,H324=$I$6,H324=$I$7,H324=$I$8,H324=$I$9,H324=$I$10,H324=$I$11,H324=$I$12,H324=$I$13,H324=$I$14),SottocategorieUscite[[#Headers],[Banca]],IF(OR(H324=K$5,H324=K$6,H324=K$7,H324=K$8,H324=K$9,H324=K$10,H324=K$11,H324=K$12,H324=K$13,H324=K$14),SottocategorieEntrate[[#Headers],[Business Entrate]],IF(OR(H324=L$5,H324=L$6,H324=L$7,H324=L$8,H324=L$9,H324=L$10,H324=L$11,H324=L$12,H324=L$13,H324=L$14),SottocategorieEntrate[[#Headers],[Varie Entrate]],IF(OR(H324=M$5,H324=M$6,H324=M$7,H324=M$8,H324=M$9,H324=M$10,H324=M$11,H324=M$12,H324=M$13,H324=M$14),SottocategorieEntrate[[#Headers],[Real Estate]],IF(OR(H324=N$5,H324=N$6,H324=N$7,H324=N$8,H324=N$9,H324=N$10,H324=N$11,H324=N$12,H324=N$13,H324=N$14),SottocategorieEntrate[[#Headers],[Other]],""))))))))))))</f>
        <v/>
      </c>
      <c r="J324" t="str">
        <f>IF(OR(Dati[[#This Row],[Categoria]]="Bollette",Dati[[#This Row],[Categoria]]="Conto &amp; Carte BNL",Dati[[#This Row],[Categoria]]="Prelievo",Dati[[#This Row],[Categoria]]="Affitto",Dati[[#This Row],[Categoria]]="BNL(Interessi Creditori)"),"Carta",IF(Dati[[#This Row],[Categoria]]&lt;&gt;0,"Cash",""))</f>
        <v/>
      </c>
      <c r="K324" s="59" t="str">
        <f>IF(OR(Data!$I324=SottocategorieUscite[[#Headers],[Fuori Casa]],Data!$I324=SottocategorieUscite[[#Headers],[Varie Uscite]],Data!$I324=SottocategorieUscite[[#Headers],[Personali]],Data!$I324=SottocategorieUscite[[#Headers],[Lavoro]]),"$ -","")</f>
        <v/>
      </c>
      <c r="L324" s="59" t="str">
        <f>IF(OR(Data!$I324=SottocategorieUscite[[#Headers],[Casa]],Data!$I324=SottocategorieUscite[[#Headers],[Utenze]],Data!$I324=SottocategorieUscite[[#Headers],[Business Uscite]],Data!$I324=SottocategorieUscite[[#Headers],[Banca]]),"$ -","")</f>
        <v/>
      </c>
      <c r="M324" s="59" t="str">
        <f>IF(OR($I324&lt;&gt;SottocategorieUscite[[#Headers],[Fuori Casa]],$I324&lt;&gt;SottocategorieUscite[[#Headers],[Varie Uscite]],$I324&lt;&gt;SottocategorieUscite[[#Headers],[Personali]],$I324&lt;&gt;SottocategorieUscite[[#Headers],[Lavoro]],$I324&lt;&gt;SottocategorieUscite[[#Headers],[Casa]],$I324&lt;&gt;SottocategorieUscite[[#Headers],[Utenze]],$I324&lt;&gt;SottocategorieUscite[[#Headers],[Business Uscite]],$I324&lt;&gt;SottocategorieUscite[[#Headers],[Banca]]),"","$ -")</f>
        <v/>
      </c>
      <c r="N324" s="59" t="str">
        <f>IF(OR(Data!$I324=SottocategorieEntrate[[#Headers],[Business Entrate]],Data!$I324=SottocategorieEntrate[[#Headers],[Varie Entrate]]),"$ -","")</f>
        <v/>
      </c>
      <c r="O324" s="59" t="str">
        <f>IF(OR(Data!$I324=SottocategorieEntrate[[#Headers],[Real Estate]],SottocategorieEntrate[[#Headers],[Other]]),"$ -","")</f>
        <v/>
      </c>
      <c r="P324" s="59" t="str">
        <f>IF(OR($I324&lt;&gt;SottocategorieEntrate[[#Headers],[Business Entrate]],$I324&lt;&gt;SottocategorieEntrate[[#Headers],[Varie Entrate]],$I324&lt;&gt;SottocategorieEntrate[[#Headers],[Real Estate]],$I324&lt;&gt;SottocategorieEntrate[[#Headers],[Other]]),"","$ -")</f>
        <v/>
      </c>
      <c r="Q324" s="59" t="str">
        <f>IF(Dati[[#This Row],[Categoria]]="Prelievo","€ -","")</f>
        <v/>
      </c>
      <c r="R324" s="244"/>
      <c r="S324" s="59" t="str">
        <f>IF(Dati[[#This Row],[Categoria]]="Savings",0,"")</f>
        <v/>
      </c>
      <c r="T324" s="59"/>
      <c r="U324" s="59"/>
      <c r="V324" s="59"/>
      <c r="W324" s="59"/>
      <c r="X324" s="59"/>
      <c r="Y324" s="59"/>
      <c r="Z324" s="59"/>
      <c r="AA324" s="59"/>
      <c r="AB324" s="59"/>
      <c r="AC324" s="59"/>
      <c r="AD324" s="59"/>
      <c r="AE324" s="59"/>
      <c r="AF324" s="59"/>
      <c r="AG324" s="59"/>
      <c r="AH324" s="59"/>
      <c r="AI324" s="59" t="str">
        <f>IF(SUM(Dati[[#This Row],[Inv. Business]:[Inv. Cryptocurrency]])=0," ",SUM(Dati[[#This Row],[Inv. Business]:[Inv. Cryptocurrency]]))</f>
        <v xml:space="preserve"> </v>
      </c>
      <c r="AJ324" s="59"/>
      <c r="AK324" s="59" t="str">
        <f>IF(SUM(Dati[[#This Row],[Inv. Gold]:[Mutuo]])=0," ",SUM(Dati[[#This Row],[Inv. Gold]:[Mutuo]]))</f>
        <v xml:space="preserve"> </v>
      </c>
      <c r="AL324" s="59"/>
      <c r="AM324" s="59"/>
    </row>
    <row r="325" spans="2:39" ht="16" customHeight="1" x14ac:dyDescent="0.35">
      <c r="B325">
        <f t="shared" si="12"/>
        <v>305</v>
      </c>
      <c r="C325" s="49">
        <v>45217</v>
      </c>
      <c r="D325" s="29">
        <f>DAY(Dati[[#This Row],[Data]])</f>
        <v>18</v>
      </c>
      <c r="E325" s="29" t="str">
        <f>IF(DAY(Data!$C$21:$C$1327)&gt;0,TEXT(Data!$C$21:$C$1327, "mmmm"),"")</f>
        <v>ottobre</v>
      </c>
      <c r="F325" s="29" t="str">
        <f>IF(DAY(Data!$C$21:$C$1327)&gt;0,TEXT(Data!$C$21:$C$1327, "aaaa"),"")</f>
        <v>2023</v>
      </c>
      <c r="I325" t="str">
        <f>IF(OR(H325=$B$5,H325=$B$6,H325=$B$7,H325=$B$8,H325=$B$9,H325=$B$10,H325=$B$11,H325=$B$12,H325=$B$13,H325=$B$14),SottocategorieUscite[[#Headers],[Fuori Casa]],IF(OR(H325=$C$5,H325=$C$6,H325=$C$7,H325=$C$8,H325=$C$9,H325=$C$10,H325=$C$11,H325=$C$12,H325=$C$13,H325=$C$14),SottocategorieUscite[[#Headers],[Varie Uscite]],IF(OR(H325=$D$5,H325=$D$6,H325=$D$7,H325=$D$8,H325=$D$9,H325=$D$10,H325=$D$11,H325=$D$12,H325=$D$13,H325=$D$14),SottocategorieUscite[[#Headers],[Personali]],IF(OR(H325=$E$5,H325=$E$6,H325=$E$7,H325=$E$8,H325=$E$9,H325=$E$10,H325=$E$11,H325=$E$12,H325=$E$13,H325=$E$14),SottocategorieUscite[[#Headers],[Lavoro]],IF(OR(H325=$F$5,H325=$F$6,H325=$F$7,H325=$F$8,H325=$F$9,H325=$F$10,H325=$F$11,H325=$F$12,H325=$F$13,H325=$F$14),SottocategorieUscite[[#Headers],[Casa]],IF(OR(H325=$G$5,H325=$G$6,H325=$G$7,H325=$G$8,H325=$G$9,H325=$G$10,H325=$G$11,H325=$G$12,H325=$G$13,H325=$G$14),SottocategorieUscite[[#Headers],[Utenze]],IF(OR(H325=$H$5,H325=$H$6,H325=$H$7,H325=$H$8,H325=$H$9,H325=$H$10,H325=$H$11,H325=$H$12,H325=$H$13,H325=$H$14),SottocategorieUscite[[#Headers],[Business Uscite]],IF(OR(H325=$I$5,H325=$I$6,H325=$I$7,H325=$I$8,H325=$I$9,H325=$I$10,H325=$I$11,H325=$I$12,H325=$I$13,H325=$I$14),SottocategorieUscite[[#Headers],[Banca]],IF(OR(H325=K$5,H325=K$6,H325=K$7,H325=K$8,H325=K$9,H325=K$10,H325=K$11,H325=K$12,H325=K$13,H325=K$14),SottocategorieEntrate[[#Headers],[Business Entrate]],IF(OR(H325=L$5,H325=L$6,H325=L$7,H325=L$8,H325=L$9,H325=L$10,H325=L$11,H325=L$12,H325=L$13,H325=L$14),SottocategorieEntrate[[#Headers],[Varie Entrate]],IF(OR(H325=M$5,H325=M$6,H325=M$7,H325=M$8,H325=M$9,H325=M$10,H325=M$11,H325=M$12,H325=M$13,H325=M$14),SottocategorieEntrate[[#Headers],[Real Estate]],IF(OR(H325=N$5,H325=N$6,H325=N$7,H325=N$8,H325=N$9,H325=N$10,H325=N$11,H325=N$12,H325=N$13,H325=N$14),SottocategorieEntrate[[#Headers],[Other]],""))))))))))))</f>
        <v/>
      </c>
      <c r="J325" t="str">
        <f>IF(OR(Dati[[#This Row],[Categoria]]="Bollette",Dati[[#This Row],[Categoria]]="Conto &amp; Carte BNL",Dati[[#This Row],[Categoria]]="Prelievo",Dati[[#This Row],[Categoria]]="Affitto",Dati[[#This Row],[Categoria]]="BNL(Interessi Creditori)"),"Carta",IF(Dati[[#This Row],[Categoria]]&lt;&gt;0,"Cash",""))</f>
        <v/>
      </c>
      <c r="K325" s="59" t="str">
        <f>IF(OR(Data!$I325=SottocategorieUscite[[#Headers],[Fuori Casa]],Data!$I325=SottocategorieUscite[[#Headers],[Varie Uscite]],Data!$I325=SottocategorieUscite[[#Headers],[Personali]],Data!$I325=SottocategorieUscite[[#Headers],[Lavoro]]),"$ -","")</f>
        <v/>
      </c>
      <c r="L325" s="59" t="str">
        <f>IF(OR(Data!$I325=SottocategorieUscite[[#Headers],[Casa]],Data!$I325=SottocategorieUscite[[#Headers],[Utenze]],Data!$I325=SottocategorieUscite[[#Headers],[Business Uscite]],Data!$I325=SottocategorieUscite[[#Headers],[Banca]]),"$ -","")</f>
        <v/>
      </c>
      <c r="M325" s="59" t="str">
        <f>IF(OR($I325&lt;&gt;SottocategorieUscite[[#Headers],[Fuori Casa]],$I325&lt;&gt;SottocategorieUscite[[#Headers],[Varie Uscite]],$I325&lt;&gt;SottocategorieUscite[[#Headers],[Personali]],$I325&lt;&gt;SottocategorieUscite[[#Headers],[Lavoro]],$I325&lt;&gt;SottocategorieUscite[[#Headers],[Casa]],$I325&lt;&gt;SottocategorieUscite[[#Headers],[Utenze]],$I325&lt;&gt;SottocategorieUscite[[#Headers],[Business Uscite]],$I325&lt;&gt;SottocategorieUscite[[#Headers],[Banca]]),"","$ -")</f>
        <v/>
      </c>
      <c r="N325" s="59" t="str">
        <f>IF(OR(Data!$I325=SottocategorieEntrate[[#Headers],[Business Entrate]],Data!$I325=SottocategorieEntrate[[#Headers],[Varie Entrate]]),"$ -","")</f>
        <v/>
      </c>
      <c r="O325" s="59" t="str">
        <f>IF(OR(Data!$I325=SottocategorieEntrate[[#Headers],[Real Estate]],SottocategorieEntrate[[#Headers],[Other]]),"$ -","")</f>
        <v/>
      </c>
      <c r="P325" s="59" t="str">
        <f>IF(OR($I325&lt;&gt;SottocategorieEntrate[[#Headers],[Business Entrate]],$I325&lt;&gt;SottocategorieEntrate[[#Headers],[Varie Entrate]],$I325&lt;&gt;SottocategorieEntrate[[#Headers],[Real Estate]],$I325&lt;&gt;SottocategorieEntrate[[#Headers],[Other]]),"","$ -")</f>
        <v/>
      </c>
      <c r="Q325" s="59" t="str">
        <f>IF(Dati[[#This Row],[Categoria]]="Prelievo","€ -","")</f>
        <v/>
      </c>
      <c r="R325" s="244"/>
      <c r="S325" s="59" t="str">
        <f>IF(Dati[[#This Row],[Categoria]]="Savings",0,"")</f>
        <v/>
      </c>
      <c r="T325" s="59"/>
      <c r="U325" s="59"/>
      <c r="V325" s="59"/>
      <c r="W325" s="59"/>
      <c r="X325" s="59"/>
      <c r="Y325" s="59"/>
      <c r="Z325" s="59"/>
      <c r="AA325" s="59"/>
      <c r="AB325" s="59"/>
      <c r="AC325" s="59"/>
      <c r="AD325" s="59"/>
      <c r="AE325" s="59"/>
      <c r="AF325" s="59"/>
      <c r="AG325" s="59"/>
      <c r="AH325" s="59"/>
      <c r="AI325" s="59" t="str">
        <f>IF(SUM(Dati[[#This Row],[Inv. Business]:[Inv. Cryptocurrency]])=0," ",SUM(Dati[[#This Row],[Inv. Business]:[Inv. Cryptocurrency]]))</f>
        <v xml:space="preserve"> </v>
      </c>
      <c r="AJ325" s="59"/>
      <c r="AK325" s="59" t="str">
        <f>IF(SUM(Dati[[#This Row],[Inv. Gold]:[Mutuo]])=0," ",SUM(Dati[[#This Row],[Inv. Gold]:[Mutuo]]))</f>
        <v xml:space="preserve"> </v>
      </c>
      <c r="AL325" s="59"/>
      <c r="AM325" s="59"/>
    </row>
    <row r="326" spans="2:39" ht="16" customHeight="1" x14ac:dyDescent="0.35">
      <c r="B326">
        <f t="shared" si="12"/>
        <v>306</v>
      </c>
      <c r="C326" s="49">
        <v>45217</v>
      </c>
      <c r="D326" s="29">
        <f>DAY(Dati[[#This Row],[Data]])</f>
        <v>18</v>
      </c>
      <c r="E326" s="29" t="str">
        <f>IF(DAY(Data!$C$21:$C$1327)&gt;0,TEXT(Data!$C$21:$C$1327, "mmmm"),"")</f>
        <v>ottobre</v>
      </c>
      <c r="F326" s="29" t="str">
        <f>IF(DAY(Data!$C$21:$C$1327)&gt;0,TEXT(Data!$C$21:$C$1327, "aaaa"),"")</f>
        <v>2023</v>
      </c>
      <c r="I326" t="str">
        <f>IF(OR(H326=$B$5,H326=$B$6,H326=$B$7,H326=$B$8,H326=$B$9,H326=$B$10,H326=$B$11,H326=$B$12,H326=$B$13,H326=$B$14),SottocategorieUscite[[#Headers],[Fuori Casa]],IF(OR(H326=$C$5,H326=$C$6,H326=$C$7,H326=$C$8,H326=$C$9,H326=$C$10,H326=$C$11,H326=$C$12,H326=$C$13,H326=$C$14),SottocategorieUscite[[#Headers],[Varie Uscite]],IF(OR(H326=$D$5,H326=$D$6,H326=$D$7,H326=$D$8,H326=$D$9,H326=$D$10,H326=$D$11,H326=$D$12,H326=$D$13,H326=$D$14),SottocategorieUscite[[#Headers],[Personali]],IF(OR(H326=$E$5,H326=$E$6,H326=$E$7,H326=$E$8,H326=$E$9,H326=$E$10,H326=$E$11,H326=$E$12,H326=$E$13,H326=$E$14),SottocategorieUscite[[#Headers],[Lavoro]],IF(OR(H326=$F$5,H326=$F$6,H326=$F$7,H326=$F$8,H326=$F$9,H326=$F$10,H326=$F$11,H326=$F$12,H326=$F$13,H326=$F$14),SottocategorieUscite[[#Headers],[Casa]],IF(OR(H326=$G$5,H326=$G$6,H326=$G$7,H326=$G$8,H326=$G$9,H326=$G$10,H326=$G$11,H326=$G$12,H326=$G$13,H326=$G$14),SottocategorieUscite[[#Headers],[Utenze]],IF(OR(H326=$H$5,H326=$H$6,H326=$H$7,H326=$H$8,H326=$H$9,H326=$H$10,H326=$H$11,H326=$H$12,H326=$H$13,H326=$H$14),SottocategorieUscite[[#Headers],[Business Uscite]],IF(OR(H326=$I$5,H326=$I$6,H326=$I$7,H326=$I$8,H326=$I$9,H326=$I$10,H326=$I$11,H326=$I$12,H326=$I$13,H326=$I$14),SottocategorieUscite[[#Headers],[Banca]],IF(OR(H326=K$5,H326=K$6,H326=K$7,H326=K$8,H326=K$9,H326=K$10,H326=K$11,H326=K$12,H326=K$13,H326=K$14),SottocategorieEntrate[[#Headers],[Business Entrate]],IF(OR(H326=L$5,H326=L$6,H326=L$7,H326=L$8,H326=L$9,H326=L$10,H326=L$11,H326=L$12,H326=L$13,H326=L$14),SottocategorieEntrate[[#Headers],[Varie Entrate]],IF(OR(H326=M$5,H326=M$6,H326=M$7,H326=M$8,H326=M$9,H326=M$10,H326=M$11,H326=M$12,H326=M$13,H326=M$14),SottocategorieEntrate[[#Headers],[Real Estate]],IF(OR(H326=N$5,H326=N$6,H326=N$7,H326=N$8,H326=N$9,H326=N$10,H326=N$11,H326=N$12,H326=N$13,H326=N$14),SottocategorieEntrate[[#Headers],[Other]],""))))))))))))</f>
        <v/>
      </c>
      <c r="J326" t="str">
        <f>IF(OR(Dati[[#This Row],[Categoria]]="Bollette",Dati[[#This Row],[Categoria]]="Conto &amp; Carte BNL",Dati[[#This Row],[Categoria]]="Prelievo",Dati[[#This Row],[Categoria]]="Affitto",Dati[[#This Row],[Categoria]]="BNL(Interessi Creditori)"),"Carta",IF(Dati[[#This Row],[Categoria]]&lt;&gt;0,"Cash",""))</f>
        <v/>
      </c>
      <c r="K326" s="59" t="str">
        <f>IF(OR(Data!$I326=SottocategorieUscite[[#Headers],[Fuori Casa]],Data!$I326=SottocategorieUscite[[#Headers],[Varie Uscite]],Data!$I326=SottocategorieUscite[[#Headers],[Personali]],Data!$I326=SottocategorieUscite[[#Headers],[Lavoro]]),"$ -","")</f>
        <v/>
      </c>
      <c r="L326" s="59" t="str">
        <f>IF(OR(Data!$I326=SottocategorieUscite[[#Headers],[Casa]],Data!$I326=SottocategorieUscite[[#Headers],[Utenze]],Data!$I326=SottocategorieUscite[[#Headers],[Business Uscite]],Data!$I326=SottocategorieUscite[[#Headers],[Banca]]),"$ -","")</f>
        <v/>
      </c>
      <c r="M326" s="59" t="str">
        <f>IF(OR($I326&lt;&gt;SottocategorieUscite[[#Headers],[Fuori Casa]],$I326&lt;&gt;SottocategorieUscite[[#Headers],[Varie Uscite]],$I326&lt;&gt;SottocategorieUscite[[#Headers],[Personali]],$I326&lt;&gt;SottocategorieUscite[[#Headers],[Lavoro]],$I326&lt;&gt;SottocategorieUscite[[#Headers],[Casa]],$I326&lt;&gt;SottocategorieUscite[[#Headers],[Utenze]],$I326&lt;&gt;SottocategorieUscite[[#Headers],[Business Uscite]],$I326&lt;&gt;SottocategorieUscite[[#Headers],[Banca]]),"","$ -")</f>
        <v/>
      </c>
      <c r="N326" s="59" t="str">
        <f>IF(OR(Data!$I326=SottocategorieEntrate[[#Headers],[Business Entrate]],Data!$I326=SottocategorieEntrate[[#Headers],[Varie Entrate]]),"$ -","")</f>
        <v/>
      </c>
      <c r="O326" s="59" t="str">
        <f>IF(OR(Data!$I326=SottocategorieEntrate[[#Headers],[Real Estate]],SottocategorieEntrate[[#Headers],[Other]]),"$ -","")</f>
        <v/>
      </c>
      <c r="P326" s="59" t="str">
        <f>IF(OR($I326&lt;&gt;SottocategorieEntrate[[#Headers],[Business Entrate]],$I326&lt;&gt;SottocategorieEntrate[[#Headers],[Varie Entrate]],$I326&lt;&gt;SottocategorieEntrate[[#Headers],[Real Estate]],$I326&lt;&gt;SottocategorieEntrate[[#Headers],[Other]]),"","$ -")</f>
        <v/>
      </c>
      <c r="Q326" s="59" t="str">
        <f>IF(Dati[[#This Row],[Categoria]]="Prelievo","€ -","")</f>
        <v/>
      </c>
      <c r="R326" s="244"/>
      <c r="S326" s="59" t="str">
        <f>IF(Dati[[#This Row],[Categoria]]="Savings",0,"")</f>
        <v/>
      </c>
      <c r="T326" s="59"/>
      <c r="U326" s="59"/>
      <c r="V326" s="59"/>
      <c r="W326" s="59"/>
      <c r="X326" s="59"/>
      <c r="Y326" s="59"/>
      <c r="Z326" s="59"/>
      <c r="AA326" s="59"/>
      <c r="AB326" s="59"/>
      <c r="AC326" s="59"/>
      <c r="AD326" s="59"/>
      <c r="AE326" s="59"/>
      <c r="AF326" s="59"/>
      <c r="AG326" s="59"/>
      <c r="AH326" s="59"/>
      <c r="AI326" s="59" t="str">
        <f>IF(SUM(Dati[[#This Row],[Inv. Business]:[Inv. Cryptocurrency]])=0," ",SUM(Dati[[#This Row],[Inv. Business]:[Inv. Cryptocurrency]]))</f>
        <v xml:space="preserve"> </v>
      </c>
      <c r="AJ326" s="59"/>
      <c r="AK326" s="59" t="str">
        <f>IF(SUM(Dati[[#This Row],[Inv. Gold]:[Mutuo]])=0," ",SUM(Dati[[#This Row],[Inv. Gold]:[Mutuo]]))</f>
        <v xml:space="preserve"> </v>
      </c>
      <c r="AL326" s="59"/>
      <c r="AM326" s="59"/>
    </row>
    <row r="327" spans="2:39" ht="16" customHeight="1" x14ac:dyDescent="0.35">
      <c r="B327">
        <f t="shared" si="12"/>
        <v>307</v>
      </c>
      <c r="C327" s="49">
        <f>C323+1</f>
        <v>45218</v>
      </c>
      <c r="D327" s="29">
        <f>DAY(Dati[[#This Row],[Data]])</f>
        <v>19</v>
      </c>
      <c r="E327" s="29" t="str">
        <f>IF(DAY(Data!$C$21:$C$1327)&gt;0,TEXT(Data!$C$21:$C$1327, "mmmm"),"")</f>
        <v>ottobre</v>
      </c>
      <c r="F327" s="29" t="str">
        <f>IF(DAY(Data!$C$21:$C$1327)&gt;0,TEXT(Data!$C$21:$C$1327, "aaaa"),"")</f>
        <v>2023</v>
      </c>
      <c r="I327" t="str">
        <f>IF(OR(H327=$B$5,H327=$B$6,H327=$B$7,H327=$B$8,H327=$B$9,H327=$B$10,H327=$B$11,H327=$B$12,H327=$B$13,H327=$B$14),SottocategorieUscite[[#Headers],[Fuori Casa]],IF(OR(H327=$C$5,H327=$C$6,H327=$C$7,H327=$C$8,H327=$C$9,H327=$C$10,H327=$C$11,H327=$C$12,H327=$C$13,H327=$C$14),SottocategorieUscite[[#Headers],[Varie Uscite]],IF(OR(H327=$D$5,H327=$D$6,H327=$D$7,H327=$D$8,H327=$D$9,H327=$D$10,H327=$D$11,H327=$D$12,H327=$D$13,H327=$D$14),SottocategorieUscite[[#Headers],[Personali]],IF(OR(H327=$E$5,H327=$E$6,H327=$E$7,H327=$E$8,H327=$E$9,H327=$E$10,H327=$E$11,H327=$E$12,H327=$E$13,H327=$E$14),SottocategorieUscite[[#Headers],[Lavoro]],IF(OR(H327=$F$5,H327=$F$6,H327=$F$7,H327=$F$8,H327=$F$9,H327=$F$10,H327=$F$11,H327=$F$12,H327=$F$13,H327=$F$14),SottocategorieUscite[[#Headers],[Casa]],IF(OR(H327=$G$5,H327=$G$6,H327=$G$7,H327=$G$8,H327=$G$9,H327=$G$10,H327=$G$11,H327=$G$12,H327=$G$13,H327=$G$14),SottocategorieUscite[[#Headers],[Utenze]],IF(OR(H327=$H$5,H327=$H$6,H327=$H$7,H327=$H$8,H327=$H$9,H327=$H$10,H327=$H$11,H327=$H$12,H327=$H$13,H327=$H$14),SottocategorieUscite[[#Headers],[Business Uscite]],IF(OR(H327=$I$5,H327=$I$6,H327=$I$7,H327=$I$8,H327=$I$9,H327=$I$10,H327=$I$11,H327=$I$12,H327=$I$13,H327=$I$14),SottocategorieUscite[[#Headers],[Banca]],IF(OR(H327=K$5,H327=K$6,H327=K$7,H327=K$8,H327=K$9,H327=K$10,H327=K$11,H327=K$12,H327=K$13,H327=K$14),SottocategorieEntrate[[#Headers],[Business Entrate]],IF(OR(H327=L$5,H327=L$6,H327=L$7,H327=L$8,H327=L$9,H327=L$10,H327=L$11,H327=L$12,H327=L$13,H327=L$14),SottocategorieEntrate[[#Headers],[Varie Entrate]],IF(OR(H327=M$5,H327=M$6,H327=M$7,H327=M$8,H327=M$9,H327=M$10,H327=M$11,H327=M$12,H327=M$13,H327=M$14),SottocategorieEntrate[[#Headers],[Real Estate]],IF(OR(H327=N$5,H327=N$6,H327=N$7,H327=N$8,H327=N$9,H327=N$10,H327=N$11,H327=N$12,H327=N$13,H327=N$14),SottocategorieEntrate[[#Headers],[Other]],""))))))))))))</f>
        <v/>
      </c>
      <c r="J327" t="str">
        <f>IF(OR(Dati[[#This Row],[Categoria]]="Bollette",Dati[[#This Row],[Categoria]]="Conto &amp; Carte BNL",Dati[[#This Row],[Categoria]]="Prelievo",Dati[[#This Row],[Categoria]]="Affitto",Dati[[#This Row],[Categoria]]="BNL(Interessi Creditori)"),"Carta",IF(Dati[[#This Row],[Categoria]]&lt;&gt;0,"Cash",""))</f>
        <v/>
      </c>
      <c r="K327" s="59" t="str">
        <f>IF(OR(Data!$I327=SottocategorieUscite[[#Headers],[Fuori Casa]],Data!$I327=SottocategorieUscite[[#Headers],[Varie Uscite]],Data!$I327=SottocategorieUscite[[#Headers],[Personali]],Data!$I327=SottocategorieUscite[[#Headers],[Lavoro]]),"$ -","")</f>
        <v/>
      </c>
      <c r="L327" s="59" t="str">
        <f>IF(OR(Data!$I327=SottocategorieUscite[[#Headers],[Casa]],Data!$I327=SottocategorieUscite[[#Headers],[Utenze]],Data!$I327=SottocategorieUscite[[#Headers],[Business Uscite]],Data!$I327=SottocategorieUscite[[#Headers],[Banca]]),"$ -","")</f>
        <v/>
      </c>
      <c r="M327" s="59" t="str">
        <f>IF(OR($I327&lt;&gt;SottocategorieUscite[[#Headers],[Fuori Casa]],$I327&lt;&gt;SottocategorieUscite[[#Headers],[Varie Uscite]],$I327&lt;&gt;SottocategorieUscite[[#Headers],[Personali]],$I327&lt;&gt;SottocategorieUscite[[#Headers],[Lavoro]],$I327&lt;&gt;SottocategorieUscite[[#Headers],[Casa]],$I327&lt;&gt;SottocategorieUscite[[#Headers],[Utenze]],$I327&lt;&gt;SottocategorieUscite[[#Headers],[Business Uscite]],$I327&lt;&gt;SottocategorieUscite[[#Headers],[Banca]]),"","$ -")</f>
        <v/>
      </c>
      <c r="N327" s="59" t="str">
        <f>IF(OR(Data!$I327=SottocategorieEntrate[[#Headers],[Business Entrate]],Data!$I327=SottocategorieEntrate[[#Headers],[Varie Entrate]]),"$ -","")</f>
        <v/>
      </c>
      <c r="O327" s="59" t="str">
        <f>IF(OR(Data!$I327=SottocategorieEntrate[[#Headers],[Real Estate]],SottocategorieEntrate[[#Headers],[Other]]),"$ -","")</f>
        <v/>
      </c>
      <c r="P327" s="59" t="str">
        <f>IF(OR($I327&lt;&gt;SottocategorieEntrate[[#Headers],[Business Entrate]],$I327&lt;&gt;SottocategorieEntrate[[#Headers],[Varie Entrate]],$I327&lt;&gt;SottocategorieEntrate[[#Headers],[Real Estate]],$I327&lt;&gt;SottocategorieEntrate[[#Headers],[Other]]),"","$ -")</f>
        <v/>
      </c>
      <c r="Q327" s="59" t="str">
        <f>IF(Dati[[#This Row],[Categoria]]="Prelievo","€ -","")</f>
        <v/>
      </c>
      <c r="R327" s="244"/>
      <c r="S327" s="59" t="str">
        <f>IF(Dati[[#This Row],[Categoria]]="Savings",0,"")</f>
        <v/>
      </c>
      <c r="T327" s="59"/>
      <c r="U327" s="59"/>
      <c r="V327" s="59"/>
      <c r="W327" s="59"/>
      <c r="X327" s="59"/>
      <c r="Y327" s="59"/>
      <c r="Z327" s="59"/>
      <c r="AA327" s="59"/>
      <c r="AB327" s="59"/>
      <c r="AC327" s="59"/>
      <c r="AD327" s="59"/>
      <c r="AE327" s="59"/>
      <c r="AF327" s="59"/>
      <c r="AG327" s="59"/>
      <c r="AH327" s="59"/>
      <c r="AI327" s="59" t="str">
        <f>IF(SUM(Dati[[#This Row],[Inv. Business]:[Inv. Cryptocurrency]])=0," ",SUM(Dati[[#This Row],[Inv. Business]:[Inv. Cryptocurrency]]))</f>
        <v xml:space="preserve"> </v>
      </c>
      <c r="AJ327" s="59"/>
      <c r="AK327" s="59" t="str">
        <f>IF(SUM(Dati[[#This Row],[Inv. Gold]:[Mutuo]])=0," ",SUM(Dati[[#This Row],[Inv. Gold]:[Mutuo]]))</f>
        <v xml:space="preserve"> </v>
      </c>
      <c r="AL327" s="59"/>
      <c r="AM327" s="59"/>
    </row>
    <row r="328" spans="2:39" ht="16" customHeight="1" x14ac:dyDescent="0.35">
      <c r="B328">
        <f t="shared" si="12"/>
        <v>308</v>
      </c>
      <c r="C328" s="49">
        <v>45218</v>
      </c>
      <c r="D328" s="29">
        <f>DAY(Dati[[#This Row],[Data]])</f>
        <v>19</v>
      </c>
      <c r="E328" s="29" t="str">
        <f>IF(DAY(Data!$C$21:$C$1327)&gt;0,TEXT(Data!$C$21:$C$1327, "mmmm"),"")</f>
        <v>ottobre</v>
      </c>
      <c r="F328" s="29" t="str">
        <f>IF(DAY(Data!$C$21:$C$1327)&gt;0,TEXT(Data!$C$21:$C$1327, "aaaa"),"")</f>
        <v>2023</v>
      </c>
      <c r="I328" t="str">
        <f>IF(OR(H328=$B$5,H328=$B$6,H328=$B$7,H328=$B$8,H328=$B$9,H328=$B$10,H328=$B$11,H328=$B$12,H328=$B$13,H328=$B$14),SottocategorieUscite[[#Headers],[Fuori Casa]],IF(OR(H328=$C$5,H328=$C$6,H328=$C$7,H328=$C$8,H328=$C$9,H328=$C$10,H328=$C$11,H328=$C$12,H328=$C$13,H328=$C$14),SottocategorieUscite[[#Headers],[Varie Uscite]],IF(OR(H328=$D$5,H328=$D$6,H328=$D$7,H328=$D$8,H328=$D$9,H328=$D$10,H328=$D$11,H328=$D$12,H328=$D$13,H328=$D$14),SottocategorieUscite[[#Headers],[Personali]],IF(OR(H328=$E$5,H328=$E$6,H328=$E$7,H328=$E$8,H328=$E$9,H328=$E$10,H328=$E$11,H328=$E$12,H328=$E$13,H328=$E$14),SottocategorieUscite[[#Headers],[Lavoro]],IF(OR(H328=$F$5,H328=$F$6,H328=$F$7,H328=$F$8,H328=$F$9,H328=$F$10,H328=$F$11,H328=$F$12,H328=$F$13,H328=$F$14),SottocategorieUscite[[#Headers],[Casa]],IF(OR(H328=$G$5,H328=$G$6,H328=$G$7,H328=$G$8,H328=$G$9,H328=$G$10,H328=$G$11,H328=$G$12,H328=$G$13,H328=$G$14),SottocategorieUscite[[#Headers],[Utenze]],IF(OR(H328=$H$5,H328=$H$6,H328=$H$7,H328=$H$8,H328=$H$9,H328=$H$10,H328=$H$11,H328=$H$12,H328=$H$13,H328=$H$14),SottocategorieUscite[[#Headers],[Business Uscite]],IF(OR(H328=$I$5,H328=$I$6,H328=$I$7,H328=$I$8,H328=$I$9,H328=$I$10,H328=$I$11,H328=$I$12,H328=$I$13,H328=$I$14),SottocategorieUscite[[#Headers],[Banca]],IF(OR(H328=K$5,H328=K$6,H328=K$7,H328=K$8,H328=K$9,H328=K$10,H328=K$11,H328=K$12,H328=K$13,H328=K$14),SottocategorieEntrate[[#Headers],[Business Entrate]],IF(OR(H328=L$5,H328=L$6,H328=L$7,H328=L$8,H328=L$9,H328=L$10,H328=L$11,H328=L$12,H328=L$13,H328=L$14),SottocategorieEntrate[[#Headers],[Varie Entrate]],IF(OR(H328=M$5,H328=M$6,H328=M$7,H328=M$8,H328=M$9,H328=M$10,H328=M$11,H328=M$12,H328=M$13,H328=M$14),SottocategorieEntrate[[#Headers],[Real Estate]],IF(OR(H328=N$5,H328=N$6,H328=N$7,H328=N$8,H328=N$9,H328=N$10,H328=N$11,H328=N$12,H328=N$13,H328=N$14),SottocategorieEntrate[[#Headers],[Other]],""))))))))))))</f>
        <v/>
      </c>
      <c r="J328" t="str">
        <f>IF(OR(Dati[[#This Row],[Categoria]]="Bollette",Dati[[#This Row],[Categoria]]="Conto &amp; Carte BNL",Dati[[#This Row],[Categoria]]="Prelievo",Dati[[#This Row],[Categoria]]="Affitto",Dati[[#This Row],[Categoria]]="BNL(Interessi Creditori)"),"Carta",IF(Dati[[#This Row],[Categoria]]&lt;&gt;0,"Cash",""))</f>
        <v/>
      </c>
      <c r="K328" s="59" t="str">
        <f>IF(OR(Data!$I328=SottocategorieUscite[[#Headers],[Fuori Casa]],Data!$I328=SottocategorieUscite[[#Headers],[Varie Uscite]],Data!$I328=SottocategorieUscite[[#Headers],[Personali]],Data!$I328=SottocategorieUscite[[#Headers],[Lavoro]]),"$ -","")</f>
        <v/>
      </c>
      <c r="L328" s="59" t="str">
        <f>IF(OR(Data!$I328=SottocategorieUscite[[#Headers],[Casa]],Data!$I328=SottocategorieUscite[[#Headers],[Utenze]],Data!$I328=SottocategorieUscite[[#Headers],[Business Uscite]],Data!$I328=SottocategorieUscite[[#Headers],[Banca]]),"$ -","")</f>
        <v/>
      </c>
      <c r="M328" s="59" t="str">
        <f>IF(OR($I328&lt;&gt;SottocategorieUscite[[#Headers],[Fuori Casa]],$I328&lt;&gt;SottocategorieUscite[[#Headers],[Varie Uscite]],$I328&lt;&gt;SottocategorieUscite[[#Headers],[Personali]],$I328&lt;&gt;SottocategorieUscite[[#Headers],[Lavoro]],$I328&lt;&gt;SottocategorieUscite[[#Headers],[Casa]],$I328&lt;&gt;SottocategorieUscite[[#Headers],[Utenze]],$I328&lt;&gt;SottocategorieUscite[[#Headers],[Business Uscite]],$I328&lt;&gt;SottocategorieUscite[[#Headers],[Banca]]),"","$ -")</f>
        <v/>
      </c>
      <c r="N328" s="59" t="str">
        <f>IF(OR(Data!$I328=SottocategorieEntrate[[#Headers],[Business Entrate]],Data!$I328=SottocategorieEntrate[[#Headers],[Varie Entrate]]),"$ -","")</f>
        <v/>
      </c>
      <c r="O328" s="59" t="str">
        <f>IF(OR(Data!$I328=SottocategorieEntrate[[#Headers],[Real Estate]],SottocategorieEntrate[[#Headers],[Other]]),"$ -","")</f>
        <v/>
      </c>
      <c r="P328" s="59" t="str">
        <f>IF(OR($I328&lt;&gt;SottocategorieEntrate[[#Headers],[Business Entrate]],$I328&lt;&gt;SottocategorieEntrate[[#Headers],[Varie Entrate]],$I328&lt;&gt;SottocategorieEntrate[[#Headers],[Real Estate]],$I328&lt;&gt;SottocategorieEntrate[[#Headers],[Other]]),"","$ -")</f>
        <v/>
      </c>
      <c r="Q328" s="59" t="str">
        <f>IF(Dati[[#This Row],[Categoria]]="Prelievo","€ -","")</f>
        <v/>
      </c>
      <c r="R328" s="244"/>
      <c r="S328" s="59" t="str">
        <f>IF(Dati[[#This Row],[Categoria]]="Savings",0,"")</f>
        <v/>
      </c>
      <c r="T328" s="59"/>
      <c r="U328" s="59"/>
      <c r="V328" s="59"/>
      <c r="W328" s="59"/>
      <c r="X328" s="59"/>
      <c r="Y328" s="59"/>
      <c r="Z328" s="59"/>
      <c r="AA328" s="59"/>
      <c r="AB328" s="59"/>
      <c r="AC328" s="59"/>
      <c r="AD328" s="59"/>
      <c r="AE328" s="59"/>
      <c r="AF328" s="59"/>
      <c r="AG328" s="59"/>
      <c r="AH328" s="59"/>
      <c r="AI328" s="59" t="str">
        <f>IF(SUM(Dati[[#This Row],[Inv. Business]:[Inv. Cryptocurrency]])=0," ",SUM(Dati[[#This Row],[Inv. Business]:[Inv. Cryptocurrency]]))</f>
        <v xml:space="preserve"> </v>
      </c>
      <c r="AJ328" s="59"/>
      <c r="AK328" s="59" t="str">
        <f>IF(SUM(Dati[[#This Row],[Inv. Gold]:[Mutuo]])=0," ",SUM(Dati[[#This Row],[Inv. Gold]:[Mutuo]]))</f>
        <v xml:space="preserve"> </v>
      </c>
      <c r="AL328" s="59"/>
      <c r="AM328" s="59"/>
    </row>
    <row r="329" spans="2:39" ht="16" customHeight="1" x14ac:dyDescent="0.35">
      <c r="B329">
        <f t="shared" si="12"/>
        <v>309</v>
      </c>
      <c r="C329" s="49">
        <v>45218</v>
      </c>
      <c r="D329" s="29">
        <f>DAY(Dati[[#This Row],[Data]])</f>
        <v>19</v>
      </c>
      <c r="E329" s="29" t="str">
        <f>IF(DAY(Data!$C$21:$C$1327)&gt;0,TEXT(Data!$C$21:$C$1327, "mmmm"),"")</f>
        <v>ottobre</v>
      </c>
      <c r="F329" s="29" t="str">
        <f>IF(DAY(Data!$C$21:$C$1327)&gt;0,TEXT(Data!$C$21:$C$1327, "aaaa"),"")</f>
        <v>2023</v>
      </c>
      <c r="I329" t="str">
        <f>IF(OR(H329=$B$5,H329=$B$6,H329=$B$7,H329=$B$8,H329=$B$9,H329=$B$10,H329=$B$11,H329=$B$12,H329=$B$13,H329=$B$14),SottocategorieUscite[[#Headers],[Fuori Casa]],IF(OR(H329=$C$5,H329=$C$6,H329=$C$7,H329=$C$8,H329=$C$9,H329=$C$10,H329=$C$11,H329=$C$12,H329=$C$13,H329=$C$14),SottocategorieUscite[[#Headers],[Varie Uscite]],IF(OR(H329=$D$5,H329=$D$6,H329=$D$7,H329=$D$8,H329=$D$9,H329=$D$10,H329=$D$11,H329=$D$12,H329=$D$13,H329=$D$14),SottocategorieUscite[[#Headers],[Personali]],IF(OR(H329=$E$5,H329=$E$6,H329=$E$7,H329=$E$8,H329=$E$9,H329=$E$10,H329=$E$11,H329=$E$12,H329=$E$13,H329=$E$14),SottocategorieUscite[[#Headers],[Lavoro]],IF(OR(H329=$F$5,H329=$F$6,H329=$F$7,H329=$F$8,H329=$F$9,H329=$F$10,H329=$F$11,H329=$F$12,H329=$F$13,H329=$F$14),SottocategorieUscite[[#Headers],[Casa]],IF(OR(H329=$G$5,H329=$G$6,H329=$G$7,H329=$G$8,H329=$G$9,H329=$G$10,H329=$G$11,H329=$G$12,H329=$G$13,H329=$G$14),SottocategorieUscite[[#Headers],[Utenze]],IF(OR(H329=$H$5,H329=$H$6,H329=$H$7,H329=$H$8,H329=$H$9,H329=$H$10,H329=$H$11,H329=$H$12,H329=$H$13,H329=$H$14),SottocategorieUscite[[#Headers],[Business Uscite]],IF(OR(H329=$I$5,H329=$I$6,H329=$I$7,H329=$I$8,H329=$I$9,H329=$I$10,H329=$I$11,H329=$I$12,H329=$I$13,H329=$I$14),SottocategorieUscite[[#Headers],[Banca]],IF(OR(H329=K$5,H329=K$6,H329=K$7,H329=K$8,H329=K$9,H329=K$10,H329=K$11,H329=K$12,H329=K$13,H329=K$14),SottocategorieEntrate[[#Headers],[Business Entrate]],IF(OR(H329=L$5,H329=L$6,H329=L$7,H329=L$8,H329=L$9,H329=L$10,H329=L$11,H329=L$12,H329=L$13,H329=L$14),SottocategorieEntrate[[#Headers],[Varie Entrate]],IF(OR(H329=M$5,H329=M$6,H329=M$7,H329=M$8,H329=M$9,H329=M$10,H329=M$11,H329=M$12,H329=M$13,H329=M$14),SottocategorieEntrate[[#Headers],[Real Estate]],IF(OR(H329=N$5,H329=N$6,H329=N$7,H329=N$8,H329=N$9,H329=N$10,H329=N$11,H329=N$12,H329=N$13,H329=N$14),SottocategorieEntrate[[#Headers],[Other]],""))))))))))))</f>
        <v/>
      </c>
      <c r="J329" t="str">
        <f>IF(OR(Dati[[#This Row],[Categoria]]="Bollette",Dati[[#This Row],[Categoria]]="Conto &amp; Carte BNL",Dati[[#This Row],[Categoria]]="Prelievo",Dati[[#This Row],[Categoria]]="Affitto",Dati[[#This Row],[Categoria]]="BNL(Interessi Creditori)"),"Carta",IF(Dati[[#This Row],[Categoria]]&lt;&gt;0,"Cash",""))</f>
        <v/>
      </c>
      <c r="K329" s="59" t="str">
        <f>IF(OR(Data!$I329=SottocategorieUscite[[#Headers],[Fuori Casa]],Data!$I329=SottocategorieUscite[[#Headers],[Varie Uscite]],Data!$I329=SottocategorieUscite[[#Headers],[Personali]],Data!$I329=SottocategorieUscite[[#Headers],[Lavoro]]),"$ -","")</f>
        <v/>
      </c>
      <c r="L329" s="59" t="str">
        <f>IF(OR(Data!$I329=SottocategorieUscite[[#Headers],[Casa]],Data!$I329=SottocategorieUscite[[#Headers],[Utenze]],Data!$I329=SottocategorieUscite[[#Headers],[Business Uscite]],Data!$I329=SottocategorieUscite[[#Headers],[Banca]]),"$ -","")</f>
        <v/>
      </c>
      <c r="M329" s="59" t="str">
        <f>IF(OR($I329&lt;&gt;SottocategorieUscite[[#Headers],[Fuori Casa]],$I329&lt;&gt;SottocategorieUscite[[#Headers],[Varie Uscite]],$I329&lt;&gt;SottocategorieUscite[[#Headers],[Personali]],$I329&lt;&gt;SottocategorieUscite[[#Headers],[Lavoro]],$I329&lt;&gt;SottocategorieUscite[[#Headers],[Casa]],$I329&lt;&gt;SottocategorieUscite[[#Headers],[Utenze]],$I329&lt;&gt;SottocategorieUscite[[#Headers],[Business Uscite]],$I329&lt;&gt;SottocategorieUscite[[#Headers],[Banca]]),"","$ -")</f>
        <v/>
      </c>
      <c r="N329" s="59" t="str">
        <f>IF(OR(Data!$I329=SottocategorieEntrate[[#Headers],[Business Entrate]],Data!$I329=SottocategorieEntrate[[#Headers],[Varie Entrate]]),"$ -","")</f>
        <v/>
      </c>
      <c r="O329" s="59" t="str">
        <f>IF(OR(Data!$I329=SottocategorieEntrate[[#Headers],[Real Estate]],SottocategorieEntrate[[#Headers],[Other]]),"$ -","")</f>
        <v/>
      </c>
      <c r="P329" s="59" t="str">
        <f>IF(OR($I329&lt;&gt;SottocategorieEntrate[[#Headers],[Business Entrate]],$I329&lt;&gt;SottocategorieEntrate[[#Headers],[Varie Entrate]],$I329&lt;&gt;SottocategorieEntrate[[#Headers],[Real Estate]],$I329&lt;&gt;SottocategorieEntrate[[#Headers],[Other]]),"","$ -")</f>
        <v/>
      </c>
      <c r="Q329" s="59" t="str">
        <f>IF(Dati[[#This Row],[Categoria]]="Prelievo","€ -","")</f>
        <v/>
      </c>
      <c r="R329" s="244"/>
      <c r="S329" s="59" t="str">
        <f>IF(Dati[[#This Row],[Categoria]]="Savings",0,"")</f>
        <v/>
      </c>
      <c r="T329" s="59"/>
      <c r="U329" s="59"/>
      <c r="V329" s="59"/>
      <c r="W329" s="59"/>
      <c r="X329" s="59"/>
      <c r="Y329" s="59"/>
      <c r="Z329" s="59"/>
      <c r="AA329" s="59"/>
      <c r="AB329" s="59"/>
      <c r="AC329" s="59"/>
      <c r="AD329" s="59"/>
      <c r="AE329" s="59"/>
      <c r="AF329" s="59"/>
      <c r="AG329" s="59"/>
      <c r="AH329" s="59"/>
      <c r="AI329" s="59" t="str">
        <f>IF(SUM(Dati[[#This Row],[Inv. Business]:[Inv. Cryptocurrency]])=0," ",SUM(Dati[[#This Row],[Inv. Business]:[Inv. Cryptocurrency]]))</f>
        <v xml:space="preserve"> </v>
      </c>
      <c r="AJ329" s="59"/>
      <c r="AK329" s="59" t="str">
        <f>IF(SUM(Dati[[#This Row],[Inv. Gold]:[Mutuo]])=0," ",SUM(Dati[[#This Row],[Inv. Gold]:[Mutuo]]))</f>
        <v xml:space="preserve"> </v>
      </c>
      <c r="AL329" s="59"/>
      <c r="AM329" s="59"/>
    </row>
    <row r="330" spans="2:39" ht="16" customHeight="1" x14ac:dyDescent="0.35">
      <c r="B330">
        <f t="shared" si="12"/>
        <v>310</v>
      </c>
      <c r="C330" s="49">
        <v>45218</v>
      </c>
      <c r="D330" s="29">
        <f>DAY(Dati[[#This Row],[Data]])</f>
        <v>19</v>
      </c>
      <c r="E330" s="29" t="str">
        <f>IF(DAY(Data!$C$21:$C$1327)&gt;0,TEXT(Data!$C$21:$C$1327, "mmmm"),"")</f>
        <v>ottobre</v>
      </c>
      <c r="F330" s="29" t="str">
        <f>IF(DAY(Data!$C$21:$C$1327)&gt;0,TEXT(Data!$C$21:$C$1327, "aaaa"),"")</f>
        <v>2023</v>
      </c>
      <c r="I330" t="str">
        <f>IF(OR(H330=$B$5,H330=$B$6,H330=$B$7,H330=$B$8,H330=$B$9,H330=$B$10,H330=$B$11,H330=$B$12,H330=$B$13,H330=$B$14),SottocategorieUscite[[#Headers],[Fuori Casa]],IF(OR(H330=$C$5,H330=$C$6,H330=$C$7,H330=$C$8,H330=$C$9,H330=$C$10,H330=$C$11,H330=$C$12,H330=$C$13,H330=$C$14),SottocategorieUscite[[#Headers],[Varie Uscite]],IF(OR(H330=$D$5,H330=$D$6,H330=$D$7,H330=$D$8,H330=$D$9,H330=$D$10,H330=$D$11,H330=$D$12,H330=$D$13,H330=$D$14),SottocategorieUscite[[#Headers],[Personali]],IF(OR(H330=$E$5,H330=$E$6,H330=$E$7,H330=$E$8,H330=$E$9,H330=$E$10,H330=$E$11,H330=$E$12,H330=$E$13,H330=$E$14),SottocategorieUscite[[#Headers],[Lavoro]],IF(OR(H330=$F$5,H330=$F$6,H330=$F$7,H330=$F$8,H330=$F$9,H330=$F$10,H330=$F$11,H330=$F$12,H330=$F$13,H330=$F$14),SottocategorieUscite[[#Headers],[Casa]],IF(OR(H330=$G$5,H330=$G$6,H330=$G$7,H330=$G$8,H330=$G$9,H330=$G$10,H330=$G$11,H330=$G$12,H330=$G$13,H330=$G$14),SottocategorieUscite[[#Headers],[Utenze]],IF(OR(H330=$H$5,H330=$H$6,H330=$H$7,H330=$H$8,H330=$H$9,H330=$H$10,H330=$H$11,H330=$H$12,H330=$H$13,H330=$H$14),SottocategorieUscite[[#Headers],[Business Uscite]],IF(OR(H330=$I$5,H330=$I$6,H330=$I$7,H330=$I$8,H330=$I$9,H330=$I$10,H330=$I$11,H330=$I$12,H330=$I$13,H330=$I$14),SottocategorieUscite[[#Headers],[Banca]],IF(OR(H330=K$5,H330=K$6,H330=K$7,H330=K$8,H330=K$9,H330=K$10,H330=K$11,H330=K$12,H330=K$13,H330=K$14),SottocategorieEntrate[[#Headers],[Business Entrate]],IF(OR(H330=L$5,H330=L$6,H330=L$7,H330=L$8,H330=L$9,H330=L$10,H330=L$11,H330=L$12,H330=L$13,H330=L$14),SottocategorieEntrate[[#Headers],[Varie Entrate]],IF(OR(H330=M$5,H330=M$6,H330=M$7,H330=M$8,H330=M$9,H330=M$10,H330=M$11,H330=M$12,H330=M$13,H330=M$14),SottocategorieEntrate[[#Headers],[Real Estate]],IF(OR(H330=N$5,H330=N$6,H330=N$7,H330=N$8,H330=N$9,H330=N$10,H330=N$11,H330=N$12,H330=N$13,H330=N$14),SottocategorieEntrate[[#Headers],[Other]],""))))))))))))</f>
        <v/>
      </c>
      <c r="J330" t="str">
        <f>IF(OR(Dati[[#This Row],[Categoria]]="Bollette",Dati[[#This Row],[Categoria]]="Conto &amp; Carte BNL",Dati[[#This Row],[Categoria]]="Prelievo",Dati[[#This Row],[Categoria]]="Affitto",Dati[[#This Row],[Categoria]]="BNL(Interessi Creditori)"),"Carta",IF(Dati[[#This Row],[Categoria]]&lt;&gt;0,"Cash",""))</f>
        <v/>
      </c>
      <c r="K330" s="59" t="str">
        <f>IF(OR(Data!$I330=SottocategorieUscite[[#Headers],[Fuori Casa]],Data!$I330=SottocategorieUscite[[#Headers],[Varie Uscite]],Data!$I330=SottocategorieUscite[[#Headers],[Personali]],Data!$I330=SottocategorieUscite[[#Headers],[Lavoro]]),"$ -","")</f>
        <v/>
      </c>
      <c r="L330" s="59" t="str">
        <f>IF(OR(Data!$I330=SottocategorieUscite[[#Headers],[Casa]],Data!$I330=SottocategorieUscite[[#Headers],[Utenze]],Data!$I330=SottocategorieUscite[[#Headers],[Business Uscite]],Data!$I330=SottocategorieUscite[[#Headers],[Banca]]),"$ -","")</f>
        <v/>
      </c>
      <c r="M330" s="59" t="str">
        <f>IF(OR($I330&lt;&gt;SottocategorieUscite[[#Headers],[Fuori Casa]],$I330&lt;&gt;SottocategorieUscite[[#Headers],[Varie Uscite]],$I330&lt;&gt;SottocategorieUscite[[#Headers],[Personali]],$I330&lt;&gt;SottocategorieUscite[[#Headers],[Lavoro]],$I330&lt;&gt;SottocategorieUscite[[#Headers],[Casa]],$I330&lt;&gt;SottocategorieUscite[[#Headers],[Utenze]],$I330&lt;&gt;SottocategorieUscite[[#Headers],[Business Uscite]],$I330&lt;&gt;SottocategorieUscite[[#Headers],[Banca]]),"","$ -")</f>
        <v/>
      </c>
      <c r="N330" s="59" t="str">
        <f>IF(OR(Data!$I330=SottocategorieEntrate[[#Headers],[Business Entrate]],Data!$I330=SottocategorieEntrate[[#Headers],[Varie Entrate]]),"$ -","")</f>
        <v/>
      </c>
      <c r="O330" s="59" t="str">
        <f>IF(OR(Data!$I330=SottocategorieEntrate[[#Headers],[Real Estate]],SottocategorieEntrate[[#Headers],[Other]]),"$ -","")</f>
        <v/>
      </c>
      <c r="P330" s="59" t="str">
        <f>IF(OR($I330&lt;&gt;SottocategorieEntrate[[#Headers],[Business Entrate]],$I330&lt;&gt;SottocategorieEntrate[[#Headers],[Varie Entrate]],$I330&lt;&gt;SottocategorieEntrate[[#Headers],[Real Estate]],$I330&lt;&gt;SottocategorieEntrate[[#Headers],[Other]]),"","$ -")</f>
        <v/>
      </c>
      <c r="Q330" s="59" t="str">
        <f>IF(Dati[[#This Row],[Categoria]]="Prelievo","€ -","")</f>
        <v/>
      </c>
      <c r="R330" s="244"/>
      <c r="S330" s="59" t="str">
        <f>IF(Dati[[#This Row],[Categoria]]="Savings",0,"")</f>
        <v/>
      </c>
      <c r="T330" s="59"/>
      <c r="U330" s="59"/>
      <c r="V330" s="59"/>
      <c r="W330" s="59"/>
      <c r="X330" s="59"/>
      <c r="Y330" s="59"/>
      <c r="Z330" s="59"/>
      <c r="AA330" s="59"/>
      <c r="AB330" s="59"/>
      <c r="AC330" s="59"/>
      <c r="AD330" s="59"/>
      <c r="AE330" s="59"/>
      <c r="AF330" s="59"/>
      <c r="AG330" s="59"/>
      <c r="AH330" s="59"/>
      <c r="AI330" s="59" t="str">
        <f>IF(SUM(Dati[[#This Row],[Inv. Business]:[Inv. Cryptocurrency]])=0," ",SUM(Dati[[#This Row],[Inv. Business]:[Inv. Cryptocurrency]]))</f>
        <v xml:space="preserve"> </v>
      </c>
      <c r="AJ330" s="59"/>
      <c r="AK330" s="59" t="str">
        <f>IF(SUM(Dati[[#This Row],[Inv. Gold]:[Mutuo]])=0," ",SUM(Dati[[#This Row],[Inv. Gold]:[Mutuo]]))</f>
        <v xml:space="preserve"> </v>
      </c>
      <c r="AL330" s="59"/>
      <c r="AM330" s="59"/>
    </row>
    <row r="331" spans="2:39" ht="16" customHeight="1" x14ac:dyDescent="0.35">
      <c r="B331">
        <f t="shared" si="12"/>
        <v>311</v>
      </c>
      <c r="C331" s="49">
        <f>C327+1</f>
        <v>45219</v>
      </c>
      <c r="D331" s="29">
        <f>DAY(Dati[[#This Row],[Data]])</f>
        <v>20</v>
      </c>
      <c r="E331" s="29" t="str">
        <f>IF(DAY(Data!$C$21:$C$1327)&gt;0,TEXT(Data!$C$21:$C$1327, "mmmm"),"")</f>
        <v>ottobre</v>
      </c>
      <c r="F331" s="29" t="str">
        <f>IF(DAY(Data!$C$21:$C$1327)&gt;0,TEXT(Data!$C$21:$C$1327, "aaaa"),"")</f>
        <v>2023</v>
      </c>
      <c r="I331" t="str">
        <f>IF(OR(H331=$B$5,H331=$B$6,H331=$B$7,H331=$B$8,H331=$B$9,H331=$B$10,H331=$B$11,H331=$B$12,H331=$B$13,H331=$B$14),SottocategorieUscite[[#Headers],[Fuori Casa]],IF(OR(H331=$C$5,H331=$C$6,H331=$C$7,H331=$C$8,H331=$C$9,H331=$C$10,H331=$C$11,H331=$C$12,H331=$C$13,H331=$C$14),SottocategorieUscite[[#Headers],[Varie Uscite]],IF(OR(H331=$D$5,H331=$D$6,H331=$D$7,H331=$D$8,H331=$D$9,H331=$D$10,H331=$D$11,H331=$D$12,H331=$D$13,H331=$D$14),SottocategorieUscite[[#Headers],[Personali]],IF(OR(H331=$E$5,H331=$E$6,H331=$E$7,H331=$E$8,H331=$E$9,H331=$E$10,H331=$E$11,H331=$E$12,H331=$E$13,H331=$E$14),SottocategorieUscite[[#Headers],[Lavoro]],IF(OR(H331=$F$5,H331=$F$6,H331=$F$7,H331=$F$8,H331=$F$9,H331=$F$10,H331=$F$11,H331=$F$12,H331=$F$13,H331=$F$14),SottocategorieUscite[[#Headers],[Casa]],IF(OR(H331=$G$5,H331=$G$6,H331=$G$7,H331=$G$8,H331=$G$9,H331=$G$10,H331=$G$11,H331=$G$12,H331=$G$13,H331=$G$14),SottocategorieUscite[[#Headers],[Utenze]],IF(OR(H331=$H$5,H331=$H$6,H331=$H$7,H331=$H$8,H331=$H$9,H331=$H$10,H331=$H$11,H331=$H$12,H331=$H$13,H331=$H$14),SottocategorieUscite[[#Headers],[Business Uscite]],IF(OR(H331=$I$5,H331=$I$6,H331=$I$7,H331=$I$8,H331=$I$9,H331=$I$10,H331=$I$11,H331=$I$12,H331=$I$13,H331=$I$14),SottocategorieUscite[[#Headers],[Banca]],IF(OR(H331=K$5,H331=K$6,H331=K$7,H331=K$8,H331=K$9,H331=K$10,H331=K$11,H331=K$12,H331=K$13,H331=K$14),SottocategorieEntrate[[#Headers],[Business Entrate]],IF(OR(H331=L$5,H331=L$6,H331=L$7,H331=L$8,H331=L$9,H331=L$10,H331=L$11,H331=L$12,H331=L$13,H331=L$14),SottocategorieEntrate[[#Headers],[Varie Entrate]],IF(OR(H331=M$5,H331=M$6,H331=M$7,H331=M$8,H331=M$9,H331=M$10,H331=M$11,H331=M$12,H331=M$13,H331=M$14),SottocategorieEntrate[[#Headers],[Real Estate]],IF(OR(H331=N$5,H331=N$6,H331=N$7,H331=N$8,H331=N$9,H331=N$10,H331=N$11,H331=N$12,H331=N$13,H331=N$14),SottocategorieEntrate[[#Headers],[Other]],""))))))))))))</f>
        <v/>
      </c>
      <c r="J331" t="str">
        <f>IF(OR(Dati[[#This Row],[Categoria]]="Bollette",Dati[[#This Row],[Categoria]]="Conto &amp; Carte BNL",Dati[[#This Row],[Categoria]]="Prelievo",Dati[[#This Row],[Categoria]]="Affitto",Dati[[#This Row],[Categoria]]="BNL(Interessi Creditori)"),"Carta",IF(Dati[[#This Row],[Categoria]]&lt;&gt;0,"Cash",""))</f>
        <v/>
      </c>
      <c r="K331" s="59" t="str">
        <f>IF(OR(Data!$I331=SottocategorieUscite[[#Headers],[Fuori Casa]],Data!$I331=SottocategorieUscite[[#Headers],[Varie Uscite]],Data!$I331=SottocategorieUscite[[#Headers],[Personali]],Data!$I331=SottocategorieUscite[[#Headers],[Lavoro]]),"$ -","")</f>
        <v/>
      </c>
      <c r="L331" s="59" t="str">
        <f>IF(OR(Data!$I331=SottocategorieUscite[[#Headers],[Casa]],Data!$I331=SottocategorieUscite[[#Headers],[Utenze]],Data!$I331=SottocategorieUscite[[#Headers],[Business Uscite]],Data!$I331=SottocategorieUscite[[#Headers],[Banca]]),"$ -","")</f>
        <v/>
      </c>
      <c r="M331" s="59" t="str">
        <f>IF(OR($I331&lt;&gt;SottocategorieUscite[[#Headers],[Fuori Casa]],$I331&lt;&gt;SottocategorieUscite[[#Headers],[Varie Uscite]],$I331&lt;&gt;SottocategorieUscite[[#Headers],[Personali]],$I331&lt;&gt;SottocategorieUscite[[#Headers],[Lavoro]],$I331&lt;&gt;SottocategorieUscite[[#Headers],[Casa]],$I331&lt;&gt;SottocategorieUscite[[#Headers],[Utenze]],$I331&lt;&gt;SottocategorieUscite[[#Headers],[Business Uscite]],$I331&lt;&gt;SottocategorieUscite[[#Headers],[Banca]]),"","$ -")</f>
        <v/>
      </c>
      <c r="N331" s="59" t="str">
        <f>IF(OR(Data!$I331=SottocategorieEntrate[[#Headers],[Business Entrate]],Data!$I331=SottocategorieEntrate[[#Headers],[Varie Entrate]]),"$ -","")</f>
        <v/>
      </c>
      <c r="O331" s="59" t="str">
        <f>IF(OR(Data!$I331=SottocategorieEntrate[[#Headers],[Real Estate]],SottocategorieEntrate[[#Headers],[Other]]),"$ -","")</f>
        <v/>
      </c>
      <c r="P331" s="59" t="str">
        <f>IF(OR($I331&lt;&gt;SottocategorieEntrate[[#Headers],[Business Entrate]],$I331&lt;&gt;SottocategorieEntrate[[#Headers],[Varie Entrate]],$I331&lt;&gt;SottocategorieEntrate[[#Headers],[Real Estate]],$I331&lt;&gt;SottocategorieEntrate[[#Headers],[Other]]),"","$ -")</f>
        <v/>
      </c>
      <c r="Q331" s="59" t="str">
        <f>IF(Dati[[#This Row],[Categoria]]="Prelievo","€ -","")</f>
        <v/>
      </c>
      <c r="R331" s="244"/>
      <c r="S331" s="59" t="str">
        <f>IF(Dati[[#This Row],[Categoria]]="Savings",0,"")</f>
        <v/>
      </c>
      <c r="T331" s="59"/>
      <c r="U331" s="59"/>
      <c r="V331" s="59"/>
      <c r="W331" s="59"/>
      <c r="X331" s="59"/>
      <c r="Y331" s="59"/>
      <c r="Z331" s="59"/>
      <c r="AA331" s="59"/>
      <c r="AB331" s="59"/>
      <c r="AC331" s="59"/>
      <c r="AD331" s="59"/>
      <c r="AE331" s="59"/>
      <c r="AF331" s="59"/>
      <c r="AG331" s="59"/>
      <c r="AH331" s="59"/>
      <c r="AI331" s="59" t="str">
        <f>IF(SUM(Dati[[#This Row],[Inv. Business]:[Inv. Cryptocurrency]])=0," ",SUM(Dati[[#This Row],[Inv. Business]:[Inv. Cryptocurrency]]))</f>
        <v xml:space="preserve"> </v>
      </c>
      <c r="AJ331" s="59"/>
      <c r="AK331" s="59" t="str">
        <f>IF(SUM(Dati[[#This Row],[Inv. Gold]:[Mutuo]])=0," ",SUM(Dati[[#This Row],[Inv. Gold]:[Mutuo]]))</f>
        <v xml:space="preserve"> </v>
      </c>
      <c r="AL331" s="59"/>
      <c r="AM331" s="59"/>
    </row>
    <row r="332" spans="2:39" ht="16" customHeight="1" x14ac:dyDescent="0.35">
      <c r="B332">
        <f t="shared" si="12"/>
        <v>312</v>
      </c>
      <c r="C332" s="49">
        <v>45219</v>
      </c>
      <c r="D332" s="29">
        <f>DAY(Dati[[#This Row],[Data]])</f>
        <v>20</v>
      </c>
      <c r="E332" s="29" t="str">
        <f>IF(DAY(Data!$C$21:$C$1327)&gt;0,TEXT(Data!$C$21:$C$1327, "mmmm"),"")</f>
        <v>ottobre</v>
      </c>
      <c r="F332" s="29" t="str">
        <f>IF(DAY(Data!$C$21:$C$1327)&gt;0,TEXT(Data!$C$21:$C$1327, "aaaa"),"")</f>
        <v>2023</v>
      </c>
      <c r="I332" t="str">
        <f>IF(OR(H332=$B$5,H332=$B$6,H332=$B$7,H332=$B$8,H332=$B$9,H332=$B$10,H332=$B$11,H332=$B$12,H332=$B$13,H332=$B$14),SottocategorieUscite[[#Headers],[Fuori Casa]],IF(OR(H332=$C$5,H332=$C$6,H332=$C$7,H332=$C$8,H332=$C$9,H332=$C$10,H332=$C$11,H332=$C$12,H332=$C$13,H332=$C$14),SottocategorieUscite[[#Headers],[Varie Uscite]],IF(OR(H332=$D$5,H332=$D$6,H332=$D$7,H332=$D$8,H332=$D$9,H332=$D$10,H332=$D$11,H332=$D$12,H332=$D$13,H332=$D$14),SottocategorieUscite[[#Headers],[Personali]],IF(OR(H332=$E$5,H332=$E$6,H332=$E$7,H332=$E$8,H332=$E$9,H332=$E$10,H332=$E$11,H332=$E$12,H332=$E$13,H332=$E$14),SottocategorieUscite[[#Headers],[Lavoro]],IF(OR(H332=$F$5,H332=$F$6,H332=$F$7,H332=$F$8,H332=$F$9,H332=$F$10,H332=$F$11,H332=$F$12,H332=$F$13,H332=$F$14),SottocategorieUscite[[#Headers],[Casa]],IF(OR(H332=$G$5,H332=$G$6,H332=$G$7,H332=$G$8,H332=$G$9,H332=$G$10,H332=$G$11,H332=$G$12,H332=$G$13,H332=$G$14),SottocategorieUscite[[#Headers],[Utenze]],IF(OR(H332=$H$5,H332=$H$6,H332=$H$7,H332=$H$8,H332=$H$9,H332=$H$10,H332=$H$11,H332=$H$12,H332=$H$13,H332=$H$14),SottocategorieUscite[[#Headers],[Business Uscite]],IF(OR(H332=$I$5,H332=$I$6,H332=$I$7,H332=$I$8,H332=$I$9,H332=$I$10,H332=$I$11,H332=$I$12,H332=$I$13,H332=$I$14),SottocategorieUscite[[#Headers],[Banca]],IF(OR(H332=K$5,H332=K$6,H332=K$7,H332=K$8,H332=K$9,H332=K$10,H332=K$11,H332=K$12,H332=K$13,H332=K$14),SottocategorieEntrate[[#Headers],[Business Entrate]],IF(OR(H332=L$5,H332=L$6,H332=L$7,H332=L$8,H332=L$9,H332=L$10,H332=L$11,H332=L$12,H332=L$13,H332=L$14),SottocategorieEntrate[[#Headers],[Varie Entrate]],IF(OR(H332=M$5,H332=M$6,H332=M$7,H332=M$8,H332=M$9,H332=M$10,H332=M$11,H332=M$12,H332=M$13,H332=M$14),SottocategorieEntrate[[#Headers],[Real Estate]],IF(OR(H332=N$5,H332=N$6,H332=N$7,H332=N$8,H332=N$9,H332=N$10,H332=N$11,H332=N$12,H332=N$13,H332=N$14),SottocategorieEntrate[[#Headers],[Other]],""))))))))))))</f>
        <v/>
      </c>
      <c r="J332" t="str">
        <f>IF(OR(Dati[[#This Row],[Categoria]]="Bollette",Dati[[#This Row],[Categoria]]="Conto &amp; Carte BNL",Dati[[#This Row],[Categoria]]="Prelievo",Dati[[#This Row],[Categoria]]="Affitto",Dati[[#This Row],[Categoria]]="BNL(Interessi Creditori)"),"Carta",IF(Dati[[#This Row],[Categoria]]&lt;&gt;0,"Cash",""))</f>
        <v/>
      </c>
      <c r="K332" s="59" t="str">
        <f>IF(OR(Data!$I332=SottocategorieUscite[[#Headers],[Fuori Casa]],Data!$I332=SottocategorieUscite[[#Headers],[Varie Uscite]],Data!$I332=SottocategorieUscite[[#Headers],[Personali]],Data!$I332=SottocategorieUscite[[#Headers],[Lavoro]]),"$ -","")</f>
        <v/>
      </c>
      <c r="L332" s="59" t="str">
        <f>IF(OR(Data!$I332=SottocategorieUscite[[#Headers],[Casa]],Data!$I332=SottocategorieUscite[[#Headers],[Utenze]],Data!$I332=SottocategorieUscite[[#Headers],[Business Uscite]],Data!$I332=SottocategorieUscite[[#Headers],[Banca]]),"$ -","")</f>
        <v/>
      </c>
      <c r="M332" s="59" t="str">
        <f>IF(OR($I332&lt;&gt;SottocategorieUscite[[#Headers],[Fuori Casa]],$I332&lt;&gt;SottocategorieUscite[[#Headers],[Varie Uscite]],$I332&lt;&gt;SottocategorieUscite[[#Headers],[Personali]],$I332&lt;&gt;SottocategorieUscite[[#Headers],[Lavoro]],$I332&lt;&gt;SottocategorieUscite[[#Headers],[Casa]],$I332&lt;&gt;SottocategorieUscite[[#Headers],[Utenze]],$I332&lt;&gt;SottocategorieUscite[[#Headers],[Business Uscite]],$I332&lt;&gt;SottocategorieUscite[[#Headers],[Banca]]),"","$ -")</f>
        <v/>
      </c>
      <c r="N332" s="59" t="str">
        <f>IF(OR(Data!$I332=SottocategorieEntrate[[#Headers],[Business Entrate]],Data!$I332=SottocategorieEntrate[[#Headers],[Varie Entrate]]),"$ -","")</f>
        <v/>
      </c>
      <c r="O332" s="59" t="str">
        <f>IF(OR(Data!$I332=SottocategorieEntrate[[#Headers],[Real Estate]],SottocategorieEntrate[[#Headers],[Other]]),"$ -","")</f>
        <v/>
      </c>
      <c r="P332" s="59" t="str">
        <f>IF(OR($I332&lt;&gt;SottocategorieEntrate[[#Headers],[Business Entrate]],$I332&lt;&gt;SottocategorieEntrate[[#Headers],[Varie Entrate]],$I332&lt;&gt;SottocategorieEntrate[[#Headers],[Real Estate]],$I332&lt;&gt;SottocategorieEntrate[[#Headers],[Other]]),"","$ -")</f>
        <v/>
      </c>
      <c r="Q332" s="59" t="str">
        <f>IF(Dati[[#This Row],[Categoria]]="Prelievo","€ -","")</f>
        <v/>
      </c>
      <c r="R332" s="244"/>
      <c r="S332" s="59" t="str">
        <f>IF(Dati[[#This Row],[Categoria]]="Savings",0,"")</f>
        <v/>
      </c>
      <c r="T332" s="59"/>
      <c r="U332" s="59"/>
      <c r="V332" s="59"/>
      <c r="W332" s="59"/>
      <c r="X332" s="59"/>
      <c r="Y332" s="59"/>
      <c r="Z332" s="59"/>
      <c r="AA332" s="59"/>
      <c r="AB332" s="59"/>
      <c r="AC332" s="59"/>
      <c r="AD332" s="59"/>
      <c r="AE332" s="59"/>
      <c r="AF332" s="59"/>
      <c r="AG332" s="59"/>
      <c r="AH332" s="59"/>
      <c r="AI332" s="59" t="str">
        <f>IF(SUM(Dati[[#This Row],[Inv. Business]:[Inv. Cryptocurrency]])=0," ",SUM(Dati[[#This Row],[Inv. Business]:[Inv. Cryptocurrency]]))</f>
        <v xml:space="preserve"> </v>
      </c>
      <c r="AJ332" s="59"/>
      <c r="AK332" s="59" t="str">
        <f>IF(SUM(Dati[[#This Row],[Inv. Gold]:[Mutuo]])=0," ",SUM(Dati[[#This Row],[Inv. Gold]:[Mutuo]]))</f>
        <v xml:space="preserve"> </v>
      </c>
      <c r="AL332" s="59"/>
      <c r="AM332" s="59"/>
    </row>
    <row r="333" spans="2:39" ht="16" customHeight="1" x14ac:dyDescent="0.35">
      <c r="B333">
        <f t="shared" si="12"/>
        <v>313</v>
      </c>
      <c r="C333" s="49">
        <v>45219</v>
      </c>
      <c r="D333" s="29">
        <f>DAY(Dati[[#This Row],[Data]])</f>
        <v>20</v>
      </c>
      <c r="E333" s="29" t="str">
        <f>IF(DAY(Data!$C$21:$C$1327)&gt;0,TEXT(Data!$C$21:$C$1327, "mmmm"),"")</f>
        <v>ottobre</v>
      </c>
      <c r="F333" s="29" t="str">
        <f>IF(DAY(Data!$C$21:$C$1327)&gt;0,TEXT(Data!$C$21:$C$1327, "aaaa"),"")</f>
        <v>2023</v>
      </c>
      <c r="I333" t="str">
        <f>IF(OR(H333=$B$5,H333=$B$6,H333=$B$7,H333=$B$8,H333=$B$9,H333=$B$10,H333=$B$11,H333=$B$12,H333=$B$13,H333=$B$14),SottocategorieUscite[[#Headers],[Fuori Casa]],IF(OR(H333=$C$5,H333=$C$6,H333=$C$7,H333=$C$8,H333=$C$9,H333=$C$10,H333=$C$11,H333=$C$12,H333=$C$13,H333=$C$14),SottocategorieUscite[[#Headers],[Varie Uscite]],IF(OR(H333=$D$5,H333=$D$6,H333=$D$7,H333=$D$8,H333=$D$9,H333=$D$10,H333=$D$11,H333=$D$12,H333=$D$13,H333=$D$14),SottocategorieUscite[[#Headers],[Personali]],IF(OR(H333=$E$5,H333=$E$6,H333=$E$7,H333=$E$8,H333=$E$9,H333=$E$10,H333=$E$11,H333=$E$12,H333=$E$13,H333=$E$14),SottocategorieUscite[[#Headers],[Lavoro]],IF(OR(H333=$F$5,H333=$F$6,H333=$F$7,H333=$F$8,H333=$F$9,H333=$F$10,H333=$F$11,H333=$F$12,H333=$F$13,H333=$F$14),SottocategorieUscite[[#Headers],[Casa]],IF(OR(H333=$G$5,H333=$G$6,H333=$G$7,H333=$G$8,H333=$G$9,H333=$G$10,H333=$G$11,H333=$G$12,H333=$G$13,H333=$G$14),SottocategorieUscite[[#Headers],[Utenze]],IF(OR(H333=$H$5,H333=$H$6,H333=$H$7,H333=$H$8,H333=$H$9,H333=$H$10,H333=$H$11,H333=$H$12,H333=$H$13,H333=$H$14),SottocategorieUscite[[#Headers],[Business Uscite]],IF(OR(H333=$I$5,H333=$I$6,H333=$I$7,H333=$I$8,H333=$I$9,H333=$I$10,H333=$I$11,H333=$I$12,H333=$I$13,H333=$I$14),SottocategorieUscite[[#Headers],[Banca]],IF(OR(H333=K$5,H333=K$6,H333=K$7,H333=K$8,H333=K$9,H333=K$10,H333=K$11,H333=K$12,H333=K$13,H333=K$14),SottocategorieEntrate[[#Headers],[Business Entrate]],IF(OR(H333=L$5,H333=L$6,H333=L$7,H333=L$8,H333=L$9,H333=L$10,H333=L$11,H333=L$12,H333=L$13,H333=L$14),SottocategorieEntrate[[#Headers],[Varie Entrate]],IF(OR(H333=M$5,H333=M$6,H333=M$7,H333=M$8,H333=M$9,H333=M$10,H333=M$11,H333=M$12,H333=M$13,H333=M$14),SottocategorieEntrate[[#Headers],[Real Estate]],IF(OR(H333=N$5,H333=N$6,H333=N$7,H333=N$8,H333=N$9,H333=N$10,H333=N$11,H333=N$12,H333=N$13,H333=N$14),SottocategorieEntrate[[#Headers],[Other]],""))))))))))))</f>
        <v/>
      </c>
      <c r="J333" t="str">
        <f>IF(OR(Dati[[#This Row],[Categoria]]="Bollette",Dati[[#This Row],[Categoria]]="Conto &amp; Carte BNL",Dati[[#This Row],[Categoria]]="Prelievo",Dati[[#This Row],[Categoria]]="Affitto",Dati[[#This Row],[Categoria]]="BNL(Interessi Creditori)"),"Carta",IF(Dati[[#This Row],[Categoria]]&lt;&gt;0,"Cash",""))</f>
        <v/>
      </c>
      <c r="K333" s="59" t="str">
        <f>IF(OR(Data!$I333=SottocategorieUscite[[#Headers],[Fuori Casa]],Data!$I333=SottocategorieUscite[[#Headers],[Varie Uscite]],Data!$I333=SottocategorieUscite[[#Headers],[Personali]],Data!$I333=SottocategorieUscite[[#Headers],[Lavoro]]),"$ -","")</f>
        <v/>
      </c>
      <c r="L333" s="59" t="str">
        <f>IF(OR(Data!$I333=SottocategorieUscite[[#Headers],[Casa]],Data!$I333=SottocategorieUscite[[#Headers],[Utenze]],Data!$I333=SottocategorieUscite[[#Headers],[Business Uscite]],Data!$I333=SottocategorieUscite[[#Headers],[Banca]]),"$ -","")</f>
        <v/>
      </c>
      <c r="M333" s="59" t="str">
        <f>IF(OR($I333&lt;&gt;SottocategorieUscite[[#Headers],[Fuori Casa]],$I333&lt;&gt;SottocategorieUscite[[#Headers],[Varie Uscite]],$I333&lt;&gt;SottocategorieUscite[[#Headers],[Personali]],$I333&lt;&gt;SottocategorieUscite[[#Headers],[Lavoro]],$I333&lt;&gt;SottocategorieUscite[[#Headers],[Casa]],$I333&lt;&gt;SottocategorieUscite[[#Headers],[Utenze]],$I333&lt;&gt;SottocategorieUscite[[#Headers],[Business Uscite]],$I333&lt;&gt;SottocategorieUscite[[#Headers],[Banca]]),"","$ -")</f>
        <v/>
      </c>
      <c r="N333" s="59" t="str">
        <f>IF(OR(Data!$I333=SottocategorieEntrate[[#Headers],[Business Entrate]],Data!$I333=SottocategorieEntrate[[#Headers],[Varie Entrate]]),"$ -","")</f>
        <v/>
      </c>
      <c r="O333" s="59" t="str">
        <f>IF(OR(Data!$I333=SottocategorieEntrate[[#Headers],[Real Estate]],SottocategorieEntrate[[#Headers],[Other]]),"$ -","")</f>
        <v/>
      </c>
      <c r="P333" s="59" t="str">
        <f>IF(OR($I333&lt;&gt;SottocategorieEntrate[[#Headers],[Business Entrate]],$I333&lt;&gt;SottocategorieEntrate[[#Headers],[Varie Entrate]],$I333&lt;&gt;SottocategorieEntrate[[#Headers],[Real Estate]],$I333&lt;&gt;SottocategorieEntrate[[#Headers],[Other]]),"","$ -")</f>
        <v/>
      </c>
      <c r="Q333" s="59" t="str">
        <f>IF(Dati[[#This Row],[Categoria]]="Prelievo","€ -","")</f>
        <v/>
      </c>
      <c r="R333" s="244"/>
      <c r="S333" s="59" t="str">
        <f>IF(Dati[[#This Row],[Categoria]]="Savings",0,"")</f>
        <v/>
      </c>
      <c r="T333" s="59"/>
      <c r="U333" s="59"/>
      <c r="V333" s="59"/>
      <c r="W333" s="59"/>
      <c r="X333" s="59"/>
      <c r="Y333" s="59"/>
      <c r="Z333" s="59"/>
      <c r="AA333" s="59"/>
      <c r="AB333" s="59"/>
      <c r="AC333" s="59"/>
      <c r="AD333" s="59"/>
      <c r="AE333" s="59"/>
      <c r="AF333" s="59"/>
      <c r="AG333" s="59"/>
      <c r="AH333" s="59"/>
      <c r="AI333" s="59" t="str">
        <f>IF(SUM(Dati[[#This Row],[Inv. Business]:[Inv. Cryptocurrency]])=0," ",SUM(Dati[[#This Row],[Inv. Business]:[Inv. Cryptocurrency]]))</f>
        <v xml:space="preserve"> </v>
      </c>
      <c r="AJ333" s="59"/>
      <c r="AK333" s="59" t="str">
        <f>IF(SUM(Dati[[#This Row],[Inv. Gold]:[Mutuo]])=0," ",SUM(Dati[[#This Row],[Inv. Gold]:[Mutuo]]))</f>
        <v xml:space="preserve"> </v>
      </c>
      <c r="AL333" s="59"/>
      <c r="AM333" s="59"/>
    </row>
    <row r="334" spans="2:39" ht="16" customHeight="1" x14ac:dyDescent="0.35">
      <c r="B334">
        <f t="shared" si="12"/>
        <v>314</v>
      </c>
      <c r="C334" s="49">
        <v>45219</v>
      </c>
      <c r="D334" s="29">
        <f>DAY(Dati[[#This Row],[Data]])</f>
        <v>20</v>
      </c>
      <c r="E334" s="29" t="str">
        <f>IF(DAY(Data!$C$21:$C$1327)&gt;0,TEXT(Data!$C$21:$C$1327, "mmmm"),"")</f>
        <v>ottobre</v>
      </c>
      <c r="F334" s="29" t="str">
        <f>IF(DAY(Data!$C$21:$C$1327)&gt;0,TEXT(Data!$C$21:$C$1327, "aaaa"),"")</f>
        <v>2023</v>
      </c>
      <c r="I334" t="str">
        <f>IF(OR(H334=$B$5,H334=$B$6,H334=$B$7,H334=$B$8,H334=$B$9,H334=$B$10,H334=$B$11,H334=$B$12,H334=$B$13,H334=$B$14),SottocategorieUscite[[#Headers],[Fuori Casa]],IF(OR(H334=$C$5,H334=$C$6,H334=$C$7,H334=$C$8,H334=$C$9,H334=$C$10,H334=$C$11,H334=$C$12,H334=$C$13,H334=$C$14),SottocategorieUscite[[#Headers],[Varie Uscite]],IF(OR(H334=$D$5,H334=$D$6,H334=$D$7,H334=$D$8,H334=$D$9,H334=$D$10,H334=$D$11,H334=$D$12,H334=$D$13,H334=$D$14),SottocategorieUscite[[#Headers],[Personali]],IF(OR(H334=$E$5,H334=$E$6,H334=$E$7,H334=$E$8,H334=$E$9,H334=$E$10,H334=$E$11,H334=$E$12,H334=$E$13,H334=$E$14),SottocategorieUscite[[#Headers],[Lavoro]],IF(OR(H334=$F$5,H334=$F$6,H334=$F$7,H334=$F$8,H334=$F$9,H334=$F$10,H334=$F$11,H334=$F$12,H334=$F$13,H334=$F$14),SottocategorieUscite[[#Headers],[Casa]],IF(OR(H334=$G$5,H334=$G$6,H334=$G$7,H334=$G$8,H334=$G$9,H334=$G$10,H334=$G$11,H334=$G$12,H334=$G$13,H334=$G$14),SottocategorieUscite[[#Headers],[Utenze]],IF(OR(H334=$H$5,H334=$H$6,H334=$H$7,H334=$H$8,H334=$H$9,H334=$H$10,H334=$H$11,H334=$H$12,H334=$H$13,H334=$H$14),SottocategorieUscite[[#Headers],[Business Uscite]],IF(OR(H334=$I$5,H334=$I$6,H334=$I$7,H334=$I$8,H334=$I$9,H334=$I$10,H334=$I$11,H334=$I$12,H334=$I$13,H334=$I$14),SottocategorieUscite[[#Headers],[Banca]],IF(OR(H334=K$5,H334=K$6,H334=K$7,H334=K$8,H334=K$9,H334=K$10,H334=K$11,H334=K$12,H334=K$13,H334=K$14),SottocategorieEntrate[[#Headers],[Business Entrate]],IF(OR(H334=L$5,H334=L$6,H334=L$7,H334=L$8,H334=L$9,H334=L$10,H334=L$11,H334=L$12,H334=L$13,H334=L$14),SottocategorieEntrate[[#Headers],[Varie Entrate]],IF(OR(H334=M$5,H334=M$6,H334=M$7,H334=M$8,H334=M$9,H334=M$10,H334=M$11,H334=M$12,H334=M$13,H334=M$14),SottocategorieEntrate[[#Headers],[Real Estate]],IF(OR(H334=N$5,H334=N$6,H334=N$7,H334=N$8,H334=N$9,H334=N$10,H334=N$11,H334=N$12,H334=N$13,H334=N$14),SottocategorieEntrate[[#Headers],[Other]],""))))))))))))</f>
        <v/>
      </c>
      <c r="J334" t="str">
        <f>IF(OR(Dati[[#This Row],[Categoria]]="Bollette",Dati[[#This Row],[Categoria]]="Conto &amp; Carte BNL",Dati[[#This Row],[Categoria]]="Prelievo",Dati[[#This Row],[Categoria]]="Affitto",Dati[[#This Row],[Categoria]]="BNL(Interessi Creditori)"),"Carta",IF(Dati[[#This Row],[Categoria]]&lt;&gt;0,"Cash",""))</f>
        <v/>
      </c>
      <c r="K334" s="59" t="str">
        <f>IF(OR(Data!$I334=SottocategorieUscite[[#Headers],[Fuori Casa]],Data!$I334=SottocategorieUscite[[#Headers],[Varie Uscite]],Data!$I334=SottocategorieUscite[[#Headers],[Personali]],Data!$I334=SottocategorieUscite[[#Headers],[Lavoro]]),"$ -","")</f>
        <v/>
      </c>
      <c r="L334" s="59" t="str">
        <f>IF(OR(Data!$I334=SottocategorieUscite[[#Headers],[Casa]],Data!$I334=SottocategorieUscite[[#Headers],[Utenze]],Data!$I334=SottocategorieUscite[[#Headers],[Business Uscite]],Data!$I334=SottocategorieUscite[[#Headers],[Banca]]),"$ -","")</f>
        <v/>
      </c>
      <c r="M334" s="59" t="str">
        <f>IF(OR($I334&lt;&gt;SottocategorieUscite[[#Headers],[Fuori Casa]],$I334&lt;&gt;SottocategorieUscite[[#Headers],[Varie Uscite]],$I334&lt;&gt;SottocategorieUscite[[#Headers],[Personali]],$I334&lt;&gt;SottocategorieUscite[[#Headers],[Lavoro]],$I334&lt;&gt;SottocategorieUscite[[#Headers],[Casa]],$I334&lt;&gt;SottocategorieUscite[[#Headers],[Utenze]],$I334&lt;&gt;SottocategorieUscite[[#Headers],[Business Uscite]],$I334&lt;&gt;SottocategorieUscite[[#Headers],[Banca]]),"","$ -")</f>
        <v/>
      </c>
      <c r="N334" s="59" t="str">
        <f>IF(OR(Data!$I334=SottocategorieEntrate[[#Headers],[Business Entrate]],Data!$I334=SottocategorieEntrate[[#Headers],[Varie Entrate]]),"$ -","")</f>
        <v/>
      </c>
      <c r="O334" s="59" t="str">
        <f>IF(OR(Data!$I334=SottocategorieEntrate[[#Headers],[Real Estate]],SottocategorieEntrate[[#Headers],[Other]]),"$ -","")</f>
        <v/>
      </c>
      <c r="P334" s="59" t="str">
        <f>IF(OR($I334&lt;&gt;SottocategorieEntrate[[#Headers],[Business Entrate]],$I334&lt;&gt;SottocategorieEntrate[[#Headers],[Varie Entrate]],$I334&lt;&gt;SottocategorieEntrate[[#Headers],[Real Estate]],$I334&lt;&gt;SottocategorieEntrate[[#Headers],[Other]]),"","$ -")</f>
        <v/>
      </c>
      <c r="Q334" s="59" t="str">
        <f>IF(Dati[[#This Row],[Categoria]]="Prelievo","€ -","")</f>
        <v/>
      </c>
      <c r="R334" s="244"/>
      <c r="S334" s="59" t="str">
        <f>IF(Dati[[#This Row],[Categoria]]="Savings",0,"")</f>
        <v/>
      </c>
      <c r="T334" s="59"/>
      <c r="U334" s="59"/>
      <c r="V334" s="59"/>
      <c r="W334" s="59"/>
      <c r="X334" s="59"/>
      <c r="Y334" s="59"/>
      <c r="Z334" s="59"/>
      <c r="AA334" s="59"/>
      <c r="AB334" s="59"/>
      <c r="AC334" s="59"/>
      <c r="AD334" s="59"/>
      <c r="AE334" s="59"/>
      <c r="AF334" s="59"/>
      <c r="AG334" s="59"/>
      <c r="AH334" s="59"/>
      <c r="AI334" s="59" t="str">
        <f>IF(SUM(Dati[[#This Row],[Inv. Business]:[Inv. Cryptocurrency]])=0," ",SUM(Dati[[#This Row],[Inv. Business]:[Inv. Cryptocurrency]]))</f>
        <v xml:space="preserve"> </v>
      </c>
      <c r="AJ334" s="59"/>
      <c r="AK334" s="59" t="str">
        <f>IF(SUM(Dati[[#This Row],[Inv. Gold]:[Mutuo]])=0," ",SUM(Dati[[#This Row],[Inv. Gold]:[Mutuo]]))</f>
        <v xml:space="preserve"> </v>
      </c>
      <c r="AL334" s="59"/>
      <c r="AM334" s="59"/>
    </row>
    <row r="335" spans="2:39" ht="16" customHeight="1" x14ac:dyDescent="0.35">
      <c r="B335">
        <f t="shared" si="12"/>
        <v>315</v>
      </c>
      <c r="C335" s="49">
        <v>45219</v>
      </c>
      <c r="D335" s="29">
        <f>DAY(Dati[[#This Row],[Data]])</f>
        <v>20</v>
      </c>
      <c r="E335" s="29" t="str">
        <f>IF(DAY(Data!$C$21:$C$1327)&gt;0,TEXT(Data!$C$21:$C$1327, "mmmm"),"")</f>
        <v>ottobre</v>
      </c>
      <c r="F335" s="29" t="str">
        <f>IF(DAY(Data!$C$21:$C$1327)&gt;0,TEXT(Data!$C$21:$C$1327, "aaaa"),"")</f>
        <v>2023</v>
      </c>
      <c r="I335" t="str">
        <f>IF(OR(H335=$B$5,H335=$B$6,H335=$B$7,H335=$B$8,H335=$B$9,H335=$B$10,H335=$B$11,H335=$B$12,H335=$B$13,H335=$B$14),SottocategorieUscite[[#Headers],[Fuori Casa]],IF(OR(H335=$C$5,H335=$C$6,H335=$C$7,H335=$C$8,H335=$C$9,H335=$C$10,H335=$C$11,H335=$C$12,H335=$C$13,H335=$C$14),SottocategorieUscite[[#Headers],[Varie Uscite]],IF(OR(H335=$D$5,H335=$D$6,H335=$D$7,H335=$D$8,H335=$D$9,H335=$D$10,H335=$D$11,H335=$D$12,H335=$D$13,H335=$D$14),SottocategorieUscite[[#Headers],[Personali]],IF(OR(H335=$E$5,H335=$E$6,H335=$E$7,H335=$E$8,H335=$E$9,H335=$E$10,H335=$E$11,H335=$E$12,H335=$E$13,H335=$E$14),SottocategorieUscite[[#Headers],[Lavoro]],IF(OR(H335=$F$5,H335=$F$6,H335=$F$7,H335=$F$8,H335=$F$9,H335=$F$10,H335=$F$11,H335=$F$12,H335=$F$13,H335=$F$14),SottocategorieUscite[[#Headers],[Casa]],IF(OR(H335=$G$5,H335=$G$6,H335=$G$7,H335=$G$8,H335=$G$9,H335=$G$10,H335=$G$11,H335=$G$12,H335=$G$13,H335=$G$14),SottocategorieUscite[[#Headers],[Utenze]],IF(OR(H335=$H$5,H335=$H$6,H335=$H$7,H335=$H$8,H335=$H$9,H335=$H$10,H335=$H$11,H335=$H$12,H335=$H$13,H335=$H$14),SottocategorieUscite[[#Headers],[Business Uscite]],IF(OR(H335=$I$5,H335=$I$6,H335=$I$7,H335=$I$8,H335=$I$9,H335=$I$10,H335=$I$11,H335=$I$12,H335=$I$13,H335=$I$14),SottocategorieUscite[[#Headers],[Banca]],IF(OR(H335=K$5,H335=K$6,H335=K$7,H335=K$8,H335=K$9,H335=K$10,H335=K$11,H335=K$12,H335=K$13,H335=K$14),SottocategorieEntrate[[#Headers],[Business Entrate]],IF(OR(H335=L$5,H335=L$6,H335=L$7,H335=L$8,H335=L$9,H335=L$10,H335=L$11,H335=L$12,H335=L$13,H335=L$14),SottocategorieEntrate[[#Headers],[Varie Entrate]],IF(OR(H335=M$5,H335=M$6,H335=M$7,H335=M$8,H335=M$9,H335=M$10,H335=M$11,H335=M$12,H335=M$13,H335=M$14),SottocategorieEntrate[[#Headers],[Real Estate]],IF(OR(H335=N$5,H335=N$6,H335=N$7,H335=N$8,H335=N$9,H335=N$10,H335=N$11,H335=N$12,H335=N$13,H335=N$14),SottocategorieEntrate[[#Headers],[Other]],""))))))))))))</f>
        <v/>
      </c>
      <c r="J335" t="str">
        <f>IF(OR(Dati[[#This Row],[Categoria]]="Bollette",Dati[[#This Row],[Categoria]]="Conto &amp; Carte BNL",Dati[[#This Row],[Categoria]]="Prelievo",Dati[[#This Row],[Categoria]]="Affitto",Dati[[#This Row],[Categoria]]="BNL(Interessi Creditori)"),"Carta",IF(Dati[[#This Row],[Categoria]]&lt;&gt;0,"Cash",""))</f>
        <v/>
      </c>
      <c r="K335" s="59" t="str">
        <f>IF(OR(Data!$I335=SottocategorieUscite[[#Headers],[Fuori Casa]],Data!$I335=SottocategorieUscite[[#Headers],[Varie Uscite]],Data!$I335=SottocategorieUscite[[#Headers],[Personali]],Data!$I335=SottocategorieUscite[[#Headers],[Lavoro]]),"$ -","")</f>
        <v/>
      </c>
      <c r="L335" s="59" t="str">
        <f>IF(OR(Data!$I335=SottocategorieUscite[[#Headers],[Casa]],Data!$I335=SottocategorieUscite[[#Headers],[Utenze]],Data!$I335=SottocategorieUscite[[#Headers],[Business Uscite]],Data!$I335=SottocategorieUscite[[#Headers],[Banca]]),"$ -","")</f>
        <v/>
      </c>
      <c r="M335" s="59" t="str">
        <f>IF(OR($I335&lt;&gt;SottocategorieUscite[[#Headers],[Fuori Casa]],$I335&lt;&gt;SottocategorieUscite[[#Headers],[Varie Uscite]],$I335&lt;&gt;SottocategorieUscite[[#Headers],[Personali]],$I335&lt;&gt;SottocategorieUscite[[#Headers],[Lavoro]],$I335&lt;&gt;SottocategorieUscite[[#Headers],[Casa]],$I335&lt;&gt;SottocategorieUscite[[#Headers],[Utenze]],$I335&lt;&gt;SottocategorieUscite[[#Headers],[Business Uscite]],$I335&lt;&gt;SottocategorieUscite[[#Headers],[Banca]]),"","$ -")</f>
        <v/>
      </c>
      <c r="N335" s="59" t="str">
        <f>IF(OR(Data!$I335=SottocategorieEntrate[[#Headers],[Business Entrate]],Data!$I335=SottocategorieEntrate[[#Headers],[Varie Entrate]]),"$ -","")</f>
        <v/>
      </c>
      <c r="O335" s="59" t="str">
        <f>IF(OR(Data!$I335=SottocategorieEntrate[[#Headers],[Real Estate]],SottocategorieEntrate[[#Headers],[Other]]),"$ -","")</f>
        <v/>
      </c>
      <c r="P335" s="59" t="str">
        <f>IF(OR($I335&lt;&gt;SottocategorieEntrate[[#Headers],[Business Entrate]],$I335&lt;&gt;SottocategorieEntrate[[#Headers],[Varie Entrate]],$I335&lt;&gt;SottocategorieEntrate[[#Headers],[Real Estate]],$I335&lt;&gt;SottocategorieEntrate[[#Headers],[Other]]),"","$ -")</f>
        <v/>
      </c>
      <c r="Q335" s="59" t="str">
        <f>IF(Dati[[#This Row],[Categoria]]="Prelievo","€ -","")</f>
        <v/>
      </c>
      <c r="R335" s="244"/>
      <c r="S335" s="59" t="str">
        <f>IF(Dati[[#This Row],[Categoria]]="Savings",0,"")</f>
        <v/>
      </c>
      <c r="T335" s="59"/>
      <c r="U335" s="59"/>
      <c r="V335" s="59"/>
      <c r="W335" s="59"/>
      <c r="X335" s="59"/>
      <c r="Y335" s="59"/>
      <c r="Z335" s="59"/>
      <c r="AA335" s="59"/>
      <c r="AB335" s="59"/>
      <c r="AC335" s="59"/>
      <c r="AD335" s="59"/>
      <c r="AE335" s="59"/>
      <c r="AF335" s="59"/>
      <c r="AG335" s="59"/>
      <c r="AH335" s="59"/>
      <c r="AI335" s="59" t="str">
        <f>IF(SUM(Dati[[#This Row],[Inv. Business]:[Inv. Cryptocurrency]])=0," ",SUM(Dati[[#This Row],[Inv. Business]:[Inv. Cryptocurrency]]))</f>
        <v xml:space="preserve"> </v>
      </c>
      <c r="AJ335" s="59"/>
      <c r="AK335" s="59" t="str">
        <f>IF(SUM(Dati[[#This Row],[Inv. Gold]:[Mutuo]])=0," ",SUM(Dati[[#This Row],[Inv. Gold]:[Mutuo]]))</f>
        <v xml:space="preserve"> </v>
      </c>
      <c r="AL335" s="59"/>
      <c r="AM335" s="59"/>
    </row>
    <row r="336" spans="2:39" ht="16" customHeight="1" x14ac:dyDescent="0.35">
      <c r="B336">
        <f t="shared" si="12"/>
        <v>316</v>
      </c>
      <c r="C336" s="49">
        <f>C331+1</f>
        <v>45220</v>
      </c>
      <c r="D336" s="29">
        <f>DAY(Dati[[#This Row],[Data]])</f>
        <v>21</v>
      </c>
      <c r="E336" s="29" t="str">
        <f>IF(DAY(Data!$C$21:$C$1327)&gt;0,TEXT(Data!$C$21:$C$1327, "mmmm"),"")</f>
        <v>ottobre</v>
      </c>
      <c r="F336" s="29" t="str">
        <f>IF(DAY(Data!$C$21:$C$1327)&gt;0,TEXT(Data!$C$21:$C$1327, "aaaa"),"")</f>
        <v>2023</v>
      </c>
      <c r="I336" t="str">
        <f>IF(OR(H336=$B$5,H336=$B$6,H336=$B$7,H336=$B$8,H336=$B$9,H336=$B$10,H336=$B$11,H336=$B$12,H336=$B$13,H336=$B$14),SottocategorieUscite[[#Headers],[Fuori Casa]],IF(OR(H336=$C$5,H336=$C$6,H336=$C$7,H336=$C$8,H336=$C$9,H336=$C$10,H336=$C$11,H336=$C$12,H336=$C$13,H336=$C$14),SottocategorieUscite[[#Headers],[Varie Uscite]],IF(OR(H336=$D$5,H336=$D$6,H336=$D$7,H336=$D$8,H336=$D$9,H336=$D$10,H336=$D$11,H336=$D$12,H336=$D$13,H336=$D$14),SottocategorieUscite[[#Headers],[Personali]],IF(OR(H336=$E$5,H336=$E$6,H336=$E$7,H336=$E$8,H336=$E$9,H336=$E$10,H336=$E$11,H336=$E$12,H336=$E$13,H336=$E$14),SottocategorieUscite[[#Headers],[Lavoro]],IF(OR(H336=$F$5,H336=$F$6,H336=$F$7,H336=$F$8,H336=$F$9,H336=$F$10,H336=$F$11,H336=$F$12,H336=$F$13,H336=$F$14),SottocategorieUscite[[#Headers],[Casa]],IF(OR(H336=$G$5,H336=$G$6,H336=$G$7,H336=$G$8,H336=$G$9,H336=$G$10,H336=$G$11,H336=$G$12,H336=$G$13,H336=$G$14),SottocategorieUscite[[#Headers],[Utenze]],IF(OR(H336=$H$5,H336=$H$6,H336=$H$7,H336=$H$8,H336=$H$9,H336=$H$10,H336=$H$11,H336=$H$12,H336=$H$13,H336=$H$14),SottocategorieUscite[[#Headers],[Business Uscite]],IF(OR(H336=$I$5,H336=$I$6,H336=$I$7,H336=$I$8,H336=$I$9,H336=$I$10,H336=$I$11,H336=$I$12,H336=$I$13,H336=$I$14),SottocategorieUscite[[#Headers],[Banca]],IF(OR(H336=K$5,H336=K$6,H336=K$7,H336=K$8,H336=K$9,H336=K$10,H336=K$11,H336=K$12,H336=K$13,H336=K$14),SottocategorieEntrate[[#Headers],[Business Entrate]],IF(OR(H336=L$5,H336=L$6,H336=L$7,H336=L$8,H336=L$9,H336=L$10,H336=L$11,H336=L$12,H336=L$13,H336=L$14),SottocategorieEntrate[[#Headers],[Varie Entrate]],IF(OR(H336=M$5,H336=M$6,H336=M$7,H336=M$8,H336=M$9,H336=M$10,H336=M$11,H336=M$12,H336=M$13,H336=M$14),SottocategorieEntrate[[#Headers],[Real Estate]],IF(OR(H336=N$5,H336=N$6,H336=N$7,H336=N$8,H336=N$9,H336=N$10,H336=N$11,H336=N$12,H336=N$13,H336=N$14),SottocategorieEntrate[[#Headers],[Other]],""))))))))))))</f>
        <v/>
      </c>
      <c r="J336" t="str">
        <f>IF(OR(Dati[[#This Row],[Categoria]]="Bollette",Dati[[#This Row],[Categoria]]="Conto &amp; Carte BNL",Dati[[#This Row],[Categoria]]="Prelievo",Dati[[#This Row],[Categoria]]="Affitto",Dati[[#This Row],[Categoria]]="BNL(Interessi Creditori)"),"Carta",IF(Dati[[#This Row],[Categoria]]&lt;&gt;0,"Cash",""))</f>
        <v/>
      </c>
      <c r="K336" s="59" t="str">
        <f>IF(OR(Data!$I336=SottocategorieUscite[[#Headers],[Fuori Casa]],Data!$I336=SottocategorieUscite[[#Headers],[Varie Uscite]],Data!$I336=SottocategorieUscite[[#Headers],[Personali]],Data!$I336=SottocategorieUscite[[#Headers],[Lavoro]]),"$ -","")</f>
        <v/>
      </c>
      <c r="L336" s="59" t="str">
        <f>IF(OR(Data!$I336=SottocategorieUscite[[#Headers],[Casa]],Data!$I336=SottocategorieUscite[[#Headers],[Utenze]],Data!$I336=SottocategorieUscite[[#Headers],[Business Uscite]],Data!$I336=SottocategorieUscite[[#Headers],[Banca]]),"$ -","")</f>
        <v/>
      </c>
      <c r="M336" s="59" t="str">
        <f>IF(OR($I336&lt;&gt;SottocategorieUscite[[#Headers],[Fuori Casa]],$I336&lt;&gt;SottocategorieUscite[[#Headers],[Varie Uscite]],$I336&lt;&gt;SottocategorieUscite[[#Headers],[Personali]],$I336&lt;&gt;SottocategorieUscite[[#Headers],[Lavoro]],$I336&lt;&gt;SottocategorieUscite[[#Headers],[Casa]],$I336&lt;&gt;SottocategorieUscite[[#Headers],[Utenze]],$I336&lt;&gt;SottocategorieUscite[[#Headers],[Business Uscite]],$I336&lt;&gt;SottocategorieUscite[[#Headers],[Banca]]),"","$ -")</f>
        <v/>
      </c>
      <c r="N336" s="59" t="str">
        <f>IF(OR(Data!$I336=SottocategorieEntrate[[#Headers],[Business Entrate]],Data!$I336=SottocategorieEntrate[[#Headers],[Varie Entrate]]),"$ -","")</f>
        <v/>
      </c>
      <c r="O336" s="59" t="str">
        <f>IF(OR(Data!$I336=SottocategorieEntrate[[#Headers],[Real Estate]],SottocategorieEntrate[[#Headers],[Other]]),"$ -","")</f>
        <v/>
      </c>
      <c r="P336" s="59" t="str">
        <f>IF(OR($I336&lt;&gt;SottocategorieEntrate[[#Headers],[Business Entrate]],$I336&lt;&gt;SottocategorieEntrate[[#Headers],[Varie Entrate]],$I336&lt;&gt;SottocategorieEntrate[[#Headers],[Real Estate]],$I336&lt;&gt;SottocategorieEntrate[[#Headers],[Other]]),"","$ -")</f>
        <v/>
      </c>
      <c r="Q336" s="59" t="str">
        <f>IF(Dati[[#This Row],[Categoria]]="Prelievo","€ -","")</f>
        <v/>
      </c>
      <c r="R336" s="244"/>
      <c r="S336" s="59" t="str">
        <f>IF(Dati[[#This Row],[Categoria]]="Savings",0,"")</f>
        <v/>
      </c>
      <c r="T336" s="59"/>
      <c r="U336" s="59"/>
      <c r="V336" s="59"/>
      <c r="W336" s="59"/>
      <c r="X336" s="59"/>
      <c r="Y336" s="59"/>
      <c r="Z336" s="59"/>
      <c r="AA336" s="59"/>
      <c r="AB336" s="59"/>
      <c r="AC336" s="59"/>
      <c r="AD336" s="59"/>
      <c r="AE336" s="59"/>
      <c r="AF336" s="59"/>
      <c r="AG336" s="59"/>
      <c r="AH336" s="59"/>
      <c r="AI336" s="59" t="str">
        <f>IF(SUM(Dati[[#This Row],[Inv. Business]:[Inv. Cryptocurrency]])=0," ",SUM(Dati[[#This Row],[Inv. Business]:[Inv. Cryptocurrency]]))</f>
        <v xml:space="preserve"> </v>
      </c>
      <c r="AJ336" s="59"/>
      <c r="AK336" s="59" t="str">
        <f>IF(SUM(Dati[[#This Row],[Inv. Gold]:[Mutuo]])=0," ",SUM(Dati[[#This Row],[Inv. Gold]:[Mutuo]]))</f>
        <v xml:space="preserve"> </v>
      </c>
      <c r="AL336" s="59"/>
      <c r="AM336" s="59"/>
    </row>
    <row r="337" spans="2:39" ht="16" customHeight="1" x14ac:dyDescent="0.35">
      <c r="B337">
        <f t="shared" si="12"/>
        <v>317</v>
      </c>
      <c r="C337" s="49">
        <f t="shared" si="13"/>
        <v>45221</v>
      </c>
      <c r="D337" s="29">
        <f>DAY(Dati[[#This Row],[Data]])</f>
        <v>22</v>
      </c>
      <c r="E337" s="29" t="str">
        <f>IF(DAY(Data!$C$21:$C$1327)&gt;0,TEXT(Data!$C$21:$C$1327, "mmmm"),"")</f>
        <v>ottobre</v>
      </c>
      <c r="F337" s="29" t="str">
        <f>IF(DAY(Data!$C$21:$C$1327)&gt;0,TEXT(Data!$C$21:$C$1327, "aaaa"),"")</f>
        <v>2023</v>
      </c>
      <c r="I337" t="str">
        <f>IF(OR(H337=$B$5,H337=$B$6,H337=$B$7,H337=$B$8,H337=$B$9,H337=$B$10,H337=$B$11,H337=$B$12,H337=$B$13,H337=$B$14),SottocategorieUscite[[#Headers],[Fuori Casa]],IF(OR(H337=$C$5,H337=$C$6,H337=$C$7,H337=$C$8,H337=$C$9,H337=$C$10,H337=$C$11,H337=$C$12,H337=$C$13,H337=$C$14),SottocategorieUscite[[#Headers],[Varie Uscite]],IF(OR(H337=$D$5,H337=$D$6,H337=$D$7,H337=$D$8,H337=$D$9,H337=$D$10,H337=$D$11,H337=$D$12,H337=$D$13,H337=$D$14),SottocategorieUscite[[#Headers],[Personali]],IF(OR(H337=$E$5,H337=$E$6,H337=$E$7,H337=$E$8,H337=$E$9,H337=$E$10,H337=$E$11,H337=$E$12,H337=$E$13,H337=$E$14),SottocategorieUscite[[#Headers],[Lavoro]],IF(OR(H337=$F$5,H337=$F$6,H337=$F$7,H337=$F$8,H337=$F$9,H337=$F$10,H337=$F$11,H337=$F$12,H337=$F$13,H337=$F$14),SottocategorieUscite[[#Headers],[Casa]],IF(OR(H337=$G$5,H337=$G$6,H337=$G$7,H337=$G$8,H337=$G$9,H337=$G$10,H337=$G$11,H337=$G$12,H337=$G$13,H337=$G$14),SottocategorieUscite[[#Headers],[Utenze]],IF(OR(H337=$H$5,H337=$H$6,H337=$H$7,H337=$H$8,H337=$H$9,H337=$H$10,H337=$H$11,H337=$H$12,H337=$H$13,H337=$H$14),SottocategorieUscite[[#Headers],[Business Uscite]],IF(OR(H337=$I$5,H337=$I$6,H337=$I$7,H337=$I$8,H337=$I$9,H337=$I$10,H337=$I$11,H337=$I$12,H337=$I$13,H337=$I$14),SottocategorieUscite[[#Headers],[Banca]],IF(OR(H337=K$5,H337=K$6,H337=K$7,H337=K$8,H337=K$9,H337=K$10,H337=K$11,H337=K$12,H337=K$13,H337=K$14),SottocategorieEntrate[[#Headers],[Business Entrate]],IF(OR(H337=L$5,H337=L$6,H337=L$7,H337=L$8,H337=L$9,H337=L$10,H337=L$11,H337=L$12,H337=L$13,H337=L$14),SottocategorieEntrate[[#Headers],[Varie Entrate]],IF(OR(H337=M$5,H337=M$6,H337=M$7,H337=M$8,H337=M$9,H337=M$10,H337=M$11,H337=M$12,H337=M$13,H337=M$14),SottocategorieEntrate[[#Headers],[Real Estate]],IF(OR(H337=N$5,H337=N$6,H337=N$7,H337=N$8,H337=N$9,H337=N$10,H337=N$11,H337=N$12,H337=N$13,H337=N$14),SottocategorieEntrate[[#Headers],[Other]],""))))))))))))</f>
        <v/>
      </c>
      <c r="J337" t="str">
        <f>IF(OR(Dati[[#This Row],[Categoria]]="Bollette",Dati[[#This Row],[Categoria]]="Conto &amp; Carte BNL",Dati[[#This Row],[Categoria]]="Prelievo",Dati[[#This Row],[Categoria]]="Affitto",Dati[[#This Row],[Categoria]]="BNL(Interessi Creditori)"),"Carta",IF(Dati[[#This Row],[Categoria]]&lt;&gt;0,"Cash",""))</f>
        <v/>
      </c>
      <c r="K337" s="59" t="str">
        <f>IF(OR(Data!$I337=SottocategorieUscite[[#Headers],[Fuori Casa]],Data!$I337=SottocategorieUscite[[#Headers],[Varie Uscite]],Data!$I337=SottocategorieUscite[[#Headers],[Personali]],Data!$I337=SottocategorieUscite[[#Headers],[Lavoro]]),"$ -","")</f>
        <v/>
      </c>
      <c r="L337" s="59" t="str">
        <f>IF(OR(Data!$I337=SottocategorieUscite[[#Headers],[Casa]],Data!$I337=SottocategorieUscite[[#Headers],[Utenze]],Data!$I337=SottocategorieUscite[[#Headers],[Business Uscite]],Data!$I337=SottocategorieUscite[[#Headers],[Banca]]),"$ -","")</f>
        <v/>
      </c>
      <c r="M337" s="59" t="str">
        <f>IF(OR($I337&lt;&gt;SottocategorieUscite[[#Headers],[Fuori Casa]],$I337&lt;&gt;SottocategorieUscite[[#Headers],[Varie Uscite]],$I337&lt;&gt;SottocategorieUscite[[#Headers],[Personali]],$I337&lt;&gt;SottocategorieUscite[[#Headers],[Lavoro]],$I337&lt;&gt;SottocategorieUscite[[#Headers],[Casa]],$I337&lt;&gt;SottocategorieUscite[[#Headers],[Utenze]],$I337&lt;&gt;SottocategorieUscite[[#Headers],[Business Uscite]],$I337&lt;&gt;SottocategorieUscite[[#Headers],[Banca]]),"","$ -")</f>
        <v/>
      </c>
      <c r="N337" s="59" t="str">
        <f>IF(OR(Data!$I337=SottocategorieEntrate[[#Headers],[Business Entrate]],Data!$I337=SottocategorieEntrate[[#Headers],[Varie Entrate]]),"$ -","")</f>
        <v/>
      </c>
      <c r="O337" s="59" t="str">
        <f>IF(OR(Data!$I337=SottocategorieEntrate[[#Headers],[Real Estate]],SottocategorieEntrate[[#Headers],[Other]]),"$ -","")</f>
        <v/>
      </c>
      <c r="P337" s="59" t="str">
        <f>IF(OR($I337&lt;&gt;SottocategorieEntrate[[#Headers],[Business Entrate]],$I337&lt;&gt;SottocategorieEntrate[[#Headers],[Varie Entrate]],$I337&lt;&gt;SottocategorieEntrate[[#Headers],[Real Estate]],$I337&lt;&gt;SottocategorieEntrate[[#Headers],[Other]]),"","$ -")</f>
        <v/>
      </c>
      <c r="Q337" s="59" t="str">
        <f>IF(Dati[[#This Row],[Categoria]]="Prelievo","€ -","")</f>
        <v/>
      </c>
      <c r="R337" s="244"/>
      <c r="S337" s="59" t="str">
        <f>IF(Dati[[#This Row],[Categoria]]="Savings",0,"")</f>
        <v/>
      </c>
      <c r="T337" s="59"/>
      <c r="U337" s="59"/>
      <c r="V337" s="59"/>
      <c r="W337" s="59"/>
      <c r="X337" s="59"/>
      <c r="Y337" s="59"/>
      <c r="Z337" s="59"/>
      <c r="AA337" s="59"/>
      <c r="AB337" s="59"/>
      <c r="AC337" s="59"/>
      <c r="AD337" s="59"/>
      <c r="AE337" s="59"/>
      <c r="AF337" s="59"/>
      <c r="AG337" s="59"/>
      <c r="AH337" s="59"/>
      <c r="AI337" s="59" t="str">
        <f>IF(SUM(Dati[[#This Row],[Inv. Business]:[Inv. Cryptocurrency]])=0," ",SUM(Dati[[#This Row],[Inv. Business]:[Inv. Cryptocurrency]]))</f>
        <v xml:space="preserve"> </v>
      </c>
      <c r="AJ337" s="59"/>
      <c r="AK337" s="59" t="str">
        <f>IF(SUM(Dati[[#This Row],[Inv. Gold]:[Mutuo]])=0," ",SUM(Dati[[#This Row],[Inv. Gold]:[Mutuo]]))</f>
        <v xml:space="preserve"> </v>
      </c>
      <c r="AL337" s="59"/>
      <c r="AM337" s="59"/>
    </row>
    <row r="338" spans="2:39" ht="16" customHeight="1" x14ac:dyDescent="0.35">
      <c r="B338">
        <f t="shared" si="12"/>
        <v>318</v>
      </c>
      <c r="C338" s="49">
        <f t="shared" si="13"/>
        <v>45222</v>
      </c>
      <c r="D338" s="29">
        <f>DAY(Dati[[#This Row],[Data]])</f>
        <v>23</v>
      </c>
      <c r="E338" s="29" t="str">
        <f>IF(DAY(Data!$C$21:$C$1327)&gt;0,TEXT(Data!$C$21:$C$1327, "mmmm"),"")</f>
        <v>ottobre</v>
      </c>
      <c r="F338" s="29" t="str">
        <f>IF(DAY(Data!$C$21:$C$1327)&gt;0,TEXT(Data!$C$21:$C$1327, "aaaa"),"")</f>
        <v>2023</v>
      </c>
      <c r="I338" t="str">
        <f>IF(OR(H338=$B$5,H338=$B$6,H338=$B$7,H338=$B$8,H338=$B$9,H338=$B$10,H338=$B$11,H338=$B$12,H338=$B$13,H338=$B$14),SottocategorieUscite[[#Headers],[Fuori Casa]],IF(OR(H338=$C$5,H338=$C$6,H338=$C$7,H338=$C$8,H338=$C$9,H338=$C$10,H338=$C$11,H338=$C$12,H338=$C$13,H338=$C$14),SottocategorieUscite[[#Headers],[Varie Uscite]],IF(OR(H338=$D$5,H338=$D$6,H338=$D$7,H338=$D$8,H338=$D$9,H338=$D$10,H338=$D$11,H338=$D$12,H338=$D$13,H338=$D$14),SottocategorieUscite[[#Headers],[Personali]],IF(OR(H338=$E$5,H338=$E$6,H338=$E$7,H338=$E$8,H338=$E$9,H338=$E$10,H338=$E$11,H338=$E$12,H338=$E$13,H338=$E$14),SottocategorieUscite[[#Headers],[Lavoro]],IF(OR(H338=$F$5,H338=$F$6,H338=$F$7,H338=$F$8,H338=$F$9,H338=$F$10,H338=$F$11,H338=$F$12,H338=$F$13,H338=$F$14),SottocategorieUscite[[#Headers],[Casa]],IF(OR(H338=$G$5,H338=$G$6,H338=$G$7,H338=$G$8,H338=$G$9,H338=$G$10,H338=$G$11,H338=$G$12,H338=$G$13,H338=$G$14),SottocategorieUscite[[#Headers],[Utenze]],IF(OR(H338=$H$5,H338=$H$6,H338=$H$7,H338=$H$8,H338=$H$9,H338=$H$10,H338=$H$11,H338=$H$12,H338=$H$13,H338=$H$14),SottocategorieUscite[[#Headers],[Business Uscite]],IF(OR(H338=$I$5,H338=$I$6,H338=$I$7,H338=$I$8,H338=$I$9,H338=$I$10,H338=$I$11,H338=$I$12,H338=$I$13,H338=$I$14),SottocategorieUscite[[#Headers],[Banca]],IF(OR(H338=K$5,H338=K$6,H338=K$7,H338=K$8,H338=K$9,H338=K$10,H338=K$11,H338=K$12,H338=K$13,H338=K$14),SottocategorieEntrate[[#Headers],[Business Entrate]],IF(OR(H338=L$5,H338=L$6,H338=L$7,H338=L$8,H338=L$9,H338=L$10,H338=L$11,H338=L$12,H338=L$13,H338=L$14),SottocategorieEntrate[[#Headers],[Varie Entrate]],IF(OR(H338=M$5,H338=M$6,H338=M$7,H338=M$8,H338=M$9,H338=M$10,H338=M$11,H338=M$12,H338=M$13,H338=M$14),SottocategorieEntrate[[#Headers],[Real Estate]],IF(OR(H338=N$5,H338=N$6,H338=N$7,H338=N$8,H338=N$9,H338=N$10,H338=N$11,H338=N$12,H338=N$13,H338=N$14),SottocategorieEntrate[[#Headers],[Other]],""))))))))))))</f>
        <v/>
      </c>
      <c r="J338" t="str">
        <f>IF(OR(Dati[[#This Row],[Categoria]]="Bollette",Dati[[#This Row],[Categoria]]="Conto &amp; Carte BNL",Dati[[#This Row],[Categoria]]="Prelievo",Dati[[#This Row],[Categoria]]="Affitto",Dati[[#This Row],[Categoria]]="BNL(Interessi Creditori)"),"Carta",IF(Dati[[#This Row],[Categoria]]&lt;&gt;0,"Cash",""))</f>
        <v/>
      </c>
      <c r="K338" s="59" t="str">
        <f>IF(OR(Data!$I338=SottocategorieUscite[[#Headers],[Fuori Casa]],Data!$I338=SottocategorieUscite[[#Headers],[Varie Uscite]],Data!$I338=SottocategorieUscite[[#Headers],[Personali]],Data!$I338=SottocategorieUscite[[#Headers],[Lavoro]]),"$ -","")</f>
        <v/>
      </c>
      <c r="L338" s="59" t="str">
        <f>IF(OR(Data!$I338=SottocategorieUscite[[#Headers],[Casa]],Data!$I338=SottocategorieUscite[[#Headers],[Utenze]],Data!$I338=SottocategorieUscite[[#Headers],[Business Uscite]],Data!$I338=SottocategorieUscite[[#Headers],[Banca]]),"$ -","")</f>
        <v/>
      </c>
      <c r="M338" s="59" t="str">
        <f>IF(OR($I338&lt;&gt;SottocategorieUscite[[#Headers],[Fuori Casa]],$I338&lt;&gt;SottocategorieUscite[[#Headers],[Varie Uscite]],$I338&lt;&gt;SottocategorieUscite[[#Headers],[Personali]],$I338&lt;&gt;SottocategorieUscite[[#Headers],[Lavoro]],$I338&lt;&gt;SottocategorieUscite[[#Headers],[Casa]],$I338&lt;&gt;SottocategorieUscite[[#Headers],[Utenze]],$I338&lt;&gt;SottocategorieUscite[[#Headers],[Business Uscite]],$I338&lt;&gt;SottocategorieUscite[[#Headers],[Banca]]),"","$ -")</f>
        <v/>
      </c>
      <c r="N338" s="59" t="str">
        <f>IF(OR(Data!$I338=SottocategorieEntrate[[#Headers],[Business Entrate]],Data!$I338=SottocategorieEntrate[[#Headers],[Varie Entrate]]),"$ -","")</f>
        <v/>
      </c>
      <c r="O338" s="59" t="str">
        <f>IF(OR(Data!$I338=SottocategorieEntrate[[#Headers],[Real Estate]],SottocategorieEntrate[[#Headers],[Other]]),"$ -","")</f>
        <v/>
      </c>
      <c r="P338" s="59" t="str">
        <f>IF(OR($I338&lt;&gt;SottocategorieEntrate[[#Headers],[Business Entrate]],$I338&lt;&gt;SottocategorieEntrate[[#Headers],[Varie Entrate]],$I338&lt;&gt;SottocategorieEntrate[[#Headers],[Real Estate]],$I338&lt;&gt;SottocategorieEntrate[[#Headers],[Other]]),"","$ -")</f>
        <v/>
      </c>
      <c r="Q338" s="59" t="str">
        <f>IF(Dati[[#This Row],[Categoria]]="Prelievo","€ -","")</f>
        <v/>
      </c>
      <c r="R338" s="244"/>
      <c r="S338" s="59" t="str">
        <f>IF(Dati[[#This Row],[Categoria]]="Savings",0,"")</f>
        <v/>
      </c>
      <c r="T338" s="59"/>
      <c r="U338" s="59"/>
      <c r="V338" s="59"/>
      <c r="W338" s="59"/>
      <c r="X338" s="59"/>
      <c r="Y338" s="59"/>
      <c r="Z338" s="59"/>
      <c r="AA338" s="59"/>
      <c r="AB338" s="59"/>
      <c r="AC338" s="59"/>
      <c r="AD338" s="59"/>
      <c r="AE338" s="59"/>
      <c r="AF338" s="59"/>
      <c r="AG338" s="59"/>
      <c r="AH338" s="59"/>
      <c r="AI338" s="59" t="str">
        <f>IF(SUM(Dati[[#This Row],[Inv. Business]:[Inv. Cryptocurrency]])=0," ",SUM(Dati[[#This Row],[Inv. Business]:[Inv. Cryptocurrency]]))</f>
        <v xml:space="preserve"> </v>
      </c>
      <c r="AJ338" s="59"/>
      <c r="AK338" s="59" t="str">
        <f>IF(SUM(Dati[[#This Row],[Inv. Gold]:[Mutuo]])=0," ",SUM(Dati[[#This Row],[Inv. Gold]:[Mutuo]]))</f>
        <v xml:space="preserve"> </v>
      </c>
      <c r="AL338" s="59"/>
      <c r="AM338" s="59"/>
    </row>
    <row r="339" spans="2:39" ht="16" customHeight="1" x14ac:dyDescent="0.35">
      <c r="B339">
        <f t="shared" si="12"/>
        <v>319</v>
      </c>
      <c r="C339" s="49">
        <f t="shared" si="13"/>
        <v>45223</v>
      </c>
      <c r="D339" s="29">
        <f>DAY(Dati[[#This Row],[Data]])</f>
        <v>24</v>
      </c>
      <c r="E339" s="29" t="str">
        <f>IF(DAY(Data!$C$21:$C$1327)&gt;0,TEXT(Data!$C$21:$C$1327, "mmmm"),"")</f>
        <v>ottobre</v>
      </c>
      <c r="F339" s="29" t="str">
        <f>IF(DAY(Data!$C$21:$C$1327)&gt;0,TEXT(Data!$C$21:$C$1327, "aaaa"),"")</f>
        <v>2023</v>
      </c>
      <c r="I339" t="str">
        <f>IF(OR(H339=$B$5,H339=$B$6,H339=$B$7,H339=$B$8,H339=$B$9,H339=$B$10,H339=$B$11,H339=$B$12,H339=$B$13,H339=$B$14),SottocategorieUscite[[#Headers],[Fuori Casa]],IF(OR(H339=$C$5,H339=$C$6,H339=$C$7,H339=$C$8,H339=$C$9,H339=$C$10,H339=$C$11,H339=$C$12,H339=$C$13,H339=$C$14),SottocategorieUscite[[#Headers],[Varie Uscite]],IF(OR(H339=$D$5,H339=$D$6,H339=$D$7,H339=$D$8,H339=$D$9,H339=$D$10,H339=$D$11,H339=$D$12,H339=$D$13,H339=$D$14),SottocategorieUscite[[#Headers],[Personali]],IF(OR(H339=$E$5,H339=$E$6,H339=$E$7,H339=$E$8,H339=$E$9,H339=$E$10,H339=$E$11,H339=$E$12,H339=$E$13,H339=$E$14),SottocategorieUscite[[#Headers],[Lavoro]],IF(OR(H339=$F$5,H339=$F$6,H339=$F$7,H339=$F$8,H339=$F$9,H339=$F$10,H339=$F$11,H339=$F$12,H339=$F$13,H339=$F$14),SottocategorieUscite[[#Headers],[Casa]],IF(OR(H339=$G$5,H339=$G$6,H339=$G$7,H339=$G$8,H339=$G$9,H339=$G$10,H339=$G$11,H339=$G$12,H339=$G$13,H339=$G$14),SottocategorieUscite[[#Headers],[Utenze]],IF(OR(H339=$H$5,H339=$H$6,H339=$H$7,H339=$H$8,H339=$H$9,H339=$H$10,H339=$H$11,H339=$H$12,H339=$H$13,H339=$H$14),SottocategorieUscite[[#Headers],[Business Uscite]],IF(OR(H339=$I$5,H339=$I$6,H339=$I$7,H339=$I$8,H339=$I$9,H339=$I$10,H339=$I$11,H339=$I$12,H339=$I$13,H339=$I$14),SottocategorieUscite[[#Headers],[Banca]],IF(OR(H339=K$5,H339=K$6,H339=K$7,H339=K$8,H339=K$9,H339=K$10,H339=K$11,H339=K$12,H339=K$13,H339=K$14),SottocategorieEntrate[[#Headers],[Business Entrate]],IF(OR(H339=L$5,H339=L$6,H339=L$7,H339=L$8,H339=L$9,H339=L$10,H339=L$11,H339=L$12,H339=L$13,H339=L$14),SottocategorieEntrate[[#Headers],[Varie Entrate]],IF(OR(H339=M$5,H339=M$6,H339=M$7,H339=M$8,H339=M$9,H339=M$10,H339=M$11,H339=M$12,H339=M$13,H339=M$14),SottocategorieEntrate[[#Headers],[Real Estate]],IF(OR(H339=N$5,H339=N$6,H339=N$7,H339=N$8,H339=N$9,H339=N$10,H339=N$11,H339=N$12,H339=N$13,H339=N$14),SottocategorieEntrate[[#Headers],[Other]],""))))))))))))</f>
        <v/>
      </c>
      <c r="J339" t="str">
        <f>IF(OR(Dati[[#This Row],[Categoria]]="Bollette",Dati[[#This Row],[Categoria]]="Conto &amp; Carte BNL",Dati[[#This Row],[Categoria]]="Prelievo",Dati[[#This Row],[Categoria]]="Affitto",Dati[[#This Row],[Categoria]]="BNL(Interessi Creditori)"),"Carta",IF(Dati[[#This Row],[Categoria]]&lt;&gt;0,"Cash",""))</f>
        <v/>
      </c>
      <c r="K339" s="59" t="str">
        <f>IF(OR(Data!$I339=SottocategorieUscite[[#Headers],[Fuori Casa]],Data!$I339=SottocategorieUscite[[#Headers],[Varie Uscite]],Data!$I339=SottocategorieUscite[[#Headers],[Personali]],Data!$I339=SottocategorieUscite[[#Headers],[Lavoro]]),"$ -","")</f>
        <v/>
      </c>
      <c r="L339" s="59" t="str">
        <f>IF(OR(Data!$I339=SottocategorieUscite[[#Headers],[Casa]],Data!$I339=SottocategorieUscite[[#Headers],[Utenze]],Data!$I339=SottocategorieUscite[[#Headers],[Business Uscite]],Data!$I339=SottocategorieUscite[[#Headers],[Banca]]),"$ -","")</f>
        <v/>
      </c>
      <c r="M339" s="59" t="str">
        <f>IF(OR($I339&lt;&gt;SottocategorieUscite[[#Headers],[Fuori Casa]],$I339&lt;&gt;SottocategorieUscite[[#Headers],[Varie Uscite]],$I339&lt;&gt;SottocategorieUscite[[#Headers],[Personali]],$I339&lt;&gt;SottocategorieUscite[[#Headers],[Lavoro]],$I339&lt;&gt;SottocategorieUscite[[#Headers],[Casa]],$I339&lt;&gt;SottocategorieUscite[[#Headers],[Utenze]],$I339&lt;&gt;SottocategorieUscite[[#Headers],[Business Uscite]],$I339&lt;&gt;SottocategorieUscite[[#Headers],[Banca]]),"","$ -")</f>
        <v/>
      </c>
      <c r="N339" s="59" t="str">
        <f>IF(OR(Data!$I339=SottocategorieEntrate[[#Headers],[Business Entrate]],Data!$I339=SottocategorieEntrate[[#Headers],[Varie Entrate]]),"$ -","")</f>
        <v/>
      </c>
      <c r="O339" s="59" t="str">
        <f>IF(OR(Data!$I339=SottocategorieEntrate[[#Headers],[Real Estate]],SottocategorieEntrate[[#Headers],[Other]]),"$ -","")</f>
        <v/>
      </c>
      <c r="P339" s="59" t="str">
        <f>IF(OR($I339&lt;&gt;SottocategorieEntrate[[#Headers],[Business Entrate]],$I339&lt;&gt;SottocategorieEntrate[[#Headers],[Varie Entrate]],$I339&lt;&gt;SottocategorieEntrate[[#Headers],[Real Estate]],$I339&lt;&gt;SottocategorieEntrate[[#Headers],[Other]]),"","$ -")</f>
        <v/>
      </c>
      <c r="Q339" s="59" t="str">
        <f>IF(Dati[[#This Row],[Categoria]]="Prelievo","€ -","")</f>
        <v/>
      </c>
      <c r="R339" s="244"/>
      <c r="S339" s="59" t="str">
        <f>IF(Dati[[#This Row],[Categoria]]="Savings",0,"")</f>
        <v/>
      </c>
      <c r="T339" s="59"/>
      <c r="U339" s="59"/>
      <c r="V339" s="59"/>
      <c r="W339" s="59"/>
      <c r="X339" s="59"/>
      <c r="Y339" s="59"/>
      <c r="Z339" s="59"/>
      <c r="AA339" s="59"/>
      <c r="AB339" s="59"/>
      <c r="AC339" s="59"/>
      <c r="AD339" s="59"/>
      <c r="AE339" s="59"/>
      <c r="AF339" s="59"/>
      <c r="AG339" s="59"/>
      <c r="AH339" s="59"/>
      <c r="AI339" s="59" t="str">
        <f>IF(SUM(Dati[[#This Row],[Inv. Business]:[Inv. Cryptocurrency]])=0," ",SUM(Dati[[#This Row],[Inv. Business]:[Inv. Cryptocurrency]]))</f>
        <v xml:space="preserve"> </v>
      </c>
      <c r="AJ339" s="59"/>
      <c r="AK339" s="59" t="str">
        <f>IF(SUM(Dati[[#This Row],[Inv. Gold]:[Mutuo]])=0," ",SUM(Dati[[#This Row],[Inv. Gold]:[Mutuo]]))</f>
        <v xml:space="preserve"> </v>
      </c>
      <c r="AL339" s="59"/>
      <c r="AM339" s="59"/>
    </row>
    <row r="340" spans="2:39" ht="16" customHeight="1" x14ac:dyDescent="0.35">
      <c r="B340">
        <f t="shared" si="12"/>
        <v>320</v>
      </c>
      <c r="C340" s="49">
        <f t="shared" si="13"/>
        <v>45224</v>
      </c>
      <c r="D340" s="29">
        <f>DAY(Dati[[#This Row],[Data]])</f>
        <v>25</v>
      </c>
      <c r="E340" s="29" t="str">
        <f>IF(DAY(Data!$C$21:$C$1327)&gt;0,TEXT(Data!$C$21:$C$1327, "mmmm"),"")</f>
        <v>ottobre</v>
      </c>
      <c r="F340" s="29" t="str">
        <f>IF(DAY(Data!$C$21:$C$1327)&gt;0,TEXT(Data!$C$21:$C$1327, "aaaa"),"")</f>
        <v>2023</v>
      </c>
      <c r="I340" t="str">
        <f>IF(OR(H340=$B$5,H340=$B$6,H340=$B$7,H340=$B$8,H340=$B$9,H340=$B$10,H340=$B$11,H340=$B$12,H340=$B$13,H340=$B$14),SottocategorieUscite[[#Headers],[Fuori Casa]],IF(OR(H340=$C$5,H340=$C$6,H340=$C$7,H340=$C$8,H340=$C$9,H340=$C$10,H340=$C$11,H340=$C$12,H340=$C$13,H340=$C$14),SottocategorieUscite[[#Headers],[Varie Uscite]],IF(OR(H340=$D$5,H340=$D$6,H340=$D$7,H340=$D$8,H340=$D$9,H340=$D$10,H340=$D$11,H340=$D$12,H340=$D$13,H340=$D$14),SottocategorieUscite[[#Headers],[Personali]],IF(OR(H340=$E$5,H340=$E$6,H340=$E$7,H340=$E$8,H340=$E$9,H340=$E$10,H340=$E$11,H340=$E$12,H340=$E$13,H340=$E$14),SottocategorieUscite[[#Headers],[Lavoro]],IF(OR(H340=$F$5,H340=$F$6,H340=$F$7,H340=$F$8,H340=$F$9,H340=$F$10,H340=$F$11,H340=$F$12,H340=$F$13,H340=$F$14),SottocategorieUscite[[#Headers],[Casa]],IF(OR(H340=$G$5,H340=$G$6,H340=$G$7,H340=$G$8,H340=$G$9,H340=$G$10,H340=$G$11,H340=$G$12,H340=$G$13,H340=$G$14),SottocategorieUscite[[#Headers],[Utenze]],IF(OR(H340=$H$5,H340=$H$6,H340=$H$7,H340=$H$8,H340=$H$9,H340=$H$10,H340=$H$11,H340=$H$12,H340=$H$13,H340=$H$14),SottocategorieUscite[[#Headers],[Business Uscite]],IF(OR(H340=$I$5,H340=$I$6,H340=$I$7,H340=$I$8,H340=$I$9,H340=$I$10,H340=$I$11,H340=$I$12,H340=$I$13,H340=$I$14),SottocategorieUscite[[#Headers],[Banca]],IF(OR(H340=K$5,H340=K$6,H340=K$7,H340=K$8,H340=K$9,H340=K$10,H340=K$11,H340=K$12,H340=K$13,H340=K$14),SottocategorieEntrate[[#Headers],[Business Entrate]],IF(OR(H340=L$5,H340=L$6,H340=L$7,H340=L$8,H340=L$9,H340=L$10,H340=L$11,H340=L$12,H340=L$13,H340=L$14),SottocategorieEntrate[[#Headers],[Varie Entrate]],IF(OR(H340=M$5,H340=M$6,H340=M$7,H340=M$8,H340=M$9,H340=M$10,H340=M$11,H340=M$12,H340=M$13,H340=M$14),SottocategorieEntrate[[#Headers],[Real Estate]],IF(OR(H340=N$5,H340=N$6,H340=N$7,H340=N$8,H340=N$9,H340=N$10,H340=N$11,H340=N$12,H340=N$13,H340=N$14),SottocategorieEntrate[[#Headers],[Other]],""))))))))))))</f>
        <v/>
      </c>
      <c r="J340" t="str">
        <f>IF(OR(Dati[[#This Row],[Categoria]]="Bollette",Dati[[#This Row],[Categoria]]="Conto &amp; Carte BNL",Dati[[#This Row],[Categoria]]="Prelievo",Dati[[#This Row],[Categoria]]="Affitto",Dati[[#This Row],[Categoria]]="BNL(Interessi Creditori)"),"Carta",IF(Dati[[#This Row],[Categoria]]&lt;&gt;0,"Cash",""))</f>
        <v/>
      </c>
      <c r="K340" s="59" t="str">
        <f>IF(OR(Data!$I340=SottocategorieUscite[[#Headers],[Fuori Casa]],Data!$I340=SottocategorieUscite[[#Headers],[Varie Uscite]],Data!$I340=SottocategorieUscite[[#Headers],[Personali]],Data!$I340=SottocategorieUscite[[#Headers],[Lavoro]]),"$ -","")</f>
        <v/>
      </c>
      <c r="L340" s="59" t="str">
        <f>IF(OR(Data!$I340=SottocategorieUscite[[#Headers],[Casa]],Data!$I340=SottocategorieUscite[[#Headers],[Utenze]],Data!$I340=SottocategorieUscite[[#Headers],[Business Uscite]],Data!$I340=SottocategorieUscite[[#Headers],[Banca]]),"$ -","")</f>
        <v/>
      </c>
      <c r="M340" s="59" t="str">
        <f>IF(OR($I340&lt;&gt;SottocategorieUscite[[#Headers],[Fuori Casa]],$I340&lt;&gt;SottocategorieUscite[[#Headers],[Varie Uscite]],$I340&lt;&gt;SottocategorieUscite[[#Headers],[Personali]],$I340&lt;&gt;SottocategorieUscite[[#Headers],[Lavoro]],$I340&lt;&gt;SottocategorieUscite[[#Headers],[Casa]],$I340&lt;&gt;SottocategorieUscite[[#Headers],[Utenze]],$I340&lt;&gt;SottocategorieUscite[[#Headers],[Business Uscite]],$I340&lt;&gt;SottocategorieUscite[[#Headers],[Banca]]),"","$ -")</f>
        <v/>
      </c>
      <c r="N340" s="59" t="str">
        <f>IF(OR(Data!$I340=SottocategorieEntrate[[#Headers],[Business Entrate]],Data!$I340=SottocategorieEntrate[[#Headers],[Varie Entrate]]),"$ -","")</f>
        <v/>
      </c>
      <c r="O340" s="59" t="str">
        <f>IF(OR(Data!$I340=SottocategorieEntrate[[#Headers],[Real Estate]],SottocategorieEntrate[[#Headers],[Other]]),"$ -","")</f>
        <v/>
      </c>
      <c r="P340" s="59" t="str">
        <f>IF(OR($I340&lt;&gt;SottocategorieEntrate[[#Headers],[Business Entrate]],$I340&lt;&gt;SottocategorieEntrate[[#Headers],[Varie Entrate]],$I340&lt;&gt;SottocategorieEntrate[[#Headers],[Real Estate]],$I340&lt;&gt;SottocategorieEntrate[[#Headers],[Other]]),"","$ -")</f>
        <v/>
      </c>
      <c r="Q340" s="59" t="str">
        <f>IF(Dati[[#This Row],[Categoria]]="Prelievo","€ -","")</f>
        <v/>
      </c>
      <c r="R340" s="244"/>
      <c r="S340" s="59" t="str">
        <f>IF(Dati[[#This Row],[Categoria]]="Savings",0,"")</f>
        <v/>
      </c>
      <c r="T340" s="59"/>
      <c r="U340" s="59"/>
      <c r="V340" s="59"/>
      <c r="W340" s="59"/>
      <c r="X340" s="59"/>
      <c r="Y340" s="59"/>
      <c r="Z340" s="59"/>
      <c r="AA340" s="59"/>
      <c r="AB340" s="59"/>
      <c r="AC340" s="59"/>
      <c r="AD340" s="59"/>
      <c r="AE340" s="59"/>
      <c r="AF340" s="59"/>
      <c r="AG340" s="59"/>
      <c r="AH340" s="59"/>
      <c r="AI340" s="59" t="str">
        <f>IF(SUM(Dati[[#This Row],[Inv. Business]:[Inv. Cryptocurrency]])=0," ",SUM(Dati[[#This Row],[Inv. Business]:[Inv. Cryptocurrency]]))</f>
        <v xml:space="preserve"> </v>
      </c>
      <c r="AJ340" s="59"/>
      <c r="AK340" s="59" t="str">
        <f>IF(SUM(Dati[[#This Row],[Inv. Gold]:[Mutuo]])=0," ",SUM(Dati[[#This Row],[Inv. Gold]:[Mutuo]]))</f>
        <v xml:space="preserve"> </v>
      </c>
      <c r="AL340" s="59"/>
      <c r="AM340" s="59"/>
    </row>
    <row r="341" spans="2:39" ht="16" customHeight="1" x14ac:dyDescent="0.35">
      <c r="B341">
        <f t="shared" ref="B341:B404" si="15">ROW(321:321)</f>
        <v>321</v>
      </c>
      <c r="C341" s="49">
        <f t="shared" si="13"/>
        <v>45225</v>
      </c>
      <c r="D341" s="29">
        <f>DAY(Dati[[#This Row],[Data]])</f>
        <v>26</v>
      </c>
      <c r="E341" s="29" t="str">
        <f>IF(DAY(Data!$C$21:$C$1327)&gt;0,TEXT(Data!$C$21:$C$1327, "mmmm"),"")</f>
        <v>ottobre</v>
      </c>
      <c r="F341" s="29" t="str">
        <f>IF(DAY(Data!$C$21:$C$1327)&gt;0,TEXT(Data!$C$21:$C$1327, "aaaa"),"")</f>
        <v>2023</v>
      </c>
      <c r="I341" t="str">
        <f>IF(OR(H341=$B$5,H341=$B$6,H341=$B$7,H341=$B$8,H341=$B$9,H341=$B$10,H341=$B$11,H341=$B$12,H341=$B$13,H341=$B$14),SottocategorieUscite[[#Headers],[Fuori Casa]],IF(OR(H341=$C$5,H341=$C$6,H341=$C$7,H341=$C$8,H341=$C$9,H341=$C$10,H341=$C$11,H341=$C$12,H341=$C$13,H341=$C$14),SottocategorieUscite[[#Headers],[Varie Uscite]],IF(OR(H341=$D$5,H341=$D$6,H341=$D$7,H341=$D$8,H341=$D$9,H341=$D$10,H341=$D$11,H341=$D$12,H341=$D$13,H341=$D$14),SottocategorieUscite[[#Headers],[Personali]],IF(OR(H341=$E$5,H341=$E$6,H341=$E$7,H341=$E$8,H341=$E$9,H341=$E$10,H341=$E$11,H341=$E$12,H341=$E$13,H341=$E$14),SottocategorieUscite[[#Headers],[Lavoro]],IF(OR(H341=$F$5,H341=$F$6,H341=$F$7,H341=$F$8,H341=$F$9,H341=$F$10,H341=$F$11,H341=$F$12,H341=$F$13,H341=$F$14),SottocategorieUscite[[#Headers],[Casa]],IF(OR(H341=$G$5,H341=$G$6,H341=$G$7,H341=$G$8,H341=$G$9,H341=$G$10,H341=$G$11,H341=$G$12,H341=$G$13,H341=$G$14),SottocategorieUscite[[#Headers],[Utenze]],IF(OR(H341=$H$5,H341=$H$6,H341=$H$7,H341=$H$8,H341=$H$9,H341=$H$10,H341=$H$11,H341=$H$12,H341=$H$13,H341=$H$14),SottocategorieUscite[[#Headers],[Business Uscite]],IF(OR(H341=$I$5,H341=$I$6,H341=$I$7,H341=$I$8,H341=$I$9,H341=$I$10,H341=$I$11,H341=$I$12,H341=$I$13,H341=$I$14),SottocategorieUscite[[#Headers],[Banca]],IF(OR(H341=K$5,H341=K$6,H341=K$7,H341=K$8,H341=K$9,H341=K$10,H341=K$11,H341=K$12,H341=K$13,H341=K$14),SottocategorieEntrate[[#Headers],[Business Entrate]],IF(OR(H341=L$5,H341=L$6,H341=L$7,H341=L$8,H341=L$9,H341=L$10,H341=L$11,H341=L$12,H341=L$13,H341=L$14),SottocategorieEntrate[[#Headers],[Varie Entrate]],IF(OR(H341=M$5,H341=M$6,H341=M$7,H341=M$8,H341=M$9,H341=M$10,H341=M$11,H341=M$12,H341=M$13,H341=M$14),SottocategorieEntrate[[#Headers],[Real Estate]],IF(OR(H341=N$5,H341=N$6,H341=N$7,H341=N$8,H341=N$9,H341=N$10,H341=N$11,H341=N$12,H341=N$13,H341=N$14),SottocategorieEntrate[[#Headers],[Other]],""))))))))))))</f>
        <v/>
      </c>
      <c r="J341" t="str">
        <f>IF(OR(Dati[[#This Row],[Categoria]]="Bollette",Dati[[#This Row],[Categoria]]="Conto &amp; Carte BNL",Dati[[#This Row],[Categoria]]="Prelievo",Dati[[#This Row],[Categoria]]="Affitto",Dati[[#This Row],[Categoria]]="BNL(Interessi Creditori)"),"Carta",IF(Dati[[#This Row],[Categoria]]&lt;&gt;0,"Cash",""))</f>
        <v/>
      </c>
      <c r="K341" s="59" t="str">
        <f>IF(OR(Data!$I341=SottocategorieUscite[[#Headers],[Fuori Casa]],Data!$I341=SottocategorieUscite[[#Headers],[Varie Uscite]],Data!$I341=SottocategorieUscite[[#Headers],[Personali]],Data!$I341=SottocategorieUscite[[#Headers],[Lavoro]]),"$ -","")</f>
        <v/>
      </c>
      <c r="L341" s="59" t="str">
        <f>IF(OR(Data!$I341=SottocategorieUscite[[#Headers],[Casa]],Data!$I341=SottocategorieUscite[[#Headers],[Utenze]],Data!$I341=SottocategorieUscite[[#Headers],[Business Uscite]],Data!$I341=SottocategorieUscite[[#Headers],[Banca]]),"$ -","")</f>
        <v/>
      </c>
      <c r="M341" s="59" t="str">
        <f>IF(OR($I341&lt;&gt;SottocategorieUscite[[#Headers],[Fuori Casa]],$I341&lt;&gt;SottocategorieUscite[[#Headers],[Varie Uscite]],$I341&lt;&gt;SottocategorieUscite[[#Headers],[Personali]],$I341&lt;&gt;SottocategorieUscite[[#Headers],[Lavoro]],$I341&lt;&gt;SottocategorieUscite[[#Headers],[Casa]],$I341&lt;&gt;SottocategorieUscite[[#Headers],[Utenze]],$I341&lt;&gt;SottocategorieUscite[[#Headers],[Business Uscite]],$I341&lt;&gt;SottocategorieUscite[[#Headers],[Banca]]),"","$ -")</f>
        <v/>
      </c>
      <c r="N341" s="59" t="str">
        <f>IF(OR(Data!$I341=SottocategorieEntrate[[#Headers],[Business Entrate]],Data!$I341=SottocategorieEntrate[[#Headers],[Varie Entrate]]),"$ -","")</f>
        <v/>
      </c>
      <c r="O341" s="59" t="str">
        <f>IF(OR(Data!$I341=SottocategorieEntrate[[#Headers],[Real Estate]],SottocategorieEntrate[[#Headers],[Other]]),"$ -","")</f>
        <v/>
      </c>
      <c r="P341" s="59" t="str">
        <f>IF(OR($I341&lt;&gt;SottocategorieEntrate[[#Headers],[Business Entrate]],$I341&lt;&gt;SottocategorieEntrate[[#Headers],[Varie Entrate]],$I341&lt;&gt;SottocategorieEntrate[[#Headers],[Real Estate]],$I341&lt;&gt;SottocategorieEntrate[[#Headers],[Other]]),"","$ -")</f>
        <v/>
      </c>
      <c r="Q341" s="59" t="str">
        <f>IF(Dati[[#This Row],[Categoria]]="Prelievo","€ -","")</f>
        <v/>
      </c>
      <c r="R341" s="244"/>
      <c r="S341" s="59" t="str">
        <f>IF(Dati[[#This Row],[Categoria]]="Savings",0,"")</f>
        <v/>
      </c>
      <c r="T341" s="59"/>
      <c r="U341" s="59"/>
      <c r="V341" s="59"/>
      <c r="W341" s="59"/>
      <c r="X341" s="59"/>
      <c r="Y341" s="59"/>
      <c r="Z341" s="59"/>
      <c r="AA341" s="59"/>
      <c r="AB341" s="59"/>
      <c r="AC341" s="59"/>
      <c r="AD341" s="59"/>
      <c r="AE341" s="59"/>
      <c r="AF341" s="59"/>
      <c r="AG341" s="59"/>
      <c r="AH341" s="59"/>
      <c r="AI341" s="59" t="str">
        <f>IF(SUM(Dati[[#This Row],[Inv. Business]:[Inv. Cryptocurrency]])=0," ",SUM(Dati[[#This Row],[Inv. Business]:[Inv. Cryptocurrency]]))</f>
        <v xml:space="preserve"> </v>
      </c>
      <c r="AJ341" s="59"/>
      <c r="AK341" s="59" t="str">
        <f>IF(SUM(Dati[[#This Row],[Inv. Gold]:[Mutuo]])=0," ",SUM(Dati[[#This Row],[Inv. Gold]:[Mutuo]]))</f>
        <v xml:space="preserve"> </v>
      </c>
      <c r="AL341" s="59"/>
      <c r="AM341" s="59"/>
    </row>
    <row r="342" spans="2:39" ht="16" customHeight="1" x14ac:dyDescent="0.35">
      <c r="B342">
        <f t="shared" si="15"/>
        <v>322</v>
      </c>
      <c r="C342" s="49">
        <f t="shared" si="13"/>
        <v>45226</v>
      </c>
      <c r="D342" s="29">
        <f>DAY(Dati[[#This Row],[Data]])</f>
        <v>27</v>
      </c>
      <c r="E342" s="29" t="str">
        <f>IF(DAY(Data!$C$21:$C$1327)&gt;0,TEXT(Data!$C$21:$C$1327, "mmmm"),"")</f>
        <v>ottobre</v>
      </c>
      <c r="F342" s="29" t="str">
        <f>IF(DAY(Data!$C$21:$C$1327)&gt;0,TEXT(Data!$C$21:$C$1327, "aaaa"),"")</f>
        <v>2023</v>
      </c>
      <c r="I342" t="str">
        <f>IF(OR(H342=$B$5,H342=$B$6,H342=$B$7,H342=$B$8,H342=$B$9,H342=$B$10,H342=$B$11,H342=$B$12,H342=$B$13,H342=$B$14),SottocategorieUscite[[#Headers],[Fuori Casa]],IF(OR(H342=$C$5,H342=$C$6,H342=$C$7,H342=$C$8,H342=$C$9,H342=$C$10,H342=$C$11,H342=$C$12,H342=$C$13,H342=$C$14),SottocategorieUscite[[#Headers],[Varie Uscite]],IF(OR(H342=$D$5,H342=$D$6,H342=$D$7,H342=$D$8,H342=$D$9,H342=$D$10,H342=$D$11,H342=$D$12,H342=$D$13,H342=$D$14),SottocategorieUscite[[#Headers],[Personali]],IF(OR(H342=$E$5,H342=$E$6,H342=$E$7,H342=$E$8,H342=$E$9,H342=$E$10,H342=$E$11,H342=$E$12,H342=$E$13,H342=$E$14),SottocategorieUscite[[#Headers],[Lavoro]],IF(OR(H342=$F$5,H342=$F$6,H342=$F$7,H342=$F$8,H342=$F$9,H342=$F$10,H342=$F$11,H342=$F$12,H342=$F$13,H342=$F$14),SottocategorieUscite[[#Headers],[Casa]],IF(OR(H342=$G$5,H342=$G$6,H342=$G$7,H342=$G$8,H342=$G$9,H342=$G$10,H342=$G$11,H342=$G$12,H342=$G$13,H342=$G$14),SottocategorieUscite[[#Headers],[Utenze]],IF(OR(H342=$H$5,H342=$H$6,H342=$H$7,H342=$H$8,H342=$H$9,H342=$H$10,H342=$H$11,H342=$H$12,H342=$H$13,H342=$H$14),SottocategorieUscite[[#Headers],[Business Uscite]],IF(OR(H342=$I$5,H342=$I$6,H342=$I$7,H342=$I$8,H342=$I$9,H342=$I$10,H342=$I$11,H342=$I$12,H342=$I$13,H342=$I$14),SottocategorieUscite[[#Headers],[Banca]],IF(OR(H342=K$5,H342=K$6,H342=K$7,H342=K$8,H342=K$9,H342=K$10,H342=K$11,H342=K$12,H342=K$13,H342=K$14),SottocategorieEntrate[[#Headers],[Business Entrate]],IF(OR(H342=L$5,H342=L$6,H342=L$7,H342=L$8,H342=L$9,H342=L$10,H342=L$11,H342=L$12,H342=L$13,H342=L$14),SottocategorieEntrate[[#Headers],[Varie Entrate]],IF(OR(H342=M$5,H342=M$6,H342=M$7,H342=M$8,H342=M$9,H342=M$10,H342=M$11,H342=M$12,H342=M$13,H342=M$14),SottocategorieEntrate[[#Headers],[Real Estate]],IF(OR(H342=N$5,H342=N$6,H342=N$7,H342=N$8,H342=N$9,H342=N$10,H342=N$11,H342=N$12,H342=N$13,H342=N$14),SottocategorieEntrate[[#Headers],[Other]],""))))))))))))</f>
        <v/>
      </c>
      <c r="J342" t="str">
        <f>IF(OR(Dati[[#This Row],[Categoria]]="Bollette",Dati[[#This Row],[Categoria]]="Conto &amp; Carte BNL",Dati[[#This Row],[Categoria]]="Prelievo",Dati[[#This Row],[Categoria]]="Affitto",Dati[[#This Row],[Categoria]]="BNL(Interessi Creditori)"),"Carta",IF(Dati[[#This Row],[Categoria]]&lt;&gt;0,"Cash",""))</f>
        <v/>
      </c>
      <c r="K342" s="59" t="str">
        <f>IF(OR(Data!$I342=SottocategorieUscite[[#Headers],[Fuori Casa]],Data!$I342=SottocategorieUscite[[#Headers],[Varie Uscite]],Data!$I342=SottocategorieUscite[[#Headers],[Personali]],Data!$I342=SottocategorieUscite[[#Headers],[Lavoro]]),"$ -","")</f>
        <v/>
      </c>
      <c r="L342" s="59" t="str">
        <f>IF(OR(Data!$I342=SottocategorieUscite[[#Headers],[Casa]],Data!$I342=SottocategorieUscite[[#Headers],[Utenze]],Data!$I342=SottocategorieUscite[[#Headers],[Business Uscite]],Data!$I342=SottocategorieUscite[[#Headers],[Banca]]),"$ -","")</f>
        <v/>
      </c>
      <c r="M342" s="59" t="str">
        <f>IF(OR($I342&lt;&gt;SottocategorieUscite[[#Headers],[Fuori Casa]],$I342&lt;&gt;SottocategorieUscite[[#Headers],[Varie Uscite]],$I342&lt;&gt;SottocategorieUscite[[#Headers],[Personali]],$I342&lt;&gt;SottocategorieUscite[[#Headers],[Lavoro]],$I342&lt;&gt;SottocategorieUscite[[#Headers],[Casa]],$I342&lt;&gt;SottocategorieUscite[[#Headers],[Utenze]],$I342&lt;&gt;SottocategorieUscite[[#Headers],[Business Uscite]],$I342&lt;&gt;SottocategorieUscite[[#Headers],[Banca]]),"","$ -")</f>
        <v/>
      </c>
      <c r="N342" s="59" t="str">
        <f>IF(OR(Data!$I342=SottocategorieEntrate[[#Headers],[Business Entrate]],Data!$I342=SottocategorieEntrate[[#Headers],[Varie Entrate]]),"$ -","")</f>
        <v/>
      </c>
      <c r="O342" s="59" t="str">
        <f>IF(OR(Data!$I342=SottocategorieEntrate[[#Headers],[Real Estate]],SottocategorieEntrate[[#Headers],[Other]]),"$ -","")</f>
        <v/>
      </c>
      <c r="P342" s="59" t="str">
        <f>IF(OR($I342&lt;&gt;SottocategorieEntrate[[#Headers],[Business Entrate]],$I342&lt;&gt;SottocategorieEntrate[[#Headers],[Varie Entrate]],$I342&lt;&gt;SottocategorieEntrate[[#Headers],[Real Estate]],$I342&lt;&gt;SottocategorieEntrate[[#Headers],[Other]]),"","$ -")</f>
        <v/>
      </c>
      <c r="Q342" s="59" t="str">
        <f>IF(Dati[[#This Row],[Categoria]]="Prelievo","€ -","")</f>
        <v/>
      </c>
      <c r="R342" s="244"/>
      <c r="S342" s="59" t="str">
        <f>IF(Dati[[#This Row],[Categoria]]="Savings",0,"")</f>
        <v/>
      </c>
      <c r="T342" s="59"/>
      <c r="U342" s="59"/>
      <c r="V342" s="59"/>
      <c r="W342" s="59"/>
      <c r="X342" s="59"/>
      <c r="Y342" s="59"/>
      <c r="Z342" s="59"/>
      <c r="AA342" s="59"/>
      <c r="AB342" s="59"/>
      <c r="AC342" s="59"/>
      <c r="AD342" s="59"/>
      <c r="AE342" s="59"/>
      <c r="AF342" s="59"/>
      <c r="AG342" s="59"/>
      <c r="AH342" s="59"/>
      <c r="AI342" s="59" t="str">
        <f>IF(SUM(Dati[[#This Row],[Inv. Business]:[Inv. Cryptocurrency]])=0," ",SUM(Dati[[#This Row],[Inv. Business]:[Inv. Cryptocurrency]]))</f>
        <v xml:space="preserve"> </v>
      </c>
      <c r="AJ342" s="59"/>
      <c r="AK342" s="59" t="str">
        <f>IF(SUM(Dati[[#This Row],[Inv. Gold]:[Mutuo]])=0," ",SUM(Dati[[#This Row],[Inv. Gold]:[Mutuo]]))</f>
        <v xml:space="preserve"> </v>
      </c>
      <c r="AL342" s="59"/>
      <c r="AM342" s="59"/>
    </row>
    <row r="343" spans="2:39" ht="16" customHeight="1" x14ac:dyDescent="0.35">
      <c r="B343">
        <f t="shared" si="15"/>
        <v>323</v>
      </c>
      <c r="C343" s="49">
        <f t="shared" ref="C343:C382" si="16">C342+1</f>
        <v>45227</v>
      </c>
      <c r="D343" s="29">
        <f>DAY(Dati[[#This Row],[Data]])</f>
        <v>28</v>
      </c>
      <c r="E343" s="29" t="str">
        <f>IF(DAY(Data!$C$21:$C$1327)&gt;0,TEXT(Data!$C$21:$C$1327, "mmmm"),"")</f>
        <v>ottobre</v>
      </c>
      <c r="F343" s="29" t="str">
        <f>IF(DAY(Data!$C$21:$C$1327)&gt;0,TEXT(Data!$C$21:$C$1327, "aaaa"),"")</f>
        <v>2023</v>
      </c>
      <c r="I343" t="str">
        <f>IF(OR(H343=$B$5,H343=$B$6,H343=$B$7,H343=$B$8,H343=$B$9,H343=$B$10,H343=$B$11,H343=$B$12,H343=$B$13,H343=$B$14),SottocategorieUscite[[#Headers],[Fuori Casa]],IF(OR(H343=$C$5,H343=$C$6,H343=$C$7,H343=$C$8,H343=$C$9,H343=$C$10,H343=$C$11,H343=$C$12,H343=$C$13,H343=$C$14),SottocategorieUscite[[#Headers],[Varie Uscite]],IF(OR(H343=$D$5,H343=$D$6,H343=$D$7,H343=$D$8,H343=$D$9,H343=$D$10,H343=$D$11,H343=$D$12,H343=$D$13,H343=$D$14),SottocategorieUscite[[#Headers],[Personali]],IF(OR(H343=$E$5,H343=$E$6,H343=$E$7,H343=$E$8,H343=$E$9,H343=$E$10,H343=$E$11,H343=$E$12,H343=$E$13,H343=$E$14),SottocategorieUscite[[#Headers],[Lavoro]],IF(OR(H343=$F$5,H343=$F$6,H343=$F$7,H343=$F$8,H343=$F$9,H343=$F$10,H343=$F$11,H343=$F$12,H343=$F$13,H343=$F$14),SottocategorieUscite[[#Headers],[Casa]],IF(OR(H343=$G$5,H343=$G$6,H343=$G$7,H343=$G$8,H343=$G$9,H343=$G$10,H343=$G$11,H343=$G$12,H343=$G$13,H343=$G$14),SottocategorieUscite[[#Headers],[Utenze]],IF(OR(H343=$H$5,H343=$H$6,H343=$H$7,H343=$H$8,H343=$H$9,H343=$H$10,H343=$H$11,H343=$H$12,H343=$H$13,H343=$H$14),SottocategorieUscite[[#Headers],[Business Uscite]],IF(OR(H343=$I$5,H343=$I$6,H343=$I$7,H343=$I$8,H343=$I$9,H343=$I$10,H343=$I$11,H343=$I$12,H343=$I$13,H343=$I$14),SottocategorieUscite[[#Headers],[Banca]],IF(OR(H343=K$5,H343=K$6,H343=K$7,H343=K$8,H343=K$9,H343=K$10,H343=K$11,H343=K$12,H343=K$13,H343=K$14),SottocategorieEntrate[[#Headers],[Business Entrate]],IF(OR(H343=L$5,H343=L$6,H343=L$7,H343=L$8,H343=L$9,H343=L$10,H343=L$11,H343=L$12,H343=L$13,H343=L$14),SottocategorieEntrate[[#Headers],[Varie Entrate]],IF(OR(H343=M$5,H343=M$6,H343=M$7,H343=M$8,H343=M$9,H343=M$10,H343=M$11,H343=M$12,H343=M$13,H343=M$14),SottocategorieEntrate[[#Headers],[Real Estate]],IF(OR(H343=N$5,H343=N$6,H343=N$7,H343=N$8,H343=N$9,H343=N$10,H343=N$11,H343=N$12,H343=N$13,H343=N$14),SottocategorieEntrate[[#Headers],[Other]],""))))))))))))</f>
        <v/>
      </c>
      <c r="J343" t="str">
        <f>IF(OR(Dati[[#This Row],[Categoria]]="Bollette",Dati[[#This Row],[Categoria]]="Conto &amp; Carte BNL",Dati[[#This Row],[Categoria]]="Prelievo",Dati[[#This Row],[Categoria]]="Affitto",Dati[[#This Row],[Categoria]]="BNL(Interessi Creditori)"),"Carta",IF(Dati[[#This Row],[Categoria]]&lt;&gt;0,"Cash",""))</f>
        <v/>
      </c>
      <c r="K343" s="59" t="str">
        <f>IF(OR(Data!$I343=SottocategorieUscite[[#Headers],[Fuori Casa]],Data!$I343=SottocategorieUscite[[#Headers],[Varie Uscite]],Data!$I343=SottocategorieUscite[[#Headers],[Personali]],Data!$I343=SottocategorieUscite[[#Headers],[Lavoro]]),"$ -","")</f>
        <v/>
      </c>
      <c r="L343" s="59" t="str">
        <f>IF(OR(Data!$I343=SottocategorieUscite[[#Headers],[Casa]],Data!$I343=SottocategorieUscite[[#Headers],[Utenze]],Data!$I343=SottocategorieUscite[[#Headers],[Business Uscite]],Data!$I343=SottocategorieUscite[[#Headers],[Banca]]),"$ -","")</f>
        <v/>
      </c>
      <c r="M343" s="59" t="str">
        <f>IF(OR($I343&lt;&gt;SottocategorieUscite[[#Headers],[Fuori Casa]],$I343&lt;&gt;SottocategorieUscite[[#Headers],[Varie Uscite]],$I343&lt;&gt;SottocategorieUscite[[#Headers],[Personali]],$I343&lt;&gt;SottocategorieUscite[[#Headers],[Lavoro]],$I343&lt;&gt;SottocategorieUscite[[#Headers],[Casa]],$I343&lt;&gt;SottocategorieUscite[[#Headers],[Utenze]],$I343&lt;&gt;SottocategorieUscite[[#Headers],[Business Uscite]],$I343&lt;&gt;SottocategorieUscite[[#Headers],[Banca]]),"","$ -")</f>
        <v/>
      </c>
      <c r="N343" s="59" t="str">
        <f>IF(OR(Data!$I343=SottocategorieEntrate[[#Headers],[Business Entrate]],Data!$I343=SottocategorieEntrate[[#Headers],[Varie Entrate]]),"$ -","")</f>
        <v/>
      </c>
      <c r="O343" s="59" t="str">
        <f>IF(OR(Data!$I343=SottocategorieEntrate[[#Headers],[Real Estate]],SottocategorieEntrate[[#Headers],[Other]]),"$ -","")</f>
        <v/>
      </c>
      <c r="P343" s="59" t="str">
        <f>IF(OR($I343&lt;&gt;SottocategorieEntrate[[#Headers],[Business Entrate]],$I343&lt;&gt;SottocategorieEntrate[[#Headers],[Varie Entrate]],$I343&lt;&gt;SottocategorieEntrate[[#Headers],[Real Estate]],$I343&lt;&gt;SottocategorieEntrate[[#Headers],[Other]]),"","$ -")</f>
        <v/>
      </c>
      <c r="Q343" s="59" t="str">
        <f>IF(Dati[[#This Row],[Categoria]]="Prelievo","€ -","")</f>
        <v/>
      </c>
      <c r="R343" s="244"/>
      <c r="S343" s="59" t="str">
        <f>IF(Dati[[#This Row],[Categoria]]="Savings",0,"")</f>
        <v/>
      </c>
      <c r="T343" s="59"/>
      <c r="U343" s="59"/>
      <c r="V343" s="59"/>
      <c r="W343" s="59"/>
      <c r="X343" s="59"/>
      <c r="Y343" s="59"/>
      <c r="Z343" s="59"/>
      <c r="AA343" s="59"/>
      <c r="AB343" s="59"/>
      <c r="AC343" s="59"/>
      <c r="AD343" s="59"/>
      <c r="AE343" s="59"/>
      <c r="AF343" s="59"/>
      <c r="AG343" s="59"/>
      <c r="AH343" s="59"/>
      <c r="AI343" s="59" t="str">
        <f>IF(SUM(Dati[[#This Row],[Inv. Business]:[Inv. Cryptocurrency]])=0," ",SUM(Dati[[#This Row],[Inv. Business]:[Inv. Cryptocurrency]]))</f>
        <v xml:space="preserve"> </v>
      </c>
      <c r="AJ343" s="59"/>
      <c r="AK343" s="59" t="str">
        <f>IF(SUM(Dati[[#This Row],[Inv. Gold]:[Mutuo]])=0," ",SUM(Dati[[#This Row],[Inv. Gold]:[Mutuo]]))</f>
        <v xml:space="preserve"> </v>
      </c>
      <c r="AL343" s="59"/>
      <c r="AM343" s="59"/>
    </row>
    <row r="344" spans="2:39" ht="16" customHeight="1" x14ac:dyDescent="0.35">
      <c r="B344">
        <f t="shared" si="15"/>
        <v>324</v>
      </c>
      <c r="C344" s="49">
        <v>45227</v>
      </c>
      <c r="D344" s="29">
        <f>DAY(Dati[[#This Row],[Data]])</f>
        <v>28</v>
      </c>
      <c r="E344" s="29" t="str">
        <f>IF(DAY(Data!$C$21:$C$1327)&gt;0,TEXT(Data!$C$21:$C$1327, "mmmm"),"")</f>
        <v>ottobre</v>
      </c>
      <c r="F344" s="29" t="str">
        <f>IF(DAY(Data!$C$21:$C$1327)&gt;0,TEXT(Data!$C$21:$C$1327, "aaaa"),"")</f>
        <v>2023</v>
      </c>
      <c r="I344" t="str">
        <f>IF(OR(H344=$B$5,H344=$B$6,H344=$B$7,H344=$B$8,H344=$B$9,H344=$B$10,H344=$B$11,H344=$B$12,H344=$B$13,H344=$B$14),SottocategorieUscite[[#Headers],[Fuori Casa]],IF(OR(H344=$C$5,H344=$C$6,H344=$C$7,H344=$C$8,H344=$C$9,H344=$C$10,H344=$C$11,H344=$C$12,H344=$C$13,H344=$C$14),SottocategorieUscite[[#Headers],[Varie Uscite]],IF(OR(H344=$D$5,H344=$D$6,H344=$D$7,H344=$D$8,H344=$D$9,H344=$D$10,H344=$D$11,H344=$D$12,H344=$D$13,H344=$D$14),SottocategorieUscite[[#Headers],[Personali]],IF(OR(H344=$E$5,H344=$E$6,H344=$E$7,H344=$E$8,H344=$E$9,H344=$E$10,H344=$E$11,H344=$E$12,H344=$E$13,H344=$E$14),SottocategorieUscite[[#Headers],[Lavoro]],IF(OR(H344=$F$5,H344=$F$6,H344=$F$7,H344=$F$8,H344=$F$9,H344=$F$10,H344=$F$11,H344=$F$12,H344=$F$13,H344=$F$14),SottocategorieUscite[[#Headers],[Casa]],IF(OR(H344=$G$5,H344=$G$6,H344=$G$7,H344=$G$8,H344=$G$9,H344=$G$10,H344=$G$11,H344=$G$12,H344=$G$13,H344=$G$14),SottocategorieUscite[[#Headers],[Utenze]],IF(OR(H344=$H$5,H344=$H$6,H344=$H$7,H344=$H$8,H344=$H$9,H344=$H$10,H344=$H$11,H344=$H$12,H344=$H$13,H344=$H$14),SottocategorieUscite[[#Headers],[Business Uscite]],IF(OR(H344=$I$5,H344=$I$6,H344=$I$7,H344=$I$8,H344=$I$9,H344=$I$10,H344=$I$11,H344=$I$12,H344=$I$13,H344=$I$14),SottocategorieUscite[[#Headers],[Banca]],IF(OR(H344=K$5,H344=K$6,H344=K$7,H344=K$8,H344=K$9,H344=K$10,H344=K$11,H344=K$12,H344=K$13,H344=K$14),SottocategorieEntrate[[#Headers],[Business Entrate]],IF(OR(H344=L$5,H344=L$6,H344=L$7,H344=L$8,H344=L$9,H344=L$10,H344=L$11,H344=L$12,H344=L$13,H344=L$14),SottocategorieEntrate[[#Headers],[Varie Entrate]],IF(OR(H344=M$5,H344=M$6,H344=M$7,H344=M$8,H344=M$9,H344=M$10,H344=M$11,H344=M$12,H344=M$13,H344=M$14),SottocategorieEntrate[[#Headers],[Real Estate]],IF(OR(H344=N$5,H344=N$6,H344=N$7,H344=N$8,H344=N$9,H344=N$10,H344=N$11,H344=N$12,H344=N$13,H344=N$14),SottocategorieEntrate[[#Headers],[Other]],""))))))))))))</f>
        <v/>
      </c>
      <c r="J344" t="str">
        <f>IF(OR(Dati[[#This Row],[Categoria]]="Bollette",Dati[[#This Row],[Categoria]]="Conto &amp; Carte BNL",Dati[[#This Row],[Categoria]]="Prelievo",Dati[[#This Row],[Categoria]]="Affitto",Dati[[#This Row],[Categoria]]="BNL(Interessi Creditori)"),"Carta",IF(Dati[[#This Row],[Categoria]]&lt;&gt;0,"Cash",""))</f>
        <v/>
      </c>
      <c r="K344" s="59" t="str">
        <f>IF(OR(Data!$I344=SottocategorieUscite[[#Headers],[Fuori Casa]],Data!$I344=SottocategorieUscite[[#Headers],[Varie Uscite]],Data!$I344=SottocategorieUscite[[#Headers],[Personali]],Data!$I344=SottocategorieUscite[[#Headers],[Lavoro]]),"$ -","")</f>
        <v/>
      </c>
      <c r="L344" s="59" t="str">
        <f>IF(OR(Data!$I344=SottocategorieUscite[[#Headers],[Casa]],Data!$I344=SottocategorieUscite[[#Headers],[Utenze]],Data!$I344=SottocategorieUscite[[#Headers],[Business Uscite]],Data!$I344=SottocategorieUscite[[#Headers],[Banca]]),"$ -","")</f>
        <v/>
      </c>
      <c r="M344" s="59" t="str">
        <f>IF(OR($I344&lt;&gt;SottocategorieUscite[[#Headers],[Fuori Casa]],$I344&lt;&gt;SottocategorieUscite[[#Headers],[Varie Uscite]],$I344&lt;&gt;SottocategorieUscite[[#Headers],[Personali]],$I344&lt;&gt;SottocategorieUscite[[#Headers],[Lavoro]],$I344&lt;&gt;SottocategorieUscite[[#Headers],[Casa]],$I344&lt;&gt;SottocategorieUscite[[#Headers],[Utenze]],$I344&lt;&gt;SottocategorieUscite[[#Headers],[Business Uscite]],$I344&lt;&gt;SottocategorieUscite[[#Headers],[Banca]]),"","$ -")</f>
        <v/>
      </c>
      <c r="N344" s="59" t="str">
        <f>IF(OR(Data!$I344=SottocategorieEntrate[[#Headers],[Business Entrate]],Data!$I344=SottocategorieEntrate[[#Headers],[Varie Entrate]]),"$ -","")</f>
        <v/>
      </c>
      <c r="O344" s="59" t="str">
        <f>IF(OR(Data!$I344=SottocategorieEntrate[[#Headers],[Real Estate]],SottocategorieEntrate[[#Headers],[Other]]),"$ -","")</f>
        <v/>
      </c>
      <c r="P344" s="59" t="str">
        <f>IF(OR($I344&lt;&gt;SottocategorieEntrate[[#Headers],[Business Entrate]],$I344&lt;&gt;SottocategorieEntrate[[#Headers],[Varie Entrate]],$I344&lt;&gt;SottocategorieEntrate[[#Headers],[Real Estate]],$I344&lt;&gt;SottocategorieEntrate[[#Headers],[Other]]),"","$ -")</f>
        <v/>
      </c>
      <c r="Q344" s="59" t="str">
        <f>IF(Dati[[#This Row],[Categoria]]="Prelievo","€ -","")</f>
        <v/>
      </c>
      <c r="R344" s="244"/>
      <c r="S344" s="59" t="str">
        <f>IF(Dati[[#This Row],[Categoria]]="Savings",0,"")</f>
        <v/>
      </c>
      <c r="T344" s="59"/>
      <c r="U344" s="59"/>
      <c r="V344" s="59"/>
      <c r="W344" s="59"/>
      <c r="X344" s="59"/>
      <c r="Y344" s="59"/>
      <c r="Z344" s="59"/>
      <c r="AA344" s="59"/>
      <c r="AB344" s="59"/>
      <c r="AC344" s="59"/>
      <c r="AD344" s="59"/>
      <c r="AE344" s="59"/>
      <c r="AF344" s="59"/>
      <c r="AG344" s="59"/>
      <c r="AH344" s="59"/>
      <c r="AI344" s="59" t="str">
        <f>IF(SUM(Dati[[#This Row],[Inv. Business]:[Inv. Cryptocurrency]])=0," ",SUM(Dati[[#This Row],[Inv. Business]:[Inv. Cryptocurrency]]))</f>
        <v xml:space="preserve"> </v>
      </c>
      <c r="AJ344" s="59"/>
      <c r="AK344" s="59" t="str">
        <f>IF(SUM(Dati[[#This Row],[Inv. Gold]:[Mutuo]])=0," ",SUM(Dati[[#This Row],[Inv. Gold]:[Mutuo]]))</f>
        <v xml:space="preserve"> </v>
      </c>
      <c r="AL344" s="59"/>
      <c r="AM344" s="59"/>
    </row>
    <row r="345" spans="2:39" ht="16" customHeight="1" x14ac:dyDescent="0.35">
      <c r="B345">
        <f t="shared" si="15"/>
        <v>325</v>
      </c>
      <c r="C345" s="49">
        <f>C343+1</f>
        <v>45228</v>
      </c>
      <c r="D345" s="29">
        <f>DAY(Dati[[#This Row],[Data]])</f>
        <v>29</v>
      </c>
      <c r="E345" s="29" t="str">
        <f>IF(DAY(Data!$C$21:$C$1327)&gt;0,TEXT(Data!$C$21:$C$1327, "mmmm"),"")</f>
        <v>ottobre</v>
      </c>
      <c r="F345" s="29" t="str">
        <f>IF(DAY(Data!$C$21:$C$1327)&gt;0,TEXT(Data!$C$21:$C$1327, "aaaa"),"")</f>
        <v>2023</v>
      </c>
      <c r="I345" t="str">
        <f>IF(OR(H345=$B$5,H345=$B$6,H345=$B$7,H345=$B$8,H345=$B$9,H345=$B$10,H345=$B$11,H345=$B$12,H345=$B$13,H345=$B$14),SottocategorieUscite[[#Headers],[Fuori Casa]],IF(OR(H345=$C$5,H345=$C$6,H345=$C$7,H345=$C$8,H345=$C$9,H345=$C$10,H345=$C$11,H345=$C$12,H345=$C$13,H345=$C$14),SottocategorieUscite[[#Headers],[Varie Uscite]],IF(OR(H345=$D$5,H345=$D$6,H345=$D$7,H345=$D$8,H345=$D$9,H345=$D$10,H345=$D$11,H345=$D$12,H345=$D$13,H345=$D$14),SottocategorieUscite[[#Headers],[Personali]],IF(OR(H345=$E$5,H345=$E$6,H345=$E$7,H345=$E$8,H345=$E$9,H345=$E$10,H345=$E$11,H345=$E$12,H345=$E$13,H345=$E$14),SottocategorieUscite[[#Headers],[Lavoro]],IF(OR(H345=$F$5,H345=$F$6,H345=$F$7,H345=$F$8,H345=$F$9,H345=$F$10,H345=$F$11,H345=$F$12,H345=$F$13,H345=$F$14),SottocategorieUscite[[#Headers],[Casa]],IF(OR(H345=$G$5,H345=$G$6,H345=$G$7,H345=$G$8,H345=$G$9,H345=$G$10,H345=$G$11,H345=$G$12,H345=$G$13,H345=$G$14),SottocategorieUscite[[#Headers],[Utenze]],IF(OR(H345=$H$5,H345=$H$6,H345=$H$7,H345=$H$8,H345=$H$9,H345=$H$10,H345=$H$11,H345=$H$12,H345=$H$13,H345=$H$14),SottocategorieUscite[[#Headers],[Business Uscite]],IF(OR(H345=$I$5,H345=$I$6,H345=$I$7,H345=$I$8,H345=$I$9,H345=$I$10,H345=$I$11,H345=$I$12,H345=$I$13,H345=$I$14),SottocategorieUscite[[#Headers],[Banca]],IF(OR(H345=K$5,H345=K$6,H345=K$7,H345=K$8,H345=K$9,H345=K$10,H345=K$11,H345=K$12,H345=K$13,H345=K$14),SottocategorieEntrate[[#Headers],[Business Entrate]],IF(OR(H345=L$5,H345=L$6,H345=L$7,H345=L$8,H345=L$9,H345=L$10,H345=L$11,H345=L$12,H345=L$13,H345=L$14),SottocategorieEntrate[[#Headers],[Varie Entrate]],IF(OR(H345=M$5,H345=M$6,H345=M$7,H345=M$8,H345=M$9,H345=M$10,H345=M$11,H345=M$12,H345=M$13,H345=M$14),SottocategorieEntrate[[#Headers],[Real Estate]],IF(OR(H345=N$5,H345=N$6,H345=N$7,H345=N$8,H345=N$9,H345=N$10,H345=N$11,H345=N$12,H345=N$13,H345=N$14),SottocategorieEntrate[[#Headers],[Other]],""))))))))))))</f>
        <v/>
      </c>
      <c r="J345" t="str">
        <f>IF(OR(Dati[[#This Row],[Categoria]]="Bollette",Dati[[#This Row],[Categoria]]="Conto &amp; Carte BNL",Dati[[#This Row],[Categoria]]="Prelievo",Dati[[#This Row],[Categoria]]="Affitto",Dati[[#This Row],[Categoria]]="BNL(Interessi Creditori)"),"Carta",IF(Dati[[#This Row],[Categoria]]&lt;&gt;0,"Cash",""))</f>
        <v/>
      </c>
      <c r="K345" s="59" t="str">
        <f>IF(OR(Data!$I345=SottocategorieUscite[[#Headers],[Fuori Casa]],Data!$I345=SottocategorieUscite[[#Headers],[Varie Uscite]],Data!$I345=SottocategorieUscite[[#Headers],[Personali]],Data!$I345=SottocategorieUscite[[#Headers],[Lavoro]]),"$ -","")</f>
        <v/>
      </c>
      <c r="L345" s="59" t="str">
        <f>IF(OR(Data!$I345=SottocategorieUscite[[#Headers],[Casa]],Data!$I345=SottocategorieUscite[[#Headers],[Utenze]],Data!$I345=SottocategorieUscite[[#Headers],[Business Uscite]],Data!$I345=SottocategorieUscite[[#Headers],[Banca]]),"$ -","")</f>
        <v/>
      </c>
      <c r="M345" s="59" t="str">
        <f>IF(OR($I345&lt;&gt;SottocategorieUscite[[#Headers],[Fuori Casa]],$I345&lt;&gt;SottocategorieUscite[[#Headers],[Varie Uscite]],$I345&lt;&gt;SottocategorieUscite[[#Headers],[Personali]],$I345&lt;&gt;SottocategorieUscite[[#Headers],[Lavoro]],$I345&lt;&gt;SottocategorieUscite[[#Headers],[Casa]],$I345&lt;&gt;SottocategorieUscite[[#Headers],[Utenze]],$I345&lt;&gt;SottocategorieUscite[[#Headers],[Business Uscite]],$I345&lt;&gt;SottocategorieUscite[[#Headers],[Banca]]),"","$ -")</f>
        <v/>
      </c>
      <c r="N345" s="59" t="str">
        <f>IF(OR(Data!$I345=SottocategorieEntrate[[#Headers],[Business Entrate]],Data!$I345=SottocategorieEntrate[[#Headers],[Varie Entrate]]),"$ -","")</f>
        <v/>
      </c>
      <c r="O345" s="59" t="str">
        <f>IF(OR(Data!$I345=SottocategorieEntrate[[#Headers],[Real Estate]],SottocategorieEntrate[[#Headers],[Other]]),"$ -","")</f>
        <v/>
      </c>
      <c r="P345" s="59" t="str">
        <f>IF(OR($I345&lt;&gt;SottocategorieEntrate[[#Headers],[Business Entrate]],$I345&lt;&gt;SottocategorieEntrate[[#Headers],[Varie Entrate]],$I345&lt;&gt;SottocategorieEntrate[[#Headers],[Real Estate]],$I345&lt;&gt;SottocategorieEntrate[[#Headers],[Other]]),"","$ -")</f>
        <v/>
      </c>
      <c r="Q345" s="59" t="str">
        <f>IF(Dati[[#This Row],[Categoria]]="Prelievo","€ -","")</f>
        <v/>
      </c>
      <c r="R345" s="244"/>
      <c r="S345" s="59" t="str">
        <f>IF(Dati[[#This Row],[Categoria]]="Savings",0,"")</f>
        <v/>
      </c>
      <c r="T345" s="59"/>
      <c r="U345" s="59"/>
      <c r="V345" s="59"/>
      <c r="W345" s="59"/>
      <c r="X345" s="59"/>
      <c r="Y345" s="59"/>
      <c r="Z345" s="59"/>
      <c r="AA345" s="59"/>
      <c r="AB345" s="59"/>
      <c r="AC345" s="59"/>
      <c r="AD345" s="59"/>
      <c r="AE345" s="59"/>
      <c r="AF345" s="59"/>
      <c r="AG345" s="59"/>
      <c r="AH345" s="59"/>
      <c r="AI345" s="59" t="str">
        <f>IF(SUM(Dati[[#This Row],[Inv. Business]:[Inv. Cryptocurrency]])=0," ",SUM(Dati[[#This Row],[Inv. Business]:[Inv. Cryptocurrency]]))</f>
        <v xml:space="preserve"> </v>
      </c>
      <c r="AJ345" s="59"/>
      <c r="AK345" s="59" t="str">
        <f>IF(SUM(Dati[[#This Row],[Inv. Gold]:[Mutuo]])=0," ",SUM(Dati[[#This Row],[Inv. Gold]:[Mutuo]]))</f>
        <v xml:space="preserve"> </v>
      </c>
      <c r="AL345" s="59"/>
      <c r="AM345" s="59"/>
    </row>
    <row r="346" spans="2:39" ht="16" customHeight="1" x14ac:dyDescent="0.35">
      <c r="B346">
        <f t="shared" si="15"/>
        <v>326</v>
      </c>
      <c r="C346" s="49">
        <f t="shared" si="16"/>
        <v>45229</v>
      </c>
      <c r="D346" s="29">
        <f>DAY(Dati[[#This Row],[Data]])</f>
        <v>30</v>
      </c>
      <c r="E346" s="29" t="str">
        <f>IF(DAY(Data!$C$21:$C$1327)&gt;0,TEXT(Data!$C$21:$C$1327, "mmmm"),"")</f>
        <v>ottobre</v>
      </c>
      <c r="F346" s="29" t="str">
        <f>IF(DAY(Data!$C$21:$C$1327)&gt;0,TEXT(Data!$C$21:$C$1327, "aaaa"),"")</f>
        <v>2023</v>
      </c>
      <c r="I346" t="str">
        <f>IF(OR(H346=$B$5,H346=$B$6,H346=$B$7,H346=$B$8,H346=$B$9,H346=$B$10,H346=$B$11,H346=$B$12,H346=$B$13,H346=$B$14),SottocategorieUscite[[#Headers],[Fuori Casa]],IF(OR(H346=$C$5,H346=$C$6,H346=$C$7,H346=$C$8,H346=$C$9,H346=$C$10,H346=$C$11,H346=$C$12,H346=$C$13,H346=$C$14),SottocategorieUscite[[#Headers],[Varie Uscite]],IF(OR(H346=$D$5,H346=$D$6,H346=$D$7,H346=$D$8,H346=$D$9,H346=$D$10,H346=$D$11,H346=$D$12,H346=$D$13,H346=$D$14),SottocategorieUscite[[#Headers],[Personali]],IF(OR(H346=$E$5,H346=$E$6,H346=$E$7,H346=$E$8,H346=$E$9,H346=$E$10,H346=$E$11,H346=$E$12,H346=$E$13,H346=$E$14),SottocategorieUscite[[#Headers],[Lavoro]],IF(OR(H346=$F$5,H346=$F$6,H346=$F$7,H346=$F$8,H346=$F$9,H346=$F$10,H346=$F$11,H346=$F$12,H346=$F$13,H346=$F$14),SottocategorieUscite[[#Headers],[Casa]],IF(OR(H346=$G$5,H346=$G$6,H346=$G$7,H346=$G$8,H346=$G$9,H346=$G$10,H346=$G$11,H346=$G$12,H346=$G$13,H346=$G$14),SottocategorieUscite[[#Headers],[Utenze]],IF(OR(H346=$H$5,H346=$H$6,H346=$H$7,H346=$H$8,H346=$H$9,H346=$H$10,H346=$H$11,H346=$H$12,H346=$H$13,H346=$H$14),SottocategorieUscite[[#Headers],[Business Uscite]],IF(OR(H346=$I$5,H346=$I$6,H346=$I$7,H346=$I$8,H346=$I$9,H346=$I$10,H346=$I$11,H346=$I$12,H346=$I$13,H346=$I$14),SottocategorieUscite[[#Headers],[Banca]],IF(OR(H346=K$5,H346=K$6,H346=K$7,H346=K$8,H346=K$9,H346=K$10,H346=K$11,H346=K$12,H346=K$13,H346=K$14),SottocategorieEntrate[[#Headers],[Business Entrate]],IF(OR(H346=L$5,H346=L$6,H346=L$7,H346=L$8,H346=L$9,H346=L$10,H346=L$11,H346=L$12,H346=L$13,H346=L$14),SottocategorieEntrate[[#Headers],[Varie Entrate]],IF(OR(H346=M$5,H346=M$6,H346=M$7,H346=M$8,H346=M$9,H346=M$10,H346=M$11,H346=M$12,H346=M$13,H346=M$14),SottocategorieEntrate[[#Headers],[Real Estate]],IF(OR(H346=N$5,H346=N$6,H346=N$7,H346=N$8,H346=N$9,H346=N$10,H346=N$11,H346=N$12,H346=N$13,H346=N$14),SottocategorieEntrate[[#Headers],[Other]],""))))))))))))</f>
        <v/>
      </c>
      <c r="J346" t="str">
        <f>IF(OR(Dati[[#This Row],[Categoria]]="Bollette",Dati[[#This Row],[Categoria]]="Conto &amp; Carte BNL",Dati[[#This Row],[Categoria]]="Prelievo",Dati[[#This Row],[Categoria]]="Affitto",Dati[[#This Row],[Categoria]]="BNL(Interessi Creditori)"),"Carta",IF(Dati[[#This Row],[Categoria]]&lt;&gt;0,"Cash",""))</f>
        <v/>
      </c>
      <c r="K346" s="59" t="str">
        <f>IF(OR(Data!$I346=SottocategorieUscite[[#Headers],[Fuori Casa]],Data!$I346=SottocategorieUscite[[#Headers],[Varie Uscite]],Data!$I346=SottocategorieUscite[[#Headers],[Personali]],Data!$I346=SottocategorieUscite[[#Headers],[Lavoro]]),"$ -","")</f>
        <v/>
      </c>
      <c r="L346" s="59" t="str">
        <f>IF(OR(Data!$I346=SottocategorieUscite[[#Headers],[Casa]],Data!$I346=SottocategorieUscite[[#Headers],[Utenze]],Data!$I346=SottocategorieUscite[[#Headers],[Business Uscite]],Data!$I346=SottocategorieUscite[[#Headers],[Banca]]),"$ -","")</f>
        <v/>
      </c>
      <c r="M346" s="59" t="str">
        <f>IF(OR($I346&lt;&gt;SottocategorieUscite[[#Headers],[Fuori Casa]],$I346&lt;&gt;SottocategorieUscite[[#Headers],[Varie Uscite]],$I346&lt;&gt;SottocategorieUscite[[#Headers],[Personali]],$I346&lt;&gt;SottocategorieUscite[[#Headers],[Lavoro]],$I346&lt;&gt;SottocategorieUscite[[#Headers],[Casa]],$I346&lt;&gt;SottocategorieUscite[[#Headers],[Utenze]],$I346&lt;&gt;SottocategorieUscite[[#Headers],[Business Uscite]],$I346&lt;&gt;SottocategorieUscite[[#Headers],[Banca]]),"","$ -")</f>
        <v/>
      </c>
      <c r="N346" s="59" t="str">
        <f>IF(OR(Data!$I346=SottocategorieEntrate[[#Headers],[Business Entrate]],Data!$I346=SottocategorieEntrate[[#Headers],[Varie Entrate]]),"$ -","")</f>
        <v/>
      </c>
      <c r="O346" s="59" t="str">
        <f>IF(OR(Data!$I346=SottocategorieEntrate[[#Headers],[Real Estate]],SottocategorieEntrate[[#Headers],[Other]]),"$ -","")</f>
        <v/>
      </c>
      <c r="P346" s="59" t="str">
        <f>IF(OR($I346&lt;&gt;SottocategorieEntrate[[#Headers],[Business Entrate]],$I346&lt;&gt;SottocategorieEntrate[[#Headers],[Varie Entrate]],$I346&lt;&gt;SottocategorieEntrate[[#Headers],[Real Estate]],$I346&lt;&gt;SottocategorieEntrate[[#Headers],[Other]]),"","$ -")</f>
        <v/>
      </c>
      <c r="Q346" s="59" t="str">
        <f>IF(Dati[[#This Row],[Categoria]]="Prelievo","€ -","")</f>
        <v/>
      </c>
      <c r="R346" s="244"/>
      <c r="S346" s="59" t="str">
        <f>IF(Dati[[#This Row],[Categoria]]="Savings",0,"")</f>
        <v/>
      </c>
      <c r="T346" s="59"/>
      <c r="U346" s="59"/>
      <c r="V346" s="59"/>
      <c r="W346" s="59"/>
      <c r="X346" s="59"/>
      <c r="Y346" s="59"/>
      <c r="Z346" s="59"/>
      <c r="AA346" s="59"/>
      <c r="AB346" s="59"/>
      <c r="AC346" s="59"/>
      <c r="AD346" s="59"/>
      <c r="AE346" s="59"/>
      <c r="AF346" s="59"/>
      <c r="AG346" s="59"/>
      <c r="AH346" s="59"/>
      <c r="AI346" s="59" t="str">
        <f>IF(SUM(Dati[[#This Row],[Inv. Business]:[Inv. Cryptocurrency]])=0," ",SUM(Dati[[#This Row],[Inv. Business]:[Inv. Cryptocurrency]]))</f>
        <v xml:space="preserve"> </v>
      </c>
      <c r="AJ346" s="59"/>
      <c r="AK346" s="59" t="str">
        <f>IF(SUM(Dati[[#This Row],[Inv. Gold]:[Mutuo]])=0," ",SUM(Dati[[#This Row],[Inv. Gold]:[Mutuo]]))</f>
        <v xml:space="preserve"> </v>
      </c>
      <c r="AL346" s="59"/>
      <c r="AM346" s="59"/>
    </row>
    <row r="347" spans="2:39" ht="16" customHeight="1" x14ac:dyDescent="0.35">
      <c r="B347">
        <f t="shared" si="15"/>
        <v>327</v>
      </c>
      <c r="C347" s="49">
        <f t="shared" si="16"/>
        <v>45230</v>
      </c>
      <c r="D347" s="29">
        <f>DAY(Dati[[#This Row],[Data]])</f>
        <v>31</v>
      </c>
      <c r="E347" s="29" t="str">
        <f>IF(DAY(Data!$C$21:$C$1327)&gt;0,TEXT(Data!$C$21:$C$1327, "mmmm"),"")</f>
        <v>ottobre</v>
      </c>
      <c r="F347" s="29" t="str">
        <f>IF(DAY(Data!$C$21:$C$1327)&gt;0,TEXT(Data!$C$21:$C$1327, "aaaa"),"")</f>
        <v>2023</v>
      </c>
      <c r="I347" t="str">
        <f>IF(OR(H347=$B$5,H347=$B$6,H347=$B$7,H347=$B$8,H347=$B$9,H347=$B$10,H347=$B$11,H347=$B$12,H347=$B$13,H347=$B$14),SottocategorieUscite[[#Headers],[Fuori Casa]],IF(OR(H347=$C$5,H347=$C$6,H347=$C$7,H347=$C$8,H347=$C$9,H347=$C$10,H347=$C$11,H347=$C$12,H347=$C$13,H347=$C$14),SottocategorieUscite[[#Headers],[Varie Uscite]],IF(OR(H347=$D$5,H347=$D$6,H347=$D$7,H347=$D$8,H347=$D$9,H347=$D$10,H347=$D$11,H347=$D$12,H347=$D$13,H347=$D$14),SottocategorieUscite[[#Headers],[Personali]],IF(OR(H347=$E$5,H347=$E$6,H347=$E$7,H347=$E$8,H347=$E$9,H347=$E$10,H347=$E$11,H347=$E$12,H347=$E$13,H347=$E$14),SottocategorieUscite[[#Headers],[Lavoro]],IF(OR(H347=$F$5,H347=$F$6,H347=$F$7,H347=$F$8,H347=$F$9,H347=$F$10,H347=$F$11,H347=$F$12,H347=$F$13,H347=$F$14),SottocategorieUscite[[#Headers],[Casa]],IF(OR(H347=$G$5,H347=$G$6,H347=$G$7,H347=$G$8,H347=$G$9,H347=$G$10,H347=$G$11,H347=$G$12,H347=$G$13,H347=$G$14),SottocategorieUscite[[#Headers],[Utenze]],IF(OR(H347=$H$5,H347=$H$6,H347=$H$7,H347=$H$8,H347=$H$9,H347=$H$10,H347=$H$11,H347=$H$12,H347=$H$13,H347=$H$14),SottocategorieUscite[[#Headers],[Business Uscite]],IF(OR(H347=$I$5,H347=$I$6,H347=$I$7,H347=$I$8,H347=$I$9,H347=$I$10,H347=$I$11,H347=$I$12,H347=$I$13,H347=$I$14),SottocategorieUscite[[#Headers],[Banca]],IF(OR(H347=K$5,H347=K$6,H347=K$7,H347=K$8,H347=K$9,H347=K$10,H347=K$11,H347=K$12,H347=K$13,H347=K$14),SottocategorieEntrate[[#Headers],[Business Entrate]],IF(OR(H347=L$5,H347=L$6,H347=L$7,H347=L$8,H347=L$9,H347=L$10,H347=L$11,H347=L$12,H347=L$13,H347=L$14),SottocategorieEntrate[[#Headers],[Varie Entrate]],IF(OR(H347=M$5,H347=M$6,H347=M$7,H347=M$8,H347=M$9,H347=M$10,H347=M$11,H347=M$12,H347=M$13,H347=M$14),SottocategorieEntrate[[#Headers],[Real Estate]],IF(OR(H347=N$5,H347=N$6,H347=N$7,H347=N$8,H347=N$9,H347=N$10,H347=N$11,H347=N$12,H347=N$13,H347=N$14),SottocategorieEntrate[[#Headers],[Other]],""))))))))))))</f>
        <v/>
      </c>
      <c r="J347" t="str">
        <f>IF(OR(Dati[[#This Row],[Categoria]]="Bollette",Dati[[#This Row],[Categoria]]="Conto &amp; Carte BNL",Dati[[#This Row],[Categoria]]="Prelievo",Dati[[#This Row],[Categoria]]="Affitto",Dati[[#This Row],[Categoria]]="BNL(Interessi Creditori)"),"Carta",IF(Dati[[#This Row],[Categoria]]&lt;&gt;0,"Cash",""))</f>
        <v/>
      </c>
      <c r="K347" s="59" t="str">
        <f>IF(OR(Data!$I347=SottocategorieUscite[[#Headers],[Fuori Casa]],Data!$I347=SottocategorieUscite[[#Headers],[Varie Uscite]],Data!$I347=SottocategorieUscite[[#Headers],[Personali]],Data!$I347=SottocategorieUscite[[#Headers],[Lavoro]]),"$ -","")</f>
        <v/>
      </c>
      <c r="L347" s="59" t="str">
        <f>IF(OR(Data!$I347=SottocategorieUscite[[#Headers],[Casa]],Data!$I347=SottocategorieUscite[[#Headers],[Utenze]],Data!$I347=SottocategorieUscite[[#Headers],[Business Uscite]],Data!$I347=SottocategorieUscite[[#Headers],[Banca]]),"$ -","")</f>
        <v/>
      </c>
      <c r="M347" s="59" t="str">
        <f>IF(OR($I347&lt;&gt;SottocategorieUscite[[#Headers],[Fuori Casa]],$I347&lt;&gt;SottocategorieUscite[[#Headers],[Varie Uscite]],$I347&lt;&gt;SottocategorieUscite[[#Headers],[Personali]],$I347&lt;&gt;SottocategorieUscite[[#Headers],[Lavoro]],$I347&lt;&gt;SottocategorieUscite[[#Headers],[Casa]],$I347&lt;&gt;SottocategorieUscite[[#Headers],[Utenze]],$I347&lt;&gt;SottocategorieUscite[[#Headers],[Business Uscite]],$I347&lt;&gt;SottocategorieUscite[[#Headers],[Banca]]),"","$ -")</f>
        <v/>
      </c>
      <c r="N347" s="59" t="str">
        <f>IF(OR(Data!$I347=SottocategorieEntrate[[#Headers],[Business Entrate]],Data!$I347=SottocategorieEntrate[[#Headers],[Varie Entrate]]),"$ -","")</f>
        <v/>
      </c>
      <c r="O347" s="59" t="str">
        <f>IF(OR(Data!$I347=SottocategorieEntrate[[#Headers],[Real Estate]],SottocategorieEntrate[[#Headers],[Other]]),"$ -","")</f>
        <v/>
      </c>
      <c r="P347" s="59" t="str">
        <f>IF(OR($I347&lt;&gt;SottocategorieEntrate[[#Headers],[Business Entrate]],$I347&lt;&gt;SottocategorieEntrate[[#Headers],[Varie Entrate]],$I347&lt;&gt;SottocategorieEntrate[[#Headers],[Real Estate]],$I347&lt;&gt;SottocategorieEntrate[[#Headers],[Other]]),"","$ -")</f>
        <v/>
      </c>
      <c r="Q347" s="59" t="str">
        <f>IF(Dati[[#This Row],[Categoria]]="Prelievo","€ -","")</f>
        <v/>
      </c>
      <c r="R347" s="244"/>
      <c r="S347" s="59" t="str">
        <f>IF(Dati[[#This Row],[Categoria]]="Savings",0,"")</f>
        <v/>
      </c>
      <c r="T347" s="59"/>
      <c r="U347" s="59"/>
      <c r="V347" s="59"/>
      <c r="W347" s="59"/>
      <c r="X347" s="59"/>
      <c r="Y347" s="59"/>
      <c r="Z347" s="59"/>
      <c r="AA347" s="59"/>
      <c r="AB347" s="59"/>
      <c r="AC347" s="59"/>
      <c r="AD347" s="59"/>
      <c r="AE347" s="59"/>
      <c r="AF347" s="59"/>
      <c r="AG347" s="59"/>
      <c r="AH347" s="59"/>
      <c r="AI347" s="59" t="str">
        <f>IF(SUM(Dati[[#This Row],[Inv. Business]:[Inv. Cryptocurrency]])=0," ",SUM(Dati[[#This Row],[Inv. Business]:[Inv. Cryptocurrency]]))</f>
        <v xml:space="preserve"> </v>
      </c>
      <c r="AJ347" s="59"/>
      <c r="AK347" s="59" t="str">
        <f>IF(SUM(Dati[[#This Row],[Inv. Gold]:[Mutuo]])=0," ",SUM(Dati[[#This Row],[Inv. Gold]:[Mutuo]]))</f>
        <v xml:space="preserve"> </v>
      </c>
      <c r="AL347" s="59"/>
      <c r="AM347" s="59"/>
    </row>
    <row r="348" spans="2:39" ht="16" customHeight="1" x14ac:dyDescent="0.35">
      <c r="B348">
        <f t="shared" si="15"/>
        <v>328</v>
      </c>
      <c r="C348" s="49">
        <f t="shared" si="16"/>
        <v>45231</v>
      </c>
      <c r="D348" s="29">
        <f>DAY(Dati[[#This Row],[Data]])</f>
        <v>1</v>
      </c>
      <c r="E348" s="29" t="str">
        <f>IF(DAY(Data!$C$21:$C$1327)&gt;0,TEXT(Data!$C$21:$C$1327, "mmmm"),"")</f>
        <v>novembre</v>
      </c>
      <c r="F348" s="29" t="str">
        <f>IF(DAY(Data!$C$21:$C$1327)&gt;0,TEXT(Data!$C$21:$C$1327, "aaaa"),"")</f>
        <v>2023</v>
      </c>
      <c r="I348" t="str">
        <f>IF(OR(H348=$B$5,H348=$B$6,H348=$B$7,H348=$B$8,H348=$B$9,H348=$B$10,H348=$B$11,H348=$B$12,H348=$B$13,H348=$B$14),SottocategorieUscite[[#Headers],[Fuori Casa]],IF(OR(H348=$C$5,H348=$C$6,H348=$C$7,H348=$C$8,H348=$C$9,H348=$C$10,H348=$C$11,H348=$C$12,H348=$C$13,H348=$C$14),SottocategorieUscite[[#Headers],[Varie Uscite]],IF(OR(H348=$D$5,H348=$D$6,H348=$D$7,H348=$D$8,H348=$D$9,H348=$D$10,H348=$D$11,H348=$D$12,H348=$D$13,H348=$D$14),SottocategorieUscite[[#Headers],[Personali]],IF(OR(H348=$E$5,H348=$E$6,H348=$E$7,H348=$E$8,H348=$E$9,H348=$E$10,H348=$E$11,H348=$E$12,H348=$E$13,H348=$E$14),SottocategorieUscite[[#Headers],[Lavoro]],IF(OR(H348=$F$5,H348=$F$6,H348=$F$7,H348=$F$8,H348=$F$9,H348=$F$10,H348=$F$11,H348=$F$12,H348=$F$13,H348=$F$14),SottocategorieUscite[[#Headers],[Casa]],IF(OR(H348=$G$5,H348=$G$6,H348=$G$7,H348=$G$8,H348=$G$9,H348=$G$10,H348=$G$11,H348=$G$12,H348=$G$13,H348=$G$14),SottocategorieUscite[[#Headers],[Utenze]],IF(OR(H348=$H$5,H348=$H$6,H348=$H$7,H348=$H$8,H348=$H$9,H348=$H$10,H348=$H$11,H348=$H$12,H348=$H$13,H348=$H$14),SottocategorieUscite[[#Headers],[Business Uscite]],IF(OR(H348=$I$5,H348=$I$6,H348=$I$7,H348=$I$8,H348=$I$9,H348=$I$10,H348=$I$11,H348=$I$12,H348=$I$13,H348=$I$14),SottocategorieUscite[[#Headers],[Banca]],IF(OR(H348=K$5,H348=K$6,H348=K$7,H348=K$8,H348=K$9,H348=K$10,H348=K$11,H348=K$12,H348=K$13,H348=K$14),SottocategorieEntrate[[#Headers],[Business Entrate]],IF(OR(H348=L$5,H348=L$6,H348=L$7,H348=L$8,H348=L$9,H348=L$10,H348=L$11,H348=L$12,H348=L$13,H348=L$14),SottocategorieEntrate[[#Headers],[Varie Entrate]],IF(OR(H348=M$5,H348=M$6,H348=M$7,H348=M$8,H348=M$9,H348=M$10,H348=M$11,H348=M$12,H348=M$13,H348=M$14),SottocategorieEntrate[[#Headers],[Real Estate]],IF(OR(H348=N$5,H348=N$6,H348=N$7,H348=N$8,H348=N$9,H348=N$10,H348=N$11,H348=N$12,H348=N$13,H348=N$14),SottocategorieEntrate[[#Headers],[Other]],""))))))))))))</f>
        <v/>
      </c>
      <c r="J348" t="str">
        <f>IF(OR(Dati[[#This Row],[Categoria]]="Bollette",Dati[[#This Row],[Categoria]]="Conto &amp; Carte BNL",Dati[[#This Row],[Categoria]]="Prelievo",Dati[[#This Row],[Categoria]]="Affitto",Dati[[#This Row],[Categoria]]="BNL(Interessi Creditori)"),"Carta",IF(Dati[[#This Row],[Categoria]]&lt;&gt;0,"Cash",""))</f>
        <v/>
      </c>
      <c r="K348" s="59" t="str">
        <f>IF(OR(Data!$I348=SottocategorieUscite[[#Headers],[Fuori Casa]],Data!$I348=SottocategorieUscite[[#Headers],[Varie Uscite]],Data!$I348=SottocategorieUscite[[#Headers],[Personali]],Data!$I348=SottocategorieUscite[[#Headers],[Lavoro]]),"$ -","")</f>
        <v/>
      </c>
      <c r="L348" s="59" t="str">
        <f>IF(OR(Data!$I348=SottocategorieUscite[[#Headers],[Casa]],Data!$I348=SottocategorieUscite[[#Headers],[Utenze]],Data!$I348=SottocategorieUscite[[#Headers],[Business Uscite]],Data!$I348=SottocategorieUscite[[#Headers],[Banca]]),"$ -","")</f>
        <v/>
      </c>
      <c r="M348" s="59" t="str">
        <f>IF(OR($I348&lt;&gt;SottocategorieUscite[[#Headers],[Fuori Casa]],$I348&lt;&gt;SottocategorieUscite[[#Headers],[Varie Uscite]],$I348&lt;&gt;SottocategorieUscite[[#Headers],[Personali]],$I348&lt;&gt;SottocategorieUscite[[#Headers],[Lavoro]],$I348&lt;&gt;SottocategorieUscite[[#Headers],[Casa]],$I348&lt;&gt;SottocategorieUscite[[#Headers],[Utenze]],$I348&lt;&gt;SottocategorieUscite[[#Headers],[Business Uscite]],$I348&lt;&gt;SottocategorieUscite[[#Headers],[Banca]]),"","$ -")</f>
        <v/>
      </c>
      <c r="N348" s="59" t="str">
        <f>IF(OR(Data!$I348=SottocategorieEntrate[[#Headers],[Business Entrate]],Data!$I348=SottocategorieEntrate[[#Headers],[Varie Entrate]]),"$ -","")</f>
        <v/>
      </c>
      <c r="O348" s="59" t="str">
        <f>IF(OR(Data!$I348=SottocategorieEntrate[[#Headers],[Real Estate]],SottocategorieEntrate[[#Headers],[Other]]),"$ -","")</f>
        <v/>
      </c>
      <c r="P348" s="59" t="str">
        <f>IF(OR($I348&lt;&gt;SottocategorieEntrate[[#Headers],[Business Entrate]],$I348&lt;&gt;SottocategorieEntrate[[#Headers],[Varie Entrate]],$I348&lt;&gt;SottocategorieEntrate[[#Headers],[Real Estate]],$I348&lt;&gt;SottocategorieEntrate[[#Headers],[Other]]),"","$ -")</f>
        <v/>
      </c>
      <c r="Q348" s="59" t="str">
        <f>IF(Dati[[#This Row],[Categoria]]="Prelievo","€ -","")</f>
        <v/>
      </c>
      <c r="R348" s="244"/>
      <c r="S348" s="59" t="str">
        <f>IF(Dati[[#This Row],[Categoria]]="Savings",0,"")</f>
        <v/>
      </c>
      <c r="T348" s="59"/>
      <c r="U348" s="59"/>
      <c r="V348" s="59"/>
      <c r="W348" s="59"/>
      <c r="X348" s="59"/>
      <c r="Y348" s="59"/>
      <c r="Z348" s="59"/>
      <c r="AA348" s="59"/>
      <c r="AB348" s="59"/>
      <c r="AC348" s="59"/>
      <c r="AD348" s="59"/>
      <c r="AE348" s="59"/>
      <c r="AF348" s="59"/>
      <c r="AG348" s="59"/>
      <c r="AH348" s="59"/>
      <c r="AI348" s="59" t="str">
        <f>IF(SUM(Dati[[#This Row],[Inv. Business]:[Inv. Cryptocurrency]])=0," ",SUM(Dati[[#This Row],[Inv. Business]:[Inv. Cryptocurrency]]))</f>
        <v xml:space="preserve"> </v>
      </c>
      <c r="AJ348" s="59"/>
      <c r="AK348" s="59" t="str">
        <f>IF(SUM(Dati[[#This Row],[Inv. Gold]:[Mutuo]])=0," ",SUM(Dati[[#This Row],[Inv. Gold]:[Mutuo]]))</f>
        <v xml:space="preserve"> </v>
      </c>
      <c r="AL348" s="59"/>
      <c r="AM348" s="59"/>
    </row>
    <row r="349" spans="2:39" ht="16" customHeight="1" x14ac:dyDescent="0.35">
      <c r="B349">
        <f t="shared" si="15"/>
        <v>329</v>
      </c>
      <c r="C349" s="49">
        <f>C347+1</f>
        <v>45231</v>
      </c>
      <c r="D349" s="29">
        <f>DAY(Dati[[#This Row],[Data]])</f>
        <v>1</v>
      </c>
      <c r="E349" s="29" t="str">
        <f>IF(DAY(Data!$C$21:$C$1327)&gt;0,TEXT(Data!$C$21:$C$1327, "mmmm"),"")</f>
        <v>novembre</v>
      </c>
      <c r="F349" s="29" t="str">
        <f>IF(DAY(Data!$C$21:$C$1327)&gt;0,TEXT(Data!$C$21:$C$1327, "aaaa"),"")</f>
        <v>2023</v>
      </c>
      <c r="I349" t="str">
        <f>IF(OR(H349=$B$5,H349=$B$6,H349=$B$7,H349=$B$8,H349=$B$9,H349=$B$10,H349=$B$11,H349=$B$12,H349=$B$13,H349=$B$14),SottocategorieUscite[[#Headers],[Fuori Casa]],IF(OR(H349=$C$5,H349=$C$6,H349=$C$7,H349=$C$8,H349=$C$9,H349=$C$10,H349=$C$11,H349=$C$12,H349=$C$13,H349=$C$14),SottocategorieUscite[[#Headers],[Varie Uscite]],IF(OR(H349=$D$5,H349=$D$6,H349=$D$7,H349=$D$8,H349=$D$9,H349=$D$10,H349=$D$11,H349=$D$12,H349=$D$13,H349=$D$14),SottocategorieUscite[[#Headers],[Personali]],IF(OR(H349=$E$5,H349=$E$6,H349=$E$7,H349=$E$8,H349=$E$9,H349=$E$10,H349=$E$11,H349=$E$12,H349=$E$13,H349=$E$14),SottocategorieUscite[[#Headers],[Lavoro]],IF(OR(H349=$F$5,H349=$F$6,H349=$F$7,H349=$F$8,H349=$F$9,H349=$F$10,H349=$F$11,H349=$F$12,H349=$F$13,H349=$F$14),SottocategorieUscite[[#Headers],[Casa]],IF(OR(H349=$G$5,H349=$G$6,H349=$G$7,H349=$G$8,H349=$G$9,H349=$G$10,H349=$G$11,H349=$G$12,H349=$G$13,H349=$G$14),SottocategorieUscite[[#Headers],[Utenze]],IF(OR(H349=$H$5,H349=$H$6,H349=$H$7,H349=$H$8,H349=$H$9,H349=$H$10,H349=$H$11,H349=$H$12,H349=$H$13,H349=$H$14),SottocategorieUscite[[#Headers],[Business Uscite]],IF(OR(H349=$I$5,H349=$I$6,H349=$I$7,H349=$I$8,H349=$I$9,H349=$I$10,H349=$I$11,H349=$I$12,H349=$I$13,H349=$I$14),SottocategorieUscite[[#Headers],[Banca]],IF(OR(H349=K$5,H349=K$6,H349=K$7,H349=K$8,H349=K$9,H349=K$10,H349=K$11,H349=K$12,H349=K$13,H349=K$14),SottocategorieEntrate[[#Headers],[Business Entrate]],IF(OR(H349=L$5,H349=L$6,H349=L$7,H349=L$8,H349=L$9,H349=L$10,H349=L$11,H349=L$12,H349=L$13,H349=L$14),SottocategorieEntrate[[#Headers],[Varie Entrate]],IF(OR(H349=M$5,H349=M$6,H349=M$7,H349=M$8,H349=M$9,H349=M$10,H349=M$11,H349=M$12,H349=M$13,H349=M$14),SottocategorieEntrate[[#Headers],[Real Estate]],IF(OR(H349=N$5,H349=N$6,H349=N$7,H349=N$8,H349=N$9,H349=N$10,H349=N$11,H349=N$12,H349=N$13,H349=N$14),SottocategorieEntrate[[#Headers],[Other]],""))))))))))))</f>
        <v/>
      </c>
      <c r="J349" t="str">
        <f>IF(OR(Dati[[#This Row],[Categoria]]="Bollette",Dati[[#This Row],[Categoria]]="Conto &amp; Carte BNL",Dati[[#This Row],[Categoria]]="Prelievo",Dati[[#This Row],[Categoria]]="Affitto",Dati[[#This Row],[Categoria]]="BNL(Interessi Creditori)"),"Carta",IF(Dati[[#This Row],[Categoria]]&lt;&gt;0,"Cash",""))</f>
        <v/>
      </c>
      <c r="K349" s="59" t="str">
        <f>IF(OR(Data!$I349=SottocategorieUscite[[#Headers],[Fuori Casa]],Data!$I349=SottocategorieUscite[[#Headers],[Varie Uscite]],Data!$I349=SottocategorieUscite[[#Headers],[Personali]],Data!$I349=SottocategorieUscite[[#Headers],[Lavoro]]),"$ -","")</f>
        <v/>
      </c>
      <c r="L349" s="59" t="str">
        <f>IF(OR(Data!$I349=SottocategorieUscite[[#Headers],[Casa]],Data!$I349=SottocategorieUscite[[#Headers],[Utenze]],Data!$I349=SottocategorieUscite[[#Headers],[Business Uscite]],Data!$I349=SottocategorieUscite[[#Headers],[Banca]]),"$ -","")</f>
        <v/>
      </c>
      <c r="M349" s="59" t="str">
        <f>IF(OR($I349&lt;&gt;SottocategorieUscite[[#Headers],[Fuori Casa]],$I349&lt;&gt;SottocategorieUscite[[#Headers],[Varie Uscite]],$I349&lt;&gt;SottocategorieUscite[[#Headers],[Personali]],$I349&lt;&gt;SottocategorieUscite[[#Headers],[Lavoro]],$I349&lt;&gt;SottocategorieUscite[[#Headers],[Casa]],$I349&lt;&gt;SottocategorieUscite[[#Headers],[Utenze]],$I349&lt;&gt;SottocategorieUscite[[#Headers],[Business Uscite]],$I349&lt;&gt;SottocategorieUscite[[#Headers],[Banca]]),"","$ -")</f>
        <v/>
      </c>
      <c r="N349" s="59" t="str">
        <f>IF(OR(Data!$I349=SottocategorieEntrate[[#Headers],[Business Entrate]],Data!$I349=SottocategorieEntrate[[#Headers],[Varie Entrate]]),"$ -","")</f>
        <v/>
      </c>
      <c r="O349" s="59" t="str">
        <f>IF(OR(Data!$I349=SottocategorieEntrate[[#Headers],[Real Estate]],SottocategorieEntrate[[#Headers],[Other]]),"$ -","")</f>
        <v/>
      </c>
      <c r="P349" s="59" t="str">
        <f>IF(OR($I349&lt;&gt;SottocategorieEntrate[[#Headers],[Business Entrate]],$I349&lt;&gt;SottocategorieEntrate[[#Headers],[Varie Entrate]],$I349&lt;&gt;SottocategorieEntrate[[#Headers],[Real Estate]],$I349&lt;&gt;SottocategorieEntrate[[#Headers],[Other]]),"","$ -")</f>
        <v/>
      </c>
      <c r="Q349" s="59" t="str">
        <f>IF(Dati[[#This Row],[Categoria]]="Prelievo","€ -","")</f>
        <v/>
      </c>
      <c r="R349" s="244"/>
      <c r="S349" s="59" t="str">
        <f>IF(Dati[[#This Row],[Categoria]]="Savings",0,"")</f>
        <v/>
      </c>
      <c r="T349" s="59"/>
      <c r="U349" s="59"/>
      <c r="V349" s="59"/>
      <c r="W349" s="59"/>
      <c r="X349" s="59"/>
      <c r="Y349" s="59"/>
      <c r="Z349" s="59"/>
      <c r="AA349" s="59"/>
      <c r="AB349" s="59"/>
      <c r="AC349" s="59"/>
      <c r="AD349" s="59"/>
      <c r="AE349" s="59"/>
      <c r="AF349" s="59"/>
      <c r="AG349" s="59"/>
      <c r="AH349" s="59"/>
      <c r="AI349" s="59" t="str">
        <f>IF(SUM(Dati[[#This Row],[Inv. Business]:[Inv. Cryptocurrency]])=0," ",SUM(Dati[[#This Row],[Inv. Business]:[Inv. Cryptocurrency]]))</f>
        <v xml:space="preserve"> </v>
      </c>
      <c r="AJ349" s="59"/>
      <c r="AK349" s="59" t="str">
        <f>IF(SUM(Dati[[#This Row],[Inv. Gold]:[Mutuo]])=0," ",SUM(Dati[[#This Row],[Inv. Gold]:[Mutuo]]))</f>
        <v xml:space="preserve"> </v>
      </c>
      <c r="AL349" s="59"/>
      <c r="AM349" s="59"/>
    </row>
    <row r="350" spans="2:39" ht="16" customHeight="1" x14ac:dyDescent="0.35">
      <c r="B350">
        <f t="shared" si="15"/>
        <v>330</v>
      </c>
      <c r="C350" s="49">
        <f>C348+1</f>
        <v>45232</v>
      </c>
      <c r="D350" s="29">
        <f>DAY(Dati[[#This Row],[Data]])</f>
        <v>2</v>
      </c>
      <c r="E350" s="29" t="str">
        <f>IF(DAY(Data!$C$21:$C$1327)&gt;0,TEXT(Data!$C$21:$C$1327, "mmmm"),"")</f>
        <v>novembre</v>
      </c>
      <c r="F350" s="29" t="str">
        <f>IF(DAY(Data!$C$21:$C$1327)&gt;0,TEXT(Data!$C$21:$C$1327, "aaaa"),"")</f>
        <v>2023</v>
      </c>
      <c r="I350" t="str">
        <f>IF(OR(H350=$B$5,H350=$B$6,H350=$B$7,H350=$B$8,H350=$B$9,H350=$B$10,H350=$B$11,H350=$B$12,H350=$B$13,H350=$B$14),SottocategorieUscite[[#Headers],[Fuori Casa]],IF(OR(H350=$C$5,H350=$C$6,H350=$C$7,H350=$C$8,H350=$C$9,H350=$C$10,H350=$C$11,H350=$C$12,H350=$C$13,H350=$C$14),SottocategorieUscite[[#Headers],[Varie Uscite]],IF(OR(H350=$D$5,H350=$D$6,H350=$D$7,H350=$D$8,H350=$D$9,H350=$D$10,H350=$D$11,H350=$D$12,H350=$D$13,H350=$D$14),SottocategorieUscite[[#Headers],[Personali]],IF(OR(H350=$E$5,H350=$E$6,H350=$E$7,H350=$E$8,H350=$E$9,H350=$E$10,H350=$E$11,H350=$E$12,H350=$E$13,H350=$E$14),SottocategorieUscite[[#Headers],[Lavoro]],IF(OR(H350=$F$5,H350=$F$6,H350=$F$7,H350=$F$8,H350=$F$9,H350=$F$10,H350=$F$11,H350=$F$12,H350=$F$13,H350=$F$14),SottocategorieUscite[[#Headers],[Casa]],IF(OR(H350=$G$5,H350=$G$6,H350=$G$7,H350=$G$8,H350=$G$9,H350=$G$10,H350=$G$11,H350=$G$12,H350=$G$13,H350=$G$14),SottocategorieUscite[[#Headers],[Utenze]],IF(OR(H350=$H$5,H350=$H$6,H350=$H$7,H350=$H$8,H350=$H$9,H350=$H$10,H350=$H$11,H350=$H$12,H350=$H$13,H350=$H$14),SottocategorieUscite[[#Headers],[Business Uscite]],IF(OR(H350=$I$5,H350=$I$6,H350=$I$7,H350=$I$8,H350=$I$9,H350=$I$10,H350=$I$11,H350=$I$12,H350=$I$13,H350=$I$14),SottocategorieUscite[[#Headers],[Banca]],IF(OR(H350=K$5,H350=K$6,H350=K$7,H350=K$8,H350=K$9,H350=K$10,H350=K$11,H350=K$12,H350=K$13,H350=K$14),SottocategorieEntrate[[#Headers],[Business Entrate]],IF(OR(H350=L$5,H350=L$6,H350=L$7,H350=L$8,H350=L$9,H350=L$10,H350=L$11,H350=L$12,H350=L$13,H350=L$14),SottocategorieEntrate[[#Headers],[Varie Entrate]],IF(OR(H350=M$5,H350=M$6,H350=M$7,H350=M$8,H350=M$9,H350=M$10,H350=M$11,H350=M$12,H350=M$13,H350=M$14),SottocategorieEntrate[[#Headers],[Real Estate]],IF(OR(H350=N$5,H350=N$6,H350=N$7,H350=N$8,H350=N$9,H350=N$10,H350=N$11,H350=N$12,H350=N$13,H350=N$14),SottocategorieEntrate[[#Headers],[Other]],""))))))))))))</f>
        <v/>
      </c>
      <c r="J350" t="str">
        <f>IF(OR(Dati[[#This Row],[Categoria]]="Bollette",Dati[[#This Row],[Categoria]]="Conto &amp; Carte BNL",Dati[[#This Row],[Categoria]]="Prelievo",Dati[[#This Row],[Categoria]]="Affitto",Dati[[#This Row],[Categoria]]="BNL(Interessi Creditori)"),"Carta",IF(Dati[[#This Row],[Categoria]]&lt;&gt;0,"Cash",""))</f>
        <v/>
      </c>
      <c r="K350" s="59" t="str">
        <f>IF(OR(Data!$I350=SottocategorieUscite[[#Headers],[Fuori Casa]],Data!$I350=SottocategorieUscite[[#Headers],[Varie Uscite]],Data!$I350=SottocategorieUscite[[#Headers],[Personali]],Data!$I350=SottocategorieUscite[[#Headers],[Lavoro]]),"$ -","")</f>
        <v/>
      </c>
      <c r="L350" s="59" t="str">
        <f>IF(OR(Data!$I350=SottocategorieUscite[[#Headers],[Casa]],Data!$I350=SottocategorieUscite[[#Headers],[Utenze]],Data!$I350=SottocategorieUscite[[#Headers],[Business Uscite]],Data!$I350=SottocategorieUscite[[#Headers],[Banca]]),"$ -","")</f>
        <v/>
      </c>
      <c r="M350" s="59" t="str">
        <f>IF(OR($I350&lt;&gt;SottocategorieUscite[[#Headers],[Fuori Casa]],$I350&lt;&gt;SottocategorieUscite[[#Headers],[Varie Uscite]],$I350&lt;&gt;SottocategorieUscite[[#Headers],[Personali]],$I350&lt;&gt;SottocategorieUscite[[#Headers],[Lavoro]],$I350&lt;&gt;SottocategorieUscite[[#Headers],[Casa]],$I350&lt;&gt;SottocategorieUscite[[#Headers],[Utenze]],$I350&lt;&gt;SottocategorieUscite[[#Headers],[Business Uscite]],$I350&lt;&gt;SottocategorieUscite[[#Headers],[Banca]]),"","$ -")</f>
        <v/>
      </c>
      <c r="N350" s="59" t="str">
        <f>IF(OR(Data!$I350=SottocategorieEntrate[[#Headers],[Business Entrate]],Data!$I350=SottocategorieEntrate[[#Headers],[Varie Entrate]]),"$ -","")</f>
        <v/>
      </c>
      <c r="O350" s="59" t="str">
        <f>IF(OR(Data!$I350=SottocategorieEntrate[[#Headers],[Real Estate]],SottocategorieEntrate[[#Headers],[Other]]),"$ -","")</f>
        <v/>
      </c>
      <c r="P350" s="59" t="str">
        <f>IF(OR($I350&lt;&gt;SottocategorieEntrate[[#Headers],[Business Entrate]],$I350&lt;&gt;SottocategorieEntrate[[#Headers],[Varie Entrate]],$I350&lt;&gt;SottocategorieEntrate[[#Headers],[Real Estate]],$I350&lt;&gt;SottocategorieEntrate[[#Headers],[Other]]),"","$ -")</f>
        <v/>
      </c>
      <c r="Q350" s="59" t="str">
        <f>IF(Dati[[#This Row],[Categoria]]="Prelievo","€ -","")</f>
        <v/>
      </c>
      <c r="R350" s="244"/>
      <c r="S350" s="59" t="str">
        <f>IF(Dati[[#This Row],[Categoria]]="Savings",0,"")</f>
        <v/>
      </c>
      <c r="T350" s="59"/>
      <c r="U350" s="59"/>
      <c r="V350" s="59"/>
      <c r="W350" s="59"/>
      <c r="X350" s="59"/>
      <c r="Y350" s="59"/>
      <c r="Z350" s="59"/>
      <c r="AA350" s="59"/>
      <c r="AB350" s="59"/>
      <c r="AC350" s="59"/>
      <c r="AD350" s="59"/>
      <c r="AE350" s="59"/>
      <c r="AF350" s="59"/>
      <c r="AG350" s="59"/>
      <c r="AH350" s="59"/>
      <c r="AI350" s="59" t="str">
        <f>IF(SUM(Dati[[#This Row],[Inv. Business]:[Inv. Cryptocurrency]])=0," ",SUM(Dati[[#This Row],[Inv. Business]:[Inv. Cryptocurrency]]))</f>
        <v xml:space="preserve"> </v>
      </c>
      <c r="AJ350" s="59"/>
      <c r="AK350" s="59" t="str">
        <f>IF(SUM(Dati[[#This Row],[Inv. Gold]:[Mutuo]])=0," ",SUM(Dati[[#This Row],[Inv. Gold]:[Mutuo]]))</f>
        <v xml:space="preserve"> </v>
      </c>
      <c r="AL350" s="59"/>
      <c r="AM350" s="59"/>
    </row>
    <row r="351" spans="2:39" ht="16" customHeight="1" x14ac:dyDescent="0.35">
      <c r="B351">
        <f t="shared" si="15"/>
        <v>331</v>
      </c>
      <c r="C351" s="49">
        <f t="shared" si="16"/>
        <v>45233</v>
      </c>
      <c r="D351" s="29">
        <f>DAY(Dati[[#This Row],[Data]])</f>
        <v>3</v>
      </c>
      <c r="E351" s="29" t="str">
        <f>IF(DAY(Data!$C$21:$C$1327)&gt;0,TEXT(Data!$C$21:$C$1327, "mmmm"),"")</f>
        <v>novembre</v>
      </c>
      <c r="F351" s="29" t="str">
        <f>IF(DAY(Data!$C$21:$C$1327)&gt;0,TEXT(Data!$C$21:$C$1327, "aaaa"),"")</f>
        <v>2023</v>
      </c>
      <c r="I351" t="str">
        <f>IF(OR(H351=$B$5,H351=$B$6,H351=$B$7,H351=$B$8,H351=$B$9,H351=$B$10,H351=$B$11,H351=$B$12,H351=$B$13,H351=$B$14),SottocategorieUscite[[#Headers],[Fuori Casa]],IF(OR(H351=$C$5,H351=$C$6,H351=$C$7,H351=$C$8,H351=$C$9,H351=$C$10,H351=$C$11,H351=$C$12,H351=$C$13,H351=$C$14),SottocategorieUscite[[#Headers],[Varie Uscite]],IF(OR(H351=$D$5,H351=$D$6,H351=$D$7,H351=$D$8,H351=$D$9,H351=$D$10,H351=$D$11,H351=$D$12,H351=$D$13,H351=$D$14),SottocategorieUscite[[#Headers],[Personali]],IF(OR(H351=$E$5,H351=$E$6,H351=$E$7,H351=$E$8,H351=$E$9,H351=$E$10,H351=$E$11,H351=$E$12,H351=$E$13,H351=$E$14),SottocategorieUscite[[#Headers],[Lavoro]],IF(OR(H351=$F$5,H351=$F$6,H351=$F$7,H351=$F$8,H351=$F$9,H351=$F$10,H351=$F$11,H351=$F$12,H351=$F$13,H351=$F$14),SottocategorieUscite[[#Headers],[Casa]],IF(OR(H351=$G$5,H351=$G$6,H351=$G$7,H351=$G$8,H351=$G$9,H351=$G$10,H351=$G$11,H351=$G$12,H351=$G$13,H351=$G$14),SottocategorieUscite[[#Headers],[Utenze]],IF(OR(H351=$H$5,H351=$H$6,H351=$H$7,H351=$H$8,H351=$H$9,H351=$H$10,H351=$H$11,H351=$H$12,H351=$H$13,H351=$H$14),SottocategorieUscite[[#Headers],[Business Uscite]],IF(OR(H351=$I$5,H351=$I$6,H351=$I$7,H351=$I$8,H351=$I$9,H351=$I$10,H351=$I$11,H351=$I$12,H351=$I$13,H351=$I$14),SottocategorieUscite[[#Headers],[Banca]],IF(OR(H351=K$5,H351=K$6,H351=K$7,H351=K$8,H351=K$9,H351=K$10,H351=K$11,H351=K$12,H351=K$13,H351=K$14),SottocategorieEntrate[[#Headers],[Business Entrate]],IF(OR(H351=L$5,H351=L$6,H351=L$7,H351=L$8,H351=L$9,H351=L$10,H351=L$11,H351=L$12,H351=L$13,H351=L$14),SottocategorieEntrate[[#Headers],[Varie Entrate]],IF(OR(H351=M$5,H351=M$6,H351=M$7,H351=M$8,H351=M$9,H351=M$10,H351=M$11,H351=M$12,H351=M$13,H351=M$14),SottocategorieEntrate[[#Headers],[Real Estate]],IF(OR(H351=N$5,H351=N$6,H351=N$7,H351=N$8,H351=N$9,H351=N$10,H351=N$11,H351=N$12,H351=N$13,H351=N$14),SottocategorieEntrate[[#Headers],[Other]],""))))))))))))</f>
        <v/>
      </c>
      <c r="J351" t="str">
        <f>IF(OR(Dati[[#This Row],[Categoria]]="Bollette",Dati[[#This Row],[Categoria]]="Conto &amp; Carte BNL",Dati[[#This Row],[Categoria]]="Prelievo",Dati[[#This Row],[Categoria]]="Affitto",Dati[[#This Row],[Categoria]]="BNL(Interessi Creditori)"),"Carta",IF(Dati[[#This Row],[Categoria]]&lt;&gt;0,"Cash",""))</f>
        <v/>
      </c>
      <c r="K351" s="59" t="str">
        <f>IF(OR(Data!$I351=SottocategorieUscite[[#Headers],[Fuori Casa]],Data!$I351=SottocategorieUscite[[#Headers],[Varie Uscite]],Data!$I351=SottocategorieUscite[[#Headers],[Personali]],Data!$I351=SottocategorieUscite[[#Headers],[Lavoro]]),"$ -","")</f>
        <v/>
      </c>
      <c r="L351" s="59" t="str">
        <f>IF(OR(Data!$I351=SottocategorieUscite[[#Headers],[Casa]],Data!$I351=SottocategorieUscite[[#Headers],[Utenze]],Data!$I351=SottocategorieUscite[[#Headers],[Business Uscite]],Data!$I351=SottocategorieUscite[[#Headers],[Banca]]),"$ -","")</f>
        <v/>
      </c>
      <c r="M351" s="59" t="str">
        <f>IF(OR($I351&lt;&gt;SottocategorieUscite[[#Headers],[Fuori Casa]],$I351&lt;&gt;SottocategorieUscite[[#Headers],[Varie Uscite]],$I351&lt;&gt;SottocategorieUscite[[#Headers],[Personali]],$I351&lt;&gt;SottocategorieUscite[[#Headers],[Lavoro]],$I351&lt;&gt;SottocategorieUscite[[#Headers],[Casa]],$I351&lt;&gt;SottocategorieUscite[[#Headers],[Utenze]],$I351&lt;&gt;SottocategorieUscite[[#Headers],[Business Uscite]],$I351&lt;&gt;SottocategorieUscite[[#Headers],[Banca]]),"","$ -")</f>
        <v/>
      </c>
      <c r="N351" s="59" t="str">
        <f>IF(OR(Data!$I351=SottocategorieEntrate[[#Headers],[Business Entrate]],Data!$I351=SottocategorieEntrate[[#Headers],[Varie Entrate]]),"$ -","")</f>
        <v/>
      </c>
      <c r="O351" s="59" t="str">
        <f>IF(OR(Data!$I351=SottocategorieEntrate[[#Headers],[Real Estate]],SottocategorieEntrate[[#Headers],[Other]]),"$ -","")</f>
        <v/>
      </c>
      <c r="P351" s="59" t="str">
        <f>IF(OR($I351&lt;&gt;SottocategorieEntrate[[#Headers],[Business Entrate]],$I351&lt;&gt;SottocategorieEntrate[[#Headers],[Varie Entrate]],$I351&lt;&gt;SottocategorieEntrate[[#Headers],[Real Estate]],$I351&lt;&gt;SottocategorieEntrate[[#Headers],[Other]]),"","$ -")</f>
        <v/>
      </c>
      <c r="Q351" s="59" t="str">
        <f>IF(Dati[[#This Row],[Categoria]]="Prelievo","€ -","")</f>
        <v/>
      </c>
      <c r="R351" s="244"/>
      <c r="S351" s="59" t="str">
        <f>IF(Dati[[#This Row],[Categoria]]="Savings",0,"")</f>
        <v/>
      </c>
      <c r="T351" s="59"/>
      <c r="U351" s="59"/>
      <c r="V351" s="59"/>
      <c r="W351" s="59"/>
      <c r="X351" s="59"/>
      <c r="Y351" s="59"/>
      <c r="Z351" s="59"/>
      <c r="AA351" s="59"/>
      <c r="AB351" s="59"/>
      <c r="AC351" s="59"/>
      <c r="AD351" s="59"/>
      <c r="AE351" s="59"/>
      <c r="AF351" s="59"/>
      <c r="AG351" s="59"/>
      <c r="AH351" s="59"/>
      <c r="AI351" s="59" t="str">
        <f>IF(SUM(Dati[[#This Row],[Inv. Business]:[Inv. Cryptocurrency]])=0," ",SUM(Dati[[#This Row],[Inv. Business]:[Inv. Cryptocurrency]]))</f>
        <v xml:space="preserve"> </v>
      </c>
      <c r="AJ351" s="59"/>
      <c r="AK351" s="59" t="str">
        <f>IF(SUM(Dati[[#This Row],[Inv. Gold]:[Mutuo]])=0," ",SUM(Dati[[#This Row],[Inv. Gold]:[Mutuo]]))</f>
        <v xml:space="preserve"> </v>
      </c>
      <c r="AL351" s="59"/>
      <c r="AM351" s="59"/>
    </row>
    <row r="352" spans="2:39" ht="16" customHeight="1" x14ac:dyDescent="0.35">
      <c r="B352">
        <f t="shared" si="15"/>
        <v>332</v>
      </c>
      <c r="C352" s="49">
        <v>45233</v>
      </c>
      <c r="D352" s="29">
        <f>DAY(Dati[[#This Row],[Data]])</f>
        <v>3</v>
      </c>
      <c r="E352" s="29" t="str">
        <f>IF(DAY(Data!$C$21:$C$1327)&gt;0,TEXT(Data!$C$21:$C$1327, "mmmm"),"")</f>
        <v>novembre</v>
      </c>
      <c r="F352" s="29" t="str">
        <f>IF(DAY(Data!$C$21:$C$1327)&gt;0,TEXT(Data!$C$21:$C$1327, "aaaa"),"")</f>
        <v>2023</v>
      </c>
      <c r="I352" t="str">
        <f>IF(OR(H352=$B$5,H352=$B$6,H352=$B$7,H352=$B$8,H352=$B$9,H352=$B$10,H352=$B$11,H352=$B$12,H352=$B$13,H352=$B$14),SottocategorieUscite[[#Headers],[Fuori Casa]],IF(OR(H352=$C$5,H352=$C$6,H352=$C$7,H352=$C$8,H352=$C$9,H352=$C$10,H352=$C$11,H352=$C$12,H352=$C$13,H352=$C$14),SottocategorieUscite[[#Headers],[Varie Uscite]],IF(OR(H352=$D$5,H352=$D$6,H352=$D$7,H352=$D$8,H352=$D$9,H352=$D$10,H352=$D$11,H352=$D$12,H352=$D$13,H352=$D$14),SottocategorieUscite[[#Headers],[Personali]],IF(OR(H352=$E$5,H352=$E$6,H352=$E$7,H352=$E$8,H352=$E$9,H352=$E$10,H352=$E$11,H352=$E$12,H352=$E$13,H352=$E$14),SottocategorieUscite[[#Headers],[Lavoro]],IF(OR(H352=$F$5,H352=$F$6,H352=$F$7,H352=$F$8,H352=$F$9,H352=$F$10,H352=$F$11,H352=$F$12,H352=$F$13,H352=$F$14),SottocategorieUscite[[#Headers],[Casa]],IF(OR(H352=$G$5,H352=$G$6,H352=$G$7,H352=$G$8,H352=$G$9,H352=$G$10,H352=$G$11,H352=$G$12,H352=$G$13,H352=$G$14),SottocategorieUscite[[#Headers],[Utenze]],IF(OR(H352=$H$5,H352=$H$6,H352=$H$7,H352=$H$8,H352=$H$9,H352=$H$10,H352=$H$11,H352=$H$12,H352=$H$13,H352=$H$14),SottocategorieUscite[[#Headers],[Business Uscite]],IF(OR(H352=$I$5,H352=$I$6,H352=$I$7,H352=$I$8,H352=$I$9,H352=$I$10,H352=$I$11,H352=$I$12,H352=$I$13,H352=$I$14),SottocategorieUscite[[#Headers],[Banca]],IF(OR(H352=K$5,H352=K$6,H352=K$7,H352=K$8,H352=K$9,H352=K$10,H352=K$11,H352=K$12,H352=K$13,H352=K$14),SottocategorieEntrate[[#Headers],[Business Entrate]],IF(OR(H352=L$5,H352=L$6,H352=L$7,H352=L$8,H352=L$9,H352=L$10,H352=L$11,H352=L$12,H352=L$13,H352=L$14),SottocategorieEntrate[[#Headers],[Varie Entrate]],IF(OR(H352=M$5,H352=M$6,H352=M$7,H352=M$8,H352=M$9,H352=M$10,H352=M$11,H352=M$12,H352=M$13,H352=M$14),SottocategorieEntrate[[#Headers],[Real Estate]],IF(OR(H352=N$5,H352=N$6,H352=N$7,H352=N$8,H352=N$9,H352=N$10,H352=N$11,H352=N$12,H352=N$13,H352=N$14),SottocategorieEntrate[[#Headers],[Other]],""))))))))))))</f>
        <v/>
      </c>
      <c r="J352" t="str">
        <f>IF(OR(Dati[[#This Row],[Categoria]]="Bollette",Dati[[#This Row],[Categoria]]="Conto &amp; Carte BNL",Dati[[#This Row],[Categoria]]="Prelievo",Dati[[#This Row],[Categoria]]="Affitto",Dati[[#This Row],[Categoria]]="BNL(Interessi Creditori)"),"Carta",IF(Dati[[#This Row],[Categoria]]&lt;&gt;0,"Cash",""))</f>
        <v/>
      </c>
      <c r="K352" s="59" t="str">
        <f>IF(OR(Data!$I352=SottocategorieUscite[[#Headers],[Fuori Casa]],Data!$I352=SottocategorieUscite[[#Headers],[Varie Uscite]],Data!$I352=SottocategorieUscite[[#Headers],[Personali]],Data!$I352=SottocategorieUscite[[#Headers],[Lavoro]]),"$ -","")</f>
        <v/>
      </c>
      <c r="L352" s="59" t="str">
        <f>IF(OR(Data!$I352=SottocategorieUscite[[#Headers],[Casa]],Data!$I352=SottocategorieUscite[[#Headers],[Utenze]],Data!$I352=SottocategorieUscite[[#Headers],[Business Uscite]],Data!$I352=SottocategorieUscite[[#Headers],[Banca]]),"$ -","")</f>
        <v/>
      </c>
      <c r="M352" s="59" t="str">
        <f>IF(OR($I352&lt;&gt;SottocategorieUscite[[#Headers],[Fuori Casa]],$I352&lt;&gt;SottocategorieUscite[[#Headers],[Varie Uscite]],$I352&lt;&gt;SottocategorieUscite[[#Headers],[Personali]],$I352&lt;&gt;SottocategorieUscite[[#Headers],[Lavoro]],$I352&lt;&gt;SottocategorieUscite[[#Headers],[Casa]],$I352&lt;&gt;SottocategorieUscite[[#Headers],[Utenze]],$I352&lt;&gt;SottocategorieUscite[[#Headers],[Business Uscite]],$I352&lt;&gt;SottocategorieUscite[[#Headers],[Banca]]),"","$ -")</f>
        <v/>
      </c>
      <c r="N352" s="59" t="str">
        <f>IF(OR(Data!$I352=SottocategorieEntrate[[#Headers],[Business Entrate]],Data!$I352=SottocategorieEntrate[[#Headers],[Varie Entrate]]),"$ -","")</f>
        <v/>
      </c>
      <c r="O352" s="59" t="str">
        <f>IF(OR(Data!$I352=SottocategorieEntrate[[#Headers],[Real Estate]],SottocategorieEntrate[[#Headers],[Other]]),"$ -","")</f>
        <v/>
      </c>
      <c r="P352" s="59" t="str">
        <f>IF(OR($I352&lt;&gt;SottocategorieEntrate[[#Headers],[Business Entrate]],$I352&lt;&gt;SottocategorieEntrate[[#Headers],[Varie Entrate]],$I352&lt;&gt;SottocategorieEntrate[[#Headers],[Real Estate]],$I352&lt;&gt;SottocategorieEntrate[[#Headers],[Other]]),"","$ -")</f>
        <v/>
      </c>
      <c r="Q352" s="59" t="str">
        <f>IF(Dati[[#This Row],[Categoria]]="Prelievo","€ -","")</f>
        <v/>
      </c>
      <c r="R352" s="244"/>
      <c r="S352" s="59" t="str">
        <f>IF(Dati[[#This Row],[Categoria]]="Savings",0,"")</f>
        <v/>
      </c>
      <c r="T352" s="59"/>
      <c r="U352" s="59"/>
      <c r="V352" s="59"/>
      <c r="W352" s="59"/>
      <c r="X352" s="59"/>
      <c r="Y352" s="59"/>
      <c r="Z352" s="59"/>
      <c r="AA352" s="59"/>
      <c r="AB352" s="59"/>
      <c r="AC352" s="59"/>
      <c r="AD352" s="59"/>
      <c r="AE352" s="59"/>
      <c r="AF352" s="59"/>
      <c r="AG352" s="59"/>
      <c r="AH352" s="59"/>
      <c r="AI352" s="59" t="str">
        <f>IF(SUM(Dati[[#This Row],[Inv. Business]:[Inv. Cryptocurrency]])=0," ",SUM(Dati[[#This Row],[Inv. Business]:[Inv. Cryptocurrency]]))</f>
        <v xml:space="preserve"> </v>
      </c>
      <c r="AJ352" s="59"/>
      <c r="AK352" s="59" t="str">
        <f>IF(SUM(Dati[[#This Row],[Inv. Gold]:[Mutuo]])=0," ",SUM(Dati[[#This Row],[Inv. Gold]:[Mutuo]]))</f>
        <v xml:space="preserve"> </v>
      </c>
      <c r="AL352" s="59"/>
      <c r="AM352" s="59"/>
    </row>
    <row r="353" spans="2:39" ht="16" customHeight="1" x14ac:dyDescent="0.35">
      <c r="B353">
        <f t="shared" si="15"/>
        <v>333</v>
      </c>
      <c r="C353" s="49">
        <f>C351+1</f>
        <v>45234</v>
      </c>
      <c r="D353" s="29">
        <f>DAY(Dati[[#This Row],[Data]])</f>
        <v>4</v>
      </c>
      <c r="E353" s="29" t="str">
        <f>IF(DAY(Data!$C$21:$C$1327)&gt;0,TEXT(Data!$C$21:$C$1327, "mmmm"),"")</f>
        <v>novembre</v>
      </c>
      <c r="F353" s="29" t="str">
        <f>IF(DAY(Data!$C$21:$C$1327)&gt;0,TEXT(Data!$C$21:$C$1327, "aaaa"),"")</f>
        <v>2023</v>
      </c>
      <c r="I353" t="str">
        <f>IF(OR(H353=$B$5,H353=$B$6,H353=$B$7,H353=$B$8,H353=$B$9,H353=$B$10,H353=$B$11,H353=$B$12,H353=$B$13,H353=$B$14),SottocategorieUscite[[#Headers],[Fuori Casa]],IF(OR(H353=$C$5,H353=$C$6,H353=$C$7,H353=$C$8,H353=$C$9,H353=$C$10,H353=$C$11,H353=$C$12,H353=$C$13,H353=$C$14),SottocategorieUscite[[#Headers],[Varie Uscite]],IF(OR(H353=$D$5,H353=$D$6,H353=$D$7,H353=$D$8,H353=$D$9,H353=$D$10,H353=$D$11,H353=$D$12,H353=$D$13,H353=$D$14),SottocategorieUscite[[#Headers],[Personali]],IF(OR(H353=$E$5,H353=$E$6,H353=$E$7,H353=$E$8,H353=$E$9,H353=$E$10,H353=$E$11,H353=$E$12,H353=$E$13,H353=$E$14),SottocategorieUscite[[#Headers],[Lavoro]],IF(OR(H353=$F$5,H353=$F$6,H353=$F$7,H353=$F$8,H353=$F$9,H353=$F$10,H353=$F$11,H353=$F$12,H353=$F$13,H353=$F$14),SottocategorieUscite[[#Headers],[Casa]],IF(OR(H353=$G$5,H353=$G$6,H353=$G$7,H353=$G$8,H353=$G$9,H353=$G$10,H353=$G$11,H353=$G$12,H353=$G$13,H353=$G$14),SottocategorieUscite[[#Headers],[Utenze]],IF(OR(H353=$H$5,H353=$H$6,H353=$H$7,H353=$H$8,H353=$H$9,H353=$H$10,H353=$H$11,H353=$H$12,H353=$H$13,H353=$H$14),SottocategorieUscite[[#Headers],[Business Uscite]],IF(OR(H353=$I$5,H353=$I$6,H353=$I$7,H353=$I$8,H353=$I$9,H353=$I$10,H353=$I$11,H353=$I$12,H353=$I$13,H353=$I$14),SottocategorieUscite[[#Headers],[Banca]],IF(OR(H353=K$5,H353=K$6,H353=K$7,H353=K$8,H353=K$9,H353=K$10,H353=K$11,H353=K$12,H353=K$13,H353=K$14),SottocategorieEntrate[[#Headers],[Business Entrate]],IF(OR(H353=L$5,H353=L$6,H353=L$7,H353=L$8,H353=L$9,H353=L$10,H353=L$11,H353=L$12,H353=L$13,H353=L$14),SottocategorieEntrate[[#Headers],[Varie Entrate]],IF(OR(H353=M$5,H353=M$6,H353=M$7,H353=M$8,H353=M$9,H353=M$10,H353=M$11,H353=M$12,H353=M$13,H353=M$14),SottocategorieEntrate[[#Headers],[Real Estate]],IF(OR(H353=N$5,H353=N$6,H353=N$7,H353=N$8,H353=N$9,H353=N$10,H353=N$11,H353=N$12,H353=N$13,H353=N$14),SottocategorieEntrate[[#Headers],[Other]],""))))))))))))</f>
        <v/>
      </c>
      <c r="J353" t="str">
        <f>IF(OR(Dati[[#This Row],[Categoria]]="Bollette",Dati[[#This Row],[Categoria]]="Conto &amp; Carte BNL",Dati[[#This Row],[Categoria]]="Prelievo",Dati[[#This Row],[Categoria]]="Affitto",Dati[[#This Row],[Categoria]]="BNL(Interessi Creditori)"),"Carta",IF(Dati[[#This Row],[Categoria]]&lt;&gt;0,"Cash",""))</f>
        <v/>
      </c>
      <c r="K353" s="59" t="str">
        <f>IF(OR(Data!$I353=SottocategorieUscite[[#Headers],[Fuori Casa]],Data!$I353=SottocategorieUscite[[#Headers],[Varie Uscite]],Data!$I353=SottocategorieUscite[[#Headers],[Personali]],Data!$I353=SottocategorieUscite[[#Headers],[Lavoro]]),"$ -","")</f>
        <v/>
      </c>
      <c r="L353" s="59" t="str">
        <f>IF(OR(Data!$I353=SottocategorieUscite[[#Headers],[Casa]],Data!$I353=SottocategorieUscite[[#Headers],[Utenze]],Data!$I353=SottocategorieUscite[[#Headers],[Business Uscite]],Data!$I353=SottocategorieUscite[[#Headers],[Banca]]),"$ -","")</f>
        <v/>
      </c>
      <c r="M353" s="59" t="str">
        <f>IF(OR($I353&lt;&gt;SottocategorieUscite[[#Headers],[Fuori Casa]],$I353&lt;&gt;SottocategorieUscite[[#Headers],[Varie Uscite]],$I353&lt;&gt;SottocategorieUscite[[#Headers],[Personali]],$I353&lt;&gt;SottocategorieUscite[[#Headers],[Lavoro]],$I353&lt;&gt;SottocategorieUscite[[#Headers],[Casa]],$I353&lt;&gt;SottocategorieUscite[[#Headers],[Utenze]],$I353&lt;&gt;SottocategorieUscite[[#Headers],[Business Uscite]],$I353&lt;&gt;SottocategorieUscite[[#Headers],[Banca]]),"","$ -")</f>
        <v/>
      </c>
      <c r="N353" s="59" t="str">
        <f>IF(OR(Data!$I353=SottocategorieEntrate[[#Headers],[Business Entrate]],Data!$I353=SottocategorieEntrate[[#Headers],[Varie Entrate]]),"$ -","")</f>
        <v/>
      </c>
      <c r="O353" s="59" t="str">
        <f>IF(OR(Data!$I353=SottocategorieEntrate[[#Headers],[Real Estate]],SottocategorieEntrate[[#Headers],[Other]]),"$ -","")</f>
        <v/>
      </c>
      <c r="P353" s="59" t="str">
        <f>IF(OR($I353&lt;&gt;SottocategorieEntrate[[#Headers],[Business Entrate]],$I353&lt;&gt;SottocategorieEntrate[[#Headers],[Varie Entrate]],$I353&lt;&gt;SottocategorieEntrate[[#Headers],[Real Estate]],$I353&lt;&gt;SottocategorieEntrate[[#Headers],[Other]]),"","$ -")</f>
        <v/>
      </c>
      <c r="Q353" s="59" t="str">
        <f>IF(Dati[[#This Row],[Categoria]]="Prelievo","€ -","")</f>
        <v/>
      </c>
      <c r="R353" s="244"/>
      <c r="S353" s="59" t="str">
        <f>IF(Dati[[#This Row],[Categoria]]="Savings",0,"")</f>
        <v/>
      </c>
      <c r="T353" s="59"/>
      <c r="U353" s="59"/>
      <c r="V353" s="59"/>
      <c r="W353" s="59"/>
      <c r="X353" s="59"/>
      <c r="Y353" s="59"/>
      <c r="Z353" s="59"/>
      <c r="AA353" s="59"/>
      <c r="AB353" s="59"/>
      <c r="AC353" s="59"/>
      <c r="AD353" s="59"/>
      <c r="AE353" s="59"/>
      <c r="AF353" s="59"/>
      <c r="AG353" s="59"/>
      <c r="AH353" s="59"/>
      <c r="AI353" s="59" t="str">
        <f>IF(SUM(Dati[[#This Row],[Inv. Business]:[Inv. Cryptocurrency]])=0," ",SUM(Dati[[#This Row],[Inv. Business]:[Inv. Cryptocurrency]]))</f>
        <v xml:space="preserve"> </v>
      </c>
      <c r="AJ353" s="59"/>
      <c r="AK353" s="59" t="str">
        <f>IF(SUM(Dati[[#This Row],[Inv. Gold]:[Mutuo]])=0," ",SUM(Dati[[#This Row],[Inv. Gold]:[Mutuo]]))</f>
        <v xml:space="preserve"> </v>
      </c>
      <c r="AL353" s="59"/>
      <c r="AM353" s="59"/>
    </row>
    <row r="354" spans="2:39" ht="16" customHeight="1" x14ac:dyDescent="0.35">
      <c r="B354">
        <f t="shared" si="15"/>
        <v>334</v>
      </c>
      <c r="C354" s="49">
        <v>45234</v>
      </c>
      <c r="D354" s="29">
        <f>DAY(Dati[[#This Row],[Data]])</f>
        <v>4</v>
      </c>
      <c r="E354" s="29" t="str">
        <f>IF(DAY(Data!$C$21:$C$1327)&gt;0,TEXT(Data!$C$21:$C$1327, "mmmm"),"")</f>
        <v>novembre</v>
      </c>
      <c r="F354" s="29" t="str">
        <f>IF(DAY(Data!$C$21:$C$1327)&gt;0,TEXT(Data!$C$21:$C$1327, "aaaa"),"")</f>
        <v>2023</v>
      </c>
      <c r="I354" t="str">
        <f>IF(OR(H354=$B$5,H354=$B$6,H354=$B$7,H354=$B$8,H354=$B$9,H354=$B$10,H354=$B$11,H354=$B$12,H354=$B$13,H354=$B$14),SottocategorieUscite[[#Headers],[Fuori Casa]],IF(OR(H354=$C$5,H354=$C$6,H354=$C$7,H354=$C$8,H354=$C$9,H354=$C$10,H354=$C$11,H354=$C$12,H354=$C$13,H354=$C$14),SottocategorieUscite[[#Headers],[Varie Uscite]],IF(OR(H354=$D$5,H354=$D$6,H354=$D$7,H354=$D$8,H354=$D$9,H354=$D$10,H354=$D$11,H354=$D$12,H354=$D$13,H354=$D$14),SottocategorieUscite[[#Headers],[Personali]],IF(OR(H354=$E$5,H354=$E$6,H354=$E$7,H354=$E$8,H354=$E$9,H354=$E$10,H354=$E$11,H354=$E$12,H354=$E$13,H354=$E$14),SottocategorieUscite[[#Headers],[Lavoro]],IF(OR(H354=$F$5,H354=$F$6,H354=$F$7,H354=$F$8,H354=$F$9,H354=$F$10,H354=$F$11,H354=$F$12,H354=$F$13,H354=$F$14),SottocategorieUscite[[#Headers],[Casa]],IF(OR(H354=$G$5,H354=$G$6,H354=$G$7,H354=$G$8,H354=$G$9,H354=$G$10,H354=$G$11,H354=$G$12,H354=$G$13,H354=$G$14),SottocategorieUscite[[#Headers],[Utenze]],IF(OR(H354=$H$5,H354=$H$6,H354=$H$7,H354=$H$8,H354=$H$9,H354=$H$10,H354=$H$11,H354=$H$12,H354=$H$13,H354=$H$14),SottocategorieUscite[[#Headers],[Business Uscite]],IF(OR(H354=$I$5,H354=$I$6,H354=$I$7,H354=$I$8,H354=$I$9,H354=$I$10,H354=$I$11,H354=$I$12,H354=$I$13,H354=$I$14),SottocategorieUscite[[#Headers],[Banca]],IF(OR(H354=K$5,H354=K$6,H354=K$7,H354=K$8,H354=K$9,H354=K$10,H354=K$11,H354=K$12,H354=K$13,H354=K$14),SottocategorieEntrate[[#Headers],[Business Entrate]],IF(OR(H354=L$5,H354=L$6,H354=L$7,H354=L$8,H354=L$9,H354=L$10,H354=L$11,H354=L$12,H354=L$13,H354=L$14),SottocategorieEntrate[[#Headers],[Varie Entrate]],IF(OR(H354=M$5,H354=M$6,H354=M$7,H354=M$8,H354=M$9,H354=M$10,H354=M$11,H354=M$12,H354=M$13,H354=M$14),SottocategorieEntrate[[#Headers],[Real Estate]],IF(OR(H354=N$5,H354=N$6,H354=N$7,H354=N$8,H354=N$9,H354=N$10,H354=N$11,H354=N$12,H354=N$13,H354=N$14),SottocategorieEntrate[[#Headers],[Other]],""))))))))))))</f>
        <v/>
      </c>
      <c r="J354" t="str">
        <f>IF(OR(Dati[[#This Row],[Categoria]]="Bollette",Dati[[#This Row],[Categoria]]="Conto &amp; Carte BNL",Dati[[#This Row],[Categoria]]="Prelievo",Dati[[#This Row],[Categoria]]="Affitto",Dati[[#This Row],[Categoria]]="BNL(Interessi Creditori)"),"Carta",IF(Dati[[#This Row],[Categoria]]&lt;&gt;0,"Cash",""))</f>
        <v/>
      </c>
      <c r="K354" s="59" t="str">
        <f>IF(OR(Data!$I354=SottocategorieUscite[[#Headers],[Fuori Casa]],Data!$I354=SottocategorieUscite[[#Headers],[Varie Uscite]],Data!$I354=SottocategorieUscite[[#Headers],[Personali]],Data!$I354=SottocategorieUscite[[#Headers],[Lavoro]]),"$ -","")</f>
        <v/>
      </c>
      <c r="L354" s="59" t="str">
        <f>IF(OR(Data!$I354=SottocategorieUscite[[#Headers],[Casa]],Data!$I354=SottocategorieUscite[[#Headers],[Utenze]],Data!$I354=SottocategorieUscite[[#Headers],[Business Uscite]],Data!$I354=SottocategorieUscite[[#Headers],[Banca]]),"$ -","")</f>
        <v/>
      </c>
      <c r="M354" s="59" t="str">
        <f>IF(OR($I354&lt;&gt;SottocategorieUscite[[#Headers],[Fuori Casa]],$I354&lt;&gt;SottocategorieUscite[[#Headers],[Varie Uscite]],$I354&lt;&gt;SottocategorieUscite[[#Headers],[Personali]],$I354&lt;&gt;SottocategorieUscite[[#Headers],[Lavoro]],$I354&lt;&gt;SottocategorieUscite[[#Headers],[Casa]],$I354&lt;&gt;SottocategorieUscite[[#Headers],[Utenze]],$I354&lt;&gt;SottocategorieUscite[[#Headers],[Business Uscite]],$I354&lt;&gt;SottocategorieUscite[[#Headers],[Banca]]),"","$ -")</f>
        <v/>
      </c>
      <c r="N354" s="59" t="str">
        <f>IF(OR(Data!$I354=SottocategorieEntrate[[#Headers],[Business Entrate]],Data!$I354=SottocategorieEntrate[[#Headers],[Varie Entrate]]),"$ -","")</f>
        <v/>
      </c>
      <c r="O354" s="59" t="str">
        <f>IF(OR(Data!$I354=SottocategorieEntrate[[#Headers],[Real Estate]],SottocategorieEntrate[[#Headers],[Other]]),"$ -","")</f>
        <v/>
      </c>
      <c r="P354" s="59" t="str">
        <f>IF(OR($I354&lt;&gt;SottocategorieEntrate[[#Headers],[Business Entrate]],$I354&lt;&gt;SottocategorieEntrate[[#Headers],[Varie Entrate]],$I354&lt;&gt;SottocategorieEntrate[[#Headers],[Real Estate]],$I354&lt;&gt;SottocategorieEntrate[[#Headers],[Other]]),"","$ -")</f>
        <v/>
      </c>
      <c r="Q354" s="59" t="str">
        <f>IF(Dati[[#This Row],[Categoria]]="Prelievo","€ -","")</f>
        <v/>
      </c>
      <c r="R354" s="244"/>
      <c r="S354" s="59" t="str">
        <f>IF(Dati[[#This Row],[Categoria]]="Savings",0,"")</f>
        <v/>
      </c>
      <c r="T354" s="59"/>
      <c r="U354" s="59"/>
      <c r="V354" s="59"/>
      <c r="W354" s="59"/>
      <c r="X354" s="59"/>
      <c r="Y354" s="59"/>
      <c r="Z354" s="59"/>
      <c r="AA354" s="59"/>
      <c r="AB354" s="59"/>
      <c r="AC354" s="59"/>
      <c r="AD354" s="59"/>
      <c r="AE354" s="59"/>
      <c r="AF354" s="59"/>
      <c r="AG354" s="59"/>
      <c r="AH354" s="59"/>
      <c r="AI354" s="59" t="str">
        <f>IF(SUM(Dati[[#This Row],[Inv. Business]:[Inv. Cryptocurrency]])=0," ",SUM(Dati[[#This Row],[Inv. Business]:[Inv. Cryptocurrency]]))</f>
        <v xml:space="preserve"> </v>
      </c>
      <c r="AJ354" s="59"/>
      <c r="AK354" s="59" t="str">
        <f>IF(SUM(Dati[[#This Row],[Inv. Gold]:[Mutuo]])=0," ",SUM(Dati[[#This Row],[Inv. Gold]:[Mutuo]]))</f>
        <v xml:space="preserve"> </v>
      </c>
      <c r="AL354" s="59"/>
      <c r="AM354" s="59"/>
    </row>
    <row r="355" spans="2:39" ht="16" customHeight="1" x14ac:dyDescent="0.35">
      <c r="B355">
        <f t="shared" si="15"/>
        <v>335</v>
      </c>
      <c r="C355" s="49">
        <v>45234</v>
      </c>
      <c r="D355" s="29">
        <f>DAY(Dati[[#This Row],[Data]])</f>
        <v>4</v>
      </c>
      <c r="E355" s="29" t="str">
        <f>IF(DAY(Data!$C$21:$C$1327)&gt;0,TEXT(Data!$C$21:$C$1327, "mmmm"),"")</f>
        <v>novembre</v>
      </c>
      <c r="F355" s="29" t="str">
        <f>IF(DAY(Data!$C$21:$C$1327)&gt;0,TEXT(Data!$C$21:$C$1327, "aaaa"),"")</f>
        <v>2023</v>
      </c>
      <c r="I355" t="str">
        <f>IF(OR(H355=$B$5,H355=$B$6,H355=$B$7,H355=$B$8,H355=$B$9,H355=$B$10,H355=$B$11,H355=$B$12,H355=$B$13,H355=$B$14),SottocategorieUscite[[#Headers],[Fuori Casa]],IF(OR(H355=$C$5,H355=$C$6,H355=$C$7,H355=$C$8,H355=$C$9,H355=$C$10,H355=$C$11,H355=$C$12,H355=$C$13,H355=$C$14),SottocategorieUscite[[#Headers],[Varie Uscite]],IF(OR(H355=$D$5,H355=$D$6,H355=$D$7,H355=$D$8,H355=$D$9,H355=$D$10,H355=$D$11,H355=$D$12,H355=$D$13,H355=$D$14),SottocategorieUscite[[#Headers],[Personali]],IF(OR(H355=$E$5,H355=$E$6,H355=$E$7,H355=$E$8,H355=$E$9,H355=$E$10,H355=$E$11,H355=$E$12,H355=$E$13,H355=$E$14),SottocategorieUscite[[#Headers],[Lavoro]],IF(OR(H355=$F$5,H355=$F$6,H355=$F$7,H355=$F$8,H355=$F$9,H355=$F$10,H355=$F$11,H355=$F$12,H355=$F$13,H355=$F$14),SottocategorieUscite[[#Headers],[Casa]],IF(OR(H355=$G$5,H355=$G$6,H355=$G$7,H355=$G$8,H355=$G$9,H355=$G$10,H355=$G$11,H355=$G$12,H355=$G$13,H355=$G$14),SottocategorieUscite[[#Headers],[Utenze]],IF(OR(H355=$H$5,H355=$H$6,H355=$H$7,H355=$H$8,H355=$H$9,H355=$H$10,H355=$H$11,H355=$H$12,H355=$H$13,H355=$H$14),SottocategorieUscite[[#Headers],[Business Uscite]],IF(OR(H355=$I$5,H355=$I$6,H355=$I$7,H355=$I$8,H355=$I$9,H355=$I$10,H355=$I$11,H355=$I$12,H355=$I$13,H355=$I$14),SottocategorieUscite[[#Headers],[Banca]],IF(OR(H355=K$5,H355=K$6,H355=K$7,H355=K$8,H355=K$9,H355=K$10,H355=K$11,H355=K$12,H355=K$13,H355=K$14),SottocategorieEntrate[[#Headers],[Business Entrate]],IF(OR(H355=L$5,H355=L$6,H355=L$7,H355=L$8,H355=L$9,H355=L$10,H355=L$11,H355=L$12,H355=L$13,H355=L$14),SottocategorieEntrate[[#Headers],[Varie Entrate]],IF(OR(H355=M$5,H355=M$6,H355=M$7,H355=M$8,H355=M$9,H355=M$10,H355=M$11,H355=M$12,H355=M$13,H355=M$14),SottocategorieEntrate[[#Headers],[Real Estate]],IF(OR(H355=N$5,H355=N$6,H355=N$7,H355=N$8,H355=N$9,H355=N$10,H355=N$11,H355=N$12,H355=N$13,H355=N$14),SottocategorieEntrate[[#Headers],[Other]],""))))))))))))</f>
        <v/>
      </c>
      <c r="J355" t="str">
        <f>IF(OR(Dati[[#This Row],[Categoria]]="Bollette",Dati[[#This Row],[Categoria]]="Conto &amp; Carte BNL",Dati[[#This Row],[Categoria]]="Prelievo",Dati[[#This Row],[Categoria]]="Affitto",Dati[[#This Row],[Categoria]]="BNL(Interessi Creditori)"),"Carta",IF(Dati[[#This Row],[Categoria]]&lt;&gt;0,"Cash",""))</f>
        <v/>
      </c>
      <c r="K355" s="59" t="str">
        <f>IF(OR(Data!$I355=SottocategorieUscite[[#Headers],[Fuori Casa]],Data!$I355=SottocategorieUscite[[#Headers],[Varie Uscite]],Data!$I355=SottocategorieUscite[[#Headers],[Personali]],Data!$I355=SottocategorieUscite[[#Headers],[Lavoro]]),"$ -","")</f>
        <v/>
      </c>
      <c r="L355" s="59" t="str">
        <f>IF(OR(Data!$I355=SottocategorieUscite[[#Headers],[Casa]],Data!$I355=SottocategorieUscite[[#Headers],[Utenze]],Data!$I355=SottocategorieUscite[[#Headers],[Business Uscite]],Data!$I355=SottocategorieUscite[[#Headers],[Banca]]),"$ -","")</f>
        <v/>
      </c>
      <c r="M355" s="59" t="str">
        <f>IF(OR($I355&lt;&gt;SottocategorieUscite[[#Headers],[Fuori Casa]],$I355&lt;&gt;SottocategorieUscite[[#Headers],[Varie Uscite]],$I355&lt;&gt;SottocategorieUscite[[#Headers],[Personali]],$I355&lt;&gt;SottocategorieUscite[[#Headers],[Lavoro]],$I355&lt;&gt;SottocategorieUscite[[#Headers],[Casa]],$I355&lt;&gt;SottocategorieUscite[[#Headers],[Utenze]],$I355&lt;&gt;SottocategorieUscite[[#Headers],[Business Uscite]],$I355&lt;&gt;SottocategorieUscite[[#Headers],[Banca]]),"","$ -")</f>
        <v/>
      </c>
      <c r="N355" s="59" t="str">
        <f>IF(OR(Data!$I355=SottocategorieEntrate[[#Headers],[Business Entrate]],Data!$I355=SottocategorieEntrate[[#Headers],[Varie Entrate]]),"$ -","")</f>
        <v/>
      </c>
      <c r="O355" s="59" t="str">
        <f>IF(OR(Data!$I355=SottocategorieEntrate[[#Headers],[Real Estate]],SottocategorieEntrate[[#Headers],[Other]]),"$ -","")</f>
        <v/>
      </c>
      <c r="P355" s="59" t="str">
        <f>IF(OR($I355&lt;&gt;SottocategorieEntrate[[#Headers],[Business Entrate]],$I355&lt;&gt;SottocategorieEntrate[[#Headers],[Varie Entrate]],$I355&lt;&gt;SottocategorieEntrate[[#Headers],[Real Estate]],$I355&lt;&gt;SottocategorieEntrate[[#Headers],[Other]]),"","$ -")</f>
        <v/>
      </c>
      <c r="Q355" s="59" t="str">
        <f>IF(Dati[[#This Row],[Categoria]]="Prelievo","€ -","")</f>
        <v/>
      </c>
      <c r="R355" s="244"/>
      <c r="S355" s="59" t="str">
        <f>IF(Dati[[#This Row],[Categoria]]="Savings",0,"")</f>
        <v/>
      </c>
      <c r="T355" s="59"/>
      <c r="U355" s="59"/>
      <c r="V355" s="59"/>
      <c r="W355" s="59"/>
      <c r="X355" s="59"/>
      <c r="Y355" s="59"/>
      <c r="Z355" s="59"/>
      <c r="AA355" s="59"/>
      <c r="AB355" s="59"/>
      <c r="AC355" s="59"/>
      <c r="AD355" s="59"/>
      <c r="AE355" s="59"/>
      <c r="AF355" s="59"/>
      <c r="AG355" s="59"/>
      <c r="AH355" s="59"/>
      <c r="AI355" s="59" t="str">
        <f>IF(SUM(Dati[[#This Row],[Inv. Business]:[Inv. Cryptocurrency]])=0," ",SUM(Dati[[#This Row],[Inv. Business]:[Inv. Cryptocurrency]]))</f>
        <v xml:space="preserve"> </v>
      </c>
      <c r="AJ355" s="59"/>
      <c r="AK355" s="59" t="str">
        <f>IF(SUM(Dati[[#This Row],[Inv. Gold]:[Mutuo]])=0," ",SUM(Dati[[#This Row],[Inv. Gold]:[Mutuo]]))</f>
        <v xml:space="preserve"> </v>
      </c>
      <c r="AL355" s="59"/>
      <c r="AM355" s="59"/>
    </row>
    <row r="356" spans="2:39" ht="16" customHeight="1" x14ac:dyDescent="0.35">
      <c r="B356">
        <f t="shared" si="15"/>
        <v>336</v>
      </c>
      <c r="C356" s="49">
        <v>45234</v>
      </c>
      <c r="D356" s="29">
        <f>DAY(Dati[[#This Row],[Data]])</f>
        <v>4</v>
      </c>
      <c r="E356" s="29" t="str">
        <f>IF(DAY(Data!$C$21:$C$1327)&gt;0,TEXT(Data!$C$21:$C$1327, "mmmm"),"")</f>
        <v>novembre</v>
      </c>
      <c r="F356" s="29" t="str">
        <f>IF(DAY(Data!$C$21:$C$1327)&gt;0,TEXT(Data!$C$21:$C$1327, "aaaa"),"")</f>
        <v>2023</v>
      </c>
      <c r="I356" t="str">
        <f>IF(OR(H356=$B$5,H356=$B$6,H356=$B$7,H356=$B$8,H356=$B$9,H356=$B$10,H356=$B$11,H356=$B$12,H356=$B$13,H356=$B$14),SottocategorieUscite[[#Headers],[Fuori Casa]],IF(OR(H356=$C$5,H356=$C$6,H356=$C$7,H356=$C$8,H356=$C$9,H356=$C$10,H356=$C$11,H356=$C$12,H356=$C$13,H356=$C$14),SottocategorieUscite[[#Headers],[Varie Uscite]],IF(OR(H356=$D$5,H356=$D$6,H356=$D$7,H356=$D$8,H356=$D$9,H356=$D$10,H356=$D$11,H356=$D$12,H356=$D$13,H356=$D$14),SottocategorieUscite[[#Headers],[Personali]],IF(OR(H356=$E$5,H356=$E$6,H356=$E$7,H356=$E$8,H356=$E$9,H356=$E$10,H356=$E$11,H356=$E$12,H356=$E$13,H356=$E$14),SottocategorieUscite[[#Headers],[Lavoro]],IF(OR(H356=$F$5,H356=$F$6,H356=$F$7,H356=$F$8,H356=$F$9,H356=$F$10,H356=$F$11,H356=$F$12,H356=$F$13,H356=$F$14),SottocategorieUscite[[#Headers],[Casa]],IF(OR(H356=$G$5,H356=$G$6,H356=$G$7,H356=$G$8,H356=$G$9,H356=$G$10,H356=$G$11,H356=$G$12,H356=$G$13,H356=$G$14),SottocategorieUscite[[#Headers],[Utenze]],IF(OR(H356=$H$5,H356=$H$6,H356=$H$7,H356=$H$8,H356=$H$9,H356=$H$10,H356=$H$11,H356=$H$12,H356=$H$13,H356=$H$14),SottocategorieUscite[[#Headers],[Business Uscite]],IF(OR(H356=$I$5,H356=$I$6,H356=$I$7,H356=$I$8,H356=$I$9,H356=$I$10,H356=$I$11,H356=$I$12,H356=$I$13,H356=$I$14),SottocategorieUscite[[#Headers],[Banca]],IF(OR(H356=K$5,H356=K$6,H356=K$7,H356=K$8,H356=K$9,H356=K$10,H356=K$11,H356=K$12,H356=K$13,H356=K$14),SottocategorieEntrate[[#Headers],[Business Entrate]],IF(OR(H356=L$5,H356=L$6,H356=L$7,H356=L$8,H356=L$9,H356=L$10,H356=L$11,H356=L$12,H356=L$13,H356=L$14),SottocategorieEntrate[[#Headers],[Varie Entrate]],IF(OR(H356=M$5,H356=M$6,H356=M$7,H356=M$8,H356=M$9,H356=M$10,H356=M$11,H356=M$12,H356=M$13,H356=M$14),SottocategorieEntrate[[#Headers],[Real Estate]],IF(OR(H356=N$5,H356=N$6,H356=N$7,H356=N$8,H356=N$9,H356=N$10,H356=N$11,H356=N$12,H356=N$13,H356=N$14),SottocategorieEntrate[[#Headers],[Other]],""))))))))))))</f>
        <v/>
      </c>
      <c r="J356" t="str">
        <f>IF(OR(Dati[[#This Row],[Categoria]]="Bollette",Dati[[#This Row],[Categoria]]="Conto &amp; Carte BNL",Dati[[#This Row],[Categoria]]="Prelievo",Dati[[#This Row],[Categoria]]="Affitto",Dati[[#This Row],[Categoria]]="BNL(Interessi Creditori)"),"Carta",IF(Dati[[#This Row],[Categoria]]&lt;&gt;0,"Cash",""))</f>
        <v/>
      </c>
      <c r="K356" s="59" t="str">
        <f>IF(OR(Data!$I356=SottocategorieUscite[[#Headers],[Fuori Casa]],Data!$I356=SottocategorieUscite[[#Headers],[Varie Uscite]],Data!$I356=SottocategorieUscite[[#Headers],[Personali]],Data!$I356=SottocategorieUscite[[#Headers],[Lavoro]]),"$ -","")</f>
        <v/>
      </c>
      <c r="L356" s="59" t="str">
        <f>IF(OR(Data!$I356=SottocategorieUscite[[#Headers],[Casa]],Data!$I356=SottocategorieUscite[[#Headers],[Utenze]],Data!$I356=SottocategorieUscite[[#Headers],[Business Uscite]],Data!$I356=SottocategorieUscite[[#Headers],[Banca]]),"$ -","")</f>
        <v/>
      </c>
      <c r="M356" s="59" t="str">
        <f>IF(OR($I356&lt;&gt;SottocategorieUscite[[#Headers],[Fuori Casa]],$I356&lt;&gt;SottocategorieUscite[[#Headers],[Varie Uscite]],$I356&lt;&gt;SottocategorieUscite[[#Headers],[Personali]],$I356&lt;&gt;SottocategorieUscite[[#Headers],[Lavoro]],$I356&lt;&gt;SottocategorieUscite[[#Headers],[Casa]],$I356&lt;&gt;SottocategorieUscite[[#Headers],[Utenze]],$I356&lt;&gt;SottocategorieUscite[[#Headers],[Business Uscite]],$I356&lt;&gt;SottocategorieUscite[[#Headers],[Banca]]),"","$ -")</f>
        <v/>
      </c>
      <c r="N356" s="59" t="str">
        <f>IF(OR(Data!$I356=SottocategorieEntrate[[#Headers],[Business Entrate]],Data!$I356=SottocategorieEntrate[[#Headers],[Varie Entrate]]),"$ -","")</f>
        <v/>
      </c>
      <c r="O356" s="59" t="str">
        <f>IF(OR(Data!$I356=SottocategorieEntrate[[#Headers],[Real Estate]],SottocategorieEntrate[[#Headers],[Other]]),"$ -","")</f>
        <v/>
      </c>
      <c r="P356" s="59" t="str">
        <f>IF(OR($I356&lt;&gt;SottocategorieEntrate[[#Headers],[Business Entrate]],$I356&lt;&gt;SottocategorieEntrate[[#Headers],[Varie Entrate]],$I356&lt;&gt;SottocategorieEntrate[[#Headers],[Real Estate]],$I356&lt;&gt;SottocategorieEntrate[[#Headers],[Other]]),"","$ -")</f>
        <v/>
      </c>
      <c r="Q356" s="59" t="str">
        <f>IF(Dati[[#This Row],[Categoria]]="Prelievo","€ -","")</f>
        <v/>
      </c>
      <c r="R356" s="244"/>
      <c r="S356" s="59" t="str">
        <f>IF(Dati[[#This Row],[Categoria]]="Savings",0,"")</f>
        <v/>
      </c>
      <c r="T356" s="59"/>
      <c r="U356" s="59"/>
      <c r="V356" s="59"/>
      <c r="W356" s="59"/>
      <c r="X356" s="59"/>
      <c r="Y356" s="59"/>
      <c r="Z356" s="59"/>
      <c r="AA356" s="59"/>
      <c r="AB356" s="59"/>
      <c r="AC356" s="59"/>
      <c r="AD356" s="59"/>
      <c r="AE356" s="59"/>
      <c r="AF356" s="59"/>
      <c r="AG356" s="59"/>
      <c r="AH356" s="59"/>
      <c r="AI356" s="59" t="str">
        <f>IF(SUM(Dati[[#This Row],[Inv. Business]:[Inv. Cryptocurrency]])=0," ",SUM(Dati[[#This Row],[Inv. Business]:[Inv. Cryptocurrency]]))</f>
        <v xml:space="preserve"> </v>
      </c>
      <c r="AJ356" s="59"/>
      <c r="AK356" s="59" t="str">
        <f>IF(SUM(Dati[[#This Row],[Inv. Gold]:[Mutuo]])=0," ",SUM(Dati[[#This Row],[Inv. Gold]:[Mutuo]]))</f>
        <v xml:space="preserve"> </v>
      </c>
      <c r="AL356" s="59"/>
      <c r="AM356" s="59"/>
    </row>
    <row r="357" spans="2:39" ht="16" customHeight="1" x14ac:dyDescent="0.35">
      <c r="B357">
        <f t="shared" si="15"/>
        <v>337</v>
      </c>
      <c r="C357" s="49">
        <v>45234</v>
      </c>
      <c r="D357" s="29">
        <f>DAY(Dati[[#This Row],[Data]])</f>
        <v>4</v>
      </c>
      <c r="E357" s="29" t="str">
        <f>IF(DAY(Data!$C$21:$C$1327)&gt;0,TEXT(Data!$C$21:$C$1327, "mmmm"),"")</f>
        <v>novembre</v>
      </c>
      <c r="F357" s="29" t="str">
        <f>IF(DAY(Data!$C$21:$C$1327)&gt;0,TEXT(Data!$C$21:$C$1327, "aaaa"),"")</f>
        <v>2023</v>
      </c>
      <c r="I357" t="str">
        <f>IF(OR(H357=$B$5,H357=$B$6,H357=$B$7,H357=$B$8,H357=$B$9,H357=$B$10,H357=$B$11,H357=$B$12,H357=$B$13,H357=$B$14),SottocategorieUscite[[#Headers],[Fuori Casa]],IF(OR(H357=$C$5,H357=$C$6,H357=$C$7,H357=$C$8,H357=$C$9,H357=$C$10,H357=$C$11,H357=$C$12,H357=$C$13,H357=$C$14),SottocategorieUscite[[#Headers],[Varie Uscite]],IF(OR(H357=$D$5,H357=$D$6,H357=$D$7,H357=$D$8,H357=$D$9,H357=$D$10,H357=$D$11,H357=$D$12,H357=$D$13,H357=$D$14),SottocategorieUscite[[#Headers],[Personali]],IF(OR(H357=$E$5,H357=$E$6,H357=$E$7,H357=$E$8,H357=$E$9,H357=$E$10,H357=$E$11,H357=$E$12,H357=$E$13,H357=$E$14),SottocategorieUscite[[#Headers],[Lavoro]],IF(OR(H357=$F$5,H357=$F$6,H357=$F$7,H357=$F$8,H357=$F$9,H357=$F$10,H357=$F$11,H357=$F$12,H357=$F$13,H357=$F$14),SottocategorieUscite[[#Headers],[Casa]],IF(OR(H357=$G$5,H357=$G$6,H357=$G$7,H357=$G$8,H357=$G$9,H357=$G$10,H357=$G$11,H357=$G$12,H357=$G$13,H357=$G$14),SottocategorieUscite[[#Headers],[Utenze]],IF(OR(H357=$H$5,H357=$H$6,H357=$H$7,H357=$H$8,H357=$H$9,H357=$H$10,H357=$H$11,H357=$H$12,H357=$H$13,H357=$H$14),SottocategorieUscite[[#Headers],[Business Uscite]],IF(OR(H357=$I$5,H357=$I$6,H357=$I$7,H357=$I$8,H357=$I$9,H357=$I$10,H357=$I$11,H357=$I$12,H357=$I$13,H357=$I$14),SottocategorieUscite[[#Headers],[Banca]],IF(OR(H357=K$5,H357=K$6,H357=K$7,H357=K$8,H357=K$9,H357=K$10,H357=K$11,H357=K$12,H357=K$13,H357=K$14),SottocategorieEntrate[[#Headers],[Business Entrate]],IF(OR(H357=L$5,H357=L$6,H357=L$7,H357=L$8,H357=L$9,H357=L$10,H357=L$11,H357=L$12,H357=L$13,H357=L$14),SottocategorieEntrate[[#Headers],[Varie Entrate]],IF(OR(H357=M$5,H357=M$6,H357=M$7,H357=M$8,H357=M$9,H357=M$10,H357=M$11,H357=M$12,H357=M$13,H357=M$14),SottocategorieEntrate[[#Headers],[Real Estate]],IF(OR(H357=N$5,H357=N$6,H357=N$7,H357=N$8,H357=N$9,H357=N$10,H357=N$11,H357=N$12,H357=N$13,H357=N$14),SottocategorieEntrate[[#Headers],[Other]],""))))))))))))</f>
        <v/>
      </c>
      <c r="J357" t="str">
        <f>IF(OR(Dati[[#This Row],[Categoria]]="Bollette",Dati[[#This Row],[Categoria]]="Conto &amp; Carte BNL",Dati[[#This Row],[Categoria]]="Prelievo",Dati[[#This Row],[Categoria]]="Affitto",Dati[[#This Row],[Categoria]]="BNL(Interessi Creditori)"),"Carta",IF(Dati[[#This Row],[Categoria]]&lt;&gt;0,"Cash",""))</f>
        <v/>
      </c>
      <c r="K357" s="59" t="str">
        <f>IF(OR(Data!$I357=SottocategorieUscite[[#Headers],[Fuori Casa]],Data!$I357=SottocategorieUscite[[#Headers],[Varie Uscite]],Data!$I357=SottocategorieUscite[[#Headers],[Personali]],Data!$I357=SottocategorieUscite[[#Headers],[Lavoro]]),"$ -","")</f>
        <v/>
      </c>
      <c r="L357" s="59" t="str">
        <f>IF(OR(Data!$I357=SottocategorieUscite[[#Headers],[Casa]],Data!$I357=SottocategorieUscite[[#Headers],[Utenze]],Data!$I357=SottocategorieUscite[[#Headers],[Business Uscite]],Data!$I357=SottocategorieUscite[[#Headers],[Banca]]),"$ -","")</f>
        <v/>
      </c>
      <c r="M357" s="59" t="str">
        <f>IF(OR($I357&lt;&gt;SottocategorieUscite[[#Headers],[Fuori Casa]],$I357&lt;&gt;SottocategorieUscite[[#Headers],[Varie Uscite]],$I357&lt;&gt;SottocategorieUscite[[#Headers],[Personali]],$I357&lt;&gt;SottocategorieUscite[[#Headers],[Lavoro]],$I357&lt;&gt;SottocategorieUscite[[#Headers],[Casa]],$I357&lt;&gt;SottocategorieUscite[[#Headers],[Utenze]],$I357&lt;&gt;SottocategorieUscite[[#Headers],[Business Uscite]],$I357&lt;&gt;SottocategorieUscite[[#Headers],[Banca]]),"","$ -")</f>
        <v/>
      </c>
      <c r="N357" s="59" t="str">
        <f>IF(OR(Data!$I357=SottocategorieEntrate[[#Headers],[Business Entrate]],Data!$I357=SottocategorieEntrate[[#Headers],[Varie Entrate]]),"$ -","")</f>
        <v/>
      </c>
      <c r="O357" s="59" t="str">
        <f>IF(OR(Data!$I357=SottocategorieEntrate[[#Headers],[Real Estate]],SottocategorieEntrate[[#Headers],[Other]]),"$ -","")</f>
        <v/>
      </c>
      <c r="P357" s="59" t="str">
        <f>IF(OR($I357&lt;&gt;SottocategorieEntrate[[#Headers],[Business Entrate]],$I357&lt;&gt;SottocategorieEntrate[[#Headers],[Varie Entrate]],$I357&lt;&gt;SottocategorieEntrate[[#Headers],[Real Estate]],$I357&lt;&gt;SottocategorieEntrate[[#Headers],[Other]]),"","$ -")</f>
        <v/>
      </c>
      <c r="Q357" s="59" t="str">
        <f>IF(Dati[[#This Row],[Categoria]]="Prelievo","€ -","")</f>
        <v/>
      </c>
      <c r="R357" s="244"/>
      <c r="S357" s="59" t="str">
        <f>IF(Dati[[#This Row],[Categoria]]="Savings",0,"")</f>
        <v/>
      </c>
      <c r="T357" s="59"/>
      <c r="U357" s="59"/>
      <c r="V357" s="59"/>
      <c r="W357" s="59"/>
      <c r="X357" s="59"/>
      <c r="Y357" s="59"/>
      <c r="Z357" s="59"/>
      <c r="AA357" s="59"/>
      <c r="AB357" s="59"/>
      <c r="AC357" s="59"/>
      <c r="AD357" s="59"/>
      <c r="AE357" s="59"/>
      <c r="AF357" s="59"/>
      <c r="AG357" s="59"/>
      <c r="AH357" s="59"/>
      <c r="AI357" s="59" t="str">
        <f>IF(SUM(Dati[[#This Row],[Inv. Business]:[Inv. Cryptocurrency]])=0," ",SUM(Dati[[#This Row],[Inv. Business]:[Inv. Cryptocurrency]]))</f>
        <v xml:space="preserve"> </v>
      </c>
      <c r="AJ357" s="59"/>
      <c r="AK357" s="59" t="str">
        <f>IF(SUM(Dati[[#This Row],[Inv. Gold]:[Mutuo]])=0," ",SUM(Dati[[#This Row],[Inv. Gold]:[Mutuo]]))</f>
        <v xml:space="preserve"> </v>
      </c>
      <c r="AL357" s="59"/>
      <c r="AM357" s="59"/>
    </row>
    <row r="358" spans="2:39" ht="16" customHeight="1" x14ac:dyDescent="0.35">
      <c r="B358">
        <f t="shared" si="15"/>
        <v>338</v>
      </c>
      <c r="C358" s="49">
        <f>C353+1</f>
        <v>45235</v>
      </c>
      <c r="D358" s="29">
        <f>DAY(Dati[[#This Row],[Data]])</f>
        <v>5</v>
      </c>
      <c r="E358" s="29" t="str">
        <f>IF(DAY(Data!$C$21:$C$1327)&gt;0,TEXT(Data!$C$21:$C$1327, "mmmm"),"")</f>
        <v>novembre</v>
      </c>
      <c r="F358" s="29" t="str">
        <f>IF(DAY(Data!$C$21:$C$1327)&gt;0,TEXT(Data!$C$21:$C$1327, "aaaa"),"")</f>
        <v>2023</v>
      </c>
      <c r="I358" t="str">
        <f>IF(OR(H358=$B$5,H358=$B$6,H358=$B$7,H358=$B$8,H358=$B$9,H358=$B$10,H358=$B$11,H358=$B$12,H358=$B$13,H358=$B$14),SottocategorieUscite[[#Headers],[Fuori Casa]],IF(OR(H358=$C$5,H358=$C$6,H358=$C$7,H358=$C$8,H358=$C$9,H358=$C$10,H358=$C$11,H358=$C$12,H358=$C$13,H358=$C$14),SottocategorieUscite[[#Headers],[Varie Uscite]],IF(OR(H358=$D$5,H358=$D$6,H358=$D$7,H358=$D$8,H358=$D$9,H358=$D$10,H358=$D$11,H358=$D$12,H358=$D$13,H358=$D$14),SottocategorieUscite[[#Headers],[Personali]],IF(OR(H358=$E$5,H358=$E$6,H358=$E$7,H358=$E$8,H358=$E$9,H358=$E$10,H358=$E$11,H358=$E$12,H358=$E$13,H358=$E$14),SottocategorieUscite[[#Headers],[Lavoro]],IF(OR(H358=$F$5,H358=$F$6,H358=$F$7,H358=$F$8,H358=$F$9,H358=$F$10,H358=$F$11,H358=$F$12,H358=$F$13,H358=$F$14),SottocategorieUscite[[#Headers],[Casa]],IF(OR(H358=$G$5,H358=$G$6,H358=$G$7,H358=$G$8,H358=$G$9,H358=$G$10,H358=$G$11,H358=$G$12,H358=$G$13,H358=$G$14),SottocategorieUscite[[#Headers],[Utenze]],IF(OR(H358=$H$5,H358=$H$6,H358=$H$7,H358=$H$8,H358=$H$9,H358=$H$10,H358=$H$11,H358=$H$12,H358=$H$13,H358=$H$14),SottocategorieUscite[[#Headers],[Business Uscite]],IF(OR(H358=$I$5,H358=$I$6,H358=$I$7,H358=$I$8,H358=$I$9,H358=$I$10,H358=$I$11,H358=$I$12,H358=$I$13,H358=$I$14),SottocategorieUscite[[#Headers],[Banca]],IF(OR(H358=K$5,H358=K$6,H358=K$7,H358=K$8,H358=K$9,H358=K$10,H358=K$11,H358=K$12,H358=K$13,H358=K$14),SottocategorieEntrate[[#Headers],[Business Entrate]],IF(OR(H358=L$5,H358=L$6,H358=L$7,H358=L$8,H358=L$9,H358=L$10,H358=L$11,H358=L$12,H358=L$13,H358=L$14),SottocategorieEntrate[[#Headers],[Varie Entrate]],IF(OR(H358=M$5,H358=M$6,H358=M$7,H358=M$8,H358=M$9,H358=M$10,H358=M$11,H358=M$12,H358=M$13,H358=M$14),SottocategorieEntrate[[#Headers],[Real Estate]],IF(OR(H358=N$5,H358=N$6,H358=N$7,H358=N$8,H358=N$9,H358=N$10,H358=N$11,H358=N$12,H358=N$13,H358=N$14),SottocategorieEntrate[[#Headers],[Other]],""))))))))))))</f>
        <v/>
      </c>
      <c r="J358" t="str">
        <f>IF(OR(Dati[[#This Row],[Categoria]]="Bollette",Dati[[#This Row],[Categoria]]="Conto &amp; Carte BNL",Dati[[#This Row],[Categoria]]="Prelievo",Dati[[#This Row],[Categoria]]="Affitto",Dati[[#This Row],[Categoria]]="BNL(Interessi Creditori)"),"Carta",IF(Dati[[#This Row],[Categoria]]&lt;&gt;0,"Cash",""))</f>
        <v/>
      </c>
      <c r="K358" s="59" t="str">
        <f>IF(OR(Data!$I358=SottocategorieUscite[[#Headers],[Fuori Casa]],Data!$I358=SottocategorieUscite[[#Headers],[Varie Uscite]],Data!$I358=SottocategorieUscite[[#Headers],[Personali]],Data!$I358=SottocategorieUscite[[#Headers],[Lavoro]]),"$ -","")</f>
        <v/>
      </c>
      <c r="L358" s="59" t="str">
        <f>IF(OR(Data!$I358=SottocategorieUscite[[#Headers],[Casa]],Data!$I358=SottocategorieUscite[[#Headers],[Utenze]],Data!$I358=SottocategorieUscite[[#Headers],[Business Uscite]],Data!$I358=SottocategorieUscite[[#Headers],[Banca]]),"$ -","")</f>
        <v/>
      </c>
      <c r="M358" s="59" t="str">
        <f>IF(OR($I358&lt;&gt;SottocategorieUscite[[#Headers],[Fuori Casa]],$I358&lt;&gt;SottocategorieUscite[[#Headers],[Varie Uscite]],$I358&lt;&gt;SottocategorieUscite[[#Headers],[Personali]],$I358&lt;&gt;SottocategorieUscite[[#Headers],[Lavoro]],$I358&lt;&gt;SottocategorieUscite[[#Headers],[Casa]],$I358&lt;&gt;SottocategorieUscite[[#Headers],[Utenze]],$I358&lt;&gt;SottocategorieUscite[[#Headers],[Business Uscite]],$I358&lt;&gt;SottocategorieUscite[[#Headers],[Banca]]),"","$ -")</f>
        <v/>
      </c>
      <c r="N358" s="59" t="str">
        <f>IF(OR(Data!$I358=SottocategorieEntrate[[#Headers],[Business Entrate]],Data!$I358=SottocategorieEntrate[[#Headers],[Varie Entrate]]),"$ -","")</f>
        <v/>
      </c>
      <c r="O358" s="59" t="str">
        <f>IF(OR(Data!$I358=SottocategorieEntrate[[#Headers],[Real Estate]],SottocategorieEntrate[[#Headers],[Other]]),"$ -","")</f>
        <v/>
      </c>
      <c r="P358" s="59" t="str">
        <f>IF(OR($I358&lt;&gt;SottocategorieEntrate[[#Headers],[Business Entrate]],$I358&lt;&gt;SottocategorieEntrate[[#Headers],[Varie Entrate]],$I358&lt;&gt;SottocategorieEntrate[[#Headers],[Real Estate]],$I358&lt;&gt;SottocategorieEntrate[[#Headers],[Other]]),"","$ -")</f>
        <v/>
      </c>
      <c r="Q358" s="59" t="str">
        <f>IF(Dati[[#This Row],[Categoria]]="Prelievo","€ -","")</f>
        <v/>
      </c>
      <c r="R358" s="244"/>
      <c r="S358" s="59" t="str">
        <f>IF(Dati[[#This Row],[Categoria]]="Savings",0,"")</f>
        <v/>
      </c>
      <c r="T358" s="59"/>
      <c r="U358" s="59"/>
      <c r="V358" s="59"/>
      <c r="W358" s="59"/>
      <c r="X358" s="59"/>
      <c r="Y358" s="59"/>
      <c r="Z358" s="59"/>
      <c r="AA358" s="59"/>
      <c r="AB358" s="59"/>
      <c r="AC358" s="59"/>
      <c r="AD358" s="59"/>
      <c r="AE358" s="59"/>
      <c r="AF358" s="59"/>
      <c r="AG358" s="59"/>
      <c r="AH358" s="59"/>
      <c r="AI358" s="59" t="str">
        <f>IF(SUM(Dati[[#This Row],[Inv. Business]:[Inv. Cryptocurrency]])=0," ",SUM(Dati[[#This Row],[Inv. Business]:[Inv. Cryptocurrency]]))</f>
        <v xml:space="preserve"> </v>
      </c>
      <c r="AJ358" s="59"/>
      <c r="AK358" s="59" t="str">
        <f>IF(SUM(Dati[[#This Row],[Inv. Gold]:[Mutuo]])=0," ",SUM(Dati[[#This Row],[Inv. Gold]:[Mutuo]]))</f>
        <v xml:space="preserve"> </v>
      </c>
      <c r="AL358" s="59"/>
      <c r="AM358" s="59"/>
    </row>
    <row r="359" spans="2:39" ht="16" customHeight="1" x14ac:dyDescent="0.35">
      <c r="B359">
        <f t="shared" si="15"/>
        <v>339</v>
      </c>
      <c r="C359" s="49">
        <f t="shared" si="16"/>
        <v>45236</v>
      </c>
      <c r="D359" s="29">
        <f>DAY(Dati[[#This Row],[Data]])</f>
        <v>6</v>
      </c>
      <c r="E359" s="29" t="str">
        <f>IF(DAY(Data!$C$21:$C$1327)&gt;0,TEXT(Data!$C$21:$C$1327, "mmmm"),"")</f>
        <v>novembre</v>
      </c>
      <c r="F359" s="29" t="str">
        <f>IF(DAY(Data!$C$21:$C$1327)&gt;0,TEXT(Data!$C$21:$C$1327, "aaaa"),"")</f>
        <v>2023</v>
      </c>
      <c r="I359" t="str">
        <f>IF(OR(H359=$B$5,H359=$B$6,H359=$B$7,H359=$B$8,H359=$B$9,H359=$B$10,H359=$B$11,H359=$B$12,H359=$B$13,H359=$B$14),SottocategorieUscite[[#Headers],[Fuori Casa]],IF(OR(H359=$C$5,H359=$C$6,H359=$C$7,H359=$C$8,H359=$C$9,H359=$C$10,H359=$C$11,H359=$C$12,H359=$C$13,H359=$C$14),SottocategorieUscite[[#Headers],[Varie Uscite]],IF(OR(H359=$D$5,H359=$D$6,H359=$D$7,H359=$D$8,H359=$D$9,H359=$D$10,H359=$D$11,H359=$D$12,H359=$D$13,H359=$D$14),SottocategorieUscite[[#Headers],[Personali]],IF(OR(H359=$E$5,H359=$E$6,H359=$E$7,H359=$E$8,H359=$E$9,H359=$E$10,H359=$E$11,H359=$E$12,H359=$E$13,H359=$E$14),SottocategorieUscite[[#Headers],[Lavoro]],IF(OR(H359=$F$5,H359=$F$6,H359=$F$7,H359=$F$8,H359=$F$9,H359=$F$10,H359=$F$11,H359=$F$12,H359=$F$13,H359=$F$14),SottocategorieUscite[[#Headers],[Casa]],IF(OR(H359=$G$5,H359=$G$6,H359=$G$7,H359=$G$8,H359=$G$9,H359=$G$10,H359=$G$11,H359=$G$12,H359=$G$13,H359=$G$14),SottocategorieUscite[[#Headers],[Utenze]],IF(OR(H359=$H$5,H359=$H$6,H359=$H$7,H359=$H$8,H359=$H$9,H359=$H$10,H359=$H$11,H359=$H$12,H359=$H$13,H359=$H$14),SottocategorieUscite[[#Headers],[Business Uscite]],IF(OR(H359=$I$5,H359=$I$6,H359=$I$7,H359=$I$8,H359=$I$9,H359=$I$10,H359=$I$11,H359=$I$12,H359=$I$13,H359=$I$14),SottocategorieUscite[[#Headers],[Banca]],IF(OR(H359=K$5,H359=K$6,H359=K$7,H359=K$8,H359=K$9,H359=K$10,H359=K$11,H359=K$12,H359=K$13,H359=K$14),SottocategorieEntrate[[#Headers],[Business Entrate]],IF(OR(H359=L$5,H359=L$6,H359=L$7,H359=L$8,H359=L$9,H359=L$10,H359=L$11,H359=L$12,H359=L$13,H359=L$14),SottocategorieEntrate[[#Headers],[Varie Entrate]],IF(OR(H359=M$5,H359=M$6,H359=M$7,H359=M$8,H359=M$9,H359=M$10,H359=M$11,H359=M$12,H359=M$13,H359=M$14),SottocategorieEntrate[[#Headers],[Real Estate]],IF(OR(H359=N$5,H359=N$6,H359=N$7,H359=N$8,H359=N$9,H359=N$10,H359=N$11,H359=N$12,H359=N$13,H359=N$14),SottocategorieEntrate[[#Headers],[Other]],""))))))))))))</f>
        <v/>
      </c>
      <c r="J359" t="str">
        <f>IF(OR(Dati[[#This Row],[Categoria]]="Bollette",Dati[[#This Row],[Categoria]]="Conto &amp; Carte BNL",Dati[[#This Row],[Categoria]]="Prelievo",Dati[[#This Row],[Categoria]]="Affitto",Dati[[#This Row],[Categoria]]="BNL(Interessi Creditori)"),"Carta",IF(Dati[[#This Row],[Categoria]]&lt;&gt;0,"Cash",""))</f>
        <v/>
      </c>
      <c r="K359" s="59" t="str">
        <f>IF(OR(Data!$I359=SottocategorieUscite[[#Headers],[Fuori Casa]],Data!$I359=SottocategorieUscite[[#Headers],[Varie Uscite]],Data!$I359=SottocategorieUscite[[#Headers],[Personali]],Data!$I359=SottocategorieUscite[[#Headers],[Lavoro]]),"$ -","")</f>
        <v/>
      </c>
      <c r="L359" s="59" t="str">
        <f>IF(OR(Data!$I359=SottocategorieUscite[[#Headers],[Casa]],Data!$I359=SottocategorieUscite[[#Headers],[Utenze]],Data!$I359=SottocategorieUscite[[#Headers],[Business Uscite]],Data!$I359=SottocategorieUscite[[#Headers],[Banca]]),"$ -","")</f>
        <v/>
      </c>
      <c r="M359" s="59" t="str">
        <f>IF(OR($I359&lt;&gt;SottocategorieUscite[[#Headers],[Fuori Casa]],$I359&lt;&gt;SottocategorieUscite[[#Headers],[Varie Uscite]],$I359&lt;&gt;SottocategorieUscite[[#Headers],[Personali]],$I359&lt;&gt;SottocategorieUscite[[#Headers],[Lavoro]],$I359&lt;&gt;SottocategorieUscite[[#Headers],[Casa]],$I359&lt;&gt;SottocategorieUscite[[#Headers],[Utenze]],$I359&lt;&gt;SottocategorieUscite[[#Headers],[Business Uscite]],$I359&lt;&gt;SottocategorieUscite[[#Headers],[Banca]]),"","$ -")</f>
        <v/>
      </c>
      <c r="N359" s="59" t="str">
        <f>IF(OR(Data!$I359=SottocategorieEntrate[[#Headers],[Business Entrate]],Data!$I359=SottocategorieEntrate[[#Headers],[Varie Entrate]]),"$ -","")</f>
        <v/>
      </c>
      <c r="O359" s="59" t="str">
        <f>IF(OR(Data!$I359=SottocategorieEntrate[[#Headers],[Real Estate]],SottocategorieEntrate[[#Headers],[Other]]),"$ -","")</f>
        <v/>
      </c>
      <c r="P359" s="59" t="str">
        <f>IF(OR($I359&lt;&gt;SottocategorieEntrate[[#Headers],[Business Entrate]],$I359&lt;&gt;SottocategorieEntrate[[#Headers],[Varie Entrate]],$I359&lt;&gt;SottocategorieEntrate[[#Headers],[Real Estate]],$I359&lt;&gt;SottocategorieEntrate[[#Headers],[Other]]),"","$ -")</f>
        <v/>
      </c>
      <c r="Q359" s="59" t="str">
        <f>IF(Dati[[#This Row],[Categoria]]="Prelievo","€ -","")</f>
        <v/>
      </c>
      <c r="R359" s="244"/>
      <c r="S359" s="59" t="str">
        <f>IF(Dati[[#This Row],[Categoria]]="Savings",0,"")</f>
        <v/>
      </c>
      <c r="T359" s="59"/>
      <c r="U359" s="59"/>
      <c r="V359" s="59"/>
      <c r="W359" s="59"/>
      <c r="X359" s="59"/>
      <c r="Y359" s="59"/>
      <c r="Z359" s="59"/>
      <c r="AA359" s="59"/>
      <c r="AB359" s="59"/>
      <c r="AC359" s="59"/>
      <c r="AD359" s="59"/>
      <c r="AE359" s="59"/>
      <c r="AF359" s="59"/>
      <c r="AG359" s="59"/>
      <c r="AH359" s="59"/>
      <c r="AI359" s="59" t="str">
        <f>IF(SUM(Dati[[#This Row],[Inv. Business]:[Inv. Cryptocurrency]])=0," ",SUM(Dati[[#This Row],[Inv. Business]:[Inv. Cryptocurrency]]))</f>
        <v xml:space="preserve"> </v>
      </c>
      <c r="AJ359" s="59"/>
      <c r="AK359" s="59" t="str">
        <f>IF(SUM(Dati[[#This Row],[Inv. Gold]:[Mutuo]])=0," ",SUM(Dati[[#This Row],[Inv. Gold]:[Mutuo]]))</f>
        <v xml:space="preserve"> </v>
      </c>
      <c r="AL359" s="59"/>
      <c r="AM359" s="59"/>
    </row>
    <row r="360" spans="2:39" ht="16" customHeight="1" x14ac:dyDescent="0.35">
      <c r="B360">
        <f t="shared" si="15"/>
        <v>340</v>
      </c>
      <c r="C360" s="49">
        <f t="shared" si="16"/>
        <v>45237</v>
      </c>
      <c r="D360" s="29">
        <f>DAY(Dati[[#This Row],[Data]])</f>
        <v>7</v>
      </c>
      <c r="E360" s="29" t="str">
        <f>IF(DAY(Data!$C$21:$C$1327)&gt;0,TEXT(Data!$C$21:$C$1327, "mmmm"),"")</f>
        <v>novembre</v>
      </c>
      <c r="F360" s="29" t="str">
        <f>IF(DAY(Data!$C$21:$C$1327)&gt;0,TEXT(Data!$C$21:$C$1327, "aaaa"),"")</f>
        <v>2023</v>
      </c>
      <c r="I360" t="str">
        <f>IF(OR(H360=$B$5,H360=$B$6,H360=$B$7,H360=$B$8,H360=$B$9,H360=$B$10,H360=$B$11,H360=$B$12,H360=$B$13,H360=$B$14),SottocategorieUscite[[#Headers],[Fuori Casa]],IF(OR(H360=$C$5,H360=$C$6,H360=$C$7,H360=$C$8,H360=$C$9,H360=$C$10,H360=$C$11,H360=$C$12,H360=$C$13,H360=$C$14),SottocategorieUscite[[#Headers],[Varie Uscite]],IF(OR(H360=$D$5,H360=$D$6,H360=$D$7,H360=$D$8,H360=$D$9,H360=$D$10,H360=$D$11,H360=$D$12,H360=$D$13,H360=$D$14),SottocategorieUscite[[#Headers],[Personali]],IF(OR(H360=$E$5,H360=$E$6,H360=$E$7,H360=$E$8,H360=$E$9,H360=$E$10,H360=$E$11,H360=$E$12,H360=$E$13,H360=$E$14),SottocategorieUscite[[#Headers],[Lavoro]],IF(OR(H360=$F$5,H360=$F$6,H360=$F$7,H360=$F$8,H360=$F$9,H360=$F$10,H360=$F$11,H360=$F$12,H360=$F$13,H360=$F$14),SottocategorieUscite[[#Headers],[Casa]],IF(OR(H360=$G$5,H360=$G$6,H360=$G$7,H360=$G$8,H360=$G$9,H360=$G$10,H360=$G$11,H360=$G$12,H360=$G$13,H360=$G$14),SottocategorieUscite[[#Headers],[Utenze]],IF(OR(H360=$H$5,H360=$H$6,H360=$H$7,H360=$H$8,H360=$H$9,H360=$H$10,H360=$H$11,H360=$H$12,H360=$H$13,H360=$H$14),SottocategorieUscite[[#Headers],[Business Uscite]],IF(OR(H360=$I$5,H360=$I$6,H360=$I$7,H360=$I$8,H360=$I$9,H360=$I$10,H360=$I$11,H360=$I$12,H360=$I$13,H360=$I$14),SottocategorieUscite[[#Headers],[Banca]],IF(OR(H360=K$5,H360=K$6,H360=K$7,H360=K$8,H360=K$9,H360=K$10,H360=K$11,H360=K$12,H360=K$13,H360=K$14),SottocategorieEntrate[[#Headers],[Business Entrate]],IF(OR(H360=L$5,H360=L$6,H360=L$7,H360=L$8,H360=L$9,H360=L$10,H360=L$11,H360=L$12,H360=L$13,H360=L$14),SottocategorieEntrate[[#Headers],[Varie Entrate]],IF(OR(H360=M$5,H360=M$6,H360=M$7,H360=M$8,H360=M$9,H360=M$10,H360=M$11,H360=M$12,H360=M$13,H360=M$14),SottocategorieEntrate[[#Headers],[Real Estate]],IF(OR(H360=N$5,H360=N$6,H360=N$7,H360=N$8,H360=N$9,H360=N$10,H360=N$11,H360=N$12,H360=N$13,H360=N$14),SottocategorieEntrate[[#Headers],[Other]],""))))))))))))</f>
        <v/>
      </c>
      <c r="J360" t="str">
        <f>IF(OR(Dati[[#This Row],[Categoria]]="Bollette",Dati[[#This Row],[Categoria]]="Conto &amp; Carte BNL",Dati[[#This Row],[Categoria]]="Prelievo",Dati[[#This Row],[Categoria]]="Affitto",Dati[[#This Row],[Categoria]]="BNL(Interessi Creditori)"),"Carta",IF(Dati[[#This Row],[Categoria]]&lt;&gt;0,"Cash",""))</f>
        <v/>
      </c>
      <c r="K360" s="59" t="str">
        <f>IF(OR(Data!$I360=SottocategorieUscite[[#Headers],[Fuori Casa]],Data!$I360=SottocategorieUscite[[#Headers],[Varie Uscite]],Data!$I360=SottocategorieUscite[[#Headers],[Personali]],Data!$I360=SottocategorieUscite[[#Headers],[Lavoro]]),"$ -","")</f>
        <v/>
      </c>
      <c r="L360" s="59" t="str">
        <f>IF(OR(Data!$I360=SottocategorieUscite[[#Headers],[Casa]],Data!$I360=SottocategorieUscite[[#Headers],[Utenze]],Data!$I360=SottocategorieUscite[[#Headers],[Business Uscite]],Data!$I360=SottocategorieUscite[[#Headers],[Banca]]),"$ -","")</f>
        <v/>
      </c>
      <c r="M360" s="59" t="str">
        <f>IF(OR($I360&lt;&gt;SottocategorieUscite[[#Headers],[Fuori Casa]],$I360&lt;&gt;SottocategorieUscite[[#Headers],[Varie Uscite]],$I360&lt;&gt;SottocategorieUscite[[#Headers],[Personali]],$I360&lt;&gt;SottocategorieUscite[[#Headers],[Lavoro]],$I360&lt;&gt;SottocategorieUscite[[#Headers],[Casa]],$I360&lt;&gt;SottocategorieUscite[[#Headers],[Utenze]],$I360&lt;&gt;SottocategorieUscite[[#Headers],[Business Uscite]],$I360&lt;&gt;SottocategorieUscite[[#Headers],[Banca]]),"","$ -")</f>
        <v/>
      </c>
      <c r="N360" s="59" t="str">
        <f>IF(OR(Data!$I360=SottocategorieEntrate[[#Headers],[Business Entrate]],Data!$I360=SottocategorieEntrate[[#Headers],[Varie Entrate]]),"$ -","")</f>
        <v/>
      </c>
      <c r="O360" s="59" t="str">
        <f>IF(OR(Data!$I360=SottocategorieEntrate[[#Headers],[Real Estate]],SottocategorieEntrate[[#Headers],[Other]]),"$ -","")</f>
        <v/>
      </c>
      <c r="P360" s="59" t="str">
        <f>IF(OR($I360&lt;&gt;SottocategorieEntrate[[#Headers],[Business Entrate]],$I360&lt;&gt;SottocategorieEntrate[[#Headers],[Varie Entrate]],$I360&lt;&gt;SottocategorieEntrate[[#Headers],[Real Estate]],$I360&lt;&gt;SottocategorieEntrate[[#Headers],[Other]]),"","$ -")</f>
        <v/>
      </c>
      <c r="Q360" s="59" t="str">
        <f>IF(Dati[[#This Row],[Categoria]]="Prelievo","€ -","")</f>
        <v/>
      </c>
      <c r="R360" s="244"/>
      <c r="S360" s="59" t="str">
        <f>IF(Dati[[#This Row],[Categoria]]="Savings",0,"")</f>
        <v/>
      </c>
      <c r="T360" s="59"/>
      <c r="U360" s="59"/>
      <c r="V360" s="59"/>
      <c r="W360" s="59"/>
      <c r="X360" s="59"/>
      <c r="Y360" s="59"/>
      <c r="Z360" s="59"/>
      <c r="AA360" s="59"/>
      <c r="AB360" s="59"/>
      <c r="AC360" s="59"/>
      <c r="AD360" s="59"/>
      <c r="AE360" s="59"/>
      <c r="AF360" s="59"/>
      <c r="AG360" s="59"/>
      <c r="AH360" s="59"/>
      <c r="AI360" s="59" t="str">
        <f>IF(SUM(Dati[[#This Row],[Inv. Business]:[Inv. Cryptocurrency]])=0," ",SUM(Dati[[#This Row],[Inv. Business]:[Inv. Cryptocurrency]]))</f>
        <v xml:space="preserve"> </v>
      </c>
      <c r="AJ360" s="59"/>
      <c r="AK360" s="59" t="str">
        <f>IF(SUM(Dati[[#This Row],[Inv. Gold]:[Mutuo]])=0," ",SUM(Dati[[#This Row],[Inv. Gold]:[Mutuo]]))</f>
        <v xml:space="preserve"> </v>
      </c>
      <c r="AL360" s="59"/>
      <c r="AM360" s="59"/>
    </row>
    <row r="361" spans="2:39" ht="16" customHeight="1" x14ac:dyDescent="0.35">
      <c r="B361">
        <f t="shared" si="15"/>
        <v>341</v>
      </c>
      <c r="C361" s="49">
        <f t="shared" si="16"/>
        <v>45238</v>
      </c>
      <c r="D361" s="29">
        <f>DAY(Dati[[#This Row],[Data]])</f>
        <v>8</v>
      </c>
      <c r="E361" s="29" t="str">
        <f>IF(DAY(Data!$C$21:$C$1327)&gt;0,TEXT(Data!$C$21:$C$1327, "mmmm"),"")</f>
        <v>novembre</v>
      </c>
      <c r="F361" s="29" t="str">
        <f>IF(DAY(Data!$C$21:$C$1327)&gt;0,TEXT(Data!$C$21:$C$1327, "aaaa"),"")</f>
        <v>2023</v>
      </c>
      <c r="I361" t="str">
        <f>IF(OR(H361=$B$5,H361=$B$6,H361=$B$7,H361=$B$8,H361=$B$9,H361=$B$10,H361=$B$11,H361=$B$12,H361=$B$13,H361=$B$14),SottocategorieUscite[[#Headers],[Fuori Casa]],IF(OR(H361=$C$5,H361=$C$6,H361=$C$7,H361=$C$8,H361=$C$9,H361=$C$10,H361=$C$11,H361=$C$12,H361=$C$13,H361=$C$14),SottocategorieUscite[[#Headers],[Varie Uscite]],IF(OR(H361=$D$5,H361=$D$6,H361=$D$7,H361=$D$8,H361=$D$9,H361=$D$10,H361=$D$11,H361=$D$12,H361=$D$13,H361=$D$14),SottocategorieUscite[[#Headers],[Personali]],IF(OR(H361=$E$5,H361=$E$6,H361=$E$7,H361=$E$8,H361=$E$9,H361=$E$10,H361=$E$11,H361=$E$12,H361=$E$13,H361=$E$14),SottocategorieUscite[[#Headers],[Lavoro]],IF(OR(H361=$F$5,H361=$F$6,H361=$F$7,H361=$F$8,H361=$F$9,H361=$F$10,H361=$F$11,H361=$F$12,H361=$F$13,H361=$F$14),SottocategorieUscite[[#Headers],[Casa]],IF(OR(H361=$G$5,H361=$G$6,H361=$G$7,H361=$G$8,H361=$G$9,H361=$G$10,H361=$G$11,H361=$G$12,H361=$G$13,H361=$G$14),SottocategorieUscite[[#Headers],[Utenze]],IF(OR(H361=$H$5,H361=$H$6,H361=$H$7,H361=$H$8,H361=$H$9,H361=$H$10,H361=$H$11,H361=$H$12,H361=$H$13,H361=$H$14),SottocategorieUscite[[#Headers],[Business Uscite]],IF(OR(H361=$I$5,H361=$I$6,H361=$I$7,H361=$I$8,H361=$I$9,H361=$I$10,H361=$I$11,H361=$I$12,H361=$I$13,H361=$I$14),SottocategorieUscite[[#Headers],[Banca]],IF(OR(H361=K$5,H361=K$6,H361=K$7,H361=K$8,H361=K$9,H361=K$10,H361=K$11,H361=K$12,H361=K$13,H361=K$14),SottocategorieEntrate[[#Headers],[Business Entrate]],IF(OR(H361=L$5,H361=L$6,H361=L$7,H361=L$8,H361=L$9,H361=L$10,H361=L$11,H361=L$12,H361=L$13,H361=L$14),SottocategorieEntrate[[#Headers],[Varie Entrate]],IF(OR(H361=M$5,H361=M$6,H361=M$7,H361=M$8,H361=M$9,H361=M$10,H361=M$11,H361=M$12,H361=M$13,H361=M$14),SottocategorieEntrate[[#Headers],[Real Estate]],IF(OR(H361=N$5,H361=N$6,H361=N$7,H361=N$8,H361=N$9,H361=N$10,H361=N$11,H361=N$12,H361=N$13,H361=N$14),SottocategorieEntrate[[#Headers],[Other]],""))))))))))))</f>
        <v/>
      </c>
      <c r="J361" t="str">
        <f>IF(OR(Dati[[#This Row],[Categoria]]="Bollette",Dati[[#This Row],[Categoria]]="Conto &amp; Carte BNL",Dati[[#This Row],[Categoria]]="Prelievo",Dati[[#This Row],[Categoria]]="Affitto",Dati[[#This Row],[Categoria]]="BNL(Interessi Creditori)"),"Carta",IF(Dati[[#This Row],[Categoria]]&lt;&gt;0,"Cash",""))</f>
        <v/>
      </c>
      <c r="K361" s="59" t="str">
        <f>IF(OR(Data!$I361=SottocategorieUscite[[#Headers],[Fuori Casa]],Data!$I361=SottocategorieUscite[[#Headers],[Varie Uscite]],Data!$I361=SottocategorieUscite[[#Headers],[Personali]],Data!$I361=SottocategorieUscite[[#Headers],[Lavoro]]),"$ -","")</f>
        <v/>
      </c>
      <c r="L361" s="59" t="str">
        <f>IF(OR(Data!$I361=SottocategorieUscite[[#Headers],[Casa]],Data!$I361=SottocategorieUscite[[#Headers],[Utenze]],Data!$I361=SottocategorieUscite[[#Headers],[Business Uscite]],Data!$I361=SottocategorieUscite[[#Headers],[Banca]]),"$ -","")</f>
        <v/>
      </c>
      <c r="M361" s="59" t="str">
        <f>IF(OR($I361&lt;&gt;SottocategorieUscite[[#Headers],[Fuori Casa]],$I361&lt;&gt;SottocategorieUscite[[#Headers],[Varie Uscite]],$I361&lt;&gt;SottocategorieUscite[[#Headers],[Personali]],$I361&lt;&gt;SottocategorieUscite[[#Headers],[Lavoro]],$I361&lt;&gt;SottocategorieUscite[[#Headers],[Casa]],$I361&lt;&gt;SottocategorieUscite[[#Headers],[Utenze]],$I361&lt;&gt;SottocategorieUscite[[#Headers],[Business Uscite]],$I361&lt;&gt;SottocategorieUscite[[#Headers],[Banca]]),"","$ -")</f>
        <v/>
      </c>
      <c r="N361" s="59" t="str">
        <f>IF(OR(Data!$I361=SottocategorieEntrate[[#Headers],[Business Entrate]],Data!$I361=SottocategorieEntrate[[#Headers],[Varie Entrate]]),"$ -","")</f>
        <v/>
      </c>
      <c r="O361" s="59" t="str">
        <f>IF(OR(Data!$I361=SottocategorieEntrate[[#Headers],[Real Estate]],SottocategorieEntrate[[#Headers],[Other]]),"$ -","")</f>
        <v/>
      </c>
      <c r="P361" s="59" t="str">
        <f>IF(OR($I361&lt;&gt;SottocategorieEntrate[[#Headers],[Business Entrate]],$I361&lt;&gt;SottocategorieEntrate[[#Headers],[Varie Entrate]],$I361&lt;&gt;SottocategorieEntrate[[#Headers],[Real Estate]],$I361&lt;&gt;SottocategorieEntrate[[#Headers],[Other]]),"","$ -")</f>
        <v/>
      </c>
      <c r="Q361" s="59" t="str">
        <f>IF(Dati[[#This Row],[Categoria]]="Prelievo","€ -","")</f>
        <v/>
      </c>
      <c r="R361" s="244"/>
      <c r="S361" s="59" t="str">
        <f>IF(Dati[[#This Row],[Categoria]]="Savings",0,"")</f>
        <v/>
      </c>
      <c r="T361" s="59"/>
      <c r="U361" s="59"/>
      <c r="V361" s="59"/>
      <c r="W361" s="59"/>
      <c r="X361" s="59"/>
      <c r="Y361" s="59"/>
      <c r="Z361" s="59"/>
      <c r="AA361" s="59"/>
      <c r="AB361" s="59"/>
      <c r="AC361" s="59"/>
      <c r="AD361" s="59"/>
      <c r="AE361" s="59"/>
      <c r="AF361" s="59"/>
      <c r="AG361" s="59"/>
      <c r="AH361" s="59"/>
      <c r="AI361" s="59" t="str">
        <f>IF(SUM(Dati[[#This Row],[Inv. Business]:[Inv. Cryptocurrency]])=0," ",SUM(Dati[[#This Row],[Inv. Business]:[Inv. Cryptocurrency]]))</f>
        <v xml:space="preserve"> </v>
      </c>
      <c r="AJ361" s="59"/>
      <c r="AK361" s="59" t="str">
        <f>IF(SUM(Dati[[#This Row],[Inv. Gold]:[Mutuo]])=0," ",SUM(Dati[[#This Row],[Inv. Gold]:[Mutuo]]))</f>
        <v xml:space="preserve"> </v>
      </c>
      <c r="AL361" s="59"/>
      <c r="AM361" s="59"/>
    </row>
    <row r="362" spans="2:39" ht="16" customHeight="1" x14ac:dyDescent="0.35">
      <c r="B362">
        <f t="shared" si="15"/>
        <v>342</v>
      </c>
      <c r="C362" s="49">
        <f t="shared" si="16"/>
        <v>45239</v>
      </c>
      <c r="D362" s="29">
        <f>DAY(Dati[[#This Row],[Data]])</f>
        <v>9</v>
      </c>
      <c r="E362" s="29" t="str">
        <f>IF(DAY(Data!$C$21:$C$1327)&gt;0,TEXT(Data!$C$21:$C$1327, "mmmm"),"")</f>
        <v>novembre</v>
      </c>
      <c r="F362" s="29" t="str">
        <f>IF(DAY(Data!$C$21:$C$1327)&gt;0,TEXT(Data!$C$21:$C$1327, "aaaa"),"")</f>
        <v>2023</v>
      </c>
      <c r="I362" t="str">
        <f>IF(OR(H362=$B$5,H362=$B$6,H362=$B$7,H362=$B$8,H362=$B$9,H362=$B$10,H362=$B$11,H362=$B$12,H362=$B$13,H362=$B$14),SottocategorieUscite[[#Headers],[Fuori Casa]],IF(OR(H362=$C$5,H362=$C$6,H362=$C$7,H362=$C$8,H362=$C$9,H362=$C$10,H362=$C$11,H362=$C$12,H362=$C$13,H362=$C$14),SottocategorieUscite[[#Headers],[Varie Uscite]],IF(OR(H362=$D$5,H362=$D$6,H362=$D$7,H362=$D$8,H362=$D$9,H362=$D$10,H362=$D$11,H362=$D$12,H362=$D$13,H362=$D$14),SottocategorieUscite[[#Headers],[Personali]],IF(OR(H362=$E$5,H362=$E$6,H362=$E$7,H362=$E$8,H362=$E$9,H362=$E$10,H362=$E$11,H362=$E$12,H362=$E$13,H362=$E$14),SottocategorieUscite[[#Headers],[Lavoro]],IF(OR(H362=$F$5,H362=$F$6,H362=$F$7,H362=$F$8,H362=$F$9,H362=$F$10,H362=$F$11,H362=$F$12,H362=$F$13,H362=$F$14),SottocategorieUscite[[#Headers],[Casa]],IF(OR(H362=$G$5,H362=$G$6,H362=$G$7,H362=$G$8,H362=$G$9,H362=$G$10,H362=$G$11,H362=$G$12,H362=$G$13,H362=$G$14),SottocategorieUscite[[#Headers],[Utenze]],IF(OR(H362=$H$5,H362=$H$6,H362=$H$7,H362=$H$8,H362=$H$9,H362=$H$10,H362=$H$11,H362=$H$12,H362=$H$13,H362=$H$14),SottocategorieUscite[[#Headers],[Business Uscite]],IF(OR(H362=$I$5,H362=$I$6,H362=$I$7,H362=$I$8,H362=$I$9,H362=$I$10,H362=$I$11,H362=$I$12,H362=$I$13,H362=$I$14),SottocategorieUscite[[#Headers],[Banca]],IF(OR(H362=K$5,H362=K$6,H362=K$7,H362=K$8,H362=K$9,H362=K$10,H362=K$11,H362=K$12,H362=K$13,H362=K$14),SottocategorieEntrate[[#Headers],[Business Entrate]],IF(OR(H362=L$5,H362=L$6,H362=L$7,H362=L$8,H362=L$9,H362=L$10,H362=L$11,H362=L$12,H362=L$13,H362=L$14),SottocategorieEntrate[[#Headers],[Varie Entrate]],IF(OR(H362=M$5,H362=M$6,H362=M$7,H362=M$8,H362=M$9,H362=M$10,H362=M$11,H362=M$12,H362=M$13,H362=M$14),SottocategorieEntrate[[#Headers],[Real Estate]],IF(OR(H362=N$5,H362=N$6,H362=N$7,H362=N$8,H362=N$9,H362=N$10,H362=N$11,H362=N$12,H362=N$13,H362=N$14),SottocategorieEntrate[[#Headers],[Other]],""))))))))))))</f>
        <v/>
      </c>
      <c r="J362" t="str">
        <f>IF(OR(Dati[[#This Row],[Categoria]]="Bollette",Dati[[#This Row],[Categoria]]="Conto &amp; Carte BNL",Dati[[#This Row],[Categoria]]="Prelievo",Dati[[#This Row],[Categoria]]="Affitto",Dati[[#This Row],[Categoria]]="BNL(Interessi Creditori)"),"Carta",IF(Dati[[#This Row],[Categoria]]&lt;&gt;0,"Cash",""))</f>
        <v/>
      </c>
      <c r="K362" s="59" t="str">
        <f>IF(OR(Data!$I362=SottocategorieUscite[[#Headers],[Fuori Casa]],Data!$I362=SottocategorieUscite[[#Headers],[Varie Uscite]],Data!$I362=SottocategorieUscite[[#Headers],[Personali]],Data!$I362=SottocategorieUscite[[#Headers],[Lavoro]]),"$ -","")</f>
        <v/>
      </c>
      <c r="L362" s="59" t="str">
        <f>IF(OR(Data!$I362=SottocategorieUscite[[#Headers],[Casa]],Data!$I362=SottocategorieUscite[[#Headers],[Utenze]],Data!$I362=SottocategorieUscite[[#Headers],[Business Uscite]],Data!$I362=SottocategorieUscite[[#Headers],[Banca]]),"$ -","")</f>
        <v/>
      </c>
      <c r="M362" s="59" t="str">
        <f>IF(OR($I362&lt;&gt;SottocategorieUscite[[#Headers],[Fuori Casa]],$I362&lt;&gt;SottocategorieUscite[[#Headers],[Varie Uscite]],$I362&lt;&gt;SottocategorieUscite[[#Headers],[Personali]],$I362&lt;&gt;SottocategorieUscite[[#Headers],[Lavoro]],$I362&lt;&gt;SottocategorieUscite[[#Headers],[Casa]],$I362&lt;&gt;SottocategorieUscite[[#Headers],[Utenze]],$I362&lt;&gt;SottocategorieUscite[[#Headers],[Business Uscite]],$I362&lt;&gt;SottocategorieUscite[[#Headers],[Banca]]),"","$ -")</f>
        <v/>
      </c>
      <c r="N362" s="59" t="str">
        <f>IF(OR(Data!$I362=SottocategorieEntrate[[#Headers],[Business Entrate]],Data!$I362=SottocategorieEntrate[[#Headers],[Varie Entrate]]),"$ -","")</f>
        <v/>
      </c>
      <c r="O362" s="59" t="str">
        <f>IF(OR(Data!$I362=SottocategorieEntrate[[#Headers],[Real Estate]],SottocategorieEntrate[[#Headers],[Other]]),"$ -","")</f>
        <v/>
      </c>
      <c r="P362" s="59" t="str">
        <f>IF(OR($I362&lt;&gt;SottocategorieEntrate[[#Headers],[Business Entrate]],$I362&lt;&gt;SottocategorieEntrate[[#Headers],[Varie Entrate]],$I362&lt;&gt;SottocategorieEntrate[[#Headers],[Real Estate]],$I362&lt;&gt;SottocategorieEntrate[[#Headers],[Other]]),"","$ -")</f>
        <v/>
      </c>
      <c r="Q362" s="59" t="str">
        <f>IF(Dati[[#This Row],[Categoria]]="Prelievo","€ -","")</f>
        <v/>
      </c>
      <c r="R362" s="244"/>
      <c r="S362" s="59" t="str">
        <f>IF(Dati[[#This Row],[Categoria]]="Savings",0,"")</f>
        <v/>
      </c>
      <c r="T362" s="59"/>
      <c r="U362" s="59"/>
      <c r="V362" s="59"/>
      <c r="W362" s="59"/>
      <c r="X362" s="59"/>
      <c r="Y362" s="59"/>
      <c r="Z362" s="59"/>
      <c r="AA362" s="59"/>
      <c r="AB362" s="59"/>
      <c r="AC362" s="59"/>
      <c r="AD362" s="59"/>
      <c r="AE362" s="59"/>
      <c r="AF362" s="59"/>
      <c r="AG362" s="59"/>
      <c r="AH362" s="59"/>
      <c r="AI362" s="59" t="str">
        <f>IF(SUM(Dati[[#This Row],[Inv. Business]:[Inv. Cryptocurrency]])=0," ",SUM(Dati[[#This Row],[Inv. Business]:[Inv. Cryptocurrency]]))</f>
        <v xml:space="preserve"> </v>
      </c>
      <c r="AJ362" s="59"/>
      <c r="AK362" s="59" t="str">
        <f>IF(SUM(Dati[[#This Row],[Inv. Gold]:[Mutuo]])=0," ",SUM(Dati[[#This Row],[Inv. Gold]:[Mutuo]]))</f>
        <v xml:space="preserve"> </v>
      </c>
      <c r="AL362" s="59"/>
      <c r="AM362" s="59"/>
    </row>
    <row r="363" spans="2:39" ht="16" customHeight="1" x14ac:dyDescent="0.35">
      <c r="B363">
        <f t="shared" si="15"/>
        <v>343</v>
      </c>
      <c r="C363" s="49">
        <f t="shared" si="16"/>
        <v>45240</v>
      </c>
      <c r="D363" s="29">
        <f>DAY(Dati[[#This Row],[Data]])</f>
        <v>10</v>
      </c>
      <c r="E363" s="29" t="str">
        <f>IF(DAY(Data!$C$21:$C$1327)&gt;0,TEXT(Data!$C$21:$C$1327, "mmmm"),"")</f>
        <v>novembre</v>
      </c>
      <c r="F363" s="29" t="str">
        <f>IF(DAY(Data!$C$21:$C$1327)&gt;0,TEXT(Data!$C$21:$C$1327, "aaaa"),"")</f>
        <v>2023</v>
      </c>
      <c r="I363" t="str">
        <f>IF(OR(H363=$B$5,H363=$B$6,H363=$B$7,H363=$B$8,H363=$B$9,H363=$B$10,H363=$B$11,H363=$B$12,H363=$B$13,H363=$B$14),SottocategorieUscite[[#Headers],[Fuori Casa]],IF(OR(H363=$C$5,H363=$C$6,H363=$C$7,H363=$C$8,H363=$C$9,H363=$C$10,H363=$C$11,H363=$C$12,H363=$C$13,H363=$C$14),SottocategorieUscite[[#Headers],[Varie Uscite]],IF(OR(H363=$D$5,H363=$D$6,H363=$D$7,H363=$D$8,H363=$D$9,H363=$D$10,H363=$D$11,H363=$D$12,H363=$D$13,H363=$D$14),SottocategorieUscite[[#Headers],[Personali]],IF(OR(H363=$E$5,H363=$E$6,H363=$E$7,H363=$E$8,H363=$E$9,H363=$E$10,H363=$E$11,H363=$E$12,H363=$E$13,H363=$E$14),SottocategorieUscite[[#Headers],[Lavoro]],IF(OR(H363=$F$5,H363=$F$6,H363=$F$7,H363=$F$8,H363=$F$9,H363=$F$10,H363=$F$11,H363=$F$12,H363=$F$13,H363=$F$14),SottocategorieUscite[[#Headers],[Casa]],IF(OR(H363=$G$5,H363=$G$6,H363=$G$7,H363=$G$8,H363=$G$9,H363=$G$10,H363=$G$11,H363=$G$12,H363=$G$13,H363=$G$14),SottocategorieUscite[[#Headers],[Utenze]],IF(OR(H363=$H$5,H363=$H$6,H363=$H$7,H363=$H$8,H363=$H$9,H363=$H$10,H363=$H$11,H363=$H$12,H363=$H$13,H363=$H$14),SottocategorieUscite[[#Headers],[Business Uscite]],IF(OR(H363=$I$5,H363=$I$6,H363=$I$7,H363=$I$8,H363=$I$9,H363=$I$10,H363=$I$11,H363=$I$12,H363=$I$13,H363=$I$14),SottocategorieUscite[[#Headers],[Banca]],IF(OR(H363=K$5,H363=K$6,H363=K$7,H363=K$8,H363=K$9,H363=K$10,H363=K$11,H363=K$12,H363=K$13,H363=K$14),SottocategorieEntrate[[#Headers],[Business Entrate]],IF(OR(H363=L$5,H363=L$6,H363=L$7,H363=L$8,H363=L$9,H363=L$10,H363=L$11,H363=L$12,H363=L$13,H363=L$14),SottocategorieEntrate[[#Headers],[Varie Entrate]],IF(OR(H363=M$5,H363=M$6,H363=M$7,H363=M$8,H363=M$9,H363=M$10,H363=M$11,H363=M$12,H363=M$13,H363=M$14),SottocategorieEntrate[[#Headers],[Real Estate]],IF(OR(H363=N$5,H363=N$6,H363=N$7,H363=N$8,H363=N$9,H363=N$10,H363=N$11,H363=N$12,H363=N$13,H363=N$14),SottocategorieEntrate[[#Headers],[Other]],""))))))))))))</f>
        <v/>
      </c>
      <c r="J363" t="str">
        <f>IF(OR(Dati[[#This Row],[Categoria]]="Bollette",Dati[[#This Row],[Categoria]]="Conto &amp; Carte BNL",Dati[[#This Row],[Categoria]]="Prelievo",Dati[[#This Row],[Categoria]]="Affitto",Dati[[#This Row],[Categoria]]="BNL(Interessi Creditori)"),"Carta",IF(Dati[[#This Row],[Categoria]]&lt;&gt;0,"Cash",""))</f>
        <v/>
      </c>
      <c r="K363" s="59" t="str">
        <f>IF(OR(Data!$I363=SottocategorieUscite[[#Headers],[Fuori Casa]],Data!$I363=SottocategorieUscite[[#Headers],[Varie Uscite]],Data!$I363=SottocategorieUscite[[#Headers],[Personali]],Data!$I363=SottocategorieUscite[[#Headers],[Lavoro]]),"$ -","")</f>
        <v/>
      </c>
      <c r="L363" s="59" t="str">
        <f>IF(OR(Data!$I363=SottocategorieUscite[[#Headers],[Casa]],Data!$I363=SottocategorieUscite[[#Headers],[Utenze]],Data!$I363=SottocategorieUscite[[#Headers],[Business Uscite]],Data!$I363=SottocategorieUscite[[#Headers],[Banca]]),"$ -","")</f>
        <v/>
      </c>
      <c r="M363" s="59" t="str">
        <f>IF(OR($I363&lt;&gt;SottocategorieUscite[[#Headers],[Fuori Casa]],$I363&lt;&gt;SottocategorieUscite[[#Headers],[Varie Uscite]],$I363&lt;&gt;SottocategorieUscite[[#Headers],[Personali]],$I363&lt;&gt;SottocategorieUscite[[#Headers],[Lavoro]],$I363&lt;&gt;SottocategorieUscite[[#Headers],[Casa]],$I363&lt;&gt;SottocategorieUscite[[#Headers],[Utenze]],$I363&lt;&gt;SottocategorieUscite[[#Headers],[Business Uscite]],$I363&lt;&gt;SottocategorieUscite[[#Headers],[Banca]]),"","$ -")</f>
        <v/>
      </c>
      <c r="N363" s="59" t="str">
        <f>IF(OR(Data!$I363=SottocategorieEntrate[[#Headers],[Business Entrate]],Data!$I363=SottocategorieEntrate[[#Headers],[Varie Entrate]]),"$ -","")</f>
        <v/>
      </c>
      <c r="O363" s="59" t="str">
        <f>IF(OR(Data!$I363=SottocategorieEntrate[[#Headers],[Real Estate]],SottocategorieEntrate[[#Headers],[Other]]),"$ -","")</f>
        <v/>
      </c>
      <c r="P363" s="59" t="str">
        <f>IF(OR($I363&lt;&gt;SottocategorieEntrate[[#Headers],[Business Entrate]],$I363&lt;&gt;SottocategorieEntrate[[#Headers],[Varie Entrate]],$I363&lt;&gt;SottocategorieEntrate[[#Headers],[Real Estate]],$I363&lt;&gt;SottocategorieEntrate[[#Headers],[Other]]),"","$ -")</f>
        <v/>
      </c>
      <c r="Q363" s="59" t="str">
        <f>IF(Dati[[#This Row],[Categoria]]="Prelievo","€ -","")</f>
        <v/>
      </c>
      <c r="R363" s="244"/>
      <c r="S363" s="59" t="str">
        <f>IF(Dati[[#This Row],[Categoria]]="Savings",0,"")</f>
        <v/>
      </c>
      <c r="T363" s="59"/>
      <c r="U363" s="59"/>
      <c r="V363" s="59"/>
      <c r="W363" s="59"/>
      <c r="X363" s="59"/>
      <c r="Y363" s="59"/>
      <c r="Z363" s="59"/>
      <c r="AA363" s="59"/>
      <c r="AB363" s="59"/>
      <c r="AC363" s="59"/>
      <c r="AD363" s="59"/>
      <c r="AE363" s="59"/>
      <c r="AF363" s="59"/>
      <c r="AG363" s="59"/>
      <c r="AH363" s="59"/>
      <c r="AI363" s="59" t="str">
        <f>IF(SUM(Dati[[#This Row],[Inv. Business]:[Inv. Cryptocurrency]])=0," ",SUM(Dati[[#This Row],[Inv. Business]:[Inv. Cryptocurrency]]))</f>
        <v xml:space="preserve"> </v>
      </c>
      <c r="AJ363" s="59"/>
      <c r="AK363" s="59" t="str">
        <f>IF(SUM(Dati[[#This Row],[Inv. Gold]:[Mutuo]])=0," ",SUM(Dati[[#This Row],[Inv. Gold]:[Mutuo]]))</f>
        <v xml:space="preserve"> </v>
      </c>
      <c r="AL363" s="59"/>
      <c r="AM363" s="59"/>
    </row>
    <row r="364" spans="2:39" ht="16" customHeight="1" x14ac:dyDescent="0.35">
      <c r="B364">
        <f t="shared" si="15"/>
        <v>344</v>
      </c>
      <c r="C364" s="49">
        <f t="shared" si="16"/>
        <v>45241</v>
      </c>
      <c r="D364" s="29">
        <f>DAY(Dati[[#This Row],[Data]])</f>
        <v>11</v>
      </c>
      <c r="E364" s="29" t="str">
        <f>IF(DAY(Data!$C$21:$C$1327)&gt;0,TEXT(Data!$C$21:$C$1327, "mmmm"),"")</f>
        <v>novembre</v>
      </c>
      <c r="F364" s="29" t="str">
        <f>IF(DAY(Data!$C$21:$C$1327)&gt;0,TEXT(Data!$C$21:$C$1327, "aaaa"),"")</f>
        <v>2023</v>
      </c>
      <c r="I364" t="str">
        <f>IF(OR(H364=$B$5,H364=$B$6,H364=$B$7,H364=$B$8,H364=$B$9,H364=$B$10,H364=$B$11,H364=$B$12,H364=$B$13,H364=$B$14),SottocategorieUscite[[#Headers],[Fuori Casa]],IF(OR(H364=$C$5,H364=$C$6,H364=$C$7,H364=$C$8,H364=$C$9,H364=$C$10,H364=$C$11,H364=$C$12,H364=$C$13,H364=$C$14),SottocategorieUscite[[#Headers],[Varie Uscite]],IF(OR(H364=$D$5,H364=$D$6,H364=$D$7,H364=$D$8,H364=$D$9,H364=$D$10,H364=$D$11,H364=$D$12,H364=$D$13,H364=$D$14),SottocategorieUscite[[#Headers],[Personali]],IF(OR(H364=$E$5,H364=$E$6,H364=$E$7,H364=$E$8,H364=$E$9,H364=$E$10,H364=$E$11,H364=$E$12,H364=$E$13,H364=$E$14),SottocategorieUscite[[#Headers],[Lavoro]],IF(OR(H364=$F$5,H364=$F$6,H364=$F$7,H364=$F$8,H364=$F$9,H364=$F$10,H364=$F$11,H364=$F$12,H364=$F$13,H364=$F$14),SottocategorieUscite[[#Headers],[Casa]],IF(OR(H364=$G$5,H364=$G$6,H364=$G$7,H364=$G$8,H364=$G$9,H364=$G$10,H364=$G$11,H364=$G$12,H364=$G$13,H364=$G$14),SottocategorieUscite[[#Headers],[Utenze]],IF(OR(H364=$H$5,H364=$H$6,H364=$H$7,H364=$H$8,H364=$H$9,H364=$H$10,H364=$H$11,H364=$H$12,H364=$H$13,H364=$H$14),SottocategorieUscite[[#Headers],[Business Uscite]],IF(OR(H364=$I$5,H364=$I$6,H364=$I$7,H364=$I$8,H364=$I$9,H364=$I$10,H364=$I$11,H364=$I$12,H364=$I$13,H364=$I$14),SottocategorieUscite[[#Headers],[Banca]],IF(OR(H364=K$5,H364=K$6,H364=K$7,H364=K$8,H364=K$9,H364=K$10,H364=K$11,H364=K$12,H364=K$13,H364=K$14),SottocategorieEntrate[[#Headers],[Business Entrate]],IF(OR(H364=L$5,H364=L$6,H364=L$7,H364=L$8,H364=L$9,H364=L$10,H364=L$11,H364=L$12,H364=L$13,H364=L$14),SottocategorieEntrate[[#Headers],[Varie Entrate]],IF(OR(H364=M$5,H364=M$6,H364=M$7,H364=M$8,H364=M$9,H364=M$10,H364=M$11,H364=M$12,H364=M$13,H364=M$14),SottocategorieEntrate[[#Headers],[Real Estate]],IF(OR(H364=N$5,H364=N$6,H364=N$7,H364=N$8,H364=N$9,H364=N$10,H364=N$11,H364=N$12,H364=N$13,H364=N$14),SottocategorieEntrate[[#Headers],[Other]],""))))))))))))</f>
        <v/>
      </c>
      <c r="J364" t="str">
        <f>IF(OR(Dati[[#This Row],[Categoria]]="Bollette",Dati[[#This Row],[Categoria]]="Conto &amp; Carte BNL",Dati[[#This Row],[Categoria]]="Prelievo",Dati[[#This Row],[Categoria]]="Affitto",Dati[[#This Row],[Categoria]]="BNL(Interessi Creditori)"),"Carta",IF(Dati[[#This Row],[Categoria]]&lt;&gt;0,"Cash",""))</f>
        <v/>
      </c>
      <c r="K364" s="59" t="str">
        <f>IF(OR(Data!$I364=SottocategorieUscite[[#Headers],[Fuori Casa]],Data!$I364=SottocategorieUscite[[#Headers],[Varie Uscite]],Data!$I364=SottocategorieUscite[[#Headers],[Personali]],Data!$I364=SottocategorieUscite[[#Headers],[Lavoro]]),"$ -","")</f>
        <v/>
      </c>
      <c r="L364" s="59" t="str">
        <f>IF(OR(Data!$I364=SottocategorieUscite[[#Headers],[Casa]],Data!$I364=SottocategorieUscite[[#Headers],[Utenze]],Data!$I364=SottocategorieUscite[[#Headers],[Business Uscite]],Data!$I364=SottocategorieUscite[[#Headers],[Banca]]),"$ -","")</f>
        <v/>
      </c>
      <c r="M364" s="59" t="str">
        <f>IF(OR($I364&lt;&gt;SottocategorieUscite[[#Headers],[Fuori Casa]],$I364&lt;&gt;SottocategorieUscite[[#Headers],[Varie Uscite]],$I364&lt;&gt;SottocategorieUscite[[#Headers],[Personali]],$I364&lt;&gt;SottocategorieUscite[[#Headers],[Lavoro]],$I364&lt;&gt;SottocategorieUscite[[#Headers],[Casa]],$I364&lt;&gt;SottocategorieUscite[[#Headers],[Utenze]],$I364&lt;&gt;SottocategorieUscite[[#Headers],[Business Uscite]],$I364&lt;&gt;SottocategorieUscite[[#Headers],[Banca]]),"","$ -")</f>
        <v/>
      </c>
      <c r="N364" s="59" t="str">
        <f>IF(OR(Data!$I364=SottocategorieEntrate[[#Headers],[Business Entrate]],Data!$I364=SottocategorieEntrate[[#Headers],[Varie Entrate]]),"$ -","")</f>
        <v/>
      </c>
      <c r="O364" s="59" t="str">
        <f>IF(OR(Data!$I364=SottocategorieEntrate[[#Headers],[Real Estate]],SottocategorieEntrate[[#Headers],[Other]]),"$ -","")</f>
        <v/>
      </c>
      <c r="P364" s="59" t="str">
        <f>IF(OR($I364&lt;&gt;SottocategorieEntrate[[#Headers],[Business Entrate]],$I364&lt;&gt;SottocategorieEntrate[[#Headers],[Varie Entrate]],$I364&lt;&gt;SottocategorieEntrate[[#Headers],[Real Estate]],$I364&lt;&gt;SottocategorieEntrate[[#Headers],[Other]]),"","$ -")</f>
        <v/>
      </c>
      <c r="Q364" s="59" t="str">
        <f>IF(Dati[[#This Row],[Categoria]]="Prelievo","€ -","")</f>
        <v/>
      </c>
      <c r="R364" s="244"/>
      <c r="S364" s="59" t="str">
        <f>IF(Dati[[#This Row],[Categoria]]="Savings",0,"")</f>
        <v/>
      </c>
      <c r="T364" s="59"/>
      <c r="U364" s="59"/>
      <c r="V364" s="59"/>
      <c r="W364" s="59"/>
      <c r="X364" s="59"/>
      <c r="Y364" s="59"/>
      <c r="Z364" s="59"/>
      <c r="AA364" s="59"/>
      <c r="AB364" s="59"/>
      <c r="AC364" s="59"/>
      <c r="AD364" s="59"/>
      <c r="AE364" s="59"/>
      <c r="AF364" s="59"/>
      <c r="AG364" s="59"/>
      <c r="AH364" s="59"/>
      <c r="AI364" s="59" t="str">
        <f>IF(SUM(Dati[[#This Row],[Inv. Business]:[Inv. Cryptocurrency]])=0," ",SUM(Dati[[#This Row],[Inv. Business]:[Inv. Cryptocurrency]]))</f>
        <v xml:space="preserve"> </v>
      </c>
      <c r="AJ364" s="59"/>
      <c r="AK364" s="59" t="str">
        <f>IF(SUM(Dati[[#This Row],[Inv. Gold]:[Mutuo]])=0," ",SUM(Dati[[#This Row],[Inv. Gold]:[Mutuo]]))</f>
        <v xml:space="preserve"> </v>
      </c>
      <c r="AL364" s="59"/>
      <c r="AM364" s="59"/>
    </row>
    <row r="365" spans="2:39" ht="16" customHeight="1" x14ac:dyDescent="0.35">
      <c r="B365">
        <f t="shared" si="15"/>
        <v>345</v>
      </c>
      <c r="C365" s="49">
        <v>45241</v>
      </c>
      <c r="D365" s="29">
        <f>DAY(Dati[[#This Row],[Data]])</f>
        <v>11</v>
      </c>
      <c r="E365" s="29" t="str">
        <f>IF(DAY(Data!$C$21:$C$1327)&gt;0,TEXT(Data!$C$21:$C$1327, "mmmm"),"")</f>
        <v>novembre</v>
      </c>
      <c r="F365" s="29" t="str">
        <f>IF(DAY(Data!$C$21:$C$1327)&gt;0,TEXT(Data!$C$21:$C$1327, "aaaa"),"")</f>
        <v>2023</v>
      </c>
      <c r="I365" t="str">
        <f>IF(OR(H365=$B$5,H365=$B$6,H365=$B$7,H365=$B$8,H365=$B$9,H365=$B$10,H365=$B$11,H365=$B$12,H365=$B$13,H365=$B$14),SottocategorieUscite[[#Headers],[Fuori Casa]],IF(OR(H365=$C$5,H365=$C$6,H365=$C$7,H365=$C$8,H365=$C$9,H365=$C$10,H365=$C$11,H365=$C$12,H365=$C$13,H365=$C$14),SottocategorieUscite[[#Headers],[Varie Uscite]],IF(OR(H365=$D$5,H365=$D$6,H365=$D$7,H365=$D$8,H365=$D$9,H365=$D$10,H365=$D$11,H365=$D$12,H365=$D$13,H365=$D$14),SottocategorieUscite[[#Headers],[Personali]],IF(OR(H365=$E$5,H365=$E$6,H365=$E$7,H365=$E$8,H365=$E$9,H365=$E$10,H365=$E$11,H365=$E$12,H365=$E$13,H365=$E$14),SottocategorieUscite[[#Headers],[Lavoro]],IF(OR(H365=$F$5,H365=$F$6,H365=$F$7,H365=$F$8,H365=$F$9,H365=$F$10,H365=$F$11,H365=$F$12,H365=$F$13,H365=$F$14),SottocategorieUscite[[#Headers],[Casa]],IF(OR(H365=$G$5,H365=$G$6,H365=$G$7,H365=$G$8,H365=$G$9,H365=$G$10,H365=$G$11,H365=$G$12,H365=$G$13,H365=$G$14),SottocategorieUscite[[#Headers],[Utenze]],IF(OR(H365=$H$5,H365=$H$6,H365=$H$7,H365=$H$8,H365=$H$9,H365=$H$10,H365=$H$11,H365=$H$12,H365=$H$13,H365=$H$14),SottocategorieUscite[[#Headers],[Business Uscite]],IF(OR(H365=$I$5,H365=$I$6,H365=$I$7,H365=$I$8,H365=$I$9,H365=$I$10,H365=$I$11,H365=$I$12,H365=$I$13,H365=$I$14),SottocategorieUscite[[#Headers],[Banca]],IF(OR(H365=K$5,H365=K$6,H365=K$7,H365=K$8,H365=K$9,H365=K$10,H365=K$11,H365=K$12,H365=K$13,H365=K$14),SottocategorieEntrate[[#Headers],[Business Entrate]],IF(OR(H365=L$5,H365=L$6,H365=L$7,H365=L$8,H365=L$9,H365=L$10,H365=L$11,H365=L$12,H365=L$13,H365=L$14),SottocategorieEntrate[[#Headers],[Varie Entrate]],IF(OR(H365=M$5,H365=M$6,H365=M$7,H365=M$8,H365=M$9,H365=M$10,H365=M$11,H365=M$12,H365=M$13,H365=M$14),SottocategorieEntrate[[#Headers],[Real Estate]],IF(OR(H365=N$5,H365=N$6,H365=N$7,H365=N$8,H365=N$9,H365=N$10,H365=N$11,H365=N$12,H365=N$13,H365=N$14),SottocategorieEntrate[[#Headers],[Other]],""))))))))))))</f>
        <v/>
      </c>
      <c r="J365" t="str">
        <f>IF(OR(Dati[[#This Row],[Categoria]]="Bollette",Dati[[#This Row],[Categoria]]="Conto &amp; Carte BNL",Dati[[#This Row],[Categoria]]="Prelievo",Dati[[#This Row],[Categoria]]="Affitto",Dati[[#This Row],[Categoria]]="BNL(Interessi Creditori)"),"Carta",IF(Dati[[#This Row],[Categoria]]&lt;&gt;0,"Cash",""))</f>
        <v/>
      </c>
      <c r="K365" s="59" t="str">
        <f>IF(OR(Data!$I365=SottocategorieUscite[[#Headers],[Fuori Casa]],Data!$I365=SottocategorieUscite[[#Headers],[Varie Uscite]],Data!$I365=SottocategorieUscite[[#Headers],[Personali]],Data!$I365=SottocategorieUscite[[#Headers],[Lavoro]]),"$ -","")</f>
        <v/>
      </c>
      <c r="L365" s="59" t="str">
        <f>IF(OR(Data!$I365=SottocategorieUscite[[#Headers],[Casa]],Data!$I365=SottocategorieUscite[[#Headers],[Utenze]],Data!$I365=SottocategorieUscite[[#Headers],[Business Uscite]],Data!$I365=SottocategorieUscite[[#Headers],[Banca]]),"$ -","")</f>
        <v/>
      </c>
      <c r="M365" s="59" t="str">
        <f>IF(OR($I365&lt;&gt;SottocategorieUscite[[#Headers],[Fuori Casa]],$I365&lt;&gt;SottocategorieUscite[[#Headers],[Varie Uscite]],$I365&lt;&gt;SottocategorieUscite[[#Headers],[Personali]],$I365&lt;&gt;SottocategorieUscite[[#Headers],[Lavoro]],$I365&lt;&gt;SottocategorieUscite[[#Headers],[Casa]],$I365&lt;&gt;SottocategorieUscite[[#Headers],[Utenze]],$I365&lt;&gt;SottocategorieUscite[[#Headers],[Business Uscite]],$I365&lt;&gt;SottocategorieUscite[[#Headers],[Banca]]),"","$ -")</f>
        <v/>
      </c>
      <c r="N365" s="59" t="str">
        <f>IF(OR(Data!$I365=SottocategorieEntrate[[#Headers],[Business Entrate]],Data!$I365=SottocategorieEntrate[[#Headers],[Varie Entrate]]),"$ -","")</f>
        <v/>
      </c>
      <c r="O365" s="59" t="str">
        <f>IF(OR(Data!$I365=SottocategorieEntrate[[#Headers],[Real Estate]],SottocategorieEntrate[[#Headers],[Other]]),"$ -","")</f>
        <v/>
      </c>
      <c r="P365" s="59" t="str">
        <f>IF(OR($I365&lt;&gt;SottocategorieEntrate[[#Headers],[Business Entrate]],$I365&lt;&gt;SottocategorieEntrate[[#Headers],[Varie Entrate]],$I365&lt;&gt;SottocategorieEntrate[[#Headers],[Real Estate]],$I365&lt;&gt;SottocategorieEntrate[[#Headers],[Other]]),"","$ -")</f>
        <v/>
      </c>
      <c r="Q365" s="59" t="str">
        <f>IF(Dati[[#This Row],[Categoria]]="Prelievo","€ -","")</f>
        <v/>
      </c>
      <c r="R365" s="244"/>
      <c r="S365" s="59" t="str">
        <f>IF(Dati[[#This Row],[Categoria]]="Savings",0,"")</f>
        <v/>
      </c>
      <c r="T365" s="59"/>
      <c r="U365" s="59"/>
      <c r="V365" s="59"/>
      <c r="W365" s="59"/>
      <c r="X365" s="59"/>
      <c r="Y365" s="59"/>
      <c r="Z365" s="59"/>
      <c r="AA365" s="59"/>
      <c r="AB365" s="59"/>
      <c r="AC365" s="59"/>
      <c r="AD365" s="59"/>
      <c r="AE365" s="59"/>
      <c r="AF365" s="59"/>
      <c r="AG365" s="59"/>
      <c r="AH365" s="59"/>
      <c r="AI365" s="59" t="str">
        <f>IF(SUM(Dati[[#This Row],[Inv. Business]:[Inv. Cryptocurrency]])=0," ",SUM(Dati[[#This Row],[Inv. Business]:[Inv. Cryptocurrency]]))</f>
        <v xml:space="preserve"> </v>
      </c>
      <c r="AJ365" s="59"/>
      <c r="AK365" s="59" t="str">
        <f>IF(SUM(Dati[[#This Row],[Inv. Gold]:[Mutuo]])=0," ",SUM(Dati[[#This Row],[Inv. Gold]:[Mutuo]]))</f>
        <v xml:space="preserve"> </v>
      </c>
      <c r="AL365" s="59"/>
      <c r="AM365" s="59"/>
    </row>
    <row r="366" spans="2:39" ht="16" customHeight="1" x14ac:dyDescent="0.35">
      <c r="B366">
        <f t="shared" si="15"/>
        <v>346</v>
      </c>
      <c r="C366" s="49">
        <v>45241</v>
      </c>
      <c r="D366" s="29">
        <f>DAY(Dati[[#This Row],[Data]])</f>
        <v>11</v>
      </c>
      <c r="E366" s="29" t="str">
        <f>IF(DAY(Data!$C$21:$C$1327)&gt;0,TEXT(Data!$C$21:$C$1327, "mmmm"),"")</f>
        <v>novembre</v>
      </c>
      <c r="F366" s="29" t="str">
        <f>IF(DAY(Data!$C$21:$C$1327)&gt;0,TEXT(Data!$C$21:$C$1327, "aaaa"),"")</f>
        <v>2023</v>
      </c>
      <c r="I366" t="str">
        <f>IF(OR(H366=$B$5,H366=$B$6,H366=$B$7,H366=$B$8,H366=$B$9,H366=$B$10,H366=$B$11,H366=$B$12,H366=$B$13,H366=$B$14),SottocategorieUscite[[#Headers],[Fuori Casa]],IF(OR(H366=$C$5,H366=$C$6,H366=$C$7,H366=$C$8,H366=$C$9,H366=$C$10,H366=$C$11,H366=$C$12,H366=$C$13,H366=$C$14),SottocategorieUscite[[#Headers],[Varie Uscite]],IF(OR(H366=$D$5,H366=$D$6,H366=$D$7,H366=$D$8,H366=$D$9,H366=$D$10,H366=$D$11,H366=$D$12,H366=$D$13,H366=$D$14),SottocategorieUscite[[#Headers],[Personali]],IF(OR(H366=$E$5,H366=$E$6,H366=$E$7,H366=$E$8,H366=$E$9,H366=$E$10,H366=$E$11,H366=$E$12,H366=$E$13,H366=$E$14),SottocategorieUscite[[#Headers],[Lavoro]],IF(OR(H366=$F$5,H366=$F$6,H366=$F$7,H366=$F$8,H366=$F$9,H366=$F$10,H366=$F$11,H366=$F$12,H366=$F$13,H366=$F$14),SottocategorieUscite[[#Headers],[Casa]],IF(OR(H366=$G$5,H366=$G$6,H366=$G$7,H366=$G$8,H366=$G$9,H366=$G$10,H366=$G$11,H366=$G$12,H366=$G$13,H366=$G$14),SottocategorieUscite[[#Headers],[Utenze]],IF(OR(H366=$H$5,H366=$H$6,H366=$H$7,H366=$H$8,H366=$H$9,H366=$H$10,H366=$H$11,H366=$H$12,H366=$H$13,H366=$H$14),SottocategorieUscite[[#Headers],[Business Uscite]],IF(OR(H366=$I$5,H366=$I$6,H366=$I$7,H366=$I$8,H366=$I$9,H366=$I$10,H366=$I$11,H366=$I$12,H366=$I$13,H366=$I$14),SottocategorieUscite[[#Headers],[Banca]],IF(OR(H366=K$5,H366=K$6,H366=K$7,H366=K$8,H366=K$9,H366=K$10,H366=K$11,H366=K$12,H366=K$13,H366=K$14),SottocategorieEntrate[[#Headers],[Business Entrate]],IF(OR(H366=L$5,H366=L$6,H366=L$7,H366=L$8,H366=L$9,H366=L$10,H366=L$11,H366=L$12,H366=L$13,H366=L$14),SottocategorieEntrate[[#Headers],[Varie Entrate]],IF(OR(H366=M$5,H366=M$6,H366=M$7,H366=M$8,H366=M$9,H366=M$10,H366=M$11,H366=M$12,H366=M$13,H366=M$14),SottocategorieEntrate[[#Headers],[Real Estate]],IF(OR(H366=N$5,H366=N$6,H366=N$7,H366=N$8,H366=N$9,H366=N$10,H366=N$11,H366=N$12,H366=N$13,H366=N$14),SottocategorieEntrate[[#Headers],[Other]],""))))))))))))</f>
        <v/>
      </c>
      <c r="J366" t="str">
        <f>IF(OR(Dati[[#This Row],[Categoria]]="Bollette",Dati[[#This Row],[Categoria]]="Conto &amp; Carte BNL",Dati[[#This Row],[Categoria]]="Prelievo",Dati[[#This Row],[Categoria]]="Affitto",Dati[[#This Row],[Categoria]]="BNL(Interessi Creditori)"),"Carta",IF(Dati[[#This Row],[Categoria]]&lt;&gt;0,"Cash",""))</f>
        <v/>
      </c>
      <c r="K366" s="59" t="str">
        <f>IF(OR(Data!$I366=SottocategorieUscite[[#Headers],[Fuori Casa]],Data!$I366=SottocategorieUscite[[#Headers],[Varie Uscite]],Data!$I366=SottocategorieUscite[[#Headers],[Personali]],Data!$I366=SottocategorieUscite[[#Headers],[Lavoro]]),"$ -","")</f>
        <v/>
      </c>
      <c r="L366" s="59" t="str">
        <f>IF(OR(Data!$I366=SottocategorieUscite[[#Headers],[Casa]],Data!$I366=SottocategorieUscite[[#Headers],[Utenze]],Data!$I366=SottocategorieUscite[[#Headers],[Business Uscite]],Data!$I366=SottocategorieUscite[[#Headers],[Banca]]),"$ -","")</f>
        <v/>
      </c>
      <c r="M366" s="59" t="str">
        <f>IF(OR($I366&lt;&gt;SottocategorieUscite[[#Headers],[Fuori Casa]],$I366&lt;&gt;SottocategorieUscite[[#Headers],[Varie Uscite]],$I366&lt;&gt;SottocategorieUscite[[#Headers],[Personali]],$I366&lt;&gt;SottocategorieUscite[[#Headers],[Lavoro]],$I366&lt;&gt;SottocategorieUscite[[#Headers],[Casa]],$I366&lt;&gt;SottocategorieUscite[[#Headers],[Utenze]],$I366&lt;&gt;SottocategorieUscite[[#Headers],[Business Uscite]],$I366&lt;&gt;SottocategorieUscite[[#Headers],[Banca]]),"","$ -")</f>
        <v/>
      </c>
      <c r="N366" s="59" t="str">
        <f>IF(OR(Data!$I366=SottocategorieEntrate[[#Headers],[Business Entrate]],Data!$I366=SottocategorieEntrate[[#Headers],[Varie Entrate]]),"$ -","")</f>
        <v/>
      </c>
      <c r="O366" s="59" t="str">
        <f>IF(OR(Data!$I366=SottocategorieEntrate[[#Headers],[Real Estate]],SottocategorieEntrate[[#Headers],[Other]]),"$ -","")</f>
        <v/>
      </c>
      <c r="P366" s="59" t="str">
        <f>IF(OR($I366&lt;&gt;SottocategorieEntrate[[#Headers],[Business Entrate]],$I366&lt;&gt;SottocategorieEntrate[[#Headers],[Varie Entrate]],$I366&lt;&gt;SottocategorieEntrate[[#Headers],[Real Estate]],$I366&lt;&gt;SottocategorieEntrate[[#Headers],[Other]]),"","$ -")</f>
        <v/>
      </c>
      <c r="Q366" s="59" t="str">
        <f>IF(Dati[[#This Row],[Categoria]]="Prelievo","€ -","")</f>
        <v/>
      </c>
      <c r="R366" s="244"/>
      <c r="S366" s="59" t="str">
        <f>IF(Dati[[#This Row],[Categoria]]="Savings",0,"")</f>
        <v/>
      </c>
      <c r="T366" s="59"/>
      <c r="U366" s="59"/>
      <c r="V366" s="59"/>
      <c r="W366" s="59"/>
      <c r="X366" s="59"/>
      <c r="Y366" s="59"/>
      <c r="Z366" s="59"/>
      <c r="AA366" s="59"/>
      <c r="AB366" s="59"/>
      <c r="AC366" s="59"/>
      <c r="AD366" s="59"/>
      <c r="AE366" s="59"/>
      <c r="AF366" s="59"/>
      <c r="AG366" s="59"/>
      <c r="AH366" s="59"/>
      <c r="AI366" s="59" t="str">
        <f>IF(SUM(Dati[[#This Row],[Inv. Business]:[Inv. Cryptocurrency]])=0," ",SUM(Dati[[#This Row],[Inv. Business]:[Inv. Cryptocurrency]]))</f>
        <v xml:space="preserve"> </v>
      </c>
      <c r="AJ366" s="59"/>
      <c r="AK366" s="59" t="str">
        <f>IF(SUM(Dati[[#This Row],[Inv. Gold]:[Mutuo]])=0," ",SUM(Dati[[#This Row],[Inv. Gold]:[Mutuo]]))</f>
        <v xml:space="preserve"> </v>
      </c>
      <c r="AL366" s="59"/>
      <c r="AM366" s="59"/>
    </row>
    <row r="367" spans="2:39" ht="16" customHeight="1" x14ac:dyDescent="0.35">
      <c r="B367">
        <f t="shared" si="15"/>
        <v>347</v>
      </c>
      <c r="C367" s="49">
        <v>45241</v>
      </c>
      <c r="D367" s="29">
        <f>DAY(Dati[[#This Row],[Data]])</f>
        <v>11</v>
      </c>
      <c r="E367" s="29" t="str">
        <f>IF(DAY(Data!$C$21:$C$1327)&gt;0,TEXT(Data!$C$21:$C$1327, "mmmm"),"")</f>
        <v>novembre</v>
      </c>
      <c r="F367" s="29" t="str">
        <f>IF(DAY(Data!$C$21:$C$1327)&gt;0,TEXT(Data!$C$21:$C$1327, "aaaa"),"")</f>
        <v>2023</v>
      </c>
      <c r="I367" t="str">
        <f>IF(OR(H367=$B$5,H367=$B$6,H367=$B$7,H367=$B$8,H367=$B$9,H367=$B$10,H367=$B$11,H367=$B$12,H367=$B$13,H367=$B$14),SottocategorieUscite[[#Headers],[Fuori Casa]],IF(OR(H367=$C$5,H367=$C$6,H367=$C$7,H367=$C$8,H367=$C$9,H367=$C$10,H367=$C$11,H367=$C$12,H367=$C$13,H367=$C$14),SottocategorieUscite[[#Headers],[Varie Uscite]],IF(OR(H367=$D$5,H367=$D$6,H367=$D$7,H367=$D$8,H367=$D$9,H367=$D$10,H367=$D$11,H367=$D$12,H367=$D$13,H367=$D$14),SottocategorieUscite[[#Headers],[Personali]],IF(OR(H367=$E$5,H367=$E$6,H367=$E$7,H367=$E$8,H367=$E$9,H367=$E$10,H367=$E$11,H367=$E$12,H367=$E$13,H367=$E$14),SottocategorieUscite[[#Headers],[Lavoro]],IF(OR(H367=$F$5,H367=$F$6,H367=$F$7,H367=$F$8,H367=$F$9,H367=$F$10,H367=$F$11,H367=$F$12,H367=$F$13,H367=$F$14),SottocategorieUscite[[#Headers],[Casa]],IF(OR(H367=$G$5,H367=$G$6,H367=$G$7,H367=$G$8,H367=$G$9,H367=$G$10,H367=$G$11,H367=$G$12,H367=$G$13,H367=$G$14),SottocategorieUscite[[#Headers],[Utenze]],IF(OR(H367=$H$5,H367=$H$6,H367=$H$7,H367=$H$8,H367=$H$9,H367=$H$10,H367=$H$11,H367=$H$12,H367=$H$13,H367=$H$14),SottocategorieUscite[[#Headers],[Business Uscite]],IF(OR(H367=$I$5,H367=$I$6,H367=$I$7,H367=$I$8,H367=$I$9,H367=$I$10,H367=$I$11,H367=$I$12,H367=$I$13,H367=$I$14),SottocategorieUscite[[#Headers],[Banca]],IF(OR(H367=K$5,H367=K$6,H367=K$7,H367=K$8,H367=K$9,H367=K$10,H367=K$11,H367=K$12,H367=K$13,H367=K$14),SottocategorieEntrate[[#Headers],[Business Entrate]],IF(OR(H367=L$5,H367=L$6,H367=L$7,H367=L$8,H367=L$9,H367=L$10,H367=L$11,H367=L$12,H367=L$13,H367=L$14),SottocategorieEntrate[[#Headers],[Varie Entrate]],IF(OR(H367=M$5,H367=M$6,H367=M$7,H367=M$8,H367=M$9,H367=M$10,H367=M$11,H367=M$12,H367=M$13,H367=M$14),SottocategorieEntrate[[#Headers],[Real Estate]],IF(OR(H367=N$5,H367=N$6,H367=N$7,H367=N$8,H367=N$9,H367=N$10,H367=N$11,H367=N$12,H367=N$13,H367=N$14),SottocategorieEntrate[[#Headers],[Other]],""))))))))))))</f>
        <v/>
      </c>
      <c r="J367" t="str">
        <f>IF(OR(Dati[[#This Row],[Categoria]]="Bollette",Dati[[#This Row],[Categoria]]="Conto &amp; Carte BNL",Dati[[#This Row],[Categoria]]="Prelievo",Dati[[#This Row],[Categoria]]="Affitto",Dati[[#This Row],[Categoria]]="BNL(Interessi Creditori)"),"Carta",IF(Dati[[#This Row],[Categoria]]&lt;&gt;0,"Cash",""))</f>
        <v/>
      </c>
      <c r="K367" s="59" t="str">
        <f>IF(OR(Data!$I367=SottocategorieUscite[[#Headers],[Fuori Casa]],Data!$I367=SottocategorieUscite[[#Headers],[Varie Uscite]],Data!$I367=SottocategorieUscite[[#Headers],[Personali]],Data!$I367=SottocategorieUscite[[#Headers],[Lavoro]]),"$ -","")</f>
        <v/>
      </c>
      <c r="L367" s="59" t="str">
        <f>IF(OR(Data!$I367=SottocategorieUscite[[#Headers],[Casa]],Data!$I367=SottocategorieUscite[[#Headers],[Utenze]],Data!$I367=SottocategorieUscite[[#Headers],[Business Uscite]],Data!$I367=SottocategorieUscite[[#Headers],[Banca]]),"$ -","")</f>
        <v/>
      </c>
      <c r="M367" s="59" t="str">
        <f>IF(OR($I367&lt;&gt;SottocategorieUscite[[#Headers],[Fuori Casa]],$I367&lt;&gt;SottocategorieUscite[[#Headers],[Varie Uscite]],$I367&lt;&gt;SottocategorieUscite[[#Headers],[Personali]],$I367&lt;&gt;SottocategorieUscite[[#Headers],[Lavoro]],$I367&lt;&gt;SottocategorieUscite[[#Headers],[Casa]],$I367&lt;&gt;SottocategorieUscite[[#Headers],[Utenze]],$I367&lt;&gt;SottocategorieUscite[[#Headers],[Business Uscite]],$I367&lt;&gt;SottocategorieUscite[[#Headers],[Banca]]),"","$ -")</f>
        <v/>
      </c>
      <c r="N367" s="59" t="str">
        <f>IF(OR(Data!$I367=SottocategorieEntrate[[#Headers],[Business Entrate]],Data!$I367=SottocategorieEntrate[[#Headers],[Varie Entrate]]),"$ -","")</f>
        <v/>
      </c>
      <c r="O367" s="59" t="str">
        <f>IF(OR(Data!$I367=SottocategorieEntrate[[#Headers],[Real Estate]],SottocategorieEntrate[[#Headers],[Other]]),"$ -","")</f>
        <v/>
      </c>
      <c r="P367" s="59" t="str">
        <f>IF(OR($I367&lt;&gt;SottocategorieEntrate[[#Headers],[Business Entrate]],$I367&lt;&gt;SottocategorieEntrate[[#Headers],[Varie Entrate]],$I367&lt;&gt;SottocategorieEntrate[[#Headers],[Real Estate]],$I367&lt;&gt;SottocategorieEntrate[[#Headers],[Other]]),"","$ -")</f>
        <v/>
      </c>
      <c r="Q367" s="59" t="str">
        <f>IF(Dati[[#This Row],[Categoria]]="Prelievo","€ -","")</f>
        <v/>
      </c>
      <c r="R367" s="244"/>
      <c r="S367" s="59" t="str">
        <f>IF(Dati[[#This Row],[Categoria]]="Savings",0,"")</f>
        <v/>
      </c>
      <c r="T367" s="59"/>
      <c r="U367" s="59"/>
      <c r="V367" s="59"/>
      <c r="W367" s="59"/>
      <c r="X367" s="59"/>
      <c r="Y367" s="59"/>
      <c r="Z367" s="59"/>
      <c r="AA367" s="59"/>
      <c r="AB367" s="59"/>
      <c r="AC367" s="59"/>
      <c r="AD367" s="59"/>
      <c r="AE367" s="59"/>
      <c r="AF367" s="59"/>
      <c r="AG367" s="59"/>
      <c r="AH367" s="59"/>
      <c r="AI367" s="59" t="str">
        <f>IF(SUM(Dati[[#This Row],[Inv. Business]:[Inv. Cryptocurrency]])=0," ",SUM(Dati[[#This Row],[Inv. Business]:[Inv. Cryptocurrency]]))</f>
        <v xml:space="preserve"> </v>
      </c>
      <c r="AJ367" s="59"/>
      <c r="AK367" s="59" t="str">
        <f>IF(SUM(Dati[[#This Row],[Inv. Gold]:[Mutuo]])=0," ",SUM(Dati[[#This Row],[Inv. Gold]:[Mutuo]]))</f>
        <v xml:space="preserve"> </v>
      </c>
      <c r="AL367" s="59"/>
      <c r="AM367" s="59"/>
    </row>
    <row r="368" spans="2:39" ht="16" customHeight="1" x14ac:dyDescent="0.35">
      <c r="B368">
        <f t="shared" si="15"/>
        <v>348</v>
      </c>
      <c r="C368" s="49">
        <v>45241</v>
      </c>
      <c r="D368" s="29">
        <f>DAY(Dati[[#This Row],[Data]])</f>
        <v>11</v>
      </c>
      <c r="E368" s="29" t="str">
        <f>IF(DAY(Data!$C$21:$C$1327)&gt;0,TEXT(Data!$C$21:$C$1327, "mmmm"),"")</f>
        <v>novembre</v>
      </c>
      <c r="F368" s="29" t="str">
        <f>IF(DAY(Data!$C$21:$C$1327)&gt;0,TEXT(Data!$C$21:$C$1327, "aaaa"),"")</f>
        <v>2023</v>
      </c>
      <c r="I368" t="str">
        <f>IF(OR(H368=$B$5,H368=$B$6,H368=$B$7,H368=$B$8,H368=$B$9,H368=$B$10,H368=$B$11,H368=$B$12,H368=$B$13,H368=$B$14),SottocategorieUscite[[#Headers],[Fuori Casa]],IF(OR(H368=$C$5,H368=$C$6,H368=$C$7,H368=$C$8,H368=$C$9,H368=$C$10,H368=$C$11,H368=$C$12,H368=$C$13,H368=$C$14),SottocategorieUscite[[#Headers],[Varie Uscite]],IF(OR(H368=$D$5,H368=$D$6,H368=$D$7,H368=$D$8,H368=$D$9,H368=$D$10,H368=$D$11,H368=$D$12,H368=$D$13,H368=$D$14),SottocategorieUscite[[#Headers],[Personali]],IF(OR(H368=$E$5,H368=$E$6,H368=$E$7,H368=$E$8,H368=$E$9,H368=$E$10,H368=$E$11,H368=$E$12,H368=$E$13,H368=$E$14),SottocategorieUscite[[#Headers],[Lavoro]],IF(OR(H368=$F$5,H368=$F$6,H368=$F$7,H368=$F$8,H368=$F$9,H368=$F$10,H368=$F$11,H368=$F$12,H368=$F$13,H368=$F$14),SottocategorieUscite[[#Headers],[Casa]],IF(OR(H368=$G$5,H368=$G$6,H368=$G$7,H368=$G$8,H368=$G$9,H368=$G$10,H368=$G$11,H368=$G$12,H368=$G$13,H368=$G$14),SottocategorieUscite[[#Headers],[Utenze]],IF(OR(H368=$H$5,H368=$H$6,H368=$H$7,H368=$H$8,H368=$H$9,H368=$H$10,H368=$H$11,H368=$H$12,H368=$H$13,H368=$H$14),SottocategorieUscite[[#Headers],[Business Uscite]],IF(OR(H368=$I$5,H368=$I$6,H368=$I$7,H368=$I$8,H368=$I$9,H368=$I$10,H368=$I$11,H368=$I$12,H368=$I$13,H368=$I$14),SottocategorieUscite[[#Headers],[Banca]],IF(OR(H368=K$5,H368=K$6,H368=K$7,H368=K$8,H368=K$9,H368=K$10,H368=K$11,H368=K$12,H368=K$13,H368=K$14),SottocategorieEntrate[[#Headers],[Business Entrate]],IF(OR(H368=L$5,H368=L$6,H368=L$7,H368=L$8,H368=L$9,H368=L$10,H368=L$11,H368=L$12,H368=L$13,H368=L$14),SottocategorieEntrate[[#Headers],[Varie Entrate]],IF(OR(H368=M$5,H368=M$6,H368=M$7,H368=M$8,H368=M$9,H368=M$10,H368=M$11,H368=M$12,H368=M$13,H368=M$14),SottocategorieEntrate[[#Headers],[Real Estate]],IF(OR(H368=N$5,H368=N$6,H368=N$7,H368=N$8,H368=N$9,H368=N$10,H368=N$11,H368=N$12,H368=N$13,H368=N$14),SottocategorieEntrate[[#Headers],[Other]],""))))))))))))</f>
        <v/>
      </c>
      <c r="J368" t="str">
        <f>IF(OR(Dati[[#This Row],[Categoria]]="Bollette",Dati[[#This Row],[Categoria]]="Conto &amp; Carte BNL",Dati[[#This Row],[Categoria]]="Prelievo",Dati[[#This Row],[Categoria]]="Affitto",Dati[[#This Row],[Categoria]]="BNL(Interessi Creditori)"),"Carta",IF(Dati[[#This Row],[Categoria]]&lt;&gt;0,"Cash",""))</f>
        <v/>
      </c>
      <c r="K368" s="59" t="str">
        <f>IF(OR(Data!$I368=SottocategorieUscite[[#Headers],[Fuori Casa]],Data!$I368=SottocategorieUscite[[#Headers],[Varie Uscite]],Data!$I368=SottocategorieUscite[[#Headers],[Personali]],Data!$I368=SottocategorieUscite[[#Headers],[Lavoro]]),"$ -","")</f>
        <v/>
      </c>
      <c r="L368" s="59" t="str">
        <f>IF(OR(Data!$I368=SottocategorieUscite[[#Headers],[Casa]],Data!$I368=SottocategorieUscite[[#Headers],[Utenze]],Data!$I368=SottocategorieUscite[[#Headers],[Business Uscite]],Data!$I368=SottocategorieUscite[[#Headers],[Banca]]),"$ -","")</f>
        <v/>
      </c>
      <c r="M368" s="59" t="str">
        <f>IF(OR($I368&lt;&gt;SottocategorieUscite[[#Headers],[Fuori Casa]],$I368&lt;&gt;SottocategorieUscite[[#Headers],[Varie Uscite]],$I368&lt;&gt;SottocategorieUscite[[#Headers],[Personali]],$I368&lt;&gt;SottocategorieUscite[[#Headers],[Lavoro]],$I368&lt;&gt;SottocategorieUscite[[#Headers],[Casa]],$I368&lt;&gt;SottocategorieUscite[[#Headers],[Utenze]],$I368&lt;&gt;SottocategorieUscite[[#Headers],[Business Uscite]],$I368&lt;&gt;SottocategorieUscite[[#Headers],[Banca]]),"","$ -")</f>
        <v/>
      </c>
      <c r="N368" s="59" t="str">
        <f>IF(OR(Data!$I368=SottocategorieEntrate[[#Headers],[Business Entrate]],Data!$I368=SottocategorieEntrate[[#Headers],[Varie Entrate]]),"$ -","")</f>
        <v/>
      </c>
      <c r="O368" s="59" t="str">
        <f>IF(OR(Data!$I368=SottocategorieEntrate[[#Headers],[Real Estate]],SottocategorieEntrate[[#Headers],[Other]]),"$ -","")</f>
        <v/>
      </c>
      <c r="P368" s="59" t="str">
        <f>IF(OR($I368&lt;&gt;SottocategorieEntrate[[#Headers],[Business Entrate]],$I368&lt;&gt;SottocategorieEntrate[[#Headers],[Varie Entrate]],$I368&lt;&gt;SottocategorieEntrate[[#Headers],[Real Estate]],$I368&lt;&gt;SottocategorieEntrate[[#Headers],[Other]]),"","$ -")</f>
        <v/>
      </c>
      <c r="Q368" s="59" t="str">
        <f>IF(Dati[[#This Row],[Categoria]]="Prelievo","€ -","")</f>
        <v/>
      </c>
      <c r="R368" s="244"/>
      <c r="S368" s="59" t="str">
        <f>IF(Dati[[#This Row],[Categoria]]="Savings",0,"")</f>
        <v/>
      </c>
      <c r="T368" s="59"/>
      <c r="U368" s="59"/>
      <c r="V368" s="59"/>
      <c r="W368" s="59"/>
      <c r="X368" s="59"/>
      <c r="Y368" s="59"/>
      <c r="Z368" s="59"/>
      <c r="AA368" s="59"/>
      <c r="AB368" s="59"/>
      <c r="AC368" s="59"/>
      <c r="AD368" s="59"/>
      <c r="AE368" s="59"/>
      <c r="AF368" s="59"/>
      <c r="AG368" s="59"/>
      <c r="AH368" s="59"/>
      <c r="AI368" s="59" t="str">
        <f>IF(SUM(Dati[[#This Row],[Inv. Business]:[Inv. Cryptocurrency]])=0," ",SUM(Dati[[#This Row],[Inv. Business]:[Inv. Cryptocurrency]]))</f>
        <v xml:space="preserve"> </v>
      </c>
      <c r="AJ368" s="59"/>
      <c r="AK368" s="59" t="str">
        <f>IF(SUM(Dati[[#This Row],[Inv. Gold]:[Mutuo]])=0," ",SUM(Dati[[#This Row],[Inv. Gold]:[Mutuo]]))</f>
        <v xml:space="preserve"> </v>
      </c>
      <c r="AL368" s="59"/>
      <c r="AM368" s="59"/>
    </row>
    <row r="369" spans="2:39" ht="16" customHeight="1" x14ac:dyDescent="0.35">
      <c r="B369">
        <f t="shared" si="15"/>
        <v>349</v>
      </c>
      <c r="C369" s="49">
        <f>C364+1</f>
        <v>45242</v>
      </c>
      <c r="D369" s="29">
        <f>DAY(Dati[[#This Row],[Data]])</f>
        <v>12</v>
      </c>
      <c r="E369" s="29" t="str">
        <f>IF(DAY(Data!$C$21:$C$1327)&gt;0,TEXT(Data!$C$21:$C$1327, "mmmm"),"")</f>
        <v>novembre</v>
      </c>
      <c r="F369" s="29" t="str">
        <f>IF(DAY(Data!$C$21:$C$1327)&gt;0,TEXT(Data!$C$21:$C$1327, "aaaa"),"")</f>
        <v>2023</v>
      </c>
      <c r="I369" t="str">
        <f>IF(OR(H369=$B$5,H369=$B$6,H369=$B$7,H369=$B$8,H369=$B$9,H369=$B$10,H369=$B$11,H369=$B$12,H369=$B$13,H369=$B$14),SottocategorieUscite[[#Headers],[Fuori Casa]],IF(OR(H369=$C$5,H369=$C$6,H369=$C$7,H369=$C$8,H369=$C$9,H369=$C$10,H369=$C$11,H369=$C$12,H369=$C$13,H369=$C$14),SottocategorieUscite[[#Headers],[Varie Uscite]],IF(OR(H369=$D$5,H369=$D$6,H369=$D$7,H369=$D$8,H369=$D$9,H369=$D$10,H369=$D$11,H369=$D$12,H369=$D$13,H369=$D$14),SottocategorieUscite[[#Headers],[Personali]],IF(OR(H369=$E$5,H369=$E$6,H369=$E$7,H369=$E$8,H369=$E$9,H369=$E$10,H369=$E$11,H369=$E$12,H369=$E$13,H369=$E$14),SottocategorieUscite[[#Headers],[Lavoro]],IF(OR(H369=$F$5,H369=$F$6,H369=$F$7,H369=$F$8,H369=$F$9,H369=$F$10,H369=$F$11,H369=$F$12,H369=$F$13,H369=$F$14),SottocategorieUscite[[#Headers],[Casa]],IF(OR(H369=$G$5,H369=$G$6,H369=$G$7,H369=$G$8,H369=$G$9,H369=$G$10,H369=$G$11,H369=$G$12,H369=$G$13,H369=$G$14),SottocategorieUscite[[#Headers],[Utenze]],IF(OR(H369=$H$5,H369=$H$6,H369=$H$7,H369=$H$8,H369=$H$9,H369=$H$10,H369=$H$11,H369=$H$12,H369=$H$13,H369=$H$14),SottocategorieUscite[[#Headers],[Business Uscite]],IF(OR(H369=$I$5,H369=$I$6,H369=$I$7,H369=$I$8,H369=$I$9,H369=$I$10,H369=$I$11,H369=$I$12,H369=$I$13,H369=$I$14),SottocategorieUscite[[#Headers],[Banca]],IF(OR(H369=K$5,H369=K$6,H369=K$7,H369=K$8,H369=K$9,H369=K$10,H369=K$11,H369=K$12,H369=K$13,H369=K$14),SottocategorieEntrate[[#Headers],[Business Entrate]],IF(OR(H369=L$5,H369=L$6,H369=L$7,H369=L$8,H369=L$9,H369=L$10,H369=L$11,H369=L$12,H369=L$13,H369=L$14),SottocategorieEntrate[[#Headers],[Varie Entrate]],IF(OR(H369=M$5,H369=M$6,H369=M$7,H369=M$8,H369=M$9,H369=M$10,H369=M$11,H369=M$12,H369=M$13,H369=M$14),SottocategorieEntrate[[#Headers],[Real Estate]],IF(OR(H369=N$5,H369=N$6,H369=N$7,H369=N$8,H369=N$9,H369=N$10,H369=N$11,H369=N$12,H369=N$13,H369=N$14),SottocategorieEntrate[[#Headers],[Other]],""))))))))))))</f>
        <v/>
      </c>
      <c r="J369" t="str">
        <f>IF(OR(Dati[[#This Row],[Categoria]]="Bollette",Dati[[#This Row],[Categoria]]="Conto &amp; Carte BNL",Dati[[#This Row],[Categoria]]="Prelievo",Dati[[#This Row],[Categoria]]="Affitto",Dati[[#This Row],[Categoria]]="BNL(Interessi Creditori)"),"Carta",IF(Dati[[#This Row],[Categoria]]&lt;&gt;0,"Cash",""))</f>
        <v/>
      </c>
      <c r="K369" s="59" t="str">
        <f>IF(OR(Data!$I369=SottocategorieUscite[[#Headers],[Fuori Casa]],Data!$I369=SottocategorieUscite[[#Headers],[Varie Uscite]],Data!$I369=SottocategorieUscite[[#Headers],[Personali]],Data!$I369=SottocategorieUscite[[#Headers],[Lavoro]]),"$ -","")</f>
        <v/>
      </c>
      <c r="L369" s="59" t="str">
        <f>IF(OR(Data!$I369=SottocategorieUscite[[#Headers],[Casa]],Data!$I369=SottocategorieUscite[[#Headers],[Utenze]],Data!$I369=SottocategorieUscite[[#Headers],[Business Uscite]],Data!$I369=SottocategorieUscite[[#Headers],[Banca]]),"$ -","")</f>
        <v/>
      </c>
      <c r="M369" s="59" t="str">
        <f>IF(OR($I369&lt;&gt;SottocategorieUscite[[#Headers],[Fuori Casa]],$I369&lt;&gt;SottocategorieUscite[[#Headers],[Varie Uscite]],$I369&lt;&gt;SottocategorieUscite[[#Headers],[Personali]],$I369&lt;&gt;SottocategorieUscite[[#Headers],[Lavoro]],$I369&lt;&gt;SottocategorieUscite[[#Headers],[Casa]],$I369&lt;&gt;SottocategorieUscite[[#Headers],[Utenze]],$I369&lt;&gt;SottocategorieUscite[[#Headers],[Business Uscite]],$I369&lt;&gt;SottocategorieUscite[[#Headers],[Banca]]),"","$ -")</f>
        <v/>
      </c>
      <c r="N369" s="59" t="str">
        <f>IF(OR(Data!$I369=SottocategorieEntrate[[#Headers],[Business Entrate]],Data!$I369=SottocategorieEntrate[[#Headers],[Varie Entrate]]),"$ -","")</f>
        <v/>
      </c>
      <c r="O369" s="59" t="str">
        <f>IF(OR(Data!$I369=SottocategorieEntrate[[#Headers],[Real Estate]],SottocategorieEntrate[[#Headers],[Other]]),"$ -","")</f>
        <v/>
      </c>
      <c r="P369" s="59" t="str">
        <f>IF(OR($I369&lt;&gt;SottocategorieEntrate[[#Headers],[Business Entrate]],$I369&lt;&gt;SottocategorieEntrate[[#Headers],[Varie Entrate]],$I369&lt;&gt;SottocategorieEntrate[[#Headers],[Real Estate]],$I369&lt;&gt;SottocategorieEntrate[[#Headers],[Other]]),"","$ -")</f>
        <v/>
      </c>
      <c r="Q369" s="59" t="str">
        <f>IF(Dati[[#This Row],[Categoria]]="Prelievo","€ -","")</f>
        <v/>
      </c>
      <c r="R369" s="244"/>
      <c r="S369" s="59" t="str">
        <f>IF(Dati[[#This Row],[Categoria]]="Savings",0,"")</f>
        <v/>
      </c>
      <c r="T369" s="59"/>
      <c r="U369" s="59"/>
      <c r="V369" s="59"/>
      <c r="W369" s="59"/>
      <c r="X369" s="59"/>
      <c r="Y369" s="59"/>
      <c r="Z369" s="59"/>
      <c r="AA369" s="59"/>
      <c r="AB369" s="59"/>
      <c r="AC369" s="59"/>
      <c r="AD369" s="59"/>
      <c r="AE369" s="59"/>
      <c r="AF369" s="59"/>
      <c r="AG369" s="59"/>
      <c r="AH369" s="59"/>
      <c r="AI369" s="59" t="str">
        <f>IF(SUM(Dati[[#This Row],[Inv. Business]:[Inv. Cryptocurrency]])=0," ",SUM(Dati[[#This Row],[Inv. Business]:[Inv. Cryptocurrency]]))</f>
        <v xml:space="preserve"> </v>
      </c>
      <c r="AJ369" s="59"/>
      <c r="AK369" s="59" t="str">
        <f>IF(SUM(Dati[[#This Row],[Inv. Gold]:[Mutuo]])=0," ",SUM(Dati[[#This Row],[Inv. Gold]:[Mutuo]]))</f>
        <v xml:space="preserve"> </v>
      </c>
      <c r="AL369" s="59"/>
      <c r="AM369" s="59"/>
    </row>
    <row r="370" spans="2:39" ht="16" customHeight="1" x14ac:dyDescent="0.35">
      <c r="B370">
        <f t="shared" si="15"/>
        <v>350</v>
      </c>
      <c r="C370" s="49">
        <v>45242</v>
      </c>
      <c r="D370" s="29">
        <f>DAY(Dati[[#This Row],[Data]])</f>
        <v>12</v>
      </c>
      <c r="E370" s="29" t="str">
        <f>IF(DAY(Data!$C$21:$C$1327)&gt;0,TEXT(Data!$C$21:$C$1327, "mmmm"),"")</f>
        <v>novembre</v>
      </c>
      <c r="F370" s="29" t="str">
        <f>IF(DAY(Data!$C$21:$C$1327)&gt;0,TEXT(Data!$C$21:$C$1327, "aaaa"),"")</f>
        <v>2023</v>
      </c>
      <c r="I370" t="str">
        <f>IF(OR(H370=$B$5,H370=$B$6,H370=$B$7,H370=$B$8,H370=$B$9,H370=$B$10,H370=$B$11,H370=$B$12,H370=$B$13,H370=$B$14),SottocategorieUscite[[#Headers],[Fuori Casa]],IF(OR(H370=$C$5,H370=$C$6,H370=$C$7,H370=$C$8,H370=$C$9,H370=$C$10,H370=$C$11,H370=$C$12,H370=$C$13,H370=$C$14),SottocategorieUscite[[#Headers],[Varie Uscite]],IF(OR(H370=$D$5,H370=$D$6,H370=$D$7,H370=$D$8,H370=$D$9,H370=$D$10,H370=$D$11,H370=$D$12,H370=$D$13,H370=$D$14),SottocategorieUscite[[#Headers],[Personali]],IF(OR(H370=$E$5,H370=$E$6,H370=$E$7,H370=$E$8,H370=$E$9,H370=$E$10,H370=$E$11,H370=$E$12,H370=$E$13,H370=$E$14),SottocategorieUscite[[#Headers],[Lavoro]],IF(OR(H370=$F$5,H370=$F$6,H370=$F$7,H370=$F$8,H370=$F$9,H370=$F$10,H370=$F$11,H370=$F$12,H370=$F$13,H370=$F$14),SottocategorieUscite[[#Headers],[Casa]],IF(OR(H370=$G$5,H370=$G$6,H370=$G$7,H370=$G$8,H370=$G$9,H370=$G$10,H370=$G$11,H370=$G$12,H370=$G$13,H370=$G$14),SottocategorieUscite[[#Headers],[Utenze]],IF(OR(H370=$H$5,H370=$H$6,H370=$H$7,H370=$H$8,H370=$H$9,H370=$H$10,H370=$H$11,H370=$H$12,H370=$H$13,H370=$H$14),SottocategorieUscite[[#Headers],[Business Uscite]],IF(OR(H370=$I$5,H370=$I$6,H370=$I$7,H370=$I$8,H370=$I$9,H370=$I$10,H370=$I$11,H370=$I$12,H370=$I$13,H370=$I$14),SottocategorieUscite[[#Headers],[Banca]],IF(OR(H370=K$5,H370=K$6,H370=K$7,H370=K$8,H370=K$9,H370=K$10,H370=K$11,H370=K$12,H370=K$13,H370=K$14),SottocategorieEntrate[[#Headers],[Business Entrate]],IF(OR(H370=L$5,H370=L$6,H370=L$7,H370=L$8,H370=L$9,H370=L$10,H370=L$11,H370=L$12,H370=L$13,H370=L$14),SottocategorieEntrate[[#Headers],[Varie Entrate]],IF(OR(H370=M$5,H370=M$6,H370=M$7,H370=M$8,H370=M$9,H370=M$10,H370=M$11,H370=M$12,H370=M$13,H370=M$14),SottocategorieEntrate[[#Headers],[Real Estate]],IF(OR(H370=N$5,H370=N$6,H370=N$7,H370=N$8,H370=N$9,H370=N$10,H370=N$11,H370=N$12,H370=N$13,H370=N$14),SottocategorieEntrate[[#Headers],[Other]],""))))))))))))</f>
        <v/>
      </c>
      <c r="J370" t="str">
        <f>IF(OR(Dati[[#This Row],[Categoria]]="Bollette",Dati[[#This Row],[Categoria]]="Conto &amp; Carte BNL",Dati[[#This Row],[Categoria]]="Prelievo",Dati[[#This Row],[Categoria]]="Affitto",Dati[[#This Row],[Categoria]]="BNL(Interessi Creditori)"),"Carta",IF(Dati[[#This Row],[Categoria]]&lt;&gt;0,"Cash",""))</f>
        <v/>
      </c>
      <c r="K370" s="59" t="str">
        <f>IF(OR(Data!$I370=SottocategorieUscite[[#Headers],[Fuori Casa]],Data!$I370=SottocategorieUscite[[#Headers],[Varie Uscite]],Data!$I370=SottocategorieUscite[[#Headers],[Personali]],Data!$I370=SottocategorieUscite[[#Headers],[Lavoro]]),"$ -","")</f>
        <v/>
      </c>
      <c r="L370" s="59" t="str">
        <f>IF(OR(Data!$I370=SottocategorieUscite[[#Headers],[Casa]],Data!$I370=SottocategorieUscite[[#Headers],[Utenze]],Data!$I370=SottocategorieUscite[[#Headers],[Business Uscite]],Data!$I370=SottocategorieUscite[[#Headers],[Banca]]),"$ -","")</f>
        <v/>
      </c>
      <c r="M370" s="59" t="str">
        <f>IF(OR($I370&lt;&gt;SottocategorieUscite[[#Headers],[Fuori Casa]],$I370&lt;&gt;SottocategorieUscite[[#Headers],[Varie Uscite]],$I370&lt;&gt;SottocategorieUscite[[#Headers],[Personali]],$I370&lt;&gt;SottocategorieUscite[[#Headers],[Lavoro]],$I370&lt;&gt;SottocategorieUscite[[#Headers],[Casa]],$I370&lt;&gt;SottocategorieUscite[[#Headers],[Utenze]],$I370&lt;&gt;SottocategorieUscite[[#Headers],[Business Uscite]],$I370&lt;&gt;SottocategorieUscite[[#Headers],[Banca]]),"","$ -")</f>
        <v/>
      </c>
      <c r="N370" s="59" t="str">
        <f>IF(OR(Data!$I370=SottocategorieEntrate[[#Headers],[Business Entrate]],Data!$I370=SottocategorieEntrate[[#Headers],[Varie Entrate]]),"$ -","")</f>
        <v/>
      </c>
      <c r="O370" s="59" t="str">
        <f>IF(OR(Data!$I370=SottocategorieEntrate[[#Headers],[Real Estate]],SottocategorieEntrate[[#Headers],[Other]]),"$ -","")</f>
        <v/>
      </c>
      <c r="P370" s="59" t="str">
        <f>IF(OR($I370&lt;&gt;SottocategorieEntrate[[#Headers],[Business Entrate]],$I370&lt;&gt;SottocategorieEntrate[[#Headers],[Varie Entrate]],$I370&lt;&gt;SottocategorieEntrate[[#Headers],[Real Estate]],$I370&lt;&gt;SottocategorieEntrate[[#Headers],[Other]]),"","$ -")</f>
        <v/>
      </c>
      <c r="Q370" s="59" t="str">
        <f>IF(Dati[[#This Row],[Categoria]]="Prelievo","€ -","")</f>
        <v/>
      </c>
      <c r="R370" s="244"/>
      <c r="S370" s="59" t="str">
        <f>IF(Dati[[#This Row],[Categoria]]="Savings",0,"")</f>
        <v/>
      </c>
      <c r="T370" s="59"/>
      <c r="U370" s="59"/>
      <c r="V370" s="59"/>
      <c r="W370" s="59"/>
      <c r="X370" s="59"/>
      <c r="Y370" s="59"/>
      <c r="Z370" s="59"/>
      <c r="AA370" s="59"/>
      <c r="AB370" s="59"/>
      <c r="AC370" s="59"/>
      <c r="AD370" s="59"/>
      <c r="AE370" s="59"/>
      <c r="AF370" s="59"/>
      <c r="AG370" s="59"/>
      <c r="AH370" s="59"/>
      <c r="AI370" s="59" t="str">
        <f>IF(SUM(Dati[[#This Row],[Inv. Business]:[Inv. Cryptocurrency]])=0," ",SUM(Dati[[#This Row],[Inv. Business]:[Inv. Cryptocurrency]]))</f>
        <v xml:space="preserve"> </v>
      </c>
      <c r="AJ370" s="59"/>
      <c r="AK370" s="59" t="str">
        <f>IF(SUM(Dati[[#This Row],[Inv. Gold]:[Mutuo]])=0," ",SUM(Dati[[#This Row],[Inv. Gold]:[Mutuo]]))</f>
        <v xml:space="preserve"> </v>
      </c>
      <c r="AL370" s="59"/>
      <c r="AM370" s="59"/>
    </row>
    <row r="371" spans="2:39" ht="16" customHeight="1" x14ac:dyDescent="0.35">
      <c r="B371">
        <f t="shared" si="15"/>
        <v>351</v>
      </c>
      <c r="C371" s="49">
        <v>45242</v>
      </c>
      <c r="D371" s="29">
        <f>DAY(Dati[[#This Row],[Data]])</f>
        <v>12</v>
      </c>
      <c r="E371" s="29" t="str">
        <f>IF(DAY(Data!$C$21:$C$1327)&gt;0,TEXT(Data!$C$21:$C$1327, "mmmm"),"")</f>
        <v>novembre</v>
      </c>
      <c r="F371" s="29" t="str">
        <f>IF(DAY(Data!$C$21:$C$1327)&gt;0,TEXT(Data!$C$21:$C$1327, "aaaa"),"")</f>
        <v>2023</v>
      </c>
      <c r="I371" t="str">
        <f>IF(OR(H371=$B$5,H371=$B$6,H371=$B$7,H371=$B$8,H371=$B$9,H371=$B$10,H371=$B$11,H371=$B$12,H371=$B$13,H371=$B$14),SottocategorieUscite[[#Headers],[Fuori Casa]],IF(OR(H371=$C$5,H371=$C$6,H371=$C$7,H371=$C$8,H371=$C$9,H371=$C$10,H371=$C$11,H371=$C$12,H371=$C$13,H371=$C$14),SottocategorieUscite[[#Headers],[Varie Uscite]],IF(OR(H371=$D$5,H371=$D$6,H371=$D$7,H371=$D$8,H371=$D$9,H371=$D$10,H371=$D$11,H371=$D$12,H371=$D$13,H371=$D$14),SottocategorieUscite[[#Headers],[Personali]],IF(OR(H371=$E$5,H371=$E$6,H371=$E$7,H371=$E$8,H371=$E$9,H371=$E$10,H371=$E$11,H371=$E$12,H371=$E$13,H371=$E$14),SottocategorieUscite[[#Headers],[Lavoro]],IF(OR(H371=$F$5,H371=$F$6,H371=$F$7,H371=$F$8,H371=$F$9,H371=$F$10,H371=$F$11,H371=$F$12,H371=$F$13,H371=$F$14),SottocategorieUscite[[#Headers],[Casa]],IF(OR(H371=$G$5,H371=$G$6,H371=$G$7,H371=$G$8,H371=$G$9,H371=$G$10,H371=$G$11,H371=$G$12,H371=$G$13,H371=$G$14),SottocategorieUscite[[#Headers],[Utenze]],IF(OR(H371=$H$5,H371=$H$6,H371=$H$7,H371=$H$8,H371=$H$9,H371=$H$10,H371=$H$11,H371=$H$12,H371=$H$13,H371=$H$14),SottocategorieUscite[[#Headers],[Business Uscite]],IF(OR(H371=$I$5,H371=$I$6,H371=$I$7,H371=$I$8,H371=$I$9,H371=$I$10,H371=$I$11,H371=$I$12,H371=$I$13,H371=$I$14),SottocategorieUscite[[#Headers],[Banca]],IF(OR(H371=K$5,H371=K$6,H371=K$7,H371=K$8,H371=K$9,H371=K$10,H371=K$11,H371=K$12,H371=K$13,H371=K$14),SottocategorieEntrate[[#Headers],[Business Entrate]],IF(OR(H371=L$5,H371=L$6,H371=L$7,H371=L$8,H371=L$9,H371=L$10,H371=L$11,H371=L$12,H371=L$13,H371=L$14),SottocategorieEntrate[[#Headers],[Varie Entrate]],IF(OR(H371=M$5,H371=M$6,H371=M$7,H371=M$8,H371=M$9,H371=M$10,H371=M$11,H371=M$12,H371=M$13,H371=M$14),SottocategorieEntrate[[#Headers],[Real Estate]],IF(OR(H371=N$5,H371=N$6,H371=N$7,H371=N$8,H371=N$9,H371=N$10,H371=N$11,H371=N$12,H371=N$13,H371=N$14),SottocategorieEntrate[[#Headers],[Other]],""))))))))))))</f>
        <v/>
      </c>
      <c r="J371" t="str">
        <f>IF(OR(Dati[[#This Row],[Categoria]]="Bollette",Dati[[#This Row],[Categoria]]="Conto &amp; Carte BNL",Dati[[#This Row],[Categoria]]="Prelievo",Dati[[#This Row],[Categoria]]="Affitto",Dati[[#This Row],[Categoria]]="BNL(Interessi Creditori)"),"Carta",IF(Dati[[#This Row],[Categoria]]&lt;&gt;0,"Cash",""))</f>
        <v/>
      </c>
      <c r="K371" s="59" t="str">
        <f>IF(OR(Data!$I371=SottocategorieUscite[[#Headers],[Fuori Casa]],Data!$I371=SottocategorieUscite[[#Headers],[Varie Uscite]],Data!$I371=SottocategorieUscite[[#Headers],[Personali]],Data!$I371=SottocategorieUscite[[#Headers],[Lavoro]]),"$ -","")</f>
        <v/>
      </c>
      <c r="L371" s="59" t="str">
        <f>IF(OR(Data!$I371=SottocategorieUscite[[#Headers],[Casa]],Data!$I371=SottocategorieUscite[[#Headers],[Utenze]],Data!$I371=SottocategorieUscite[[#Headers],[Business Uscite]],Data!$I371=SottocategorieUscite[[#Headers],[Banca]]),"$ -","")</f>
        <v/>
      </c>
      <c r="M371" s="59" t="str">
        <f>IF(OR($I371&lt;&gt;SottocategorieUscite[[#Headers],[Fuori Casa]],$I371&lt;&gt;SottocategorieUscite[[#Headers],[Varie Uscite]],$I371&lt;&gt;SottocategorieUscite[[#Headers],[Personali]],$I371&lt;&gt;SottocategorieUscite[[#Headers],[Lavoro]],$I371&lt;&gt;SottocategorieUscite[[#Headers],[Casa]],$I371&lt;&gt;SottocategorieUscite[[#Headers],[Utenze]],$I371&lt;&gt;SottocategorieUscite[[#Headers],[Business Uscite]],$I371&lt;&gt;SottocategorieUscite[[#Headers],[Banca]]),"","$ -")</f>
        <v/>
      </c>
      <c r="N371" s="59" t="str">
        <f>IF(OR(Data!$I371=SottocategorieEntrate[[#Headers],[Business Entrate]],Data!$I371=SottocategorieEntrate[[#Headers],[Varie Entrate]]),"$ -","")</f>
        <v/>
      </c>
      <c r="O371" s="59" t="str">
        <f>IF(OR(Data!$I371=SottocategorieEntrate[[#Headers],[Real Estate]],SottocategorieEntrate[[#Headers],[Other]]),"$ -","")</f>
        <v/>
      </c>
      <c r="P371" s="59" t="str">
        <f>IF(OR($I371&lt;&gt;SottocategorieEntrate[[#Headers],[Business Entrate]],$I371&lt;&gt;SottocategorieEntrate[[#Headers],[Varie Entrate]],$I371&lt;&gt;SottocategorieEntrate[[#Headers],[Real Estate]],$I371&lt;&gt;SottocategorieEntrate[[#Headers],[Other]]),"","$ -")</f>
        <v/>
      </c>
      <c r="Q371" s="59" t="str">
        <f>IF(Dati[[#This Row],[Categoria]]="Prelievo","€ -","")</f>
        <v/>
      </c>
      <c r="R371" s="244"/>
      <c r="S371" s="59" t="str">
        <f>IF(Dati[[#This Row],[Categoria]]="Savings",0,"")</f>
        <v/>
      </c>
      <c r="T371" s="59"/>
      <c r="U371" s="59"/>
      <c r="V371" s="59"/>
      <c r="W371" s="59"/>
      <c r="X371" s="59"/>
      <c r="Y371" s="59"/>
      <c r="Z371" s="59"/>
      <c r="AA371" s="59"/>
      <c r="AB371" s="59"/>
      <c r="AC371" s="59"/>
      <c r="AD371" s="59"/>
      <c r="AE371" s="59"/>
      <c r="AF371" s="59"/>
      <c r="AG371" s="59"/>
      <c r="AH371" s="59"/>
      <c r="AI371" s="59" t="str">
        <f>IF(SUM(Dati[[#This Row],[Inv. Business]:[Inv. Cryptocurrency]])=0," ",SUM(Dati[[#This Row],[Inv. Business]:[Inv. Cryptocurrency]]))</f>
        <v xml:space="preserve"> </v>
      </c>
      <c r="AJ371" s="59"/>
      <c r="AK371" s="59" t="str">
        <f>IF(SUM(Dati[[#This Row],[Inv. Gold]:[Mutuo]])=0," ",SUM(Dati[[#This Row],[Inv. Gold]:[Mutuo]]))</f>
        <v xml:space="preserve"> </v>
      </c>
      <c r="AL371" s="59"/>
      <c r="AM371" s="59"/>
    </row>
    <row r="372" spans="2:39" ht="16" customHeight="1" x14ac:dyDescent="0.35">
      <c r="B372">
        <f t="shared" si="15"/>
        <v>352</v>
      </c>
      <c r="C372" s="49">
        <v>45242</v>
      </c>
      <c r="D372" s="29">
        <f>DAY(Dati[[#This Row],[Data]])</f>
        <v>12</v>
      </c>
      <c r="E372" s="29" t="str">
        <f>IF(DAY(Data!$C$21:$C$1327)&gt;0,TEXT(Data!$C$21:$C$1327, "mmmm"),"")</f>
        <v>novembre</v>
      </c>
      <c r="F372" s="29" t="str">
        <f>IF(DAY(Data!$C$21:$C$1327)&gt;0,TEXT(Data!$C$21:$C$1327, "aaaa"),"")</f>
        <v>2023</v>
      </c>
      <c r="I372" t="str">
        <f>IF(OR(H372=$B$5,H372=$B$6,H372=$B$7,H372=$B$8,H372=$B$9,H372=$B$10,H372=$B$11,H372=$B$12,H372=$B$13,H372=$B$14),SottocategorieUscite[[#Headers],[Fuori Casa]],IF(OR(H372=$C$5,H372=$C$6,H372=$C$7,H372=$C$8,H372=$C$9,H372=$C$10,H372=$C$11,H372=$C$12,H372=$C$13,H372=$C$14),SottocategorieUscite[[#Headers],[Varie Uscite]],IF(OR(H372=$D$5,H372=$D$6,H372=$D$7,H372=$D$8,H372=$D$9,H372=$D$10,H372=$D$11,H372=$D$12,H372=$D$13,H372=$D$14),SottocategorieUscite[[#Headers],[Personali]],IF(OR(H372=$E$5,H372=$E$6,H372=$E$7,H372=$E$8,H372=$E$9,H372=$E$10,H372=$E$11,H372=$E$12,H372=$E$13,H372=$E$14),SottocategorieUscite[[#Headers],[Lavoro]],IF(OR(H372=$F$5,H372=$F$6,H372=$F$7,H372=$F$8,H372=$F$9,H372=$F$10,H372=$F$11,H372=$F$12,H372=$F$13,H372=$F$14),SottocategorieUscite[[#Headers],[Casa]],IF(OR(H372=$G$5,H372=$G$6,H372=$G$7,H372=$G$8,H372=$G$9,H372=$G$10,H372=$G$11,H372=$G$12,H372=$G$13,H372=$G$14),SottocategorieUscite[[#Headers],[Utenze]],IF(OR(H372=$H$5,H372=$H$6,H372=$H$7,H372=$H$8,H372=$H$9,H372=$H$10,H372=$H$11,H372=$H$12,H372=$H$13,H372=$H$14),SottocategorieUscite[[#Headers],[Business Uscite]],IF(OR(H372=$I$5,H372=$I$6,H372=$I$7,H372=$I$8,H372=$I$9,H372=$I$10,H372=$I$11,H372=$I$12,H372=$I$13,H372=$I$14),SottocategorieUscite[[#Headers],[Banca]],IF(OR(H372=K$5,H372=K$6,H372=K$7,H372=K$8,H372=K$9,H372=K$10,H372=K$11,H372=K$12,H372=K$13,H372=K$14),SottocategorieEntrate[[#Headers],[Business Entrate]],IF(OR(H372=L$5,H372=L$6,H372=L$7,H372=L$8,H372=L$9,H372=L$10,H372=L$11,H372=L$12,H372=L$13,H372=L$14),SottocategorieEntrate[[#Headers],[Varie Entrate]],IF(OR(H372=M$5,H372=M$6,H372=M$7,H372=M$8,H372=M$9,H372=M$10,H372=M$11,H372=M$12,H372=M$13,H372=M$14),SottocategorieEntrate[[#Headers],[Real Estate]],IF(OR(H372=N$5,H372=N$6,H372=N$7,H372=N$8,H372=N$9,H372=N$10,H372=N$11,H372=N$12,H372=N$13,H372=N$14),SottocategorieEntrate[[#Headers],[Other]],""))))))))))))</f>
        <v/>
      </c>
      <c r="J372" t="str">
        <f>IF(OR(Dati[[#This Row],[Categoria]]="Bollette",Dati[[#This Row],[Categoria]]="Conto &amp; Carte BNL",Dati[[#This Row],[Categoria]]="Prelievo",Dati[[#This Row],[Categoria]]="Affitto",Dati[[#This Row],[Categoria]]="BNL(Interessi Creditori)"),"Carta",IF(Dati[[#This Row],[Categoria]]&lt;&gt;0,"Cash",""))</f>
        <v/>
      </c>
      <c r="K372" s="59" t="str">
        <f>IF(OR(Data!$I372=SottocategorieUscite[[#Headers],[Fuori Casa]],Data!$I372=SottocategorieUscite[[#Headers],[Varie Uscite]],Data!$I372=SottocategorieUscite[[#Headers],[Personali]],Data!$I372=SottocategorieUscite[[#Headers],[Lavoro]]),"$ -","")</f>
        <v/>
      </c>
      <c r="L372" s="59" t="str">
        <f>IF(OR(Data!$I372=SottocategorieUscite[[#Headers],[Casa]],Data!$I372=SottocategorieUscite[[#Headers],[Utenze]],Data!$I372=SottocategorieUscite[[#Headers],[Business Uscite]],Data!$I372=SottocategorieUscite[[#Headers],[Banca]]),"$ -","")</f>
        <v/>
      </c>
      <c r="M372" s="59" t="str">
        <f>IF(OR($I372&lt;&gt;SottocategorieUscite[[#Headers],[Fuori Casa]],$I372&lt;&gt;SottocategorieUscite[[#Headers],[Varie Uscite]],$I372&lt;&gt;SottocategorieUscite[[#Headers],[Personali]],$I372&lt;&gt;SottocategorieUscite[[#Headers],[Lavoro]],$I372&lt;&gt;SottocategorieUscite[[#Headers],[Casa]],$I372&lt;&gt;SottocategorieUscite[[#Headers],[Utenze]],$I372&lt;&gt;SottocategorieUscite[[#Headers],[Business Uscite]],$I372&lt;&gt;SottocategorieUscite[[#Headers],[Banca]]),"","$ -")</f>
        <v/>
      </c>
      <c r="N372" s="59" t="str">
        <f>IF(OR(Data!$I372=SottocategorieEntrate[[#Headers],[Business Entrate]],Data!$I372=SottocategorieEntrate[[#Headers],[Varie Entrate]]),"$ -","")</f>
        <v/>
      </c>
      <c r="O372" s="59" t="str">
        <f>IF(OR(Data!$I372=SottocategorieEntrate[[#Headers],[Real Estate]],SottocategorieEntrate[[#Headers],[Other]]),"$ -","")</f>
        <v/>
      </c>
      <c r="P372" s="59" t="str">
        <f>IF(OR($I372&lt;&gt;SottocategorieEntrate[[#Headers],[Business Entrate]],$I372&lt;&gt;SottocategorieEntrate[[#Headers],[Varie Entrate]],$I372&lt;&gt;SottocategorieEntrate[[#Headers],[Real Estate]],$I372&lt;&gt;SottocategorieEntrate[[#Headers],[Other]]),"","$ -")</f>
        <v/>
      </c>
      <c r="Q372" s="59" t="str">
        <f>IF(Dati[[#This Row],[Categoria]]="Prelievo","€ -","")</f>
        <v/>
      </c>
      <c r="R372" s="244"/>
      <c r="S372" s="59" t="str">
        <f>IF(Dati[[#This Row],[Categoria]]="Savings",0,"")</f>
        <v/>
      </c>
      <c r="T372" s="59"/>
      <c r="U372" s="59"/>
      <c r="V372" s="59"/>
      <c r="W372" s="59"/>
      <c r="X372" s="59"/>
      <c r="Y372" s="59"/>
      <c r="Z372" s="59"/>
      <c r="AA372" s="59"/>
      <c r="AB372" s="59"/>
      <c r="AC372" s="59"/>
      <c r="AD372" s="59"/>
      <c r="AE372" s="59"/>
      <c r="AF372" s="59"/>
      <c r="AG372" s="59"/>
      <c r="AH372" s="59"/>
      <c r="AI372" s="59" t="str">
        <f>IF(SUM(Dati[[#This Row],[Inv. Business]:[Inv. Cryptocurrency]])=0," ",SUM(Dati[[#This Row],[Inv. Business]:[Inv. Cryptocurrency]]))</f>
        <v xml:space="preserve"> </v>
      </c>
      <c r="AJ372" s="59"/>
      <c r="AK372" s="59" t="str">
        <f>IF(SUM(Dati[[#This Row],[Inv. Gold]:[Mutuo]])=0," ",SUM(Dati[[#This Row],[Inv. Gold]:[Mutuo]]))</f>
        <v xml:space="preserve"> </v>
      </c>
      <c r="AL372" s="59"/>
      <c r="AM372" s="59"/>
    </row>
    <row r="373" spans="2:39" ht="16" customHeight="1" x14ac:dyDescent="0.35">
      <c r="B373">
        <f t="shared" si="15"/>
        <v>353</v>
      </c>
      <c r="C373" s="49">
        <v>45242</v>
      </c>
      <c r="D373" s="29">
        <f>DAY(Dati[[#This Row],[Data]])</f>
        <v>12</v>
      </c>
      <c r="E373" s="29" t="str">
        <f>IF(DAY(Data!$C$21:$C$1327)&gt;0,TEXT(Data!$C$21:$C$1327, "mmmm"),"")</f>
        <v>novembre</v>
      </c>
      <c r="F373" s="29" t="str">
        <f>IF(DAY(Data!$C$21:$C$1327)&gt;0,TEXT(Data!$C$21:$C$1327, "aaaa"),"")</f>
        <v>2023</v>
      </c>
      <c r="I373" t="str">
        <f>IF(OR(H373=$B$5,H373=$B$6,H373=$B$7,H373=$B$8,H373=$B$9,H373=$B$10,H373=$B$11,H373=$B$12,H373=$B$13,H373=$B$14),SottocategorieUscite[[#Headers],[Fuori Casa]],IF(OR(H373=$C$5,H373=$C$6,H373=$C$7,H373=$C$8,H373=$C$9,H373=$C$10,H373=$C$11,H373=$C$12,H373=$C$13,H373=$C$14),SottocategorieUscite[[#Headers],[Varie Uscite]],IF(OR(H373=$D$5,H373=$D$6,H373=$D$7,H373=$D$8,H373=$D$9,H373=$D$10,H373=$D$11,H373=$D$12,H373=$D$13,H373=$D$14),SottocategorieUscite[[#Headers],[Personali]],IF(OR(H373=$E$5,H373=$E$6,H373=$E$7,H373=$E$8,H373=$E$9,H373=$E$10,H373=$E$11,H373=$E$12,H373=$E$13,H373=$E$14),SottocategorieUscite[[#Headers],[Lavoro]],IF(OR(H373=$F$5,H373=$F$6,H373=$F$7,H373=$F$8,H373=$F$9,H373=$F$10,H373=$F$11,H373=$F$12,H373=$F$13,H373=$F$14),SottocategorieUscite[[#Headers],[Casa]],IF(OR(H373=$G$5,H373=$G$6,H373=$G$7,H373=$G$8,H373=$G$9,H373=$G$10,H373=$G$11,H373=$G$12,H373=$G$13,H373=$G$14),SottocategorieUscite[[#Headers],[Utenze]],IF(OR(H373=$H$5,H373=$H$6,H373=$H$7,H373=$H$8,H373=$H$9,H373=$H$10,H373=$H$11,H373=$H$12,H373=$H$13,H373=$H$14),SottocategorieUscite[[#Headers],[Business Uscite]],IF(OR(H373=$I$5,H373=$I$6,H373=$I$7,H373=$I$8,H373=$I$9,H373=$I$10,H373=$I$11,H373=$I$12,H373=$I$13,H373=$I$14),SottocategorieUscite[[#Headers],[Banca]],IF(OR(H373=K$5,H373=K$6,H373=K$7,H373=K$8,H373=K$9,H373=K$10,H373=K$11,H373=K$12,H373=K$13,H373=K$14),SottocategorieEntrate[[#Headers],[Business Entrate]],IF(OR(H373=L$5,H373=L$6,H373=L$7,H373=L$8,H373=L$9,H373=L$10,H373=L$11,H373=L$12,H373=L$13,H373=L$14),SottocategorieEntrate[[#Headers],[Varie Entrate]],IF(OR(H373=M$5,H373=M$6,H373=M$7,H373=M$8,H373=M$9,H373=M$10,H373=M$11,H373=M$12,H373=M$13,H373=M$14),SottocategorieEntrate[[#Headers],[Real Estate]],IF(OR(H373=N$5,H373=N$6,H373=N$7,H373=N$8,H373=N$9,H373=N$10,H373=N$11,H373=N$12,H373=N$13,H373=N$14),SottocategorieEntrate[[#Headers],[Other]],""))))))))))))</f>
        <v/>
      </c>
      <c r="J373" t="str">
        <f>IF(OR(Dati[[#This Row],[Categoria]]="Bollette",Dati[[#This Row],[Categoria]]="Conto &amp; Carte BNL",Dati[[#This Row],[Categoria]]="Prelievo",Dati[[#This Row],[Categoria]]="Affitto",Dati[[#This Row],[Categoria]]="BNL(Interessi Creditori)"),"Carta",IF(Dati[[#This Row],[Categoria]]&lt;&gt;0,"Cash",""))</f>
        <v/>
      </c>
      <c r="K373" s="59" t="str">
        <f>IF(OR(Data!$I373=SottocategorieUscite[[#Headers],[Fuori Casa]],Data!$I373=SottocategorieUscite[[#Headers],[Varie Uscite]],Data!$I373=SottocategorieUscite[[#Headers],[Personali]],Data!$I373=SottocategorieUscite[[#Headers],[Lavoro]]),"$ -","")</f>
        <v/>
      </c>
      <c r="L373" s="59" t="str">
        <f>IF(OR(Data!$I373=SottocategorieUscite[[#Headers],[Casa]],Data!$I373=SottocategorieUscite[[#Headers],[Utenze]],Data!$I373=SottocategorieUscite[[#Headers],[Business Uscite]],Data!$I373=SottocategorieUscite[[#Headers],[Banca]]),"$ -","")</f>
        <v/>
      </c>
      <c r="M373" s="59" t="str">
        <f>IF(OR($I373&lt;&gt;SottocategorieUscite[[#Headers],[Fuori Casa]],$I373&lt;&gt;SottocategorieUscite[[#Headers],[Varie Uscite]],$I373&lt;&gt;SottocategorieUscite[[#Headers],[Personali]],$I373&lt;&gt;SottocategorieUscite[[#Headers],[Lavoro]],$I373&lt;&gt;SottocategorieUscite[[#Headers],[Casa]],$I373&lt;&gt;SottocategorieUscite[[#Headers],[Utenze]],$I373&lt;&gt;SottocategorieUscite[[#Headers],[Business Uscite]],$I373&lt;&gt;SottocategorieUscite[[#Headers],[Banca]]),"","$ -")</f>
        <v/>
      </c>
      <c r="N373" s="59" t="str">
        <f>IF(OR(Data!$I373=SottocategorieEntrate[[#Headers],[Business Entrate]],Data!$I373=SottocategorieEntrate[[#Headers],[Varie Entrate]]),"$ -","")</f>
        <v/>
      </c>
      <c r="O373" s="59" t="str">
        <f>IF(OR(Data!$I373=SottocategorieEntrate[[#Headers],[Real Estate]],SottocategorieEntrate[[#Headers],[Other]]),"$ -","")</f>
        <v/>
      </c>
      <c r="P373" s="59" t="str">
        <f>IF(OR($I373&lt;&gt;SottocategorieEntrate[[#Headers],[Business Entrate]],$I373&lt;&gt;SottocategorieEntrate[[#Headers],[Varie Entrate]],$I373&lt;&gt;SottocategorieEntrate[[#Headers],[Real Estate]],$I373&lt;&gt;SottocategorieEntrate[[#Headers],[Other]]),"","$ -")</f>
        <v/>
      </c>
      <c r="Q373" s="59" t="str">
        <f>IF(Dati[[#This Row],[Categoria]]="Prelievo","€ -","")</f>
        <v/>
      </c>
      <c r="R373" s="244"/>
      <c r="S373" s="59" t="str">
        <f>IF(Dati[[#This Row],[Categoria]]="Savings",0,"")</f>
        <v/>
      </c>
      <c r="T373" s="59"/>
      <c r="U373" s="59"/>
      <c r="V373" s="59"/>
      <c r="W373" s="59"/>
      <c r="X373" s="59"/>
      <c r="Y373" s="59"/>
      <c r="Z373" s="59"/>
      <c r="AA373" s="59"/>
      <c r="AB373" s="59"/>
      <c r="AC373" s="59"/>
      <c r="AD373" s="59"/>
      <c r="AE373" s="59"/>
      <c r="AF373" s="59"/>
      <c r="AG373" s="59"/>
      <c r="AH373" s="59"/>
      <c r="AI373" s="59" t="str">
        <f>IF(SUM(Dati[[#This Row],[Inv. Business]:[Inv. Cryptocurrency]])=0," ",SUM(Dati[[#This Row],[Inv. Business]:[Inv. Cryptocurrency]]))</f>
        <v xml:space="preserve"> </v>
      </c>
      <c r="AJ373" s="59"/>
      <c r="AK373" s="59" t="str">
        <f>IF(SUM(Dati[[#This Row],[Inv. Gold]:[Mutuo]])=0," ",SUM(Dati[[#This Row],[Inv. Gold]:[Mutuo]]))</f>
        <v xml:space="preserve"> </v>
      </c>
      <c r="AL373" s="59"/>
      <c r="AM373" s="59"/>
    </row>
    <row r="374" spans="2:39" ht="16" customHeight="1" x14ac:dyDescent="0.35">
      <c r="B374">
        <f t="shared" si="15"/>
        <v>354</v>
      </c>
      <c r="C374" s="49">
        <v>45242</v>
      </c>
      <c r="D374" s="29">
        <f>DAY(Dati[[#This Row],[Data]])</f>
        <v>12</v>
      </c>
      <c r="E374" s="29" t="str">
        <f>IF(DAY(Data!$C$21:$C$1327)&gt;0,TEXT(Data!$C$21:$C$1327, "mmmm"),"")</f>
        <v>novembre</v>
      </c>
      <c r="F374" s="29" t="str">
        <f>IF(DAY(Data!$C$21:$C$1327)&gt;0,TEXT(Data!$C$21:$C$1327, "aaaa"),"")</f>
        <v>2023</v>
      </c>
      <c r="I374" t="str">
        <f>IF(OR(H374=$B$5,H374=$B$6,H374=$B$7,H374=$B$8,H374=$B$9,H374=$B$10,H374=$B$11,H374=$B$12,H374=$B$13,H374=$B$14),SottocategorieUscite[[#Headers],[Fuori Casa]],IF(OR(H374=$C$5,H374=$C$6,H374=$C$7,H374=$C$8,H374=$C$9,H374=$C$10,H374=$C$11,H374=$C$12,H374=$C$13,H374=$C$14),SottocategorieUscite[[#Headers],[Varie Uscite]],IF(OR(H374=$D$5,H374=$D$6,H374=$D$7,H374=$D$8,H374=$D$9,H374=$D$10,H374=$D$11,H374=$D$12,H374=$D$13,H374=$D$14),SottocategorieUscite[[#Headers],[Personali]],IF(OR(H374=$E$5,H374=$E$6,H374=$E$7,H374=$E$8,H374=$E$9,H374=$E$10,H374=$E$11,H374=$E$12,H374=$E$13,H374=$E$14),SottocategorieUscite[[#Headers],[Lavoro]],IF(OR(H374=$F$5,H374=$F$6,H374=$F$7,H374=$F$8,H374=$F$9,H374=$F$10,H374=$F$11,H374=$F$12,H374=$F$13,H374=$F$14),SottocategorieUscite[[#Headers],[Casa]],IF(OR(H374=$G$5,H374=$G$6,H374=$G$7,H374=$G$8,H374=$G$9,H374=$G$10,H374=$G$11,H374=$G$12,H374=$G$13,H374=$G$14),SottocategorieUscite[[#Headers],[Utenze]],IF(OR(H374=$H$5,H374=$H$6,H374=$H$7,H374=$H$8,H374=$H$9,H374=$H$10,H374=$H$11,H374=$H$12,H374=$H$13,H374=$H$14),SottocategorieUscite[[#Headers],[Business Uscite]],IF(OR(H374=$I$5,H374=$I$6,H374=$I$7,H374=$I$8,H374=$I$9,H374=$I$10,H374=$I$11,H374=$I$12,H374=$I$13,H374=$I$14),SottocategorieUscite[[#Headers],[Banca]],IF(OR(H374=K$5,H374=K$6,H374=K$7,H374=K$8,H374=K$9,H374=K$10,H374=K$11,H374=K$12,H374=K$13,H374=K$14),SottocategorieEntrate[[#Headers],[Business Entrate]],IF(OR(H374=L$5,H374=L$6,H374=L$7,H374=L$8,H374=L$9,H374=L$10,H374=L$11,H374=L$12,H374=L$13,H374=L$14),SottocategorieEntrate[[#Headers],[Varie Entrate]],IF(OR(H374=M$5,H374=M$6,H374=M$7,H374=M$8,H374=M$9,H374=M$10,H374=M$11,H374=M$12,H374=M$13,H374=M$14),SottocategorieEntrate[[#Headers],[Real Estate]],IF(OR(H374=N$5,H374=N$6,H374=N$7,H374=N$8,H374=N$9,H374=N$10,H374=N$11,H374=N$12,H374=N$13,H374=N$14),SottocategorieEntrate[[#Headers],[Other]],""))))))))))))</f>
        <v/>
      </c>
      <c r="J374" t="str">
        <f>IF(OR(Dati[[#This Row],[Categoria]]="Bollette",Dati[[#This Row],[Categoria]]="Conto &amp; Carte BNL",Dati[[#This Row],[Categoria]]="Prelievo",Dati[[#This Row],[Categoria]]="Affitto",Dati[[#This Row],[Categoria]]="BNL(Interessi Creditori)"),"Carta",IF(Dati[[#This Row],[Categoria]]&lt;&gt;0,"Cash",""))</f>
        <v/>
      </c>
      <c r="K374" s="59" t="str">
        <f>IF(OR(Data!$I374=SottocategorieUscite[[#Headers],[Fuori Casa]],Data!$I374=SottocategorieUscite[[#Headers],[Varie Uscite]],Data!$I374=SottocategorieUscite[[#Headers],[Personali]],Data!$I374=SottocategorieUscite[[#Headers],[Lavoro]]),"$ -","")</f>
        <v/>
      </c>
      <c r="L374" s="59" t="str">
        <f>IF(OR(Data!$I374=SottocategorieUscite[[#Headers],[Casa]],Data!$I374=SottocategorieUscite[[#Headers],[Utenze]],Data!$I374=SottocategorieUscite[[#Headers],[Business Uscite]],Data!$I374=SottocategorieUscite[[#Headers],[Banca]]),"$ -","")</f>
        <v/>
      </c>
      <c r="M374" s="59" t="str">
        <f>IF(OR($I374&lt;&gt;SottocategorieUscite[[#Headers],[Fuori Casa]],$I374&lt;&gt;SottocategorieUscite[[#Headers],[Varie Uscite]],$I374&lt;&gt;SottocategorieUscite[[#Headers],[Personali]],$I374&lt;&gt;SottocategorieUscite[[#Headers],[Lavoro]],$I374&lt;&gt;SottocategorieUscite[[#Headers],[Casa]],$I374&lt;&gt;SottocategorieUscite[[#Headers],[Utenze]],$I374&lt;&gt;SottocategorieUscite[[#Headers],[Business Uscite]],$I374&lt;&gt;SottocategorieUscite[[#Headers],[Banca]]),"","$ -")</f>
        <v/>
      </c>
      <c r="N374" s="59" t="str">
        <f>IF(OR(Data!$I374=SottocategorieEntrate[[#Headers],[Business Entrate]],Data!$I374=SottocategorieEntrate[[#Headers],[Varie Entrate]]),"$ -","")</f>
        <v/>
      </c>
      <c r="O374" s="59" t="str">
        <f>IF(OR(Data!$I374=SottocategorieEntrate[[#Headers],[Real Estate]],SottocategorieEntrate[[#Headers],[Other]]),"$ -","")</f>
        <v/>
      </c>
      <c r="P374" s="59" t="str">
        <f>IF(OR($I374&lt;&gt;SottocategorieEntrate[[#Headers],[Business Entrate]],$I374&lt;&gt;SottocategorieEntrate[[#Headers],[Varie Entrate]],$I374&lt;&gt;SottocategorieEntrate[[#Headers],[Real Estate]],$I374&lt;&gt;SottocategorieEntrate[[#Headers],[Other]]),"","$ -")</f>
        <v/>
      </c>
      <c r="Q374" s="59" t="str">
        <f>IF(Dati[[#This Row],[Categoria]]="Prelievo","€ -","")</f>
        <v/>
      </c>
      <c r="R374" s="244"/>
      <c r="S374" s="59" t="str">
        <f>IF(Dati[[#This Row],[Categoria]]="Savings",0,"")</f>
        <v/>
      </c>
      <c r="T374" s="59"/>
      <c r="U374" s="59"/>
      <c r="V374" s="59"/>
      <c r="W374" s="59"/>
      <c r="X374" s="59"/>
      <c r="Y374" s="59"/>
      <c r="Z374" s="59"/>
      <c r="AA374" s="59"/>
      <c r="AB374" s="59"/>
      <c r="AC374" s="59"/>
      <c r="AD374" s="59"/>
      <c r="AE374" s="59"/>
      <c r="AF374" s="59"/>
      <c r="AG374" s="59"/>
      <c r="AH374" s="59"/>
      <c r="AI374" s="59" t="str">
        <f>IF(SUM(Dati[[#This Row],[Inv. Business]:[Inv. Cryptocurrency]])=0," ",SUM(Dati[[#This Row],[Inv. Business]:[Inv. Cryptocurrency]]))</f>
        <v xml:space="preserve"> </v>
      </c>
      <c r="AJ374" s="59"/>
      <c r="AK374" s="59" t="str">
        <f>IF(SUM(Dati[[#This Row],[Inv. Gold]:[Mutuo]])=0," ",SUM(Dati[[#This Row],[Inv. Gold]:[Mutuo]]))</f>
        <v xml:space="preserve"> </v>
      </c>
      <c r="AL374" s="59"/>
      <c r="AM374" s="59"/>
    </row>
    <row r="375" spans="2:39" ht="16" customHeight="1" x14ac:dyDescent="0.35">
      <c r="B375">
        <f t="shared" si="15"/>
        <v>355</v>
      </c>
      <c r="C375" s="49">
        <v>45242</v>
      </c>
      <c r="D375" s="29">
        <f>DAY(Dati[[#This Row],[Data]])</f>
        <v>12</v>
      </c>
      <c r="E375" s="29" t="str">
        <f>IF(DAY(Data!$C$21:$C$1327)&gt;0,TEXT(Data!$C$21:$C$1327, "mmmm"),"")</f>
        <v>novembre</v>
      </c>
      <c r="F375" s="29" t="str">
        <f>IF(DAY(Data!$C$21:$C$1327)&gt;0,TEXT(Data!$C$21:$C$1327, "aaaa"),"")</f>
        <v>2023</v>
      </c>
      <c r="I375" t="str">
        <f>IF(OR(H375=$B$5,H375=$B$6,H375=$B$7,H375=$B$8,H375=$B$9,H375=$B$10,H375=$B$11,H375=$B$12,H375=$B$13,H375=$B$14),SottocategorieUscite[[#Headers],[Fuori Casa]],IF(OR(H375=$C$5,H375=$C$6,H375=$C$7,H375=$C$8,H375=$C$9,H375=$C$10,H375=$C$11,H375=$C$12,H375=$C$13,H375=$C$14),SottocategorieUscite[[#Headers],[Varie Uscite]],IF(OR(H375=$D$5,H375=$D$6,H375=$D$7,H375=$D$8,H375=$D$9,H375=$D$10,H375=$D$11,H375=$D$12,H375=$D$13,H375=$D$14),SottocategorieUscite[[#Headers],[Personali]],IF(OR(H375=$E$5,H375=$E$6,H375=$E$7,H375=$E$8,H375=$E$9,H375=$E$10,H375=$E$11,H375=$E$12,H375=$E$13,H375=$E$14),SottocategorieUscite[[#Headers],[Lavoro]],IF(OR(H375=$F$5,H375=$F$6,H375=$F$7,H375=$F$8,H375=$F$9,H375=$F$10,H375=$F$11,H375=$F$12,H375=$F$13,H375=$F$14),SottocategorieUscite[[#Headers],[Casa]],IF(OR(H375=$G$5,H375=$G$6,H375=$G$7,H375=$G$8,H375=$G$9,H375=$G$10,H375=$G$11,H375=$G$12,H375=$G$13,H375=$G$14),SottocategorieUscite[[#Headers],[Utenze]],IF(OR(H375=$H$5,H375=$H$6,H375=$H$7,H375=$H$8,H375=$H$9,H375=$H$10,H375=$H$11,H375=$H$12,H375=$H$13,H375=$H$14),SottocategorieUscite[[#Headers],[Business Uscite]],IF(OR(H375=$I$5,H375=$I$6,H375=$I$7,H375=$I$8,H375=$I$9,H375=$I$10,H375=$I$11,H375=$I$12,H375=$I$13,H375=$I$14),SottocategorieUscite[[#Headers],[Banca]],IF(OR(H375=K$5,H375=K$6,H375=K$7,H375=K$8,H375=K$9,H375=K$10,H375=K$11,H375=K$12,H375=K$13,H375=K$14),SottocategorieEntrate[[#Headers],[Business Entrate]],IF(OR(H375=L$5,H375=L$6,H375=L$7,H375=L$8,H375=L$9,H375=L$10,H375=L$11,H375=L$12,H375=L$13,H375=L$14),SottocategorieEntrate[[#Headers],[Varie Entrate]],IF(OR(H375=M$5,H375=M$6,H375=M$7,H375=M$8,H375=M$9,H375=M$10,H375=M$11,H375=M$12,H375=M$13,H375=M$14),SottocategorieEntrate[[#Headers],[Real Estate]],IF(OR(H375=N$5,H375=N$6,H375=N$7,H375=N$8,H375=N$9,H375=N$10,H375=N$11,H375=N$12,H375=N$13,H375=N$14),SottocategorieEntrate[[#Headers],[Other]],""))))))))))))</f>
        <v/>
      </c>
      <c r="J375" t="str">
        <f>IF(OR(Dati[[#This Row],[Categoria]]="Bollette",Dati[[#This Row],[Categoria]]="Conto &amp; Carte BNL",Dati[[#This Row],[Categoria]]="Prelievo",Dati[[#This Row],[Categoria]]="Affitto",Dati[[#This Row],[Categoria]]="BNL(Interessi Creditori)"),"Carta",IF(Dati[[#This Row],[Categoria]]&lt;&gt;0,"Cash",""))</f>
        <v/>
      </c>
      <c r="K375" s="59" t="str">
        <f>IF(OR(Data!$I375=SottocategorieUscite[[#Headers],[Fuori Casa]],Data!$I375=SottocategorieUscite[[#Headers],[Varie Uscite]],Data!$I375=SottocategorieUscite[[#Headers],[Personali]],Data!$I375=SottocategorieUscite[[#Headers],[Lavoro]]),"$ -","")</f>
        <v/>
      </c>
      <c r="L375" s="59" t="str">
        <f>IF(OR(Data!$I375=SottocategorieUscite[[#Headers],[Casa]],Data!$I375=SottocategorieUscite[[#Headers],[Utenze]],Data!$I375=SottocategorieUscite[[#Headers],[Business Uscite]],Data!$I375=SottocategorieUscite[[#Headers],[Banca]]),"$ -","")</f>
        <v/>
      </c>
      <c r="M375" s="59" t="str">
        <f>IF(OR($I375&lt;&gt;SottocategorieUscite[[#Headers],[Fuori Casa]],$I375&lt;&gt;SottocategorieUscite[[#Headers],[Varie Uscite]],$I375&lt;&gt;SottocategorieUscite[[#Headers],[Personali]],$I375&lt;&gt;SottocategorieUscite[[#Headers],[Lavoro]],$I375&lt;&gt;SottocategorieUscite[[#Headers],[Casa]],$I375&lt;&gt;SottocategorieUscite[[#Headers],[Utenze]],$I375&lt;&gt;SottocategorieUscite[[#Headers],[Business Uscite]],$I375&lt;&gt;SottocategorieUscite[[#Headers],[Banca]]),"","$ -")</f>
        <v/>
      </c>
      <c r="N375" s="59" t="str">
        <f>IF(OR(Data!$I375=SottocategorieEntrate[[#Headers],[Business Entrate]],Data!$I375=SottocategorieEntrate[[#Headers],[Varie Entrate]]),"$ -","")</f>
        <v/>
      </c>
      <c r="O375" s="59" t="str">
        <f>IF(OR(Data!$I375=SottocategorieEntrate[[#Headers],[Real Estate]],SottocategorieEntrate[[#Headers],[Other]]),"$ -","")</f>
        <v/>
      </c>
      <c r="P375" s="59" t="str">
        <f>IF(OR($I375&lt;&gt;SottocategorieEntrate[[#Headers],[Business Entrate]],$I375&lt;&gt;SottocategorieEntrate[[#Headers],[Varie Entrate]],$I375&lt;&gt;SottocategorieEntrate[[#Headers],[Real Estate]],$I375&lt;&gt;SottocategorieEntrate[[#Headers],[Other]]),"","$ -")</f>
        <v/>
      </c>
      <c r="Q375" s="59" t="str">
        <f>IF(Dati[[#This Row],[Categoria]]="Prelievo","€ -","")</f>
        <v/>
      </c>
      <c r="R375" s="244"/>
      <c r="S375" s="59" t="str">
        <f>IF(Dati[[#This Row],[Categoria]]="Savings",0,"")</f>
        <v/>
      </c>
      <c r="T375" s="59"/>
      <c r="U375" s="59"/>
      <c r="V375" s="59"/>
      <c r="W375" s="59"/>
      <c r="X375" s="59"/>
      <c r="Y375" s="59"/>
      <c r="Z375" s="59"/>
      <c r="AA375" s="59"/>
      <c r="AB375" s="59"/>
      <c r="AC375" s="59"/>
      <c r="AD375" s="59"/>
      <c r="AE375" s="59"/>
      <c r="AF375" s="59"/>
      <c r="AG375" s="59"/>
      <c r="AH375" s="59"/>
      <c r="AI375" s="59" t="str">
        <f>IF(SUM(Dati[[#This Row],[Inv. Business]:[Inv. Cryptocurrency]])=0," ",SUM(Dati[[#This Row],[Inv. Business]:[Inv. Cryptocurrency]]))</f>
        <v xml:space="preserve"> </v>
      </c>
      <c r="AJ375" s="59"/>
      <c r="AK375" s="59" t="str">
        <f>IF(SUM(Dati[[#This Row],[Inv. Gold]:[Mutuo]])=0," ",SUM(Dati[[#This Row],[Inv. Gold]:[Mutuo]]))</f>
        <v xml:space="preserve"> </v>
      </c>
      <c r="AL375" s="59"/>
      <c r="AM375" s="59"/>
    </row>
    <row r="376" spans="2:39" ht="16" customHeight="1" x14ac:dyDescent="0.35">
      <c r="B376">
        <f t="shared" si="15"/>
        <v>356</v>
      </c>
      <c r="C376" s="49">
        <v>45242</v>
      </c>
      <c r="D376" s="29">
        <f>DAY(Dati[[#This Row],[Data]])</f>
        <v>12</v>
      </c>
      <c r="E376" s="29" t="str">
        <f>IF(DAY(Data!$C$21:$C$1327)&gt;0,TEXT(Data!$C$21:$C$1327, "mmmm"),"")</f>
        <v>novembre</v>
      </c>
      <c r="F376" s="29" t="str">
        <f>IF(DAY(Data!$C$21:$C$1327)&gt;0,TEXT(Data!$C$21:$C$1327, "aaaa"),"")</f>
        <v>2023</v>
      </c>
      <c r="I376" t="str">
        <f>IF(OR(H376=$B$5,H376=$B$6,H376=$B$7,H376=$B$8,H376=$B$9,H376=$B$10,H376=$B$11,H376=$B$12,H376=$B$13,H376=$B$14),SottocategorieUscite[[#Headers],[Fuori Casa]],IF(OR(H376=$C$5,H376=$C$6,H376=$C$7,H376=$C$8,H376=$C$9,H376=$C$10,H376=$C$11,H376=$C$12,H376=$C$13,H376=$C$14),SottocategorieUscite[[#Headers],[Varie Uscite]],IF(OR(H376=$D$5,H376=$D$6,H376=$D$7,H376=$D$8,H376=$D$9,H376=$D$10,H376=$D$11,H376=$D$12,H376=$D$13,H376=$D$14),SottocategorieUscite[[#Headers],[Personali]],IF(OR(H376=$E$5,H376=$E$6,H376=$E$7,H376=$E$8,H376=$E$9,H376=$E$10,H376=$E$11,H376=$E$12,H376=$E$13,H376=$E$14),SottocategorieUscite[[#Headers],[Lavoro]],IF(OR(H376=$F$5,H376=$F$6,H376=$F$7,H376=$F$8,H376=$F$9,H376=$F$10,H376=$F$11,H376=$F$12,H376=$F$13,H376=$F$14),SottocategorieUscite[[#Headers],[Casa]],IF(OR(H376=$G$5,H376=$G$6,H376=$G$7,H376=$G$8,H376=$G$9,H376=$G$10,H376=$G$11,H376=$G$12,H376=$G$13,H376=$G$14),SottocategorieUscite[[#Headers],[Utenze]],IF(OR(H376=$H$5,H376=$H$6,H376=$H$7,H376=$H$8,H376=$H$9,H376=$H$10,H376=$H$11,H376=$H$12,H376=$H$13,H376=$H$14),SottocategorieUscite[[#Headers],[Business Uscite]],IF(OR(H376=$I$5,H376=$I$6,H376=$I$7,H376=$I$8,H376=$I$9,H376=$I$10,H376=$I$11,H376=$I$12,H376=$I$13,H376=$I$14),SottocategorieUscite[[#Headers],[Banca]],IF(OR(H376=K$5,H376=K$6,H376=K$7,H376=K$8,H376=K$9,H376=K$10,H376=K$11,H376=K$12,H376=K$13,H376=K$14),SottocategorieEntrate[[#Headers],[Business Entrate]],IF(OR(H376=L$5,H376=L$6,H376=L$7,H376=L$8,H376=L$9,H376=L$10,H376=L$11,H376=L$12,H376=L$13,H376=L$14),SottocategorieEntrate[[#Headers],[Varie Entrate]],IF(OR(H376=M$5,H376=M$6,H376=M$7,H376=M$8,H376=M$9,H376=M$10,H376=M$11,H376=M$12,H376=M$13,H376=M$14),SottocategorieEntrate[[#Headers],[Real Estate]],IF(OR(H376=N$5,H376=N$6,H376=N$7,H376=N$8,H376=N$9,H376=N$10,H376=N$11,H376=N$12,H376=N$13,H376=N$14),SottocategorieEntrate[[#Headers],[Other]],""))))))))))))</f>
        <v/>
      </c>
      <c r="J376" t="str">
        <f>IF(OR(Dati[[#This Row],[Categoria]]="Bollette",Dati[[#This Row],[Categoria]]="Conto &amp; Carte BNL",Dati[[#This Row],[Categoria]]="Prelievo",Dati[[#This Row],[Categoria]]="Affitto",Dati[[#This Row],[Categoria]]="BNL(Interessi Creditori)"),"Carta",IF(Dati[[#This Row],[Categoria]]&lt;&gt;0,"Cash",""))</f>
        <v/>
      </c>
      <c r="K376" s="59" t="str">
        <f>IF(OR(Data!$I376=SottocategorieUscite[[#Headers],[Fuori Casa]],Data!$I376=SottocategorieUscite[[#Headers],[Varie Uscite]],Data!$I376=SottocategorieUscite[[#Headers],[Personali]],Data!$I376=SottocategorieUscite[[#Headers],[Lavoro]]),"$ -","")</f>
        <v/>
      </c>
      <c r="L376" s="59" t="str">
        <f>IF(OR(Data!$I376=SottocategorieUscite[[#Headers],[Casa]],Data!$I376=SottocategorieUscite[[#Headers],[Utenze]],Data!$I376=SottocategorieUscite[[#Headers],[Business Uscite]],Data!$I376=SottocategorieUscite[[#Headers],[Banca]]),"$ -","")</f>
        <v/>
      </c>
      <c r="M376" s="59" t="str">
        <f>IF(OR($I376&lt;&gt;SottocategorieUscite[[#Headers],[Fuori Casa]],$I376&lt;&gt;SottocategorieUscite[[#Headers],[Varie Uscite]],$I376&lt;&gt;SottocategorieUscite[[#Headers],[Personali]],$I376&lt;&gt;SottocategorieUscite[[#Headers],[Lavoro]],$I376&lt;&gt;SottocategorieUscite[[#Headers],[Casa]],$I376&lt;&gt;SottocategorieUscite[[#Headers],[Utenze]],$I376&lt;&gt;SottocategorieUscite[[#Headers],[Business Uscite]],$I376&lt;&gt;SottocategorieUscite[[#Headers],[Banca]]),"","$ -")</f>
        <v/>
      </c>
      <c r="N376" s="59" t="str">
        <f>IF(OR(Data!$I376=SottocategorieEntrate[[#Headers],[Business Entrate]],Data!$I376=SottocategorieEntrate[[#Headers],[Varie Entrate]]),"$ -","")</f>
        <v/>
      </c>
      <c r="O376" s="59" t="str">
        <f>IF(OR(Data!$I376=SottocategorieEntrate[[#Headers],[Real Estate]],SottocategorieEntrate[[#Headers],[Other]]),"$ -","")</f>
        <v/>
      </c>
      <c r="P376" s="59" t="str">
        <f>IF(OR($I376&lt;&gt;SottocategorieEntrate[[#Headers],[Business Entrate]],$I376&lt;&gt;SottocategorieEntrate[[#Headers],[Varie Entrate]],$I376&lt;&gt;SottocategorieEntrate[[#Headers],[Real Estate]],$I376&lt;&gt;SottocategorieEntrate[[#Headers],[Other]]),"","$ -")</f>
        <v/>
      </c>
      <c r="Q376" s="59" t="str">
        <f>IF(Dati[[#This Row],[Categoria]]="Prelievo","€ -","")</f>
        <v/>
      </c>
      <c r="R376" s="244"/>
      <c r="S376" s="59" t="str">
        <f>IF(Dati[[#This Row],[Categoria]]="Savings",0,"")</f>
        <v/>
      </c>
      <c r="T376" s="59"/>
      <c r="U376" s="59"/>
      <c r="V376" s="59"/>
      <c r="W376" s="59"/>
      <c r="X376" s="59"/>
      <c r="Y376" s="59"/>
      <c r="Z376" s="59"/>
      <c r="AA376" s="59"/>
      <c r="AB376" s="59"/>
      <c r="AC376" s="59"/>
      <c r="AD376" s="59"/>
      <c r="AE376" s="59"/>
      <c r="AF376" s="59"/>
      <c r="AG376" s="59"/>
      <c r="AH376" s="59"/>
      <c r="AI376" s="59" t="str">
        <f>IF(SUM(Dati[[#This Row],[Inv. Business]:[Inv. Cryptocurrency]])=0," ",SUM(Dati[[#This Row],[Inv. Business]:[Inv. Cryptocurrency]]))</f>
        <v xml:space="preserve"> </v>
      </c>
      <c r="AJ376" s="59"/>
      <c r="AK376" s="59" t="str">
        <f>IF(SUM(Dati[[#This Row],[Inv. Gold]:[Mutuo]])=0," ",SUM(Dati[[#This Row],[Inv. Gold]:[Mutuo]]))</f>
        <v xml:space="preserve"> </v>
      </c>
      <c r="AL376" s="59"/>
      <c r="AM376" s="59"/>
    </row>
    <row r="377" spans="2:39" ht="16" customHeight="1" x14ac:dyDescent="0.35">
      <c r="B377">
        <f t="shared" si="15"/>
        <v>357</v>
      </c>
      <c r="C377" s="49">
        <f>C369+1</f>
        <v>45243</v>
      </c>
      <c r="D377" s="29">
        <f>DAY(Dati[[#This Row],[Data]])</f>
        <v>13</v>
      </c>
      <c r="E377" s="29" t="str">
        <f>IF(DAY(Data!$C$21:$C$1327)&gt;0,TEXT(Data!$C$21:$C$1327, "mmmm"),"")</f>
        <v>novembre</v>
      </c>
      <c r="F377" s="29" t="str">
        <f>IF(DAY(Data!$C$21:$C$1327)&gt;0,TEXT(Data!$C$21:$C$1327, "aaaa"),"")</f>
        <v>2023</v>
      </c>
      <c r="I377" t="str">
        <f>IF(OR(H377=$B$5,H377=$B$6,H377=$B$7,H377=$B$8,H377=$B$9,H377=$B$10,H377=$B$11,H377=$B$12,H377=$B$13,H377=$B$14),SottocategorieUscite[[#Headers],[Fuori Casa]],IF(OR(H377=$C$5,H377=$C$6,H377=$C$7,H377=$C$8,H377=$C$9,H377=$C$10,H377=$C$11,H377=$C$12,H377=$C$13,H377=$C$14),SottocategorieUscite[[#Headers],[Varie Uscite]],IF(OR(H377=$D$5,H377=$D$6,H377=$D$7,H377=$D$8,H377=$D$9,H377=$D$10,H377=$D$11,H377=$D$12,H377=$D$13,H377=$D$14),SottocategorieUscite[[#Headers],[Personali]],IF(OR(H377=$E$5,H377=$E$6,H377=$E$7,H377=$E$8,H377=$E$9,H377=$E$10,H377=$E$11,H377=$E$12,H377=$E$13,H377=$E$14),SottocategorieUscite[[#Headers],[Lavoro]],IF(OR(H377=$F$5,H377=$F$6,H377=$F$7,H377=$F$8,H377=$F$9,H377=$F$10,H377=$F$11,H377=$F$12,H377=$F$13,H377=$F$14),SottocategorieUscite[[#Headers],[Casa]],IF(OR(H377=$G$5,H377=$G$6,H377=$G$7,H377=$G$8,H377=$G$9,H377=$G$10,H377=$G$11,H377=$G$12,H377=$G$13,H377=$G$14),SottocategorieUscite[[#Headers],[Utenze]],IF(OR(H377=$H$5,H377=$H$6,H377=$H$7,H377=$H$8,H377=$H$9,H377=$H$10,H377=$H$11,H377=$H$12,H377=$H$13,H377=$H$14),SottocategorieUscite[[#Headers],[Business Uscite]],IF(OR(H377=$I$5,H377=$I$6,H377=$I$7,H377=$I$8,H377=$I$9,H377=$I$10,H377=$I$11,H377=$I$12,H377=$I$13,H377=$I$14),SottocategorieUscite[[#Headers],[Banca]],IF(OR(H377=K$5,H377=K$6,H377=K$7,H377=K$8,H377=K$9,H377=K$10,H377=K$11,H377=K$12,H377=K$13,H377=K$14),SottocategorieEntrate[[#Headers],[Business Entrate]],IF(OR(H377=L$5,H377=L$6,H377=L$7,H377=L$8,H377=L$9,H377=L$10,H377=L$11,H377=L$12,H377=L$13,H377=L$14),SottocategorieEntrate[[#Headers],[Varie Entrate]],IF(OR(H377=M$5,H377=M$6,H377=M$7,H377=M$8,H377=M$9,H377=M$10,H377=M$11,H377=M$12,H377=M$13,H377=M$14),SottocategorieEntrate[[#Headers],[Real Estate]],IF(OR(H377=N$5,H377=N$6,H377=N$7,H377=N$8,H377=N$9,H377=N$10,H377=N$11,H377=N$12,H377=N$13,H377=N$14),SottocategorieEntrate[[#Headers],[Other]],""))))))))))))</f>
        <v/>
      </c>
      <c r="J377" t="str">
        <f>IF(OR(Dati[[#This Row],[Categoria]]="Bollette",Dati[[#This Row],[Categoria]]="Conto &amp; Carte BNL",Dati[[#This Row],[Categoria]]="Prelievo",Dati[[#This Row],[Categoria]]="Affitto",Dati[[#This Row],[Categoria]]="BNL(Interessi Creditori)"),"Carta",IF(Dati[[#This Row],[Categoria]]&lt;&gt;0,"Cash",""))</f>
        <v/>
      </c>
      <c r="K377" s="59" t="str">
        <f>IF(OR(Data!$I377=SottocategorieUscite[[#Headers],[Fuori Casa]],Data!$I377=SottocategorieUscite[[#Headers],[Varie Uscite]],Data!$I377=SottocategorieUscite[[#Headers],[Personali]],Data!$I377=SottocategorieUscite[[#Headers],[Lavoro]]),"$ -","")</f>
        <v/>
      </c>
      <c r="L377" s="59" t="str">
        <f>IF(OR(Data!$I377=SottocategorieUscite[[#Headers],[Casa]],Data!$I377=SottocategorieUscite[[#Headers],[Utenze]],Data!$I377=SottocategorieUscite[[#Headers],[Business Uscite]],Data!$I377=SottocategorieUscite[[#Headers],[Banca]]),"$ -","")</f>
        <v/>
      </c>
      <c r="M377" s="59" t="str">
        <f>IF(OR($I377&lt;&gt;SottocategorieUscite[[#Headers],[Fuori Casa]],$I377&lt;&gt;SottocategorieUscite[[#Headers],[Varie Uscite]],$I377&lt;&gt;SottocategorieUscite[[#Headers],[Personali]],$I377&lt;&gt;SottocategorieUscite[[#Headers],[Lavoro]],$I377&lt;&gt;SottocategorieUscite[[#Headers],[Casa]],$I377&lt;&gt;SottocategorieUscite[[#Headers],[Utenze]],$I377&lt;&gt;SottocategorieUscite[[#Headers],[Business Uscite]],$I377&lt;&gt;SottocategorieUscite[[#Headers],[Banca]]),"","$ -")</f>
        <v/>
      </c>
      <c r="N377" s="59" t="str">
        <f>IF(OR(Data!$I377=SottocategorieEntrate[[#Headers],[Business Entrate]],Data!$I377=SottocategorieEntrate[[#Headers],[Varie Entrate]]),"$ -","")</f>
        <v/>
      </c>
      <c r="O377" s="59" t="str">
        <f>IF(OR(Data!$I377=SottocategorieEntrate[[#Headers],[Real Estate]],SottocategorieEntrate[[#Headers],[Other]]),"$ -","")</f>
        <v/>
      </c>
      <c r="P377" s="59" t="str">
        <f>IF(OR($I377&lt;&gt;SottocategorieEntrate[[#Headers],[Business Entrate]],$I377&lt;&gt;SottocategorieEntrate[[#Headers],[Varie Entrate]],$I377&lt;&gt;SottocategorieEntrate[[#Headers],[Real Estate]],$I377&lt;&gt;SottocategorieEntrate[[#Headers],[Other]]),"","$ -")</f>
        <v/>
      </c>
      <c r="Q377" s="59" t="str">
        <f>IF(Dati[[#This Row],[Categoria]]="Prelievo","€ -","")</f>
        <v/>
      </c>
      <c r="R377" s="244"/>
      <c r="S377" s="59" t="str">
        <f>IF(Dati[[#This Row],[Categoria]]="Savings",0,"")</f>
        <v/>
      </c>
      <c r="T377" s="59"/>
      <c r="U377" s="59"/>
      <c r="V377" s="59"/>
      <c r="W377" s="59"/>
      <c r="X377" s="59"/>
      <c r="Y377" s="59"/>
      <c r="Z377" s="59"/>
      <c r="AA377" s="59"/>
      <c r="AB377" s="59"/>
      <c r="AC377" s="59"/>
      <c r="AD377" s="59"/>
      <c r="AE377" s="59"/>
      <c r="AF377" s="59"/>
      <c r="AG377" s="59"/>
      <c r="AH377" s="59"/>
      <c r="AI377" s="59" t="str">
        <f>IF(SUM(Dati[[#This Row],[Inv. Business]:[Inv. Cryptocurrency]])=0," ",SUM(Dati[[#This Row],[Inv. Business]:[Inv. Cryptocurrency]]))</f>
        <v xml:space="preserve"> </v>
      </c>
      <c r="AJ377" s="59"/>
      <c r="AK377" s="59" t="str">
        <f>IF(SUM(Dati[[#This Row],[Inv. Gold]:[Mutuo]])=0," ",SUM(Dati[[#This Row],[Inv. Gold]:[Mutuo]]))</f>
        <v xml:space="preserve"> </v>
      </c>
      <c r="AL377" s="59"/>
      <c r="AM377" s="59"/>
    </row>
    <row r="378" spans="2:39" ht="16" customHeight="1" x14ac:dyDescent="0.35">
      <c r="B378">
        <f t="shared" si="15"/>
        <v>358</v>
      </c>
      <c r="C378" s="49">
        <f t="shared" si="16"/>
        <v>45244</v>
      </c>
      <c r="D378" s="29">
        <f>DAY(Dati[[#This Row],[Data]])</f>
        <v>14</v>
      </c>
      <c r="E378" s="29" t="str">
        <f>IF(DAY(Data!$C$21:$C$1327)&gt;0,TEXT(Data!$C$21:$C$1327, "mmmm"),"")</f>
        <v>novembre</v>
      </c>
      <c r="F378" s="29" t="str">
        <f>IF(DAY(Data!$C$21:$C$1327)&gt;0,TEXT(Data!$C$21:$C$1327, "aaaa"),"")</f>
        <v>2023</v>
      </c>
      <c r="I378" t="str">
        <f>IF(OR(H378=$B$5,H378=$B$6,H378=$B$7,H378=$B$8,H378=$B$9,H378=$B$10,H378=$B$11,H378=$B$12,H378=$B$13,H378=$B$14),SottocategorieUscite[[#Headers],[Fuori Casa]],IF(OR(H378=$C$5,H378=$C$6,H378=$C$7,H378=$C$8,H378=$C$9,H378=$C$10,H378=$C$11,H378=$C$12,H378=$C$13,H378=$C$14),SottocategorieUscite[[#Headers],[Varie Uscite]],IF(OR(H378=$D$5,H378=$D$6,H378=$D$7,H378=$D$8,H378=$D$9,H378=$D$10,H378=$D$11,H378=$D$12,H378=$D$13,H378=$D$14),SottocategorieUscite[[#Headers],[Personali]],IF(OR(H378=$E$5,H378=$E$6,H378=$E$7,H378=$E$8,H378=$E$9,H378=$E$10,H378=$E$11,H378=$E$12,H378=$E$13,H378=$E$14),SottocategorieUscite[[#Headers],[Lavoro]],IF(OR(H378=$F$5,H378=$F$6,H378=$F$7,H378=$F$8,H378=$F$9,H378=$F$10,H378=$F$11,H378=$F$12,H378=$F$13,H378=$F$14),SottocategorieUscite[[#Headers],[Casa]],IF(OR(H378=$G$5,H378=$G$6,H378=$G$7,H378=$G$8,H378=$G$9,H378=$G$10,H378=$G$11,H378=$G$12,H378=$G$13,H378=$G$14),SottocategorieUscite[[#Headers],[Utenze]],IF(OR(H378=$H$5,H378=$H$6,H378=$H$7,H378=$H$8,H378=$H$9,H378=$H$10,H378=$H$11,H378=$H$12,H378=$H$13,H378=$H$14),SottocategorieUscite[[#Headers],[Business Uscite]],IF(OR(H378=$I$5,H378=$I$6,H378=$I$7,H378=$I$8,H378=$I$9,H378=$I$10,H378=$I$11,H378=$I$12,H378=$I$13,H378=$I$14),SottocategorieUscite[[#Headers],[Banca]],IF(OR(H378=K$5,H378=K$6,H378=K$7,H378=K$8,H378=K$9,H378=K$10,H378=K$11,H378=K$12,H378=K$13,H378=K$14),SottocategorieEntrate[[#Headers],[Business Entrate]],IF(OR(H378=L$5,H378=L$6,H378=L$7,H378=L$8,H378=L$9,H378=L$10,H378=L$11,H378=L$12,H378=L$13,H378=L$14),SottocategorieEntrate[[#Headers],[Varie Entrate]],IF(OR(H378=M$5,H378=M$6,H378=M$7,H378=M$8,H378=M$9,H378=M$10,H378=M$11,H378=M$12,H378=M$13,H378=M$14),SottocategorieEntrate[[#Headers],[Real Estate]],IF(OR(H378=N$5,H378=N$6,H378=N$7,H378=N$8,H378=N$9,H378=N$10,H378=N$11,H378=N$12,H378=N$13,H378=N$14),SottocategorieEntrate[[#Headers],[Other]],""))))))))))))</f>
        <v/>
      </c>
      <c r="J378" t="str">
        <f>IF(OR(Dati[[#This Row],[Categoria]]="Bollette",Dati[[#This Row],[Categoria]]="Conto &amp; Carte BNL",Dati[[#This Row],[Categoria]]="Prelievo",Dati[[#This Row],[Categoria]]="Affitto",Dati[[#This Row],[Categoria]]="BNL(Interessi Creditori)"),"Carta",IF(Dati[[#This Row],[Categoria]]&lt;&gt;0,"Cash",""))</f>
        <v/>
      </c>
      <c r="K378" s="59" t="str">
        <f>IF(OR(Data!$I378=SottocategorieUscite[[#Headers],[Fuori Casa]],Data!$I378=SottocategorieUscite[[#Headers],[Varie Uscite]],Data!$I378=SottocategorieUscite[[#Headers],[Personali]],Data!$I378=SottocategorieUscite[[#Headers],[Lavoro]]),"$ -","")</f>
        <v/>
      </c>
      <c r="L378" s="59" t="str">
        <f>IF(OR(Data!$I378=SottocategorieUscite[[#Headers],[Casa]],Data!$I378=SottocategorieUscite[[#Headers],[Utenze]],Data!$I378=SottocategorieUscite[[#Headers],[Business Uscite]],Data!$I378=SottocategorieUscite[[#Headers],[Banca]]),"$ -","")</f>
        <v/>
      </c>
      <c r="M378" s="59" t="str">
        <f>IF(OR($I378&lt;&gt;SottocategorieUscite[[#Headers],[Fuori Casa]],$I378&lt;&gt;SottocategorieUscite[[#Headers],[Varie Uscite]],$I378&lt;&gt;SottocategorieUscite[[#Headers],[Personali]],$I378&lt;&gt;SottocategorieUscite[[#Headers],[Lavoro]],$I378&lt;&gt;SottocategorieUscite[[#Headers],[Casa]],$I378&lt;&gt;SottocategorieUscite[[#Headers],[Utenze]],$I378&lt;&gt;SottocategorieUscite[[#Headers],[Business Uscite]],$I378&lt;&gt;SottocategorieUscite[[#Headers],[Banca]]),"","$ -")</f>
        <v/>
      </c>
      <c r="N378" s="59" t="str">
        <f>IF(OR(Data!$I378=SottocategorieEntrate[[#Headers],[Business Entrate]],Data!$I378=SottocategorieEntrate[[#Headers],[Varie Entrate]]),"$ -","")</f>
        <v/>
      </c>
      <c r="O378" s="59" t="str">
        <f>IF(OR(Data!$I378=SottocategorieEntrate[[#Headers],[Real Estate]],SottocategorieEntrate[[#Headers],[Other]]),"$ -","")</f>
        <v/>
      </c>
      <c r="P378" s="59" t="str">
        <f>IF(OR($I378&lt;&gt;SottocategorieEntrate[[#Headers],[Business Entrate]],$I378&lt;&gt;SottocategorieEntrate[[#Headers],[Varie Entrate]],$I378&lt;&gt;SottocategorieEntrate[[#Headers],[Real Estate]],$I378&lt;&gt;SottocategorieEntrate[[#Headers],[Other]]),"","$ -")</f>
        <v/>
      </c>
      <c r="Q378" s="59" t="str">
        <f>IF(Dati[[#This Row],[Categoria]]="Prelievo","€ -","")</f>
        <v/>
      </c>
      <c r="R378" s="244"/>
      <c r="S378" s="59" t="str">
        <f>IF(Dati[[#This Row],[Categoria]]="Savings",0,"")</f>
        <v/>
      </c>
      <c r="T378" s="59"/>
      <c r="U378" s="59"/>
      <c r="V378" s="59"/>
      <c r="W378" s="59"/>
      <c r="X378" s="59"/>
      <c r="Y378" s="59"/>
      <c r="Z378" s="59"/>
      <c r="AA378" s="59"/>
      <c r="AB378" s="59"/>
      <c r="AC378" s="59"/>
      <c r="AD378" s="59"/>
      <c r="AE378" s="59"/>
      <c r="AF378" s="59"/>
      <c r="AG378" s="59"/>
      <c r="AH378" s="59"/>
      <c r="AI378" s="59" t="str">
        <f>IF(SUM(Dati[[#This Row],[Inv. Business]:[Inv. Cryptocurrency]])=0," ",SUM(Dati[[#This Row],[Inv. Business]:[Inv. Cryptocurrency]]))</f>
        <v xml:space="preserve"> </v>
      </c>
      <c r="AJ378" s="59"/>
      <c r="AK378" s="59" t="str">
        <f>IF(SUM(Dati[[#This Row],[Inv. Gold]:[Mutuo]])=0," ",SUM(Dati[[#This Row],[Inv. Gold]:[Mutuo]]))</f>
        <v xml:space="preserve"> </v>
      </c>
      <c r="AL378" s="59"/>
      <c r="AM378" s="59"/>
    </row>
    <row r="379" spans="2:39" ht="16" customHeight="1" x14ac:dyDescent="0.35">
      <c r="B379">
        <f t="shared" si="15"/>
        <v>359</v>
      </c>
      <c r="C379" s="49">
        <f t="shared" si="16"/>
        <v>45245</v>
      </c>
      <c r="D379" s="29">
        <f>DAY(Dati[[#This Row],[Data]])</f>
        <v>15</v>
      </c>
      <c r="E379" s="29" t="str">
        <f>IF(DAY(Data!$C$21:$C$1327)&gt;0,TEXT(Data!$C$21:$C$1327, "mmmm"),"")</f>
        <v>novembre</v>
      </c>
      <c r="F379" s="29" t="str">
        <f>IF(DAY(Data!$C$21:$C$1327)&gt;0,TEXT(Data!$C$21:$C$1327, "aaaa"),"")</f>
        <v>2023</v>
      </c>
      <c r="I379" t="str">
        <f>IF(OR(H379=$B$5,H379=$B$6,H379=$B$7,H379=$B$8,H379=$B$9,H379=$B$10,H379=$B$11,H379=$B$12,H379=$B$13,H379=$B$14),SottocategorieUscite[[#Headers],[Fuori Casa]],IF(OR(H379=$C$5,H379=$C$6,H379=$C$7,H379=$C$8,H379=$C$9,H379=$C$10,H379=$C$11,H379=$C$12,H379=$C$13,H379=$C$14),SottocategorieUscite[[#Headers],[Varie Uscite]],IF(OR(H379=$D$5,H379=$D$6,H379=$D$7,H379=$D$8,H379=$D$9,H379=$D$10,H379=$D$11,H379=$D$12,H379=$D$13,H379=$D$14),SottocategorieUscite[[#Headers],[Personali]],IF(OR(H379=$E$5,H379=$E$6,H379=$E$7,H379=$E$8,H379=$E$9,H379=$E$10,H379=$E$11,H379=$E$12,H379=$E$13,H379=$E$14),SottocategorieUscite[[#Headers],[Lavoro]],IF(OR(H379=$F$5,H379=$F$6,H379=$F$7,H379=$F$8,H379=$F$9,H379=$F$10,H379=$F$11,H379=$F$12,H379=$F$13,H379=$F$14),SottocategorieUscite[[#Headers],[Casa]],IF(OR(H379=$G$5,H379=$G$6,H379=$G$7,H379=$G$8,H379=$G$9,H379=$G$10,H379=$G$11,H379=$G$12,H379=$G$13,H379=$G$14),SottocategorieUscite[[#Headers],[Utenze]],IF(OR(H379=$H$5,H379=$H$6,H379=$H$7,H379=$H$8,H379=$H$9,H379=$H$10,H379=$H$11,H379=$H$12,H379=$H$13,H379=$H$14),SottocategorieUscite[[#Headers],[Business Uscite]],IF(OR(H379=$I$5,H379=$I$6,H379=$I$7,H379=$I$8,H379=$I$9,H379=$I$10,H379=$I$11,H379=$I$12,H379=$I$13,H379=$I$14),SottocategorieUscite[[#Headers],[Banca]],IF(OR(H379=K$5,H379=K$6,H379=K$7,H379=K$8,H379=K$9,H379=K$10,H379=K$11,H379=K$12,H379=K$13,H379=K$14),SottocategorieEntrate[[#Headers],[Business Entrate]],IF(OR(H379=L$5,H379=L$6,H379=L$7,H379=L$8,H379=L$9,H379=L$10,H379=L$11,H379=L$12,H379=L$13,H379=L$14),SottocategorieEntrate[[#Headers],[Varie Entrate]],IF(OR(H379=M$5,H379=M$6,H379=M$7,H379=M$8,H379=M$9,H379=M$10,H379=M$11,H379=M$12,H379=M$13,H379=M$14),SottocategorieEntrate[[#Headers],[Real Estate]],IF(OR(H379=N$5,H379=N$6,H379=N$7,H379=N$8,H379=N$9,H379=N$10,H379=N$11,H379=N$12,H379=N$13,H379=N$14),SottocategorieEntrate[[#Headers],[Other]],""))))))))))))</f>
        <v/>
      </c>
      <c r="J379" t="str">
        <f>IF(OR(Dati[[#This Row],[Categoria]]="Bollette",Dati[[#This Row],[Categoria]]="Conto &amp; Carte BNL",Dati[[#This Row],[Categoria]]="Prelievo",Dati[[#This Row],[Categoria]]="Affitto",Dati[[#This Row],[Categoria]]="BNL(Interessi Creditori)"),"Carta",IF(Dati[[#This Row],[Categoria]]&lt;&gt;0,"Cash",""))</f>
        <v/>
      </c>
      <c r="K379" s="59" t="str">
        <f>IF(OR(Data!$I379=SottocategorieUscite[[#Headers],[Fuori Casa]],Data!$I379=SottocategorieUscite[[#Headers],[Varie Uscite]],Data!$I379=SottocategorieUscite[[#Headers],[Personali]],Data!$I379=SottocategorieUscite[[#Headers],[Lavoro]]),"$ -","")</f>
        <v/>
      </c>
      <c r="L379" s="59" t="str">
        <f>IF(OR(Data!$I379=SottocategorieUscite[[#Headers],[Casa]],Data!$I379=SottocategorieUscite[[#Headers],[Utenze]],Data!$I379=SottocategorieUscite[[#Headers],[Business Uscite]],Data!$I379=SottocategorieUscite[[#Headers],[Banca]]),"$ -","")</f>
        <v/>
      </c>
      <c r="M379" s="59" t="str">
        <f>IF(OR($I379&lt;&gt;SottocategorieUscite[[#Headers],[Fuori Casa]],$I379&lt;&gt;SottocategorieUscite[[#Headers],[Varie Uscite]],$I379&lt;&gt;SottocategorieUscite[[#Headers],[Personali]],$I379&lt;&gt;SottocategorieUscite[[#Headers],[Lavoro]],$I379&lt;&gt;SottocategorieUscite[[#Headers],[Casa]],$I379&lt;&gt;SottocategorieUscite[[#Headers],[Utenze]],$I379&lt;&gt;SottocategorieUscite[[#Headers],[Business Uscite]],$I379&lt;&gt;SottocategorieUscite[[#Headers],[Banca]]),"","$ -")</f>
        <v/>
      </c>
      <c r="N379" s="59" t="str">
        <f>IF(OR(Data!$I379=SottocategorieEntrate[[#Headers],[Business Entrate]],Data!$I379=SottocategorieEntrate[[#Headers],[Varie Entrate]]),"$ -","")</f>
        <v/>
      </c>
      <c r="O379" s="59" t="str">
        <f>IF(OR(Data!$I379=SottocategorieEntrate[[#Headers],[Real Estate]],SottocategorieEntrate[[#Headers],[Other]]),"$ -","")</f>
        <v/>
      </c>
      <c r="P379" s="59" t="str">
        <f>IF(OR($I379&lt;&gt;SottocategorieEntrate[[#Headers],[Business Entrate]],$I379&lt;&gt;SottocategorieEntrate[[#Headers],[Varie Entrate]],$I379&lt;&gt;SottocategorieEntrate[[#Headers],[Real Estate]],$I379&lt;&gt;SottocategorieEntrate[[#Headers],[Other]]),"","$ -")</f>
        <v/>
      </c>
      <c r="Q379" s="59" t="str">
        <f>IF(Dati[[#This Row],[Categoria]]="Prelievo","€ -","")</f>
        <v/>
      </c>
      <c r="R379" s="244"/>
      <c r="S379" s="59" t="str">
        <f>IF(Dati[[#This Row],[Categoria]]="Savings",0,"")</f>
        <v/>
      </c>
      <c r="T379" s="59"/>
      <c r="U379" s="59"/>
      <c r="V379" s="59"/>
      <c r="W379" s="59"/>
      <c r="X379" s="59"/>
      <c r="Y379" s="59"/>
      <c r="Z379" s="59"/>
      <c r="AA379" s="59"/>
      <c r="AB379" s="59"/>
      <c r="AC379" s="59"/>
      <c r="AD379" s="59"/>
      <c r="AE379" s="59"/>
      <c r="AF379" s="59"/>
      <c r="AG379" s="59"/>
      <c r="AH379" s="59"/>
      <c r="AI379" s="59" t="str">
        <f>IF(SUM(Dati[[#This Row],[Inv. Business]:[Inv. Cryptocurrency]])=0," ",SUM(Dati[[#This Row],[Inv. Business]:[Inv. Cryptocurrency]]))</f>
        <v xml:space="preserve"> </v>
      </c>
      <c r="AJ379" s="59"/>
      <c r="AK379" s="59" t="str">
        <f>IF(SUM(Dati[[#This Row],[Inv. Gold]:[Mutuo]])=0," ",SUM(Dati[[#This Row],[Inv. Gold]:[Mutuo]]))</f>
        <v xml:space="preserve"> </v>
      </c>
      <c r="AL379" s="59"/>
      <c r="AM379" s="59"/>
    </row>
    <row r="380" spans="2:39" ht="16" customHeight="1" x14ac:dyDescent="0.35">
      <c r="B380">
        <f t="shared" si="15"/>
        <v>360</v>
      </c>
      <c r="C380" s="49">
        <f t="shared" si="16"/>
        <v>45246</v>
      </c>
      <c r="D380" s="29">
        <f>DAY(Dati[[#This Row],[Data]])</f>
        <v>16</v>
      </c>
      <c r="E380" s="29" t="str">
        <f>IF(DAY(Data!$C$21:$C$1327)&gt;0,TEXT(Data!$C$21:$C$1327, "mmmm"),"")</f>
        <v>novembre</v>
      </c>
      <c r="F380" s="29" t="str">
        <f>IF(DAY(Data!$C$21:$C$1327)&gt;0,TEXT(Data!$C$21:$C$1327, "aaaa"),"")</f>
        <v>2023</v>
      </c>
      <c r="I380" t="str">
        <f>IF(OR(H380=$B$5,H380=$B$6,H380=$B$7,H380=$B$8,H380=$B$9,H380=$B$10,H380=$B$11,H380=$B$12,H380=$B$13,H380=$B$14),SottocategorieUscite[[#Headers],[Fuori Casa]],IF(OR(H380=$C$5,H380=$C$6,H380=$C$7,H380=$C$8,H380=$C$9,H380=$C$10,H380=$C$11,H380=$C$12,H380=$C$13,H380=$C$14),SottocategorieUscite[[#Headers],[Varie Uscite]],IF(OR(H380=$D$5,H380=$D$6,H380=$D$7,H380=$D$8,H380=$D$9,H380=$D$10,H380=$D$11,H380=$D$12,H380=$D$13,H380=$D$14),SottocategorieUscite[[#Headers],[Personali]],IF(OR(H380=$E$5,H380=$E$6,H380=$E$7,H380=$E$8,H380=$E$9,H380=$E$10,H380=$E$11,H380=$E$12,H380=$E$13,H380=$E$14),SottocategorieUscite[[#Headers],[Lavoro]],IF(OR(H380=$F$5,H380=$F$6,H380=$F$7,H380=$F$8,H380=$F$9,H380=$F$10,H380=$F$11,H380=$F$12,H380=$F$13,H380=$F$14),SottocategorieUscite[[#Headers],[Casa]],IF(OR(H380=$G$5,H380=$G$6,H380=$G$7,H380=$G$8,H380=$G$9,H380=$G$10,H380=$G$11,H380=$G$12,H380=$G$13,H380=$G$14),SottocategorieUscite[[#Headers],[Utenze]],IF(OR(H380=$H$5,H380=$H$6,H380=$H$7,H380=$H$8,H380=$H$9,H380=$H$10,H380=$H$11,H380=$H$12,H380=$H$13,H380=$H$14),SottocategorieUscite[[#Headers],[Business Uscite]],IF(OR(H380=$I$5,H380=$I$6,H380=$I$7,H380=$I$8,H380=$I$9,H380=$I$10,H380=$I$11,H380=$I$12,H380=$I$13,H380=$I$14),SottocategorieUscite[[#Headers],[Banca]],IF(OR(H380=K$5,H380=K$6,H380=K$7,H380=K$8,H380=K$9,H380=K$10,H380=K$11,H380=K$12,H380=K$13,H380=K$14),SottocategorieEntrate[[#Headers],[Business Entrate]],IF(OR(H380=L$5,H380=L$6,H380=L$7,H380=L$8,H380=L$9,H380=L$10,H380=L$11,H380=L$12,H380=L$13,H380=L$14),SottocategorieEntrate[[#Headers],[Varie Entrate]],IF(OR(H380=M$5,H380=M$6,H380=M$7,H380=M$8,H380=M$9,H380=M$10,H380=M$11,H380=M$12,H380=M$13,H380=M$14),SottocategorieEntrate[[#Headers],[Real Estate]],IF(OR(H380=N$5,H380=N$6,H380=N$7,H380=N$8,H380=N$9,H380=N$10,H380=N$11,H380=N$12,H380=N$13,H380=N$14),SottocategorieEntrate[[#Headers],[Other]],""))))))))))))</f>
        <v/>
      </c>
      <c r="J380" t="str">
        <f>IF(OR(Dati[[#This Row],[Categoria]]="Bollette",Dati[[#This Row],[Categoria]]="Conto &amp; Carte BNL",Dati[[#This Row],[Categoria]]="Prelievo",Dati[[#This Row],[Categoria]]="Affitto",Dati[[#This Row],[Categoria]]="BNL(Interessi Creditori)"),"Carta",IF(Dati[[#This Row],[Categoria]]&lt;&gt;0,"Cash",""))</f>
        <v/>
      </c>
      <c r="K380" s="59" t="str">
        <f>IF(OR(Data!$I380=SottocategorieUscite[[#Headers],[Fuori Casa]],Data!$I380=SottocategorieUscite[[#Headers],[Varie Uscite]],Data!$I380=SottocategorieUscite[[#Headers],[Personali]],Data!$I380=SottocategorieUscite[[#Headers],[Lavoro]]),"$ -","")</f>
        <v/>
      </c>
      <c r="L380" s="59" t="str">
        <f>IF(OR(Data!$I380=SottocategorieUscite[[#Headers],[Casa]],Data!$I380=SottocategorieUscite[[#Headers],[Utenze]],Data!$I380=SottocategorieUscite[[#Headers],[Business Uscite]],Data!$I380=SottocategorieUscite[[#Headers],[Banca]]),"$ -","")</f>
        <v/>
      </c>
      <c r="M380" s="59" t="str">
        <f>IF(OR($I380&lt;&gt;SottocategorieUscite[[#Headers],[Fuori Casa]],$I380&lt;&gt;SottocategorieUscite[[#Headers],[Varie Uscite]],$I380&lt;&gt;SottocategorieUscite[[#Headers],[Personali]],$I380&lt;&gt;SottocategorieUscite[[#Headers],[Lavoro]],$I380&lt;&gt;SottocategorieUscite[[#Headers],[Casa]],$I380&lt;&gt;SottocategorieUscite[[#Headers],[Utenze]],$I380&lt;&gt;SottocategorieUscite[[#Headers],[Business Uscite]],$I380&lt;&gt;SottocategorieUscite[[#Headers],[Banca]]),"","$ -")</f>
        <v/>
      </c>
      <c r="N380" s="59" t="str">
        <f>IF(OR(Data!$I380=SottocategorieEntrate[[#Headers],[Business Entrate]],Data!$I380=SottocategorieEntrate[[#Headers],[Varie Entrate]]),"$ -","")</f>
        <v/>
      </c>
      <c r="O380" s="59" t="str">
        <f>IF(OR(Data!$I380=SottocategorieEntrate[[#Headers],[Real Estate]],SottocategorieEntrate[[#Headers],[Other]]),"$ -","")</f>
        <v/>
      </c>
      <c r="P380" s="59" t="str">
        <f>IF(OR($I380&lt;&gt;SottocategorieEntrate[[#Headers],[Business Entrate]],$I380&lt;&gt;SottocategorieEntrate[[#Headers],[Varie Entrate]],$I380&lt;&gt;SottocategorieEntrate[[#Headers],[Real Estate]],$I380&lt;&gt;SottocategorieEntrate[[#Headers],[Other]]),"","$ -")</f>
        <v/>
      </c>
      <c r="Q380" s="59" t="str">
        <f>IF(Dati[[#This Row],[Categoria]]="Prelievo","€ -","")</f>
        <v/>
      </c>
      <c r="R380" s="244"/>
      <c r="S380" s="59" t="str">
        <f>IF(Dati[[#This Row],[Categoria]]="Savings",0,"")</f>
        <v/>
      </c>
      <c r="T380" s="59"/>
      <c r="U380" s="59"/>
      <c r="V380" s="59"/>
      <c r="W380" s="59"/>
      <c r="X380" s="59"/>
      <c r="Y380" s="59"/>
      <c r="Z380" s="59"/>
      <c r="AA380" s="59"/>
      <c r="AB380" s="59"/>
      <c r="AC380" s="59"/>
      <c r="AD380" s="59"/>
      <c r="AE380" s="59"/>
      <c r="AF380" s="59"/>
      <c r="AG380" s="59"/>
      <c r="AH380" s="59"/>
      <c r="AI380" s="59" t="str">
        <f>IF(SUM(Dati[[#This Row],[Inv. Business]:[Inv. Cryptocurrency]])=0," ",SUM(Dati[[#This Row],[Inv. Business]:[Inv. Cryptocurrency]]))</f>
        <v xml:space="preserve"> </v>
      </c>
      <c r="AJ380" s="59"/>
      <c r="AK380" s="59" t="str">
        <f>IF(SUM(Dati[[#This Row],[Inv. Gold]:[Mutuo]])=0," ",SUM(Dati[[#This Row],[Inv. Gold]:[Mutuo]]))</f>
        <v xml:space="preserve"> </v>
      </c>
      <c r="AL380" s="59"/>
      <c r="AM380" s="59"/>
    </row>
    <row r="381" spans="2:39" ht="16" customHeight="1" x14ac:dyDescent="0.35">
      <c r="B381">
        <f t="shared" si="15"/>
        <v>361</v>
      </c>
      <c r="C381" s="49">
        <f t="shared" si="16"/>
        <v>45247</v>
      </c>
      <c r="D381" s="29">
        <f>DAY(Dati[[#This Row],[Data]])</f>
        <v>17</v>
      </c>
      <c r="E381" s="29" t="str">
        <f>IF(DAY(Data!$C$21:$C$1327)&gt;0,TEXT(Data!$C$21:$C$1327, "mmmm"),"")</f>
        <v>novembre</v>
      </c>
      <c r="F381" s="29" t="str">
        <f>IF(DAY(Data!$C$21:$C$1327)&gt;0,TEXT(Data!$C$21:$C$1327, "aaaa"),"")</f>
        <v>2023</v>
      </c>
      <c r="I381" t="str">
        <f>IF(OR(H381=$B$5,H381=$B$6,H381=$B$7,H381=$B$8,H381=$B$9,H381=$B$10,H381=$B$11,H381=$B$12,H381=$B$13,H381=$B$14),SottocategorieUscite[[#Headers],[Fuori Casa]],IF(OR(H381=$C$5,H381=$C$6,H381=$C$7,H381=$C$8,H381=$C$9,H381=$C$10,H381=$C$11,H381=$C$12,H381=$C$13,H381=$C$14),SottocategorieUscite[[#Headers],[Varie Uscite]],IF(OR(H381=$D$5,H381=$D$6,H381=$D$7,H381=$D$8,H381=$D$9,H381=$D$10,H381=$D$11,H381=$D$12,H381=$D$13,H381=$D$14),SottocategorieUscite[[#Headers],[Personali]],IF(OR(H381=$E$5,H381=$E$6,H381=$E$7,H381=$E$8,H381=$E$9,H381=$E$10,H381=$E$11,H381=$E$12,H381=$E$13,H381=$E$14),SottocategorieUscite[[#Headers],[Lavoro]],IF(OR(H381=$F$5,H381=$F$6,H381=$F$7,H381=$F$8,H381=$F$9,H381=$F$10,H381=$F$11,H381=$F$12,H381=$F$13,H381=$F$14),SottocategorieUscite[[#Headers],[Casa]],IF(OR(H381=$G$5,H381=$G$6,H381=$G$7,H381=$G$8,H381=$G$9,H381=$G$10,H381=$G$11,H381=$G$12,H381=$G$13,H381=$G$14),SottocategorieUscite[[#Headers],[Utenze]],IF(OR(H381=$H$5,H381=$H$6,H381=$H$7,H381=$H$8,H381=$H$9,H381=$H$10,H381=$H$11,H381=$H$12,H381=$H$13,H381=$H$14),SottocategorieUscite[[#Headers],[Business Uscite]],IF(OR(H381=$I$5,H381=$I$6,H381=$I$7,H381=$I$8,H381=$I$9,H381=$I$10,H381=$I$11,H381=$I$12,H381=$I$13,H381=$I$14),SottocategorieUscite[[#Headers],[Banca]],IF(OR(H381=K$5,H381=K$6,H381=K$7,H381=K$8,H381=K$9,H381=K$10,H381=K$11,H381=K$12,H381=K$13,H381=K$14),SottocategorieEntrate[[#Headers],[Business Entrate]],IF(OR(H381=L$5,H381=L$6,H381=L$7,H381=L$8,H381=L$9,H381=L$10,H381=L$11,H381=L$12,H381=L$13,H381=L$14),SottocategorieEntrate[[#Headers],[Varie Entrate]],IF(OR(H381=M$5,H381=M$6,H381=M$7,H381=M$8,H381=M$9,H381=M$10,H381=M$11,H381=M$12,H381=M$13,H381=M$14),SottocategorieEntrate[[#Headers],[Real Estate]],IF(OR(H381=N$5,H381=N$6,H381=N$7,H381=N$8,H381=N$9,H381=N$10,H381=N$11,H381=N$12,H381=N$13,H381=N$14),SottocategorieEntrate[[#Headers],[Other]],""))))))))))))</f>
        <v/>
      </c>
      <c r="J381" t="str">
        <f>IF(OR(Dati[[#This Row],[Categoria]]="Bollette",Dati[[#This Row],[Categoria]]="Conto &amp; Carte BNL",Dati[[#This Row],[Categoria]]="Prelievo",Dati[[#This Row],[Categoria]]="Affitto",Dati[[#This Row],[Categoria]]="BNL(Interessi Creditori)"),"Carta",IF(Dati[[#This Row],[Categoria]]&lt;&gt;0,"Cash",""))</f>
        <v/>
      </c>
      <c r="K381" s="59" t="str">
        <f>IF(OR(Data!$I381=SottocategorieUscite[[#Headers],[Fuori Casa]],Data!$I381=SottocategorieUscite[[#Headers],[Varie Uscite]],Data!$I381=SottocategorieUscite[[#Headers],[Personali]],Data!$I381=SottocategorieUscite[[#Headers],[Lavoro]]),"$ -","")</f>
        <v/>
      </c>
      <c r="L381" s="59" t="str">
        <f>IF(OR(Data!$I381=SottocategorieUscite[[#Headers],[Casa]],Data!$I381=SottocategorieUscite[[#Headers],[Utenze]],Data!$I381=SottocategorieUscite[[#Headers],[Business Uscite]],Data!$I381=SottocategorieUscite[[#Headers],[Banca]]),"$ -","")</f>
        <v/>
      </c>
      <c r="M381" s="59" t="str">
        <f>IF(OR($I381&lt;&gt;SottocategorieUscite[[#Headers],[Fuori Casa]],$I381&lt;&gt;SottocategorieUscite[[#Headers],[Varie Uscite]],$I381&lt;&gt;SottocategorieUscite[[#Headers],[Personali]],$I381&lt;&gt;SottocategorieUscite[[#Headers],[Lavoro]],$I381&lt;&gt;SottocategorieUscite[[#Headers],[Casa]],$I381&lt;&gt;SottocategorieUscite[[#Headers],[Utenze]],$I381&lt;&gt;SottocategorieUscite[[#Headers],[Business Uscite]],$I381&lt;&gt;SottocategorieUscite[[#Headers],[Banca]]),"","$ -")</f>
        <v/>
      </c>
      <c r="N381" s="59" t="str">
        <f>IF(OR(Data!$I381=SottocategorieEntrate[[#Headers],[Business Entrate]],Data!$I381=SottocategorieEntrate[[#Headers],[Varie Entrate]]),"$ -","")</f>
        <v/>
      </c>
      <c r="O381" s="59" t="str">
        <f>IF(OR(Data!$I381=SottocategorieEntrate[[#Headers],[Real Estate]],SottocategorieEntrate[[#Headers],[Other]]),"$ -","")</f>
        <v/>
      </c>
      <c r="P381" s="59" t="str">
        <f>IF(OR($I381&lt;&gt;SottocategorieEntrate[[#Headers],[Business Entrate]],$I381&lt;&gt;SottocategorieEntrate[[#Headers],[Varie Entrate]],$I381&lt;&gt;SottocategorieEntrate[[#Headers],[Real Estate]],$I381&lt;&gt;SottocategorieEntrate[[#Headers],[Other]]),"","$ -")</f>
        <v/>
      </c>
      <c r="Q381" s="59" t="str">
        <f>IF(Dati[[#This Row],[Categoria]]="Prelievo","€ -","")</f>
        <v/>
      </c>
      <c r="R381" s="244"/>
      <c r="S381" s="59" t="str">
        <f>IF(Dati[[#This Row],[Categoria]]="Savings",0,"")</f>
        <v/>
      </c>
      <c r="T381" s="59"/>
      <c r="U381" s="59"/>
      <c r="V381" s="59"/>
      <c r="W381" s="59"/>
      <c r="X381" s="59"/>
      <c r="Y381" s="59"/>
      <c r="Z381" s="59"/>
      <c r="AA381" s="59"/>
      <c r="AB381" s="59"/>
      <c r="AC381" s="59"/>
      <c r="AD381" s="59"/>
      <c r="AE381" s="59"/>
      <c r="AF381" s="59"/>
      <c r="AG381" s="59"/>
      <c r="AH381" s="59"/>
      <c r="AI381" s="59" t="str">
        <f>IF(SUM(Dati[[#This Row],[Inv. Business]:[Inv. Cryptocurrency]])=0," ",SUM(Dati[[#This Row],[Inv. Business]:[Inv. Cryptocurrency]]))</f>
        <v xml:space="preserve"> </v>
      </c>
      <c r="AJ381" s="59"/>
      <c r="AK381" s="59" t="str">
        <f>IF(SUM(Dati[[#This Row],[Inv. Gold]:[Mutuo]])=0," ",SUM(Dati[[#This Row],[Inv. Gold]:[Mutuo]]))</f>
        <v xml:space="preserve"> </v>
      </c>
      <c r="AL381" s="59"/>
      <c r="AM381" s="59"/>
    </row>
    <row r="382" spans="2:39" ht="16" customHeight="1" x14ac:dyDescent="0.35">
      <c r="B382">
        <f t="shared" si="15"/>
        <v>362</v>
      </c>
      <c r="C382" s="49">
        <f t="shared" si="16"/>
        <v>45248</v>
      </c>
      <c r="D382" s="29">
        <f>DAY(Dati[[#This Row],[Data]])</f>
        <v>18</v>
      </c>
      <c r="E382" s="29" t="str">
        <f>IF(DAY(Data!$C$21:$C$1327)&gt;0,TEXT(Data!$C$21:$C$1327, "mmmm"),"")</f>
        <v>novembre</v>
      </c>
      <c r="F382" s="29" t="str">
        <f>IF(DAY(Data!$C$21:$C$1327)&gt;0,TEXT(Data!$C$21:$C$1327, "aaaa"),"")</f>
        <v>2023</v>
      </c>
      <c r="I382" t="str">
        <f>IF(OR(H382=$B$5,H382=$B$6,H382=$B$7,H382=$B$8,H382=$B$9,H382=$B$10,H382=$B$11,H382=$B$12,H382=$B$13,H382=$B$14),SottocategorieUscite[[#Headers],[Fuori Casa]],IF(OR(H382=$C$5,H382=$C$6,H382=$C$7,H382=$C$8,H382=$C$9,H382=$C$10,H382=$C$11,H382=$C$12,H382=$C$13,H382=$C$14),SottocategorieUscite[[#Headers],[Varie Uscite]],IF(OR(H382=$D$5,H382=$D$6,H382=$D$7,H382=$D$8,H382=$D$9,H382=$D$10,H382=$D$11,H382=$D$12,H382=$D$13,H382=$D$14),SottocategorieUscite[[#Headers],[Personali]],IF(OR(H382=$E$5,H382=$E$6,H382=$E$7,H382=$E$8,H382=$E$9,H382=$E$10,H382=$E$11,H382=$E$12,H382=$E$13,H382=$E$14),SottocategorieUscite[[#Headers],[Lavoro]],IF(OR(H382=$F$5,H382=$F$6,H382=$F$7,H382=$F$8,H382=$F$9,H382=$F$10,H382=$F$11,H382=$F$12,H382=$F$13,H382=$F$14),SottocategorieUscite[[#Headers],[Casa]],IF(OR(H382=$G$5,H382=$G$6,H382=$G$7,H382=$G$8,H382=$G$9,H382=$G$10,H382=$G$11,H382=$G$12,H382=$G$13,H382=$G$14),SottocategorieUscite[[#Headers],[Utenze]],IF(OR(H382=$H$5,H382=$H$6,H382=$H$7,H382=$H$8,H382=$H$9,H382=$H$10,H382=$H$11,H382=$H$12,H382=$H$13,H382=$H$14),SottocategorieUscite[[#Headers],[Business Uscite]],IF(OR(H382=$I$5,H382=$I$6,H382=$I$7,H382=$I$8,H382=$I$9,H382=$I$10,H382=$I$11,H382=$I$12,H382=$I$13,H382=$I$14),SottocategorieUscite[[#Headers],[Banca]],IF(OR(H382=K$5,H382=K$6,H382=K$7,H382=K$8,H382=K$9,H382=K$10,H382=K$11,H382=K$12,H382=K$13,H382=K$14),SottocategorieEntrate[[#Headers],[Business Entrate]],IF(OR(H382=L$5,H382=L$6,H382=L$7,H382=L$8,H382=L$9,H382=L$10,H382=L$11,H382=L$12,H382=L$13,H382=L$14),SottocategorieEntrate[[#Headers],[Varie Entrate]],IF(OR(H382=M$5,H382=M$6,H382=M$7,H382=M$8,H382=M$9,H382=M$10,H382=M$11,H382=M$12,H382=M$13,H382=M$14),SottocategorieEntrate[[#Headers],[Real Estate]],IF(OR(H382=N$5,H382=N$6,H382=N$7,H382=N$8,H382=N$9,H382=N$10,H382=N$11,H382=N$12,H382=N$13,H382=N$14),SottocategorieEntrate[[#Headers],[Other]],""))))))))))))</f>
        <v/>
      </c>
      <c r="J382" t="str">
        <f>IF(OR(Dati[[#This Row],[Categoria]]="Bollette",Dati[[#This Row],[Categoria]]="Conto &amp; Carte BNL",Dati[[#This Row],[Categoria]]="Prelievo",Dati[[#This Row],[Categoria]]="Affitto",Dati[[#This Row],[Categoria]]="BNL(Interessi Creditori)"),"Carta",IF(Dati[[#This Row],[Categoria]]&lt;&gt;0,"Cash",""))</f>
        <v/>
      </c>
      <c r="K382" s="59" t="str">
        <f>IF(OR(Data!$I382=SottocategorieUscite[[#Headers],[Fuori Casa]],Data!$I382=SottocategorieUscite[[#Headers],[Varie Uscite]],Data!$I382=SottocategorieUscite[[#Headers],[Personali]],Data!$I382=SottocategorieUscite[[#Headers],[Lavoro]]),"$ -","")</f>
        <v/>
      </c>
      <c r="L382" s="59" t="str">
        <f>IF(OR(Data!$I382=SottocategorieUscite[[#Headers],[Casa]],Data!$I382=SottocategorieUscite[[#Headers],[Utenze]],Data!$I382=SottocategorieUscite[[#Headers],[Business Uscite]],Data!$I382=SottocategorieUscite[[#Headers],[Banca]]),"$ -","")</f>
        <v/>
      </c>
      <c r="M382" s="59" t="str">
        <f>IF(OR($I382&lt;&gt;SottocategorieUscite[[#Headers],[Fuori Casa]],$I382&lt;&gt;SottocategorieUscite[[#Headers],[Varie Uscite]],$I382&lt;&gt;SottocategorieUscite[[#Headers],[Personali]],$I382&lt;&gt;SottocategorieUscite[[#Headers],[Lavoro]],$I382&lt;&gt;SottocategorieUscite[[#Headers],[Casa]],$I382&lt;&gt;SottocategorieUscite[[#Headers],[Utenze]],$I382&lt;&gt;SottocategorieUscite[[#Headers],[Business Uscite]],$I382&lt;&gt;SottocategorieUscite[[#Headers],[Banca]]),"","$ -")</f>
        <v/>
      </c>
      <c r="N382" s="59" t="str">
        <f>IF(OR(Data!$I382=SottocategorieEntrate[[#Headers],[Business Entrate]],Data!$I382=SottocategorieEntrate[[#Headers],[Varie Entrate]]),"$ -","")</f>
        <v/>
      </c>
      <c r="O382" s="59" t="str">
        <f>IF(OR(Data!$I382=SottocategorieEntrate[[#Headers],[Real Estate]],SottocategorieEntrate[[#Headers],[Other]]),"$ -","")</f>
        <v/>
      </c>
      <c r="P382" s="59" t="str">
        <f>IF(OR($I382&lt;&gt;SottocategorieEntrate[[#Headers],[Business Entrate]],$I382&lt;&gt;SottocategorieEntrate[[#Headers],[Varie Entrate]],$I382&lt;&gt;SottocategorieEntrate[[#Headers],[Real Estate]],$I382&lt;&gt;SottocategorieEntrate[[#Headers],[Other]]),"","$ -")</f>
        <v/>
      </c>
      <c r="Q382" s="59" t="str">
        <f>IF(Dati[[#This Row],[Categoria]]="Prelievo","€ -","")</f>
        <v/>
      </c>
      <c r="R382" s="244"/>
      <c r="S382" s="59" t="str">
        <f>IF(Dati[[#This Row],[Categoria]]="Savings",0,"")</f>
        <v/>
      </c>
      <c r="T382" s="59"/>
      <c r="U382" s="59"/>
      <c r="V382" s="59"/>
      <c r="W382" s="59"/>
      <c r="X382" s="59"/>
      <c r="Y382" s="59"/>
      <c r="Z382" s="59"/>
      <c r="AA382" s="59"/>
      <c r="AB382" s="59"/>
      <c r="AC382" s="59"/>
      <c r="AD382" s="59"/>
      <c r="AE382" s="59"/>
      <c r="AF382" s="59"/>
      <c r="AG382" s="59"/>
      <c r="AH382" s="59"/>
      <c r="AI382" s="59" t="str">
        <f>IF(SUM(Dati[[#This Row],[Inv. Business]:[Inv. Cryptocurrency]])=0," ",SUM(Dati[[#This Row],[Inv. Business]:[Inv. Cryptocurrency]]))</f>
        <v xml:space="preserve"> </v>
      </c>
      <c r="AJ382" s="59"/>
      <c r="AK382" s="59" t="str">
        <f>IF(SUM(Dati[[#This Row],[Inv. Gold]:[Mutuo]])=0," ",SUM(Dati[[#This Row],[Inv. Gold]:[Mutuo]]))</f>
        <v xml:space="preserve"> </v>
      </c>
      <c r="AL382" s="59"/>
      <c r="AM382" s="59"/>
    </row>
    <row r="383" spans="2:39" ht="16" customHeight="1" x14ac:dyDescent="0.35">
      <c r="B383">
        <f t="shared" si="15"/>
        <v>363</v>
      </c>
      <c r="C383" s="49">
        <v>45248</v>
      </c>
      <c r="D383" s="29">
        <f>DAY(Dati[[#This Row],[Data]])</f>
        <v>18</v>
      </c>
      <c r="E383" s="29" t="str">
        <f>IF(DAY(Data!$C$21:$C$1327)&gt;0,TEXT(Data!$C$21:$C$1327, "mmmm"),"")</f>
        <v>novembre</v>
      </c>
      <c r="F383" s="29" t="str">
        <f>IF(DAY(Data!$C$21:$C$1327)&gt;0,TEXT(Data!$C$21:$C$1327, "aaaa"),"")</f>
        <v>2023</v>
      </c>
      <c r="I383" t="str">
        <f>IF(OR(H383=$B$5,H383=$B$6,H383=$B$7,H383=$B$8,H383=$B$9,H383=$B$10,H383=$B$11,H383=$B$12,H383=$B$13,H383=$B$14),SottocategorieUscite[[#Headers],[Fuori Casa]],IF(OR(H383=$C$5,H383=$C$6,H383=$C$7,H383=$C$8,H383=$C$9,H383=$C$10,H383=$C$11,H383=$C$12,H383=$C$13,H383=$C$14),SottocategorieUscite[[#Headers],[Varie Uscite]],IF(OR(H383=$D$5,H383=$D$6,H383=$D$7,H383=$D$8,H383=$D$9,H383=$D$10,H383=$D$11,H383=$D$12,H383=$D$13,H383=$D$14),SottocategorieUscite[[#Headers],[Personali]],IF(OR(H383=$E$5,H383=$E$6,H383=$E$7,H383=$E$8,H383=$E$9,H383=$E$10,H383=$E$11,H383=$E$12,H383=$E$13,H383=$E$14),SottocategorieUscite[[#Headers],[Lavoro]],IF(OR(H383=$F$5,H383=$F$6,H383=$F$7,H383=$F$8,H383=$F$9,H383=$F$10,H383=$F$11,H383=$F$12,H383=$F$13,H383=$F$14),SottocategorieUscite[[#Headers],[Casa]],IF(OR(H383=$G$5,H383=$G$6,H383=$G$7,H383=$G$8,H383=$G$9,H383=$G$10,H383=$G$11,H383=$G$12,H383=$G$13,H383=$G$14),SottocategorieUscite[[#Headers],[Utenze]],IF(OR(H383=$H$5,H383=$H$6,H383=$H$7,H383=$H$8,H383=$H$9,H383=$H$10,H383=$H$11,H383=$H$12,H383=$H$13,H383=$H$14),SottocategorieUscite[[#Headers],[Business Uscite]],IF(OR(H383=$I$5,H383=$I$6,H383=$I$7,H383=$I$8,H383=$I$9,H383=$I$10,H383=$I$11,H383=$I$12,H383=$I$13,H383=$I$14),SottocategorieUscite[[#Headers],[Banca]],IF(OR(H383=K$5,H383=K$6,H383=K$7,H383=K$8,H383=K$9,H383=K$10,H383=K$11,H383=K$12,H383=K$13,H383=K$14),SottocategorieEntrate[[#Headers],[Business Entrate]],IF(OR(H383=L$5,H383=L$6,H383=L$7,H383=L$8,H383=L$9,H383=L$10,H383=L$11,H383=L$12,H383=L$13,H383=L$14),SottocategorieEntrate[[#Headers],[Varie Entrate]],IF(OR(H383=M$5,H383=M$6,H383=M$7,H383=M$8,H383=M$9,H383=M$10,H383=M$11,H383=M$12,H383=M$13,H383=M$14),SottocategorieEntrate[[#Headers],[Real Estate]],IF(OR(H383=N$5,H383=N$6,H383=N$7,H383=N$8,H383=N$9,H383=N$10,H383=N$11,H383=N$12,H383=N$13,H383=N$14),SottocategorieEntrate[[#Headers],[Other]],""))))))))))))</f>
        <v/>
      </c>
      <c r="J383" t="str">
        <f>IF(OR(Dati[[#This Row],[Categoria]]="Bollette",Dati[[#This Row],[Categoria]]="Conto &amp; Carte BNL",Dati[[#This Row],[Categoria]]="Prelievo",Dati[[#This Row],[Categoria]]="Affitto",Dati[[#This Row],[Categoria]]="BNL(Interessi Creditori)"),"Carta",IF(Dati[[#This Row],[Categoria]]&lt;&gt;0,"Cash",""))</f>
        <v/>
      </c>
      <c r="K383" s="59" t="str">
        <f>IF(OR(Data!$I383=SottocategorieUscite[[#Headers],[Fuori Casa]],Data!$I383=SottocategorieUscite[[#Headers],[Varie Uscite]],Data!$I383=SottocategorieUscite[[#Headers],[Personali]],Data!$I383=SottocategorieUscite[[#Headers],[Lavoro]]),"$ -","")</f>
        <v/>
      </c>
      <c r="L383" s="59" t="str">
        <f>IF(OR(Data!$I383=SottocategorieUscite[[#Headers],[Casa]],Data!$I383=SottocategorieUscite[[#Headers],[Utenze]],Data!$I383=SottocategorieUscite[[#Headers],[Business Uscite]],Data!$I383=SottocategorieUscite[[#Headers],[Banca]]),"$ -","")</f>
        <v/>
      </c>
      <c r="M383" s="59" t="str">
        <f>IF(OR($I383&lt;&gt;SottocategorieUscite[[#Headers],[Fuori Casa]],$I383&lt;&gt;SottocategorieUscite[[#Headers],[Varie Uscite]],$I383&lt;&gt;SottocategorieUscite[[#Headers],[Personali]],$I383&lt;&gt;SottocategorieUscite[[#Headers],[Lavoro]],$I383&lt;&gt;SottocategorieUscite[[#Headers],[Casa]],$I383&lt;&gt;SottocategorieUscite[[#Headers],[Utenze]],$I383&lt;&gt;SottocategorieUscite[[#Headers],[Business Uscite]],$I383&lt;&gt;SottocategorieUscite[[#Headers],[Banca]]),"","$ -")</f>
        <v/>
      </c>
      <c r="N383" s="59" t="str">
        <f>IF(OR(Data!$I383=SottocategorieEntrate[[#Headers],[Business Entrate]],Data!$I383=SottocategorieEntrate[[#Headers],[Varie Entrate]]),"$ -","")</f>
        <v/>
      </c>
      <c r="O383" s="59" t="str">
        <f>IF(OR(Data!$I383=SottocategorieEntrate[[#Headers],[Real Estate]],SottocategorieEntrate[[#Headers],[Other]]),"$ -","")</f>
        <v/>
      </c>
      <c r="P383" s="59" t="str">
        <f>IF(OR($I383&lt;&gt;SottocategorieEntrate[[#Headers],[Business Entrate]],$I383&lt;&gt;SottocategorieEntrate[[#Headers],[Varie Entrate]],$I383&lt;&gt;SottocategorieEntrate[[#Headers],[Real Estate]],$I383&lt;&gt;SottocategorieEntrate[[#Headers],[Other]]),"","$ -")</f>
        <v/>
      </c>
      <c r="Q383" s="59" t="str">
        <f>IF(Dati[[#This Row],[Categoria]]="Prelievo","€ -","")</f>
        <v/>
      </c>
      <c r="R383" s="244"/>
      <c r="S383" s="59" t="str">
        <f>IF(Dati[[#This Row],[Categoria]]="Savings",0,"")</f>
        <v/>
      </c>
      <c r="T383" s="59"/>
      <c r="U383" s="59"/>
      <c r="V383" s="59"/>
      <c r="W383" s="59"/>
      <c r="X383" s="59"/>
      <c r="Y383" s="59"/>
      <c r="Z383" s="59"/>
      <c r="AA383" s="59"/>
      <c r="AB383" s="59"/>
      <c r="AC383" s="59"/>
      <c r="AD383" s="59"/>
      <c r="AE383" s="59"/>
      <c r="AF383" s="59"/>
      <c r="AG383" s="59"/>
      <c r="AH383" s="59"/>
      <c r="AI383" s="59" t="str">
        <f>IF(SUM(Dati[[#This Row],[Inv. Business]:[Inv. Cryptocurrency]])=0," ",SUM(Dati[[#This Row],[Inv. Business]:[Inv. Cryptocurrency]]))</f>
        <v xml:space="preserve"> </v>
      </c>
      <c r="AJ383" s="59"/>
      <c r="AK383" s="59" t="str">
        <f>IF(SUM(Dati[[#This Row],[Inv. Gold]:[Mutuo]])=0," ",SUM(Dati[[#This Row],[Inv. Gold]:[Mutuo]]))</f>
        <v xml:space="preserve"> </v>
      </c>
      <c r="AL383" s="59"/>
      <c r="AM383" s="59"/>
    </row>
    <row r="384" spans="2:39" ht="16" customHeight="1" x14ac:dyDescent="0.35">
      <c r="B384">
        <f t="shared" si="15"/>
        <v>364</v>
      </c>
      <c r="C384" s="49">
        <v>45248</v>
      </c>
      <c r="D384" s="29">
        <f>DAY(Dati[[#This Row],[Data]])</f>
        <v>18</v>
      </c>
      <c r="E384" s="29" t="str">
        <f>IF(DAY(Data!$C$21:$C$1327)&gt;0,TEXT(Data!$C$21:$C$1327, "mmmm"),"")</f>
        <v>novembre</v>
      </c>
      <c r="F384" s="29" t="str">
        <f>IF(DAY(Data!$C$21:$C$1327)&gt;0,TEXT(Data!$C$21:$C$1327, "aaaa"),"")</f>
        <v>2023</v>
      </c>
      <c r="I384" t="str">
        <f>IF(OR(H384=$B$5,H384=$B$6,H384=$B$7,H384=$B$8,H384=$B$9,H384=$B$10,H384=$B$11,H384=$B$12,H384=$B$13,H384=$B$14),SottocategorieUscite[[#Headers],[Fuori Casa]],IF(OR(H384=$C$5,H384=$C$6,H384=$C$7,H384=$C$8,H384=$C$9,H384=$C$10,H384=$C$11,H384=$C$12,H384=$C$13,H384=$C$14),SottocategorieUscite[[#Headers],[Varie Uscite]],IF(OR(H384=$D$5,H384=$D$6,H384=$D$7,H384=$D$8,H384=$D$9,H384=$D$10,H384=$D$11,H384=$D$12,H384=$D$13,H384=$D$14),SottocategorieUscite[[#Headers],[Personali]],IF(OR(H384=$E$5,H384=$E$6,H384=$E$7,H384=$E$8,H384=$E$9,H384=$E$10,H384=$E$11,H384=$E$12,H384=$E$13,H384=$E$14),SottocategorieUscite[[#Headers],[Lavoro]],IF(OR(H384=$F$5,H384=$F$6,H384=$F$7,H384=$F$8,H384=$F$9,H384=$F$10,H384=$F$11,H384=$F$12,H384=$F$13,H384=$F$14),SottocategorieUscite[[#Headers],[Casa]],IF(OR(H384=$G$5,H384=$G$6,H384=$G$7,H384=$G$8,H384=$G$9,H384=$G$10,H384=$G$11,H384=$G$12,H384=$G$13,H384=$G$14),SottocategorieUscite[[#Headers],[Utenze]],IF(OR(H384=$H$5,H384=$H$6,H384=$H$7,H384=$H$8,H384=$H$9,H384=$H$10,H384=$H$11,H384=$H$12,H384=$H$13,H384=$H$14),SottocategorieUscite[[#Headers],[Business Uscite]],IF(OR(H384=$I$5,H384=$I$6,H384=$I$7,H384=$I$8,H384=$I$9,H384=$I$10,H384=$I$11,H384=$I$12,H384=$I$13,H384=$I$14),SottocategorieUscite[[#Headers],[Banca]],IF(OR(H384=K$5,H384=K$6,H384=K$7,H384=K$8,H384=K$9,H384=K$10,H384=K$11,H384=K$12,H384=K$13,H384=K$14),SottocategorieEntrate[[#Headers],[Business Entrate]],IF(OR(H384=L$5,H384=L$6,H384=L$7,H384=L$8,H384=L$9,H384=L$10,H384=L$11,H384=L$12,H384=L$13,H384=L$14),SottocategorieEntrate[[#Headers],[Varie Entrate]],IF(OR(H384=M$5,H384=M$6,H384=M$7,H384=M$8,H384=M$9,H384=M$10,H384=M$11,H384=M$12,H384=M$13,H384=M$14),SottocategorieEntrate[[#Headers],[Real Estate]],IF(OR(H384=N$5,H384=N$6,H384=N$7,H384=N$8,H384=N$9,H384=N$10,H384=N$11,H384=N$12,H384=N$13,H384=N$14),SottocategorieEntrate[[#Headers],[Other]],""))))))))))))</f>
        <v/>
      </c>
      <c r="J384" t="str">
        <f>IF(OR(Dati[[#This Row],[Categoria]]="Bollette",Dati[[#This Row],[Categoria]]="Conto &amp; Carte BNL",Dati[[#This Row],[Categoria]]="Prelievo",Dati[[#This Row],[Categoria]]="Affitto",Dati[[#This Row],[Categoria]]="BNL(Interessi Creditori)"),"Carta",IF(Dati[[#This Row],[Categoria]]&lt;&gt;0,"Cash",""))</f>
        <v/>
      </c>
      <c r="K384" s="59" t="str">
        <f>IF(OR(Data!$I384=SottocategorieUscite[[#Headers],[Fuori Casa]],Data!$I384=SottocategorieUscite[[#Headers],[Varie Uscite]],Data!$I384=SottocategorieUscite[[#Headers],[Personali]],Data!$I384=SottocategorieUscite[[#Headers],[Lavoro]]),"$ -","")</f>
        <v/>
      </c>
      <c r="L384" s="59" t="str">
        <f>IF(OR(Data!$I384=SottocategorieUscite[[#Headers],[Casa]],Data!$I384=SottocategorieUscite[[#Headers],[Utenze]],Data!$I384=SottocategorieUscite[[#Headers],[Business Uscite]],Data!$I384=SottocategorieUscite[[#Headers],[Banca]]),"$ -","")</f>
        <v/>
      </c>
      <c r="M384" s="59" t="str">
        <f>IF(OR($I384&lt;&gt;SottocategorieUscite[[#Headers],[Fuori Casa]],$I384&lt;&gt;SottocategorieUscite[[#Headers],[Varie Uscite]],$I384&lt;&gt;SottocategorieUscite[[#Headers],[Personali]],$I384&lt;&gt;SottocategorieUscite[[#Headers],[Lavoro]],$I384&lt;&gt;SottocategorieUscite[[#Headers],[Casa]],$I384&lt;&gt;SottocategorieUscite[[#Headers],[Utenze]],$I384&lt;&gt;SottocategorieUscite[[#Headers],[Business Uscite]],$I384&lt;&gt;SottocategorieUscite[[#Headers],[Banca]]),"","$ -")</f>
        <v/>
      </c>
      <c r="N384" s="59" t="str">
        <f>IF(OR(Data!$I384=SottocategorieEntrate[[#Headers],[Business Entrate]],Data!$I384=SottocategorieEntrate[[#Headers],[Varie Entrate]]),"$ -","")</f>
        <v/>
      </c>
      <c r="O384" s="59" t="str">
        <f>IF(OR(Data!$I384=SottocategorieEntrate[[#Headers],[Real Estate]],SottocategorieEntrate[[#Headers],[Other]]),"$ -","")</f>
        <v/>
      </c>
      <c r="P384" s="59" t="str">
        <f>IF(OR($I384&lt;&gt;SottocategorieEntrate[[#Headers],[Business Entrate]],$I384&lt;&gt;SottocategorieEntrate[[#Headers],[Varie Entrate]],$I384&lt;&gt;SottocategorieEntrate[[#Headers],[Real Estate]],$I384&lt;&gt;SottocategorieEntrate[[#Headers],[Other]]),"","$ -")</f>
        <v/>
      </c>
      <c r="Q384" s="59" t="str">
        <f>IF(Dati[[#This Row],[Categoria]]="Prelievo","€ -","")</f>
        <v/>
      </c>
      <c r="R384" s="244"/>
      <c r="S384" s="59" t="str">
        <f>IF(Dati[[#This Row],[Categoria]]="Savings",0,"")</f>
        <v/>
      </c>
      <c r="T384" s="59"/>
      <c r="U384" s="59"/>
      <c r="V384" s="59"/>
      <c r="W384" s="59"/>
      <c r="X384" s="59"/>
      <c r="Y384" s="59"/>
      <c r="Z384" s="59"/>
      <c r="AA384" s="59"/>
      <c r="AB384" s="59"/>
      <c r="AC384" s="59"/>
      <c r="AD384" s="59"/>
      <c r="AE384" s="59"/>
      <c r="AF384" s="59"/>
      <c r="AG384" s="59"/>
      <c r="AH384" s="59"/>
      <c r="AI384" s="59" t="str">
        <f>IF(SUM(Dati[[#This Row],[Inv. Business]:[Inv. Cryptocurrency]])=0," ",SUM(Dati[[#This Row],[Inv. Business]:[Inv. Cryptocurrency]]))</f>
        <v xml:space="preserve"> </v>
      </c>
      <c r="AJ384" s="59"/>
      <c r="AK384" s="59" t="str">
        <f>IF(SUM(Dati[[#This Row],[Inv. Gold]:[Mutuo]])=0," ",SUM(Dati[[#This Row],[Inv. Gold]:[Mutuo]]))</f>
        <v xml:space="preserve"> </v>
      </c>
      <c r="AL384" s="59"/>
      <c r="AM384" s="59"/>
    </row>
    <row r="385" spans="2:39" ht="16" customHeight="1" x14ac:dyDescent="0.35">
      <c r="B385">
        <f t="shared" si="15"/>
        <v>365</v>
      </c>
      <c r="C385" s="49">
        <v>45248</v>
      </c>
      <c r="D385" s="29">
        <f>DAY(Dati[[#This Row],[Data]])</f>
        <v>18</v>
      </c>
      <c r="E385" s="29" t="str">
        <f>IF(DAY(Data!$C$21:$C$1327)&gt;0,TEXT(Data!$C$21:$C$1327, "mmmm"),"")</f>
        <v>novembre</v>
      </c>
      <c r="F385" s="29" t="str">
        <f>IF(DAY(Data!$C$21:$C$1327)&gt;0,TEXT(Data!$C$21:$C$1327, "aaaa"),"")</f>
        <v>2023</v>
      </c>
      <c r="I385" t="str">
        <f>IF(OR(H385=$B$5,H385=$B$6,H385=$B$7,H385=$B$8,H385=$B$9,H385=$B$10,H385=$B$11,H385=$B$12,H385=$B$13,H385=$B$14),SottocategorieUscite[[#Headers],[Fuori Casa]],IF(OR(H385=$C$5,H385=$C$6,H385=$C$7,H385=$C$8,H385=$C$9,H385=$C$10,H385=$C$11,H385=$C$12,H385=$C$13,H385=$C$14),SottocategorieUscite[[#Headers],[Varie Uscite]],IF(OR(H385=$D$5,H385=$D$6,H385=$D$7,H385=$D$8,H385=$D$9,H385=$D$10,H385=$D$11,H385=$D$12,H385=$D$13,H385=$D$14),SottocategorieUscite[[#Headers],[Personali]],IF(OR(H385=$E$5,H385=$E$6,H385=$E$7,H385=$E$8,H385=$E$9,H385=$E$10,H385=$E$11,H385=$E$12,H385=$E$13,H385=$E$14),SottocategorieUscite[[#Headers],[Lavoro]],IF(OR(H385=$F$5,H385=$F$6,H385=$F$7,H385=$F$8,H385=$F$9,H385=$F$10,H385=$F$11,H385=$F$12,H385=$F$13,H385=$F$14),SottocategorieUscite[[#Headers],[Casa]],IF(OR(H385=$G$5,H385=$G$6,H385=$G$7,H385=$G$8,H385=$G$9,H385=$G$10,H385=$G$11,H385=$G$12,H385=$G$13,H385=$G$14),SottocategorieUscite[[#Headers],[Utenze]],IF(OR(H385=$H$5,H385=$H$6,H385=$H$7,H385=$H$8,H385=$H$9,H385=$H$10,H385=$H$11,H385=$H$12,H385=$H$13,H385=$H$14),SottocategorieUscite[[#Headers],[Business Uscite]],IF(OR(H385=$I$5,H385=$I$6,H385=$I$7,H385=$I$8,H385=$I$9,H385=$I$10,H385=$I$11,H385=$I$12,H385=$I$13,H385=$I$14),SottocategorieUscite[[#Headers],[Banca]],IF(OR(H385=K$5,H385=K$6,H385=K$7,H385=K$8,H385=K$9,H385=K$10,H385=K$11,H385=K$12,H385=K$13,H385=K$14),SottocategorieEntrate[[#Headers],[Business Entrate]],IF(OR(H385=L$5,H385=L$6,H385=L$7,H385=L$8,H385=L$9,H385=L$10,H385=L$11,H385=L$12,H385=L$13,H385=L$14),SottocategorieEntrate[[#Headers],[Varie Entrate]],IF(OR(H385=M$5,H385=M$6,H385=M$7,H385=M$8,H385=M$9,H385=M$10,H385=M$11,H385=M$12,H385=M$13,H385=M$14),SottocategorieEntrate[[#Headers],[Real Estate]],IF(OR(H385=N$5,H385=N$6,H385=N$7,H385=N$8,H385=N$9,H385=N$10,H385=N$11,H385=N$12,H385=N$13,H385=N$14),SottocategorieEntrate[[#Headers],[Other]],""))))))))))))</f>
        <v/>
      </c>
      <c r="J385" t="str">
        <f>IF(OR(Dati[[#This Row],[Categoria]]="Bollette",Dati[[#This Row],[Categoria]]="Conto &amp; Carte BNL",Dati[[#This Row],[Categoria]]="Prelievo",Dati[[#This Row],[Categoria]]="Affitto",Dati[[#This Row],[Categoria]]="BNL(Interessi Creditori)"),"Carta",IF(Dati[[#This Row],[Categoria]]&lt;&gt;0,"Cash",""))</f>
        <v/>
      </c>
      <c r="K385" s="59" t="str">
        <f>IF(OR(Data!$I385=SottocategorieUscite[[#Headers],[Fuori Casa]],Data!$I385=SottocategorieUscite[[#Headers],[Varie Uscite]],Data!$I385=SottocategorieUscite[[#Headers],[Personali]],Data!$I385=SottocategorieUscite[[#Headers],[Lavoro]]),"$ -","")</f>
        <v/>
      </c>
      <c r="L385" s="59" t="str">
        <f>IF(OR(Data!$I385=SottocategorieUscite[[#Headers],[Casa]],Data!$I385=SottocategorieUscite[[#Headers],[Utenze]],Data!$I385=SottocategorieUscite[[#Headers],[Business Uscite]],Data!$I385=SottocategorieUscite[[#Headers],[Banca]]),"$ -","")</f>
        <v/>
      </c>
      <c r="M385" s="59" t="str">
        <f>IF(OR($I385&lt;&gt;SottocategorieUscite[[#Headers],[Fuori Casa]],$I385&lt;&gt;SottocategorieUscite[[#Headers],[Varie Uscite]],$I385&lt;&gt;SottocategorieUscite[[#Headers],[Personali]],$I385&lt;&gt;SottocategorieUscite[[#Headers],[Lavoro]],$I385&lt;&gt;SottocategorieUscite[[#Headers],[Casa]],$I385&lt;&gt;SottocategorieUscite[[#Headers],[Utenze]],$I385&lt;&gt;SottocategorieUscite[[#Headers],[Business Uscite]],$I385&lt;&gt;SottocategorieUscite[[#Headers],[Banca]]),"","$ -")</f>
        <v/>
      </c>
      <c r="N385" s="59" t="str">
        <f>IF(OR(Data!$I385=SottocategorieEntrate[[#Headers],[Business Entrate]],Data!$I385=SottocategorieEntrate[[#Headers],[Varie Entrate]]),"$ -","")</f>
        <v/>
      </c>
      <c r="O385" s="59" t="str">
        <f>IF(OR(Data!$I385=SottocategorieEntrate[[#Headers],[Real Estate]],SottocategorieEntrate[[#Headers],[Other]]),"$ -","")</f>
        <v/>
      </c>
      <c r="P385" s="59" t="str">
        <f>IF(OR($I385&lt;&gt;SottocategorieEntrate[[#Headers],[Business Entrate]],$I385&lt;&gt;SottocategorieEntrate[[#Headers],[Varie Entrate]],$I385&lt;&gt;SottocategorieEntrate[[#Headers],[Real Estate]],$I385&lt;&gt;SottocategorieEntrate[[#Headers],[Other]]),"","$ -")</f>
        <v/>
      </c>
      <c r="Q385" s="59" t="str">
        <f>IF(Dati[[#This Row],[Categoria]]="Prelievo","€ -","")</f>
        <v/>
      </c>
      <c r="R385" s="244"/>
      <c r="S385" s="59" t="str">
        <f>IF(Dati[[#This Row],[Categoria]]="Savings",0,"")</f>
        <v/>
      </c>
      <c r="T385" s="59"/>
      <c r="U385" s="59"/>
      <c r="V385" s="59"/>
      <c r="W385" s="59"/>
      <c r="X385" s="59"/>
      <c r="Y385" s="59"/>
      <c r="Z385" s="59"/>
      <c r="AA385" s="59"/>
      <c r="AB385" s="59"/>
      <c r="AC385" s="59"/>
      <c r="AD385" s="59"/>
      <c r="AE385" s="59"/>
      <c r="AF385" s="59"/>
      <c r="AG385" s="59"/>
      <c r="AH385" s="59"/>
      <c r="AI385" s="59" t="str">
        <f>IF(SUM(Dati[[#This Row],[Inv. Business]:[Inv. Cryptocurrency]])=0," ",SUM(Dati[[#This Row],[Inv. Business]:[Inv. Cryptocurrency]]))</f>
        <v xml:space="preserve"> </v>
      </c>
      <c r="AJ385" s="59"/>
      <c r="AK385" s="59" t="str">
        <f>IF(SUM(Dati[[#This Row],[Inv. Gold]:[Mutuo]])=0," ",SUM(Dati[[#This Row],[Inv. Gold]:[Mutuo]]))</f>
        <v xml:space="preserve"> </v>
      </c>
      <c r="AL385" s="59"/>
      <c r="AM385" s="59"/>
    </row>
    <row r="386" spans="2:39" ht="16" customHeight="1" x14ac:dyDescent="0.35">
      <c r="B386">
        <f t="shared" si="15"/>
        <v>366</v>
      </c>
      <c r="C386" s="49">
        <v>45248</v>
      </c>
      <c r="D386" s="29">
        <f>DAY(Dati[[#This Row],[Data]])</f>
        <v>18</v>
      </c>
      <c r="E386" s="29" t="str">
        <f>IF(DAY(Data!$C$21:$C$1327)&gt;0,TEXT(Data!$C$21:$C$1327, "mmmm"),"")</f>
        <v>novembre</v>
      </c>
      <c r="F386" s="29" t="str">
        <f>IF(DAY(Data!$C$21:$C$1327)&gt;0,TEXT(Data!$C$21:$C$1327, "aaaa"),"")</f>
        <v>2023</v>
      </c>
      <c r="I386" t="str">
        <f>IF(OR(H386=$B$5,H386=$B$6,H386=$B$7,H386=$B$8,H386=$B$9,H386=$B$10,H386=$B$11,H386=$B$12,H386=$B$13,H386=$B$14),SottocategorieUscite[[#Headers],[Fuori Casa]],IF(OR(H386=$C$5,H386=$C$6,H386=$C$7,H386=$C$8,H386=$C$9,H386=$C$10,H386=$C$11,H386=$C$12,H386=$C$13,H386=$C$14),SottocategorieUscite[[#Headers],[Varie Uscite]],IF(OR(H386=$D$5,H386=$D$6,H386=$D$7,H386=$D$8,H386=$D$9,H386=$D$10,H386=$D$11,H386=$D$12,H386=$D$13,H386=$D$14),SottocategorieUscite[[#Headers],[Personali]],IF(OR(H386=$E$5,H386=$E$6,H386=$E$7,H386=$E$8,H386=$E$9,H386=$E$10,H386=$E$11,H386=$E$12,H386=$E$13,H386=$E$14),SottocategorieUscite[[#Headers],[Lavoro]],IF(OR(H386=$F$5,H386=$F$6,H386=$F$7,H386=$F$8,H386=$F$9,H386=$F$10,H386=$F$11,H386=$F$12,H386=$F$13,H386=$F$14),SottocategorieUscite[[#Headers],[Casa]],IF(OR(H386=$G$5,H386=$G$6,H386=$G$7,H386=$G$8,H386=$G$9,H386=$G$10,H386=$G$11,H386=$G$12,H386=$G$13,H386=$G$14),SottocategorieUscite[[#Headers],[Utenze]],IF(OR(H386=$H$5,H386=$H$6,H386=$H$7,H386=$H$8,H386=$H$9,H386=$H$10,H386=$H$11,H386=$H$12,H386=$H$13,H386=$H$14),SottocategorieUscite[[#Headers],[Business Uscite]],IF(OR(H386=$I$5,H386=$I$6,H386=$I$7,H386=$I$8,H386=$I$9,H386=$I$10,H386=$I$11,H386=$I$12,H386=$I$13,H386=$I$14),SottocategorieUscite[[#Headers],[Banca]],IF(OR(H386=K$5,H386=K$6,H386=K$7,H386=K$8,H386=K$9,H386=K$10,H386=K$11,H386=K$12,H386=K$13,H386=K$14),SottocategorieEntrate[[#Headers],[Business Entrate]],IF(OR(H386=L$5,H386=L$6,H386=L$7,H386=L$8,H386=L$9,H386=L$10,H386=L$11,H386=L$12,H386=L$13,H386=L$14),SottocategorieEntrate[[#Headers],[Varie Entrate]],IF(OR(H386=M$5,H386=M$6,H386=M$7,H386=M$8,H386=M$9,H386=M$10,H386=M$11,H386=M$12,H386=M$13,H386=M$14),SottocategorieEntrate[[#Headers],[Real Estate]],IF(OR(H386=N$5,H386=N$6,H386=N$7,H386=N$8,H386=N$9,H386=N$10,H386=N$11,H386=N$12,H386=N$13,H386=N$14),SottocategorieEntrate[[#Headers],[Other]],""))))))))))))</f>
        <v/>
      </c>
      <c r="J386" t="str">
        <f>IF(OR(Dati[[#This Row],[Categoria]]="Bollette",Dati[[#This Row],[Categoria]]="Conto &amp; Carte BNL",Dati[[#This Row],[Categoria]]="Prelievo",Dati[[#This Row],[Categoria]]="Affitto",Dati[[#This Row],[Categoria]]="BNL(Interessi Creditori)"),"Carta",IF(Dati[[#This Row],[Categoria]]&lt;&gt;0,"Cash",""))</f>
        <v/>
      </c>
      <c r="K386" s="59" t="str">
        <f>IF(OR(Data!$I386=SottocategorieUscite[[#Headers],[Fuori Casa]],Data!$I386=SottocategorieUscite[[#Headers],[Varie Uscite]],Data!$I386=SottocategorieUscite[[#Headers],[Personali]],Data!$I386=SottocategorieUscite[[#Headers],[Lavoro]]),"$ -","")</f>
        <v/>
      </c>
      <c r="L386" s="59" t="str">
        <f>IF(OR(Data!$I386=SottocategorieUscite[[#Headers],[Casa]],Data!$I386=SottocategorieUscite[[#Headers],[Utenze]],Data!$I386=SottocategorieUscite[[#Headers],[Business Uscite]],Data!$I386=SottocategorieUscite[[#Headers],[Banca]]),"$ -","")</f>
        <v/>
      </c>
      <c r="M386" s="59" t="str">
        <f>IF(OR($I386&lt;&gt;SottocategorieUscite[[#Headers],[Fuori Casa]],$I386&lt;&gt;SottocategorieUscite[[#Headers],[Varie Uscite]],$I386&lt;&gt;SottocategorieUscite[[#Headers],[Personali]],$I386&lt;&gt;SottocategorieUscite[[#Headers],[Lavoro]],$I386&lt;&gt;SottocategorieUscite[[#Headers],[Casa]],$I386&lt;&gt;SottocategorieUscite[[#Headers],[Utenze]],$I386&lt;&gt;SottocategorieUscite[[#Headers],[Business Uscite]],$I386&lt;&gt;SottocategorieUscite[[#Headers],[Banca]]),"","$ -")</f>
        <v/>
      </c>
      <c r="N386" s="59" t="str">
        <f>IF(OR(Data!$I386=SottocategorieEntrate[[#Headers],[Business Entrate]],Data!$I386=SottocategorieEntrate[[#Headers],[Varie Entrate]]),"$ -","")</f>
        <v/>
      </c>
      <c r="O386" s="59" t="str">
        <f>IF(OR(Data!$I386=SottocategorieEntrate[[#Headers],[Real Estate]],SottocategorieEntrate[[#Headers],[Other]]),"$ -","")</f>
        <v/>
      </c>
      <c r="P386" s="59" t="str">
        <f>IF(OR($I386&lt;&gt;SottocategorieEntrate[[#Headers],[Business Entrate]],$I386&lt;&gt;SottocategorieEntrate[[#Headers],[Varie Entrate]],$I386&lt;&gt;SottocategorieEntrate[[#Headers],[Real Estate]],$I386&lt;&gt;SottocategorieEntrate[[#Headers],[Other]]),"","$ -")</f>
        <v/>
      </c>
      <c r="Q386" s="59" t="str">
        <f>IF(Dati[[#This Row],[Categoria]]="Prelievo","€ -","")</f>
        <v/>
      </c>
      <c r="R386" s="244"/>
      <c r="S386" s="59" t="str">
        <f>IF(Dati[[#This Row],[Categoria]]="Savings",0,"")</f>
        <v/>
      </c>
      <c r="T386" s="59"/>
      <c r="U386" s="59"/>
      <c r="V386" s="59"/>
      <c r="W386" s="59"/>
      <c r="X386" s="59"/>
      <c r="Y386" s="59"/>
      <c r="Z386" s="59"/>
      <c r="AA386" s="59"/>
      <c r="AB386" s="59"/>
      <c r="AC386" s="59"/>
      <c r="AD386" s="59"/>
      <c r="AE386" s="59"/>
      <c r="AF386" s="59"/>
      <c r="AG386" s="59"/>
      <c r="AH386" s="59"/>
      <c r="AI386" s="59" t="str">
        <f>IF(SUM(Dati[[#This Row],[Inv. Business]:[Inv. Cryptocurrency]])=0," ",SUM(Dati[[#This Row],[Inv. Business]:[Inv. Cryptocurrency]]))</f>
        <v xml:space="preserve"> </v>
      </c>
      <c r="AJ386" s="59"/>
      <c r="AK386" s="59" t="str">
        <f>IF(SUM(Dati[[#This Row],[Inv. Gold]:[Mutuo]])=0," ",SUM(Dati[[#This Row],[Inv. Gold]:[Mutuo]]))</f>
        <v xml:space="preserve"> </v>
      </c>
      <c r="AL386" s="59"/>
      <c r="AM386" s="59"/>
    </row>
    <row r="387" spans="2:39" ht="16" customHeight="1" x14ac:dyDescent="0.35">
      <c r="B387">
        <f t="shared" si="15"/>
        <v>367</v>
      </c>
      <c r="C387" s="49">
        <v>45248</v>
      </c>
      <c r="D387" s="29">
        <f>DAY(Dati[[#This Row],[Data]])</f>
        <v>18</v>
      </c>
      <c r="E387" s="29" t="str">
        <f>IF(DAY(Data!$C$21:$C$1327)&gt;0,TEXT(Data!$C$21:$C$1327, "mmmm"),"")</f>
        <v>novembre</v>
      </c>
      <c r="F387" s="29" t="str">
        <f>IF(DAY(Data!$C$21:$C$1327)&gt;0,TEXT(Data!$C$21:$C$1327, "aaaa"),"")</f>
        <v>2023</v>
      </c>
      <c r="I387" t="str">
        <f>IF(OR(H387=$B$5,H387=$B$6,H387=$B$7,H387=$B$8,H387=$B$9,H387=$B$10,H387=$B$11,H387=$B$12,H387=$B$13,H387=$B$14),SottocategorieUscite[[#Headers],[Fuori Casa]],IF(OR(H387=$C$5,H387=$C$6,H387=$C$7,H387=$C$8,H387=$C$9,H387=$C$10,H387=$C$11,H387=$C$12,H387=$C$13,H387=$C$14),SottocategorieUscite[[#Headers],[Varie Uscite]],IF(OR(H387=$D$5,H387=$D$6,H387=$D$7,H387=$D$8,H387=$D$9,H387=$D$10,H387=$D$11,H387=$D$12,H387=$D$13,H387=$D$14),SottocategorieUscite[[#Headers],[Personali]],IF(OR(H387=$E$5,H387=$E$6,H387=$E$7,H387=$E$8,H387=$E$9,H387=$E$10,H387=$E$11,H387=$E$12,H387=$E$13,H387=$E$14),SottocategorieUscite[[#Headers],[Lavoro]],IF(OR(H387=$F$5,H387=$F$6,H387=$F$7,H387=$F$8,H387=$F$9,H387=$F$10,H387=$F$11,H387=$F$12,H387=$F$13,H387=$F$14),SottocategorieUscite[[#Headers],[Casa]],IF(OR(H387=$G$5,H387=$G$6,H387=$G$7,H387=$G$8,H387=$G$9,H387=$G$10,H387=$G$11,H387=$G$12,H387=$G$13,H387=$G$14),SottocategorieUscite[[#Headers],[Utenze]],IF(OR(H387=$H$5,H387=$H$6,H387=$H$7,H387=$H$8,H387=$H$9,H387=$H$10,H387=$H$11,H387=$H$12,H387=$H$13,H387=$H$14),SottocategorieUscite[[#Headers],[Business Uscite]],IF(OR(H387=$I$5,H387=$I$6,H387=$I$7,H387=$I$8,H387=$I$9,H387=$I$10,H387=$I$11,H387=$I$12,H387=$I$13,H387=$I$14),SottocategorieUscite[[#Headers],[Banca]],IF(OR(H387=K$5,H387=K$6,H387=K$7,H387=K$8,H387=K$9,H387=K$10,H387=K$11,H387=K$12,H387=K$13,H387=K$14),SottocategorieEntrate[[#Headers],[Business Entrate]],IF(OR(H387=L$5,H387=L$6,H387=L$7,H387=L$8,H387=L$9,H387=L$10,H387=L$11,H387=L$12,H387=L$13,H387=L$14),SottocategorieEntrate[[#Headers],[Varie Entrate]],IF(OR(H387=M$5,H387=M$6,H387=M$7,H387=M$8,H387=M$9,H387=M$10,H387=M$11,H387=M$12,H387=M$13,H387=M$14),SottocategorieEntrate[[#Headers],[Real Estate]],IF(OR(H387=N$5,H387=N$6,H387=N$7,H387=N$8,H387=N$9,H387=N$10,H387=N$11,H387=N$12,H387=N$13,H387=N$14),SottocategorieEntrate[[#Headers],[Other]],""))))))))))))</f>
        <v/>
      </c>
      <c r="J387" t="str">
        <f>IF(OR(Dati[[#This Row],[Categoria]]="Bollette",Dati[[#This Row],[Categoria]]="Conto &amp; Carte BNL",Dati[[#This Row],[Categoria]]="Prelievo",Dati[[#This Row],[Categoria]]="Affitto",Dati[[#This Row],[Categoria]]="BNL(Interessi Creditori)"),"Carta",IF(Dati[[#This Row],[Categoria]]&lt;&gt;0,"Cash",""))</f>
        <v/>
      </c>
      <c r="K387" s="59" t="str">
        <f>IF(OR(Data!$I387=SottocategorieUscite[[#Headers],[Fuori Casa]],Data!$I387=SottocategorieUscite[[#Headers],[Varie Uscite]],Data!$I387=SottocategorieUscite[[#Headers],[Personali]],Data!$I387=SottocategorieUscite[[#Headers],[Lavoro]]),"$ -","")</f>
        <v/>
      </c>
      <c r="L387" s="59" t="str">
        <f>IF(OR(Data!$I387=SottocategorieUscite[[#Headers],[Casa]],Data!$I387=SottocategorieUscite[[#Headers],[Utenze]],Data!$I387=SottocategorieUscite[[#Headers],[Business Uscite]],Data!$I387=SottocategorieUscite[[#Headers],[Banca]]),"$ -","")</f>
        <v/>
      </c>
      <c r="M387" s="59" t="str">
        <f>IF(OR($I387&lt;&gt;SottocategorieUscite[[#Headers],[Fuori Casa]],$I387&lt;&gt;SottocategorieUscite[[#Headers],[Varie Uscite]],$I387&lt;&gt;SottocategorieUscite[[#Headers],[Personali]],$I387&lt;&gt;SottocategorieUscite[[#Headers],[Lavoro]],$I387&lt;&gt;SottocategorieUscite[[#Headers],[Casa]],$I387&lt;&gt;SottocategorieUscite[[#Headers],[Utenze]],$I387&lt;&gt;SottocategorieUscite[[#Headers],[Business Uscite]],$I387&lt;&gt;SottocategorieUscite[[#Headers],[Banca]]),"","$ -")</f>
        <v/>
      </c>
      <c r="N387" s="59" t="str">
        <f>IF(OR(Data!$I387=SottocategorieEntrate[[#Headers],[Business Entrate]],Data!$I387=SottocategorieEntrate[[#Headers],[Varie Entrate]]),"$ -","")</f>
        <v/>
      </c>
      <c r="O387" s="59" t="str">
        <f>IF(OR(Data!$I387=SottocategorieEntrate[[#Headers],[Real Estate]],SottocategorieEntrate[[#Headers],[Other]]),"$ -","")</f>
        <v/>
      </c>
      <c r="P387" s="59" t="str">
        <f>IF(OR($I387&lt;&gt;SottocategorieEntrate[[#Headers],[Business Entrate]],$I387&lt;&gt;SottocategorieEntrate[[#Headers],[Varie Entrate]],$I387&lt;&gt;SottocategorieEntrate[[#Headers],[Real Estate]],$I387&lt;&gt;SottocategorieEntrate[[#Headers],[Other]]),"","$ -")</f>
        <v/>
      </c>
      <c r="Q387" s="59" t="str">
        <f>IF(Dati[[#This Row],[Categoria]]="Prelievo","€ -","")</f>
        <v/>
      </c>
      <c r="R387" s="244"/>
      <c r="S387" s="59" t="str">
        <f>IF(Dati[[#This Row],[Categoria]]="Savings",0,"")</f>
        <v/>
      </c>
      <c r="T387" s="59"/>
      <c r="U387" s="59"/>
      <c r="V387" s="59"/>
      <c r="W387" s="59"/>
      <c r="X387" s="59"/>
      <c r="Y387" s="59"/>
      <c r="Z387" s="59"/>
      <c r="AA387" s="59"/>
      <c r="AB387" s="59"/>
      <c r="AC387" s="59"/>
      <c r="AD387" s="59"/>
      <c r="AE387" s="59"/>
      <c r="AF387" s="59"/>
      <c r="AG387" s="59"/>
      <c r="AH387" s="59"/>
      <c r="AI387" s="59" t="str">
        <f>IF(SUM(Dati[[#This Row],[Inv. Business]:[Inv. Cryptocurrency]])=0," ",SUM(Dati[[#This Row],[Inv. Business]:[Inv. Cryptocurrency]]))</f>
        <v xml:space="preserve"> </v>
      </c>
      <c r="AJ387" s="59"/>
      <c r="AK387" s="59" t="str">
        <f>IF(SUM(Dati[[#This Row],[Inv. Gold]:[Mutuo]])=0," ",SUM(Dati[[#This Row],[Inv. Gold]:[Mutuo]]))</f>
        <v xml:space="preserve"> </v>
      </c>
      <c r="AL387" s="59"/>
      <c r="AM387" s="59"/>
    </row>
    <row r="388" spans="2:39" ht="16" customHeight="1" x14ac:dyDescent="0.35">
      <c r="B388">
        <f t="shared" si="15"/>
        <v>368</v>
      </c>
      <c r="C388" s="49">
        <v>45248</v>
      </c>
      <c r="D388" s="29">
        <f>DAY(Dati[[#This Row],[Data]])</f>
        <v>18</v>
      </c>
      <c r="E388" s="29" t="str">
        <f>IF(DAY(Data!$C$21:$C$1327)&gt;0,TEXT(Data!$C$21:$C$1327, "mmmm"),"")</f>
        <v>novembre</v>
      </c>
      <c r="F388" s="29" t="str">
        <f>IF(DAY(Data!$C$21:$C$1327)&gt;0,TEXT(Data!$C$21:$C$1327, "aaaa"),"")</f>
        <v>2023</v>
      </c>
      <c r="I388" t="str">
        <f>IF(OR(H388=$B$5,H388=$B$6,H388=$B$7,H388=$B$8,H388=$B$9,H388=$B$10,H388=$B$11,H388=$B$12,H388=$B$13,H388=$B$14),SottocategorieUscite[[#Headers],[Fuori Casa]],IF(OR(H388=$C$5,H388=$C$6,H388=$C$7,H388=$C$8,H388=$C$9,H388=$C$10,H388=$C$11,H388=$C$12,H388=$C$13,H388=$C$14),SottocategorieUscite[[#Headers],[Varie Uscite]],IF(OR(H388=$D$5,H388=$D$6,H388=$D$7,H388=$D$8,H388=$D$9,H388=$D$10,H388=$D$11,H388=$D$12,H388=$D$13,H388=$D$14),SottocategorieUscite[[#Headers],[Personali]],IF(OR(H388=$E$5,H388=$E$6,H388=$E$7,H388=$E$8,H388=$E$9,H388=$E$10,H388=$E$11,H388=$E$12,H388=$E$13,H388=$E$14),SottocategorieUscite[[#Headers],[Lavoro]],IF(OR(H388=$F$5,H388=$F$6,H388=$F$7,H388=$F$8,H388=$F$9,H388=$F$10,H388=$F$11,H388=$F$12,H388=$F$13,H388=$F$14),SottocategorieUscite[[#Headers],[Casa]],IF(OR(H388=$G$5,H388=$G$6,H388=$G$7,H388=$G$8,H388=$G$9,H388=$G$10,H388=$G$11,H388=$G$12,H388=$G$13,H388=$G$14),SottocategorieUscite[[#Headers],[Utenze]],IF(OR(H388=$H$5,H388=$H$6,H388=$H$7,H388=$H$8,H388=$H$9,H388=$H$10,H388=$H$11,H388=$H$12,H388=$H$13,H388=$H$14),SottocategorieUscite[[#Headers],[Business Uscite]],IF(OR(H388=$I$5,H388=$I$6,H388=$I$7,H388=$I$8,H388=$I$9,H388=$I$10,H388=$I$11,H388=$I$12,H388=$I$13,H388=$I$14),SottocategorieUscite[[#Headers],[Banca]],IF(OR(H388=K$5,H388=K$6,H388=K$7,H388=K$8,H388=K$9,H388=K$10,H388=K$11,H388=K$12,H388=K$13,H388=K$14),SottocategorieEntrate[[#Headers],[Business Entrate]],IF(OR(H388=L$5,H388=L$6,H388=L$7,H388=L$8,H388=L$9,H388=L$10,H388=L$11,H388=L$12,H388=L$13,H388=L$14),SottocategorieEntrate[[#Headers],[Varie Entrate]],IF(OR(H388=M$5,H388=M$6,H388=M$7,H388=M$8,H388=M$9,H388=M$10,H388=M$11,H388=M$12,H388=M$13,H388=M$14),SottocategorieEntrate[[#Headers],[Real Estate]],IF(OR(H388=N$5,H388=N$6,H388=N$7,H388=N$8,H388=N$9,H388=N$10,H388=N$11,H388=N$12,H388=N$13,H388=N$14),SottocategorieEntrate[[#Headers],[Other]],""))))))))))))</f>
        <v/>
      </c>
      <c r="J388" t="str">
        <f>IF(OR(Dati[[#This Row],[Categoria]]="Bollette",Dati[[#This Row],[Categoria]]="Conto &amp; Carte BNL",Dati[[#This Row],[Categoria]]="Prelievo",Dati[[#This Row],[Categoria]]="Affitto",Dati[[#This Row],[Categoria]]="BNL(Interessi Creditori)"),"Carta",IF(Dati[[#This Row],[Categoria]]&lt;&gt;0,"Cash",""))</f>
        <v/>
      </c>
      <c r="K388" s="59" t="str">
        <f>IF(OR(Data!$I388=SottocategorieUscite[[#Headers],[Fuori Casa]],Data!$I388=SottocategorieUscite[[#Headers],[Varie Uscite]],Data!$I388=SottocategorieUscite[[#Headers],[Personali]],Data!$I388=SottocategorieUscite[[#Headers],[Lavoro]]),"$ -","")</f>
        <v/>
      </c>
      <c r="L388" s="59" t="str">
        <f>IF(OR(Data!$I388=SottocategorieUscite[[#Headers],[Casa]],Data!$I388=SottocategorieUscite[[#Headers],[Utenze]],Data!$I388=SottocategorieUscite[[#Headers],[Business Uscite]],Data!$I388=SottocategorieUscite[[#Headers],[Banca]]),"$ -","")</f>
        <v/>
      </c>
      <c r="M388" s="59" t="str">
        <f>IF(OR($I388&lt;&gt;SottocategorieUscite[[#Headers],[Fuori Casa]],$I388&lt;&gt;SottocategorieUscite[[#Headers],[Varie Uscite]],$I388&lt;&gt;SottocategorieUscite[[#Headers],[Personali]],$I388&lt;&gt;SottocategorieUscite[[#Headers],[Lavoro]],$I388&lt;&gt;SottocategorieUscite[[#Headers],[Casa]],$I388&lt;&gt;SottocategorieUscite[[#Headers],[Utenze]],$I388&lt;&gt;SottocategorieUscite[[#Headers],[Business Uscite]],$I388&lt;&gt;SottocategorieUscite[[#Headers],[Banca]]),"","$ -")</f>
        <v/>
      </c>
      <c r="N388" s="59" t="str">
        <f>IF(OR(Data!$I388=SottocategorieEntrate[[#Headers],[Business Entrate]],Data!$I388=SottocategorieEntrate[[#Headers],[Varie Entrate]]),"$ -","")</f>
        <v/>
      </c>
      <c r="O388" s="59" t="str">
        <f>IF(OR(Data!$I388=SottocategorieEntrate[[#Headers],[Real Estate]],SottocategorieEntrate[[#Headers],[Other]]),"$ -","")</f>
        <v/>
      </c>
      <c r="P388" s="59" t="str">
        <f>IF(OR($I388&lt;&gt;SottocategorieEntrate[[#Headers],[Business Entrate]],$I388&lt;&gt;SottocategorieEntrate[[#Headers],[Varie Entrate]],$I388&lt;&gt;SottocategorieEntrate[[#Headers],[Real Estate]],$I388&lt;&gt;SottocategorieEntrate[[#Headers],[Other]]),"","$ -")</f>
        <v/>
      </c>
      <c r="Q388" s="59" t="str">
        <f>IF(Dati[[#This Row],[Categoria]]="Prelievo","€ -","")</f>
        <v/>
      </c>
      <c r="R388" s="244"/>
      <c r="S388" s="59" t="str">
        <f>IF(Dati[[#This Row],[Categoria]]="Savings",0,"")</f>
        <v/>
      </c>
      <c r="T388" s="59"/>
      <c r="U388" s="59"/>
      <c r="V388" s="59"/>
      <c r="W388" s="59"/>
      <c r="X388" s="59"/>
      <c r="Y388" s="59"/>
      <c r="Z388" s="59"/>
      <c r="AA388" s="59"/>
      <c r="AB388" s="59"/>
      <c r="AC388" s="59"/>
      <c r="AD388" s="59"/>
      <c r="AE388" s="59"/>
      <c r="AF388" s="59"/>
      <c r="AG388" s="59"/>
      <c r="AH388" s="59"/>
      <c r="AI388" s="59" t="str">
        <f>IF(SUM(Dati[[#This Row],[Inv. Business]:[Inv. Cryptocurrency]])=0," ",SUM(Dati[[#This Row],[Inv. Business]:[Inv. Cryptocurrency]]))</f>
        <v xml:space="preserve"> </v>
      </c>
      <c r="AJ388" s="59"/>
      <c r="AK388" s="59" t="str">
        <f>IF(SUM(Dati[[#This Row],[Inv. Gold]:[Mutuo]])=0," ",SUM(Dati[[#This Row],[Inv. Gold]:[Mutuo]]))</f>
        <v xml:space="preserve"> </v>
      </c>
      <c r="AL388" s="59"/>
      <c r="AM388" s="59"/>
    </row>
    <row r="389" spans="2:39" ht="16" customHeight="1" x14ac:dyDescent="0.35">
      <c r="B389">
        <f t="shared" si="15"/>
        <v>369</v>
      </c>
      <c r="C389" s="49">
        <v>45248</v>
      </c>
      <c r="D389" s="29">
        <f>DAY(Dati[[#This Row],[Data]])</f>
        <v>18</v>
      </c>
      <c r="E389" s="29" t="str">
        <f>IF(DAY(Data!$C$21:$C$1327)&gt;0,TEXT(Data!$C$21:$C$1327, "mmmm"),"")</f>
        <v>novembre</v>
      </c>
      <c r="F389" s="29" t="str">
        <f>IF(DAY(Data!$C$21:$C$1327)&gt;0,TEXT(Data!$C$21:$C$1327, "aaaa"),"")</f>
        <v>2023</v>
      </c>
      <c r="I389" t="str">
        <f>IF(OR(H389=$B$5,H389=$B$6,H389=$B$7,H389=$B$8,H389=$B$9,H389=$B$10,H389=$B$11,H389=$B$12,H389=$B$13,H389=$B$14),SottocategorieUscite[[#Headers],[Fuori Casa]],IF(OR(H389=$C$5,H389=$C$6,H389=$C$7,H389=$C$8,H389=$C$9,H389=$C$10,H389=$C$11,H389=$C$12,H389=$C$13,H389=$C$14),SottocategorieUscite[[#Headers],[Varie Uscite]],IF(OR(H389=$D$5,H389=$D$6,H389=$D$7,H389=$D$8,H389=$D$9,H389=$D$10,H389=$D$11,H389=$D$12,H389=$D$13,H389=$D$14),SottocategorieUscite[[#Headers],[Personali]],IF(OR(H389=$E$5,H389=$E$6,H389=$E$7,H389=$E$8,H389=$E$9,H389=$E$10,H389=$E$11,H389=$E$12,H389=$E$13,H389=$E$14),SottocategorieUscite[[#Headers],[Lavoro]],IF(OR(H389=$F$5,H389=$F$6,H389=$F$7,H389=$F$8,H389=$F$9,H389=$F$10,H389=$F$11,H389=$F$12,H389=$F$13,H389=$F$14),SottocategorieUscite[[#Headers],[Casa]],IF(OR(H389=$G$5,H389=$G$6,H389=$G$7,H389=$G$8,H389=$G$9,H389=$G$10,H389=$G$11,H389=$G$12,H389=$G$13,H389=$G$14),SottocategorieUscite[[#Headers],[Utenze]],IF(OR(H389=$H$5,H389=$H$6,H389=$H$7,H389=$H$8,H389=$H$9,H389=$H$10,H389=$H$11,H389=$H$12,H389=$H$13,H389=$H$14),SottocategorieUscite[[#Headers],[Business Uscite]],IF(OR(H389=$I$5,H389=$I$6,H389=$I$7,H389=$I$8,H389=$I$9,H389=$I$10,H389=$I$11,H389=$I$12,H389=$I$13,H389=$I$14),SottocategorieUscite[[#Headers],[Banca]],IF(OR(H389=K$5,H389=K$6,H389=K$7,H389=K$8,H389=K$9,H389=K$10,H389=K$11,H389=K$12,H389=K$13,H389=K$14),SottocategorieEntrate[[#Headers],[Business Entrate]],IF(OR(H389=L$5,H389=L$6,H389=L$7,H389=L$8,H389=L$9,H389=L$10,H389=L$11,H389=L$12,H389=L$13,H389=L$14),SottocategorieEntrate[[#Headers],[Varie Entrate]],IF(OR(H389=M$5,H389=M$6,H389=M$7,H389=M$8,H389=M$9,H389=M$10,H389=M$11,H389=M$12,H389=M$13,H389=M$14),SottocategorieEntrate[[#Headers],[Real Estate]],IF(OR(H389=N$5,H389=N$6,H389=N$7,H389=N$8,H389=N$9,H389=N$10,H389=N$11,H389=N$12,H389=N$13,H389=N$14),SottocategorieEntrate[[#Headers],[Other]],""))))))))))))</f>
        <v/>
      </c>
      <c r="J389" t="str">
        <f>IF(OR(Dati[[#This Row],[Categoria]]="Bollette",Dati[[#This Row],[Categoria]]="Conto &amp; Carte BNL",Dati[[#This Row],[Categoria]]="Prelievo",Dati[[#This Row],[Categoria]]="Affitto",Dati[[#This Row],[Categoria]]="BNL(Interessi Creditori)"),"Carta",IF(Dati[[#This Row],[Categoria]]&lt;&gt;0,"Cash",""))</f>
        <v/>
      </c>
      <c r="K389" s="59" t="str">
        <f>IF(OR(Data!$I389=SottocategorieUscite[[#Headers],[Fuori Casa]],Data!$I389=SottocategorieUscite[[#Headers],[Varie Uscite]],Data!$I389=SottocategorieUscite[[#Headers],[Personali]],Data!$I389=SottocategorieUscite[[#Headers],[Lavoro]]),"$ -","")</f>
        <v/>
      </c>
      <c r="L389" s="59" t="str">
        <f>IF(OR(Data!$I389=SottocategorieUscite[[#Headers],[Casa]],Data!$I389=SottocategorieUscite[[#Headers],[Utenze]],Data!$I389=SottocategorieUscite[[#Headers],[Business Uscite]],Data!$I389=SottocategorieUscite[[#Headers],[Banca]]),"$ -","")</f>
        <v/>
      </c>
      <c r="M389" s="59" t="str">
        <f>IF(OR($I389&lt;&gt;SottocategorieUscite[[#Headers],[Fuori Casa]],$I389&lt;&gt;SottocategorieUscite[[#Headers],[Varie Uscite]],$I389&lt;&gt;SottocategorieUscite[[#Headers],[Personali]],$I389&lt;&gt;SottocategorieUscite[[#Headers],[Lavoro]],$I389&lt;&gt;SottocategorieUscite[[#Headers],[Casa]],$I389&lt;&gt;SottocategorieUscite[[#Headers],[Utenze]],$I389&lt;&gt;SottocategorieUscite[[#Headers],[Business Uscite]],$I389&lt;&gt;SottocategorieUscite[[#Headers],[Banca]]),"","$ -")</f>
        <v/>
      </c>
      <c r="N389" s="59" t="str">
        <f>IF(OR(Data!$I389=SottocategorieEntrate[[#Headers],[Business Entrate]],Data!$I389=SottocategorieEntrate[[#Headers],[Varie Entrate]]),"$ -","")</f>
        <v/>
      </c>
      <c r="O389" s="59" t="str">
        <f>IF(OR(Data!$I389=SottocategorieEntrate[[#Headers],[Real Estate]],SottocategorieEntrate[[#Headers],[Other]]),"$ -","")</f>
        <v/>
      </c>
      <c r="P389" s="59" t="str">
        <f>IF(OR($I389&lt;&gt;SottocategorieEntrate[[#Headers],[Business Entrate]],$I389&lt;&gt;SottocategorieEntrate[[#Headers],[Varie Entrate]],$I389&lt;&gt;SottocategorieEntrate[[#Headers],[Real Estate]],$I389&lt;&gt;SottocategorieEntrate[[#Headers],[Other]]),"","$ -")</f>
        <v/>
      </c>
      <c r="Q389" s="59" t="str">
        <f>IF(Dati[[#This Row],[Categoria]]="Prelievo","€ -","")</f>
        <v/>
      </c>
      <c r="R389" s="244"/>
      <c r="S389" s="59" t="str">
        <f>IF(Dati[[#This Row],[Categoria]]="Savings",0,"")</f>
        <v/>
      </c>
      <c r="T389" s="59"/>
      <c r="U389" s="59"/>
      <c r="V389" s="59"/>
      <c r="W389" s="59"/>
      <c r="X389" s="59"/>
      <c r="Y389" s="59"/>
      <c r="Z389" s="59"/>
      <c r="AA389" s="59"/>
      <c r="AB389" s="59"/>
      <c r="AC389" s="59"/>
      <c r="AD389" s="59"/>
      <c r="AE389" s="59"/>
      <c r="AF389" s="59"/>
      <c r="AG389" s="59"/>
      <c r="AH389" s="59"/>
      <c r="AI389" s="59" t="str">
        <f>IF(SUM(Dati[[#This Row],[Inv. Business]:[Inv. Cryptocurrency]])=0," ",SUM(Dati[[#This Row],[Inv. Business]:[Inv. Cryptocurrency]]))</f>
        <v xml:space="preserve"> </v>
      </c>
      <c r="AJ389" s="59"/>
      <c r="AK389" s="59" t="str">
        <f>IF(SUM(Dati[[#This Row],[Inv. Gold]:[Mutuo]])=0," ",SUM(Dati[[#This Row],[Inv. Gold]:[Mutuo]]))</f>
        <v xml:space="preserve"> </v>
      </c>
      <c r="AL389" s="59"/>
      <c r="AM389" s="59"/>
    </row>
    <row r="390" spans="2:39" ht="16" customHeight="1" x14ac:dyDescent="0.35">
      <c r="B390">
        <f t="shared" si="15"/>
        <v>370</v>
      </c>
      <c r="C390" s="49">
        <f>C382+1</f>
        <v>45249</v>
      </c>
      <c r="D390" s="29">
        <f>DAY(Dati[[#This Row],[Data]])</f>
        <v>19</v>
      </c>
      <c r="E390" s="29" t="str">
        <f>IF(DAY(Data!$C$21:$C$1327)&gt;0,TEXT(Data!$C$21:$C$1327, "mmmm"),"")</f>
        <v>novembre</v>
      </c>
      <c r="F390" s="29" t="str">
        <f>IF(DAY(Data!$C$21:$C$1327)&gt;0,TEXT(Data!$C$21:$C$1327, "aaaa"),"")</f>
        <v>2023</v>
      </c>
      <c r="I390" t="str">
        <f>IF(OR(H390=$B$5,H390=$B$6,H390=$B$7,H390=$B$8,H390=$B$9,H390=$B$10,H390=$B$11,H390=$B$12,H390=$B$13,H390=$B$14),SottocategorieUscite[[#Headers],[Fuori Casa]],IF(OR(H390=$C$5,H390=$C$6,H390=$C$7,H390=$C$8,H390=$C$9,H390=$C$10,H390=$C$11,H390=$C$12,H390=$C$13,H390=$C$14),SottocategorieUscite[[#Headers],[Varie Uscite]],IF(OR(H390=$D$5,H390=$D$6,H390=$D$7,H390=$D$8,H390=$D$9,H390=$D$10,H390=$D$11,H390=$D$12,H390=$D$13,H390=$D$14),SottocategorieUscite[[#Headers],[Personali]],IF(OR(H390=$E$5,H390=$E$6,H390=$E$7,H390=$E$8,H390=$E$9,H390=$E$10,H390=$E$11,H390=$E$12,H390=$E$13,H390=$E$14),SottocategorieUscite[[#Headers],[Lavoro]],IF(OR(H390=$F$5,H390=$F$6,H390=$F$7,H390=$F$8,H390=$F$9,H390=$F$10,H390=$F$11,H390=$F$12,H390=$F$13,H390=$F$14),SottocategorieUscite[[#Headers],[Casa]],IF(OR(H390=$G$5,H390=$G$6,H390=$G$7,H390=$G$8,H390=$G$9,H390=$G$10,H390=$G$11,H390=$G$12,H390=$G$13,H390=$G$14),SottocategorieUscite[[#Headers],[Utenze]],IF(OR(H390=$H$5,H390=$H$6,H390=$H$7,H390=$H$8,H390=$H$9,H390=$H$10,H390=$H$11,H390=$H$12,H390=$H$13,H390=$H$14),SottocategorieUscite[[#Headers],[Business Uscite]],IF(OR(H390=$I$5,H390=$I$6,H390=$I$7,H390=$I$8,H390=$I$9,H390=$I$10,H390=$I$11,H390=$I$12,H390=$I$13,H390=$I$14),SottocategorieUscite[[#Headers],[Banca]],IF(OR(H390=K$5,H390=K$6,H390=K$7,H390=K$8,H390=K$9,H390=K$10,H390=K$11,H390=K$12,H390=K$13,H390=K$14),SottocategorieEntrate[[#Headers],[Business Entrate]],IF(OR(H390=L$5,H390=L$6,H390=L$7,H390=L$8,H390=L$9,H390=L$10,H390=L$11,H390=L$12,H390=L$13,H390=L$14),SottocategorieEntrate[[#Headers],[Varie Entrate]],IF(OR(H390=M$5,H390=M$6,H390=M$7,H390=M$8,H390=M$9,H390=M$10,H390=M$11,H390=M$12,H390=M$13,H390=M$14),SottocategorieEntrate[[#Headers],[Real Estate]],IF(OR(H390=N$5,H390=N$6,H390=N$7,H390=N$8,H390=N$9,H390=N$10,H390=N$11,H390=N$12,H390=N$13,H390=N$14),SottocategorieEntrate[[#Headers],[Other]],""))))))))))))</f>
        <v/>
      </c>
      <c r="J390" t="str">
        <f>IF(OR(Dati[[#This Row],[Categoria]]="Bollette",Dati[[#This Row],[Categoria]]="Conto &amp; Carte BNL",Dati[[#This Row],[Categoria]]="Prelievo",Dati[[#This Row],[Categoria]]="Affitto",Dati[[#This Row],[Categoria]]="BNL(Interessi Creditori)"),"Carta",IF(Dati[[#This Row],[Categoria]]&lt;&gt;0,"Cash",""))</f>
        <v/>
      </c>
      <c r="K390" s="59" t="str">
        <f>IF(OR(Data!$I390=SottocategorieUscite[[#Headers],[Fuori Casa]],Data!$I390=SottocategorieUscite[[#Headers],[Varie Uscite]],Data!$I390=SottocategorieUscite[[#Headers],[Personali]],Data!$I390=SottocategorieUscite[[#Headers],[Lavoro]]),"$ -","")</f>
        <v/>
      </c>
      <c r="L390" s="59" t="str">
        <f>IF(OR(Data!$I390=SottocategorieUscite[[#Headers],[Casa]],Data!$I390=SottocategorieUscite[[#Headers],[Utenze]],Data!$I390=SottocategorieUscite[[#Headers],[Business Uscite]],Data!$I390=SottocategorieUscite[[#Headers],[Banca]]),"$ -","")</f>
        <v/>
      </c>
      <c r="M390" s="59" t="str">
        <f>IF(OR($I390&lt;&gt;SottocategorieUscite[[#Headers],[Fuori Casa]],$I390&lt;&gt;SottocategorieUscite[[#Headers],[Varie Uscite]],$I390&lt;&gt;SottocategorieUscite[[#Headers],[Personali]],$I390&lt;&gt;SottocategorieUscite[[#Headers],[Lavoro]],$I390&lt;&gt;SottocategorieUscite[[#Headers],[Casa]],$I390&lt;&gt;SottocategorieUscite[[#Headers],[Utenze]],$I390&lt;&gt;SottocategorieUscite[[#Headers],[Business Uscite]],$I390&lt;&gt;SottocategorieUscite[[#Headers],[Banca]]),"","$ -")</f>
        <v/>
      </c>
      <c r="N390" s="59" t="str">
        <f>IF(OR(Data!$I390=SottocategorieEntrate[[#Headers],[Business Entrate]],Data!$I390=SottocategorieEntrate[[#Headers],[Varie Entrate]]),"$ -","")</f>
        <v/>
      </c>
      <c r="O390" s="59" t="str">
        <f>IF(OR(Data!$I390=SottocategorieEntrate[[#Headers],[Real Estate]],SottocategorieEntrate[[#Headers],[Other]]),"$ -","")</f>
        <v/>
      </c>
      <c r="P390" s="59" t="str">
        <f>IF(OR($I390&lt;&gt;SottocategorieEntrate[[#Headers],[Business Entrate]],$I390&lt;&gt;SottocategorieEntrate[[#Headers],[Varie Entrate]],$I390&lt;&gt;SottocategorieEntrate[[#Headers],[Real Estate]],$I390&lt;&gt;SottocategorieEntrate[[#Headers],[Other]]),"","$ -")</f>
        <v/>
      </c>
      <c r="Q390" s="59" t="str">
        <f>IF(Dati[[#This Row],[Categoria]]="Prelievo","€ -","")</f>
        <v/>
      </c>
      <c r="R390" s="244"/>
      <c r="S390" s="59" t="str">
        <f>IF(Dati[[#This Row],[Categoria]]="Savings",0,"")</f>
        <v/>
      </c>
      <c r="T390" s="59"/>
      <c r="U390" s="59"/>
      <c r="V390" s="59"/>
      <c r="W390" s="59"/>
      <c r="X390" s="59"/>
      <c r="Y390" s="59"/>
      <c r="Z390" s="59"/>
      <c r="AA390" s="59"/>
      <c r="AB390" s="59"/>
      <c r="AC390" s="59"/>
      <c r="AD390" s="59"/>
      <c r="AE390" s="59"/>
      <c r="AF390" s="59"/>
      <c r="AG390" s="59"/>
      <c r="AH390" s="59"/>
      <c r="AI390" s="59" t="str">
        <f>IF(SUM(Dati[[#This Row],[Inv. Business]:[Inv. Cryptocurrency]])=0," ",SUM(Dati[[#This Row],[Inv. Business]:[Inv. Cryptocurrency]]))</f>
        <v xml:space="preserve"> </v>
      </c>
      <c r="AJ390" s="59"/>
      <c r="AK390" s="59" t="str">
        <f>IF(SUM(Dati[[#This Row],[Inv. Gold]:[Mutuo]])=0," ",SUM(Dati[[#This Row],[Inv. Gold]:[Mutuo]]))</f>
        <v xml:space="preserve"> </v>
      </c>
      <c r="AL390" s="59"/>
      <c r="AM390" s="59"/>
    </row>
    <row r="391" spans="2:39" ht="16" customHeight="1" x14ac:dyDescent="0.35">
      <c r="B391">
        <f t="shared" si="15"/>
        <v>371</v>
      </c>
      <c r="C391" s="49">
        <f t="shared" ref="C391:C443" si="17">C390+1</f>
        <v>45250</v>
      </c>
      <c r="D391" s="29">
        <f>DAY(Dati[[#This Row],[Data]])</f>
        <v>20</v>
      </c>
      <c r="E391" s="29" t="str">
        <f>IF(DAY(Data!$C$21:$C$1327)&gt;0,TEXT(Data!$C$21:$C$1327, "mmmm"),"")</f>
        <v>novembre</v>
      </c>
      <c r="F391" s="29" t="str">
        <f>IF(DAY(Data!$C$21:$C$1327)&gt;0,TEXT(Data!$C$21:$C$1327, "aaaa"),"")</f>
        <v>2023</v>
      </c>
      <c r="I391" t="str">
        <f>IF(OR(H391=$B$5,H391=$B$6,H391=$B$7,H391=$B$8,H391=$B$9,H391=$B$10,H391=$B$11,H391=$B$12,H391=$B$13,H391=$B$14),SottocategorieUscite[[#Headers],[Fuori Casa]],IF(OR(H391=$C$5,H391=$C$6,H391=$C$7,H391=$C$8,H391=$C$9,H391=$C$10,H391=$C$11,H391=$C$12,H391=$C$13,H391=$C$14),SottocategorieUscite[[#Headers],[Varie Uscite]],IF(OR(H391=$D$5,H391=$D$6,H391=$D$7,H391=$D$8,H391=$D$9,H391=$D$10,H391=$D$11,H391=$D$12,H391=$D$13,H391=$D$14),SottocategorieUscite[[#Headers],[Personali]],IF(OR(H391=$E$5,H391=$E$6,H391=$E$7,H391=$E$8,H391=$E$9,H391=$E$10,H391=$E$11,H391=$E$12,H391=$E$13,H391=$E$14),SottocategorieUscite[[#Headers],[Lavoro]],IF(OR(H391=$F$5,H391=$F$6,H391=$F$7,H391=$F$8,H391=$F$9,H391=$F$10,H391=$F$11,H391=$F$12,H391=$F$13,H391=$F$14),SottocategorieUscite[[#Headers],[Casa]],IF(OR(H391=$G$5,H391=$G$6,H391=$G$7,H391=$G$8,H391=$G$9,H391=$G$10,H391=$G$11,H391=$G$12,H391=$G$13,H391=$G$14),SottocategorieUscite[[#Headers],[Utenze]],IF(OR(H391=$H$5,H391=$H$6,H391=$H$7,H391=$H$8,H391=$H$9,H391=$H$10,H391=$H$11,H391=$H$12,H391=$H$13,H391=$H$14),SottocategorieUscite[[#Headers],[Business Uscite]],IF(OR(H391=$I$5,H391=$I$6,H391=$I$7,H391=$I$8,H391=$I$9,H391=$I$10,H391=$I$11,H391=$I$12,H391=$I$13,H391=$I$14),SottocategorieUscite[[#Headers],[Banca]],IF(OR(H391=K$5,H391=K$6,H391=K$7,H391=K$8,H391=K$9,H391=K$10,H391=K$11,H391=K$12,H391=K$13,H391=K$14),SottocategorieEntrate[[#Headers],[Business Entrate]],IF(OR(H391=L$5,H391=L$6,H391=L$7,H391=L$8,H391=L$9,H391=L$10,H391=L$11,H391=L$12,H391=L$13,H391=L$14),SottocategorieEntrate[[#Headers],[Varie Entrate]],IF(OR(H391=M$5,H391=M$6,H391=M$7,H391=M$8,H391=M$9,H391=M$10,H391=M$11,H391=M$12,H391=M$13,H391=M$14),SottocategorieEntrate[[#Headers],[Real Estate]],IF(OR(H391=N$5,H391=N$6,H391=N$7,H391=N$8,H391=N$9,H391=N$10,H391=N$11,H391=N$12,H391=N$13,H391=N$14),SottocategorieEntrate[[#Headers],[Other]],""))))))))))))</f>
        <v/>
      </c>
      <c r="J391" t="str">
        <f>IF(OR(Dati[[#This Row],[Categoria]]="Bollette",Dati[[#This Row],[Categoria]]="Conto &amp; Carte BNL",Dati[[#This Row],[Categoria]]="Prelievo",Dati[[#This Row],[Categoria]]="Affitto",Dati[[#This Row],[Categoria]]="BNL(Interessi Creditori)"),"Carta",IF(Dati[[#This Row],[Categoria]]&lt;&gt;0,"Cash",""))</f>
        <v/>
      </c>
      <c r="K391" s="59" t="str">
        <f>IF(OR(Data!$I391=SottocategorieUscite[[#Headers],[Fuori Casa]],Data!$I391=SottocategorieUscite[[#Headers],[Varie Uscite]],Data!$I391=SottocategorieUscite[[#Headers],[Personali]],Data!$I391=SottocategorieUscite[[#Headers],[Lavoro]]),"$ -","")</f>
        <v/>
      </c>
      <c r="L391" s="59" t="str">
        <f>IF(OR(Data!$I391=SottocategorieUscite[[#Headers],[Casa]],Data!$I391=SottocategorieUscite[[#Headers],[Utenze]],Data!$I391=SottocategorieUscite[[#Headers],[Business Uscite]],Data!$I391=SottocategorieUscite[[#Headers],[Banca]]),"$ -","")</f>
        <v/>
      </c>
      <c r="M391" s="59" t="str">
        <f>IF(OR($I391&lt;&gt;SottocategorieUscite[[#Headers],[Fuori Casa]],$I391&lt;&gt;SottocategorieUscite[[#Headers],[Varie Uscite]],$I391&lt;&gt;SottocategorieUscite[[#Headers],[Personali]],$I391&lt;&gt;SottocategorieUscite[[#Headers],[Lavoro]],$I391&lt;&gt;SottocategorieUscite[[#Headers],[Casa]],$I391&lt;&gt;SottocategorieUscite[[#Headers],[Utenze]],$I391&lt;&gt;SottocategorieUscite[[#Headers],[Business Uscite]],$I391&lt;&gt;SottocategorieUscite[[#Headers],[Banca]]),"","$ -")</f>
        <v/>
      </c>
      <c r="N391" s="59" t="str">
        <f>IF(OR(Data!$I391=SottocategorieEntrate[[#Headers],[Business Entrate]],Data!$I391=SottocategorieEntrate[[#Headers],[Varie Entrate]]),"$ -","")</f>
        <v/>
      </c>
      <c r="O391" s="59" t="str">
        <f>IF(OR(Data!$I391=SottocategorieEntrate[[#Headers],[Real Estate]],SottocategorieEntrate[[#Headers],[Other]]),"$ -","")</f>
        <v/>
      </c>
      <c r="P391" s="59" t="str">
        <f>IF(OR($I391&lt;&gt;SottocategorieEntrate[[#Headers],[Business Entrate]],$I391&lt;&gt;SottocategorieEntrate[[#Headers],[Varie Entrate]],$I391&lt;&gt;SottocategorieEntrate[[#Headers],[Real Estate]],$I391&lt;&gt;SottocategorieEntrate[[#Headers],[Other]]),"","$ -")</f>
        <v/>
      </c>
      <c r="Q391" s="59" t="str">
        <f>IF(Dati[[#This Row],[Categoria]]="Prelievo","€ -","")</f>
        <v/>
      </c>
      <c r="R391" s="244"/>
      <c r="S391" s="59" t="str">
        <f>IF(Dati[[#This Row],[Categoria]]="Savings",0,"")</f>
        <v/>
      </c>
      <c r="T391" s="59"/>
      <c r="U391" s="59"/>
      <c r="V391" s="59"/>
      <c r="W391" s="59"/>
      <c r="X391" s="59"/>
      <c r="Y391" s="59"/>
      <c r="Z391" s="59"/>
      <c r="AA391" s="59"/>
      <c r="AB391" s="59"/>
      <c r="AC391" s="59"/>
      <c r="AD391" s="59"/>
      <c r="AE391" s="59"/>
      <c r="AF391" s="59"/>
      <c r="AG391" s="59"/>
      <c r="AH391" s="59"/>
      <c r="AI391" s="59" t="str">
        <f>IF(SUM(Dati[[#This Row],[Inv. Business]:[Inv. Cryptocurrency]])=0," ",SUM(Dati[[#This Row],[Inv. Business]:[Inv. Cryptocurrency]]))</f>
        <v xml:space="preserve"> </v>
      </c>
      <c r="AJ391" s="59"/>
      <c r="AK391" s="59" t="str">
        <f>IF(SUM(Dati[[#This Row],[Inv. Gold]:[Mutuo]])=0," ",SUM(Dati[[#This Row],[Inv. Gold]:[Mutuo]]))</f>
        <v xml:space="preserve"> </v>
      </c>
      <c r="AL391" s="59"/>
      <c r="AM391" s="59"/>
    </row>
    <row r="392" spans="2:39" ht="16" customHeight="1" x14ac:dyDescent="0.35">
      <c r="B392">
        <f t="shared" si="15"/>
        <v>372</v>
      </c>
      <c r="C392" s="49">
        <f t="shared" si="17"/>
        <v>45251</v>
      </c>
      <c r="D392" s="29">
        <f>DAY(Dati[[#This Row],[Data]])</f>
        <v>21</v>
      </c>
      <c r="E392" s="29" t="str">
        <f>IF(DAY(Data!$C$21:$C$1327)&gt;0,TEXT(Data!$C$21:$C$1327, "mmmm"),"")</f>
        <v>novembre</v>
      </c>
      <c r="F392" s="29" t="str">
        <f>IF(DAY(Data!$C$21:$C$1327)&gt;0,TEXT(Data!$C$21:$C$1327, "aaaa"),"")</f>
        <v>2023</v>
      </c>
      <c r="I392" t="str">
        <f>IF(OR(H392=$B$5,H392=$B$6,H392=$B$7,H392=$B$8,H392=$B$9,H392=$B$10,H392=$B$11,H392=$B$12,H392=$B$13,H392=$B$14),SottocategorieUscite[[#Headers],[Fuori Casa]],IF(OR(H392=$C$5,H392=$C$6,H392=$C$7,H392=$C$8,H392=$C$9,H392=$C$10,H392=$C$11,H392=$C$12,H392=$C$13,H392=$C$14),SottocategorieUscite[[#Headers],[Varie Uscite]],IF(OR(H392=$D$5,H392=$D$6,H392=$D$7,H392=$D$8,H392=$D$9,H392=$D$10,H392=$D$11,H392=$D$12,H392=$D$13,H392=$D$14),SottocategorieUscite[[#Headers],[Personali]],IF(OR(H392=$E$5,H392=$E$6,H392=$E$7,H392=$E$8,H392=$E$9,H392=$E$10,H392=$E$11,H392=$E$12,H392=$E$13,H392=$E$14),SottocategorieUscite[[#Headers],[Lavoro]],IF(OR(H392=$F$5,H392=$F$6,H392=$F$7,H392=$F$8,H392=$F$9,H392=$F$10,H392=$F$11,H392=$F$12,H392=$F$13,H392=$F$14),SottocategorieUscite[[#Headers],[Casa]],IF(OR(H392=$G$5,H392=$G$6,H392=$G$7,H392=$G$8,H392=$G$9,H392=$G$10,H392=$G$11,H392=$G$12,H392=$G$13,H392=$G$14),SottocategorieUscite[[#Headers],[Utenze]],IF(OR(H392=$H$5,H392=$H$6,H392=$H$7,H392=$H$8,H392=$H$9,H392=$H$10,H392=$H$11,H392=$H$12,H392=$H$13,H392=$H$14),SottocategorieUscite[[#Headers],[Business Uscite]],IF(OR(H392=$I$5,H392=$I$6,H392=$I$7,H392=$I$8,H392=$I$9,H392=$I$10,H392=$I$11,H392=$I$12,H392=$I$13,H392=$I$14),SottocategorieUscite[[#Headers],[Banca]],IF(OR(H392=K$5,H392=K$6,H392=K$7,H392=K$8,H392=K$9,H392=K$10,H392=K$11,H392=K$12,H392=K$13,H392=K$14),SottocategorieEntrate[[#Headers],[Business Entrate]],IF(OR(H392=L$5,H392=L$6,H392=L$7,H392=L$8,H392=L$9,H392=L$10,H392=L$11,H392=L$12,H392=L$13,H392=L$14),SottocategorieEntrate[[#Headers],[Varie Entrate]],IF(OR(H392=M$5,H392=M$6,H392=M$7,H392=M$8,H392=M$9,H392=M$10,H392=M$11,H392=M$12,H392=M$13,H392=M$14),SottocategorieEntrate[[#Headers],[Real Estate]],IF(OR(H392=N$5,H392=N$6,H392=N$7,H392=N$8,H392=N$9,H392=N$10,H392=N$11,H392=N$12,H392=N$13,H392=N$14),SottocategorieEntrate[[#Headers],[Other]],""))))))))))))</f>
        <v/>
      </c>
      <c r="J392" t="str">
        <f>IF(OR(Dati[[#This Row],[Categoria]]="Bollette",Dati[[#This Row],[Categoria]]="Conto &amp; Carte BNL",Dati[[#This Row],[Categoria]]="Prelievo",Dati[[#This Row],[Categoria]]="Affitto",Dati[[#This Row],[Categoria]]="BNL(Interessi Creditori)"),"Carta",IF(Dati[[#This Row],[Categoria]]&lt;&gt;0,"Cash",""))</f>
        <v/>
      </c>
      <c r="K392" s="59" t="str">
        <f>IF(OR(Data!$I392=SottocategorieUscite[[#Headers],[Fuori Casa]],Data!$I392=SottocategorieUscite[[#Headers],[Varie Uscite]],Data!$I392=SottocategorieUscite[[#Headers],[Personali]],Data!$I392=SottocategorieUscite[[#Headers],[Lavoro]]),"$ -","")</f>
        <v/>
      </c>
      <c r="L392" s="59" t="str">
        <f>IF(OR(Data!$I392=SottocategorieUscite[[#Headers],[Casa]],Data!$I392=SottocategorieUscite[[#Headers],[Utenze]],Data!$I392=SottocategorieUscite[[#Headers],[Business Uscite]],Data!$I392=SottocategorieUscite[[#Headers],[Banca]]),"$ -","")</f>
        <v/>
      </c>
      <c r="M392" s="59" t="str">
        <f>IF(OR($I392&lt;&gt;SottocategorieUscite[[#Headers],[Fuori Casa]],$I392&lt;&gt;SottocategorieUscite[[#Headers],[Varie Uscite]],$I392&lt;&gt;SottocategorieUscite[[#Headers],[Personali]],$I392&lt;&gt;SottocategorieUscite[[#Headers],[Lavoro]],$I392&lt;&gt;SottocategorieUscite[[#Headers],[Casa]],$I392&lt;&gt;SottocategorieUscite[[#Headers],[Utenze]],$I392&lt;&gt;SottocategorieUscite[[#Headers],[Business Uscite]],$I392&lt;&gt;SottocategorieUscite[[#Headers],[Banca]]),"","$ -")</f>
        <v/>
      </c>
      <c r="N392" s="59" t="str">
        <f>IF(OR(Data!$I392=SottocategorieEntrate[[#Headers],[Business Entrate]],Data!$I392=SottocategorieEntrate[[#Headers],[Varie Entrate]]),"$ -","")</f>
        <v/>
      </c>
      <c r="O392" s="59" t="str">
        <f>IF(OR(Data!$I392=SottocategorieEntrate[[#Headers],[Real Estate]],SottocategorieEntrate[[#Headers],[Other]]),"$ -","")</f>
        <v/>
      </c>
      <c r="P392" s="59" t="str">
        <f>IF(OR($I392&lt;&gt;SottocategorieEntrate[[#Headers],[Business Entrate]],$I392&lt;&gt;SottocategorieEntrate[[#Headers],[Varie Entrate]],$I392&lt;&gt;SottocategorieEntrate[[#Headers],[Real Estate]],$I392&lt;&gt;SottocategorieEntrate[[#Headers],[Other]]),"","$ -")</f>
        <v/>
      </c>
      <c r="Q392" s="59" t="str">
        <f>IF(Dati[[#This Row],[Categoria]]="Prelievo","€ -","")</f>
        <v/>
      </c>
      <c r="R392" s="244"/>
      <c r="S392" s="59" t="str">
        <f>IF(Dati[[#This Row],[Categoria]]="Savings",0,"")</f>
        <v/>
      </c>
      <c r="T392" s="59"/>
      <c r="U392" s="59"/>
      <c r="V392" s="59"/>
      <c r="W392" s="59"/>
      <c r="X392" s="59"/>
      <c r="Y392" s="59"/>
      <c r="Z392" s="59"/>
      <c r="AA392" s="59"/>
      <c r="AB392" s="59"/>
      <c r="AC392" s="59"/>
      <c r="AD392" s="59"/>
      <c r="AE392" s="59"/>
      <c r="AF392" s="59"/>
      <c r="AG392" s="59"/>
      <c r="AH392" s="59"/>
      <c r="AI392" s="59" t="str">
        <f>IF(SUM(Dati[[#This Row],[Inv. Business]:[Inv. Cryptocurrency]])=0," ",SUM(Dati[[#This Row],[Inv. Business]:[Inv. Cryptocurrency]]))</f>
        <v xml:space="preserve"> </v>
      </c>
      <c r="AJ392" s="59"/>
      <c r="AK392" s="59" t="str">
        <f>IF(SUM(Dati[[#This Row],[Inv. Gold]:[Mutuo]])=0," ",SUM(Dati[[#This Row],[Inv. Gold]:[Mutuo]]))</f>
        <v xml:space="preserve"> </v>
      </c>
      <c r="AL392" s="59"/>
      <c r="AM392" s="59"/>
    </row>
    <row r="393" spans="2:39" ht="16" customHeight="1" x14ac:dyDescent="0.35">
      <c r="B393">
        <f t="shared" si="15"/>
        <v>373</v>
      </c>
      <c r="C393" s="49">
        <f t="shared" si="17"/>
        <v>45252</v>
      </c>
      <c r="D393" s="29">
        <f>DAY(Dati[[#This Row],[Data]])</f>
        <v>22</v>
      </c>
      <c r="E393" s="29" t="str">
        <f>IF(DAY(Data!$C$21:$C$1327)&gt;0,TEXT(Data!$C$21:$C$1327, "mmmm"),"")</f>
        <v>novembre</v>
      </c>
      <c r="F393" s="29" t="str">
        <f>IF(DAY(Data!$C$21:$C$1327)&gt;0,TEXT(Data!$C$21:$C$1327, "aaaa"),"")</f>
        <v>2023</v>
      </c>
      <c r="I393" t="str">
        <f>IF(OR(H393=$B$5,H393=$B$6,H393=$B$7,H393=$B$8,H393=$B$9,H393=$B$10,H393=$B$11,H393=$B$12,H393=$B$13,H393=$B$14),SottocategorieUscite[[#Headers],[Fuori Casa]],IF(OR(H393=$C$5,H393=$C$6,H393=$C$7,H393=$C$8,H393=$C$9,H393=$C$10,H393=$C$11,H393=$C$12,H393=$C$13,H393=$C$14),SottocategorieUscite[[#Headers],[Varie Uscite]],IF(OR(H393=$D$5,H393=$D$6,H393=$D$7,H393=$D$8,H393=$D$9,H393=$D$10,H393=$D$11,H393=$D$12,H393=$D$13,H393=$D$14),SottocategorieUscite[[#Headers],[Personali]],IF(OR(H393=$E$5,H393=$E$6,H393=$E$7,H393=$E$8,H393=$E$9,H393=$E$10,H393=$E$11,H393=$E$12,H393=$E$13,H393=$E$14),SottocategorieUscite[[#Headers],[Lavoro]],IF(OR(H393=$F$5,H393=$F$6,H393=$F$7,H393=$F$8,H393=$F$9,H393=$F$10,H393=$F$11,H393=$F$12,H393=$F$13,H393=$F$14),SottocategorieUscite[[#Headers],[Casa]],IF(OR(H393=$G$5,H393=$G$6,H393=$G$7,H393=$G$8,H393=$G$9,H393=$G$10,H393=$G$11,H393=$G$12,H393=$G$13,H393=$G$14),SottocategorieUscite[[#Headers],[Utenze]],IF(OR(H393=$H$5,H393=$H$6,H393=$H$7,H393=$H$8,H393=$H$9,H393=$H$10,H393=$H$11,H393=$H$12,H393=$H$13,H393=$H$14),SottocategorieUscite[[#Headers],[Business Uscite]],IF(OR(H393=$I$5,H393=$I$6,H393=$I$7,H393=$I$8,H393=$I$9,H393=$I$10,H393=$I$11,H393=$I$12,H393=$I$13,H393=$I$14),SottocategorieUscite[[#Headers],[Banca]],IF(OR(H393=K$5,H393=K$6,H393=K$7,H393=K$8,H393=K$9,H393=K$10,H393=K$11,H393=K$12,H393=K$13,H393=K$14),SottocategorieEntrate[[#Headers],[Business Entrate]],IF(OR(H393=L$5,H393=L$6,H393=L$7,H393=L$8,H393=L$9,H393=L$10,H393=L$11,H393=L$12,H393=L$13,H393=L$14),SottocategorieEntrate[[#Headers],[Varie Entrate]],IF(OR(H393=M$5,H393=M$6,H393=M$7,H393=M$8,H393=M$9,H393=M$10,H393=M$11,H393=M$12,H393=M$13,H393=M$14),SottocategorieEntrate[[#Headers],[Real Estate]],IF(OR(H393=N$5,H393=N$6,H393=N$7,H393=N$8,H393=N$9,H393=N$10,H393=N$11,H393=N$12,H393=N$13,H393=N$14),SottocategorieEntrate[[#Headers],[Other]],""))))))))))))</f>
        <v/>
      </c>
      <c r="J393" t="str">
        <f>IF(OR(Dati[[#This Row],[Categoria]]="Bollette",Dati[[#This Row],[Categoria]]="Conto &amp; Carte BNL",Dati[[#This Row],[Categoria]]="Prelievo",Dati[[#This Row],[Categoria]]="Affitto",Dati[[#This Row],[Categoria]]="BNL(Interessi Creditori)"),"Carta",IF(Dati[[#This Row],[Categoria]]&lt;&gt;0,"Cash",""))</f>
        <v/>
      </c>
      <c r="K393" s="59" t="str">
        <f>IF(OR(Data!$I393=SottocategorieUscite[[#Headers],[Fuori Casa]],Data!$I393=SottocategorieUscite[[#Headers],[Varie Uscite]],Data!$I393=SottocategorieUscite[[#Headers],[Personali]],Data!$I393=SottocategorieUscite[[#Headers],[Lavoro]]),"$ -","")</f>
        <v/>
      </c>
      <c r="L393" s="59" t="str">
        <f>IF(OR(Data!$I393=SottocategorieUscite[[#Headers],[Casa]],Data!$I393=SottocategorieUscite[[#Headers],[Utenze]],Data!$I393=SottocategorieUscite[[#Headers],[Business Uscite]],Data!$I393=SottocategorieUscite[[#Headers],[Banca]]),"$ -","")</f>
        <v/>
      </c>
      <c r="M393" s="59" t="str">
        <f>IF(OR($I393&lt;&gt;SottocategorieUscite[[#Headers],[Fuori Casa]],$I393&lt;&gt;SottocategorieUscite[[#Headers],[Varie Uscite]],$I393&lt;&gt;SottocategorieUscite[[#Headers],[Personali]],$I393&lt;&gt;SottocategorieUscite[[#Headers],[Lavoro]],$I393&lt;&gt;SottocategorieUscite[[#Headers],[Casa]],$I393&lt;&gt;SottocategorieUscite[[#Headers],[Utenze]],$I393&lt;&gt;SottocategorieUscite[[#Headers],[Business Uscite]],$I393&lt;&gt;SottocategorieUscite[[#Headers],[Banca]]),"","$ -")</f>
        <v/>
      </c>
      <c r="N393" s="59" t="str">
        <f>IF(OR(Data!$I393=SottocategorieEntrate[[#Headers],[Business Entrate]],Data!$I393=SottocategorieEntrate[[#Headers],[Varie Entrate]]),"$ -","")</f>
        <v/>
      </c>
      <c r="O393" s="59" t="str">
        <f>IF(OR(Data!$I393=SottocategorieEntrate[[#Headers],[Real Estate]],SottocategorieEntrate[[#Headers],[Other]]),"$ -","")</f>
        <v/>
      </c>
      <c r="P393" s="59" t="str">
        <f>IF(OR($I393&lt;&gt;SottocategorieEntrate[[#Headers],[Business Entrate]],$I393&lt;&gt;SottocategorieEntrate[[#Headers],[Varie Entrate]],$I393&lt;&gt;SottocategorieEntrate[[#Headers],[Real Estate]],$I393&lt;&gt;SottocategorieEntrate[[#Headers],[Other]]),"","$ -")</f>
        <v/>
      </c>
      <c r="Q393" s="59" t="str">
        <f>IF(Dati[[#This Row],[Categoria]]="Prelievo","€ -","")</f>
        <v/>
      </c>
      <c r="R393" s="244"/>
      <c r="S393" s="59" t="str">
        <f>IF(Dati[[#This Row],[Categoria]]="Savings",0,"")</f>
        <v/>
      </c>
      <c r="T393" s="59"/>
      <c r="U393" s="59"/>
      <c r="V393" s="59"/>
      <c r="W393" s="59"/>
      <c r="X393" s="59"/>
      <c r="Y393" s="59"/>
      <c r="Z393" s="59"/>
      <c r="AA393" s="59"/>
      <c r="AB393" s="59"/>
      <c r="AC393" s="59"/>
      <c r="AD393" s="59"/>
      <c r="AE393" s="59"/>
      <c r="AF393" s="59"/>
      <c r="AG393" s="59"/>
      <c r="AH393" s="59"/>
      <c r="AI393" s="59" t="str">
        <f>IF(SUM(Dati[[#This Row],[Inv. Business]:[Inv. Cryptocurrency]])=0," ",SUM(Dati[[#This Row],[Inv. Business]:[Inv. Cryptocurrency]]))</f>
        <v xml:space="preserve"> </v>
      </c>
      <c r="AJ393" s="59"/>
      <c r="AK393" s="59" t="str">
        <f>IF(SUM(Dati[[#This Row],[Inv. Gold]:[Mutuo]])=0," ",SUM(Dati[[#This Row],[Inv. Gold]:[Mutuo]]))</f>
        <v xml:space="preserve"> </v>
      </c>
      <c r="AL393" s="59"/>
      <c r="AM393" s="59"/>
    </row>
    <row r="394" spans="2:39" ht="16" customHeight="1" x14ac:dyDescent="0.35">
      <c r="B394">
        <f t="shared" si="15"/>
        <v>374</v>
      </c>
      <c r="C394" s="49">
        <f t="shared" si="17"/>
        <v>45253</v>
      </c>
      <c r="D394" s="29">
        <f>DAY(Dati[[#This Row],[Data]])</f>
        <v>23</v>
      </c>
      <c r="E394" s="29" t="str">
        <f>IF(DAY(Data!$C$21:$C$1327)&gt;0,TEXT(Data!$C$21:$C$1327, "mmmm"),"")</f>
        <v>novembre</v>
      </c>
      <c r="F394" s="29" t="str">
        <f>IF(DAY(Data!$C$21:$C$1327)&gt;0,TEXT(Data!$C$21:$C$1327, "aaaa"),"")</f>
        <v>2023</v>
      </c>
      <c r="I394" t="str">
        <f>IF(OR(H394=$B$5,H394=$B$6,H394=$B$7,H394=$B$8,H394=$B$9,H394=$B$10,H394=$B$11,H394=$B$12,H394=$B$13,H394=$B$14),SottocategorieUscite[[#Headers],[Fuori Casa]],IF(OR(H394=$C$5,H394=$C$6,H394=$C$7,H394=$C$8,H394=$C$9,H394=$C$10,H394=$C$11,H394=$C$12,H394=$C$13,H394=$C$14),SottocategorieUscite[[#Headers],[Varie Uscite]],IF(OR(H394=$D$5,H394=$D$6,H394=$D$7,H394=$D$8,H394=$D$9,H394=$D$10,H394=$D$11,H394=$D$12,H394=$D$13,H394=$D$14),SottocategorieUscite[[#Headers],[Personali]],IF(OR(H394=$E$5,H394=$E$6,H394=$E$7,H394=$E$8,H394=$E$9,H394=$E$10,H394=$E$11,H394=$E$12,H394=$E$13,H394=$E$14),SottocategorieUscite[[#Headers],[Lavoro]],IF(OR(H394=$F$5,H394=$F$6,H394=$F$7,H394=$F$8,H394=$F$9,H394=$F$10,H394=$F$11,H394=$F$12,H394=$F$13,H394=$F$14),SottocategorieUscite[[#Headers],[Casa]],IF(OR(H394=$G$5,H394=$G$6,H394=$G$7,H394=$G$8,H394=$G$9,H394=$G$10,H394=$G$11,H394=$G$12,H394=$G$13,H394=$G$14),SottocategorieUscite[[#Headers],[Utenze]],IF(OR(H394=$H$5,H394=$H$6,H394=$H$7,H394=$H$8,H394=$H$9,H394=$H$10,H394=$H$11,H394=$H$12,H394=$H$13,H394=$H$14),SottocategorieUscite[[#Headers],[Business Uscite]],IF(OR(H394=$I$5,H394=$I$6,H394=$I$7,H394=$I$8,H394=$I$9,H394=$I$10,H394=$I$11,H394=$I$12,H394=$I$13,H394=$I$14),SottocategorieUscite[[#Headers],[Banca]],IF(OR(H394=K$5,H394=K$6,H394=K$7,H394=K$8,H394=K$9,H394=K$10,H394=K$11,H394=K$12,H394=K$13,H394=K$14),SottocategorieEntrate[[#Headers],[Business Entrate]],IF(OR(H394=L$5,H394=L$6,H394=L$7,H394=L$8,H394=L$9,H394=L$10,H394=L$11,H394=L$12,H394=L$13,H394=L$14),SottocategorieEntrate[[#Headers],[Varie Entrate]],IF(OR(H394=M$5,H394=M$6,H394=M$7,H394=M$8,H394=M$9,H394=M$10,H394=M$11,H394=M$12,H394=M$13,H394=M$14),SottocategorieEntrate[[#Headers],[Real Estate]],IF(OR(H394=N$5,H394=N$6,H394=N$7,H394=N$8,H394=N$9,H394=N$10,H394=N$11,H394=N$12,H394=N$13,H394=N$14),SottocategorieEntrate[[#Headers],[Other]],""))))))))))))</f>
        <v/>
      </c>
      <c r="J394" t="str">
        <f>IF(OR(Dati[[#This Row],[Categoria]]="Bollette",Dati[[#This Row],[Categoria]]="Conto &amp; Carte BNL",Dati[[#This Row],[Categoria]]="Prelievo",Dati[[#This Row],[Categoria]]="Affitto",Dati[[#This Row],[Categoria]]="BNL(Interessi Creditori)"),"Carta",IF(Dati[[#This Row],[Categoria]]&lt;&gt;0,"Cash",""))</f>
        <v/>
      </c>
      <c r="K394" s="59" t="str">
        <f>IF(OR(Data!$I394=SottocategorieUscite[[#Headers],[Fuori Casa]],Data!$I394=SottocategorieUscite[[#Headers],[Varie Uscite]],Data!$I394=SottocategorieUscite[[#Headers],[Personali]],Data!$I394=SottocategorieUscite[[#Headers],[Lavoro]]),"$ -","")</f>
        <v/>
      </c>
      <c r="L394" s="59" t="str">
        <f>IF(OR(Data!$I394=SottocategorieUscite[[#Headers],[Casa]],Data!$I394=SottocategorieUscite[[#Headers],[Utenze]],Data!$I394=SottocategorieUscite[[#Headers],[Business Uscite]],Data!$I394=SottocategorieUscite[[#Headers],[Banca]]),"$ -","")</f>
        <v/>
      </c>
      <c r="M394" s="59" t="str">
        <f>IF(OR($I394&lt;&gt;SottocategorieUscite[[#Headers],[Fuori Casa]],$I394&lt;&gt;SottocategorieUscite[[#Headers],[Varie Uscite]],$I394&lt;&gt;SottocategorieUscite[[#Headers],[Personali]],$I394&lt;&gt;SottocategorieUscite[[#Headers],[Lavoro]],$I394&lt;&gt;SottocategorieUscite[[#Headers],[Casa]],$I394&lt;&gt;SottocategorieUscite[[#Headers],[Utenze]],$I394&lt;&gt;SottocategorieUscite[[#Headers],[Business Uscite]],$I394&lt;&gt;SottocategorieUscite[[#Headers],[Banca]]),"","$ -")</f>
        <v/>
      </c>
      <c r="N394" s="59" t="str">
        <f>IF(OR(Data!$I394=SottocategorieEntrate[[#Headers],[Business Entrate]],Data!$I394=SottocategorieEntrate[[#Headers],[Varie Entrate]]),"$ -","")</f>
        <v/>
      </c>
      <c r="O394" s="59" t="str">
        <f>IF(OR(Data!$I394=SottocategorieEntrate[[#Headers],[Real Estate]],SottocategorieEntrate[[#Headers],[Other]]),"$ -","")</f>
        <v/>
      </c>
      <c r="P394" s="59" t="str">
        <f>IF(OR($I394&lt;&gt;SottocategorieEntrate[[#Headers],[Business Entrate]],$I394&lt;&gt;SottocategorieEntrate[[#Headers],[Varie Entrate]],$I394&lt;&gt;SottocategorieEntrate[[#Headers],[Real Estate]],$I394&lt;&gt;SottocategorieEntrate[[#Headers],[Other]]),"","$ -")</f>
        <v/>
      </c>
      <c r="Q394" s="59" t="str">
        <f>IF(Dati[[#This Row],[Categoria]]="Prelievo","€ -","")</f>
        <v/>
      </c>
      <c r="R394" s="244"/>
      <c r="S394" s="59" t="str">
        <f>IF(Dati[[#This Row],[Categoria]]="Savings",0,"")</f>
        <v/>
      </c>
      <c r="T394" s="59"/>
      <c r="U394" s="59"/>
      <c r="V394" s="59"/>
      <c r="W394" s="59"/>
      <c r="X394" s="59"/>
      <c r="Y394" s="59"/>
      <c r="Z394" s="59"/>
      <c r="AA394" s="59"/>
      <c r="AB394" s="59"/>
      <c r="AC394" s="59"/>
      <c r="AD394" s="59"/>
      <c r="AE394" s="59"/>
      <c r="AF394" s="59"/>
      <c r="AG394" s="59"/>
      <c r="AH394" s="59"/>
      <c r="AI394" s="59" t="str">
        <f>IF(SUM(Dati[[#This Row],[Inv. Business]:[Inv. Cryptocurrency]])=0," ",SUM(Dati[[#This Row],[Inv. Business]:[Inv. Cryptocurrency]]))</f>
        <v xml:space="preserve"> </v>
      </c>
      <c r="AJ394" s="59"/>
      <c r="AK394" s="59" t="str">
        <f>IF(SUM(Dati[[#This Row],[Inv. Gold]:[Mutuo]])=0," ",SUM(Dati[[#This Row],[Inv. Gold]:[Mutuo]]))</f>
        <v xml:space="preserve"> </v>
      </c>
      <c r="AL394" s="59"/>
      <c r="AM394" s="59"/>
    </row>
    <row r="395" spans="2:39" ht="16" customHeight="1" x14ac:dyDescent="0.35">
      <c r="B395">
        <f t="shared" si="15"/>
        <v>375</v>
      </c>
      <c r="C395" s="49">
        <v>45253</v>
      </c>
      <c r="D395" s="29">
        <f>DAY(Dati[[#This Row],[Data]])</f>
        <v>23</v>
      </c>
      <c r="E395" s="29" t="str">
        <f>IF(DAY(Data!$C$21:$C$1327)&gt;0,TEXT(Data!$C$21:$C$1327, "mmmm"),"")</f>
        <v>novembre</v>
      </c>
      <c r="F395" s="29" t="str">
        <f>IF(DAY(Data!$C$21:$C$1327)&gt;0,TEXT(Data!$C$21:$C$1327, "aaaa"),"")</f>
        <v>2023</v>
      </c>
      <c r="I395" t="str">
        <f>IF(OR(H395=$B$5,H395=$B$6,H395=$B$7,H395=$B$8,H395=$B$9,H395=$B$10,H395=$B$11,H395=$B$12,H395=$B$13,H395=$B$14),SottocategorieUscite[[#Headers],[Fuori Casa]],IF(OR(H395=$C$5,H395=$C$6,H395=$C$7,H395=$C$8,H395=$C$9,H395=$C$10,H395=$C$11,H395=$C$12,H395=$C$13,H395=$C$14),SottocategorieUscite[[#Headers],[Varie Uscite]],IF(OR(H395=$D$5,H395=$D$6,H395=$D$7,H395=$D$8,H395=$D$9,H395=$D$10,H395=$D$11,H395=$D$12,H395=$D$13,H395=$D$14),SottocategorieUscite[[#Headers],[Personali]],IF(OR(H395=$E$5,H395=$E$6,H395=$E$7,H395=$E$8,H395=$E$9,H395=$E$10,H395=$E$11,H395=$E$12,H395=$E$13,H395=$E$14),SottocategorieUscite[[#Headers],[Lavoro]],IF(OR(H395=$F$5,H395=$F$6,H395=$F$7,H395=$F$8,H395=$F$9,H395=$F$10,H395=$F$11,H395=$F$12,H395=$F$13,H395=$F$14),SottocategorieUscite[[#Headers],[Casa]],IF(OR(H395=$G$5,H395=$G$6,H395=$G$7,H395=$G$8,H395=$G$9,H395=$G$10,H395=$G$11,H395=$G$12,H395=$G$13,H395=$G$14),SottocategorieUscite[[#Headers],[Utenze]],IF(OR(H395=$H$5,H395=$H$6,H395=$H$7,H395=$H$8,H395=$H$9,H395=$H$10,H395=$H$11,H395=$H$12,H395=$H$13,H395=$H$14),SottocategorieUscite[[#Headers],[Business Uscite]],IF(OR(H395=$I$5,H395=$I$6,H395=$I$7,H395=$I$8,H395=$I$9,H395=$I$10,H395=$I$11,H395=$I$12,H395=$I$13,H395=$I$14),SottocategorieUscite[[#Headers],[Banca]],IF(OR(H395=K$5,H395=K$6,H395=K$7,H395=K$8,H395=K$9,H395=K$10,H395=K$11,H395=K$12,H395=K$13,H395=K$14),SottocategorieEntrate[[#Headers],[Business Entrate]],IF(OR(H395=L$5,H395=L$6,H395=L$7,H395=L$8,H395=L$9,H395=L$10,H395=L$11,H395=L$12,H395=L$13,H395=L$14),SottocategorieEntrate[[#Headers],[Varie Entrate]],IF(OR(H395=M$5,H395=M$6,H395=M$7,H395=M$8,H395=M$9,H395=M$10,H395=M$11,H395=M$12,H395=M$13,H395=M$14),SottocategorieEntrate[[#Headers],[Real Estate]],IF(OR(H395=N$5,H395=N$6,H395=N$7,H395=N$8,H395=N$9,H395=N$10,H395=N$11,H395=N$12,H395=N$13,H395=N$14),SottocategorieEntrate[[#Headers],[Other]],""))))))))))))</f>
        <v/>
      </c>
      <c r="J395" t="str">
        <f>IF(OR(Dati[[#This Row],[Categoria]]="Bollette",Dati[[#This Row],[Categoria]]="Conto &amp; Carte BNL",Dati[[#This Row],[Categoria]]="Prelievo",Dati[[#This Row],[Categoria]]="Affitto",Dati[[#This Row],[Categoria]]="BNL(Interessi Creditori)"),"Carta",IF(Dati[[#This Row],[Categoria]]&lt;&gt;0,"Cash",""))</f>
        <v/>
      </c>
      <c r="K395" s="59" t="str">
        <f>IF(OR(Data!$I395=SottocategorieUscite[[#Headers],[Fuori Casa]],Data!$I395=SottocategorieUscite[[#Headers],[Varie Uscite]],Data!$I395=SottocategorieUscite[[#Headers],[Personali]],Data!$I395=SottocategorieUscite[[#Headers],[Lavoro]]),"$ -","")</f>
        <v/>
      </c>
      <c r="L395" s="59" t="str">
        <f>IF(OR(Data!$I395=SottocategorieUscite[[#Headers],[Casa]],Data!$I395=SottocategorieUscite[[#Headers],[Utenze]],Data!$I395=SottocategorieUscite[[#Headers],[Business Uscite]],Data!$I395=SottocategorieUscite[[#Headers],[Banca]]),"$ -","")</f>
        <v/>
      </c>
      <c r="M395" s="59" t="str">
        <f>IF(OR($I395&lt;&gt;SottocategorieUscite[[#Headers],[Fuori Casa]],$I395&lt;&gt;SottocategorieUscite[[#Headers],[Varie Uscite]],$I395&lt;&gt;SottocategorieUscite[[#Headers],[Personali]],$I395&lt;&gt;SottocategorieUscite[[#Headers],[Lavoro]],$I395&lt;&gt;SottocategorieUscite[[#Headers],[Casa]],$I395&lt;&gt;SottocategorieUscite[[#Headers],[Utenze]],$I395&lt;&gt;SottocategorieUscite[[#Headers],[Business Uscite]],$I395&lt;&gt;SottocategorieUscite[[#Headers],[Banca]]),"","$ -")</f>
        <v/>
      </c>
      <c r="N395" s="59" t="str">
        <f>IF(OR(Data!$I395=SottocategorieEntrate[[#Headers],[Business Entrate]],Data!$I395=SottocategorieEntrate[[#Headers],[Varie Entrate]]),"$ -","")</f>
        <v/>
      </c>
      <c r="O395" s="59" t="str">
        <f>IF(OR(Data!$I395=SottocategorieEntrate[[#Headers],[Real Estate]],SottocategorieEntrate[[#Headers],[Other]]),"$ -","")</f>
        <v/>
      </c>
      <c r="P395" s="59" t="str">
        <f>IF(OR($I395&lt;&gt;SottocategorieEntrate[[#Headers],[Business Entrate]],$I395&lt;&gt;SottocategorieEntrate[[#Headers],[Varie Entrate]],$I395&lt;&gt;SottocategorieEntrate[[#Headers],[Real Estate]],$I395&lt;&gt;SottocategorieEntrate[[#Headers],[Other]]),"","$ -")</f>
        <v/>
      </c>
      <c r="Q395" s="59" t="str">
        <f>IF(Dati[[#This Row],[Categoria]]="Prelievo","€ -","")</f>
        <v/>
      </c>
      <c r="R395" s="244"/>
      <c r="S395" s="59" t="str">
        <f>IF(Dati[[#This Row],[Categoria]]="Savings",0,"")</f>
        <v/>
      </c>
      <c r="T395" s="59"/>
      <c r="U395" s="59"/>
      <c r="V395" s="59"/>
      <c r="W395" s="59"/>
      <c r="X395" s="59"/>
      <c r="Y395" s="59"/>
      <c r="Z395" s="59"/>
      <c r="AA395" s="59"/>
      <c r="AB395" s="59"/>
      <c r="AC395" s="59"/>
      <c r="AD395" s="59"/>
      <c r="AE395" s="59"/>
      <c r="AF395" s="59"/>
      <c r="AG395" s="59"/>
      <c r="AH395" s="59"/>
      <c r="AI395" s="59" t="str">
        <f>IF(SUM(Dati[[#This Row],[Inv. Business]:[Inv. Cryptocurrency]])=0," ",SUM(Dati[[#This Row],[Inv. Business]:[Inv. Cryptocurrency]]))</f>
        <v xml:space="preserve"> </v>
      </c>
      <c r="AJ395" s="59"/>
      <c r="AK395" s="59" t="str">
        <f>IF(SUM(Dati[[#This Row],[Inv. Gold]:[Mutuo]])=0," ",SUM(Dati[[#This Row],[Inv. Gold]:[Mutuo]]))</f>
        <v xml:space="preserve"> </v>
      </c>
      <c r="AL395" s="59"/>
      <c r="AM395" s="59"/>
    </row>
    <row r="396" spans="2:39" ht="16" customHeight="1" x14ac:dyDescent="0.35">
      <c r="B396">
        <f t="shared" si="15"/>
        <v>376</v>
      </c>
      <c r="C396" s="49">
        <v>45253</v>
      </c>
      <c r="D396" s="29">
        <f>DAY(Dati[[#This Row],[Data]])</f>
        <v>23</v>
      </c>
      <c r="E396" s="29" t="str">
        <f>IF(DAY(Data!$C$21:$C$1327)&gt;0,TEXT(Data!$C$21:$C$1327, "mmmm"),"")</f>
        <v>novembre</v>
      </c>
      <c r="F396" s="29" t="str">
        <f>IF(DAY(Data!$C$21:$C$1327)&gt;0,TEXT(Data!$C$21:$C$1327, "aaaa"),"")</f>
        <v>2023</v>
      </c>
      <c r="I396" t="str">
        <f>IF(OR(H396=$B$5,H396=$B$6,H396=$B$7,H396=$B$8,H396=$B$9,H396=$B$10,H396=$B$11,H396=$B$12,H396=$B$13,H396=$B$14),SottocategorieUscite[[#Headers],[Fuori Casa]],IF(OR(H396=$C$5,H396=$C$6,H396=$C$7,H396=$C$8,H396=$C$9,H396=$C$10,H396=$C$11,H396=$C$12,H396=$C$13,H396=$C$14),SottocategorieUscite[[#Headers],[Varie Uscite]],IF(OR(H396=$D$5,H396=$D$6,H396=$D$7,H396=$D$8,H396=$D$9,H396=$D$10,H396=$D$11,H396=$D$12,H396=$D$13,H396=$D$14),SottocategorieUscite[[#Headers],[Personali]],IF(OR(H396=$E$5,H396=$E$6,H396=$E$7,H396=$E$8,H396=$E$9,H396=$E$10,H396=$E$11,H396=$E$12,H396=$E$13,H396=$E$14),SottocategorieUscite[[#Headers],[Lavoro]],IF(OR(H396=$F$5,H396=$F$6,H396=$F$7,H396=$F$8,H396=$F$9,H396=$F$10,H396=$F$11,H396=$F$12,H396=$F$13,H396=$F$14),SottocategorieUscite[[#Headers],[Casa]],IF(OR(H396=$G$5,H396=$G$6,H396=$G$7,H396=$G$8,H396=$G$9,H396=$G$10,H396=$G$11,H396=$G$12,H396=$G$13,H396=$G$14),SottocategorieUscite[[#Headers],[Utenze]],IF(OR(H396=$H$5,H396=$H$6,H396=$H$7,H396=$H$8,H396=$H$9,H396=$H$10,H396=$H$11,H396=$H$12,H396=$H$13,H396=$H$14),SottocategorieUscite[[#Headers],[Business Uscite]],IF(OR(H396=$I$5,H396=$I$6,H396=$I$7,H396=$I$8,H396=$I$9,H396=$I$10,H396=$I$11,H396=$I$12,H396=$I$13,H396=$I$14),SottocategorieUscite[[#Headers],[Banca]],IF(OR(H396=K$5,H396=K$6,H396=K$7,H396=K$8,H396=K$9,H396=K$10,H396=K$11,H396=K$12,H396=K$13,H396=K$14),SottocategorieEntrate[[#Headers],[Business Entrate]],IF(OR(H396=L$5,H396=L$6,H396=L$7,H396=L$8,H396=L$9,H396=L$10,H396=L$11,H396=L$12,H396=L$13,H396=L$14),SottocategorieEntrate[[#Headers],[Varie Entrate]],IF(OR(H396=M$5,H396=M$6,H396=M$7,H396=M$8,H396=M$9,H396=M$10,H396=M$11,H396=M$12,H396=M$13,H396=M$14),SottocategorieEntrate[[#Headers],[Real Estate]],IF(OR(H396=N$5,H396=N$6,H396=N$7,H396=N$8,H396=N$9,H396=N$10,H396=N$11,H396=N$12,H396=N$13,H396=N$14),SottocategorieEntrate[[#Headers],[Other]],""))))))))))))</f>
        <v/>
      </c>
      <c r="J396" t="str">
        <f>IF(OR(Dati[[#This Row],[Categoria]]="Bollette",Dati[[#This Row],[Categoria]]="Conto &amp; Carte BNL",Dati[[#This Row],[Categoria]]="Prelievo",Dati[[#This Row],[Categoria]]="Affitto",Dati[[#This Row],[Categoria]]="BNL(Interessi Creditori)"),"Carta",IF(Dati[[#This Row],[Categoria]]&lt;&gt;0,"Cash",""))</f>
        <v/>
      </c>
      <c r="K396" s="59" t="str">
        <f>IF(OR(Data!$I396=SottocategorieUscite[[#Headers],[Fuori Casa]],Data!$I396=SottocategorieUscite[[#Headers],[Varie Uscite]],Data!$I396=SottocategorieUscite[[#Headers],[Personali]],Data!$I396=SottocategorieUscite[[#Headers],[Lavoro]]),"$ -","")</f>
        <v/>
      </c>
      <c r="L396" s="59" t="str">
        <f>IF(OR(Data!$I396=SottocategorieUscite[[#Headers],[Casa]],Data!$I396=SottocategorieUscite[[#Headers],[Utenze]],Data!$I396=SottocategorieUscite[[#Headers],[Business Uscite]],Data!$I396=SottocategorieUscite[[#Headers],[Banca]]),"$ -","")</f>
        <v/>
      </c>
      <c r="M396" s="59" t="str">
        <f>IF(OR($I396&lt;&gt;SottocategorieUscite[[#Headers],[Fuori Casa]],$I396&lt;&gt;SottocategorieUscite[[#Headers],[Varie Uscite]],$I396&lt;&gt;SottocategorieUscite[[#Headers],[Personali]],$I396&lt;&gt;SottocategorieUscite[[#Headers],[Lavoro]],$I396&lt;&gt;SottocategorieUscite[[#Headers],[Casa]],$I396&lt;&gt;SottocategorieUscite[[#Headers],[Utenze]],$I396&lt;&gt;SottocategorieUscite[[#Headers],[Business Uscite]],$I396&lt;&gt;SottocategorieUscite[[#Headers],[Banca]]),"","$ -")</f>
        <v/>
      </c>
      <c r="N396" s="59" t="str">
        <f>IF(OR(Data!$I396=SottocategorieEntrate[[#Headers],[Business Entrate]],Data!$I396=SottocategorieEntrate[[#Headers],[Varie Entrate]]),"$ -","")</f>
        <v/>
      </c>
      <c r="O396" s="59" t="str">
        <f>IF(OR(Data!$I396=SottocategorieEntrate[[#Headers],[Real Estate]],SottocategorieEntrate[[#Headers],[Other]]),"$ -","")</f>
        <v/>
      </c>
      <c r="P396" s="59" t="str">
        <f>IF(OR($I396&lt;&gt;SottocategorieEntrate[[#Headers],[Business Entrate]],$I396&lt;&gt;SottocategorieEntrate[[#Headers],[Varie Entrate]],$I396&lt;&gt;SottocategorieEntrate[[#Headers],[Real Estate]],$I396&lt;&gt;SottocategorieEntrate[[#Headers],[Other]]),"","$ -")</f>
        <v/>
      </c>
      <c r="Q396" s="59" t="str">
        <f>IF(Dati[[#This Row],[Categoria]]="Prelievo","€ -","")</f>
        <v/>
      </c>
      <c r="R396" s="244"/>
      <c r="S396" s="59" t="str">
        <f>IF(Dati[[#This Row],[Categoria]]="Savings",0,"")</f>
        <v/>
      </c>
      <c r="T396" s="59"/>
      <c r="U396" s="59"/>
      <c r="V396" s="59"/>
      <c r="W396" s="59"/>
      <c r="X396" s="59"/>
      <c r="Y396" s="59"/>
      <c r="Z396" s="59"/>
      <c r="AA396" s="59"/>
      <c r="AB396" s="59"/>
      <c r="AC396" s="59"/>
      <c r="AD396" s="59"/>
      <c r="AE396" s="59"/>
      <c r="AF396" s="59"/>
      <c r="AG396" s="59"/>
      <c r="AH396" s="59"/>
      <c r="AI396" s="59" t="str">
        <f>IF(SUM(Dati[[#This Row],[Inv. Business]:[Inv. Cryptocurrency]])=0," ",SUM(Dati[[#This Row],[Inv. Business]:[Inv. Cryptocurrency]]))</f>
        <v xml:space="preserve"> </v>
      </c>
      <c r="AJ396" s="59"/>
      <c r="AK396" s="59" t="str">
        <f>IF(SUM(Dati[[#This Row],[Inv. Gold]:[Mutuo]])=0," ",SUM(Dati[[#This Row],[Inv. Gold]:[Mutuo]]))</f>
        <v xml:space="preserve"> </v>
      </c>
      <c r="AL396" s="59"/>
      <c r="AM396" s="59"/>
    </row>
    <row r="397" spans="2:39" ht="16" customHeight="1" x14ac:dyDescent="0.35">
      <c r="B397">
        <f t="shared" si="15"/>
        <v>377</v>
      </c>
      <c r="C397" s="49">
        <v>45253</v>
      </c>
      <c r="D397" s="29">
        <f>DAY(Dati[[#This Row],[Data]])</f>
        <v>23</v>
      </c>
      <c r="E397" s="29" t="str">
        <f>IF(DAY(Data!$C$21:$C$1327)&gt;0,TEXT(Data!$C$21:$C$1327, "mmmm"),"")</f>
        <v>novembre</v>
      </c>
      <c r="F397" s="29" t="str">
        <f>IF(DAY(Data!$C$21:$C$1327)&gt;0,TEXT(Data!$C$21:$C$1327, "aaaa"),"")</f>
        <v>2023</v>
      </c>
      <c r="I397" t="str">
        <f>IF(OR(H397=$B$5,H397=$B$6,H397=$B$7,H397=$B$8,H397=$B$9,H397=$B$10,H397=$B$11,H397=$B$12,H397=$B$13,H397=$B$14),SottocategorieUscite[[#Headers],[Fuori Casa]],IF(OR(H397=$C$5,H397=$C$6,H397=$C$7,H397=$C$8,H397=$C$9,H397=$C$10,H397=$C$11,H397=$C$12,H397=$C$13,H397=$C$14),SottocategorieUscite[[#Headers],[Varie Uscite]],IF(OR(H397=$D$5,H397=$D$6,H397=$D$7,H397=$D$8,H397=$D$9,H397=$D$10,H397=$D$11,H397=$D$12,H397=$D$13,H397=$D$14),SottocategorieUscite[[#Headers],[Personali]],IF(OR(H397=$E$5,H397=$E$6,H397=$E$7,H397=$E$8,H397=$E$9,H397=$E$10,H397=$E$11,H397=$E$12,H397=$E$13,H397=$E$14),SottocategorieUscite[[#Headers],[Lavoro]],IF(OR(H397=$F$5,H397=$F$6,H397=$F$7,H397=$F$8,H397=$F$9,H397=$F$10,H397=$F$11,H397=$F$12,H397=$F$13,H397=$F$14),SottocategorieUscite[[#Headers],[Casa]],IF(OR(H397=$G$5,H397=$G$6,H397=$G$7,H397=$G$8,H397=$G$9,H397=$G$10,H397=$G$11,H397=$G$12,H397=$G$13,H397=$G$14),SottocategorieUscite[[#Headers],[Utenze]],IF(OR(H397=$H$5,H397=$H$6,H397=$H$7,H397=$H$8,H397=$H$9,H397=$H$10,H397=$H$11,H397=$H$12,H397=$H$13,H397=$H$14),SottocategorieUscite[[#Headers],[Business Uscite]],IF(OR(H397=$I$5,H397=$I$6,H397=$I$7,H397=$I$8,H397=$I$9,H397=$I$10,H397=$I$11,H397=$I$12,H397=$I$13,H397=$I$14),SottocategorieUscite[[#Headers],[Banca]],IF(OR(H397=K$5,H397=K$6,H397=K$7,H397=K$8,H397=K$9,H397=K$10,H397=K$11,H397=K$12,H397=K$13,H397=K$14),SottocategorieEntrate[[#Headers],[Business Entrate]],IF(OR(H397=L$5,H397=L$6,H397=L$7,H397=L$8,H397=L$9,H397=L$10,H397=L$11,H397=L$12,H397=L$13,H397=L$14),SottocategorieEntrate[[#Headers],[Varie Entrate]],IF(OR(H397=M$5,H397=M$6,H397=M$7,H397=M$8,H397=M$9,H397=M$10,H397=M$11,H397=M$12,H397=M$13,H397=M$14),SottocategorieEntrate[[#Headers],[Real Estate]],IF(OR(H397=N$5,H397=N$6,H397=N$7,H397=N$8,H397=N$9,H397=N$10,H397=N$11,H397=N$12,H397=N$13,H397=N$14),SottocategorieEntrate[[#Headers],[Other]],""))))))))))))</f>
        <v/>
      </c>
      <c r="J397" t="str">
        <f>IF(OR(Dati[[#This Row],[Categoria]]="Bollette",Dati[[#This Row],[Categoria]]="Conto &amp; Carte BNL",Dati[[#This Row],[Categoria]]="Prelievo",Dati[[#This Row],[Categoria]]="Affitto",Dati[[#This Row],[Categoria]]="BNL(Interessi Creditori)"),"Carta",IF(Dati[[#This Row],[Categoria]]&lt;&gt;0,"Cash",""))</f>
        <v/>
      </c>
      <c r="K397" s="59" t="str">
        <f>IF(OR(Data!$I397=SottocategorieUscite[[#Headers],[Fuori Casa]],Data!$I397=SottocategorieUscite[[#Headers],[Varie Uscite]],Data!$I397=SottocategorieUscite[[#Headers],[Personali]],Data!$I397=SottocategorieUscite[[#Headers],[Lavoro]]),"$ -","")</f>
        <v/>
      </c>
      <c r="L397" s="59" t="str">
        <f>IF(OR(Data!$I397=SottocategorieUscite[[#Headers],[Casa]],Data!$I397=SottocategorieUscite[[#Headers],[Utenze]],Data!$I397=SottocategorieUscite[[#Headers],[Business Uscite]],Data!$I397=SottocategorieUscite[[#Headers],[Banca]]),"$ -","")</f>
        <v/>
      </c>
      <c r="M397" s="59" t="str">
        <f>IF(OR($I397&lt;&gt;SottocategorieUscite[[#Headers],[Fuori Casa]],$I397&lt;&gt;SottocategorieUscite[[#Headers],[Varie Uscite]],$I397&lt;&gt;SottocategorieUscite[[#Headers],[Personali]],$I397&lt;&gt;SottocategorieUscite[[#Headers],[Lavoro]],$I397&lt;&gt;SottocategorieUscite[[#Headers],[Casa]],$I397&lt;&gt;SottocategorieUscite[[#Headers],[Utenze]],$I397&lt;&gt;SottocategorieUscite[[#Headers],[Business Uscite]],$I397&lt;&gt;SottocategorieUscite[[#Headers],[Banca]]),"","$ -")</f>
        <v/>
      </c>
      <c r="N397" s="59" t="str">
        <f>IF(OR(Data!$I397=SottocategorieEntrate[[#Headers],[Business Entrate]],Data!$I397=SottocategorieEntrate[[#Headers],[Varie Entrate]]),"$ -","")</f>
        <v/>
      </c>
      <c r="O397" s="59" t="str">
        <f>IF(OR(Data!$I397=SottocategorieEntrate[[#Headers],[Real Estate]],SottocategorieEntrate[[#Headers],[Other]]),"$ -","")</f>
        <v/>
      </c>
      <c r="P397" s="59" t="str">
        <f>IF(OR($I397&lt;&gt;SottocategorieEntrate[[#Headers],[Business Entrate]],$I397&lt;&gt;SottocategorieEntrate[[#Headers],[Varie Entrate]],$I397&lt;&gt;SottocategorieEntrate[[#Headers],[Real Estate]],$I397&lt;&gt;SottocategorieEntrate[[#Headers],[Other]]),"","$ -")</f>
        <v/>
      </c>
      <c r="Q397" s="59" t="str">
        <f>IF(Dati[[#This Row],[Categoria]]="Prelievo","€ -","")</f>
        <v/>
      </c>
      <c r="R397" s="244"/>
      <c r="S397" s="59" t="str">
        <f>IF(Dati[[#This Row],[Categoria]]="Savings",0,"")</f>
        <v/>
      </c>
      <c r="T397" s="59"/>
      <c r="U397" s="59"/>
      <c r="V397" s="59"/>
      <c r="W397" s="59"/>
      <c r="X397" s="59"/>
      <c r="Y397" s="59"/>
      <c r="Z397" s="59"/>
      <c r="AA397" s="59"/>
      <c r="AB397" s="59"/>
      <c r="AC397" s="59"/>
      <c r="AD397" s="59"/>
      <c r="AE397" s="59"/>
      <c r="AF397" s="59"/>
      <c r="AG397" s="59"/>
      <c r="AH397" s="59"/>
      <c r="AI397" s="59" t="str">
        <f>IF(SUM(Dati[[#This Row],[Inv. Business]:[Inv. Cryptocurrency]])=0," ",SUM(Dati[[#This Row],[Inv. Business]:[Inv. Cryptocurrency]]))</f>
        <v xml:space="preserve"> </v>
      </c>
      <c r="AJ397" s="59"/>
      <c r="AK397" s="59" t="str">
        <f>IF(SUM(Dati[[#This Row],[Inv. Gold]:[Mutuo]])=0," ",SUM(Dati[[#This Row],[Inv. Gold]:[Mutuo]]))</f>
        <v xml:space="preserve"> </v>
      </c>
      <c r="AL397" s="59"/>
      <c r="AM397" s="59"/>
    </row>
    <row r="398" spans="2:39" ht="16" customHeight="1" x14ac:dyDescent="0.35">
      <c r="B398">
        <f t="shared" si="15"/>
        <v>378</v>
      </c>
      <c r="C398" s="49">
        <v>45253</v>
      </c>
      <c r="D398" s="29">
        <f>DAY(Dati[[#This Row],[Data]])</f>
        <v>23</v>
      </c>
      <c r="E398" s="29" t="str">
        <f>IF(DAY(Data!$C$21:$C$1327)&gt;0,TEXT(Data!$C$21:$C$1327, "mmmm"),"")</f>
        <v>novembre</v>
      </c>
      <c r="F398" s="29" t="str">
        <f>IF(DAY(Data!$C$21:$C$1327)&gt;0,TEXT(Data!$C$21:$C$1327, "aaaa"),"")</f>
        <v>2023</v>
      </c>
      <c r="I398" t="str">
        <f>IF(OR(H398=$B$5,H398=$B$6,H398=$B$7,H398=$B$8,H398=$B$9,H398=$B$10,H398=$B$11,H398=$B$12,H398=$B$13,H398=$B$14),SottocategorieUscite[[#Headers],[Fuori Casa]],IF(OR(H398=$C$5,H398=$C$6,H398=$C$7,H398=$C$8,H398=$C$9,H398=$C$10,H398=$C$11,H398=$C$12,H398=$C$13,H398=$C$14),SottocategorieUscite[[#Headers],[Varie Uscite]],IF(OR(H398=$D$5,H398=$D$6,H398=$D$7,H398=$D$8,H398=$D$9,H398=$D$10,H398=$D$11,H398=$D$12,H398=$D$13,H398=$D$14),SottocategorieUscite[[#Headers],[Personali]],IF(OR(H398=$E$5,H398=$E$6,H398=$E$7,H398=$E$8,H398=$E$9,H398=$E$10,H398=$E$11,H398=$E$12,H398=$E$13,H398=$E$14),SottocategorieUscite[[#Headers],[Lavoro]],IF(OR(H398=$F$5,H398=$F$6,H398=$F$7,H398=$F$8,H398=$F$9,H398=$F$10,H398=$F$11,H398=$F$12,H398=$F$13,H398=$F$14),SottocategorieUscite[[#Headers],[Casa]],IF(OR(H398=$G$5,H398=$G$6,H398=$G$7,H398=$G$8,H398=$G$9,H398=$G$10,H398=$G$11,H398=$G$12,H398=$G$13,H398=$G$14),SottocategorieUscite[[#Headers],[Utenze]],IF(OR(H398=$H$5,H398=$H$6,H398=$H$7,H398=$H$8,H398=$H$9,H398=$H$10,H398=$H$11,H398=$H$12,H398=$H$13,H398=$H$14),SottocategorieUscite[[#Headers],[Business Uscite]],IF(OR(H398=$I$5,H398=$I$6,H398=$I$7,H398=$I$8,H398=$I$9,H398=$I$10,H398=$I$11,H398=$I$12,H398=$I$13,H398=$I$14),SottocategorieUscite[[#Headers],[Banca]],IF(OR(H398=K$5,H398=K$6,H398=K$7,H398=K$8,H398=K$9,H398=K$10,H398=K$11,H398=K$12,H398=K$13,H398=K$14),SottocategorieEntrate[[#Headers],[Business Entrate]],IF(OR(H398=L$5,H398=L$6,H398=L$7,H398=L$8,H398=L$9,H398=L$10,H398=L$11,H398=L$12,H398=L$13,H398=L$14),SottocategorieEntrate[[#Headers],[Varie Entrate]],IF(OR(H398=M$5,H398=M$6,H398=M$7,H398=M$8,H398=M$9,H398=M$10,H398=M$11,H398=M$12,H398=M$13,H398=M$14),SottocategorieEntrate[[#Headers],[Real Estate]],IF(OR(H398=N$5,H398=N$6,H398=N$7,H398=N$8,H398=N$9,H398=N$10,H398=N$11,H398=N$12,H398=N$13,H398=N$14),SottocategorieEntrate[[#Headers],[Other]],""))))))))))))</f>
        <v/>
      </c>
      <c r="J398" t="str">
        <f>IF(OR(Dati[[#This Row],[Categoria]]="Bollette",Dati[[#This Row],[Categoria]]="Conto &amp; Carte BNL",Dati[[#This Row],[Categoria]]="Prelievo",Dati[[#This Row],[Categoria]]="Affitto",Dati[[#This Row],[Categoria]]="BNL(Interessi Creditori)"),"Carta",IF(Dati[[#This Row],[Categoria]]&lt;&gt;0,"Cash",""))</f>
        <v/>
      </c>
      <c r="K398" s="59" t="str">
        <f>IF(OR(Data!$I398=SottocategorieUscite[[#Headers],[Fuori Casa]],Data!$I398=SottocategorieUscite[[#Headers],[Varie Uscite]],Data!$I398=SottocategorieUscite[[#Headers],[Personali]],Data!$I398=SottocategorieUscite[[#Headers],[Lavoro]]),"$ -","")</f>
        <v/>
      </c>
      <c r="L398" s="59" t="str">
        <f>IF(OR(Data!$I398=SottocategorieUscite[[#Headers],[Casa]],Data!$I398=SottocategorieUscite[[#Headers],[Utenze]],Data!$I398=SottocategorieUscite[[#Headers],[Business Uscite]],Data!$I398=SottocategorieUscite[[#Headers],[Banca]]),"$ -","")</f>
        <v/>
      </c>
      <c r="M398" s="59" t="str">
        <f>IF(OR($I398&lt;&gt;SottocategorieUscite[[#Headers],[Fuori Casa]],$I398&lt;&gt;SottocategorieUscite[[#Headers],[Varie Uscite]],$I398&lt;&gt;SottocategorieUscite[[#Headers],[Personali]],$I398&lt;&gt;SottocategorieUscite[[#Headers],[Lavoro]],$I398&lt;&gt;SottocategorieUscite[[#Headers],[Casa]],$I398&lt;&gt;SottocategorieUscite[[#Headers],[Utenze]],$I398&lt;&gt;SottocategorieUscite[[#Headers],[Business Uscite]],$I398&lt;&gt;SottocategorieUscite[[#Headers],[Banca]]),"","$ -")</f>
        <v/>
      </c>
      <c r="N398" s="59" t="str">
        <f>IF(OR(Data!$I398=SottocategorieEntrate[[#Headers],[Business Entrate]],Data!$I398=SottocategorieEntrate[[#Headers],[Varie Entrate]]),"$ -","")</f>
        <v/>
      </c>
      <c r="O398" s="59" t="str">
        <f>IF(OR(Data!$I398=SottocategorieEntrate[[#Headers],[Real Estate]],SottocategorieEntrate[[#Headers],[Other]]),"$ -","")</f>
        <v/>
      </c>
      <c r="P398" s="59" t="str">
        <f>IF(OR($I398&lt;&gt;SottocategorieEntrate[[#Headers],[Business Entrate]],$I398&lt;&gt;SottocategorieEntrate[[#Headers],[Varie Entrate]],$I398&lt;&gt;SottocategorieEntrate[[#Headers],[Real Estate]],$I398&lt;&gt;SottocategorieEntrate[[#Headers],[Other]]),"","$ -")</f>
        <v/>
      </c>
      <c r="Q398" s="59" t="str">
        <f>IF(Dati[[#This Row],[Categoria]]="Prelievo","€ -","")</f>
        <v/>
      </c>
      <c r="R398" s="244"/>
      <c r="S398" s="59" t="str">
        <f>IF(Dati[[#This Row],[Categoria]]="Savings",0,"")</f>
        <v/>
      </c>
      <c r="T398" s="59"/>
      <c r="U398" s="59"/>
      <c r="V398" s="59"/>
      <c r="W398" s="59"/>
      <c r="X398" s="59"/>
      <c r="Y398" s="59"/>
      <c r="Z398" s="59"/>
      <c r="AA398" s="59"/>
      <c r="AB398" s="59"/>
      <c r="AC398" s="59"/>
      <c r="AD398" s="59"/>
      <c r="AE398" s="59"/>
      <c r="AF398" s="59"/>
      <c r="AG398" s="59"/>
      <c r="AH398" s="59"/>
      <c r="AI398" s="59" t="str">
        <f>IF(SUM(Dati[[#This Row],[Inv. Business]:[Inv. Cryptocurrency]])=0," ",SUM(Dati[[#This Row],[Inv. Business]:[Inv. Cryptocurrency]]))</f>
        <v xml:space="preserve"> </v>
      </c>
      <c r="AJ398" s="59"/>
      <c r="AK398" s="59" t="str">
        <f>IF(SUM(Dati[[#This Row],[Inv. Gold]:[Mutuo]])=0," ",SUM(Dati[[#This Row],[Inv. Gold]:[Mutuo]]))</f>
        <v xml:space="preserve"> </v>
      </c>
      <c r="AL398" s="59"/>
      <c r="AM398" s="59"/>
    </row>
    <row r="399" spans="2:39" ht="16" customHeight="1" x14ac:dyDescent="0.35">
      <c r="B399">
        <f t="shared" si="15"/>
        <v>379</v>
      </c>
      <c r="C399" s="49">
        <f>C394+1</f>
        <v>45254</v>
      </c>
      <c r="D399" s="29">
        <f>DAY(Dati[[#This Row],[Data]])</f>
        <v>24</v>
      </c>
      <c r="E399" s="29" t="str">
        <f>IF(DAY(Data!$C$21:$C$1327)&gt;0,TEXT(Data!$C$21:$C$1327, "mmmm"),"")</f>
        <v>novembre</v>
      </c>
      <c r="F399" s="29" t="str">
        <f>IF(DAY(Data!$C$21:$C$1327)&gt;0,TEXT(Data!$C$21:$C$1327, "aaaa"),"")</f>
        <v>2023</v>
      </c>
      <c r="I399" t="str">
        <f>IF(OR(H399=$B$5,H399=$B$6,H399=$B$7,H399=$B$8,H399=$B$9,H399=$B$10,H399=$B$11,H399=$B$12,H399=$B$13,H399=$B$14),SottocategorieUscite[[#Headers],[Fuori Casa]],IF(OR(H399=$C$5,H399=$C$6,H399=$C$7,H399=$C$8,H399=$C$9,H399=$C$10,H399=$C$11,H399=$C$12,H399=$C$13,H399=$C$14),SottocategorieUscite[[#Headers],[Varie Uscite]],IF(OR(H399=$D$5,H399=$D$6,H399=$D$7,H399=$D$8,H399=$D$9,H399=$D$10,H399=$D$11,H399=$D$12,H399=$D$13,H399=$D$14),SottocategorieUscite[[#Headers],[Personali]],IF(OR(H399=$E$5,H399=$E$6,H399=$E$7,H399=$E$8,H399=$E$9,H399=$E$10,H399=$E$11,H399=$E$12,H399=$E$13,H399=$E$14),SottocategorieUscite[[#Headers],[Lavoro]],IF(OR(H399=$F$5,H399=$F$6,H399=$F$7,H399=$F$8,H399=$F$9,H399=$F$10,H399=$F$11,H399=$F$12,H399=$F$13,H399=$F$14),SottocategorieUscite[[#Headers],[Casa]],IF(OR(H399=$G$5,H399=$G$6,H399=$G$7,H399=$G$8,H399=$G$9,H399=$G$10,H399=$G$11,H399=$G$12,H399=$G$13,H399=$G$14),SottocategorieUscite[[#Headers],[Utenze]],IF(OR(H399=$H$5,H399=$H$6,H399=$H$7,H399=$H$8,H399=$H$9,H399=$H$10,H399=$H$11,H399=$H$12,H399=$H$13,H399=$H$14),SottocategorieUscite[[#Headers],[Business Uscite]],IF(OR(H399=$I$5,H399=$I$6,H399=$I$7,H399=$I$8,H399=$I$9,H399=$I$10,H399=$I$11,H399=$I$12,H399=$I$13,H399=$I$14),SottocategorieUscite[[#Headers],[Banca]],IF(OR(H399=K$5,H399=K$6,H399=K$7,H399=K$8,H399=K$9,H399=K$10,H399=K$11,H399=K$12,H399=K$13,H399=K$14),SottocategorieEntrate[[#Headers],[Business Entrate]],IF(OR(H399=L$5,H399=L$6,H399=L$7,H399=L$8,H399=L$9,H399=L$10,H399=L$11,H399=L$12,H399=L$13,H399=L$14),SottocategorieEntrate[[#Headers],[Varie Entrate]],IF(OR(H399=M$5,H399=M$6,H399=M$7,H399=M$8,H399=M$9,H399=M$10,H399=M$11,H399=M$12,H399=M$13,H399=M$14),SottocategorieEntrate[[#Headers],[Real Estate]],IF(OR(H399=N$5,H399=N$6,H399=N$7,H399=N$8,H399=N$9,H399=N$10,H399=N$11,H399=N$12,H399=N$13,H399=N$14),SottocategorieEntrate[[#Headers],[Other]],""))))))))))))</f>
        <v/>
      </c>
      <c r="J399" t="str">
        <f>IF(OR(Dati[[#This Row],[Categoria]]="Bollette",Dati[[#This Row],[Categoria]]="Conto &amp; Carte BNL",Dati[[#This Row],[Categoria]]="Prelievo",Dati[[#This Row],[Categoria]]="Affitto",Dati[[#This Row],[Categoria]]="BNL(Interessi Creditori)"),"Carta",IF(Dati[[#This Row],[Categoria]]&lt;&gt;0,"Cash",""))</f>
        <v/>
      </c>
      <c r="K399" s="59" t="str">
        <f>IF(OR(Data!$I399=SottocategorieUscite[[#Headers],[Fuori Casa]],Data!$I399=SottocategorieUscite[[#Headers],[Varie Uscite]],Data!$I399=SottocategorieUscite[[#Headers],[Personali]],Data!$I399=SottocategorieUscite[[#Headers],[Lavoro]]),"$ -","")</f>
        <v/>
      </c>
      <c r="L399" s="59" t="str">
        <f>IF(OR(Data!$I399=SottocategorieUscite[[#Headers],[Casa]],Data!$I399=SottocategorieUscite[[#Headers],[Utenze]],Data!$I399=SottocategorieUscite[[#Headers],[Business Uscite]],Data!$I399=SottocategorieUscite[[#Headers],[Banca]]),"$ -","")</f>
        <v/>
      </c>
      <c r="M399" s="59" t="str">
        <f>IF(OR($I399&lt;&gt;SottocategorieUscite[[#Headers],[Fuori Casa]],$I399&lt;&gt;SottocategorieUscite[[#Headers],[Varie Uscite]],$I399&lt;&gt;SottocategorieUscite[[#Headers],[Personali]],$I399&lt;&gt;SottocategorieUscite[[#Headers],[Lavoro]],$I399&lt;&gt;SottocategorieUscite[[#Headers],[Casa]],$I399&lt;&gt;SottocategorieUscite[[#Headers],[Utenze]],$I399&lt;&gt;SottocategorieUscite[[#Headers],[Business Uscite]],$I399&lt;&gt;SottocategorieUscite[[#Headers],[Banca]]),"","$ -")</f>
        <v/>
      </c>
      <c r="N399" s="59" t="str">
        <f>IF(OR(Data!$I399=SottocategorieEntrate[[#Headers],[Business Entrate]],Data!$I399=SottocategorieEntrate[[#Headers],[Varie Entrate]]),"$ -","")</f>
        <v/>
      </c>
      <c r="O399" s="59" t="str">
        <f>IF(OR(Data!$I399=SottocategorieEntrate[[#Headers],[Real Estate]],SottocategorieEntrate[[#Headers],[Other]]),"$ -","")</f>
        <v/>
      </c>
      <c r="P399" s="59" t="str">
        <f>IF(OR($I399&lt;&gt;SottocategorieEntrate[[#Headers],[Business Entrate]],$I399&lt;&gt;SottocategorieEntrate[[#Headers],[Varie Entrate]],$I399&lt;&gt;SottocategorieEntrate[[#Headers],[Real Estate]],$I399&lt;&gt;SottocategorieEntrate[[#Headers],[Other]]),"","$ -")</f>
        <v/>
      </c>
      <c r="Q399" s="59" t="str">
        <f>IF(Dati[[#This Row],[Categoria]]="Prelievo","€ -","")</f>
        <v/>
      </c>
      <c r="R399" s="244"/>
      <c r="S399" s="59" t="str">
        <f>IF(Dati[[#This Row],[Categoria]]="Savings",0,"")</f>
        <v/>
      </c>
      <c r="T399" s="59"/>
      <c r="U399" s="59"/>
      <c r="V399" s="59"/>
      <c r="W399" s="59"/>
      <c r="X399" s="59"/>
      <c r="Y399" s="59"/>
      <c r="Z399" s="59"/>
      <c r="AA399" s="59"/>
      <c r="AB399" s="59"/>
      <c r="AC399" s="59"/>
      <c r="AD399" s="59"/>
      <c r="AE399" s="59"/>
      <c r="AF399" s="59"/>
      <c r="AG399" s="59"/>
      <c r="AH399" s="59"/>
      <c r="AI399" s="59" t="str">
        <f>IF(SUM(Dati[[#This Row],[Inv. Business]:[Inv. Cryptocurrency]])=0," ",SUM(Dati[[#This Row],[Inv. Business]:[Inv. Cryptocurrency]]))</f>
        <v xml:space="preserve"> </v>
      </c>
      <c r="AJ399" s="59"/>
      <c r="AK399" s="59" t="str">
        <f>IF(SUM(Dati[[#This Row],[Inv. Gold]:[Mutuo]])=0," ",SUM(Dati[[#This Row],[Inv. Gold]:[Mutuo]]))</f>
        <v xml:space="preserve"> </v>
      </c>
      <c r="AL399" s="59"/>
      <c r="AM399" s="59"/>
    </row>
    <row r="400" spans="2:39" ht="16" customHeight="1" x14ac:dyDescent="0.35">
      <c r="B400">
        <f t="shared" si="15"/>
        <v>380</v>
      </c>
      <c r="C400" s="49">
        <v>45254</v>
      </c>
      <c r="D400" s="29">
        <f>DAY(Dati[[#This Row],[Data]])</f>
        <v>24</v>
      </c>
      <c r="E400" s="29" t="str">
        <f>IF(DAY(Data!$C$21:$C$1327)&gt;0,TEXT(Data!$C$21:$C$1327, "mmmm"),"")</f>
        <v>novembre</v>
      </c>
      <c r="F400" s="29" t="str">
        <f>IF(DAY(Data!$C$21:$C$1327)&gt;0,TEXT(Data!$C$21:$C$1327, "aaaa"),"")</f>
        <v>2023</v>
      </c>
      <c r="I400" t="str">
        <f>IF(OR(H400=$B$5,H400=$B$6,H400=$B$7,H400=$B$8,H400=$B$9,H400=$B$10,H400=$B$11,H400=$B$12,H400=$B$13,H400=$B$14),SottocategorieUscite[[#Headers],[Fuori Casa]],IF(OR(H400=$C$5,H400=$C$6,H400=$C$7,H400=$C$8,H400=$C$9,H400=$C$10,H400=$C$11,H400=$C$12,H400=$C$13,H400=$C$14),SottocategorieUscite[[#Headers],[Varie Uscite]],IF(OR(H400=$D$5,H400=$D$6,H400=$D$7,H400=$D$8,H400=$D$9,H400=$D$10,H400=$D$11,H400=$D$12,H400=$D$13,H400=$D$14),SottocategorieUscite[[#Headers],[Personali]],IF(OR(H400=$E$5,H400=$E$6,H400=$E$7,H400=$E$8,H400=$E$9,H400=$E$10,H400=$E$11,H400=$E$12,H400=$E$13,H400=$E$14),SottocategorieUscite[[#Headers],[Lavoro]],IF(OR(H400=$F$5,H400=$F$6,H400=$F$7,H400=$F$8,H400=$F$9,H400=$F$10,H400=$F$11,H400=$F$12,H400=$F$13,H400=$F$14),SottocategorieUscite[[#Headers],[Casa]],IF(OR(H400=$G$5,H400=$G$6,H400=$G$7,H400=$G$8,H400=$G$9,H400=$G$10,H400=$G$11,H400=$G$12,H400=$G$13,H400=$G$14),SottocategorieUscite[[#Headers],[Utenze]],IF(OR(H400=$H$5,H400=$H$6,H400=$H$7,H400=$H$8,H400=$H$9,H400=$H$10,H400=$H$11,H400=$H$12,H400=$H$13,H400=$H$14),SottocategorieUscite[[#Headers],[Business Uscite]],IF(OR(H400=$I$5,H400=$I$6,H400=$I$7,H400=$I$8,H400=$I$9,H400=$I$10,H400=$I$11,H400=$I$12,H400=$I$13,H400=$I$14),SottocategorieUscite[[#Headers],[Banca]],IF(OR(H400=K$5,H400=K$6,H400=K$7,H400=K$8,H400=K$9,H400=K$10,H400=K$11,H400=K$12,H400=K$13,H400=K$14),SottocategorieEntrate[[#Headers],[Business Entrate]],IF(OR(H400=L$5,H400=L$6,H400=L$7,H400=L$8,H400=L$9,H400=L$10,H400=L$11,H400=L$12,H400=L$13,H400=L$14),SottocategorieEntrate[[#Headers],[Varie Entrate]],IF(OR(H400=M$5,H400=M$6,H400=M$7,H400=M$8,H400=M$9,H400=M$10,H400=M$11,H400=M$12,H400=M$13,H400=M$14),SottocategorieEntrate[[#Headers],[Real Estate]],IF(OR(H400=N$5,H400=N$6,H400=N$7,H400=N$8,H400=N$9,H400=N$10,H400=N$11,H400=N$12,H400=N$13,H400=N$14),SottocategorieEntrate[[#Headers],[Other]],""))))))))))))</f>
        <v/>
      </c>
      <c r="J400" t="str">
        <f>IF(OR(Dati[[#This Row],[Categoria]]="Bollette",Dati[[#This Row],[Categoria]]="Conto &amp; Carte BNL",Dati[[#This Row],[Categoria]]="Prelievo",Dati[[#This Row],[Categoria]]="Affitto",Dati[[#This Row],[Categoria]]="BNL(Interessi Creditori)"),"Carta",IF(Dati[[#This Row],[Categoria]]&lt;&gt;0,"Cash",""))</f>
        <v/>
      </c>
      <c r="K400" s="59" t="str">
        <f>IF(OR(Data!$I400=SottocategorieUscite[[#Headers],[Fuori Casa]],Data!$I400=SottocategorieUscite[[#Headers],[Varie Uscite]],Data!$I400=SottocategorieUscite[[#Headers],[Personali]],Data!$I400=SottocategorieUscite[[#Headers],[Lavoro]]),"$ -","")</f>
        <v/>
      </c>
      <c r="L400" s="59" t="str">
        <f>IF(OR(Data!$I400=SottocategorieUscite[[#Headers],[Casa]],Data!$I400=SottocategorieUscite[[#Headers],[Utenze]],Data!$I400=SottocategorieUscite[[#Headers],[Business Uscite]],Data!$I400=SottocategorieUscite[[#Headers],[Banca]]),"$ -","")</f>
        <v/>
      </c>
      <c r="M400" s="59" t="str">
        <f>IF(OR($I400&lt;&gt;SottocategorieUscite[[#Headers],[Fuori Casa]],$I400&lt;&gt;SottocategorieUscite[[#Headers],[Varie Uscite]],$I400&lt;&gt;SottocategorieUscite[[#Headers],[Personali]],$I400&lt;&gt;SottocategorieUscite[[#Headers],[Lavoro]],$I400&lt;&gt;SottocategorieUscite[[#Headers],[Casa]],$I400&lt;&gt;SottocategorieUscite[[#Headers],[Utenze]],$I400&lt;&gt;SottocategorieUscite[[#Headers],[Business Uscite]],$I400&lt;&gt;SottocategorieUscite[[#Headers],[Banca]]),"","$ -")</f>
        <v/>
      </c>
      <c r="N400" s="59" t="str">
        <f>IF(OR(Data!$I400=SottocategorieEntrate[[#Headers],[Business Entrate]],Data!$I400=SottocategorieEntrate[[#Headers],[Varie Entrate]]),"$ -","")</f>
        <v/>
      </c>
      <c r="O400" s="59" t="str">
        <f>IF(OR(Data!$I400=SottocategorieEntrate[[#Headers],[Real Estate]],SottocategorieEntrate[[#Headers],[Other]]),"$ -","")</f>
        <v/>
      </c>
      <c r="P400" s="59" t="str">
        <f>IF(OR($I400&lt;&gt;SottocategorieEntrate[[#Headers],[Business Entrate]],$I400&lt;&gt;SottocategorieEntrate[[#Headers],[Varie Entrate]],$I400&lt;&gt;SottocategorieEntrate[[#Headers],[Real Estate]],$I400&lt;&gt;SottocategorieEntrate[[#Headers],[Other]]),"","$ -")</f>
        <v/>
      </c>
      <c r="Q400" s="59" t="str">
        <f>IF(Dati[[#This Row],[Categoria]]="Prelievo","€ -","")</f>
        <v/>
      </c>
      <c r="R400" s="244"/>
      <c r="S400" s="59" t="str">
        <f>IF(Dati[[#This Row],[Categoria]]="Savings",0,"")</f>
        <v/>
      </c>
      <c r="T400" s="59"/>
      <c r="U400" s="59"/>
      <c r="V400" s="59"/>
      <c r="W400" s="59"/>
      <c r="X400" s="59"/>
      <c r="Y400" s="59"/>
      <c r="Z400" s="59"/>
      <c r="AA400" s="59"/>
      <c r="AB400" s="59"/>
      <c r="AC400" s="59"/>
      <c r="AD400" s="59"/>
      <c r="AE400" s="59"/>
      <c r="AF400" s="59"/>
      <c r="AG400" s="59"/>
      <c r="AH400" s="59"/>
      <c r="AI400" s="59" t="str">
        <f>IF(SUM(Dati[[#This Row],[Inv. Business]:[Inv. Cryptocurrency]])=0," ",SUM(Dati[[#This Row],[Inv. Business]:[Inv. Cryptocurrency]]))</f>
        <v xml:space="preserve"> </v>
      </c>
      <c r="AJ400" s="59"/>
      <c r="AK400" s="59" t="str">
        <f>IF(SUM(Dati[[#This Row],[Inv. Gold]:[Mutuo]])=0," ",SUM(Dati[[#This Row],[Inv. Gold]:[Mutuo]]))</f>
        <v xml:space="preserve"> </v>
      </c>
      <c r="AL400" s="59"/>
      <c r="AM400" s="59"/>
    </row>
    <row r="401" spans="2:39" ht="16" customHeight="1" x14ac:dyDescent="0.35">
      <c r="B401">
        <f t="shared" si="15"/>
        <v>381</v>
      </c>
      <c r="C401" s="49">
        <f>C399+1</f>
        <v>45255</v>
      </c>
      <c r="D401" s="29">
        <f>DAY(Dati[[#This Row],[Data]])</f>
        <v>25</v>
      </c>
      <c r="E401" s="29" t="str">
        <f>IF(DAY(Data!$C$21:$C$1327)&gt;0,TEXT(Data!$C$21:$C$1327, "mmmm"),"")</f>
        <v>novembre</v>
      </c>
      <c r="F401" s="29" t="str">
        <f>IF(DAY(Data!$C$21:$C$1327)&gt;0,TEXT(Data!$C$21:$C$1327, "aaaa"),"")</f>
        <v>2023</v>
      </c>
      <c r="I401" t="str">
        <f>IF(OR(H401=$B$5,H401=$B$6,H401=$B$7,H401=$B$8,H401=$B$9,H401=$B$10,H401=$B$11,H401=$B$12,H401=$B$13,H401=$B$14),SottocategorieUscite[[#Headers],[Fuori Casa]],IF(OR(H401=$C$5,H401=$C$6,H401=$C$7,H401=$C$8,H401=$C$9,H401=$C$10,H401=$C$11,H401=$C$12,H401=$C$13,H401=$C$14),SottocategorieUscite[[#Headers],[Varie Uscite]],IF(OR(H401=$D$5,H401=$D$6,H401=$D$7,H401=$D$8,H401=$D$9,H401=$D$10,H401=$D$11,H401=$D$12,H401=$D$13,H401=$D$14),SottocategorieUscite[[#Headers],[Personali]],IF(OR(H401=$E$5,H401=$E$6,H401=$E$7,H401=$E$8,H401=$E$9,H401=$E$10,H401=$E$11,H401=$E$12,H401=$E$13,H401=$E$14),SottocategorieUscite[[#Headers],[Lavoro]],IF(OR(H401=$F$5,H401=$F$6,H401=$F$7,H401=$F$8,H401=$F$9,H401=$F$10,H401=$F$11,H401=$F$12,H401=$F$13,H401=$F$14),SottocategorieUscite[[#Headers],[Casa]],IF(OR(H401=$G$5,H401=$G$6,H401=$G$7,H401=$G$8,H401=$G$9,H401=$G$10,H401=$G$11,H401=$G$12,H401=$G$13,H401=$G$14),SottocategorieUscite[[#Headers],[Utenze]],IF(OR(H401=$H$5,H401=$H$6,H401=$H$7,H401=$H$8,H401=$H$9,H401=$H$10,H401=$H$11,H401=$H$12,H401=$H$13,H401=$H$14),SottocategorieUscite[[#Headers],[Business Uscite]],IF(OR(H401=$I$5,H401=$I$6,H401=$I$7,H401=$I$8,H401=$I$9,H401=$I$10,H401=$I$11,H401=$I$12,H401=$I$13,H401=$I$14),SottocategorieUscite[[#Headers],[Banca]],IF(OR(H401=K$5,H401=K$6,H401=K$7,H401=K$8,H401=K$9,H401=K$10,H401=K$11,H401=K$12,H401=K$13,H401=K$14),SottocategorieEntrate[[#Headers],[Business Entrate]],IF(OR(H401=L$5,H401=L$6,H401=L$7,H401=L$8,H401=L$9,H401=L$10,H401=L$11,H401=L$12,H401=L$13,H401=L$14),SottocategorieEntrate[[#Headers],[Varie Entrate]],IF(OR(H401=M$5,H401=M$6,H401=M$7,H401=M$8,H401=M$9,H401=M$10,H401=M$11,H401=M$12,H401=M$13,H401=M$14),SottocategorieEntrate[[#Headers],[Real Estate]],IF(OR(H401=N$5,H401=N$6,H401=N$7,H401=N$8,H401=N$9,H401=N$10,H401=N$11,H401=N$12,H401=N$13,H401=N$14),SottocategorieEntrate[[#Headers],[Other]],""))))))))))))</f>
        <v/>
      </c>
      <c r="J401" t="str">
        <f>IF(OR(Dati[[#This Row],[Categoria]]="Bollette",Dati[[#This Row],[Categoria]]="Conto &amp; Carte BNL",Dati[[#This Row],[Categoria]]="Prelievo",Dati[[#This Row],[Categoria]]="Affitto",Dati[[#This Row],[Categoria]]="BNL(Interessi Creditori)"),"Carta",IF(Dati[[#This Row],[Categoria]]&lt;&gt;0,"Cash",""))</f>
        <v/>
      </c>
      <c r="K401" s="59" t="str">
        <f>IF(OR(Data!$I401=SottocategorieUscite[[#Headers],[Fuori Casa]],Data!$I401=SottocategorieUscite[[#Headers],[Varie Uscite]],Data!$I401=SottocategorieUscite[[#Headers],[Personali]],Data!$I401=SottocategorieUscite[[#Headers],[Lavoro]]),"$ -","")</f>
        <v/>
      </c>
      <c r="L401" s="59" t="str">
        <f>IF(OR(Data!$I401=SottocategorieUscite[[#Headers],[Casa]],Data!$I401=SottocategorieUscite[[#Headers],[Utenze]],Data!$I401=SottocategorieUscite[[#Headers],[Business Uscite]],Data!$I401=SottocategorieUscite[[#Headers],[Banca]]),"$ -","")</f>
        <v/>
      </c>
      <c r="M401" s="59" t="str">
        <f>IF(OR($I401&lt;&gt;SottocategorieUscite[[#Headers],[Fuori Casa]],$I401&lt;&gt;SottocategorieUscite[[#Headers],[Varie Uscite]],$I401&lt;&gt;SottocategorieUscite[[#Headers],[Personali]],$I401&lt;&gt;SottocategorieUscite[[#Headers],[Lavoro]],$I401&lt;&gt;SottocategorieUscite[[#Headers],[Casa]],$I401&lt;&gt;SottocategorieUscite[[#Headers],[Utenze]],$I401&lt;&gt;SottocategorieUscite[[#Headers],[Business Uscite]],$I401&lt;&gt;SottocategorieUscite[[#Headers],[Banca]]),"","$ -")</f>
        <v/>
      </c>
      <c r="N401" s="59" t="str">
        <f>IF(OR(Data!$I401=SottocategorieEntrate[[#Headers],[Business Entrate]],Data!$I401=SottocategorieEntrate[[#Headers],[Varie Entrate]]),"$ -","")</f>
        <v/>
      </c>
      <c r="O401" s="59" t="str">
        <f>IF(OR(Data!$I401=SottocategorieEntrate[[#Headers],[Real Estate]],SottocategorieEntrate[[#Headers],[Other]]),"$ -","")</f>
        <v/>
      </c>
      <c r="P401" s="59" t="str">
        <f>IF(OR($I401&lt;&gt;SottocategorieEntrate[[#Headers],[Business Entrate]],$I401&lt;&gt;SottocategorieEntrate[[#Headers],[Varie Entrate]],$I401&lt;&gt;SottocategorieEntrate[[#Headers],[Real Estate]],$I401&lt;&gt;SottocategorieEntrate[[#Headers],[Other]]),"","$ -")</f>
        <v/>
      </c>
      <c r="Q401" s="59" t="str">
        <f>IF(Dati[[#This Row],[Categoria]]="Prelievo","€ -","")</f>
        <v/>
      </c>
      <c r="R401" s="244"/>
      <c r="S401" s="59" t="str">
        <f>IF(Dati[[#This Row],[Categoria]]="Savings",0,"")</f>
        <v/>
      </c>
      <c r="T401" s="59"/>
      <c r="U401" s="59"/>
      <c r="V401" s="59"/>
      <c r="W401" s="59"/>
      <c r="X401" s="59"/>
      <c r="Y401" s="59"/>
      <c r="Z401" s="59"/>
      <c r="AA401" s="59"/>
      <c r="AB401" s="59"/>
      <c r="AC401" s="59"/>
      <c r="AD401" s="59"/>
      <c r="AE401" s="59"/>
      <c r="AF401" s="59"/>
      <c r="AG401" s="59"/>
      <c r="AH401" s="59"/>
      <c r="AI401" s="59" t="str">
        <f>IF(SUM(Dati[[#This Row],[Inv. Business]:[Inv. Cryptocurrency]])=0," ",SUM(Dati[[#This Row],[Inv. Business]:[Inv. Cryptocurrency]]))</f>
        <v xml:space="preserve"> </v>
      </c>
      <c r="AJ401" s="59"/>
      <c r="AK401" s="59" t="str">
        <f>IF(SUM(Dati[[#This Row],[Inv. Gold]:[Mutuo]])=0," ",SUM(Dati[[#This Row],[Inv. Gold]:[Mutuo]]))</f>
        <v xml:space="preserve"> </v>
      </c>
      <c r="AL401" s="59"/>
      <c r="AM401" s="59"/>
    </row>
    <row r="402" spans="2:39" ht="16" customHeight="1" x14ac:dyDescent="0.35">
      <c r="B402">
        <f t="shared" si="15"/>
        <v>382</v>
      </c>
      <c r="C402" s="49">
        <f t="shared" si="17"/>
        <v>45256</v>
      </c>
      <c r="D402" s="29">
        <f>DAY(Dati[[#This Row],[Data]])</f>
        <v>26</v>
      </c>
      <c r="E402" s="29" t="str">
        <f>IF(DAY(Data!$C$21:$C$1327)&gt;0,TEXT(Data!$C$21:$C$1327, "mmmm"),"")</f>
        <v>novembre</v>
      </c>
      <c r="F402" s="29" t="str">
        <f>IF(DAY(Data!$C$21:$C$1327)&gt;0,TEXT(Data!$C$21:$C$1327, "aaaa"),"")</f>
        <v>2023</v>
      </c>
      <c r="I402" t="str">
        <f>IF(OR(H402=$B$5,H402=$B$6,H402=$B$7,H402=$B$8,H402=$B$9,H402=$B$10,H402=$B$11,H402=$B$12,H402=$B$13,H402=$B$14),SottocategorieUscite[[#Headers],[Fuori Casa]],IF(OR(H402=$C$5,H402=$C$6,H402=$C$7,H402=$C$8,H402=$C$9,H402=$C$10,H402=$C$11,H402=$C$12,H402=$C$13,H402=$C$14),SottocategorieUscite[[#Headers],[Varie Uscite]],IF(OR(H402=$D$5,H402=$D$6,H402=$D$7,H402=$D$8,H402=$D$9,H402=$D$10,H402=$D$11,H402=$D$12,H402=$D$13,H402=$D$14),SottocategorieUscite[[#Headers],[Personali]],IF(OR(H402=$E$5,H402=$E$6,H402=$E$7,H402=$E$8,H402=$E$9,H402=$E$10,H402=$E$11,H402=$E$12,H402=$E$13,H402=$E$14),SottocategorieUscite[[#Headers],[Lavoro]],IF(OR(H402=$F$5,H402=$F$6,H402=$F$7,H402=$F$8,H402=$F$9,H402=$F$10,H402=$F$11,H402=$F$12,H402=$F$13,H402=$F$14),SottocategorieUscite[[#Headers],[Casa]],IF(OR(H402=$G$5,H402=$G$6,H402=$G$7,H402=$G$8,H402=$G$9,H402=$G$10,H402=$G$11,H402=$G$12,H402=$G$13,H402=$G$14),SottocategorieUscite[[#Headers],[Utenze]],IF(OR(H402=$H$5,H402=$H$6,H402=$H$7,H402=$H$8,H402=$H$9,H402=$H$10,H402=$H$11,H402=$H$12,H402=$H$13,H402=$H$14),SottocategorieUscite[[#Headers],[Business Uscite]],IF(OR(H402=$I$5,H402=$I$6,H402=$I$7,H402=$I$8,H402=$I$9,H402=$I$10,H402=$I$11,H402=$I$12,H402=$I$13,H402=$I$14),SottocategorieUscite[[#Headers],[Banca]],IF(OR(H402=K$5,H402=K$6,H402=K$7,H402=K$8,H402=K$9,H402=K$10,H402=K$11,H402=K$12,H402=K$13,H402=K$14),SottocategorieEntrate[[#Headers],[Business Entrate]],IF(OR(H402=L$5,H402=L$6,H402=L$7,H402=L$8,H402=L$9,H402=L$10,H402=L$11,H402=L$12,H402=L$13,H402=L$14),SottocategorieEntrate[[#Headers],[Varie Entrate]],IF(OR(H402=M$5,H402=M$6,H402=M$7,H402=M$8,H402=M$9,H402=M$10,H402=M$11,H402=M$12,H402=M$13,H402=M$14),SottocategorieEntrate[[#Headers],[Real Estate]],IF(OR(H402=N$5,H402=N$6,H402=N$7,H402=N$8,H402=N$9,H402=N$10,H402=N$11,H402=N$12,H402=N$13,H402=N$14),SottocategorieEntrate[[#Headers],[Other]],""))))))))))))</f>
        <v/>
      </c>
      <c r="J402" t="str">
        <f>IF(OR(Dati[[#This Row],[Categoria]]="Bollette",Dati[[#This Row],[Categoria]]="Conto &amp; Carte BNL",Dati[[#This Row],[Categoria]]="Prelievo",Dati[[#This Row],[Categoria]]="Affitto",Dati[[#This Row],[Categoria]]="BNL(Interessi Creditori)"),"Carta",IF(Dati[[#This Row],[Categoria]]&lt;&gt;0,"Cash",""))</f>
        <v/>
      </c>
      <c r="K402" s="59" t="str">
        <f>IF(OR(Data!$I402=SottocategorieUscite[[#Headers],[Fuori Casa]],Data!$I402=SottocategorieUscite[[#Headers],[Varie Uscite]],Data!$I402=SottocategorieUscite[[#Headers],[Personali]],Data!$I402=SottocategorieUscite[[#Headers],[Lavoro]]),"$ -","")</f>
        <v/>
      </c>
      <c r="L402" s="59" t="str">
        <f>IF(OR(Data!$I402=SottocategorieUscite[[#Headers],[Casa]],Data!$I402=SottocategorieUscite[[#Headers],[Utenze]],Data!$I402=SottocategorieUscite[[#Headers],[Business Uscite]],Data!$I402=SottocategorieUscite[[#Headers],[Banca]]),"$ -","")</f>
        <v/>
      </c>
      <c r="M402" s="59" t="str">
        <f>IF(OR($I402&lt;&gt;SottocategorieUscite[[#Headers],[Fuori Casa]],$I402&lt;&gt;SottocategorieUscite[[#Headers],[Varie Uscite]],$I402&lt;&gt;SottocategorieUscite[[#Headers],[Personali]],$I402&lt;&gt;SottocategorieUscite[[#Headers],[Lavoro]],$I402&lt;&gt;SottocategorieUscite[[#Headers],[Casa]],$I402&lt;&gt;SottocategorieUscite[[#Headers],[Utenze]],$I402&lt;&gt;SottocategorieUscite[[#Headers],[Business Uscite]],$I402&lt;&gt;SottocategorieUscite[[#Headers],[Banca]]),"","$ -")</f>
        <v/>
      </c>
      <c r="N402" s="59" t="str">
        <f>IF(OR(Data!$I402=SottocategorieEntrate[[#Headers],[Business Entrate]],Data!$I402=SottocategorieEntrate[[#Headers],[Varie Entrate]]),"$ -","")</f>
        <v/>
      </c>
      <c r="O402" s="59" t="str">
        <f>IF(OR(Data!$I402=SottocategorieEntrate[[#Headers],[Real Estate]],SottocategorieEntrate[[#Headers],[Other]]),"$ -","")</f>
        <v/>
      </c>
      <c r="P402" s="59" t="str">
        <f>IF(OR($I402&lt;&gt;SottocategorieEntrate[[#Headers],[Business Entrate]],$I402&lt;&gt;SottocategorieEntrate[[#Headers],[Varie Entrate]],$I402&lt;&gt;SottocategorieEntrate[[#Headers],[Real Estate]],$I402&lt;&gt;SottocategorieEntrate[[#Headers],[Other]]),"","$ -")</f>
        <v/>
      </c>
      <c r="Q402" s="59" t="str">
        <f>IF(Dati[[#This Row],[Categoria]]="Prelievo","€ -","")</f>
        <v/>
      </c>
      <c r="R402" s="244"/>
      <c r="S402" s="59" t="str">
        <f>IF(Dati[[#This Row],[Categoria]]="Savings",0,"")</f>
        <v/>
      </c>
      <c r="T402" s="59"/>
      <c r="U402" s="59"/>
      <c r="V402" s="59"/>
      <c r="W402" s="59"/>
      <c r="X402" s="59"/>
      <c r="Y402" s="59"/>
      <c r="Z402" s="59"/>
      <c r="AA402" s="59"/>
      <c r="AB402" s="59"/>
      <c r="AC402" s="59"/>
      <c r="AD402" s="59"/>
      <c r="AE402" s="59"/>
      <c r="AF402" s="59"/>
      <c r="AG402" s="59"/>
      <c r="AH402" s="59"/>
      <c r="AI402" s="59" t="str">
        <f>IF(SUM(Dati[[#This Row],[Inv. Business]:[Inv. Cryptocurrency]])=0," ",SUM(Dati[[#This Row],[Inv. Business]:[Inv. Cryptocurrency]]))</f>
        <v xml:space="preserve"> </v>
      </c>
      <c r="AJ402" s="59"/>
      <c r="AK402" s="59" t="str">
        <f>IF(SUM(Dati[[#This Row],[Inv. Gold]:[Mutuo]])=0," ",SUM(Dati[[#This Row],[Inv. Gold]:[Mutuo]]))</f>
        <v xml:space="preserve"> </v>
      </c>
      <c r="AL402" s="59"/>
      <c r="AM402" s="59"/>
    </row>
    <row r="403" spans="2:39" ht="16" customHeight="1" x14ac:dyDescent="0.35">
      <c r="B403">
        <f t="shared" si="15"/>
        <v>383</v>
      </c>
      <c r="C403" s="49">
        <f>C402+1</f>
        <v>45257</v>
      </c>
      <c r="D403" s="29">
        <f>DAY(Dati[[#This Row],[Data]])</f>
        <v>27</v>
      </c>
      <c r="E403" s="29" t="str">
        <f>IF(DAY(Data!$C$21:$C$1327)&gt;0,TEXT(Data!$C$21:$C$1327, "mmmm"),"")</f>
        <v>novembre</v>
      </c>
      <c r="F403" s="29" t="str">
        <f>IF(DAY(Data!$C$21:$C$1327)&gt;0,TEXT(Data!$C$21:$C$1327, "aaaa"),"")</f>
        <v>2023</v>
      </c>
      <c r="I403" t="str">
        <f>IF(OR(H403=$B$5,H403=$B$6,H403=$B$7,H403=$B$8,H403=$B$9,H403=$B$10,H403=$B$11,H403=$B$12,H403=$B$13,H403=$B$14),SottocategorieUscite[[#Headers],[Fuori Casa]],IF(OR(H403=$C$5,H403=$C$6,H403=$C$7,H403=$C$8,H403=$C$9,H403=$C$10,H403=$C$11,H403=$C$12,H403=$C$13,H403=$C$14),SottocategorieUscite[[#Headers],[Varie Uscite]],IF(OR(H403=$D$5,H403=$D$6,H403=$D$7,H403=$D$8,H403=$D$9,H403=$D$10,H403=$D$11,H403=$D$12,H403=$D$13,H403=$D$14),SottocategorieUscite[[#Headers],[Personali]],IF(OR(H403=$E$5,H403=$E$6,H403=$E$7,H403=$E$8,H403=$E$9,H403=$E$10,H403=$E$11,H403=$E$12,H403=$E$13,H403=$E$14),SottocategorieUscite[[#Headers],[Lavoro]],IF(OR(H403=$F$5,H403=$F$6,H403=$F$7,H403=$F$8,H403=$F$9,H403=$F$10,H403=$F$11,H403=$F$12,H403=$F$13,H403=$F$14),SottocategorieUscite[[#Headers],[Casa]],IF(OR(H403=$G$5,H403=$G$6,H403=$G$7,H403=$G$8,H403=$G$9,H403=$G$10,H403=$G$11,H403=$G$12,H403=$G$13,H403=$G$14),SottocategorieUscite[[#Headers],[Utenze]],IF(OR(H403=$H$5,H403=$H$6,H403=$H$7,H403=$H$8,H403=$H$9,H403=$H$10,H403=$H$11,H403=$H$12,H403=$H$13,H403=$H$14),SottocategorieUscite[[#Headers],[Business Uscite]],IF(OR(H403=$I$5,H403=$I$6,H403=$I$7,H403=$I$8,H403=$I$9,H403=$I$10,H403=$I$11,H403=$I$12,H403=$I$13,H403=$I$14),SottocategorieUscite[[#Headers],[Banca]],IF(OR(H403=K$5,H403=K$6,H403=K$7,H403=K$8,H403=K$9,H403=K$10,H403=K$11,H403=K$12,H403=K$13,H403=K$14),SottocategorieEntrate[[#Headers],[Business Entrate]],IF(OR(H403=L$5,H403=L$6,H403=L$7,H403=L$8,H403=L$9,H403=L$10,H403=L$11,H403=L$12,H403=L$13,H403=L$14),SottocategorieEntrate[[#Headers],[Varie Entrate]],IF(OR(H403=M$5,H403=M$6,H403=M$7,H403=M$8,H403=M$9,H403=M$10,H403=M$11,H403=M$12,H403=M$13,H403=M$14),SottocategorieEntrate[[#Headers],[Real Estate]],IF(OR(H403=N$5,H403=N$6,H403=N$7,H403=N$8,H403=N$9,H403=N$10,H403=N$11,H403=N$12,H403=N$13,H403=N$14),SottocategorieEntrate[[#Headers],[Other]],""))))))))))))</f>
        <v/>
      </c>
      <c r="J403" t="str">
        <f>IF(OR(Dati[[#This Row],[Categoria]]="Bollette",Dati[[#This Row],[Categoria]]="Conto &amp; Carte BNL",Dati[[#This Row],[Categoria]]="Prelievo",Dati[[#This Row],[Categoria]]="Affitto",Dati[[#This Row],[Categoria]]="BNL(Interessi Creditori)"),"Carta",IF(Dati[[#This Row],[Categoria]]&lt;&gt;0,"Cash",""))</f>
        <v/>
      </c>
      <c r="K403" s="59" t="str">
        <f>IF(OR(Data!$I403=SottocategorieUscite[[#Headers],[Fuori Casa]],Data!$I403=SottocategorieUscite[[#Headers],[Varie Uscite]],Data!$I403=SottocategorieUscite[[#Headers],[Personali]],Data!$I403=SottocategorieUscite[[#Headers],[Lavoro]]),"$ -","")</f>
        <v/>
      </c>
      <c r="L403" s="59" t="str">
        <f>IF(OR(Data!$I403=SottocategorieUscite[[#Headers],[Casa]],Data!$I403=SottocategorieUscite[[#Headers],[Utenze]],Data!$I403=SottocategorieUscite[[#Headers],[Business Uscite]],Data!$I403=SottocategorieUscite[[#Headers],[Banca]]),"$ -","")</f>
        <v/>
      </c>
      <c r="M403" s="59" t="str">
        <f>IF(OR($I403&lt;&gt;SottocategorieUscite[[#Headers],[Fuori Casa]],$I403&lt;&gt;SottocategorieUscite[[#Headers],[Varie Uscite]],$I403&lt;&gt;SottocategorieUscite[[#Headers],[Personali]],$I403&lt;&gt;SottocategorieUscite[[#Headers],[Lavoro]],$I403&lt;&gt;SottocategorieUscite[[#Headers],[Casa]],$I403&lt;&gt;SottocategorieUscite[[#Headers],[Utenze]],$I403&lt;&gt;SottocategorieUscite[[#Headers],[Business Uscite]],$I403&lt;&gt;SottocategorieUscite[[#Headers],[Banca]]),"","$ -")</f>
        <v/>
      </c>
      <c r="N403" s="59" t="str">
        <f>IF(OR(Data!$I403=SottocategorieEntrate[[#Headers],[Business Entrate]],Data!$I403=SottocategorieEntrate[[#Headers],[Varie Entrate]]),"$ -","")</f>
        <v/>
      </c>
      <c r="O403" s="59" t="str">
        <f>IF(OR(Data!$I403=SottocategorieEntrate[[#Headers],[Real Estate]],SottocategorieEntrate[[#Headers],[Other]]),"$ -","")</f>
        <v/>
      </c>
      <c r="P403" s="59" t="str">
        <f>IF(OR($I403&lt;&gt;SottocategorieEntrate[[#Headers],[Business Entrate]],$I403&lt;&gt;SottocategorieEntrate[[#Headers],[Varie Entrate]],$I403&lt;&gt;SottocategorieEntrate[[#Headers],[Real Estate]],$I403&lt;&gt;SottocategorieEntrate[[#Headers],[Other]]),"","$ -")</f>
        <v/>
      </c>
      <c r="Q403" s="59" t="str">
        <f>IF(Dati[[#This Row],[Categoria]]="Prelievo","€ -","")</f>
        <v/>
      </c>
      <c r="R403" s="244"/>
      <c r="S403" s="59" t="str">
        <f>IF(Dati[[#This Row],[Categoria]]="Savings",0,"")</f>
        <v/>
      </c>
      <c r="T403" s="59"/>
      <c r="U403" s="59"/>
      <c r="V403" s="59"/>
      <c r="W403" s="59"/>
      <c r="X403" s="59"/>
      <c r="Y403" s="59"/>
      <c r="Z403" s="59"/>
      <c r="AA403" s="59"/>
      <c r="AB403" s="59"/>
      <c r="AC403" s="59"/>
      <c r="AD403" s="59"/>
      <c r="AE403" s="59"/>
      <c r="AF403" s="59"/>
      <c r="AG403" s="59"/>
      <c r="AH403" s="59"/>
      <c r="AI403" s="59" t="str">
        <f>IF(SUM(Dati[[#This Row],[Inv. Business]:[Inv. Cryptocurrency]])=0," ",SUM(Dati[[#This Row],[Inv. Business]:[Inv. Cryptocurrency]]))</f>
        <v xml:space="preserve"> </v>
      </c>
      <c r="AJ403" s="59"/>
      <c r="AK403" s="59" t="str">
        <f>IF(SUM(Dati[[#This Row],[Inv. Gold]:[Mutuo]])=0," ",SUM(Dati[[#This Row],[Inv. Gold]:[Mutuo]]))</f>
        <v xml:space="preserve"> </v>
      </c>
      <c r="AL403" s="59"/>
      <c r="AM403" s="59"/>
    </row>
    <row r="404" spans="2:39" ht="16" customHeight="1" x14ac:dyDescent="0.35">
      <c r="B404">
        <f t="shared" si="15"/>
        <v>384</v>
      </c>
      <c r="C404" s="49">
        <v>45257</v>
      </c>
      <c r="D404" s="29">
        <f>DAY(Dati[[#This Row],[Data]])</f>
        <v>27</v>
      </c>
      <c r="E404" s="29" t="str">
        <f>IF(DAY(Data!$C$21:$C$1327)&gt;0,TEXT(Data!$C$21:$C$1327, "mmmm"),"")</f>
        <v>novembre</v>
      </c>
      <c r="F404" s="29" t="str">
        <f>IF(DAY(Data!$C$21:$C$1327)&gt;0,TEXT(Data!$C$21:$C$1327, "aaaa"),"")</f>
        <v>2023</v>
      </c>
      <c r="I404" t="str">
        <f>IF(OR(H404=$B$5,H404=$B$6,H404=$B$7,H404=$B$8,H404=$B$9,H404=$B$10,H404=$B$11,H404=$B$12,H404=$B$13,H404=$B$14),SottocategorieUscite[[#Headers],[Fuori Casa]],IF(OR(H404=$C$5,H404=$C$6,H404=$C$7,H404=$C$8,H404=$C$9,H404=$C$10,H404=$C$11,H404=$C$12,H404=$C$13,H404=$C$14),SottocategorieUscite[[#Headers],[Varie Uscite]],IF(OR(H404=$D$5,H404=$D$6,H404=$D$7,H404=$D$8,H404=$D$9,H404=$D$10,H404=$D$11,H404=$D$12,H404=$D$13,H404=$D$14),SottocategorieUscite[[#Headers],[Personali]],IF(OR(H404=$E$5,H404=$E$6,H404=$E$7,H404=$E$8,H404=$E$9,H404=$E$10,H404=$E$11,H404=$E$12,H404=$E$13,H404=$E$14),SottocategorieUscite[[#Headers],[Lavoro]],IF(OR(H404=$F$5,H404=$F$6,H404=$F$7,H404=$F$8,H404=$F$9,H404=$F$10,H404=$F$11,H404=$F$12,H404=$F$13,H404=$F$14),SottocategorieUscite[[#Headers],[Casa]],IF(OR(H404=$G$5,H404=$G$6,H404=$G$7,H404=$G$8,H404=$G$9,H404=$G$10,H404=$G$11,H404=$G$12,H404=$G$13,H404=$G$14),SottocategorieUscite[[#Headers],[Utenze]],IF(OR(H404=$H$5,H404=$H$6,H404=$H$7,H404=$H$8,H404=$H$9,H404=$H$10,H404=$H$11,H404=$H$12,H404=$H$13,H404=$H$14),SottocategorieUscite[[#Headers],[Business Uscite]],IF(OR(H404=$I$5,H404=$I$6,H404=$I$7,H404=$I$8,H404=$I$9,H404=$I$10,H404=$I$11,H404=$I$12,H404=$I$13,H404=$I$14),SottocategorieUscite[[#Headers],[Banca]],IF(OR(H404=K$5,H404=K$6,H404=K$7,H404=K$8,H404=K$9,H404=K$10,H404=K$11,H404=K$12,H404=K$13,H404=K$14),SottocategorieEntrate[[#Headers],[Business Entrate]],IF(OR(H404=L$5,H404=L$6,H404=L$7,H404=L$8,H404=L$9,H404=L$10,H404=L$11,H404=L$12,H404=L$13,H404=L$14),SottocategorieEntrate[[#Headers],[Varie Entrate]],IF(OR(H404=M$5,H404=M$6,H404=M$7,H404=M$8,H404=M$9,H404=M$10,H404=M$11,H404=M$12,H404=M$13,H404=M$14),SottocategorieEntrate[[#Headers],[Real Estate]],IF(OR(H404=N$5,H404=N$6,H404=N$7,H404=N$8,H404=N$9,H404=N$10,H404=N$11,H404=N$12,H404=N$13,H404=N$14),SottocategorieEntrate[[#Headers],[Other]],""))))))))))))</f>
        <v/>
      </c>
      <c r="J404" t="str">
        <f>IF(OR(Dati[[#This Row],[Categoria]]="Bollette",Dati[[#This Row],[Categoria]]="Conto &amp; Carte BNL",Dati[[#This Row],[Categoria]]="Prelievo",Dati[[#This Row],[Categoria]]="Affitto",Dati[[#This Row],[Categoria]]="BNL(Interessi Creditori)"),"Carta",IF(Dati[[#This Row],[Categoria]]&lt;&gt;0,"Cash",""))</f>
        <v/>
      </c>
      <c r="K404" s="59" t="str">
        <f>IF(OR(Data!$I404=SottocategorieUscite[[#Headers],[Fuori Casa]],Data!$I404=SottocategorieUscite[[#Headers],[Varie Uscite]],Data!$I404=SottocategorieUscite[[#Headers],[Personali]],Data!$I404=SottocategorieUscite[[#Headers],[Lavoro]]),"$ -","")</f>
        <v/>
      </c>
      <c r="L404" s="59" t="str">
        <f>IF(OR(Data!$I404=SottocategorieUscite[[#Headers],[Casa]],Data!$I404=SottocategorieUscite[[#Headers],[Utenze]],Data!$I404=SottocategorieUscite[[#Headers],[Business Uscite]],Data!$I404=SottocategorieUscite[[#Headers],[Banca]]),"$ -","")</f>
        <v/>
      </c>
      <c r="M404" s="59" t="str">
        <f>IF(OR($I404&lt;&gt;SottocategorieUscite[[#Headers],[Fuori Casa]],$I404&lt;&gt;SottocategorieUscite[[#Headers],[Varie Uscite]],$I404&lt;&gt;SottocategorieUscite[[#Headers],[Personali]],$I404&lt;&gt;SottocategorieUscite[[#Headers],[Lavoro]],$I404&lt;&gt;SottocategorieUscite[[#Headers],[Casa]],$I404&lt;&gt;SottocategorieUscite[[#Headers],[Utenze]],$I404&lt;&gt;SottocategorieUscite[[#Headers],[Business Uscite]],$I404&lt;&gt;SottocategorieUscite[[#Headers],[Banca]]),"","$ -")</f>
        <v/>
      </c>
      <c r="N404" s="59" t="str">
        <f>IF(OR(Data!$I404=SottocategorieEntrate[[#Headers],[Business Entrate]],Data!$I404=SottocategorieEntrate[[#Headers],[Varie Entrate]]),"$ -","")</f>
        <v/>
      </c>
      <c r="O404" s="59" t="str">
        <f>IF(OR(Data!$I404=SottocategorieEntrate[[#Headers],[Real Estate]],SottocategorieEntrate[[#Headers],[Other]]),"$ -","")</f>
        <v/>
      </c>
      <c r="P404" s="59" t="str">
        <f>IF(OR($I404&lt;&gt;SottocategorieEntrate[[#Headers],[Business Entrate]],$I404&lt;&gt;SottocategorieEntrate[[#Headers],[Varie Entrate]],$I404&lt;&gt;SottocategorieEntrate[[#Headers],[Real Estate]],$I404&lt;&gt;SottocategorieEntrate[[#Headers],[Other]]),"","$ -")</f>
        <v/>
      </c>
      <c r="Q404" s="59" t="str">
        <f>IF(Dati[[#This Row],[Categoria]]="Prelievo","€ -","")</f>
        <v/>
      </c>
      <c r="R404" s="244"/>
      <c r="S404" s="59" t="str">
        <f>IF(Dati[[#This Row],[Categoria]]="Savings",0,"")</f>
        <v/>
      </c>
      <c r="T404" s="59"/>
      <c r="U404" s="59"/>
      <c r="V404" s="59"/>
      <c r="W404" s="59"/>
      <c r="X404" s="59"/>
      <c r="Y404" s="59"/>
      <c r="Z404" s="59"/>
      <c r="AA404" s="59"/>
      <c r="AB404" s="59"/>
      <c r="AC404" s="59"/>
      <c r="AD404" s="59"/>
      <c r="AE404" s="59"/>
      <c r="AF404" s="59"/>
      <c r="AG404" s="59"/>
      <c r="AH404" s="59"/>
      <c r="AI404" s="59" t="str">
        <f>IF(SUM(Dati[[#This Row],[Inv. Business]:[Inv. Cryptocurrency]])=0," ",SUM(Dati[[#This Row],[Inv. Business]:[Inv. Cryptocurrency]]))</f>
        <v xml:space="preserve"> </v>
      </c>
      <c r="AJ404" s="59"/>
      <c r="AK404" s="59" t="str">
        <f>IF(SUM(Dati[[#This Row],[Inv. Gold]:[Mutuo]])=0," ",SUM(Dati[[#This Row],[Inv. Gold]:[Mutuo]]))</f>
        <v xml:space="preserve"> </v>
      </c>
      <c r="AL404" s="59"/>
      <c r="AM404" s="59"/>
    </row>
    <row r="405" spans="2:39" ht="16" customHeight="1" x14ac:dyDescent="0.35">
      <c r="B405">
        <f t="shared" ref="B405:B468" si="18">ROW(385:385)</f>
        <v>385</v>
      </c>
      <c r="C405" s="49">
        <f>C403+1</f>
        <v>45258</v>
      </c>
      <c r="D405" s="29">
        <f>DAY(Dati[[#This Row],[Data]])</f>
        <v>28</v>
      </c>
      <c r="E405" s="29" t="str">
        <f>IF(DAY(Data!$C$21:$C$1327)&gt;0,TEXT(Data!$C$21:$C$1327, "mmmm"),"")</f>
        <v>novembre</v>
      </c>
      <c r="F405" s="29" t="str">
        <f>IF(DAY(Data!$C$21:$C$1327)&gt;0,TEXT(Data!$C$21:$C$1327, "aaaa"),"")</f>
        <v>2023</v>
      </c>
      <c r="I405" t="str">
        <f>IF(OR(H405=$B$5,H405=$B$6,H405=$B$7,H405=$B$8,H405=$B$9,H405=$B$10,H405=$B$11,H405=$B$12,H405=$B$13,H405=$B$14),SottocategorieUscite[[#Headers],[Fuori Casa]],IF(OR(H405=$C$5,H405=$C$6,H405=$C$7,H405=$C$8,H405=$C$9,H405=$C$10,H405=$C$11,H405=$C$12,H405=$C$13,H405=$C$14),SottocategorieUscite[[#Headers],[Varie Uscite]],IF(OR(H405=$D$5,H405=$D$6,H405=$D$7,H405=$D$8,H405=$D$9,H405=$D$10,H405=$D$11,H405=$D$12,H405=$D$13,H405=$D$14),SottocategorieUscite[[#Headers],[Personali]],IF(OR(H405=$E$5,H405=$E$6,H405=$E$7,H405=$E$8,H405=$E$9,H405=$E$10,H405=$E$11,H405=$E$12,H405=$E$13,H405=$E$14),SottocategorieUscite[[#Headers],[Lavoro]],IF(OR(H405=$F$5,H405=$F$6,H405=$F$7,H405=$F$8,H405=$F$9,H405=$F$10,H405=$F$11,H405=$F$12,H405=$F$13,H405=$F$14),SottocategorieUscite[[#Headers],[Casa]],IF(OR(H405=$G$5,H405=$G$6,H405=$G$7,H405=$G$8,H405=$G$9,H405=$G$10,H405=$G$11,H405=$G$12,H405=$G$13,H405=$G$14),SottocategorieUscite[[#Headers],[Utenze]],IF(OR(H405=$H$5,H405=$H$6,H405=$H$7,H405=$H$8,H405=$H$9,H405=$H$10,H405=$H$11,H405=$H$12,H405=$H$13,H405=$H$14),SottocategorieUscite[[#Headers],[Business Uscite]],IF(OR(H405=$I$5,H405=$I$6,H405=$I$7,H405=$I$8,H405=$I$9,H405=$I$10,H405=$I$11,H405=$I$12,H405=$I$13,H405=$I$14),SottocategorieUscite[[#Headers],[Banca]],IF(OR(H405=K$5,H405=K$6,H405=K$7,H405=K$8,H405=K$9,H405=K$10,H405=K$11,H405=K$12,H405=K$13,H405=K$14),SottocategorieEntrate[[#Headers],[Business Entrate]],IF(OR(H405=L$5,H405=L$6,H405=L$7,H405=L$8,H405=L$9,H405=L$10,H405=L$11,H405=L$12,H405=L$13,H405=L$14),SottocategorieEntrate[[#Headers],[Varie Entrate]],IF(OR(H405=M$5,H405=M$6,H405=M$7,H405=M$8,H405=M$9,H405=M$10,H405=M$11,H405=M$12,H405=M$13,H405=M$14),SottocategorieEntrate[[#Headers],[Real Estate]],IF(OR(H405=N$5,H405=N$6,H405=N$7,H405=N$8,H405=N$9,H405=N$10,H405=N$11,H405=N$12,H405=N$13,H405=N$14),SottocategorieEntrate[[#Headers],[Other]],""))))))))))))</f>
        <v/>
      </c>
      <c r="J405" t="str">
        <f>IF(OR(Dati[[#This Row],[Categoria]]="Bollette",Dati[[#This Row],[Categoria]]="Conto &amp; Carte BNL",Dati[[#This Row],[Categoria]]="Prelievo",Dati[[#This Row],[Categoria]]="Affitto",Dati[[#This Row],[Categoria]]="BNL(Interessi Creditori)"),"Carta",IF(Dati[[#This Row],[Categoria]]&lt;&gt;0,"Cash",""))</f>
        <v/>
      </c>
      <c r="K405" s="59" t="str">
        <f>IF(OR(Data!$I405=SottocategorieUscite[[#Headers],[Fuori Casa]],Data!$I405=SottocategorieUscite[[#Headers],[Varie Uscite]],Data!$I405=SottocategorieUscite[[#Headers],[Personali]],Data!$I405=SottocategorieUscite[[#Headers],[Lavoro]]),"$ -","")</f>
        <v/>
      </c>
      <c r="L405" s="59" t="str">
        <f>IF(OR(Data!$I405=SottocategorieUscite[[#Headers],[Casa]],Data!$I405=SottocategorieUscite[[#Headers],[Utenze]],Data!$I405=SottocategorieUscite[[#Headers],[Business Uscite]],Data!$I405=SottocategorieUscite[[#Headers],[Banca]]),"$ -","")</f>
        <v/>
      </c>
      <c r="M405" s="59" t="str">
        <f>IF(OR($I405&lt;&gt;SottocategorieUscite[[#Headers],[Fuori Casa]],$I405&lt;&gt;SottocategorieUscite[[#Headers],[Varie Uscite]],$I405&lt;&gt;SottocategorieUscite[[#Headers],[Personali]],$I405&lt;&gt;SottocategorieUscite[[#Headers],[Lavoro]],$I405&lt;&gt;SottocategorieUscite[[#Headers],[Casa]],$I405&lt;&gt;SottocategorieUscite[[#Headers],[Utenze]],$I405&lt;&gt;SottocategorieUscite[[#Headers],[Business Uscite]],$I405&lt;&gt;SottocategorieUscite[[#Headers],[Banca]]),"","$ -")</f>
        <v/>
      </c>
      <c r="N405" s="59" t="str">
        <f>IF(OR(Data!$I405=SottocategorieEntrate[[#Headers],[Business Entrate]],Data!$I405=SottocategorieEntrate[[#Headers],[Varie Entrate]]),"$ -","")</f>
        <v/>
      </c>
      <c r="O405" s="59" t="str">
        <f>IF(OR(Data!$I405=SottocategorieEntrate[[#Headers],[Real Estate]],SottocategorieEntrate[[#Headers],[Other]]),"$ -","")</f>
        <v/>
      </c>
      <c r="P405" s="59" t="str">
        <f>IF(OR($I405&lt;&gt;SottocategorieEntrate[[#Headers],[Business Entrate]],$I405&lt;&gt;SottocategorieEntrate[[#Headers],[Varie Entrate]],$I405&lt;&gt;SottocategorieEntrate[[#Headers],[Real Estate]],$I405&lt;&gt;SottocategorieEntrate[[#Headers],[Other]]),"","$ -")</f>
        <v/>
      </c>
      <c r="Q405" s="59" t="str">
        <f>IF(Dati[[#This Row],[Categoria]]="Prelievo","€ -","")</f>
        <v/>
      </c>
      <c r="R405" s="244"/>
      <c r="S405" s="59" t="str">
        <f>IF(Dati[[#This Row],[Categoria]]="Savings",0,"")</f>
        <v/>
      </c>
      <c r="T405" s="59"/>
      <c r="U405" s="59"/>
      <c r="V405" s="59"/>
      <c r="W405" s="59"/>
      <c r="X405" s="59"/>
      <c r="Y405" s="59"/>
      <c r="Z405" s="59"/>
      <c r="AA405" s="59"/>
      <c r="AB405" s="59"/>
      <c r="AC405" s="59"/>
      <c r="AD405" s="59"/>
      <c r="AE405" s="59"/>
      <c r="AF405" s="59"/>
      <c r="AG405" s="59"/>
      <c r="AH405" s="59"/>
      <c r="AI405" s="59" t="str">
        <f>IF(SUM(Dati[[#This Row],[Inv. Business]:[Inv. Cryptocurrency]])=0," ",SUM(Dati[[#This Row],[Inv. Business]:[Inv. Cryptocurrency]]))</f>
        <v xml:space="preserve"> </v>
      </c>
      <c r="AJ405" s="59"/>
      <c r="AK405" s="59" t="str">
        <f>IF(SUM(Dati[[#This Row],[Inv. Gold]:[Mutuo]])=0," ",SUM(Dati[[#This Row],[Inv. Gold]:[Mutuo]]))</f>
        <v xml:space="preserve"> </v>
      </c>
      <c r="AL405" s="59"/>
      <c r="AM405" s="59"/>
    </row>
    <row r="406" spans="2:39" ht="16" customHeight="1" x14ac:dyDescent="0.35">
      <c r="B406">
        <f t="shared" si="18"/>
        <v>386</v>
      </c>
      <c r="C406" s="49">
        <f>C405+1</f>
        <v>45259</v>
      </c>
      <c r="D406" s="29">
        <f>DAY(Dati[[#This Row],[Data]])</f>
        <v>29</v>
      </c>
      <c r="E406" s="29" t="str">
        <f>IF(DAY(Data!$C$21:$C$1327)&gt;0,TEXT(Data!$C$21:$C$1327, "mmmm"),"")</f>
        <v>novembre</v>
      </c>
      <c r="F406" s="29" t="str">
        <f>IF(DAY(Data!$C$21:$C$1327)&gt;0,TEXT(Data!$C$21:$C$1327, "aaaa"),"")</f>
        <v>2023</v>
      </c>
      <c r="I406" t="str">
        <f>IF(OR(H406=$B$5,H406=$B$6,H406=$B$7,H406=$B$8,H406=$B$9,H406=$B$10,H406=$B$11,H406=$B$12,H406=$B$13,H406=$B$14),SottocategorieUscite[[#Headers],[Fuori Casa]],IF(OR(H406=$C$5,H406=$C$6,H406=$C$7,H406=$C$8,H406=$C$9,H406=$C$10,H406=$C$11,H406=$C$12,H406=$C$13,H406=$C$14),SottocategorieUscite[[#Headers],[Varie Uscite]],IF(OR(H406=$D$5,H406=$D$6,H406=$D$7,H406=$D$8,H406=$D$9,H406=$D$10,H406=$D$11,H406=$D$12,H406=$D$13,H406=$D$14),SottocategorieUscite[[#Headers],[Personali]],IF(OR(H406=$E$5,H406=$E$6,H406=$E$7,H406=$E$8,H406=$E$9,H406=$E$10,H406=$E$11,H406=$E$12,H406=$E$13,H406=$E$14),SottocategorieUscite[[#Headers],[Lavoro]],IF(OR(H406=$F$5,H406=$F$6,H406=$F$7,H406=$F$8,H406=$F$9,H406=$F$10,H406=$F$11,H406=$F$12,H406=$F$13,H406=$F$14),SottocategorieUscite[[#Headers],[Casa]],IF(OR(H406=$G$5,H406=$G$6,H406=$G$7,H406=$G$8,H406=$G$9,H406=$G$10,H406=$G$11,H406=$G$12,H406=$G$13,H406=$G$14),SottocategorieUscite[[#Headers],[Utenze]],IF(OR(H406=$H$5,H406=$H$6,H406=$H$7,H406=$H$8,H406=$H$9,H406=$H$10,H406=$H$11,H406=$H$12,H406=$H$13,H406=$H$14),SottocategorieUscite[[#Headers],[Business Uscite]],IF(OR(H406=$I$5,H406=$I$6,H406=$I$7,H406=$I$8,H406=$I$9,H406=$I$10,H406=$I$11,H406=$I$12,H406=$I$13,H406=$I$14),SottocategorieUscite[[#Headers],[Banca]],IF(OR(H406=K$5,H406=K$6,H406=K$7,H406=K$8,H406=K$9,H406=K$10,H406=K$11,H406=K$12,H406=K$13,H406=K$14),SottocategorieEntrate[[#Headers],[Business Entrate]],IF(OR(H406=L$5,H406=L$6,H406=L$7,H406=L$8,H406=L$9,H406=L$10,H406=L$11,H406=L$12,H406=L$13,H406=L$14),SottocategorieEntrate[[#Headers],[Varie Entrate]],IF(OR(H406=M$5,H406=M$6,H406=M$7,H406=M$8,H406=M$9,H406=M$10,H406=M$11,H406=M$12,H406=M$13,H406=M$14),SottocategorieEntrate[[#Headers],[Real Estate]],IF(OR(H406=N$5,H406=N$6,H406=N$7,H406=N$8,H406=N$9,H406=N$10,H406=N$11,H406=N$12,H406=N$13,H406=N$14),SottocategorieEntrate[[#Headers],[Other]],""))))))))))))</f>
        <v/>
      </c>
      <c r="J406" t="str">
        <f>IF(OR(Dati[[#This Row],[Categoria]]="Bollette",Dati[[#This Row],[Categoria]]="Conto &amp; Carte BNL",Dati[[#This Row],[Categoria]]="Prelievo",Dati[[#This Row],[Categoria]]="Affitto",Dati[[#This Row],[Categoria]]="BNL(Interessi Creditori)"),"Carta",IF(Dati[[#This Row],[Categoria]]&lt;&gt;0,"Cash",""))</f>
        <v/>
      </c>
      <c r="K406" s="59" t="str">
        <f>IF(OR(Data!$I406=SottocategorieUscite[[#Headers],[Fuori Casa]],Data!$I406=SottocategorieUscite[[#Headers],[Varie Uscite]],Data!$I406=SottocategorieUscite[[#Headers],[Personali]],Data!$I406=SottocategorieUscite[[#Headers],[Lavoro]]),"$ -","")</f>
        <v/>
      </c>
      <c r="L406" s="59" t="str">
        <f>IF(OR(Data!$I406=SottocategorieUscite[[#Headers],[Casa]],Data!$I406=SottocategorieUscite[[#Headers],[Utenze]],Data!$I406=SottocategorieUscite[[#Headers],[Business Uscite]],Data!$I406=SottocategorieUscite[[#Headers],[Banca]]),"$ -","")</f>
        <v/>
      </c>
      <c r="M406" s="59" t="str">
        <f>IF(OR($I406&lt;&gt;SottocategorieUscite[[#Headers],[Fuori Casa]],$I406&lt;&gt;SottocategorieUscite[[#Headers],[Varie Uscite]],$I406&lt;&gt;SottocategorieUscite[[#Headers],[Personali]],$I406&lt;&gt;SottocategorieUscite[[#Headers],[Lavoro]],$I406&lt;&gt;SottocategorieUscite[[#Headers],[Casa]],$I406&lt;&gt;SottocategorieUscite[[#Headers],[Utenze]],$I406&lt;&gt;SottocategorieUscite[[#Headers],[Business Uscite]],$I406&lt;&gt;SottocategorieUscite[[#Headers],[Banca]]),"","$ -")</f>
        <v/>
      </c>
      <c r="N406" s="59" t="str">
        <f>IF(OR(Data!$I406=SottocategorieEntrate[[#Headers],[Business Entrate]],Data!$I406=SottocategorieEntrate[[#Headers],[Varie Entrate]]),"$ -","")</f>
        <v/>
      </c>
      <c r="O406" s="59" t="str">
        <f>IF(OR(Data!$I406=SottocategorieEntrate[[#Headers],[Real Estate]],SottocategorieEntrate[[#Headers],[Other]]),"$ -","")</f>
        <v/>
      </c>
      <c r="P406" s="59" t="str">
        <f>IF(OR($I406&lt;&gt;SottocategorieEntrate[[#Headers],[Business Entrate]],$I406&lt;&gt;SottocategorieEntrate[[#Headers],[Varie Entrate]],$I406&lt;&gt;SottocategorieEntrate[[#Headers],[Real Estate]],$I406&lt;&gt;SottocategorieEntrate[[#Headers],[Other]]),"","$ -")</f>
        <v/>
      </c>
      <c r="Q406" s="59" t="str">
        <f>IF(Dati[[#This Row],[Categoria]]="Prelievo","€ -","")</f>
        <v/>
      </c>
      <c r="R406" s="244"/>
      <c r="S406" s="59" t="str">
        <f>IF(Dati[[#This Row],[Categoria]]="Savings",0,"")</f>
        <v/>
      </c>
      <c r="T406" s="59"/>
      <c r="U406" s="59"/>
      <c r="V406" s="59"/>
      <c r="W406" s="59"/>
      <c r="X406" s="59"/>
      <c r="Y406" s="59"/>
      <c r="Z406" s="59"/>
      <c r="AA406" s="59"/>
      <c r="AB406" s="59"/>
      <c r="AC406" s="59"/>
      <c r="AD406" s="59"/>
      <c r="AE406" s="59"/>
      <c r="AF406" s="59"/>
      <c r="AG406" s="59"/>
      <c r="AH406" s="59"/>
      <c r="AI406" s="59" t="str">
        <f>IF(SUM(Dati[[#This Row],[Inv. Business]:[Inv. Cryptocurrency]])=0," ",SUM(Dati[[#This Row],[Inv. Business]:[Inv. Cryptocurrency]]))</f>
        <v xml:space="preserve"> </v>
      </c>
      <c r="AJ406" s="59"/>
      <c r="AK406" s="59" t="str">
        <f>IF(SUM(Dati[[#This Row],[Inv. Gold]:[Mutuo]])=0," ",SUM(Dati[[#This Row],[Inv. Gold]:[Mutuo]]))</f>
        <v xml:space="preserve"> </v>
      </c>
      <c r="AL406" s="59"/>
      <c r="AM406" s="59"/>
    </row>
    <row r="407" spans="2:39" ht="16" customHeight="1" x14ac:dyDescent="0.35">
      <c r="B407">
        <f t="shared" si="18"/>
        <v>387</v>
      </c>
      <c r="C407" s="49">
        <v>45259</v>
      </c>
      <c r="D407" s="29">
        <f>DAY(Dati[[#This Row],[Data]])</f>
        <v>29</v>
      </c>
      <c r="E407" s="29" t="str">
        <f>IF(DAY(Data!$C$21:$C$1327)&gt;0,TEXT(Data!$C$21:$C$1327, "mmmm"),"")</f>
        <v>novembre</v>
      </c>
      <c r="F407" s="29" t="str">
        <f>IF(DAY(Data!$C$21:$C$1327)&gt;0,TEXT(Data!$C$21:$C$1327, "aaaa"),"")</f>
        <v>2023</v>
      </c>
      <c r="I407" t="str">
        <f>IF(OR(H407=$B$5,H407=$B$6,H407=$B$7,H407=$B$8,H407=$B$9,H407=$B$10,H407=$B$11,H407=$B$12,H407=$B$13,H407=$B$14),SottocategorieUscite[[#Headers],[Fuori Casa]],IF(OR(H407=$C$5,H407=$C$6,H407=$C$7,H407=$C$8,H407=$C$9,H407=$C$10,H407=$C$11,H407=$C$12,H407=$C$13,H407=$C$14),SottocategorieUscite[[#Headers],[Varie Uscite]],IF(OR(H407=$D$5,H407=$D$6,H407=$D$7,H407=$D$8,H407=$D$9,H407=$D$10,H407=$D$11,H407=$D$12,H407=$D$13,H407=$D$14),SottocategorieUscite[[#Headers],[Personali]],IF(OR(H407=$E$5,H407=$E$6,H407=$E$7,H407=$E$8,H407=$E$9,H407=$E$10,H407=$E$11,H407=$E$12,H407=$E$13,H407=$E$14),SottocategorieUscite[[#Headers],[Lavoro]],IF(OR(H407=$F$5,H407=$F$6,H407=$F$7,H407=$F$8,H407=$F$9,H407=$F$10,H407=$F$11,H407=$F$12,H407=$F$13,H407=$F$14),SottocategorieUscite[[#Headers],[Casa]],IF(OR(H407=$G$5,H407=$G$6,H407=$G$7,H407=$G$8,H407=$G$9,H407=$G$10,H407=$G$11,H407=$G$12,H407=$G$13,H407=$G$14),SottocategorieUscite[[#Headers],[Utenze]],IF(OR(H407=$H$5,H407=$H$6,H407=$H$7,H407=$H$8,H407=$H$9,H407=$H$10,H407=$H$11,H407=$H$12,H407=$H$13,H407=$H$14),SottocategorieUscite[[#Headers],[Business Uscite]],IF(OR(H407=$I$5,H407=$I$6,H407=$I$7,H407=$I$8,H407=$I$9,H407=$I$10,H407=$I$11,H407=$I$12,H407=$I$13,H407=$I$14),SottocategorieUscite[[#Headers],[Banca]],IF(OR(H407=K$5,H407=K$6,H407=K$7,H407=K$8,H407=K$9,H407=K$10,H407=K$11,H407=K$12,H407=K$13,H407=K$14),SottocategorieEntrate[[#Headers],[Business Entrate]],IF(OR(H407=L$5,H407=L$6,H407=L$7,H407=L$8,H407=L$9,H407=L$10,H407=L$11,H407=L$12,H407=L$13,H407=L$14),SottocategorieEntrate[[#Headers],[Varie Entrate]],IF(OR(H407=M$5,H407=M$6,H407=M$7,H407=M$8,H407=M$9,H407=M$10,H407=M$11,H407=M$12,H407=M$13,H407=M$14),SottocategorieEntrate[[#Headers],[Real Estate]],IF(OR(H407=N$5,H407=N$6,H407=N$7,H407=N$8,H407=N$9,H407=N$10,H407=N$11,H407=N$12,H407=N$13,H407=N$14),SottocategorieEntrate[[#Headers],[Other]],""))))))))))))</f>
        <v/>
      </c>
      <c r="J407" t="str">
        <f>IF(OR(Dati[[#This Row],[Categoria]]="Bollette",Dati[[#This Row],[Categoria]]="Conto &amp; Carte BNL",Dati[[#This Row],[Categoria]]="Prelievo",Dati[[#This Row],[Categoria]]="Affitto",Dati[[#This Row],[Categoria]]="BNL(Interessi Creditori)"),"Carta",IF(Dati[[#This Row],[Categoria]]&lt;&gt;0,"Cash",""))</f>
        <v/>
      </c>
      <c r="K407" s="59" t="str">
        <f>IF(OR(Data!$I407=SottocategorieUscite[[#Headers],[Fuori Casa]],Data!$I407=SottocategorieUscite[[#Headers],[Varie Uscite]],Data!$I407=SottocategorieUscite[[#Headers],[Personali]],Data!$I407=SottocategorieUscite[[#Headers],[Lavoro]]),"$ -","")</f>
        <v/>
      </c>
      <c r="L407" s="59" t="str">
        <f>IF(OR(Data!$I407=SottocategorieUscite[[#Headers],[Casa]],Data!$I407=SottocategorieUscite[[#Headers],[Utenze]],Data!$I407=SottocategorieUscite[[#Headers],[Business Uscite]],Data!$I407=SottocategorieUscite[[#Headers],[Banca]]),"$ -","")</f>
        <v/>
      </c>
      <c r="M407" s="59" t="str">
        <f>IF(OR($I407&lt;&gt;SottocategorieUscite[[#Headers],[Fuori Casa]],$I407&lt;&gt;SottocategorieUscite[[#Headers],[Varie Uscite]],$I407&lt;&gt;SottocategorieUscite[[#Headers],[Personali]],$I407&lt;&gt;SottocategorieUscite[[#Headers],[Lavoro]],$I407&lt;&gt;SottocategorieUscite[[#Headers],[Casa]],$I407&lt;&gt;SottocategorieUscite[[#Headers],[Utenze]],$I407&lt;&gt;SottocategorieUscite[[#Headers],[Business Uscite]],$I407&lt;&gt;SottocategorieUscite[[#Headers],[Banca]]),"","$ -")</f>
        <v/>
      </c>
      <c r="N407" s="59" t="str">
        <f>IF(OR(Data!$I407=SottocategorieEntrate[[#Headers],[Business Entrate]],Data!$I407=SottocategorieEntrate[[#Headers],[Varie Entrate]]),"$ -","")</f>
        <v/>
      </c>
      <c r="O407" s="59" t="str">
        <f>IF(OR(Data!$I407=SottocategorieEntrate[[#Headers],[Real Estate]],SottocategorieEntrate[[#Headers],[Other]]),"$ -","")</f>
        <v/>
      </c>
      <c r="P407" s="59" t="str">
        <f>IF(OR($I407&lt;&gt;SottocategorieEntrate[[#Headers],[Business Entrate]],$I407&lt;&gt;SottocategorieEntrate[[#Headers],[Varie Entrate]],$I407&lt;&gt;SottocategorieEntrate[[#Headers],[Real Estate]],$I407&lt;&gt;SottocategorieEntrate[[#Headers],[Other]]),"","$ -")</f>
        <v/>
      </c>
      <c r="Q407" s="59" t="str">
        <f>IF(Dati[[#This Row],[Categoria]]="Prelievo","€ -","")</f>
        <v/>
      </c>
      <c r="R407" s="244"/>
      <c r="S407" s="59" t="str">
        <f>IF(Dati[[#This Row],[Categoria]]="Savings",0,"")</f>
        <v/>
      </c>
      <c r="T407" s="59"/>
      <c r="U407" s="59"/>
      <c r="V407" s="59"/>
      <c r="W407" s="59"/>
      <c r="X407" s="59"/>
      <c r="Y407" s="59"/>
      <c r="Z407" s="59"/>
      <c r="AA407" s="59"/>
      <c r="AB407" s="59"/>
      <c r="AC407" s="59"/>
      <c r="AD407" s="59"/>
      <c r="AE407" s="59"/>
      <c r="AF407" s="59"/>
      <c r="AG407" s="59"/>
      <c r="AH407" s="59"/>
      <c r="AI407" s="59" t="str">
        <f>IF(SUM(Dati[[#This Row],[Inv. Business]:[Inv. Cryptocurrency]])=0," ",SUM(Dati[[#This Row],[Inv. Business]:[Inv. Cryptocurrency]]))</f>
        <v xml:space="preserve"> </v>
      </c>
      <c r="AJ407" s="59"/>
      <c r="AK407" s="59" t="str">
        <f>IF(SUM(Dati[[#This Row],[Inv. Gold]:[Mutuo]])=0," ",SUM(Dati[[#This Row],[Inv. Gold]:[Mutuo]]))</f>
        <v xml:space="preserve"> </v>
      </c>
      <c r="AL407" s="59"/>
      <c r="AM407" s="59"/>
    </row>
    <row r="408" spans="2:39" ht="16" customHeight="1" x14ac:dyDescent="0.35">
      <c r="B408">
        <f t="shared" si="18"/>
        <v>388</v>
      </c>
      <c r="C408" s="49">
        <v>45259</v>
      </c>
      <c r="D408" s="29">
        <f>DAY(Dati[[#This Row],[Data]])</f>
        <v>29</v>
      </c>
      <c r="E408" s="29" t="str">
        <f>IF(DAY(Data!$C$21:$C$1327)&gt;0,TEXT(Data!$C$21:$C$1327, "mmmm"),"")</f>
        <v>novembre</v>
      </c>
      <c r="F408" s="29" t="str">
        <f>IF(DAY(Data!$C$21:$C$1327)&gt;0,TEXT(Data!$C$21:$C$1327, "aaaa"),"")</f>
        <v>2023</v>
      </c>
      <c r="I408" t="str">
        <f>IF(OR(H408=$B$5,H408=$B$6,H408=$B$7,H408=$B$8,H408=$B$9,H408=$B$10,H408=$B$11,H408=$B$12,H408=$B$13,H408=$B$14),SottocategorieUscite[[#Headers],[Fuori Casa]],IF(OR(H408=$C$5,H408=$C$6,H408=$C$7,H408=$C$8,H408=$C$9,H408=$C$10,H408=$C$11,H408=$C$12,H408=$C$13,H408=$C$14),SottocategorieUscite[[#Headers],[Varie Uscite]],IF(OR(H408=$D$5,H408=$D$6,H408=$D$7,H408=$D$8,H408=$D$9,H408=$D$10,H408=$D$11,H408=$D$12,H408=$D$13,H408=$D$14),SottocategorieUscite[[#Headers],[Personali]],IF(OR(H408=$E$5,H408=$E$6,H408=$E$7,H408=$E$8,H408=$E$9,H408=$E$10,H408=$E$11,H408=$E$12,H408=$E$13,H408=$E$14),SottocategorieUscite[[#Headers],[Lavoro]],IF(OR(H408=$F$5,H408=$F$6,H408=$F$7,H408=$F$8,H408=$F$9,H408=$F$10,H408=$F$11,H408=$F$12,H408=$F$13,H408=$F$14),SottocategorieUscite[[#Headers],[Casa]],IF(OR(H408=$G$5,H408=$G$6,H408=$G$7,H408=$G$8,H408=$G$9,H408=$G$10,H408=$G$11,H408=$G$12,H408=$G$13,H408=$G$14),SottocategorieUscite[[#Headers],[Utenze]],IF(OR(H408=$H$5,H408=$H$6,H408=$H$7,H408=$H$8,H408=$H$9,H408=$H$10,H408=$H$11,H408=$H$12,H408=$H$13,H408=$H$14),SottocategorieUscite[[#Headers],[Business Uscite]],IF(OR(H408=$I$5,H408=$I$6,H408=$I$7,H408=$I$8,H408=$I$9,H408=$I$10,H408=$I$11,H408=$I$12,H408=$I$13,H408=$I$14),SottocategorieUscite[[#Headers],[Banca]],IF(OR(H408=K$5,H408=K$6,H408=K$7,H408=K$8,H408=K$9,H408=K$10,H408=K$11,H408=K$12,H408=K$13,H408=K$14),SottocategorieEntrate[[#Headers],[Business Entrate]],IF(OR(H408=L$5,H408=L$6,H408=L$7,H408=L$8,H408=L$9,H408=L$10,H408=L$11,H408=L$12,H408=L$13,H408=L$14),SottocategorieEntrate[[#Headers],[Varie Entrate]],IF(OR(H408=M$5,H408=M$6,H408=M$7,H408=M$8,H408=M$9,H408=M$10,H408=M$11,H408=M$12,H408=M$13,H408=M$14),SottocategorieEntrate[[#Headers],[Real Estate]],IF(OR(H408=N$5,H408=N$6,H408=N$7,H408=N$8,H408=N$9,H408=N$10,H408=N$11,H408=N$12,H408=N$13,H408=N$14),SottocategorieEntrate[[#Headers],[Other]],""))))))))))))</f>
        <v/>
      </c>
      <c r="J408" t="str">
        <f>IF(OR(Dati[[#This Row],[Categoria]]="Bollette",Dati[[#This Row],[Categoria]]="Conto &amp; Carte BNL",Dati[[#This Row],[Categoria]]="Prelievo",Dati[[#This Row],[Categoria]]="Affitto",Dati[[#This Row],[Categoria]]="BNL(Interessi Creditori)"),"Carta",IF(Dati[[#This Row],[Categoria]]&lt;&gt;0,"Cash",""))</f>
        <v/>
      </c>
      <c r="K408" s="59" t="str">
        <f>IF(OR(Data!$I408=SottocategorieUscite[[#Headers],[Fuori Casa]],Data!$I408=SottocategorieUscite[[#Headers],[Varie Uscite]],Data!$I408=SottocategorieUscite[[#Headers],[Personali]],Data!$I408=SottocategorieUscite[[#Headers],[Lavoro]]),"$ -","")</f>
        <v/>
      </c>
      <c r="L408" s="59" t="str">
        <f>IF(OR(Data!$I408=SottocategorieUscite[[#Headers],[Casa]],Data!$I408=SottocategorieUscite[[#Headers],[Utenze]],Data!$I408=SottocategorieUscite[[#Headers],[Business Uscite]],Data!$I408=SottocategorieUscite[[#Headers],[Banca]]),"$ -","")</f>
        <v/>
      </c>
      <c r="M408" s="59" t="str">
        <f>IF(OR($I408&lt;&gt;SottocategorieUscite[[#Headers],[Fuori Casa]],$I408&lt;&gt;SottocategorieUscite[[#Headers],[Varie Uscite]],$I408&lt;&gt;SottocategorieUscite[[#Headers],[Personali]],$I408&lt;&gt;SottocategorieUscite[[#Headers],[Lavoro]],$I408&lt;&gt;SottocategorieUscite[[#Headers],[Casa]],$I408&lt;&gt;SottocategorieUscite[[#Headers],[Utenze]],$I408&lt;&gt;SottocategorieUscite[[#Headers],[Business Uscite]],$I408&lt;&gt;SottocategorieUscite[[#Headers],[Banca]]),"","$ -")</f>
        <v/>
      </c>
      <c r="N408" s="59" t="str">
        <f>IF(OR(Data!$I408=SottocategorieEntrate[[#Headers],[Business Entrate]],Data!$I408=SottocategorieEntrate[[#Headers],[Varie Entrate]]),"$ -","")</f>
        <v/>
      </c>
      <c r="O408" s="59" t="str">
        <f>IF(OR(Data!$I408=SottocategorieEntrate[[#Headers],[Real Estate]],SottocategorieEntrate[[#Headers],[Other]]),"$ -","")</f>
        <v/>
      </c>
      <c r="P408" s="59" t="str">
        <f>IF(OR($I408&lt;&gt;SottocategorieEntrate[[#Headers],[Business Entrate]],$I408&lt;&gt;SottocategorieEntrate[[#Headers],[Varie Entrate]],$I408&lt;&gt;SottocategorieEntrate[[#Headers],[Real Estate]],$I408&lt;&gt;SottocategorieEntrate[[#Headers],[Other]]),"","$ -")</f>
        <v/>
      </c>
      <c r="Q408" s="59" t="str">
        <f>IF(Dati[[#This Row],[Categoria]]="Prelievo","€ -","")</f>
        <v/>
      </c>
      <c r="R408" s="244"/>
      <c r="S408" s="59" t="str">
        <f>IF(Dati[[#This Row],[Categoria]]="Savings",0,"")</f>
        <v/>
      </c>
      <c r="T408" s="59"/>
      <c r="U408" s="59"/>
      <c r="V408" s="59"/>
      <c r="W408" s="59"/>
      <c r="X408" s="59"/>
      <c r="Y408" s="59"/>
      <c r="Z408" s="59"/>
      <c r="AA408" s="59"/>
      <c r="AB408" s="59"/>
      <c r="AC408" s="59"/>
      <c r="AD408" s="59"/>
      <c r="AE408" s="59"/>
      <c r="AF408" s="59"/>
      <c r="AG408" s="59"/>
      <c r="AH408" s="59"/>
      <c r="AI408" s="59" t="str">
        <f>IF(SUM(Dati[[#This Row],[Inv. Business]:[Inv. Cryptocurrency]])=0," ",SUM(Dati[[#This Row],[Inv. Business]:[Inv. Cryptocurrency]]))</f>
        <v xml:space="preserve"> </v>
      </c>
      <c r="AJ408" s="59"/>
      <c r="AK408" s="59" t="str">
        <f>IF(SUM(Dati[[#This Row],[Inv. Gold]:[Mutuo]])=0," ",SUM(Dati[[#This Row],[Inv. Gold]:[Mutuo]]))</f>
        <v xml:space="preserve"> </v>
      </c>
      <c r="AL408" s="59"/>
      <c r="AM408" s="59"/>
    </row>
    <row r="409" spans="2:39" ht="16" customHeight="1" x14ac:dyDescent="0.35">
      <c r="B409">
        <f t="shared" si="18"/>
        <v>389</v>
      </c>
      <c r="C409" s="49">
        <f>C406+1</f>
        <v>45260</v>
      </c>
      <c r="D409" s="29">
        <f>DAY(Dati[[#This Row],[Data]])</f>
        <v>30</v>
      </c>
      <c r="E409" s="29" t="str">
        <f>IF(DAY(Data!$C$21:$C$1327)&gt;0,TEXT(Data!$C$21:$C$1327, "mmmm"),"")</f>
        <v>novembre</v>
      </c>
      <c r="F409" s="29" t="str">
        <f>IF(DAY(Data!$C$21:$C$1327)&gt;0,TEXT(Data!$C$21:$C$1327, "aaaa"),"")</f>
        <v>2023</v>
      </c>
      <c r="I409" t="str">
        <f>IF(OR(H409=$B$5,H409=$B$6,H409=$B$7,H409=$B$8,H409=$B$9,H409=$B$10,H409=$B$11,H409=$B$12,H409=$B$13,H409=$B$14),SottocategorieUscite[[#Headers],[Fuori Casa]],IF(OR(H409=$C$5,H409=$C$6,H409=$C$7,H409=$C$8,H409=$C$9,H409=$C$10,H409=$C$11,H409=$C$12,H409=$C$13,H409=$C$14),SottocategorieUscite[[#Headers],[Varie Uscite]],IF(OR(H409=$D$5,H409=$D$6,H409=$D$7,H409=$D$8,H409=$D$9,H409=$D$10,H409=$D$11,H409=$D$12,H409=$D$13,H409=$D$14),SottocategorieUscite[[#Headers],[Personali]],IF(OR(H409=$E$5,H409=$E$6,H409=$E$7,H409=$E$8,H409=$E$9,H409=$E$10,H409=$E$11,H409=$E$12,H409=$E$13,H409=$E$14),SottocategorieUscite[[#Headers],[Lavoro]],IF(OR(H409=$F$5,H409=$F$6,H409=$F$7,H409=$F$8,H409=$F$9,H409=$F$10,H409=$F$11,H409=$F$12,H409=$F$13,H409=$F$14),SottocategorieUscite[[#Headers],[Casa]],IF(OR(H409=$G$5,H409=$G$6,H409=$G$7,H409=$G$8,H409=$G$9,H409=$G$10,H409=$G$11,H409=$G$12,H409=$G$13,H409=$G$14),SottocategorieUscite[[#Headers],[Utenze]],IF(OR(H409=$H$5,H409=$H$6,H409=$H$7,H409=$H$8,H409=$H$9,H409=$H$10,H409=$H$11,H409=$H$12,H409=$H$13,H409=$H$14),SottocategorieUscite[[#Headers],[Business Uscite]],IF(OR(H409=$I$5,H409=$I$6,H409=$I$7,H409=$I$8,H409=$I$9,H409=$I$10,H409=$I$11,H409=$I$12,H409=$I$13,H409=$I$14),SottocategorieUscite[[#Headers],[Banca]],IF(OR(H409=K$5,H409=K$6,H409=K$7,H409=K$8,H409=K$9,H409=K$10,H409=K$11,H409=K$12,H409=K$13,H409=K$14),SottocategorieEntrate[[#Headers],[Business Entrate]],IF(OR(H409=L$5,H409=L$6,H409=L$7,H409=L$8,H409=L$9,H409=L$10,H409=L$11,H409=L$12,H409=L$13,H409=L$14),SottocategorieEntrate[[#Headers],[Varie Entrate]],IF(OR(H409=M$5,H409=M$6,H409=M$7,H409=M$8,H409=M$9,H409=M$10,H409=M$11,H409=M$12,H409=M$13,H409=M$14),SottocategorieEntrate[[#Headers],[Real Estate]],IF(OR(H409=N$5,H409=N$6,H409=N$7,H409=N$8,H409=N$9,H409=N$10,H409=N$11,H409=N$12,H409=N$13,H409=N$14),SottocategorieEntrate[[#Headers],[Other]],""))))))))))))</f>
        <v/>
      </c>
      <c r="J409" t="str">
        <f>IF(OR(Dati[[#This Row],[Categoria]]="Bollette",Dati[[#This Row],[Categoria]]="Conto &amp; Carte BNL",Dati[[#This Row],[Categoria]]="Prelievo",Dati[[#This Row],[Categoria]]="Affitto",Dati[[#This Row],[Categoria]]="BNL(Interessi Creditori)"),"Carta",IF(Dati[[#This Row],[Categoria]]&lt;&gt;0,"Cash",""))</f>
        <v/>
      </c>
      <c r="K409" s="59" t="str">
        <f>IF(OR(Data!$I409=SottocategorieUscite[[#Headers],[Fuori Casa]],Data!$I409=SottocategorieUscite[[#Headers],[Varie Uscite]],Data!$I409=SottocategorieUscite[[#Headers],[Personali]],Data!$I409=SottocategorieUscite[[#Headers],[Lavoro]]),"$ -","")</f>
        <v/>
      </c>
      <c r="L409" s="59" t="str">
        <f>IF(OR(Data!$I409=SottocategorieUscite[[#Headers],[Casa]],Data!$I409=SottocategorieUscite[[#Headers],[Utenze]],Data!$I409=SottocategorieUscite[[#Headers],[Business Uscite]],Data!$I409=SottocategorieUscite[[#Headers],[Banca]]),"$ -","")</f>
        <v/>
      </c>
      <c r="M409" s="59" t="str">
        <f>IF(OR($I409&lt;&gt;SottocategorieUscite[[#Headers],[Fuori Casa]],$I409&lt;&gt;SottocategorieUscite[[#Headers],[Varie Uscite]],$I409&lt;&gt;SottocategorieUscite[[#Headers],[Personali]],$I409&lt;&gt;SottocategorieUscite[[#Headers],[Lavoro]],$I409&lt;&gt;SottocategorieUscite[[#Headers],[Casa]],$I409&lt;&gt;SottocategorieUscite[[#Headers],[Utenze]],$I409&lt;&gt;SottocategorieUscite[[#Headers],[Business Uscite]],$I409&lt;&gt;SottocategorieUscite[[#Headers],[Banca]]),"","$ -")</f>
        <v/>
      </c>
      <c r="N409" s="59" t="str">
        <f>IF(OR(Data!$I409=SottocategorieEntrate[[#Headers],[Business Entrate]],Data!$I409=SottocategorieEntrate[[#Headers],[Varie Entrate]]),"$ -","")</f>
        <v/>
      </c>
      <c r="O409" s="59" t="str">
        <f>IF(OR(Data!$I409=SottocategorieEntrate[[#Headers],[Real Estate]],SottocategorieEntrate[[#Headers],[Other]]),"$ -","")</f>
        <v/>
      </c>
      <c r="P409" s="59" t="str">
        <f>IF(OR($I409&lt;&gt;SottocategorieEntrate[[#Headers],[Business Entrate]],$I409&lt;&gt;SottocategorieEntrate[[#Headers],[Varie Entrate]],$I409&lt;&gt;SottocategorieEntrate[[#Headers],[Real Estate]],$I409&lt;&gt;SottocategorieEntrate[[#Headers],[Other]]),"","$ -")</f>
        <v/>
      </c>
      <c r="Q409" s="59" t="str">
        <f>IF(Dati[[#This Row],[Categoria]]="Prelievo","€ -","")</f>
        <v/>
      </c>
      <c r="R409" s="244"/>
      <c r="S409" s="59" t="str">
        <f>IF(Dati[[#This Row],[Categoria]]="Savings",0,"")</f>
        <v/>
      </c>
      <c r="T409" s="59"/>
      <c r="U409" s="59"/>
      <c r="V409" s="59"/>
      <c r="W409" s="59"/>
      <c r="X409" s="59"/>
      <c r="Y409" s="59"/>
      <c r="Z409" s="59"/>
      <c r="AA409" s="59"/>
      <c r="AB409" s="59"/>
      <c r="AC409" s="59"/>
      <c r="AD409" s="59"/>
      <c r="AE409" s="59"/>
      <c r="AF409" s="59"/>
      <c r="AG409" s="59"/>
      <c r="AH409" s="59"/>
      <c r="AI409" s="59" t="str">
        <f>IF(SUM(Dati[[#This Row],[Inv. Business]:[Inv. Cryptocurrency]])=0," ",SUM(Dati[[#This Row],[Inv. Business]:[Inv. Cryptocurrency]]))</f>
        <v xml:space="preserve"> </v>
      </c>
      <c r="AJ409" s="59"/>
      <c r="AK409" s="59" t="str">
        <f>IF(SUM(Dati[[#This Row],[Inv. Gold]:[Mutuo]])=0," ",SUM(Dati[[#This Row],[Inv. Gold]:[Mutuo]]))</f>
        <v xml:space="preserve"> </v>
      </c>
      <c r="AL409" s="59"/>
      <c r="AM409" s="59"/>
    </row>
    <row r="410" spans="2:39" ht="16" customHeight="1" x14ac:dyDescent="0.35">
      <c r="B410">
        <f t="shared" si="18"/>
        <v>390</v>
      </c>
      <c r="C410" s="49">
        <f t="shared" si="17"/>
        <v>45261</v>
      </c>
      <c r="D410" s="29">
        <f>DAY(Dati[[#This Row],[Data]])</f>
        <v>1</v>
      </c>
      <c r="E410" s="29" t="str">
        <f>IF(DAY(Data!$C$21:$C$1327)&gt;0,TEXT(Data!$C$21:$C$1327, "mmmm"),"")</f>
        <v>dicembre</v>
      </c>
      <c r="F410" s="29" t="str">
        <f>IF(DAY(Data!$C$21:$C$1327)&gt;0,TEXT(Data!$C$21:$C$1327, "aaaa"),"")</f>
        <v>2023</v>
      </c>
      <c r="I410" t="str">
        <f>IF(OR(H410=$B$5,H410=$B$6,H410=$B$7,H410=$B$8,H410=$B$9,H410=$B$10,H410=$B$11,H410=$B$12,H410=$B$13,H410=$B$14),SottocategorieUscite[[#Headers],[Fuori Casa]],IF(OR(H410=$C$5,H410=$C$6,H410=$C$7,H410=$C$8,H410=$C$9,H410=$C$10,H410=$C$11,H410=$C$12,H410=$C$13,H410=$C$14),SottocategorieUscite[[#Headers],[Varie Uscite]],IF(OR(H410=$D$5,H410=$D$6,H410=$D$7,H410=$D$8,H410=$D$9,H410=$D$10,H410=$D$11,H410=$D$12,H410=$D$13,H410=$D$14),SottocategorieUscite[[#Headers],[Personali]],IF(OR(H410=$E$5,H410=$E$6,H410=$E$7,H410=$E$8,H410=$E$9,H410=$E$10,H410=$E$11,H410=$E$12,H410=$E$13,H410=$E$14),SottocategorieUscite[[#Headers],[Lavoro]],IF(OR(H410=$F$5,H410=$F$6,H410=$F$7,H410=$F$8,H410=$F$9,H410=$F$10,H410=$F$11,H410=$F$12,H410=$F$13,H410=$F$14),SottocategorieUscite[[#Headers],[Casa]],IF(OR(H410=$G$5,H410=$G$6,H410=$G$7,H410=$G$8,H410=$G$9,H410=$G$10,H410=$G$11,H410=$G$12,H410=$G$13,H410=$G$14),SottocategorieUscite[[#Headers],[Utenze]],IF(OR(H410=$H$5,H410=$H$6,H410=$H$7,H410=$H$8,H410=$H$9,H410=$H$10,H410=$H$11,H410=$H$12,H410=$H$13,H410=$H$14),SottocategorieUscite[[#Headers],[Business Uscite]],IF(OR(H410=$I$5,H410=$I$6,H410=$I$7,H410=$I$8,H410=$I$9,H410=$I$10,H410=$I$11,H410=$I$12,H410=$I$13,H410=$I$14),SottocategorieUscite[[#Headers],[Banca]],IF(OR(H410=K$5,H410=K$6,H410=K$7,H410=K$8,H410=K$9,H410=K$10,H410=K$11,H410=K$12,H410=K$13,H410=K$14),SottocategorieEntrate[[#Headers],[Business Entrate]],IF(OR(H410=L$5,H410=L$6,H410=L$7,H410=L$8,H410=L$9,H410=L$10,H410=L$11,H410=L$12,H410=L$13,H410=L$14),SottocategorieEntrate[[#Headers],[Varie Entrate]],IF(OR(H410=M$5,H410=M$6,H410=M$7,H410=M$8,H410=M$9,H410=M$10,H410=M$11,H410=M$12,H410=M$13,H410=M$14),SottocategorieEntrate[[#Headers],[Real Estate]],IF(OR(H410=N$5,H410=N$6,H410=N$7,H410=N$8,H410=N$9,H410=N$10,H410=N$11,H410=N$12,H410=N$13,H410=N$14),SottocategorieEntrate[[#Headers],[Other]],""))))))))))))</f>
        <v/>
      </c>
      <c r="J410" t="str">
        <f>IF(OR(Dati[[#This Row],[Categoria]]="Bollette",Dati[[#This Row],[Categoria]]="Conto &amp; Carte BNL",Dati[[#This Row],[Categoria]]="Prelievo",Dati[[#This Row],[Categoria]]="Affitto",Dati[[#This Row],[Categoria]]="BNL(Interessi Creditori)"),"Carta",IF(Dati[[#This Row],[Categoria]]&lt;&gt;0,"Cash",""))</f>
        <v/>
      </c>
      <c r="K410" s="59" t="str">
        <f>IF(OR(Data!$I410=SottocategorieUscite[[#Headers],[Fuori Casa]],Data!$I410=SottocategorieUscite[[#Headers],[Varie Uscite]],Data!$I410=SottocategorieUscite[[#Headers],[Personali]],Data!$I410=SottocategorieUscite[[#Headers],[Lavoro]]),"$ -","")</f>
        <v/>
      </c>
      <c r="L410" s="59" t="str">
        <f>IF(OR(Data!$I410=SottocategorieUscite[[#Headers],[Casa]],Data!$I410=SottocategorieUscite[[#Headers],[Utenze]],Data!$I410=SottocategorieUscite[[#Headers],[Business Uscite]],Data!$I410=SottocategorieUscite[[#Headers],[Banca]]),"$ -","")</f>
        <v/>
      </c>
      <c r="M410" s="59" t="str">
        <f>IF(OR($I410&lt;&gt;SottocategorieUscite[[#Headers],[Fuori Casa]],$I410&lt;&gt;SottocategorieUscite[[#Headers],[Varie Uscite]],$I410&lt;&gt;SottocategorieUscite[[#Headers],[Personali]],$I410&lt;&gt;SottocategorieUscite[[#Headers],[Lavoro]],$I410&lt;&gt;SottocategorieUscite[[#Headers],[Casa]],$I410&lt;&gt;SottocategorieUscite[[#Headers],[Utenze]],$I410&lt;&gt;SottocategorieUscite[[#Headers],[Business Uscite]],$I410&lt;&gt;SottocategorieUscite[[#Headers],[Banca]]),"","$ -")</f>
        <v/>
      </c>
      <c r="N410" s="59" t="str">
        <f>IF(OR(Data!$I410=SottocategorieEntrate[[#Headers],[Business Entrate]],Data!$I410=SottocategorieEntrate[[#Headers],[Varie Entrate]]),"$ -","")</f>
        <v/>
      </c>
      <c r="O410" s="59" t="str">
        <f>IF(OR(Data!$I410=SottocategorieEntrate[[#Headers],[Real Estate]],SottocategorieEntrate[[#Headers],[Other]]),"$ -","")</f>
        <v/>
      </c>
      <c r="P410" s="59" t="str">
        <f>IF(OR($I410&lt;&gt;SottocategorieEntrate[[#Headers],[Business Entrate]],$I410&lt;&gt;SottocategorieEntrate[[#Headers],[Varie Entrate]],$I410&lt;&gt;SottocategorieEntrate[[#Headers],[Real Estate]],$I410&lt;&gt;SottocategorieEntrate[[#Headers],[Other]]),"","$ -")</f>
        <v/>
      </c>
      <c r="Q410" s="59" t="str">
        <f>IF(Dati[[#This Row],[Categoria]]="Prelievo","€ -","")</f>
        <v/>
      </c>
      <c r="R410" s="244"/>
      <c r="S410" s="59" t="str">
        <f>IF(Dati[[#This Row],[Categoria]]="Savings",0,"")</f>
        <v/>
      </c>
      <c r="T410" s="59"/>
      <c r="U410" s="59"/>
      <c r="V410" s="59"/>
      <c r="W410" s="59"/>
      <c r="X410" s="59"/>
      <c r="Y410" s="59"/>
      <c r="Z410" s="59"/>
      <c r="AA410" s="59"/>
      <c r="AB410" s="59"/>
      <c r="AC410" s="59"/>
      <c r="AD410" s="59"/>
      <c r="AE410" s="59"/>
      <c r="AF410" s="59"/>
      <c r="AG410" s="59"/>
      <c r="AH410" s="59"/>
      <c r="AI410" s="59" t="str">
        <f>IF(SUM(Dati[[#This Row],[Inv. Business]:[Inv. Cryptocurrency]])=0," ",SUM(Dati[[#This Row],[Inv. Business]:[Inv. Cryptocurrency]]))</f>
        <v xml:space="preserve"> </v>
      </c>
      <c r="AJ410" s="59"/>
      <c r="AK410" s="59" t="str">
        <f>IF(SUM(Dati[[#This Row],[Inv. Gold]:[Mutuo]])=0," ",SUM(Dati[[#This Row],[Inv. Gold]:[Mutuo]]))</f>
        <v xml:space="preserve"> </v>
      </c>
      <c r="AL410" s="59"/>
      <c r="AM410" s="59"/>
    </row>
    <row r="411" spans="2:39" ht="16" customHeight="1" x14ac:dyDescent="0.35">
      <c r="B411">
        <f t="shared" si="18"/>
        <v>391</v>
      </c>
      <c r="C411" s="49">
        <f>C409+1</f>
        <v>45261</v>
      </c>
      <c r="D411" s="29">
        <f>DAY(Dati[[#This Row],[Data]])</f>
        <v>1</v>
      </c>
      <c r="E411" s="29" t="str">
        <f>IF(DAY(Data!$C$21:$C$1327)&gt;0,TEXT(Data!$C$21:$C$1327, "mmmm"),"")</f>
        <v>dicembre</v>
      </c>
      <c r="F411" s="29" t="str">
        <f>IF(DAY(Data!$C$21:$C$1327)&gt;0,TEXT(Data!$C$21:$C$1327, "aaaa"),"")</f>
        <v>2023</v>
      </c>
      <c r="I411" t="str">
        <f>IF(OR(H411=$B$5,H411=$B$6,H411=$B$7,H411=$B$8,H411=$B$9,H411=$B$10,H411=$B$11,H411=$B$12,H411=$B$13,H411=$B$14),SottocategorieUscite[[#Headers],[Fuori Casa]],IF(OR(H411=$C$5,H411=$C$6,H411=$C$7,H411=$C$8,H411=$C$9,H411=$C$10,H411=$C$11,H411=$C$12,H411=$C$13,H411=$C$14),SottocategorieUscite[[#Headers],[Varie Uscite]],IF(OR(H411=$D$5,H411=$D$6,H411=$D$7,H411=$D$8,H411=$D$9,H411=$D$10,H411=$D$11,H411=$D$12,H411=$D$13,H411=$D$14),SottocategorieUscite[[#Headers],[Personali]],IF(OR(H411=$E$5,H411=$E$6,H411=$E$7,H411=$E$8,H411=$E$9,H411=$E$10,H411=$E$11,H411=$E$12,H411=$E$13,H411=$E$14),SottocategorieUscite[[#Headers],[Lavoro]],IF(OR(H411=$F$5,H411=$F$6,H411=$F$7,H411=$F$8,H411=$F$9,H411=$F$10,H411=$F$11,H411=$F$12,H411=$F$13,H411=$F$14),SottocategorieUscite[[#Headers],[Casa]],IF(OR(H411=$G$5,H411=$G$6,H411=$G$7,H411=$G$8,H411=$G$9,H411=$G$10,H411=$G$11,H411=$G$12,H411=$G$13,H411=$G$14),SottocategorieUscite[[#Headers],[Utenze]],IF(OR(H411=$H$5,H411=$H$6,H411=$H$7,H411=$H$8,H411=$H$9,H411=$H$10,H411=$H$11,H411=$H$12,H411=$H$13,H411=$H$14),SottocategorieUscite[[#Headers],[Business Uscite]],IF(OR(H411=$I$5,H411=$I$6,H411=$I$7,H411=$I$8,H411=$I$9,H411=$I$10,H411=$I$11,H411=$I$12,H411=$I$13,H411=$I$14),SottocategorieUscite[[#Headers],[Banca]],IF(OR(H411=K$5,H411=K$6,H411=K$7,H411=K$8,H411=K$9,H411=K$10,H411=K$11,H411=K$12,H411=K$13,H411=K$14),SottocategorieEntrate[[#Headers],[Business Entrate]],IF(OR(H411=L$5,H411=L$6,H411=L$7,H411=L$8,H411=L$9,H411=L$10,H411=L$11,H411=L$12,H411=L$13,H411=L$14),SottocategorieEntrate[[#Headers],[Varie Entrate]],IF(OR(H411=M$5,H411=M$6,H411=M$7,H411=M$8,H411=M$9,H411=M$10,H411=M$11,H411=M$12,H411=M$13,H411=M$14),SottocategorieEntrate[[#Headers],[Real Estate]],IF(OR(H411=N$5,H411=N$6,H411=N$7,H411=N$8,H411=N$9,H411=N$10,H411=N$11,H411=N$12,H411=N$13,H411=N$14),SottocategorieEntrate[[#Headers],[Other]],""))))))))))))</f>
        <v/>
      </c>
      <c r="J411" t="str">
        <f>IF(OR(Dati[[#This Row],[Categoria]]="Bollette",Dati[[#This Row],[Categoria]]="Conto &amp; Carte BNL",Dati[[#This Row],[Categoria]]="Prelievo",Dati[[#This Row],[Categoria]]="Affitto",Dati[[#This Row],[Categoria]]="BNL(Interessi Creditori)"),"Carta",IF(Dati[[#This Row],[Categoria]]&lt;&gt;0,"Cash",""))</f>
        <v/>
      </c>
      <c r="K411" s="59" t="str">
        <f>IF(OR(Data!$I411=SottocategorieUscite[[#Headers],[Fuori Casa]],Data!$I411=SottocategorieUscite[[#Headers],[Varie Uscite]],Data!$I411=SottocategorieUscite[[#Headers],[Personali]],Data!$I411=SottocategorieUscite[[#Headers],[Lavoro]]),"$ -","")</f>
        <v/>
      </c>
      <c r="L411" s="59" t="str">
        <f>IF(OR(Data!$I411=SottocategorieUscite[[#Headers],[Casa]],Data!$I411=SottocategorieUscite[[#Headers],[Utenze]],Data!$I411=SottocategorieUscite[[#Headers],[Business Uscite]],Data!$I411=SottocategorieUscite[[#Headers],[Banca]]),"$ -","")</f>
        <v/>
      </c>
      <c r="M411" s="59" t="str">
        <f>IF(OR($I411&lt;&gt;SottocategorieUscite[[#Headers],[Fuori Casa]],$I411&lt;&gt;SottocategorieUscite[[#Headers],[Varie Uscite]],$I411&lt;&gt;SottocategorieUscite[[#Headers],[Personali]],$I411&lt;&gt;SottocategorieUscite[[#Headers],[Lavoro]],$I411&lt;&gt;SottocategorieUscite[[#Headers],[Casa]],$I411&lt;&gt;SottocategorieUscite[[#Headers],[Utenze]],$I411&lt;&gt;SottocategorieUscite[[#Headers],[Business Uscite]],$I411&lt;&gt;SottocategorieUscite[[#Headers],[Banca]]),"","$ -")</f>
        <v/>
      </c>
      <c r="N411" s="59" t="str">
        <f>IF(OR(Data!$I411=SottocategorieEntrate[[#Headers],[Business Entrate]],Data!$I411=SottocategorieEntrate[[#Headers],[Varie Entrate]]),"$ -","")</f>
        <v/>
      </c>
      <c r="O411" s="59" t="str">
        <f>IF(OR(Data!$I411=SottocategorieEntrate[[#Headers],[Real Estate]],SottocategorieEntrate[[#Headers],[Other]]),"$ -","")</f>
        <v/>
      </c>
      <c r="P411" s="59" t="str">
        <f>IF(OR($I411&lt;&gt;SottocategorieEntrate[[#Headers],[Business Entrate]],$I411&lt;&gt;SottocategorieEntrate[[#Headers],[Varie Entrate]],$I411&lt;&gt;SottocategorieEntrate[[#Headers],[Real Estate]],$I411&lt;&gt;SottocategorieEntrate[[#Headers],[Other]]),"","$ -")</f>
        <v/>
      </c>
      <c r="Q411" s="59" t="str">
        <f>IF(Dati[[#This Row],[Categoria]]="Prelievo","€ -","")</f>
        <v/>
      </c>
      <c r="R411" s="244"/>
      <c r="S411" s="59" t="str">
        <f>IF(Dati[[#This Row],[Categoria]]="Savings",0,"")</f>
        <v/>
      </c>
      <c r="T411" s="59"/>
      <c r="U411" s="59"/>
      <c r="V411" s="59"/>
      <c r="W411" s="59"/>
      <c r="X411" s="59"/>
      <c r="Y411" s="59"/>
      <c r="Z411" s="59"/>
      <c r="AA411" s="59"/>
      <c r="AB411" s="59"/>
      <c r="AC411" s="59"/>
      <c r="AD411" s="59"/>
      <c r="AE411" s="59"/>
      <c r="AF411" s="59"/>
      <c r="AG411" s="59"/>
      <c r="AH411" s="59"/>
      <c r="AI411" s="59" t="str">
        <f>IF(SUM(Dati[[#This Row],[Inv. Business]:[Inv. Cryptocurrency]])=0," ",SUM(Dati[[#This Row],[Inv. Business]:[Inv. Cryptocurrency]]))</f>
        <v xml:space="preserve"> </v>
      </c>
      <c r="AJ411" s="59"/>
      <c r="AK411" s="59" t="str">
        <f>IF(SUM(Dati[[#This Row],[Inv. Gold]:[Mutuo]])=0," ",SUM(Dati[[#This Row],[Inv. Gold]:[Mutuo]]))</f>
        <v xml:space="preserve"> </v>
      </c>
      <c r="AL411" s="59"/>
      <c r="AM411" s="59"/>
    </row>
    <row r="412" spans="2:39" ht="16" customHeight="1" x14ac:dyDescent="0.35">
      <c r="B412">
        <f t="shared" si="18"/>
        <v>392</v>
      </c>
      <c r="C412" s="49">
        <f>C410+1</f>
        <v>45262</v>
      </c>
      <c r="D412" s="29">
        <f>DAY(Dati[[#This Row],[Data]])</f>
        <v>2</v>
      </c>
      <c r="E412" s="29" t="str">
        <f>IF(DAY(Data!$C$21:$C$1327)&gt;0,TEXT(Data!$C$21:$C$1327, "mmmm"),"")</f>
        <v>dicembre</v>
      </c>
      <c r="F412" s="29" t="str">
        <f>IF(DAY(Data!$C$21:$C$1327)&gt;0,TEXT(Data!$C$21:$C$1327, "aaaa"),"")</f>
        <v>2023</v>
      </c>
      <c r="I412" t="str">
        <f>IF(OR(H412=$B$5,H412=$B$6,H412=$B$7,H412=$B$8,H412=$B$9,H412=$B$10,H412=$B$11,H412=$B$12,H412=$B$13,H412=$B$14),SottocategorieUscite[[#Headers],[Fuori Casa]],IF(OR(H412=$C$5,H412=$C$6,H412=$C$7,H412=$C$8,H412=$C$9,H412=$C$10,H412=$C$11,H412=$C$12,H412=$C$13,H412=$C$14),SottocategorieUscite[[#Headers],[Varie Uscite]],IF(OR(H412=$D$5,H412=$D$6,H412=$D$7,H412=$D$8,H412=$D$9,H412=$D$10,H412=$D$11,H412=$D$12,H412=$D$13,H412=$D$14),SottocategorieUscite[[#Headers],[Personali]],IF(OR(H412=$E$5,H412=$E$6,H412=$E$7,H412=$E$8,H412=$E$9,H412=$E$10,H412=$E$11,H412=$E$12,H412=$E$13,H412=$E$14),SottocategorieUscite[[#Headers],[Lavoro]],IF(OR(H412=$F$5,H412=$F$6,H412=$F$7,H412=$F$8,H412=$F$9,H412=$F$10,H412=$F$11,H412=$F$12,H412=$F$13,H412=$F$14),SottocategorieUscite[[#Headers],[Casa]],IF(OR(H412=$G$5,H412=$G$6,H412=$G$7,H412=$G$8,H412=$G$9,H412=$G$10,H412=$G$11,H412=$G$12,H412=$G$13,H412=$G$14),SottocategorieUscite[[#Headers],[Utenze]],IF(OR(H412=$H$5,H412=$H$6,H412=$H$7,H412=$H$8,H412=$H$9,H412=$H$10,H412=$H$11,H412=$H$12,H412=$H$13,H412=$H$14),SottocategorieUscite[[#Headers],[Business Uscite]],IF(OR(H412=$I$5,H412=$I$6,H412=$I$7,H412=$I$8,H412=$I$9,H412=$I$10,H412=$I$11,H412=$I$12,H412=$I$13,H412=$I$14),SottocategorieUscite[[#Headers],[Banca]],IF(OR(H412=K$5,H412=K$6,H412=K$7,H412=K$8,H412=K$9,H412=K$10,H412=K$11,H412=K$12,H412=K$13,H412=K$14),SottocategorieEntrate[[#Headers],[Business Entrate]],IF(OR(H412=L$5,H412=L$6,H412=L$7,H412=L$8,H412=L$9,H412=L$10,H412=L$11,H412=L$12,H412=L$13,H412=L$14),SottocategorieEntrate[[#Headers],[Varie Entrate]],IF(OR(H412=M$5,H412=M$6,H412=M$7,H412=M$8,H412=M$9,H412=M$10,H412=M$11,H412=M$12,H412=M$13,H412=M$14),SottocategorieEntrate[[#Headers],[Real Estate]],IF(OR(H412=N$5,H412=N$6,H412=N$7,H412=N$8,H412=N$9,H412=N$10,H412=N$11,H412=N$12,H412=N$13,H412=N$14),SottocategorieEntrate[[#Headers],[Other]],""))))))))))))</f>
        <v/>
      </c>
      <c r="J412" t="str">
        <f>IF(OR(Dati[[#This Row],[Categoria]]="Bollette",Dati[[#This Row],[Categoria]]="Conto &amp; Carte BNL",Dati[[#This Row],[Categoria]]="Prelievo",Dati[[#This Row],[Categoria]]="Affitto",Dati[[#This Row],[Categoria]]="BNL(Interessi Creditori)"),"Carta",IF(Dati[[#This Row],[Categoria]]&lt;&gt;0,"Cash",""))</f>
        <v/>
      </c>
      <c r="K412" s="59" t="str">
        <f>IF(OR(Data!$I412=SottocategorieUscite[[#Headers],[Fuori Casa]],Data!$I412=SottocategorieUscite[[#Headers],[Varie Uscite]],Data!$I412=SottocategorieUscite[[#Headers],[Personali]],Data!$I412=SottocategorieUscite[[#Headers],[Lavoro]]),"$ -","")</f>
        <v/>
      </c>
      <c r="L412" s="59" t="str">
        <f>IF(OR(Data!$I412=SottocategorieUscite[[#Headers],[Casa]],Data!$I412=SottocategorieUscite[[#Headers],[Utenze]],Data!$I412=SottocategorieUscite[[#Headers],[Business Uscite]],Data!$I412=SottocategorieUscite[[#Headers],[Banca]]),"$ -","")</f>
        <v/>
      </c>
      <c r="M412" s="59" t="str">
        <f>IF(OR($I412&lt;&gt;SottocategorieUscite[[#Headers],[Fuori Casa]],$I412&lt;&gt;SottocategorieUscite[[#Headers],[Varie Uscite]],$I412&lt;&gt;SottocategorieUscite[[#Headers],[Personali]],$I412&lt;&gt;SottocategorieUscite[[#Headers],[Lavoro]],$I412&lt;&gt;SottocategorieUscite[[#Headers],[Casa]],$I412&lt;&gt;SottocategorieUscite[[#Headers],[Utenze]],$I412&lt;&gt;SottocategorieUscite[[#Headers],[Business Uscite]],$I412&lt;&gt;SottocategorieUscite[[#Headers],[Banca]]),"","$ -")</f>
        <v/>
      </c>
      <c r="N412" s="59" t="str">
        <f>IF(OR(Data!$I412=SottocategorieEntrate[[#Headers],[Business Entrate]],Data!$I412=SottocategorieEntrate[[#Headers],[Varie Entrate]]),"$ -","")</f>
        <v/>
      </c>
      <c r="O412" s="59" t="str">
        <f>IF(OR(Data!$I412=SottocategorieEntrate[[#Headers],[Real Estate]],SottocategorieEntrate[[#Headers],[Other]]),"$ -","")</f>
        <v/>
      </c>
      <c r="P412" s="59" t="str">
        <f>IF(OR($I412&lt;&gt;SottocategorieEntrate[[#Headers],[Business Entrate]],$I412&lt;&gt;SottocategorieEntrate[[#Headers],[Varie Entrate]],$I412&lt;&gt;SottocategorieEntrate[[#Headers],[Real Estate]],$I412&lt;&gt;SottocategorieEntrate[[#Headers],[Other]]),"","$ -")</f>
        <v/>
      </c>
      <c r="Q412" s="59" t="str">
        <f>IF(Dati[[#This Row],[Categoria]]="Prelievo","€ -","")</f>
        <v/>
      </c>
      <c r="R412" s="244"/>
      <c r="S412" s="59" t="str">
        <f>IF(Dati[[#This Row],[Categoria]]="Savings",0,"")</f>
        <v/>
      </c>
      <c r="T412" s="59"/>
      <c r="U412" s="59"/>
      <c r="V412" s="59"/>
      <c r="W412" s="59"/>
      <c r="X412" s="59"/>
      <c r="Y412" s="59"/>
      <c r="Z412" s="59"/>
      <c r="AA412" s="59"/>
      <c r="AB412" s="59"/>
      <c r="AC412" s="59"/>
      <c r="AD412" s="59"/>
      <c r="AE412" s="59"/>
      <c r="AF412" s="59"/>
      <c r="AG412" s="59"/>
      <c r="AH412" s="59"/>
      <c r="AI412" s="59" t="str">
        <f>IF(SUM(Dati[[#This Row],[Inv. Business]:[Inv. Cryptocurrency]])=0," ",SUM(Dati[[#This Row],[Inv. Business]:[Inv. Cryptocurrency]]))</f>
        <v xml:space="preserve"> </v>
      </c>
      <c r="AJ412" s="59"/>
      <c r="AK412" s="59" t="str">
        <f>IF(SUM(Dati[[#This Row],[Inv. Gold]:[Mutuo]])=0," ",SUM(Dati[[#This Row],[Inv. Gold]:[Mutuo]]))</f>
        <v xml:space="preserve"> </v>
      </c>
      <c r="AL412" s="59"/>
      <c r="AM412" s="59"/>
    </row>
    <row r="413" spans="2:39" ht="16" customHeight="1" x14ac:dyDescent="0.35">
      <c r="B413">
        <f t="shared" si="18"/>
        <v>393</v>
      </c>
      <c r="C413" s="49">
        <f t="shared" si="17"/>
        <v>45263</v>
      </c>
      <c r="D413" s="29">
        <f>DAY(Dati[[#This Row],[Data]])</f>
        <v>3</v>
      </c>
      <c r="E413" s="29" t="str">
        <f>IF(DAY(Data!$C$21:$C$1327)&gt;0,TEXT(Data!$C$21:$C$1327, "mmmm"),"")</f>
        <v>dicembre</v>
      </c>
      <c r="F413" s="29" t="str">
        <f>IF(DAY(Data!$C$21:$C$1327)&gt;0,TEXT(Data!$C$21:$C$1327, "aaaa"),"")</f>
        <v>2023</v>
      </c>
      <c r="I413" t="str">
        <f>IF(OR(H413=$B$5,H413=$B$6,H413=$B$7,H413=$B$8,H413=$B$9,H413=$B$10,H413=$B$11,H413=$B$12,H413=$B$13,H413=$B$14),SottocategorieUscite[[#Headers],[Fuori Casa]],IF(OR(H413=$C$5,H413=$C$6,H413=$C$7,H413=$C$8,H413=$C$9,H413=$C$10,H413=$C$11,H413=$C$12,H413=$C$13,H413=$C$14),SottocategorieUscite[[#Headers],[Varie Uscite]],IF(OR(H413=$D$5,H413=$D$6,H413=$D$7,H413=$D$8,H413=$D$9,H413=$D$10,H413=$D$11,H413=$D$12,H413=$D$13,H413=$D$14),SottocategorieUscite[[#Headers],[Personali]],IF(OR(H413=$E$5,H413=$E$6,H413=$E$7,H413=$E$8,H413=$E$9,H413=$E$10,H413=$E$11,H413=$E$12,H413=$E$13,H413=$E$14),SottocategorieUscite[[#Headers],[Lavoro]],IF(OR(H413=$F$5,H413=$F$6,H413=$F$7,H413=$F$8,H413=$F$9,H413=$F$10,H413=$F$11,H413=$F$12,H413=$F$13,H413=$F$14),SottocategorieUscite[[#Headers],[Casa]],IF(OR(H413=$G$5,H413=$G$6,H413=$G$7,H413=$G$8,H413=$G$9,H413=$G$10,H413=$G$11,H413=$G$12,H413=$G$13,H413=$G$14),SottocategorieUscite[[#Headers],[Utenze]],IF(OR(H413=$H$5,H413=$H$6,H413=$H$7,H413=$H$8,H413=$H$9,H413=$H$10,H413=$H$11,H413=$H$12,H413=$H$13,H413=$H$14),SottocategorieUscite[[#Headers],[Business Uscite]],IF(OR(H413=$I$5,H413=$I$6,H413=$I$7,H413=$I$8,H413=$I$9,H413=$I$10,H413=$I$11,H413=$I$12,H413=$I$13,H413=$I$14),SottocategorieUscite[[#Headers],[Banca]],IF(OR(H413=K$5,H413=K$6,H413=K$7,H413=K$8,H413=K$9,H413=K$10,H413=K$11,H413=K$12,H413=K$13,H413=K$14),SottocategorieEntrate[[#Headers],[Business Entrate]],IF(OR(H413=L$5,H413=L$6,H413=L$7,H413=L$8,H413=L$9,H413=L$10,H413=L$11,H413=L$12,H413=L$13,H413=L$14),SottocategorieEntrate[[#Headers],[Varie Entrate]],IF(OR(H413=M$5,H413=M$6,H413=M$7,H413=M$8,H413=M$9,H413=M$10,H413=M$11,H413=M$12,H413=M$13,H413=M$14),SottocategorieEntrate[[#Headers],[Real Estate]],IF(OR(H413=N$5,H413=N$6,H413=N$7,H413=N$8,H413=N$9,H413=N$10,H413=N$11,H413=N$12,H413=N$13,H413=N$14),SottocategorieEntrate[[#Headers],[Other]],""))))))))))))</f>
        <v/>
      </c>
      <c r="J413" t="str">
        <f>IF(OR(Dati[[#This Row],[Categoria]]="Bollette",Dati[[#This Row],[Categoria]]="Conto &amp; Carte BNL",Dati[[#This Row],[Categoria]]="Prelievo",Dati[[#This Row],[Categoria]]="Affitto",Dati[[#This Row],[Categoria]]="BNL(Interessi Creditori)"),"Carta",IF(Dati[[#This Row],[Categoria]]&lt;&gt;0,"Cash",""))</f>
        <v/>
      </c>
      <c r="K413" s="59" t="str">
        <f>IF(OR(Data!$I413=SottocategorieUscite[[#Headers],[Fuori Casa]],Data!$I413=SottocategorieUscite[[#Headers],[Varie Uscite]],Data!$I413=SottocategorieUscite[[#Headers],[Personali]],Data!$I413=SottocategorieUscite[[#Headers],[Lavoro]]),"$ -","")</f>
        <v/>
      </c>
      <c r="L413" s="59" t="str">
        <f>IF(OR(Data!$I413=SottocategorieUscite[[#Headers],[Casa]],Data!$I413=SottocategorieUscite[[#Headers],[Utenze]],Data!$I413=SottocategorieUscite[[#Headers],[Business Uscite]],Data!$I413=SottocategorieUscite[[#Headers],[Banca]]),"$ -","")</f>
        <v/>
      </c>
      <c r="M413" s="59" t="str">
        <f>IF(OR($I413&lt;&gt;SottocategorieUscite[[#Headers],[Fuori Casa]],$I413&lt;&gt;SottocategorieUscite[[#Headers],[Varie Uscite]],$I413&lt;&gt;SottocategorieUscite[[#Headers],[Personali]],$I413&lt;&gt;SottocategorieUscite[[#Headers],[Lavoro]],$I413&lt;&gt;SottocategorieUscite[[#Headers],[Casa]],$I413&lt;&gt;SottocategorieUscite[[#Headers],[Utenze]],$I413&lt;&gt;SottocategorieUscite[[#Headers],[Business Uscite]],$I413&lt;&gt;SottocategorieUscite[[#Headers],[Banca]]),"","$ -")</f>
        <v/>
      </c>
      <c r="N413" s="59" t="str">
        <f>IF(OR(Data!$I413=SottocategorieEntrate[[#Headers],[Business Entrate]],Data!$I413=SottocategorieEntrate[[#Headers],[Varie Entrate]]),"$ -","")</f>
        <v/>
      </c>
      <c r="O413" s="59" t="str">
        <f>IF(OR(Data!$I413=SottocategorieEntrate[[#Headers],[Real Estate]],SottocategorieEntrate[[#Headers],[Other]]),"$ -","")</f>
        <v/>
      </c>
      <c r="P413" s="59" t="str">
        <f>IF(OR($I413&lt;&gt;SottocategorieEntrate[[#Headers],[Business Entrate]],$I413&lt;&gt;SottocategorieEntrate[[#Headers],[Varie Entrate]],$I413&lt;&gt;SottocategorieEntrate[[#Headers],[Real Estate]],$I413&lt;&gt;SottocategorieEntrate[[#Headers],[Other]]),"","$ -")</f>
        <v/>
      </c>
      <c r="Q413" s="59" t="str">
        <f>IF(Dati[[#This Row],[Categoria]]="Prelievo","€ -","")</f>
        <v/>
      </c>
      <c r="R413" s="244"/>
      <c r="S413" s="59" t="str">
        <f>IF(Dati[[#This Row],[Categoria]]="Savings",0,"")</f>
        <v/>
      </c>
      <c r="T413" s="59"/>
      <c r="U413" s="59"/>
      <c r="V413" s="59"/>
      <c r="W413" s="59"/>
      <c r="X413" s="59"/>
      <c r="Y413" s="59"/>
      <c r="Z413" s="59"/>
      <c r="AA413" s="59"/>
      <c r="AB413" s="59"/>
      <c r="AC413" s="59"/>
      <c r="AD413" s="59"/>
      <c r="AE413" s="59"/>
      <c r="AF413" s="59"/>
      <c r="AG413" s="59"/>
      <c r="AH413" s="59"/>
      <c r="AI413" s="59" t="str">
        <f>IF(SUM(Dati[[#This Row],[Inv. Business]:[Inv. Cryptocurrency]])=0," ",SUM(Dati[[#This Row],[Inv. Business]:[Inv. Cryptocurrency]]))</f>
        <v xml:space="preserve"> </v>
      </c>
      <c r="AJ413" s="59"/>
      <c r="AK413" s="59" t="str">
        <f>IF(SUM(Dati[[#This Row],[Inv. Gold]:[Mutuo]])=0," ",SUM(Dati[[#This Row],[Inv. Gold]:[Mutuo]]))</f>
        <v xml:space="preserve"> </v>
      </c>
      <c r="AL413" s="59"/>
      <c r="AM413" s="59"/>
    </row>
    <row r="414" spans="2:39" ht="16" customHeight="1" x14ac:dyDescent="0.35">
      <c r="B414">
        <f t="shared" si="18"/>
        <v>394</v>
      </c>
      <c r="C414" s="49">
        <f t="shared" si="17"/>
        <v>45264</v>
      </c>
      <c r="D414" s="29">
        <f>DAY(Dati[[#This Row],[Data]])</f>
        <v>4</v>
      </c>
      <c r="E414" s="29" t="str">
        <f>IF(DAY(Data!$C$21:$C$1327)&gt;0,TEXT(Data!$C$21:$C$1327, "mmmm"),"")</f>
        <v>dicembre</v>
      </c>
      <c r="F414" s="29" t="str">
        <f>IF(DAY(Data!$C$21:$C$1327)&gt;0,TEXT(Data!$C$21:$C$1327, "aaaa"),"")</f>
        <v>2023</v>
      </c>
      <c r="I414" t="str">
        <f>IF(OR(H414=$B$5,H414=$B$6,H414=$B$7,H414=$B$8,H414=$B$9,H414=$B$10,H414=$B$11,H414=$B$12,H414=$B$13,H414=$B$14),SottocategorieUscite[[#Headers],[Fuori Casa]],IF(OR(H414=$C$5,H414=$C$6,H414=$C$7,H414=$C$8,H414=$C$9,H414=$C$10,H414=$C$11,H414=$C$12,H414=$C$13,H414=$C$14),SottocategorieUscite[[#Headers],[Varie Uscite]],IF(OR(H414=$D$5,H414=$D$6,H414=$D$7,H414=$D$8,H414=$D$9,H414=$D$10,H414=$D$11,H414=$D$12,H414=$D$13,H414=$D$14),SottocategorieUscite[[#Headers],[Personali]],IF(OR(H414=$E$5,H414=$E$6,H414=$E$7,H414=$E$8,H414=$E$9,H414=$E$10,H414=$E$11,H414=$E$12,H414=$E$13,H414=$E$14),SottocategorieUscite[[#Headers],[Lavoro]],IF(OR(H414=$F$5,H414=$F$6,H414=$F$7,H414=$F$8,H414=$F$9,H414=$F$10,H414=$F$11,H414=$F$12,H414=$F$13,H414=$F$14),SottocategorieUscite[[#Headers],[Casa]],IF(OR(H414=$G$5,H414=$G$6,H414=$G$7,H414=$G$8,H414=$G$9,H414=$G$10,H414=$G$11,H414=$G$12,H414=$G$13,H414=$G$14),SottocategorieUscite[[#Headers],[Utenze]],IF(OR(H414=$H$5,H414=$H$6,H414=$H$7,H414=$H$8,H414=$H$9,H414=$H$10,H414=$H$11,H414=$H$12,H414=$H$13,H414=$H$14),SottocategorieUscite[[#Headers],[Business Uscite]],IF(OR(H414=$I$5,H414=$I$6,H414=$I$7,H414=$I$8,H414=$I$9,H414=$I$10,H414=$I$11,H414=$I$12,H414=$I$13,H414=$I$14),SottocategorieUscite[[#Headers],[Banca]],IF(OR(H414=K$5,H414=K$6,H414=K$7,H414=K$8,H414=K$9,H414=K$10,H414=K$11,H414=K$12,H414=K$13,H414=K$14),SottocategorieEntrate[[#Headers],[Business Entrate]],IF(OR(H414=L$5,H414=L$6,H414=L$7,H414=L$8,H414=L$9,H414=L$10,H414=L$11,H414=L$12,H414=L$13,H414=L$14),SottocategorieEntrate[[#Headers],[Varie Entrate]],IF(OR(H414=M$5,H414=M$6,H414=M$7,H414=M$8,H414=M$9,H414=M$10,H414=M$11,H414=M$12,H414=M$13,H414=M$14),SottocategorieEntrate[[#Headers],[Real Estate]],IF(OR(H414=N$5,H414=N$6,H414=N$7,H414=N$8,H414=N$9,H414=N$10,H414=N$11,H414=N$12,H414=N$13,H414=N$14),SottocategorieEntrate[[#Headers],[Other]],""))))))))))))</f>
        <v/>
      </c>
      <c r="J414" t="str">
        <f>IF(OR(Dati[[#This Row],[Categoria]]="Bollette",Dati[[#This Row],[Categoria]]="Conto &amp; Carte BNL",Dati[[#This Row],[Categoria]]="Prelievo",Dati[[#This Row],[Categoria]]="Affitto",Dati[[#This Row],[Categoria]]="BNL(Interessi Creditori)"),"Carta",IF(Dati[[#This Row],[Categoria]]&lt;&gt;0,"Cash",""))</f>
        <v/>
      </c>
      <c r="K414" s="59" t="str">
        <f>IF(OR(Data!$I414=SottocategorieUscite[[#Headers],[Fuori Casa]],Data!$I414=SottocategorieUscite[[#Headers],[Varie Uscite]],Data!$I414=SottocategorieUscite[[#Headers],[Personali]],Data!$I414=SottocategorieUscite[[#Headers],[Lavoro]]),"$ -","")</f>
        <v/>
      </c>
      <c r="L414" s="59" t="str">
        <f>IF(OR(Data!$I414=SottocategorieUscite[[#Headers],[Casa]],Data!$I414=SottocategorieUscite[[#Headers],[Utenze]],Data!$I414=SottocategorieUscite[[#Headers],[Business Uscite]],Data!$I414=SottocategorieUscite[[#Headers],[Banca]]),"$ -","")</f>
        <v/>
      </c>
      <c r="M414" s="59" t="str">
        <f>IF(OR($I414&lt;&gt;SottocategorieUscite[[#Headers],[Fuori Casa]],$I414&lt;&gt;SottocategorieUscite[[#Headers],[Varie Uscite]],$I414&lt;&gt;SottocategorieUscite[[#Headers],[Personali]],$I414&lt;&gt;SottocategorieUscite[[#Headers],[Lavoro]],$I414&lt;&gt;SottocategorieUscite[[#Headers],[Casa]],$I414&lt;&gt;SottocategorieUscite[[#Headers],[Utenze]],$I414&lt;&gt;SottocategorieUscite[[#Headers],[Business Uscite]],$I414&lt;&gt;SottocategorieUscite[[#Headers],[Banca]]),"","$ -")</f>
        <v/>
      </c>
      <c r="N414" s="59" t="str">
        <f>IF(OR(Data!$I414=SottocategorieEntrate[[#Headers],[Business Entrate]],Data!$I414=SottocategorieEntrate[[#Headers],[Varie Entrate]]),"$ -","")</f>
        <v/>
      </c>
      <c r="O414" s="59" t="str">
        <f>IF(OR(Data!$I414=SottocategorieEntrate[[#Headers],[Real Estate]],SottocategorieEntrate[[#Headers],[Other]]),"$ -","")</f>
        <v/>
      </c>
      <c r="P414" s="59" t="str">
        <f>IF(OR($I414&lt;&gt;SottocategorieEntrate[[#Headers],[Business Entrate]],$I414&lt;&gt;SottocategorieEntrate[[#Headers],[Varie Entrate]],$I414&lt;&gt;SottocategorieEntrate[[#Headers],[Real Estate]],$I414&lt;&gt;SottocategorieEntrate[[#Headers],[Other]]),"","$ -")</f>
        <v/>
      </c>
      <c r="Q414" s="59" t="str">
        <f>IF(Dati[[#This Row],[Categoria]]="Prelievo","€ -","")</f>
        <v/>
      </c>
      <c r="R414" s="244"/>
      <c r="S414" s="59" t="str">
        <f>IF(Dati[[#This Row],[Categoria]]="Savings",0,"")</f>
        <v/>
      </c>
      <c r="T414" s="59"/>
      <c r="U414" s="59"/>
      <c r="V414" s="59"/>
      <c r="W414" s="59"/>
      <c r="X414" s="59"/>
      <c r="Y414" s="59"/>
      <c r="Z414" s="59"/>
      <c r="AA414" s="59"/>
      <c r="AB414" s="59"/>
      <c r="AC414" s="59"/>
      <c r="AD414" s="59"/>
      <c r="AE414" s="59"/>
      <c r="AF414" s="59"/>
      <c r="AG414" s="59"/>
      <c r="AH414" s="59"/>
      <c r="AI414" s="59" t="str">
        <f>IF(SUM(Dati[[#This Row],[Inv. Business]:[Inv. Cryptocurrency]])=0," ",SUM(Dati[[#This Row],[Inv. Business]:[Inv. Cryptocurrency]]))</f>
        <v xml:space="preserve"> </v>
      </c>
      <c r="AJ414" s="59"/>
      <c r="AK414" s="59" t="str">
        <f>IF(SUM(Dati[[#This Row],[Inv. Gold]:[Mutuo]])=0," ",SUM(Dati[[#This Row],[Inv. Gold]:[Mutuo]]))</f>
        <v xml:space="preserve"> </v>
      </c>
      <c r="AL414" s="59"/>
      <c r="AM414" s="59"/>
    </row>
    <row r="415" spans="2:39" ht="16" customHeight="1" x14ac:dyDescent="0.35">
      <c r="B415">
        <f t="shared" si="18"/>
        <v>395</v>
      </c>
      <c r="C415" s="49">
        <f t="shared" si="17"/>
        <v>45265</v>
      </c>
      <c r="D415" s="29">
        <f>DAY(Dati[[#This Row],[Data]])</f>
        <v>5</v>
      </c>
      <c r="E415" s="29" t="str">
        <f>IF(DAY(Data!$C$21:$C$1327)&gt;0,TEXT(Data!$C$21:$C$1327, "mmmm"),"")</f>
        <v>dicembre</v>
      </c>
      <c r="F415" s="29" t="str">
        <f>IF(DAY(Data!$C$21:$C$1327)&gt;0,TEXT(Data!$C$21:$C$1327, "aaaa"),"")</f>
        <v>2023</v>
      </c>
      <c r="I415" t="str">
        <f>IF(OR(H415=$B$5,H415=$B$6,H415=$B$7,H415=$B$8,H415=$B$9,H415=$B$10,H415=$B$11,H415=$B$12,H415=$B$13,H415=$B$14),SottocategorieUscite[[#Headers],[Fuori Casa]],IF(OR(H415=$C$5,H415=$C$6,H415=$C$7,H415=$C$8,H415=$C$9,H415=$C$10,H415=$C$11,H415=$C$12,H415=$C$13,H415=$C$14),SottocategorieUscite[[#Headers],[Varie Uscite]],IF(OR(H415=$D$5,H415=$D$6,H415=$D$7,H415=$D$8,H415=$D$9,H415=$D$10,H415=$D$11,H415=$D$12,H415=$D$13,H415=$D$14),SottocategorieUscite[[#Headers],[Personali]],IF(OR(H415=$E$5,H415=$E$6,H415=$E$7,H415=$E$8,H415=$E$9,H415=$E$10,H415=$E$11,H415=$E$12,H415=$E$13,H415=$E$14),SottocategorieUscite[[#Headers],[Lavoro]],IF(OR(H415=$F$5,H415=$F$6,H415=$F$7,H415=$F$8,H415=$F$9,H415=$F$10,H415=$F$11,H415=$F$12,H415=$F$13,H415=$F$14),SottocategorieUscite[[#Headers],[Casa]],IF(OR(H415=$G$5,H415=$G$6,H415=$G$7,H415=$G$8,H415=$G$9,H415=$G$10,H415=$G$11,H415=$G$12,H415=$G$13,H415=$G$14),SottocategorieUscite[[#Headers],[Utenze]],IF(OR(H415=$H$5,H415=$H$6,H415=$H$7,H415=$H$8,H415=$H$9,H415=$H$10,H415=$H$11,H415=$H$12,H415=$H$13,H415=$H$14),SottocategorieUscite[[#Headers],[Business Uscite]],IF(OR(H415=$I$5,H415=$I$6,H415=$I$7,H415=$I$8,H415=$I$9,H415=$I$10,H415=$I$11,H415=$I$12,H415=$I$13,H415=$I$14),SottocategorieUscite[[#Headers],[Banca]],IF(OR(H415=K$5,H415=K$6,H415=K$7,H415=K$8,H415=K$9,H415=K$10,H415=K$11,H415=K$12,H415=K$13,H415=K$14),SottocategorieEntrate[[#Headers],[Business Entrate]],IF(OR(H415=L$5,H415=L$6,H415=L$7,H415=L$8,H415=L$9,H415=L$10,H415=L$11,H415=L$12,H415=L$13,H415=L$14),SottocategorieEntrate[[#Headers],[Varie Entrate]],IF(OR(H415=M$5,H415=M$6,H415=M$7,H415=M$8,H415=M$9,H415=M$10,H415=M$11,H415=M$12,H415=M$13,H415=M$14),SottocategorieEntrate[[#Headers],[Real Estate]],IF(OR(H415=N$5,H415=N$6,H415=N$7,H415=N$8,H415=N$9,H415=N$10,H415=N$11,H415=N$12,H415=N$13,H415=N$14),SottocategorieEntrate[[#Headers],[Other]],""))))))))))))</f>
        <v/>
      </c>
      <c r="J415" t="str">
        <f>IF(OR(Dati[[#This Row],[Categoria]]="Bollette",Dati[[#This Row],[Categoria]]="Conto &amp; Carte BNL",Dati[[#This Row],[Categoria]]="Prelievo",Dati[[#This Row],[Categoria]]="Affitto",Dati[[#This Row],[Categoria]]="BNL(Interessi Creditori)"),"Carta",IF(Dati[[#This Row],[Categoria]]&lt;&gt;0,"Cash",""))</f>
        <v/>
      </c>
      <c r="K415" s="59" t="str">
        <f>IF(OR(Data!$I415=SottocategorieUscite[[#Headers],[Fuori Casa]],Data!$I415=SottocategorieUscite[[#Headers],[Varie Uscite]],Data!$I415=SottocategorieUscite[[#Headers],[Personali]],Data!$I415=SottocategorieUscite[[#Headers],[Lavoro]]),"$ -","")</f>
        <v/>
      </c>
      <c r="L415" s="59" t="str">
        <f>IF(OR(Data!$I415=SottocategorieUscite[[#Headers],[Casa]],Data!$I415=SottocategorieUscite[[#Headers],[Utenze]],Data!$I415=SottocategorieUscite[[#Headers],[Business Uscite]],Data!$I415=SottocategorieUscite[[#Headers],[Banca]]),"$ -","")</f>
        <v/>
      </c>
      <c r="M415" s="59" t="str">
        <f>IF(OR($I415&lt;&gt;SottocategorieUscite[[#Headers],[Fuori Casa]],$I415&lt;&gt;SottocategorieUscite[[#Headers],[Varie Uscite]],$I415&lt;&gt;SottocategorieUscite[[#Headers],[Personali]],$I415&lt;&gt;SottocategorieUscite[[#Headers],[Lavoro]],$I415&lt;&gt;SottocategorieUscite[[#Headers],[Casa]],$I415&lt;&gt;SottocategorieUscite[[#Headers],[Utenze]],$I415&lt;&gt;SottocategorieUscite[[#Headers],[Business Uscite]],$I415&lt;&gt;SottocategorieUscite[[#Headers],[Banca]]),"","$ -")</f>
        <v/>
      </c>
      <c r="N415" s="59" t="str">
        <f>IF(OR(Data!$I415=SottocategorieEntrate[[#Headers],[Business Entrate]],Data!$I415=SottocategorieEntrate[[#Headers],[Varie Entrate]]),"$ -","")</f>
        <v/>
      </c>
      <c r="O415" s="59" t="str">
        <f>IF(OR(Data!$I415=SottocategorieEntrate[[#Headers],[Real Estate]],SottocategorieEntrate[[#Headers],[Other]]),"$ -","")</f>
        <v/>
      </c>
      <c r="P415" s="59" t="str">
        <f>IF(OR($I415&lt;&gt;SottocategorieEntrate[[#Headers],[Business Entrate]],$I415&lt;&gt;SottocategorieEntrate[[#Headers],[Varie Entrate]],$I415&lt;&gt;SottocategorieEntrate[[#Headers],[Real Estate]],$I415&lt;&gt;SottocategorieEntrate[[#Headers],[Other]]),"","$ -")</f>
        <v/>
      </c>
      <c r="Q415" s="59" t="str">
        <f>IF(Dati[[#This Row],[Categoria]]="Prelievo","€ -","")</f>
        <v/>
      </c>
      <c r="R415" s="244"/>
      <c r="S415" s="59" t="str">
        <f>IF(Dati[[#This Row],[Categoria]]="Savings",0,"")</f>
        <v/>
      </c>
      <c r="T415" s="59"/>
      <c r="U415" s="59"/>
      <c r="V415" s="59"/>
      <c r="W415" s="59"/>
      <c r="X415" s="59"/>
      <c r="Y415" s="59"/>
      <c r="Z415" s="59"/>
      <c r="AA415" s="59"/>
      <c r="AB415" s="59"/>
      <c r="AC415" s="59"/>
      <c r="AD415" s="59"/>
      <c r="AE415" s="59"/>
      <c r="AF415" s="59"/>
      <c r="AG415" s="59"/>
      <c r="AH415" s="59"/>
      <c r="AI415" s="59" t="str">
        <f>IF(SUM(Dati[[#This Row],[Inv. Business]:[Inv. Cryptocurrency]])=0," ",SUM(Dati[[#This Row],[Inv. Business]:[Inv. Cryptocurrency]]))</f>
        <v xml:space="preserve"> </v>
      </c>
      <c r="AJ415" s="59"/>
      <c r="AK415" s="59" t="str">
        <f>IF(SUM(Dati[[#This Row],[Inv. Gold]:[Mutuo]])=0," ",SUM(Dati[[#This Row],[Inv. Gold]:[Mutuo]]))</f>
        <v xml:space="preserve"> </v>
      </c>
      <c r="AL415" s="59"/>
      <c r="AM415" s="59"/>
    </row>
    <row r="416" spans="2:39" ht="16" customHeight="1" x14ac:dyDescent="0.35">
      <c r="B416">
        <f t="shared" si="18"/>
        <v>396</v>
      </c>
      <c r="C416" s="49">
        <v>45265</v>
      </c>
      <c r="D416" s="29">
        <f>DAY(Dati[[#This Row],[Data]])</f>
        <v>5</v>
      </c>
      <c r="E416" s="29" t="str">
        <f>IF(DAY(Data!$C$21:$C$1327)&gt;0,TEXT(Data!$C$21:$C$1327, "mmmm"),"")</f>
        <v>dicembre</v>
      </c>
      <c r="F416" s="29" t="str">
        <f>IF(DAY(Data!$C$21:$C$1327)&gt;0,TEXT(Data!$C$21:$C$1327, "aaaa"),"")</f>
        <v>2023</v>
      </c>
      <c r="I416" t="str">
        <f>IF(OR(H416=$B$5,H416=$B$6,H416=$B$7,H416=$B$8,H416=$B$9,H416=$B$10,H416=$B$11,H416=$B$12,H416=$B$13,H416=$B$14),SottocategorieUscite[[#Headers],[Fuori Casa]],IF(OR(H416=$C$5,H416=$C$6,H416=$C$7,H416=$C$8,H416=$C$9,H416=$C$10,H416=$C$11,H416=$C$12,H416=$C$13,H416=$C$14),SottocategorieUscite[[#Headers],[Varie Uscite]],IF(OR(H416=$D$5,H416=$D$6,H416=$D$7,H416=$D$8,H416=$D$9,H416=$D$10,H416=$D$11,H416=$D$12,H416=$D$13,H416=$D$14),SottocategorieUscite[[#Headers],[Personali]],IF(OR(H416=$E$5,H416=$E$6,H416=$E$7,H416=$E$8,H416=$E$9,H416=$E$10,H416=$E$11,H416=$E$12,H416=$E$13,H416=$E$14),SottocategorieUscite[[#Headers],[Lavoro]],IF(OR(H416=$F$5,H416=$F$6,H416=$F$7,H416=$F$8,H416=$F$9,H416=$F$10,H416=$F$11,H416=$F$12,H416=$F$13,H416=$F$14),SottocategorieUscite[[#Headers],[Casa]],IF(OR(H416=$G$5,H416=$G$6,H416=$G$7,H416=$G$8,H416=$G$9,H416=$G$10,H416=$G$11,H416=$G$12,H416=$G$13,H416=$G$14),SottocategorieUscite[[#Headers],[Utenze]],IF(OR(H416=$H$5,H416=$H$6,H416=$H$7,H416=$H$8,H416=$H$9,H416=$H$10,H416=$H$11,H416=$H$12,H416=$H$13,H416=$H$14),SottocategorieUscite[[#Headers],[Business Uscite]],IF(OR(H416=$I$5,H416=$I$6,H416=$I$7,H416=$I$8,H416=$I$9,H416=$I$10,H416=$I$11,H416=$I$12,H416=$I$13,H416=$I$14),SottocategorieUscite[[#Headers],[Banca]],IF(OR(H416=K$5,H416=K$6,H416=K$7,H416=K$8,H416=K$9,H416=K$10,H416=K$11,H416=K$12,H416=K$13,H416=K$14),SottocategorieEntrate[[#Headers],[Business Entrate]],IF(OR(H416=L$5,H416=L$6,H416=L$7,H416=L$8,H416=L$9,H416=L$10,H416=L$11,H416=L$12,H416=L$13,H416=L$14),SottocategorieEntrate[[#Headers],[Varie Entrate]],IF(OR(H416=M$5,H416=M$6,H416=M$7,H416=M$8,H416=M$9,H416=M$10,H416=M$11,H416=M$12,H416=M$13,H416=M$14),SottocategorieEntrate[[#Headers],[Real Estate]],IF(OR(H416=N$5,H416=N$6,H416=N$7,H416=N$8,H416=N$9,H416=N$10,H416=N$11,H416=N$12,H416=N$13,H416=N$14),SottocategorieEntrate[[#Headers],[Other]],""))))))))))))</f>
        <v/>
      </c>
      <c r="J416" t="str">
        <f>IF(OR(Dati[[#This Row],[Categoria]]="Bollette",Dati[[#This Row],[Categoria]]="Conto &amp; Carte BNL",Dati[[#This Row],[Categoria]]="Prelievo",Dati[[#This Row],[Categoria]]="Affitto",Dati[[#This Row],[Categoria]]="BNL(Interessi Creditori)"),"Carta",IF(Dati[[#This Row],[Categoria]]&lt;&gt;0,"Cash",""))</f>
        <v/>
      </c>
      <c r="K416" s="59" t="str">
        <f>IF(OR(Data!$I416=SottocategorieUscite[[#Headers],[Fuori Casa]],Data!$I416=SottocategorieUscite[[#Headers],[Varie Uscite]],Data!$I416=SottocategorieUscite[[#Headers],[Personali]],Data!$I416=SottocategorieUscite[[#Headers],[Lavoro]]),"$ -","")</f>
        <v/>
      </c>
      <c r="L416" s="59" t="str">
        <f>IF(OR(Data!$I416=SottocategorieUscite[[#Headers],[Casa]],Data!$I416=SottocategorieUscite[[#Headers],[Utenze]],Data!$I416=SottocategorieUscite[[#Headers],[Business Uscite]],Data!$I416=SottocategorieUscite[[#Headers],[Banca]]),"$ -","")</f>
        <v/>
      </c>
      <c r="M416" s="59" t="str">
        <f>IF(OR($I416&lt;&gt;SottocategorieUscite[[#Headers],[Fuori Casa]],$I416&lt;&gt;SottocategorieUscite[[#Headers],[Varie Uscite]],$I416&lt;&gt;SottocategorieUscite[[#Headers],[Personali]],$I416&lt;&gt;SottocategorieUscite[[#Headers],[Lavoro]],$I416&lt;&gt;SottocategorieUscite[[#Headers],[Casa]],$I416&lt;&gt;SottocategorieUscite[[#Headers],[Utenze]],$I416&lt;&gt;SottocategorieUscite[[#Headers],[Business Uscite]],$I416&lt;&gt;SottocategorieUscite[[#Headers],[Banca]]),"","$ -")</f>
        <v/>
      </c>
      <c r="N416" s="59" t="str">
        <f>IF(OR(Data!$I416=SottocategorieEntrate[[#Headers],[Business Entrate]],Data!$I416=SottocategorieEntrate[[#Headers],[Varie Entrate]]),"$ -","")</f>
        <v/>
      </c>
      <c r="O416" s="59" t="str">
        <f>IF(OR(Data!$I416=SottocategorieEntrate[[#Headers],[Real Estate]],SottocategorieEntrate[[#Headers],[Other]]),"$ -","")</f>
        <v/>
      </c>
      <c r="P416" s="59" t="str">
        <f>IF(OR($I416&lt;&gt;SottocategorieEntrate[[#Headers],[Business Entrate]],$I416&lt;&gt;SottocategorieEntrate[[#Headers],[Varie Entrate]],$I416&lt;&gt;SottocategorieEntrate[[#Headers],[Real Estate]],$I416&lt;&gt;SottocategorieEntrate[[#Headers],[Other]]),"","$ -")</f>
        <v/>
      </c>
      <c r="Q416" s="59" t="str">
        <f>IF(Dati[[#This Row],[Categoria]]="Prelievo","€ -","")</f>
        <v/>
      </c>
      <c r="R416" s="244"/>
      <c r="S416" s="59" t="str">
        <f>IF(Dati[[#This Row],[Categoria]]="Savings",0,"")</f>
        <v/>
      </c>
      <c r="T416" s="59"/>
      <c r="U416" s="59"/>
      <c r="V416" s="59"/>
      <c r="W416" s="59"/>
      <c r="X416" s="59"/>
      <c r="Y416" s="59"/>
      <c r="Z416" s="59"/>
      <c r="AA416" s="59"/>
      <c r="AB416" s="59"/>
      <c r="AC416" s="59"/>
      <c r="AD416" s="59"/>
      <c r="AE416" s="59"/>
      <c r="AF416" s="59"/>
      <c r="AG416" s="59"/>
      <c r="AH416" s="59"/>
      <c r="AI416" s="59" t="str">
        <f>IF(SUM(Dati[[#This Row],[Inv. Business]:[Inv. Cryptocurrency]])=0," ",SUM(Dati[[#This Row],[Inv. Business]:[Inv. Cryptocurrency]]))</f>
        <v xml:space="preserve"> </v>
      </c>
      <c r="AJ416" s="59"/>
      <c r="AK416" s="59" t="str">
        <f>IF(SUM(Dati[[#This Row],[Inv. Gold]:[Mutuo]])=0," ",SUM(Dati[[#This Row],[Inv. Gold]:[Mutuo]]))</f>
        <v xml:space="preserve"> </v>
      </c>
      <c r="AL416" s="59"/>
      <c r="AM416" s="59"/>
    </row>
    <row r="417" spans="2:39" ht="16" customHeight="1" x14ac:dyDescent="0.35">
      <c r="B417">
        <f t="shared" si="18"/>
        <v>397</v>
      </c>
      <c r="C417" s="49">
        <f>C415+1</f>
        <v>45266</v>
      </c>
      <c r="D417" s="29">
        <f>DAY(Dati[[#This Row],[Data]])</f>
        <v>6</v>
      </c>
      <c r="E417" s="29" t="str">
        <f>IF(DAY(Data!$C$21:$C$1327)&gt;0,TEXT(Data!$C$21:$C$1327, "mmmm"),"")</f>
        <v>dicembre</v>
      </c>
      <c r="F417" s="29" t="str">
        <f>IF(DAY(Data!$C$21:$C$1327)&gt;0,TEXT(Data!$C$21:$C$1327, "aaaa"),"")</f>
        <v>2023</v>
      </c>
      <c r="I417" t="str">
        <f>IF(OR(H417=$B$5,H417=$B$6,H417=$B$7,H417=$B$8,H417=$B$9,H417=$B$10,H417=$B$11,H417=$B$12,H417=$B$13,H417=$B$14),SottocategorieUscite[[#Headers],[Fuori Casa]],IF(OR(H417=$C$5,H417=$C$6,H417=$C$7,H417=$C$8,H417=$C$9,H417=$C$10,H417=$C$11,H417=$C$12,H417=$C$13,H417=$C$14),SottocategorieUscite[[#Headers],[Varie Uscite]],IF(OR(H417=$D$5,H417=$D$6,H417=$D$7,H417=$D$8,H417=$D$9,H417=$D$10,H417=$D$11,H417=$D$12,H417=$D$13,H417=$D$14),SottocategorieUscite[[#Headers],[Personali]],IF(OR(H417=$E$5,H417=$E$6,H417=$E$7,H417=$E$8,H417=$E$9,H417=$E$10,H417=$E$11,H417=$E$12,H417=$E$13,H417=$E$14),SottocategorieUscite[[#Headers],[Lavoro]],IF(OR(H417=$F$5,H417=$F$6,H417=$F$7,H417=$F$8,H417=$F$9,H417=$F$10,H417=$F$11,H417=$F$12,H417=$F$13,H417=$F$14),SottocategorieUscite[[#Headers],[Casa]],IF(OR(H417=$G$5,H417=$G$6,H417=$G$7,H417=$G$8,H417=$G$9,H417=$G$10,H417=$G$11,H417=$G$12,H417=$G$13,H417=$G$14),SottocategorieUscite[[#Headers],[Utenze]],IF(OR(H417=$H$5,H417=$H$6,H417=$H$7,H417=$H$8,H417=$H$9,H417=$H$10,H417=$H$11,H417=$H$12,H417=$H$13,H417=$H$14),SottocategorieUscite[[#Headers],[Business Uscite]],IF(OR(H417=$I$5,H417=$I$6,H417=$I$7,H417=$I$8,H417=$I$9,H417=$I$10,H417=$I$11,H417=$I$12,H417=$I$13,H417=$I$14),SottocategorieUscite[[#Headers],[Banca]],IF(OR(H417=K$5,H417=K$6,H417=K$7,H417=K$8,H417=K$9,H417=K$10,H417=K$11,H417=K$12,H417=K$13,H417=K$14),SottocategorieEntrate[[#Headers],[Business Entrate]],IF(OR(H417=L$5,H417=L$6,H417=L$7,H417=L$8,H417=L$9,H417=L$10,H417=L$11,H417=L$12,H417=L$13,H417=L$14),SottocategorieEntrate[[#Headers],[Varie Entrate]],IF(OR(H417=M$5,H417=M$6,H417=M$7,H417=M$8,H417=M$9,H417=M$10,H417=M$11,H417=M$12,H417=M$13,H417=M$14),SottocategorieEntrate[[#Headers],[Real Estate]],IF(OR(H417=N$5,H417=N$6,H417=N$7,H417=N$8,H417=N$9,H417=N$10,H417=N$11,H417=N$12,H417=N$13,H417=N$14),SottocategorieEntrate[[#Headers],[Other]],""))))))))))))</f>
        <v/>
      </c>
      <c r="J417" t="str">
        <f>IF(OR(Dati[[#This Row],[Categoria]]="Bollette",Dati[[#This Row],[Categoria]]="Conto &amp; Carte BNL",Dati[[#This Row],[Categoria]]="Prelievo",Dati[[#This Row],[Categoria]]="Affitto",Dati[[#This Row],[Categoria]]="BNL(Interessi Creditori)"),"Carta",IF(Dati[[#This Row],[Categoria]]&lt;&gt;0,"Cash",""))</f>
        <v/>
      </c>
      <c r="K417" s="59" t="str">
        <f>IF(OR(Data!$I417=SottocategorieUscite[[#Headers],[Fuori Casa]],Data!$I417=SottocategorieUscite[[#Headers],[Varie Uscite]],Data!$I417=SottocategorieUscite[[#Headers],[Personali]],Data!$I417=SottocategorieUscite[[#Headers],[Lavoro]]),"$ -","")</f>
        <v/>
      </c>
      <c r="L417" s="59" t="str">
        <f>IF(OR(Data!$I417=SottocategorieUscite[[#Headers],[Casa]],Data!$I417=SottocategorieUscite[[#Headers],[Utenze]],Data!$I417=SottocategorieUscite[[#Headers],[Business Uscite]],Data!$I417=SottocategorieUscite[[#Headers],[Banca]]),"$ -","")</f>
        <v/>
      </c>
      <c r="M417" s="59" t="str">
        <f>IF(OR($I417&lt;&gt;SottocategorieUscite[[#Headers],[Fuori Casa]],$I417&lt;&gt;SottocategorieUscite[[#Headers],[Varie Uscite]],$I417&lt;&gt;SottocategorieUscite[[#Headers],[Personali]],$I417&lt;&gt;SottocategorieUscite[[#Headers],[Lavoro]],$I417&lt;&gt;SottocategorieUscite[[#Headers],[Casa]],$I417&lt;&gt;SottocategorieUscite[[#Headers],[Utenze]],$I417&lt;&gt;SottocategorieUscite[[#Headers],[Business Uscite]],$I417&lt;&gt;SottocategorieUscite[[#Headers],[Banca]]),"","$ -")</f>
        <v/>
      </c>
      <c r="N417" s="59" t="str">
        <f>IF(OR(Data!$I417=SottocategorieEntrate[[#Headers],[Business Entrate]],Data!$I417=SottocategorieEntrate[[#Headers],[Varie Entrate]]),"$ -","")</f>
        <v/>
      </c>
      <c r="O417" s="59" t="str">
        <f>IF(OR(Data!$I417=SottocategorieEntrate[[#Headers],[Real Estate]],SottocategorieEntrate[[#Headers],[Other]]),"$ -","")</f>
        <v/>
      </c>
      <c r="P417" s="59" t="str">
        <f>IF(OR($I417&lt;&gt;SottocategorieEntrate[[#Headers],[Business Entrate]],$I417&lt;&gt;SottocategorieEntrate[[#Headers],[Varie Entrate]],$I417&lt;&gt;SottocategorieEntrate[[#Headers],[Real Estate]],$I417&lt;&gt;SottocategorieEntrate[[#Headers],[Other]]),"","$ -")</f>
        <v/>
      </c>
      <c r="Q417" s="59" t="str">
        <f>IF(Dati[[#This Row],[Categoria]]="Prelievo","€ -","")</f>
        <v/>
      </c>
      <c r="R417" s="244"/>
      <c r="S417" s="59" t="str">
        <f>IF(Dati[[#This Row],[Categoria]]="Savings",0,"")</f>
        <v/>
      </c>
      <c r="T417" s="59"/>
      <c r="U417" s="59"/>
      <c r="V417" s="59"/>
      <c r="W417" s="59"/>
      <c r="X417" s="59"/>
      <c r="Y417" s="59"/>
      <c r="Z417" s="59"/>
      <c r="AA417" s="59"/>
      <c r="AB417" s="59"/>
      <c r="AC417" s="59"/>
      <c r="AD417" s="59"/>
      <c r="AE417" s="59"/>
      <c r="AF417" s="59"/>
      <c r="AG417" s="59"/>
      <c r="AH417" s="59"/>
      <c r="AI417" s="59" t="str">
        <f>IF(SUM(Dati[[#This Row],[Inv. Business]:[Inv. Cryptocurrency]])=0," ",SUM(Dati[[#This Row],[Inv. Business]:[Inv. Cryptocurrency]]))</f>
        <v xml:space="preserve"> </v>
      </c>
      <c r="AJ417" s="59"/>
      <c r="AK417" s="59" t="str">
        <f>IF(SUM(Dati[[#This Row],[Inv. Gold]:[Mutuo]])=0," ",SUM(Dati[[#This Row],[Inv. Gold]:[Mutuo]]))</f>
        <v xml:space="preserve"> </v>
      </c>
      <c r="AL417" s="59"/>
      <c r="AM417" s="59"/>
    </row>
    <row r="418" spans="2:39" ht="16" customHeight="1" x14ac:dyDescent="0.35">
      <c r="B418">
        <f t="shared" si="18"/>
        <v>398</v>
      </c>
      <c r="C418" s="49">
        <f t="shared" si="17"/>
        <v>45267</v>
      </c>
      <c r="D418" s="29">
        <f>DAY(Dati[[#This Row],[Data]])</f>
        <v>7</v>
      </c>
      <c r="E418" s="29" t="str">
        <f>IF(DAY(Data!$C$21:$C$1327)&gt;0,TEXT(Data!$C$21:$C$1327, "mmmm"),"")</f>
        <v>dicembre</v>
      </c>
      <c r="F418" s="29" t="str">
        <f>IF(DAY(Data!$C$21:$C$1327)&gt;0,TEXT(Data!$C$21:$C$1327, "aaaa"),"")</f>
        <v>2023</v>
      </c>
      <c r="I418" t="str">
        <f>IF(OR(H418=$B$5,H418=$B$6,H418=$B$7,H418=$B$8,H418=$B$9,H418=$B$10,H418=$B$11,H418=$B$12,H418=$B$13,H418=$B$14),SottocategorieUscite[[#Headers],[Fuori Casa]],IF(OR(H418=$C$5,H418=$C$6,H418=$C$7,H418=$C$8,H418=$C$9,H418=$C$10,H418=$C$11,H418=$C$12,H418=$C$13,H418=$C$14),SottocategorieUscite[[#Headers],[Varie Uscite]],IF(OR(H418=$D$5,H418=$D$6,H418=$D$7,H418=$D$8,H418=$D$9,H418=$D$10,H418=$D$11,H418=$D$12,H418=$D$13,H418=$D$14),SottocategorieUscite[[#Headers],[Personali]],IF(OR(H418=$E$5,H418=$E$6,H418=$E$7,H418=$E$8,H418=$E$9,H418=$E$10,H418=$E$11,H418=$E$12,H418=$E$13,H418=$E$14),SottocategorieUscite[[#Headers],[Lavoro]],IF(OR(H418=$F$5,H418=$F$6,H418=$F$7,H418=$F$8,H418=$F$9,H418=$F$10,H418=$F$11,H418=$F$12,H418=$F$13,H418=$F$14),SottocategorieUscite[[#Headers],[Casa]],IF(OR(H418=$G$5,H418=$G$6,H418=$G$7,H418=$G$8,H418=$G$9,H418=$G$10,H418=$G$11,H418=$G$12,H418=$G$13,H418=$G$14),SottocategorieUscite[[#Headers],[Utenze]],IF(OR(H418=$H$5,H418=$H$6,H418=$H$7,H418=$H$8,H418=$H$9,H418=$H$10,H418=$H$11,H418=$H$12,H418=$H$13,H418=$H$14),SottocategorieUscite[[#Headers],[Business Uscite]],IF(OR(H418=$I$5,H418=$I$6,H418=$I$7,H418=$I$8,H418=$I$9,H418=$I$10,H418=$I$11,H418=$I$12,H418=$I$13,H418=$I$14),SottocategorieUscite[[#Headers],[Banca]],IF(OR(H418=K$5,H418=K$6,H418=K$7,H418=K$8,H418=K$9,H418=K$10,H418=K$11,H418=K$12,H418=K$13,H418=K$14),SottocategorieEntrate[[#Headers],[Business Entrate]],IF(OR(H418=L$5,H418=L$6,H418=L$7,H418=L$8,H418=L$9,H418=L$10,H418=L$11,H418=L$12,H418=L$13,H418=L$14),SottocategorieEntrate[[#Headers],[Varie Entrate]],IF(OR(H418=M$5,H418=M$6,H418=M$7,H418=M$8,H418=M$9,H418=M$10,H418=M$11,H418=M$12,H418=M$13,H418=M$14),SottocategorieEntrate[[#Headers],[Real Estate]],IF(OR(H418=N$5,H418=N$6,H418=N$7,H418=N$8,H418=N$9,H418=N$10,H418=N$11,H418=N$12,H418=N$13,H418=N$14),SottocategorieEntrate[[#Headers],[Other]],""))))))))))))</f>
        <v/>
      </c>
      <c r="J418" t="str">
        <f>IF(OR(Dati[[#This Row],[Categoria]]="Bollette",Dati[[#This Row],[Categoria]]="Conto &amp; Carte BNL",Dati[[#This Row],[Categoria]]="Prelievo",Dati[[#This Row],[Categoria]]="Affitto",Dati[[#This Row],[Categoria]]="BNL(Interessi Creditori)"),"Carta",IF(Dati[[#This Row],[Categoria]]&lt;&gt;0,"Cash",""))</f>
        <v/>
      </c>
      <c r="K418" s="59" t="str">
        <f>IF(OR(Data!$I418=SottocategorieUscite[[#Headers],[Fuori Casa]],Data!$I418=SottocategorieUscite[[#Headers],[Varie Uscite]],Data!$I418=SottocategorieUscite[[#Headers],[Personali]],Data!$I418=SottocategorieUscite[[#Headers],[Lavoro]]),"$ -","")</f>
        <v/>
      </c>
      <c r="L418" s="59" t="str">
        <f>IF(OR(Data!$I418=SottocategorieUscite[[#Headers],[Casa]],Data!$I418=SottocategorieUscite[[#Headers],[Utenze]],Data!$I418=SottocategorieUscite[[#Headers],[Business Uscite]],Data!$I418=SottocategorieUscite[[#Headers],[Banca]]),"$ -","")</f>
        <v/>
      </c>
      <c r="M418" s="59" t="str">
        <f>IF(OR($I418&lt;&gt;SottocategorieUscite[[#Headers],[Fuori Casa]],$I418&lt;&gt;SottocategorieUscite[[#Headers],[Varie Uscite]],$I418&lt;&gt;SottocategorieUscite[[#Headers],[Personali]],$I418&lt;&gt;SottocategorieUscite[[#Headers],[Lavoro]],$I418&lt;&gt;SottocategorieUscite[[#Headers],[Casa]],$I418&lt;&gt;SottocategorieUscite[[#Headers],[Utenze]],$I418&lt;&gt;SottocategorieUscite[[#Headers],[Business Uscite]],$I418&lt;&gt;SottocategorieUscite[[#Headers],[Banca]]),"","$ -")</f>
        <v/>
      </c>
      <c r="N418" s="59" t="str">
        <f>IF(OR(Data!$I418=SottocategorieEntrate[[#Headers],[Business Entrate]],Data!$I418=SottocategorieEntrate[[#Headers],[Varie Entrate]]),"$ -","")</f>
        <v/>
      </c>
      <c r="O418" s="59" t="str">
        <f>IF(OR(Data!$I418=SottocategorieEntrate[[#Headers],[Real Estate]],SottocategorieEntrate[[#Headers],[Other]]),"$ -","")</f>
        <v/>
      </c>
      <c r="P418" s="59" t="str">
        <f>IF(OR($I418&lt;&gt;SottocategorieEntrate[[#Headers],[Business Entrate]],$I418&lt;&gt;SottocategorieEntrate[[#Headers],[Varie Entrate]],$I418&lt;&gt;SottocategorieEntrate[[#Headers],[Real Estate]],$I418&lt;&gt;SottocategorieEntrate[[#Headers],[Other]]),"","$ -")</f>
        <v/>
      </c>
      <c r="Q418" s="59" t="str">
        <f>IF(Dati[[#This Row],[Categoria]]="Prelievo","€ -","")</f>
        <v/>
      </c>
      <c r="R418" s="244"/>
      <c r="S418" s="59" t="str">
        <f>IF(Dati[[#This Row],[Categoria]]="Savings",0,"")</f>
        <v/>
      </c>
      <c r="T418" s="59"/>
      <c r="U418" s="59"/>
      <c r="V418" s="59"/>
      <c r="W418" s="59"/>
      <c r="X418" s="59"/>
      <c r="Y418" s="59"/>
      <c r="Z418" s="59"/>
      <c r="AA418" s="59"/>
      <c r="AB418" s="59"/>
      <c r="AC418" s="59"/>
      <c r="AD418" s="59"/>
      <c r="AE418" s="59"/>
      <c r="AF418" s="59"/>
      <c r="AG418" s="59"/>
      <c r="AH418" s="59"/>
      <c r="AI418" s="59" t="str">
        <f>IF(SUM(Dati[[#This Row],[Inv. Business]:[Inv. Cryptocurrency]])=0," ",SUM(Dati[[#This Row],[Inv. Business]:[Inv. Cryptocurrency]]))</f>
        <v xml:space="preserve"> </v>
      </c>
      <c r="AJ418" s="59"/>
      <c r="AK418" s="59" t="str">
        <f>IF(SUM(Dati[[#This Row],[Inv. Gold]:[Mutuo]])=0," ",SUM(Dati[[#This Row],[Inv. Gold]:[Mutuo]]))</f>
        <v xml:space="preserve"> </v>
      </c>
      <c r="AL418" s="59"/>
      <c r="AM418" s="59"/>
    </row>
    <row r="419" spans="2:39" ht="16" customHeight="1" x14ac:dyDescent="0.35">
      <c r="B419">
        <f t="shared" si="18"/>
        <v>399</v>
      </c>
      <c r="C419" s="49">
        <v>45267</v>
      </c>
      <c r="D419" s="29">
        <f>DAY(Dati[[#This Row],[Data]])</f>
        <v>7</v>
      </c>
      <c r="E419" s="29" t="str">
        <f>IF(DAY(Data!$C$21:$C$1327)&gt;0,TEXT(Data!$C$21:$C$1327, "mmmm"),"")</f>
        <v>dicembre</v>
      </c>
      <c r="F419" s="29" t="str">
        <f>IF(DAY(Data!$C$21:$C$1327)&gt;0,TEXT(Data!$C$21:$C$1327, "aaaa"),"")</f>
        <v>2023</v>
      </c>
      <c r="I419" t="str">
        <f>IF(OR(H419=$B$5,H419=$B$6,H419=$B$7,H419=$B$8,H419=$B$9,H419=$B$10,H419=$B$11,H419=$B$12,H419=$B$13,H419=$B$14),SottocategorieUscite[[#Headers],[Fuori Casa]],IF(OR(H419=$C$5,H419=$C$6,H419=$C$7,H419=$C$8,H419=$C$9,H419=$C$10,H419=$C$11,H419=$C$12,H419=$C$13,H419=$C$14),SottocategorieUscite[[#Headers],[Varie Uscite]],IF(OR(H419=$D$5,H419=$D$6,H419=$D$7,H419=$D$8,H419=$D$9,H419=$D$10,H419=$D$11,H419=$D$12,H419=$D$13,H419=$D$14),SottocategorieUscite[[#Headers],[Personali]],IF(OR(H419=$E$5,H419=$E$6,H419=$E$7,H419=$E$8,H419=$E$9,H419=$E$10,H419=$E$11,H419=$E$12,H419=$E$13,H419=$E$14),SottocategorieUscite[[#Headers],[Lavoro]],IF(OR(H419=$F$5,H419=$F$6,H419=$F$7,H419=$F$8,H419=$F$9,H419=$F$10,H419=$F$11,H419=$F$12,H419=$F$13,H419=$F$14),SottocategorieUscite[[#Headers],[Casa]],IF(OR(H419=$G$5,H419=$G$6,H419=$G$7,H419=$G$8,H419=$G$9,H419=$G$10,H419=$G$11,H419=$G$12,H419=$G$13,H419=$G$14),SottocategorieUscite[[#Headers],[Utenze]],IF(OR(H419=$H$5,H419=$H$6,H419=$H$7,H419=$H$8,H419=$H$9,H419=$H$10,H419=$H$11,H419=$H$12,H419=$H$13,H419=$H$14),SottocategorieUscite[[#Headers],[Business Uscite]],IF(OR(H419=$I$5,H419=$I$6,H419=$I$7,H419=$I$8,H419=$I$9,H419=$I$10,H419=$I$11,H419=$I$12,H419=$I$13,H419=$I$14),SottocategorieUscite[[#Headers],[Banca]],IF(OR(H419=K$5,H419=K$6,H419=K$7,H419=K$8,H419=K$9,H419=K$10,H419=K$11,H419=K$12,H419=K$13,H419=K$14),SottocategorieEntrate[[#Headers],[Business Entrate]],IF(OR(H419=L$5,H419=L$6,H419=L$7,H419=L$8,H419=L$9,H419=L$10,H419=L$11,H419=L$12,H419=L$13,H419=L$14),SottocategorieEntrate[[#Headers],[Varie Entrate]],IF(OR(H419=M$5,H419=M$6,H419=M$7,H419=M$8,H419=M$9,H419=M$10,H419=M$11,H419=M$12,H419=M$13,H419=M$14),SottocategorieEntrate[[#Headers],[Real Estate]],IF(OR(H419=N$5,H419=N$6,H419=N$7,H419=N$8,H419=N$9,H419=N$10,H419=N$11,H419=N$12,H419=N$13,H419=N$14),SottocategorieEntrate[[#Headers],[Other]],""))))))))))))</f>
        <v/>
      </c>
      <c r="J419" t="str">
        <f>IF(OR(Dati[[#This Row],[Categoria]]="Bollette",Dati[[#This Row],[Categoria]]="Conto &amp; Carte BNL",Dati[[#This Row],[Categoria]]="Prelievo",Dati[[#This Row],[Categoria]]="Affitto",Dati[[#This Row],[Categoria]]="BNL(Interessi Creditori)"),"Carta",IF(Dati[[#This Row],[Categoria]]&lt;&gt;0,"Cash",""))</f>
        <v/>
      </c>
      <c r="K419" s="59" t="str">
        <f>IF(OR(Data!$I419=SottocategorieUscite[[#Headers],[Fuori Casa]],Data!$I419=SottocategorieUscite[[#Headers],[Varie Uscite]],Data!$I419=SottocategorieUscite[[#Headers],[Personali]],Data!$I419=SottocategorieUscite[[#Headers],[Lavoro]]),"$ -","")</f>
        <v/>
      </c>
      <c r="L419" s="59" t="str">
        <f>IF(OR(Data!$I419=SottocategorieUscite[[#Headers],[Casa]],Data!$I419=SottocategorieUscite[[#Headers],[Utenze]],Data!$I419=SottocategorieUscite[[#Headers],[Business Uscite]],Data!$I419=SottocategorieUscite[[#Headers],[Banca]]),"$ -","")</f>
        <v/>
      </c>
      <c r="M419" s="59" t="str">
        <f>IF(OR($I419&lt;&gt;SottocategorieUscite[[#Headers],[Fuori Casa]],$I419&lt;&gt;SottocategorieUscite[[#Headers],[Varie Uscite]],$I419&lt;&gt;SottocategorieUscite[[#Headers],[Personali]],$I419&lt;&gt;SottocategorieUscite[[#Headers],[Lavoro]],$I419&lt;&gt;SottocategorieUscite[[#Headers],[Casa]],$I419&lt;&gt;SottocategorieUscite[[#Headers],[Utenze]],$I419&lt;&gt;SottocategorieUscite[[#Headers],[Business Uscite]],$I419&lt;&gt;SottocategorieUscite[[#Headers],[Banca]]),"","$ -")</f>
        <v/>
      </c>
      <c r="N419" s="59" t="str">
        <f>IF(OR(Data!$I419=SottocategorieEntrate[[#Headers],[Business Entrate]],Data!$I419=SottocategorieEntrate[[#Headers],[Varie Entrate]]),"$ -","")</f>
        <v/>
      </c>
      <c r="O419" s="59" t="str">
        <f>IF(OR(Data!$I419=SottocategorieEntrate[[#Headers],[Real Estate]],SottocategorieEntrate[[#Headers],[Other]]),"$ -","")</f>
        <v/>
      </c>
      <c r="P419" s="59" t="str">
        <f>IF(OR($I419&lt;&gt;SottocategorieEntrate[[#Headers],[Business Entrate]],$I419&lt;&gt;SottocategorieEntrate[[#Headers],[Varie Entrate]],$I419&lt;&gt;SottocategorieEntrate[[#Headers],[Real Estate]],$I419&lt;&gt;SottocategorieEntrate[[#Headers],[Other]]),"","$ -")</f>
        <v/>
      </c>
      <c r="Q419" s="59" t="str">
        <f>IF(Dati[[#This Row],[Categoria]]="Prelievo","€ -","")</f>
        <v/>
      </c>
      <c r="R419" s="244"/>
      <c r="S419" s="59" t="str">
        <f>IF(Dati[[#This Row],[Categoria]]="Savings",0,"")</f>
        <v/>
      </c>
      <c r="T419" s="59"/>
      <c r="U419" s="59"/>
      <c r="V419" s="59"/>
      <c r="W419" s="59"/>
      <c r="X419" s="59"/>
      <c r="Y419" s="59"/>
      <c r="Z419" s="59"/>
      <c r="AA419" s="59"/>
      <c r="AB419" s="59"/>
      <c r="AC419" s="59"/>
      <c r="AD419" s="59"/>
      <c r="AE419" s="59"/>
      <c r="AF419" s="59"/>
      <c r="AG419" s="59"/>
      <c r="AH419" s="59"/>
      <c r="AI419" s="59" t="str">
        <f>IF(SUM(Dati[[#This Row],[Inv. Business]:[Inv. Cryptocurrency]])=0," ",SUM(Dati[[#This Row],[Inv. Business]:[Inv. Cryptocurrency]]))</f>
        <v xml:space="preserve"> </v>
      </c>
      <c r="AJ419" s="59"/>
      <c r="AK419" s="59" t="str">
        <f>IF(SUM(Dati[[#This Row],[Inv. Gold]:[Mutuo]])=0," ",SUM(Dati[[#This Row],[Inv. Gold]:[Mutuo]]))</f>
        <v xml:space="preserve"> </v>
      </c>
      <c r="AL419" s="59"/>
      <c r="AM419" s="59"/>
    </row>
    <row r="420" spans="2:39" ht="16" customHeight="1" x14ac:dyDescent="0.35">
      <c r="B420">
        <f t="shared" si="18"/>
        <v>400</v>
      </c>
      <c r="C420" s="49">
        <f>C418+1</f>
        <v>45268</v>
      </c>
      <c r="D420" s="29">
        <f>DAY(Dati[[#This Row],[Data]])</f>
        <v>8</v>
      </c>
      <c r="E420" s="29" t="str">
        <f>IF(DAY(Data!$C$21:$C$1327)&gt;0,TEXT(Data!$C$21:$C$1327, "mmmm"),"")</f>
        <v>dicembre</v>
      </c>
      <c r="F420" s="29" t="str">
        <f>IF(DAY(Data!$C$21:$C$1327)&gt;0,TEXT(Data!$C$21:$C$1327, "aaaa"),"")</f>
        <v>2023</v>
      </c>
      <c r="I420" t="str">
        <f>IF(OR(H420=$B$5,H420=$B$6,H420=$B$7,H420=$B$8,H420=$B$9,H420=$B$10,H420=$B$11,H420=$B$12,H420=$B$13,H420=$B$14),SottocategorieUscite[[#Headers],[Fuori Casa]],IF(OR(H420=$C$5,H420=$C$6,H420=$C$7,H420=$C$8,H420=$C$9,H420=$C$10,H420=$C$11,H420=$C$12,H420=$C$13,H420=$C$14),SottocategorieUscite[[#Headers],[Varie Uscite]],IF(OR(H420=$D$5,H420=$D$6,H420=$D$7,H420=$D$8,H420=$D$9,H420=$D$10,H420=$D$11,H420=$D$12,H420=$D$13,H420=$D$14),SottocategorieUscite[[#Headers],[Personali]],IF(OR(H420=$E$5,H420=$E$6,H420=$E$7,H420=$E$8,H420=$E$9,H420=$E$10,H420=$E$11,H420=$E$12,H420=$E$13,H420=$E$14),SottocategorieUscite[[#Headers],[Lavoro]],IF(OR(H420=$F$5,H420=$F$6,H420=$F$7,H420=$F$8,H420=$F$9,H420=$F$10,H420=$F$11,H420=$F$12,H420=$F$13,H420=$F$14),SottocategorieUscite[[#Headers],[Casa]],IF(OR(H420=$G$5,H420=$G$6,H420=$G$7,H420=$G$8,H420=$G$9,H420=$G$10,H420=$G$11,H420=$G$12,H420=$G$13,H420=$G$14),SottocategorieUscite[[#Headers],[Utenze]],IF(OR(H420=$H$5,H420=$H$6,H420=$H$7,H420=$H$8,H420=$H$9,H420=$H$10,H420=$H$11,H420=$H$12,H420=$H$13,H420=$H$14),SottocategorieUscite[[#Headers],[Business Uscite]],IF(OR(H420=$I$5,H420=$I$6,H420=$I$7,H420=$I$8,H420=$I$9,H420=$I$10,H420=$I$11,H420=$I$12,H420=$I$13,H420=$I$14),SottocategorieUscite[[#Headers],[Banca]],IF(OR(H420=K$5,H420=K$6,H420=K$7,H420=K$8,H420=K$9,H420=K$10,H420=K$11,H420=K$12,H420=K$13,H420=K$14),SottocategorieEntrate[[#Headers],[Business Entrate]],IF(OR(H420=L$5,H420=L$6,H420=L$7,H420=L$8,H420=L$9,H420=L$10,H420=L$11,H420=L$12,H420=L$13,H420=L$14),SottocategorieEntrate[[#Headers],[Varie Entrate]],IF(OR(H420=M$5,H420=M$6,H420=M$7,H420=M$8,H420=M$9,H420=M$10,H420=M$11,H420=M$12,H420=M$13,H420=M$14),SottocategorieEntrate[[#Headers],[Real Estate]],IF(OR(H420=N$5,H420=N$6,H420=N$7,H420=N$8,H420=N$9,H420=N$10,H420=N$11,H420=N$12,H420=N$13,H420=N$14),SottocategorieEntrate[[#Headers],[Other]],""))))))))))))</f>
        <v/>
      </c>
      <c r="J420" t="str">
        <f>IF(OR(Dati[[#This Row],[Categoria]]="Bollette",Dati[[#This Row],[Categoria]]="Conto &amp; Carte BNL",Dati[[#This Row],[Categoria]]="Prelievo",Dati[[#This Row],[Categoria]]="Affitto",Dati[[#This Row],[Categoria]]="BNL(Interessi Creditori)"),"Carta",IF(Dati[[#This Row],[Categoria]]&lt;&gt;0,"Cash",""))</f>
        <v/>
      </c>
      <c r="K420" s="59" t="str">
        <f>IF(OR(Data!$I420=SottocategorieUscite[[#Headers],[Fuori Casa]],Data!$I420=SottocategorieUscite[[#Headers],[Varie Uscite]],Data!$I420=SottocategorieUscite[[#Headers],[Personali]],Data!$I420=SottocategorieUscite[[#Headers],[Lavoro]]),"$ -","")</f>
        <v/>
      </c>
      <c r="L420" s="59" t="str">
        <f>IF(OR(Data!$I420=SottocategorieUscite[[#Headers],[Casa]],Data!$I420=SottocategorieUscite[[#Headers],[Utenze]],Data!$I420=SottocategorieUscite[[#Headers],[Business Uscite]],Data!$I420=SottocategorieUscite[[#Headers],[Banca]]),"$ -","")</f>
        <v/>
      </c>
      <c r="M420" s="59" t="str">
        <f>IF(OR($I420&lt;&gt;SottocategorieUscite[[#Headers],[Fuori Casa]],$I420&lt;&gt;SottocategorieUscite[[#Headers],[Varie Uscite]],$I420&lt;&gt;SottocategorieUscite[[#Headers],[Personali]],$I420&lt;&gt;SottocategorieUscite[[#Headers],[Lavoro]],$I420&lt;&gt;SottocategorieUscite[[#Headers],[Casa]],$I420&lt;&gt;SottocategorieUscite[[#Headers],[Utenze]],$I420&lt;&gt;SottocategorieUscite[[#Headers],[Business Uscite]],$I420&lt;&gt;SottocategorieUscite[[#Headers],[Banca]]),"","$ -")</f>
        <v/>
      </c>
      <c r="N420" s="59" t="str">
        <f>IF(OR(Data!$I420=SottocategorieEntrate[[#Headers],[Business Entrate]],Data!$I420=SottocategorieEntrate[[#Headers],[Varie Entrate]]),"$ -","")</f>
        <v/>
      </c>
      <c r="O420" s="59" t="str">
        <f>IF(OR(Data!$I420=SottocategorieEntrate[[#Headers],[Real Estate]],SottocategorieEntrate[[#Headers],[Other]]),"$ -","")</f>
        <v/>
      </c>
      <c r="P420" s="59" t="str">
        <f>IF(OR($I420&lt;&gt;SottocategorieEntrate[[#Headers],[Business Entrate]],$I420&lt;&gt;SottocategorieEntrate[[#Headers],[Varie Entrate]],$I420&lt;&gt;SottocategorieEntrate[[#Headers],[Real Estate]],$I420&lt;&gt;SottocategorieEntrate[[#Headers],[Other]]),"","$ -")</f>
        <v/>
      </c>
      <c r="Q420" s="59" t="str">
        <f>IF(Dati[[#This Row],[Categoria]]="Prelievo","€ -","")</f>
        <v/>
      </c>
      <c r="R420" s="244"/>
      <c r="S420" s="59" t="str">
        <f>IF(Dati[[#This Row],[Categoria]]="Savings",0,"")</f>
        <v/>
      </c>
      <c r="T420" s="59"/>
      <c r="U420" s="59"/>
      <c r="V420" s="59"/>
      <c r="W420" s="59"/>
      <c r="X420" s="59"/>
      <c r="Y420" s="59"/>
      <c r="Z420" s="59"/>
      <c r="AA420" s="59"/>
      <c r="AB420" s="59"/>
      <c r="AC420" s="59"/>
      <c r="AD420" s="59"/>
      <c r="AE420" s="59"/>
      <c r="AF420" s="59"/>
      <c r="AG420" s="59"/>
      <c r="AH420" s="59"/>
      <c r="AI420" s="59" t="str">
        <f>IF(SUM(Dati[[#This Row],[Inv. Business]:[Inv. Cryptocurrency]])=0," ",SUM(Dati[[#This Row],[Inv. Business]:[Inv. Cryptocurrency]]))</f>
        <v xml:space="preserve"> </v>
      </c>
      <c r="AJ420" s="59"/>
      <c r="AK420" s="59" t="str">
        <f>IF(SUM(Dati[[#This Row],[Inv. Gold]:[Mutuo]])=0," ",SUM(Dati[[#This Row],[Inv. Gold]:[Mutuo]]))</f>
        <v xml:space="preserve"> </v>
      </c>
      <c r="AL420" s="59"/>
      <c r="AM420" s="59"/>
    </row>
    <row r="421" spans="2:39" ht="16" customHeight="1" x14ac:dyDescent="0.35">
      <c r="B421">
        <f t="shared" si="18"/>
        <v>401</v>
      </c>
      <c r="C421" s="49">
        <v>45268</v>
      </c>
      <c r="D421" s="29">
        <f>DAY(Dati[[#This Row],[Data]])</f>
        <v>8</v>
      </c>
      <c r="E421" s="29" t="str">
        <f>IF(DAY(Data!$C$21:$C$1327)&gt;0,TEXT(Data!$C$21:$C$1327, "mmmm"),"")</f>
        <v>dicembre</v>
      </c>
      <c r="F421" s="29" t="str">
        <f>IF(DAY(Data!$C$21:$C$1327)&gt;0,TEXT(Data!$C$21:$C$1327, "aaaa"),"")</f>
        <v>2023</v>
      </c>
      <c r="I421" t="str">
        <f>IF(OR(H421=$B$5,H421=$B$6,H421=$B$7,H421=$B$8,H421=$B$9,H421=$B$10,H421=$B$11,H421=$B$12,H421=$B$13,H421=$B$14),SottocategorieUscite[[#Headers],[Fuori Casa]],IF(OR(H421=$C$5,H421=$C$6,H421=$C$7,H421=$C$8,H421=$C$9,H421=$C$10,H421=$C$11,H421=$C$12,H421=$C$13,H421=$C$14),SottocategorieUscite[[#Headers],[Varie Uscite]],IF(OR(H421=$D$5,H421=$D$6,H421=$D$7,H421=$D$8,H421=$D$9,H421=$D$10,H421=$D$11,H421=$D$12,H421=$D$13,H421=$D$14),SottocategorieUscite[[#Headers],[Personali]],IF(OR(H421=$E$5,H421=$E$6,H421=$E$7,H421=$E$8,H421=$E$9,H421=$E$10,H421=$E$11,H421=$E$12,H421=$E$13,H421=$E$14),SottocategorieUscite[[#Headers],[Lavoro]],IF(OR(H421=$F$5,H421=$F$6,H421=$F$7,H421=$F$8,H421=$F$9,H421=$F$10,H421=$F$11,H421=$F$12,H421=$F$13,H421=$F$14),SottocategorieUscite[[#Headers],[Casa]],IF(OR(H421=$G$5,H421=$G$6,H421=$G$7,H421=$G$8,H421=$G$9,H421=$G$10,H421=$G$11,H421=$G$12,H421=$G$13,H421=$G$14),SottocategorieUscite[[#Headers],[Utenze]],IF(OR(H421=$H$5,H421=$H$6,H421=$H$7,H421=$H$8,H421=$H$9,H421=$H$10,H421=$H$11,H421=$H$12,H421=$H$13,H421=$H$14),SottocategorieUscite[[#Headers],[Business Uscite]],IF(OR(H421=$I$5,H421=$I$6,H421=$I$7,H421=$I$8,H421=$I$9,H421=$I$10,H421=$I$11,H421=$I$12,H421=$I$13,H421=$I$14),SottocategorieUscite[[#Headers],[Banca]],IF(OR(H421=K$5,H421=K$6,H421=K$7,H421=K$8,H421=K$9,H421=K$10,H421=K$11,H421=K$12,H421=K$13,H421=K$14),SottocategorieEntrate[[#Headers],[Business Entrate]],IF(OR(H421=L$5,H421=L$6,H421=L$7,H421=L$8,H421=L$9,H421=L$10,H421=L$11,H421=L$12,H421=L$13,H421=L$14),SottocategorieEntrate[[#Headers],[Varie Entrate]],IF(OR(H421=M$5,H421=M$6,H421=M$7,H421=M$8,H421=M$9,H421=M$10,H421=M$11,H421=M$12,H421=M$13,H421=M$14),SottocategorieEntrate[[#Headers],[Real Estate]],IF(OR(H421=N$5,H421=N$6,H421=N$7,H421=N$8,H421=N$9,H421=N$10,H421=N$11,H421=N$12,H421=N$13,H421=N$14),SottocategorieEntrate[[#Headers],[Other]],""))))))))))))</f>
        <v/>
      </c>
      <c r="J421" t="str">
        <f>IF(OR(Dati[[#This Row],[Categoria]]="Bollette",Dati[[#This Row],[Categoria]]="Conto &amp; Carte BNL",Dati[[#This Row],[Categoria]]="Prelievo",Dati[[#This Row],[Categoria]]="Affitto",Dati[[#This Row],[Categoria]]="BNL(Interessi Creditori)"),"Carta",IF(Dati[[#This Row],[Categoria]]&lt;&gt;0,"Cash",""))</f>
        <v/>
      </c>
      <c r="K421" s="59" t="str">
        <f>IF(OR(Data!$I421=SottocategorieUscite[[#Headers],[Fuori Casa]],Data!$I421=SottocategorieUscite[[#Headers],[Varie Uscite]],Data!$I421=SottocategorieUscite[[#Headers],[Personali]],Data!$I421=SottocategorieUscite[[#Headers],[Lavoro]]),"$ -","")</f>
        <v/>
      </c>
      <c r="L421" s="59" t="str">
        <f>IF(OR(Data!$I421=SottocategorieUscite[[#Headers],[Casa]],Data!$I421=SottocategorieUscite[[#Headers],[Utenze]],Data!$I421=SottocategorieUscite[[#Headers],[Business Uscite]],Data!$I421=SottocategorieUscite[[#Headers],[Banca]]),"$ -","")</f>
        <v/>
      </c>
      <c r="M421" s="59" t="str">
        <f>IF(OR($I421&lt;&gt;SottocategorieUscite[[#Headers],[Fuori Casa]],$I421&lt;&gt;SottocategorieUscite[[#Headers],[Varie Uscite]],$I421&lt;&gt;SottocategorieUscite[[#Headers],[Personali]],$I421&lt;&gt;SottocategorieUscite[[#Headers],[Lavoro]],$I421&lt;&gt;SottocategorieUscite[[#Headers],[Casa]],$I421&lt;&gt;SottocategorieUscite[[#Headers],[Utenze]],$I421&lt;&gt;SottocategorieUscite[[#Headers],[Business Uscite]],$I421&lt;&gt;SottocategorieUscite[[#Headers],[Banca]]),"","$ -")</f>
        <v/>
      </c>
      <c r="N421" s="59" t="str">
        <f>IF(OR(Data!$I421=SottocategorieEntrate[[#Headers],[Business Entrate]],Data!$I421=SottocategorieEntrate[[#Headers],[Varie Entrate]]),"$ -","")</f>
        <v/>
      </c>
      <c r="O421" s="59" t="str">
        <f>IF(OR(Data!$I421=SottocategorieEntrate[[#Headers],[Real Estate]],SottocategorieEntrate[[#Headers],[Other]]),"$ -","")</f>
        <v/>
      </c>
      <c r="P421" s="59" t="str">
        <f>IF(OR($I421&lt;&gt;SottocategorieEntrate[[#Headers],[Business Entrate]],$I421&lt;&gt;SottocategorieEntrate[[#Headers],[Varie Entrate]],$I421&lt;&gt;SottocategorieEntrate[[#Headers],[Real Estate]],$I421&lt;&gt;SottocategorieEntrate[[#Headers],[Other]]),"","$ -")</f>
        <v/>
      </c>
      <c r="Q421" s="59" t="str">
        <f>IF(Dati[[#This Row],[Categoria]]="Prelievo","€ -","")</f>
        <v/>
      </c>
      <c r="R421" s="244"/>
      <c r="S421" s="59" t="str">
        <f>IF(Dati[[#This Row],[Categoria]]="Savings",0,"")</f>
        <v/>
      </c>
      <c r="T421" s="59"/>
      <c r="U421" s="59"/>
      <c r="V421" s="59"/>
      <c r="W421" s="59"/>
      <c r="X421" s="59"/>
      <c r="Y421" s="59"/>
      <c r="Z421" s="59"/>
      <c r="AA421" s="59"/>
      <c r="AB421" s="59"/>
      <c r="AC421" s="59"/>
      <c r="AD421" s="59"/>
      <c r="AE421" s="59"/>
      <c r="AF421" s="59"/>
      <c r="AG421" s="59"/>
      <c r="AH421" s="59"/>
      <c r="AI421" s="59" t="str">
        <f>IF(SUM(Dati[[#This Row],[Inv. Business]:[Inv. Cryptocurrency]])=0," ",SUM(Dati[[#This Row],[Inv. Business]:[Inv. Cryptocurrency]]))</f>
        <v xml:space="preserve"> </v>
      </c>
      <c r="AJ421" s="59"/>
      <c r="AK421" s="59" t="str">
        <f>IF(SUM(Dati[[#This Row],[Inv. Gold]:[Mutuo]])=0," ",SUM(Dati[[#This Row],[Inv. Gold]:[Mutuo]]))</f>
        <v xml:space="preserve"> </v>
      </c>
      <c r="AL421" s="59"/>
      <c r="AM421" s="59"/>
    </row>
    <row r="422" spans="2:39" ht="16" customHeight="1" x14ac:dyDescent="0.35">
      <c r="B422">
        <f t="shared" si="18"/>
        <v>402</v>
      </c>
      <c r="C422" s="49">
        <v>45268</v>
      </c>
      <c r="D422" s="29">
        <f>DAY(Dati[[#This Row],[Data]])</f>
        <v>8</v>
      </c>
      <c r="E422" s="29" t="str">
        <f>IF(DAY(Data!$C$21:$C$1327)&gt;0,TEXT(Data!$C$21:$C$1327, "mmmm"),"")</f>
        <v>dicembre</v>
      </c>
      <c r="F422" s="29" t="str">
        <f>IF(DAY(Data!$C$21:$C$1327)&gt;0,TEXT(Data!$C$21:$C$1327, "aaaa"),"")</f>
        <v>2023</v>
      </c>
      <c r="I422" t="str">
        <f>IF(OR(H422=$B$5,H422=$B$6,H422=$B$7,H422=$B$8,H422=$B$9,H422=$B$10,H422=$B$11,H422=$B$12,H422=$B$13,H422=$B$14),SottocategorieUscite[[#Headers],[Fuori Casa]],IF(OR(H422=$C$5,H422=$C$6,H422=$C$7,H422=$C$8,H422=$C$9,H422=$C$10,H422=$C$11,H422=$C$12,H422=$C$13,H422=$C$14),SottocategorieUscite[[#Headers],[Varie Uscite]],IF(OR(H422=$D$5,H422=$D$6,H422=$D$7,H422=$D$8,H422=$D$9,H422=$D$10,H422=$D$11,H422=$D$12,H422=$D$13,H422=$D$14),SottocategorieUscite[[#Headers],[Personali]],IF(OR(H422=$E$5,H422=$E$6,H422=$E$7,H422=$E$8,H422=$E$9,H422=$E$10,H422=$E$11,H422=$E$12,H422=$E$13,H422=$E$14),SottocategorieUscite[[#Headers],[Lavoro]],IF(OR(H422=$F$5,H422=$F$6,H422=$F$7,H422=$F$8,H422=$F$9,H422=$F$10,H422=$F$11,H422=$F$12,H422=$F$13,H422=$F$14),SottocategorieUscite[[#Headers],[Casa]],IF(OR(H422=$G$5,H422=$G$6,H422=$G$7,H422=$G$8,H422=$G$9,H422=$G$10,H422=$G$11,H422=$G$12,H422=$G$13,H422=$G$14),SottocategorieUscite[[#Headers],[Utenze]],IF(OR(H422=$H$5,H422=$H$6,H422=$H$7,H422=$H$8,H422=$H$9,H422=$H$10,H422=$H$11,H422=$H$12,H422=$H$13,H422=$H$14),SottocategorieUscite[[#Headers],[Business Uscite]],IF(OR(H422=$I$5,H422=$I$6,H422=$I$7,H422=$I$8,H422=$I$9,H422=$I$10,H422=$I$11,H422=$I$12,H422=$I$13,H422=$I$14),SottocategorieUscite[[#Headers],[Banca]],IF(OR(H422=K$5,H422=K$6,H422=K$7,H422=K$8,H422=K$9,H422=K$10,H422=K$11,H422=K$12,H422=K$13,H422=K$14),SottocategorieEntrate[[#Headers],[Business Entrate]],IF(OR(H422=L$5,H422=L$6,H422=L$7,H422=L$8,H422=L$9,H422=L$10,H422=L$11,H422=L$12,H422=L$13,H422=L$14),SottocategorieEntrate[[#Headers],[Varie Entrate]],IF(OR(H422=M$5,H422=M$6,H422=M$7,H422=M$8,H422=M$9,H422=M$10,H422=M$11,H422=M$12,H422=M$13,H422=M$14),SottocategorieEntrate[[#Headers],[Real Estate]],IF(OR(H422=N$5,H422=N$6,H422=N$7,H422=N$8,H422=N$9,H422=N$10,H422=N$11,H422=N$12,H422=N$13,H422=N$14),SottocategorieEntrate[[#Headers],[Other]],""))))))))))))</f>
        <v/>
      </c>
      <c r="J422" t="str">
        <f>IF(OR(Dati[[#This Row],[Categoria]]="Bollette",Dati[[#This Row],[Categoria]]="Conto &amp; Carte BNL",Dati[[#This Row],[Categoria]]="Prelievo",Dati[[#This Row],[Categoria]]="Affitto",Dati[[#This Row],[Categoria]]="BNL(Interessi Creditori)"),"Carta",IF(Dati[[#This Row],[Categoria]]&lt;&gt;0,"Cash",""))</f>
        <v/>
      </c>
      <c r="K422" s="59" t="str">
        <f>IF(OR(Data!$I422=SottocategorieUscite[[#Headers],[Fuori Casa]],Data!$I422=SottocategorieUscite[[#Headers],[Varie Uscite]],Data!$I422=SottocategorieUscite[[#Headers],[Personali]],Data!$I422=SottocategorieUscite[[#Headers],[Lavoro]]),"$ -","")</f>
        <v/>
      </c>
      <c r="L422" s="59" t="str">
        <f>IF(OR(Data!$I422=SottocategorieUscite[[#Headers],[Casa]],Data!$I422=SottocategorieUscite[[#Headers],[Utenze]],Data!$I422=SottocategorieUscite[[#Headers],[Business Uscite]],Data!$I422=SottocategorieUscite[[#Headers],[Banca]]),"$ -","")</f>
        <v/>
      </c>
      <c r="M422" s="59" t="str">
        <f>IF(OR($I422&lt;&gt;SottocategorieUscite[[#Headers],[Fuori Casa]],$I422&lt;&gt;SottocategorieUscite[[#Headers],[Varie Uscite]],$I422&lt;&gt;SottocategorieUscite[[#Headers],[Personali]],$I422&lt;&gt;SottocategorieUscite[[#Headers],[Lavoro]],$I422&lt;&gt;SottocategorieUscite[[#Headers],[Casa]],$I422&lt;&gt;SottocategorieUscite[[#Headers],[Utenze]],$I422&lt;&gt;SottocategorieUscite[[#Headers],[Business Uscite]],$I422&lt;&gt;SottocategorieUscite[[#Headers],[Banca]]),"","$ -")</f>
        <v/>
      </c>
      <c r="N422" s="59" t="str">
        <f>IF(OR(Data!$I422=SottocategorieEntrate[[#Headers],[Business Entrate]],Data!$I422=SottocategorieEntrate[[#Headers],[Varie Entrate]]),"$ -","")</f>
        <v/>
      </c>
      <c r="O422" s="59" t="str">
        <f>IF(OR(Data!$I422=SottocategorieEntrate[[#Headers],[Real Estate]],SottocategorieEntrate[[#Headers],[Other]]),"$ -","")</f>
        <v/>
      </c>
      <c r="P422" s="59" t="str">
        <f>IF(OR($I422&lt;&gt;SottocategorieEntrate[[#Headers],[Business Entrate]],$I422&lt;&gt;SottocategorieEntrate[[#Headers],[Varie Entrate]],$I422&lt;&gt;SottocategorieEntrate[[#Headers],[Real Estate]],$I422&lt;&gt;SottocategorieEntrate[[#Headers],[Other]]),"","$ -")</f>
        <v/>
      </c>
      <c r="Q422" s="59" t="str">
        <f>IF(Dati[[#This Row],[Categoria]]="Prelievo","€ -","")</f>
        <v/>
      </c>
      <c r="R422" s="244"/>
      <c r="S422" s="59" t="str">
        <f>IF(Dati[[#This Row],[Categoria]]="Savings",0,"")</f>
        <v/>
      </c>
      <c r="T422" s="59"/>
      <c r="U422" s="59"/>
      <c r="V422" s="59"/>
      <c r="W422" s="59"/>
      <c r="X422" s="59"/>
      <c r="Y422" s="59"/>
      <c r="Z422" s="59"/>
      <c r="AA422" s="59"/>
      <c r="AB422" s="59"/>
      <c r="AC422" s="59"/>
      <c r="AD422" s="59"/>
      <c r="AE422" s="59"/>
      <c r="AF422" s="59"/>
      <c r="AG422" s="59"/>
      <c r="AH422" s="59"/>
      <c r="AI422" s="59" t="str">
        <f>IF(SUM(Dati[[#This Row],[Inv. Business]:[Inv. Cryptocurrency]])=0," ",SUM(Dati[[#This Row],[Inv. Business]:[Inv. Cryptocurrency]]))</f>
        <v xml:space="preserve"> </v>
      </c>
      <c r="AJ422" s="59"/>
      <c r="AK422" s="59" t="str">
        <f>IF(SUM(Dati[[#This Row],[Inv. Gold]:[Mutuo]])=0," ",SUM(Dati[[#This Row],[Inv. Gold]:[Mutuo]]))</f>
        <v xml:space="preserve"> </v>
      </c>
      <c r="AL422" s="59"/>
      <c r="AM422" s="59"/>
    </row>
    <row r="423" spans="2:39" ht="16" customHeight="1" x14ac:dyDescent="0.35">
      <c r="B423">
        <f t="shared" si="18"/>
        <v>403</v>
      </c>
      <c r="C423" s="49">
        <f>C420+1</f>
        <v>45269</v>
      </c>
      <c r="D423" s="29">
        <f>DAY(Dati[[#This Row],[Data]])</f>
        <v>9</v>
      </c>
      <c r="E423" s="29" t="str">
        <f>IF(DAY(Data!$C$21:$C$1327)&gt;0,TEXT(Data!$C$21:$C$1327, "mmmm"),"")</f>
        <v>dicembre</v>
      </c>
      <c r="F423" s="29" t="str">
        <f>IF(DAY(Data!$C$21:$C$1327)&gt;0,TEXT(Data!$C$21:$C$1327, "aaaa"),"")</f>
        <v>2023</v>
      </c>
      <c r="I423" t="str">
        <f>IF(OR(H423=$B$5,H423=$B$6,H423=$B$7,H423=$B$8,H423=$B$9,H423=$B$10,H423=$B$11,H423=$B$12,H423=$B$13,H423=$B$14),SottocategorieUscite[[#Headers],[Fuori Casa]],IF(OR(H423=$C$5,H423=$C$6,H423=$C$7,H423=$C$8,H423=$C$9,H423=$C$10,H423=$C$11,H423=$C$12,H423=$C$13,H423=$C$14),SottocategorieUscite[[#Headers],[Varie Uscite]],IF(OR(H423=$D$5,H423=$D$6,H423=$D$7,H423=$D$8,H423=$D$9,H423=$D$10,H423=$D$11,H423=$D$12,H423=$D$13,H423=$D$14),SottocategorieUscite[[#Headers],[Personali]],IF(OR(H423=$E$5,H423=$E$6,H423=$E$7,H423=$E$8,H423=$E$9,H423=$E$10,H423=$E$11,H423=$E$12,H423=$E$13,H423=$E$14),SottocategorieUscite[[#Headers],[Lavoro]],IF(OR(H423=$F$5,H423=$F$6,H423=$F$7,H423=$F$8,H423=$F$9,H423=$F$10,H423=$F$11,H423=$F$12,H423=$F$13,H423=$F$14),SottocategorieUscite[[#Headers],[Casa]],IF(OR(H423=$G$5,H423=$G$6,H423=$G$7,H423=$G$8,H423=$G$9,H423=$G$10,H423=$G$11,H423=$G$12,H423=$G$13,H423=$G$14),SottocategorieUscite[[#Headers],[Utenze]],IF(OR(H423=$H$5,H423=$H$6,H423=$H$7,H423=$H$8,H423=$H$9,H423=$H$10,H423=$H$11,H423=$H$12,H423=$H$13,H423=$H$14),SottocategorieUscite[[#Headers],[Business Uscite]],IF(OR(H423=$I$5,H423=$I$6,H423=$I$7,H423=$I$8,H423=$I$9,H423=$I$10,H423=$I$11,H423=$I$12,H423=$I$13,H423=$I$14),SottocategorieUscite[[#Headers],[Banca]],IF(OR(H423=K$5,H423=K$6,H423=K$7,H423=K$8,H423=K$9,H423=K$10,H423=K$11,H423=K$12,H423=K$13,H423=K$14),SottocategorieEntrate[[#Headers],[Business Entrate]],IF(OR(H423=L$5,H423=L$6,H423=L$7,H423=L$8,H423=L$9,H423=L$10,H423=L$11,H423=L$12,H423=L$13,H423=L$14),SottocategorieEntrate[[#Headers],[Varie Entrate]],IF(OR(H423=M$5,H423=M$6,H423=M$7,H423=M$8,H423=M$9,H423=M$10,H423=M$11,H423=M$12,H423=M$13,H423=M$14),SottocategorieEntrate[[#Headers],[Real Estate]],IF(OR(H423=N$5,H423=N$6,H423=N$7,H423=N$8,H423=N$9,H423=N$10,H423=N$11,H423=N$12,H423=N$13,H423=N$14),SottocategorieEntrate[[#Headers],[Other]],""))))))))))))</f>
        <v/>
      </c>
      <c r="J423" t="str">
        <f>IF(OR(Dati[[#This Row],[Categoria]]="Bollette",Dati[[#This Row],[Categoria]]="Conto &amp; Carte BNL",Dati[[#This Row],[Categoria]]="Prelievo",Dati[[#This Row],[Categoria]]="Affitto",Dati[[#This Row],[Categoria]]="BNL(Interessi Creditori)"),"Carta",IF(Dati[[#This Row],[Categoria]]&lt;&gt;0,"Cash",""))</f>
        <v/>
      </c>
      <c r="K423" s="59" t="str">
        <f>IF(OR(Data!$I423=SottocategorieUscite[[#Headers],[Fuori Casa]],Data!$I423=SottocategorieUscite[[#Headers],[Varie Uscite]],Data!$I423=SottocategorieUscite[[#Headers],[Personali]],Data!$I423=SottocategorieUscite[[#Headers],[Lavoro]]),"$ -","")</f>
        <v/>
      </c>
      <c r="L423" s="59" t="str">
        <f>IF(OR(Data!$I423=SottocategorieUscite[[#Headers],[Casa]],Data!$I423=SottocategorieUscite[[#Headers],[Utenze]],Data!$I423=SottocategorieUscite[[#Headers],[Business Uscite]],Data!$I423=SottocategorieUscite[[#Headers],[Banca]]),"$ -","")</f>
        <v/>
      </c>
      <c r="M423" s="59" t="str">
        <f>IF(OR($I423&lt;&gt;SottocategorieUscite[[#Headers],[Fuori Casa]],$I423&lt;&gt;SottocategorieUscite[[#Headers],[Varie Uscite]],$I423&lt;&gt;SottocategorieUscite[[#Headers],[Personali]],$I423&lt;&gt;SottocategorieUscite[[#Headers],[Lavoro]],$I423&lt;&gt;SottocategorieUscite[[#Headers],[Casa]],$I423&lt;&gt;SottocategorieUscite[[#Headers],[Utenze]],$I423&lt;&gt;SottocategorieUscite[[#Headers],[Business Uscite]],$I423&lt;&gt;SottocategorieUscite[[#Headers],[Banca]]),"","$ -")</f>
        <v/>
      </c>
      <c r="N423" s="59" t="str">
        <f>IF(OR(Data!$I423=SottocategorieEntrate[[#Headers],[Business Entrate]],Data!$I423=SottocategorieEntrate[[#Headers],[Varie Entrate]]),"$ -","")</f>
        <v/>
      </c>
      <c r="O423" s="59" t="str">
        <f>IF(OR(Data!$I423=SottocategorieEntrate[[#Headers],[Real Estate]],SottocategorieEntrate[[#Headers],[Other]]),"$ -","")</f>
        <v/>
      </c>
      <c r="P423" s="59" t="str">
        <f>IF(OR($I423&lt;&gt;SottocategorieEntrate[[#Headers],[Business Entrate]],$I423&lt;&gt;SottocategorieEntrate[[#Headers],[Varie Entrate]],$I423&lt;&gt;SottocategorieEntrate[[#Headers],[Real Estate]],$I423&lt;&gt;SottocategorieEntrate[[#Headers],[Other]]),"","$ -")</f>
        <v/>
      </c>
      <c r="Q423" s="59" t="str">
        <f>IF(Dati[[#This Row],[Categoria]]="Prelievo","€ -","")</f>
        <v/>
      </c>
      <c r="R423" s="244"/>
      <c r="S423" s="59" t="str">
        <f>IF(Dati[[#This Row],[Categoria]]="Savings",0,"")</f>
        <v/>
      </c>
      <c r="T423" s="59"/>
      <c r="U423" s="59"/>
      <c r="V423" s="59"/>
      <c r="W423" s="59"/>
      <c r="X423" s="59"/>
      <c r="Y423" s="59"/>
      <c r="Z423" s="59"/>
      <c r="AA423" s="59"/>
      <c r="AB423" s="59"/>
      <c r="AC423" s="59"/>
      <c r="AD423" s="59"/>
      <c r="AE423" s="59"/>
      <c r="AF423" s="59"/>
      <c r="AG423" s="59"/>
      <c r="AH423" s="59"/>
      <c r="AI423" s="59" t="str">
        <f>IF(SUM(Dati[[#This Row],[Inv. Business]:[Inv. Cryptocurrency]])=0," ",SUM(Dati[[#This Row],[Inv. Business]:[Inv. Cryptocurrency]]))</f>
        <v xml:space="preserve"> </v>
      </c>
      <c r="AJ423" s="59"/>
      <c r="AK423" s="59" t="str">
        <f>IF(SUM(Dati[[#This Row],[Inv. Gold]:[Mutuo]])=0," ",SUM(Dati[[#This Row],[Inv. Gold]:[Mutuo]]))</f>
        <v xml:space="preserve"> </v>
      </c>
      <c r="AL423" s="59"/>
      <c r="AM423" s="59"/>
    </row>
    <row r="424" spans="2:39" ht="16" customHeight="1" x14ac:dyDescent="0.35">
      <c r="B424">
        <f t="shared" si="18"/>
        <v>404</v>
      </c>
      <c r="C424" s="49">
        <f t="shared" si="17"/>
        <v>45270</v>
      </c>
      <c r="D424" s="29">
        <f>DAY(Dati[[#This Row],[Data]])</f>
        <v>10</v>
      </c>
      <c r="E424" s="29" t="str">
        <f>IF(DAY(Data!$C$21:$C$1327)&gt;0,TEXT(Data!$C$21:$C$1327, "mmmm"),"")</f>
        <v>dicembre</v>
      </c>
      <c r="F424" s="29" t="str">
        <f>IF(DAY(Data!$C$21:$C$1327)&gt;0,TEXT(Data!$C$21:$C$1327, "aaaa"),"")</f>
        <v>2023</v>
      </c>
      <c r="I424" t="str">
        <f>IF(OR(H424=$B$5,H424=$B$6,H424=$B$7,H424=$B$8,H424=$B$9,H424=$B$10,H424=$B$11,H424=$B$12,H424=$B$13,H424=$B$14),SottocategorieUscite[[#Headers],[Fuori Casa]],IF(OR(H424=$C$5,H424=$C$6,H424=$C$7,H424=$C$8,H424=$C$9,H424=$C$10,H424=$C$11,H424=$C$12,H424=$C$13,H424=$C$14),SottocategorieUscite[[#Headers],[Varie Uscite]],IF(OR(H424=$D$5,H424=$D$6,H424=$D$7,H424=$D$8,H424=$D$9,H424=$D$10,H424=$D$11,H424=$D$12,H424=$D$13,H424=$D$14),SottocategorieUscite[[#Headers],[Personali]],IF(OR(H424=$E$5,H424=$E$6,H424=$E$7,H424=$E$8,H424=$E$9,H424=$E$10,H424=$E$11,H424=$E$12,H424=$E$13,H424=$E$14),SottocategorieUscite[[#Headers],[Lavoro]],IF(OR(H424=$F$5,H424=$F$6,H424=$F$7,H424=$F$8,H424=$F$9,H424=$F$10,H424=$F$11,H424=$F$12,H424=$F$13,H424=$F$14),SottocategorieUscite[[#Headers],[Casa]],IF(OR(H424=$G$5,H424=$G$6,H424=$G$7,H424=$G$8,H424=$G$9,H424=$G$10,H424=$G$11,H424=$G$12,H424=$G$13,H424=$G$14),SottocategorieUscite[[#Headers],[Utenze]],IF(OR(H424=$H$5,H424=$H$6,H424=$H$7,H424=$H$8,H424=$H$9,H424=$H$10,H424=$H$11,H424=$H$12,H424=$H$13,H424=$H$14),SottocategorieUscite[[#Headers],[Business Uscite]],IF(OR(H424=$I$5,H424=$I$6,H424=$I$7,H424=$I$8,H424=$I$9,H424=$I$10,H424=$I$11,H424=$I$12,H424=$I$13,H424=$I$14),SottocategorieUscite[[#Headers],[Banca]],IF(OR(H424=K$5,H424=K$6,H424=K$7,H424=K$8,H424=K$9,H424=K$10,H424=K$11,H424=K$12,H424=K$13,H424=K$14),SottocategorieEntrate[[#Headers],[Business Entrate]],IF(OR(H424=L$5,H424=L$6,H424=L$7,H424=L$8,H424=L$9,H424=L$10,H424=L$11,H424=L$12,H424=L$13,H424=L$14),SottocategorieEntrate[[#Headers],[Varie Entrate]],IF(OR(H424=M$5,H424=M$6,H424=M$7,H424=M$8,H424=M$9,H424=M$10,H424=M$11,H424=M$12,H424=M$13,H424=M$14),SottocategorieEntrate[[#Headers],[Real Estate]],IF(OR(H424=N$5,H424=N$6,H424=N$7,H424=N$8,H424=N$9,H424=N$10,H424=N$11,H424=N$12,H424=N$13,H424=N$14),SottocategorieEntrate[[#Headers],[Other]],""))))))))))))</f>
        <v/>
      </c>
      <c r="J424" t="str">
        <f>IF(OR(Dati[[#This Row],[Categoria]]="Bollette",Dati[[#This Row],[Categoria]]="Conto &amp; Carte BNL",Dati[[#This Row],[Categoria]]="Prelievo",Dati[[#This Row],[Categoria]]="Affitto",Dati[[#This Row],[Categoria]]="BNL(Interessi Creditori)"),"Carta",IF(Dati[[#This Row],[Categoria]]&lt;&gt;0,"Cash",""))</f>
        <v/>
      </c>
      <c r="K424" s="59" t="str">
        <f>IF(OR(Data!$I424=SottocategorieUscite[[#Headers],[Fuori Casa]],Data!$I424=SottocategorieUscite[[#Headers],[Varie Uscite]],Data!$I424=SottocategorieUscite[[#Headers],[Personali]],Data!$I424=SottocategorieUscite[[#Headers],[Lavoro]]),"$ -","")</f>
        <v/>
      </c>
      <c r="L424" s="59" t="str">
        <f>IF(OR(Data!$I424=SottocategorieUscite[[#Headers],[Casa]],Data!$I424=SottocategorieUscite[[#Headers],[Utenze]],Data!$I424=SottocategorieUscite[[#Headers],[Business Uscite]],Data!$I424=SottocategorieUscite[[#Headers],[Banca]]),"$ -","")</f>
        <v/>
      </c>
      <c r="M424" s="59" t="str">
        <f>IF(OR($I424&lt;&gt;SottocategorieUscite[[#Headers],[Fuori Casa]],$I424&lt;&gt;SottocategorieUscite[[#Headers],[Varie Uscite]],$I424&lt;&gt;SottocategorieUscite[[#Headers],[Personali]],$I424&lt;&gt;SottocategorieUscite[[#Headers],[Lavoro]],$I424&lt;&gt;SottocategorieUscite[[#Headers],[Casa]],$I424&lt;&gt;SottocategorieUscite[[#Headers],[Utenze]],$I424&lt;&gt;SottocategorieUscite[[#Headers],[Business Uscite]],$I424&lt;&gt;SottocategorieUscite[[#Headers],[Banca]]),"","$ -")</f>
        <v/>
      </c>
      <c r="N424" s="59" t="str">
        <f>IF(OR(Data!$I424=SottocategorieEntrate[[#Headers],[Business Entrate]],Data!$I424=SottocategorieEntrate[[#Headers],[Varie Entrate]]),"$ -","")</f>
        <v/>
      </c>
      <c r="O424" s="59" t="str">
        <f>IF(OR(Data!$I424=SottocategorieEntrate[[#Headers],[Real Estate]],SottocategorieEntrate[[#Headers],[Other]]),"$ -","")</f>
        <v/>
      </c>
      <c r="P424" s="59" t="str">
        <f>IF(OR($I424&lt;&gt;SottocategorieEntrate[[#Headers],[Business Entrate]],$I424&lt;&gt;SottocategorieEntrate[[#Headers],[Varie Entrate]],$I424&lt;&gt;SottocategorieEntrate[[#Headers],[Real Estate]],$I424&lt;&gt;SottocategorieEntrate[[#Headers],[Other]]),"","$ -")</f>
        <v/>
      </c>
      <c r="Q424" s="59" t="str">
        <f>IF(Dati[[#This Row],[Categoria]]="Prelievo","€ -","")</f>
        <v/>
      </c>
      <c r="R424" s="244"/>
      <c r="S424" s="59" t="str">
        <f>IF(Dati[[#This Row],[Categoria]]="Savings",0,"")</f>
        <v/>
      </c>
      <c r="T424" s="59"/>
      <c r="U424" s="59"/>
      <c r="V424" s="59"/>
      <c r="W424" s="59"/>
      <c r="X424" s="59"/>
      <c r="Y424" s="59"/>
      <c r="Z424" s="59"/>
      <c r="AA424" s="59"/>
      <c r="AB424" s="59"/>
      <c r="AC424" s="59"/>
      <c r="AD424" s="59"/>
      <c r="AE424" s="59"/>
      <c r="AF424" s="59"/>
      <c r="AG424" s="59"/>
      <c r="AH424" s="59"/>
      <c r="AI424" s="59" t="str">
        <f>IF(SUM(Dati[[#This Row],[Inv. Business]:[Inv. Cryptocurrency]])=0," ",SUM(Dati[[#This Row],[Inv. Business]:[Inv. Cryptocurrency]]))</f>
        <v xml:space="preserve"> </v>
      </c>
      <c r="AJ424" s="59"/>
      <c r="AK424" s="59" t="str">
        <f>IF(SUM(Dati[[#This Row],[Inv. Gold]:[Mutuo]])=0," ",SUM(Dati[[#This Row],[Inv. Gold]:[Mutuo]]))</f>
        <v xml:space="preserve"> </v>
      </c>
      <c r="AL424" s="59"/>
      <c r="AM424" s="59"/>
    </row>
    <row r="425" spans="2:39" ht="16" customHeight="1" x14ac:dyDescent="0.35">
      <c r="B425">
        <f t="shared" si="18"/>
        <v>405</v>
      </c>
      <c r="C425" s="49">
        <f t="shared" si="17"/>
        <v>45271</v>
      </c>
      <c r="D425" s="29">
        <f>DAY(Dati[[#This Row],[Data]])</f>
        <v>11</v>
      </c>
      <c r="E425" s="29" t="str">
        <f>IF(DAY(Data!$C$21:$C$1327)&gt;0,TEXT(Data!$C$21:$C$1327, "mmmm"),"")</f>
        <v>dicembre</v>
      </c>
      <c r="F425" s="29" t="str">
        <f>IF(DAY(Data!$C$21:$C$1327)&gt;0,TEXT(Data!$C$21:$C$1327, "aaaa"),"")</f>
        <v>2023</v>
      </c>
      <c r="I425" t="str">
        <f>IF(OR(H425=$B$5,H425=$B$6,H425=$B$7,H425=$B$8,H425=$B$9,H425=$B$10,H425=$B$11,H425=$B$12,H425=$B$13,H425=$B$14),SottocategorieUscite[[#Headers],[Fuori Casa]],IF(OR(H425=$C$5,H425=$C$6,H425=$C$7,H425=$C$8,H425=$C$9,H425=$C$10,H425=$C$11,H425=$C$12,H425=$C$13,H425=$C$14),SottocategorieUscite[[#Headers],[Varie Uscite]],IF(OR(H425=$D$5,H425=$D$6,H425=$D$7,H425=$D$8,H425=$D$9,H425=$D$10,H425=$D$11,H425=$D$12,H425=$D$13,H425=$D$14),SottocategorieUscite[[#Headers],[Personali]],IF(OR(H425=$E$5,H425=$E$6,H425=$E$7,H425=$E$8,H425=$E$9,H425=$E$10,H425=$E$11,H425=$E$12,H425=$E$13,H425=$E$14),SottocategorieUscite[[#Headers],[Lavoro]],IF(OR(H425=$F$5,H425=$F$6,H425=$F$7,H425=$F$8,H425=$F$9,H425=$F$10,H425=$F$11,H425=$F$12,H425=$F$13,H425=$F$14),SottocategorieUscite[[#Headers],[Casa]],IF(OR(H425=$G$5,H425=$G$6,H425=$G$7,H425=$G$8,H425=$G$9,H425=$G$10,H425=$G$11,H425=$G$12,H425=$G$13,H425=$G$14),SottocategorieUscite[[#Headers],[Utenze]],IF(OR(H425=$H$5,H425=$H$6,H425=$H$7,H425=$H$8,H425=$H$9,H425=$H$10,H425=$H$11,H425=$H$12,H425=$H$13,H425=$H$14),SottocategorieUscite[[#Headers],[Business Uscite]],IF(OR(H425=$I$5,H425=$I$6,H425=$I$7,H425=$I$8,H425=$I$9,H425=$I$10,H425=$I$11,H425=$I$12,H425=$I$13,H425=$I$14),SottocategorieUscite[[#Headers],[Banca]],IF(OR(H425=K$5,H425=K$6,H425=K$7,H425=K$8,H425=K$9,H425=K$10,H425=K$11,H425=K$12,H425=K$13,H425=K$14),SottocategorieEntrate[[#Headers],[Business Entrate]],IF(OR(H425=L$5,H425=L$6,H425=L$7,H425=L$8,H425=L$9,H425=L$10,H425=L$11,H425=L$12,H425=L$13,H425=L$14),SottocategorieEntrate[[#Headers],[Varie Entrate]],IF(OR(H425=M$5,H425=M$6,H425=M$7,H425=M$8,H425=M$9,H425=M$10,H425=M$11,H425=M$12,H425=M$13,H425=M$14),SottocategorieEntrate[[#Headers],[Real Estate]],IF(OR(H425=N$5,H425=N$6,H425=N$7,H425=N$8,H425=N$9,H425=N$10,H425=N$11,H425=N$12,H425=N$13,H425=N$14),SottocategorieEntrate[[#Headers],[Other]],""))))))))))))</f>
        <v/>
      </c>
      <c r="J425" t="str">
        <f>IF(OR(Dati[[#This Row],[Categoria]]="Bollette",Dati[[#This Row],[Categoria]]="Conto &amp; Carte BNL",Dati[[#This Row],[Categoria]]="Prelievo",Dati[[#This Row],[Categoria]]="Affitto",Dati[[#This Row],[Categoria]]="BNL(Interessi Creditori)"),"Carta",IF(Dati[[#This Row],[Categoria]]&lt;&gt;0,"Cash",""))</f>
        <v/>
      </c>
      <c r="K425" s="59" t="str">
        <f>IF(OR(Data!$I425=SottocategorieUscite[[#Headers],[Fuori Casa]],Data!$I425=SottocategorieUscite[[#Headers],[Varie Uscite]],Data!$I425=SottocategorieUscite[[#Headers],[Personali]],Data!$I425=SottocategorieUscite[[#Headers],[Lavoro]]),"$ -","")</f>
        <v/>
      </c>
      <c r="L425" s="59" t="str">
        <f>IF(OR(Data!$I425=SottocategorieUscite[[#Headers],[Casa]],Data!$I425=SottocategorieUscite[[#Headers],[Utenze]],Data!$I425=SottocategorieUscite[[#Headers],[Business Uscite]],Data!$I425=SottocategorieUscite[[#Headers],[Banca]]),"$ -","")</f>
        <v/>
      </c>
      <c r="M425" s="59" t="str">
        <f>IF(OR($I425&lt;&gt;SottocategorieUscite[[#Headers],[Fuori Casa]],$I425&lt;&gt;SottocategorieUscite[[#Headers],[Varie Uscite]],$I425&lt;&gt;SottocategorieUscite[[#Headers],[Personali]],$I425&lt;&gt;SottocategorieUscite[[#Headers],[Lavoro]],$I425&lt;&gt;SottocategorieUscite[[#Headers],[Casa]],$I425&lt;&gt;SottocategorieUscite[[#Headers],[Utenze]],$I425&lt;&gt;SottocategorieUscite[[#Headers],[Business Uscite]],$I425&lt;&gt;SottocategorieUscite[[#Headers],[Banca]]),"","$ -")</f>
        <v/>
      </c>
      <c r="N425" s="59" t="str">
        <f>IF(OR(Data!$I425=SottocategorieEntrate[[#Headers],[Business Entrate]],Data!$I425=SottocategorieEntrate[[#Headers],[Varie Entrate]]),"$ -","")</f>
        <v/>
      </c>
      <c r="O425" s="59" t="str">
        <f>IF(OR(Data!$I425=SottocategorieEntrate[[#Headers],[Real Estate]],SottocategorieEntrate[[#Headers],[Other]]),"$ -","")</f>
        <v/>
      </c>
      <c r="P425" s="59" t="str">
        <f>IF(OR($I425&lt;&gt;SottocategorieEntrate[[#Headers],[Business Entrate]],$I425&lt;&gt;SottocategorieEntrate[[#Headers],[Varie Entrate]],$I425&lt;&gt;SottocategorieEntrate[[#Headers],[Real Estate]],$I425&lt;&gt;SottocategorieEntrate[[#Headers],[Other]]),"","$ -")</f>
        <v/>
      </c>
      <c r="Q425" s="59" t="str">
        <f>IF(Dati[[#This Row],[Categoria]]="Prelievo","€ -","")</f>
        <v/>
      </c>
      <c r="R425" s="244"/>
      <c r="S425" s="59" t="str">
        <f>IF(Dati[[#This Row],[Categoria]]="Savings",0,"")</f>
        <v/>
      </c>
      <c r="T425" s="59"/>
      <c r="U425" s="59"/>
      <c r="V425" s="59"/>
      <c r="W425" s="59"/>
      <c r="X425" s="59"/>
      <c r="Y425" s="59"/>
      <c r="Z425" s="59"/>
      <c r="AA425" s="59"/>
      <c r="AB425" s="59"/>
      <c r="AC425" s="59"/>
      <c r="AD425" s="59"/>
      <c r="AE425" s="59"/>
      <c r="AF425" s="59"/>
      <c r="AG425" s="59"/>
      <c r="AH425" s="59"/>
      <c r="AI425" s="59" t="str">
        <f>IF(SUM(Dati[[#This Row],[Inv. Business]:[Inv. Cryptocurrency]])=0," ",SUM(Dati[[#This Row],[Inv. Business]:[Inv. Cryptocurrency]]))</f>
        <v xml:space="preserve"> </v>
      </c>
      <c r="AJ425" s="59"/>
      <c r="AK425" s="59" t="str">
        <f>IF(SUM(Dati[[#This Row],[Inv. Gold]:[Mutuo]])=0," ",SUM(Dati[[#This Row],[Inv. Gold]:[Mutuo]]))</f>
        <v xml:space="preserve"> </v>
      </c>
      <c r="AL425" s="59"/>
      <c r="AM425" s="59"/>
    </row>
    <row r="426" spans="2:39" ht="16" customHeight="1" x14ac:dyDescent="0.35">
      <c r="B426">
        <f t="shared" si="18"/>
        <v>406</v>
      </c>
      <c r="C426" s="49">
        <f t="shared" si="17"/>
        <v>45272</v>
      </c>
      <c r="D426" s="29">
        <f>DAY(Dati[[#This Row],[Data]])</f>
        <v>12</v>
      </c>
      <c r="E426" s="29" t="str">
        <f>IF(DAY(Data!$C$21:$C$1327)&gt;0,TEXT(Data!$C$21:$C$1327, "mmmm"),"")</f>
        <v>dicembre</v>
      </c>
      <c r="F426" s="29" t="str">
        <f>IF(DAY(Data!$C$21:$C$1327)&gt;0,TEXT(Data!$C$21:$C$1327, "aaaa"),"")</f>
        <v>2023</v>
      </c>
      <c r="I426" t="str">
        <f>IF(OR(H426=$B$5,H426=$B$6,H426=$B$7,H426=$B$8,H426=$B$9,H426=$B$10,H426=$B$11,H426=$B$12,H426=$B$13,H426=$B$14),SottocategorieUscite[[#Headers],[Fuori Casa]],IF(OR(H426=$C$5,H426=$C$6,H426=$C$7,H426=$C$8,H426=$C$9,H426=$C$10,H426=$C$11,H426=$C$12,H426=$C$13,H426=$C$14),SottocategorieUscite[[#Headers],[Varie Uscite]],IF(OR(H426=$D$5,H426=$D$6,H426=$D$7,H426=$D$8,H426=$D$9,H426=$D$10,H426=$D$11,H426=$D$12,H426=$D$13,H426=$D$14),SottocategorieUscite[[#Headers],[Personali]],IF(OR(H426=$E$5,H426=$E$6,H426=$E$7,H426=$E$8,H426=$E$9,H426=$E$10,H426=$E$11,H426=$E$12,H426=$E$13,H426=$E$14),SottocategorieUscite[[#Headers],[Lavoro]],IF(OR(H426=$F$5,H426=$F$6,H426=$F$7,H426=$F$8,H426=$F$9,H426=$F$10,H426=$F$11,H426=$F$12,H426=$F$13,H426=$F$14),SottocategorieUscite[[#Headers],[Casa]],IF(OR(H426=$G$5,H426=$G$6,H426=$G$7,H426=$G$8,H426=$G$9,H426=$G$10,H426=$G$11,H426=$G$12,H426=$G$13,H426=$G$14),SottocategorieUscite[[#Headers],[Utenze]],IF(OR(H426=$H$5,H426=$H$6,H426=$H$7,H426=$H$8,H426=$H$9,H426=$H$10,H426=$H$11,H426=$H$12,H426=$H$13,H426=$H$14),SottocategorieUscite[[#Headers],[Business Uscite]],IF(OR(H426=$I$5,H426=$I$6,H426=$I$7,H426=$I$8,H426=$I$9,H426=$I$10,H426=$I$11,H426=$I$12,H426=$I$13,H426=$I$14),SottocategorieUscite[[#Headers],[Banca]],IF(OR(H426=K$5,H426=K$6,H426=K$7,H426=K$8,H426=K$9,H426=K$10,H426=K$11,H426=K$12,H426=K$13,H426=K$14),SottocategorieEntrate[[#Headers],[Business Entrate]],IF(OR(H426=L$5,H426=L$6,H426=L$7,H426=L$8,H426=L$9,H426=L$10,H426=L$11,H426=L$12,H426=L$13,H426=L$14),SottocategorieEntrate[[#Headers],[Varie Entrate]],IF(OR(H426=M$5,H426=M$6,H426=M$7,H426=M$8,H426=M$9,H426=M$10,H426=M$11,H426=M$12,H426=M$13,H426=M$14),SottocategorieEntrate[[#Headers],[Real Estate]],IF(OR(H426=N$5,H426=N$6,H426=N$7,H426=N$8,H426=N$9,H426=N$10,H426=N$11,H426=N$12,H426=N$13,H426=N$14),SottocategorieEntrate[[#Headers],[Other]],""))))))))))))</f>
        <v/>
      </c>
      <c r="J426" t="str">
        <f>IF(OR(Dati[[#This Row],[Categoria]]="Bollette",Dati[[#This Row],[Categoria]]="Conto &amp; Carte BNL",Dati[[#This Row],[Categoria]]="Prelievo",Dati[[#This Row],[Categoria]]="Affitto",Dati[[#This Row],[Categoria]]="BNL(Interessi Creditori)"),"Carta",IF(Dati[[#This Row],[Categoria]]&lt;&gt;0,"Cash",""))</f>
        <v/>
      </c>
      <c r="K426" s="59" t="str">
        <f>IF(OR(Data!$I426=SottocategorieUscite[[#Headers],[Fuori Casa]],Data!$I426=SottocategorieUscite[[#Headers],[Varie Uscite]],Data!$I426=SottocategorieUscite[[#Headers],[Personali]],Data!$I426=SottocategorieUscite[[#Headers],[Lavoro]]),"$ -","")</f>
        <v/>
      </c>
      <c r="L426" s="59" t="str">
        <f>IF(OR(Data!$I426=SottocategorieUscite[[#Headers],[Casa]],Data!$I426=SottocategorieUscite[[#Headers],[Utenze]],Data!$I426=SottocategorieUscite[[#Headers],[Business Uscite]],Data!$I426=SottocategorieUscite[[#Headers],[Banca]]),"$ -","")</f>
        <v/>
      </c>
      <c r="M426" s="59" t="str">
        <f>IF(OR($I426&lt;&gt;SottocategorieUscite[[#Headers],[Fuori Casa]],$I426&lt;&gt;SottocategorieUscite[[#Headers],[Varie Uscite]],$I426&lt;&gt;SottocategorieUscite[[#Headers],[Personali]],$I426&lt;&gt;SottocategorieUscite[[#Headers],[Lavoro]],$I426&lt;&gt;SottocategorieUscite[[#Headers],[Casa]],$I426&lt;&gt;SottocategorieUscite[[#Headers],[Utenze]],$I426&lt;&gt;SottocategorieUscite[[#Headers],[Business Uscite]],$I426&lt;&gt;SottocategorieUscite[[#Headers],[Banca]]),"","$ -")</f>
        <v/>
      </c>
      <c r="N426" s="59" t="str">
        <f>IF(OR(Data!$I426=SottocategorieEntrate[[#Headers],[Business Entrate]],Data!$I426=SottocategorieEntrate[[#Headers],[Varie Entrate]]),"$ -","")</f>
        <v/>
      </c>
      <c r="O426" s="59" t="str">
        <f>IF(OR(Data!$I426=SottocategorieEntrate[[#Headers],[Real Estate]],SottocategorieEntrate[[#Headers],[Other]]),"$ -","")</f>
        <v/>
      </c>
      <c r="P426" s="59" t="str">
        <f>IF(OR($I426&lt;&gt;SottocategorieEntrate[[#Headers],[Business Entrate]],$I426&lt;&gt;SottocategorieEntrate[[#Headers],[Varie Entrate]],$I426&lt;&gt;SottocategorieEntrate[[#Headers],[Real Estate]],$I426&lt;&gt;SottocategorieEntrate[[#Headers],[Other]]),"","$ -")</f>
        <v/>
      </c>
      <c r="Q426" s="59" t="str">
        <f>IF(Dati[[#This Row],[Categoria]]="Prelievo","€ -","")</f>
        <v/>
      </c>
      <c r="R426" s="244"/>
      <c r="S426" s="59" t="str">
        <f>IF(Dati[[#This Row],[Categoria]]="Savings",0,"")</f>
        <v/>
      </c>
      <c r="T426" s="59"/>
      <c r="U426" s="59"/>
      <c r="V426" s="59"/>
      <c r="W426" s="59"/>
      <c r="X426" s="59"/>
      <c r="Y426" s="59"/>
      <c r="Z426" s="59"/>
      <c r="AA426" s="59"/>
      <c r="AB426" s="59"/>
      <c r="AC426" s="59"/>
      <c r="AD426" s="59"/>
      <c r="AE426" s="59"/>
      <c r="AF426" s="59"/>
      <c r="AG426" s="59"/>
      <c r="AH426" s="59"/>
      <c r="AI426" s="59" t="str">
        <f>IF(SUM(Dati[[#This Row],[Inv. Business]:[Inv. Cryptocurrency]])=0," ",SUM(Dati[[#This Row],[Inv. Business]:[Inv. Cryptocurrency]]))</f>
        <v xml:space="preserve"> </v>
      </c>
      <c r="AJ426" s="59"/>
      <c r="AK426" s="59" t="str">
        <f>IF(SUM(Dati[[#This Row],[Inv. Gold]:[Mutuo]])=0," ",SUM(Dati[[#This Row],[Inv. Gold]:[Mutuo]]))</f>
        <v xml:space="preserve"> </v>
      </c>
      <c r="AL426" s="59"/>
      <c r="AM426" s="59"/>
    </row>
    <row r="427" spans="2:39" ht="16" customHeight="1" x14ac:dyDescent="0.35">
      <c r="B427">
        <f t="shared" si="18"/>
        <v>407</v>
      </c>
      <c r="C427" s="49">
        <f t="shared" si="17"/>
        <v>45273</v>
      </c>
      <c r="D427" s="29">
        <f>DAY(Dati[[#This Row],[Data]])</f>
        <v>13</v>
      </c>
      <c r="E427" s="29" t="str">
        <f>IF(DAY(Data!$C$21:$C$1327)&gt;0,TEXT(Data!$C$21:$C$1327, "mmmm"),"")</f>
        <v>dicembre</v>
      </c>
      <c r="F427" s="29" t="str">
        <f>IF(DAY(Data!$C$21:$C$1327)&gt;0,TEXT(Data!$C$21:$C$1327, "aaaa"),"")</f>
        <v>2023</v>
      </c>
      <c r="I427" t="str">
        <f>IF(OR(H427=$B$5,H427=$B$6,H427=$B$7,H427=$B$8,H427=$B$9,H427=$B$10,H427=$B$11,H427=$B$12,H427=$B$13,H427=$B$14),SottocategorieUscite[[#Headers],[Fuori Casa]],IF(OR(H427=$C$5,H427=$C$6,H427=$C$7,H427=$C$8,H427=$C$9,H427=$C$10,H427=$C$11,H427=$C$12,H427=$C$13,H427=$C$14),SottocategorieUscite[[#Headers],[Varie Uscite]],IF(OR(H427=$D$5,H427=$D$6,H427=$D$7,H427=$D$8,H427=$D$9,H427=$D$10,H427=$D$11,H427=$D$12,H427=$D$13,H427=$D$14),SottocategorieUscite[[#Headers],[Personali]],IF(OR(H427=$E$5,H427=$E$6,H427=$E$7,H427=$E$8,H427=$E$9,H427=$E$10,H427=$E$11,H427=$E$12,H427=$E$13,H427=$E$14),SottocategorieUscite[[#Headers],[Lavoro]],IF(OR(H427=$F$5,H427=$F$6,H427=$F$7,H427=$F$8,H427=$F$9,H427=$F$10,H427=$F$11,H427=$F$12,H427=$F$13,H427=$F$14),SottocategorieUscite[[#Headers],[Casa]],IF(OR(H427=$G$5,H427=$G$6,H427=$G$7,H427=$G$8,H427=$G$9,H427=$G$10,H427=$G$11,H427=$G$12,H427=$G$13,H427=$G$14),SottocategorieUscite[[#Headers],[Utenze]],IF(OR(H427=$H$5,H427=$H$6,H427=$H$7,H427=$H$8,H427=$H$9,H427=$H$10,H427=$H$11,H427=$H$12,H427=$H$13,H427=$H$14),SottocategorieUscite[[#Headers],[Business Uscite]],IF(OR(H427=$I$5,H427=$I$6,H427=$I$7,H427=$I$8,H427=$I$9,H427=$I$10,H427=$I$11,H427=$I$12,H427=$I$13,H427=$I$14),SottocategorieUscite[[#Headers],[Banca]],IF(OR(H427=K$5,H427=K$6,H427=K$7,H427=K$8,H427=K$9,H427=K$10,H427=K$11,H427=K$12,H427=K$13,H427=K$14),SottocategorieEntrate[[#Headers],[Business Entrate]],IF(OR(H427=L$5,H427=L$6,H427=L$7,H427=L$8,H427=L$9,H427=L$10,H427=L$11,H427=L$12,H427=L$13,H427=L$14),SottocategorieEntrate[[#Headers],[Varie Entrate]],IF(OR(H427=M$5,H427=M$6,H427=M$7,H427=M$8,H427=M$9,H427=M$10,H427=M$11,H427=M$12,H427=M$13,H427=M$14),SottocategorieEntrate[[#Headers],[Real Estate]],IF(OR(H427=N$5,H427=N$6,H427=N$7,H427=N$8,H427=N$9,H427=N$10,H427=N$11,H427=N$12,H427=N$13,H427=N$14),SottocategorieEntrate[[#Headers],[Other]],""))))))))))))</f>
        <v/>
      </c>
      <c r="J427" t="str">
        <f>IF(OR(Dati[[#This Row],[Categoria]]="Bollette",Dati[[#This Row],[Categoria]]="Conto &amp; Carte BNL",Dati[[#This Row],[Categoria]]="Prelievo",Dati[[#This Row],[Categoria]]="Affitto",Dati[[#This Row],[Categoria]]="BNL(Interessi Creditori)"),"Carta",IF(Dati[[#This Row],[Categoria]]&lt;&gt;0,"Cash",""))</f>
        <v/>
      </c>
      <c r="K427" s="59" t="str">
        <f>IF(OR(Data!$I427=SottocategorieUscite[[#Headers],[Fuori Casa]],Data!$I427=SottocategorieUscite[[#Headers],[Varie Uscite]],Data!$I427=SottocategorieUscite[[#Headers],[Personali]],Data!$I427=SottocategorieUscite[[#Headers],[Lavoro]]),"$ -","")</f>
        <v/>
      </c>
      <c r="L427" s="59" t="str">
        <f>IF(OR(Data!$I427=SottocategorieUscite[[#Headers],[Casa]],Data!$I427=SottocategorieUscite[[#Headers],[Utenze]],Data!$I427=SottocategorieUscite[[#Headers],[Business Uscite]],Data!$I427=SottocategorieUscite[[#Headers],[Banca]]),"$ -","")</f>
        <v/>
      </c>
      <c r="M427" s="59" t="str">
        <f>IF(OR($I427&lt;&gt;SottocategorieUscite[[#Headers],[Fuori Casa]],$I427&lt;&gt;SottocategorieUscite[[#Headers],[Varie Uscite]],$I427&lt;&gt;SottocategorieUscite[[#Headers],[Personali]],$I427&lt;&gt;SottocategorieUscite[[#Headers],[Lavoro]],$I427&lt;&gt;SottocategorieUscite[[#Headers],[Casa]],$I427&lt;&gt;SottocategorieUscite[[#Headers],[Utenze]],$I427&lt;&gt;SottocategorieUscite[[#Headers],[Business Uscite]],$I427&lt;&gt;SottocategorieUscite[[#Headers],[Banca]]),"","$ -")</f>
        <v/>
      </c>
      <c r="N427" s="59" t="str">
        <f>IF(OR(Data!$I427=SottocategorieEntrate[[#Headers],[Business Entrate]],Data!$I427=SottocategorieEntrate[[#Headers],[Varie Entrate]]),"$ -","")</f>
        <v/>
      </c>
      <c r="O427" s="59" t="str">
        <f>IF(OR(Data!$I427=SottocategorieEntrate[[#Headers],[Real Estate]],SottocategorieEntrate[[#Headers],[Other]]),"$ -","")</f>
        <v/>
      </c>
      <c r="P427" s="59" t="str">
        <f>IF(OR($I427&lt;&gt;SottocategorieEntrate[[#Headers],[Business Entrate]],$I427&lt;&gt;SottocategorieEntrate[[#Headers],[Varie Entrate]],$I427&lt;&gt;SottocategorieEntrate[[#Headers],[Real Estate]],$I427&lt;&gt;SottocategorieEntrate[[#Headers],[Other]]),"","$ -")</f>
        <v/>
      </c>
      <c r="Q427" s="59" t="str">
        <f>IF(Dati[[#This Row],[Categoria]]="Prelievo","€ -","")</f>
        <v/>
      </c>
      <c r="R427" s="244"/>
      <c r="S427" s="59" t="str">
        <f>IF(Dati[[#This Row],[Categoria]]="Savings",0,"")</f>
        <v/>
      </c>
      <c r="T427" s="59"/>
      <c r="U427" s="59"/>
      <c r="V427" s="59"/>
      <c r="W427" s="59"/>
      <c r="X427" s="59"/>
      <c r="Y427" s="59"/>
      <c r="Z427" s="59"/>
      <c r="AA427" s="59"/>
      <c r="AB427" s="59"/>
      <c r="AC427" s="59"/>
      <c r="AD427" s="59"/>
      <c r="AE427" s="59"/>
      <c r="AF427" s="59"/>
      <c r="AG427" s="59"/>
      <c r="AH427" s="59"/>
      <c r="AI427" s="59" t="str">
        <f>IF(SUM(Dati[[#This Row],[Inv. Business]:[Inv. Cryptocurrency]])=0," ",SUM(Dati[[#This Row],[Inv. Business]:[Inv. Cryptocurrency]]))</f>
        <v xml:space="preserve"> </v>
      </c>
      <c r="AJ427" s="59"/>
      <c r="AK427" s="59" t="str">
        <f>IF(SUM(Dati[[#This Row],[Inv. Gold]:[Mutuo]])=0," ",SUM(Dati[[#This Row],[Inv. Gold]:[Mutuo]]))</f>
        <v xml:space="preserve"> </v>
      </c>
      <c r="AL427" s="59"/>
      <c r="AM427" s="59"/>
    </row>
    <row r="428" spans="2:39" ht="16" customHeight="1" x14ac:dyDescent="0.35">
      <c r="B428">
        <f t="shared" si="18"/>
        <v>408</v>
      </c>
      <c r="C428" s="49">
        <f t="shared" si="17"/>
        <v>45274</v>
      </c>
      <c r="D428" s="29">
        <f>DAY(Dati[[#This Row],[Data]])</f>
        <v>14</v>
      </c>
      <c r="E428" s="29" t="str">
        <f>IF(DAY(Data!$C$21:$C$1327)&gt;0,TEXT(Data!$C$21:$C$1327, "mmmm"),"")</f>
        <v>dicembre</v>
      </c>
      <c r="F428" s="29" t="str">
        <f>IF(DAY(Data!$C$21:$C$1327)&gt;0,TEXT(Data!$C$21:$C$1327, "aaaa"),"")</f>
        <v>2023</v>
      </c>
      <c r="I428" t="str">
        <f>IF(OR(H428=$B$5,H428=$B$6,H428=$B$7,H428=$B$8,H428=$B$9,H428=$B$10,H428=$B$11,H428=$B$12,H428=$B$13,H428=$B$14),SottocategorieUscite[[#Headers],[Fuori Casa]],IF(OR(H428=$C$5,H428=$C$6,H428=$C$7,H428=$C$8,H428=$C$9,H428=$C$10,H428=$C$11,H428=$C$12,H428=$C$13,H428=$C$14),SottocategorieUscite[[#Headers],[Varie Uscite]],IF(OR(H428=$D$5,H428=$D$6,H428=$D$7,H428=$D$8,H428=$D$9,H428=$D$10,H428=$D$11,H428=$D$12,H428=$D$13,H428=$D$14),SottocategorieUscite[[#Headers],[Personali]],IF(OR(H428=$E$5,H428=$E$6,H428=$E$7,H428=$E$8,H428=$E$9,H428=$E$10,H428=$E$11,H428=$E$12,H428=$E$13,H428=$E$14),SottocategorieUscite[[#Headers],[Lavoro]],IF(OR(H428=$F$5,H428=$F$6,H428=$F$7,H428=$F$8,H428=$F$9,H428=$F$10,H428=$F$11,H428=$F$12,H428=$F$13,H428=$F$14),SottocategorieUscite[[#Headers],[Casa]],IF(OR(H428=$G$5,H428=$G$6,H428=$G$7,H428=$G$8,H428=$G$9,H428=$G$10,H428=$G$11,H428=$G$12,H428=$G$13,H428=$G$14),SottocategorieUscite[[#Headers],[Utenze]],IF(OR(H428=$H$5,H428=$H$6,H428=$H$7,H428=$H$8,H428=$H$9,H428=$H$10,H428=$H$11,H428=$H$12,H428=$H$13,H428=$H$14),SottocategorieUscite[[#Headers],[Business Uscite]],IF(OR(H428=$I$5,H428=$I$6,H428=$I$7,H428=$I$8,H428=$I$9,H428=$I$10,H428=$I$11,H428=$I$12,H428=$I$13,H428=$I$14),SottocategorieUscite[[#Headers],[Banca]],IF(OR(H428=K$5,H428=K$6,H428=K$7,H428=K$8,H428=K$9,H428=K$10,H428=K$11,H428=K$12,H428=K$13,H428=K$14),SottocategorieEntrate[[#Headers],[Business Entrate]],IF(OR(H428=L$5,H428=L$6,H428=L$7,H428=L$8,H428=L$9,H428=L$10,H428=L$11,H428=L$12,H428=L$13,H428=L$14),SottocategorieEntrate[[#Headers],[Varie Entrate]],IF(OR(H428=M$5,H428=M$6,H428=M$7,H428=M$8,H428=M$9,H428=M$10,H428=M$11,H428=M$12,H428=M$13,H428=M$14),SottocategorieEntrate[[#Headers],[Real Estate]],IF(OR(H428=N$5,H428=N$6,H428=N$7,H428=N$8,H428=N$9,H428=N$10,H428=N$11,H428=N$12,H428=N$13,H428=N$14),SottocategorieEntrate[[#Headers],[Other]],""))))))))))))</f>
        <v/>
      </c>
      <c r="J428" t="str">
        <f>IF(OR(Dati[[#This Row],[Categoria]]="Bollette",Dati[[#This Row],[Categoria]]="Conto &amp; Carte BNL",Dati[[#This Row],[Categoria]]="Prelievo",Dati[[#This Row],[Categoria]]="Affitto",Dati[[#This Row],[Categoria]]="BNL(Interessi Creditori)"),"Carta",IF(Dati[[#This Row],[Categoria]]&lt;&gt;0,"Cash",""))</f>
        <v/>
      </c>
      <c r="K428" s="59" t="str">
        <f>IF(OR(Data!$I428=SottocategorieUscite[[#Headers],[Fuori Casa]],Data!$I428=SottocategorieUscite[[#Headers],[Varie Uscite]],Data!$I428=SottocategorieUscite[[#Headers],[Personali]],Data!$I428=SottocategorieUscite[[#Headers],[Lavoro]]),"$ -","")</f>
        <v/>
      </c>
      <c r="L428" s="59" t="str">
        <f>IF(OR(Data!$I428=SottocategorieUscite[[#Headers],[Casa]],Data!$I428=SottocategorieUscite[[#Headers],[Utenze]],Data!$I428=SottocategorieUscite[[#Headers],[Business Uscite]],Data!$I428=SottocategorieUscite[[#Headers],[Banca]]),"$ -","")</f>
        <v/>
      </c>
      <c r="M428" s="59" t="str">
        <f>IF(OR($I428&lt;&gt;SottocategorieUscite[[#Headers],[Fuori Casa]],$I428&lt;&gt;SottocategorieUscite[[#Headers],[Varie Uscite]],$I428&lt;&gt;SottocategorieUscite[[#Headers],[Personali]],$I428&lt;&gt;SottocategorieUscite[[#Headers],[Lavoro]],$I428&lt;&gt;SottocategorieUscite[[#Headers],[Casa]],$I428&lt;&gt;SottocategorieUscite[[#Headers],[Utenze]],$I428&lt;&gt;SottocategorieUscite[[#Headers],[Business Uscite]],$I428&lt;&gt;SottocategorieUscite[[#Headers],[Banca]]),"","$ -")</f>
        <v/>
      </c>
      <c r="N428" s="59" t="str">
        <f>IF(OR(Data!$I428=SottocategorieEntrate[[#Headers],[Business Entrate]],Data!$I428=SottocategorieEntrate[[#Headers],[Varie Entrate]]),"$ -","")</f>
        <v/>
      </c>
      <c r="O428" s="59" t="str">
        <f>IF(OR(Data!$I428=SottocategorieEntrate[[#Headers],[Real Estate]],SottocategorieEntrate[[#Headers],[Other]]),"$ -","")</f>
        <v/>
      </c>
      <c r="P428" s="59" t="str">
        <f>IF(OR($I428&lt;&gt;SottocategorieEntrate[[#Headers],[Business Entrate]],$I428&lt;&gt;SottocategorieEntrate[[#Headers],[Varie Entrate]],$I428&lt;&gt;SottocategorieEntrate[[#Headers],[Real Estate]],$I428&lt;&gt;SottocategorieEntrate[[#Headers],[Other]]),"","$ -")</f>
        <v/>
      </c>
      <c r="Q428" s="59" t="str">
        <f>IF(Dati[[#This Row],[Categoria]]="Prelievo","€ -","")</f>
        <v/>
      </c>
      <c r="R428" s="244"/>
      <c r="S428" s="59" t="str">
        <f>IF(Dati[[#This Row],[Categoria]]="Savings",0,"")</f>
        <v/>
      </c>
      <c r="T428" s="59"/>
      <c r="U428" s="59"/>
      <c r="V428" s="59"/>
      <c r="W428" s="59"/>
      <c r="X428" s="59"/>
      <c r="Y428" s="59"/>
      <c r="Z428" s="59"/>
      <c r="AA428" s="59"/>
      <c r="AB428" s="59"/>
      <c r="AC428" s="59"/>
      <c r="AD428" s="59"/>
      <c r="AE428" s="59"/>
      <c r="AF428" s="59"/>
      <c r="AG428" s="59"/>
      <c r="AH428" s="59"/>
      <c r="AI428" s="59" t="str">
        <f>IF(SUM(Dati[[#This Row],[Inv. Business]:[Inv. Cryptocurrency]])=0," ",SUM(Dati[[#This Row],[Inv. Business]:[Inv. Cryptocurrency]]))</f>
        <v xml:space="preserve"> </v>
      </c>
      <c r="AJ428" s="59"/>
      <c r="AK428" s="59" t="str">
        <f>IF(SUM(Dati[[#This Row],[Inv. Gold]:[Mutuo]])=0," ",SUM(Dati[[#This Row],[Inv. Gold]:[Mutuo]]))</f>
        <v xml:space="preserve"> </v>
      </c>
      <c r="AL428" s="59"/>
      <c r="AM428" s="59"/>
    </row>
    <row r="429" spans="2:39" ht="16" customHeight="1" x14ac:dyDescent="0.35">
      <c r="B429">
        <f t="shared" si="18"/>
        <v>409</v>
      </c>
      <c r="C429" s="49">
        <v>45274</v>
      </c>
      <c r="D429" s="29">
        <f>DAY(Dati[[#This Row],[Data]])</f>
        <v>14</v>
      </c>
      <c r="E429" s="29" t="str">
        <f>IF(DAY(Data!$C$21:$C$1327)&gt;0,TEXT(Data!$C$21:$C$1327, "mmmm"),"")</f>
        <v>dicembre</v>
      </c>
      <c r="F429" s="29" t="str">
        <f>IF(DAY(Data!$C$21:$C$1327)&gt;0,TEXT(Data!$C$21:$C$1327, "aaaa"),"")</f>
        <v>2023</v>
      </c>
      <c r="I429" t="str">
        <f>IF(OR(H429=$B$5,H429=$B$6,H429=$B$7,H429=$B$8,H429=$B$9,H429=$B$10,H429=$B$11,H429=$B$12,H429=$B$13,H429=$B$14),SottocategorieUscite[[#Headers],[Fuori Casa]],IF(OR(H429=$C$5,H429=$C$6,H429=$C$7,H429=$C$8,H429=$C$9,H429=$C$10,H429=$C$11,H429=$C$12,H429=$C$13,H429=$C$14),SottocategorieUscite[[#Headers],[Varie Uscite]],IF(OR(H429=$D$5,H429=$D$6,H429=$D$7,H429=$D$8,H429=$D$9,H429=$D$10,H429=$D$11,H429=$D$12,H429=$D$13,H429=$D$14),SottocategorieUscite[[#Headers],[Personali]],IF(OR(H429=$E$5,H429=$E$6,H429=$E$7,H429=$E$8,H429=$E$9,H429=$E$10,H429=$E$11,H429=$E$12,H429=$E$13,H429=$E$14),SottocategorieUscite[[#Headers],[Lavoro]],IF(OR(H429=$F$5,H429=$F$6,H429=$F$7,H429=$F$8,H429=$F$9,H429=$F$10,H429=$F$11,H429=$F$12,H429=$F$13,H429=$F$14),SottocategorieUscite[[#Headers],[Casa]],IF(OR(H429=$G$5,H429=$G$6,H429=$G$7,H429=$G$8,H429=$G$9,H429=$G$10,H429=$G$11,H429=$G$12,H429=$G$13,H429=$G$14),SottocategorieUscite[[#Headers],[Utenze]],IF(OR(H429=$H$5,H429=$H$6,H429=$H$7,H429=$H$8,H429=$H$9,H429=$H$10,H429=$H$11,H429=$H$12,H429=$H$13,H429=$H$14),SottocategorieUscite[[#Headers],[Business Uscite]],IF(OR(H429=$I$5,H429=$I$6,H429=$I$7,H429=$I$8,H429=$I$9,H429=$I$10,H429=$I$11,H429=$I$12,H429=$I$13,H429=$I$14),SottocategorieUscite[[#Headers],[Banca]],IF(OR(H429=K$5,H429=K$6,H429=K$7,H429=K$8,H429=K$9,H429=K$10,H429=K$11,H429=K$12,H429=K$13,H429=K$14),SottocategorieEntrate[[#Headers],[Business Entrate]],IF(OR(H429=L$5,H429=L$6,H429=L$7,H429=L$8,H429=L$9,H429=L$10,H429=L$11,H429=L$12,H429=L$13,H429=L$14),SottocategorieEntrate[[#Headers],[Varie Entrate]],IF(OR(H429=M$5,H429=M$6,H429=M$7,H429=M$8,H429=M$9,H429=M$10,H429=M$11,H429=M$12,H429=M$13,H429=M$14),SottocategorieEntrate[[#Headers],[Real Estate]],IF(OR(H429=N$5,H429=N$6,H429=N$7,H429=N$8,H429=N$9,H429=N$10,H429=N$11,H429=N$12,H429=N$13,H429=N$14),SottocategorieEntrate[[#Headers],[Other]],""))))))))))))</f>
        <v/>
      </c>
      <c r="J429" t="str">
        <f>IF(OR(Dati[[#This Row],[Categoria]]="Bollette",Dati[[#This Row],[Categoria]]="Conto &amp; Carte BNL",Dati[[#This Row],[Categoria]]="Prelievo",Dati[[#This Row],[Categoria]]="Affitto",Dati[[#This Row],[Categoria]]="BNL(Interessi Creditori)"),"Carta",IF(Dati[[#This Row],[Categoria]]&lt;&gt;0,"Cash",""))</f>
        <v/>
      </c>
      <c r="K429" s="59" t="str">
        <f>IF(OR(Data!$I429=SottocategorieUscite[[#Headers],[Fuori Casa]],Data!$I429=SottocategorieUscite[[#Headers],[Varie Uscite]],Data!$I429=SottocategorieUscite[[#Headers],[Personali]],Data!$I429=SottocategorieUscite[[#Headers],[Lavoro]]),"$ -","")</f>
        <v/>
      </c>
      <c r="L429" s="59" t="str">
        <f>IF(OR(Data!$I429=SottocategorieUscite[[#Headers],[Casa]],Data!$I429=SottocategorieUscite[[#Headers],[Utenze]],Data!$I429=SottocategorieUscite[[#Headers],[Business Uscite]],Data!$I429=SottocategorieUscite[[#Headers],[Banca]]),"$ -","")</f>
        <v/>
      </c>
      <c r="M429" s="59" t="str">
        <f>IF(OR($I429&lt;&gt;SottocategorieUscite[[#Headers],[Fuori Casa]],$I429&lt;&gt;SottocategorieUscite[[#Headers],[Varie Uscite]],$I429&lt;&gt;SottocategorieUscite[[#Headers],[Personali]],$I429&lt;&gt;SottocategorieUscite[[#Headers],[Lavoro]],$I429&lt;&gt;SottocategorieUscite[[#Headers],[Casa]],$I429&lt;&gt;SottocategorieUscite[[#Headers],[Utenze]],$I429&lt;&gt;SottocategorieUscite[[#Headers],[Business Uscite]],$I429&lt;&gt;SottocategorieUscite[[#Headers],[Banca]]),"","$ -")</f>
        <v/>
      </c>
      <c r="N429" s="59" t="str">
        <f>IF(OR(Data!$I429=SottocategorieEntrate[[#Headers],[Business Entrate]],Data!$I429=SottocategorieEntrate[[#Headers],[Varie Entrate]]),"$ -","")</f>
        <v/>
      </c>
      <c r="O429" s="59" t="str">
        <f>IF(OR(Data!$I429=SottocategorieEntrate[[#Headers],[Real Estate]],SottocategorieEntrate[[#Headers],[Other]]),"$ -","")</f>
        <v/>
      </c>
      <c r="P429" s="59" t="str">
        <f>IF(OR($I429&lt;&gt;SottocategorieEntrate[[#Headers],[Business Entrate]],$I429&lt;&gt;SottocategorieEntrate[[#Headers],[Varie Entrate]],$I429&lt;&gt;SottocategorieEntrate[[#Headers],[Real Estate]],$I429&lt;&gt;SottocategorieEntrate[[#Headers],[Other]]),"","$ -")</f>
        <v/>
      </c>
      <c r="Q429" s="59" t="str">
        <f>IF(Dati[[#This Row],[Categoria]]="Prelievo","€ -","")</f>
        <v/>
      </c>
      <c r="R429" s="244"/>
      <c r="S429" s="59" t="str">
        <f>IF(Dati[[#This Row],[Categoria]]="Savings",0,"")</f>
        <v/>
      </c>
      <c r="T429" s="59"/>
      <c r="U429" s="59"/>
      <c r="V429" s="59"/>
      <c r="W429" s="59"/>
      <c r="X429" s="59"/>
      <c r="Y429" s="59"/>
      <c r="Z429" s="59"/>
      <c r="AA429" s="59"/>
      <c r="AB429" s="59"/>
      <c r="AC429" s="59"/>
      <c r="AD429" s="59"/>
      <c r="AE429" s="59"/>
      <c r="AF429" s="59"/>
      <c r="AG429" s="59"/>
      <c r="AH429" s="59"/>
      <c r="AI429" s="59" t="str">
        <f>IF(SUM(Dati[[#This Row],[Inv. Business]:[Inv. Cryptocurrency]])=0," ",SUM(Dati[[#This Row],[Inv. Business]:[Inv. Cryptocurrency]]))</f>
        <v xml:space="preserve"> </v>
      </c>
      <c r="AJ429" s="59"/>
      <c r="AK429" s="59" t="str">
        <f>IF(SUM(Dati[[#This Row],[Inv. Gold]:[Mutuo]])=0," ",SUM(Dati[[#This Row],[Inv. Gold]:[Mutuo]]))</f>
        <v xml:space="preserve"> </v>
      </c>
      <c r="AL429" s="59"/>
      <c r="AM429" s="59"/>
    </row>
    <row r="430" spans="2:39" ht="16" customHeight="1" x14ac:dyDescent="0.35">
      <c r="B430">
        <f t="shared" si="18"/>
        <v>410</v>
      </c>
      <c r="C430" s="49">
        <v>45274</v>
      </c>
      <c r="D430" s="29">
        <f>DAY(Dati[[#This Row],[Data]])</f>
        <v>14</v>
      </c>
      <c r="E430" s="29" t="str">
        <f>IF(DAY(Data!$C$21:$C$1327)&gt;0,TEXT(Data!$C$21:$C$1327, "mmmm"),"")</f>
        <v>dicembre</v>
      </c>
      <c r="F430" s="29" t="str">
        <f>IF(DAY(Data!$C$21:$C$1327)&gt;0,TEXT(Data!$C$21:$C$1327, "aaaa"),"")</f>
        <v>2023</v>
      </c>
      <c r="I430" t="str">
        <f>IF(OR(H430=$B$5,H430=$B$6,H430=$B$7,H430=$B$8,H430=$B$9,H430=$B$10,H430=$B$11,H430=$B$12,H430=$B$13,H430=$B$14),SottocategorieUscite[[#Headers],[Fuori Casa]],IF(OR(H430=$C$5,H430=$C$6,H430=$C$7,H430=$C$8,H430=$C$9,H430=$C$10,H430=$C$11,H430=$C$12,H430=$C$13,H430=$C$14),SottocategorieUscite[[#Headers],[Varie Uscite]],IF(OR(H430=$D$5,H430=$D$6,H430=$D$7,H430=$D$8,H430=$D$9,H430=$D$10,H430=$D$11,H430=$D$12,H430=$D$13,H430=$D$14),SottocategorieUscite[[#Headers],[Personali]],IF(OR(H430=$E$5,H430=$E$6,H430=$E$7,H430=$E$8,H430=$E$9,H430=$E$10,H430=$E$11,H430=$E$12,H430=$E$13,H430=$E$14),SottocategorieUscite[[#Headers],[Lavoro]],IF(OR(H430=$F$5,H430=$F$6,H430=$F$7,H430=$F$8,H430=$F$9,H430=$F$10,H430=$F$11,H430=$F$12,H430=$F$13,H430=$F$14),SottocategorieUscite[[#Headers],[Casa]],IF(OR(H430=$G$5,H430=$G$6,H430=$G$7,H430=$G$8,H430=$G$9,H430=$G$10,H430=$G$11,H430=$G$12,H430=$G$13,H430=$G$14),SottocategorieUscite[[#Headers],[Utenze]],IF(OR(H430=$H$5,H430=$H$6,H430=$H$7,H430=$H$8,H430=$H$9,H430=$H$10,H430=$H$11,H430=$H$12,H430=$H$13,H430=$H$14),SottocategorieUscite[[#Headers],[Business Uscite]],IF(OR(H430=$I$5,H430=$I$6,H430=$I$7,H430=$I$8,H430=$I$9,H430=$I$10,H430=$I$11,H430=$I$12,H430=$I$13,H430=$I$14),SottocategorieUscite[[#Headers],[Banca]],IF(OR(H430=K$5,H430=K$6,H430=K$7,H430=K$8,H430=K$9,H430=K$10,H430=K$11,H430=K$12,H430=K$13,H430=K$14),SottocategorieEntrate[[#Headers],[Business Entrate]],IF(OR(H430=L$5,H430=L$6,H430=L$7,H430=L$8,H430=L$9,H430=L$10,H430=L$11,H430=L$12,H430=L$13,H430=L$14),SottocategorieEntrate[[#Headers],[Varie Entrate]],IF(OR(H430=M$5,H430=M$6,H430=M$7,H430=M$8,H430=M$9,H430=M$10,H430=M$11,H430=M$12,H430=M$13,H430=M$14),SottocategorieEntrate[[#Headers],[Real Estate]],IF(OR(H430=N$5,H430=N$6,H430=N$7,H430=N$8,H430=N$9,H430=N$10,H430=N$11,H430=N$12,H430=N$13,H430=N$14),SottocategorieEntrate[[#Headers],[Other]],""))))))))))))</f>
        <v/>
      </c>
      <c r="J430" t="str">
        <f>IF(OR(Dati[[#This Row],[Categoria]]="Bollette",Dati[[#This Row],[Categoria]]="Conto &amp; Carte BNL",Dati[[#This Row],[Categoria]]="Prelievo",Dati[[#This Row],[Categoria]]="Affitto",Dati[[#This Row],[Categoria]]="BNL(Interessi Creditori)"),"Carta",IF(Dati[[#This Row],[Categoria]]&lt;&gt;0,"Cash",""))</f>
        <v/>
      </c>
      <c r="K430" s="59" t="str">
        <f>IF(OR(Data!$I430=SottocategorieUscite[[#Headers],[Fuori Casa]],Data!$I430=SottocategorieUscite[[#Headers],[Varie Uscite]],Data!$I430=SottocategorieUscite[[#Headers],[Personali]],Data!$I430=SottocategorieUscite[[#Headers],[Lavoro]]),"$ -","")</f>
        <v/>
      </c>
      <c r="L430" s="59" t="str">
        <f>IF(OR(Data!$I430=SottocategorieUscite[[#Headers],[Casa]],Data!$I430=SottocategorieUscite[[#Headers],[Utenze]],Data!$I430=SottocategorieUscite[[#Headers],[Business Uscite]],Data!$I430=SottocategorieUscite[[#Headers],[Banca]]),"$ -","")</f>
        <v/>
      </c>
      <c r="M430" s="59" t="str">
        <f>IF(OR($I430&lt;&gt;SottocategorieUscite[[#Headers],[Fuori Casa]],$I430&lt;&gt;SottocategorieUscite[[#Headers],[Varie Uscite]],$I430&lt;&gt;SottocategorieUscite[[#Headers],[Personali]],$I430&lt;&gt;SottocategorieUscite[[#Headers],[Lavoro]],$I430&lt;&gt;SottocategorieUscite[[#Headers],[Casa]],$I430&lt;&gt;SottocategorieUscite[[#Headers],[Utenze]],$I430&lt;&gt;SottocategorieUscite[[#Headers],[Business Uscite]],$I430&lt;&gt;SottocategorieUscite[[#Headers],[Banca]]),"","$ -")</f>
        <v/>
      </c>
      <c r="N430" s="59" t="str">
        <f>IF(OR(Data!$I430=SottocategorieEntrate[[#Headers],[Business Entrate]],Data!$I430=SottocategorieEntrate[[#Headers],[Varie Entrate]]),"$ -","")</f>
        <v/>
      </c>
      <c r="O430" s="59" t="str">
        <f>IF(OR(Data!$I430=SottocategorieEntrate[[#Headers],[Real Estate]],SottocategorieEntrate[[#Headers],[Other]]),"$ -","")</f>
        <v/>
      </c>
      <c r="P430" s="59" t="str">
        <f>IF(OR($I430&lt;&gt;SottocategorieEntrate[[#Headers],[Business Entrate]],$I430&lt;&gt;SottocategorieEntrate[[#Headers],[Varie Entrate]],$I430&lt;&gt;SottocategorieEntrate[[#Headers],[Real Estate]],$I430&lt;&gt;SottocategorieEntrate[[#Headers],[Other]]),"","$ -")</f>
        <v/>
      </c>
      <c r="Q430" s="59" t="str">
        <f>IF(Dati[[#This Row],[Categoria]]="Prelievo","€ -","")</f>
        <v/>
      </c>
      <c r="R430" s="244"/>
      <c r="S430" s="59" t="str">
        <f>IF(Dati[[#This Row],[Categoria]]="Savings",0,"")</f>
        <v/>
      </c>
      <c r="T430" s="59"/>
      <c r="U430" s="59"/>
      <c r="V430" s="59"/>
      <c r="W430" s="59"/>
      <c r="X430" s="59"/>
      <c r="Y430" s="59"/>
      <c r="Z430" s="59"/>
      <c r="AA430" s="59"/>
      <c r="AB430" s="59"/>
      <c r="AC430" s="59"/>
      <c r="AD430" s="59"/>
      <c r="AE430" s="59"/>
      <c r="AF430" s="59"/>
      <c r="AG430" s="59"/>
      <c r="AH430" s="59"/>
      <c r="AI430" s="59" t="str">
        <f>IF(SUM(Dati[[#This Row],[Inv. Business]:[Inv. Cryptocurrency]])=0," ",SUM(Dati[[#This Row],[Inv. Business]:[Inv. Cryptocurrency]]))</f>
        <v xml:space="preserve"> </v>
      </c>
      <c r="AJ430" s="59"/>
      <c r="AK430" s="59" t="str">
        <f>IF(SUM(Dati[[#This Row],[Inv. Gold]:[Mutuo]])=0," ",SUM(Dati[[#This Row],[Inv. Gold]:[Mutuo]]))</f>
        <v xml:space="preserve"> </v>
      </c>
      <c r="AL430" s="59"/>
      <c r="AM430" s="59"/>
    </row>
    <row r="431" spans="2:39" ht="16" customHeight="1" x14ac:dyDescent="0.35">
      <c r="B431">
        <f t="shared" si="18"/>
        <v>411</v>
      </c>
      <c r="C431" s="49">
        <v>45274</v>
      </c>
      <c r="D431" s="29">
        <f>DAY(Dati[[#This Row],[Data]])</f>
        <v>14</v>
      </c>
      <c r="E431" s="29" t="str">
        <f>IF(DAY(Data!$C$21:$C$1327)&gt;0,TEXT(Data!$C$21:$C$1327, "mmmm"),"")</f>
        <v>dicembre</v>
      </c>
      <c r="F431" s="29" t="str">
        <f>IF(DAY(Data!$C$21:$C$1327)&gt;0,TEXT(Data!$C$21:$C$1327, "aaaa"),"")</f>
        <v>2023</v>
      </c>
      <c r="I431" t="str">
        <f>IF(OR(H431=$B$5,H431=$B$6,H431=$B$7,H431=$B$8,H431=$B$9,H431=$B$10,H431=$B$11,H431=$B$12,H431=$B$13,H431=$B$14),SottocategorieUscite[[#Headers],[Fuori Casa]],IF(OR(H431=$C$5,H431=$C$6,H431=$C$7,H431=$C$8,H431=$C$9,H431=$C$10,H431=$C$11,H431=$C$12,H431=$C$13,H431=$C$14),SottocategorieUscite[[#Headers],[Varie Uscite]],IF(OR(H431=$D$5,H431=$D$6,H431=$D$7,H431=$D$8,H431=$D$9,H431=$D$10,H431=$D$11,H431=$D$12,H431=$D$13,H431=$D$14),SottocategorieUscite[[#Headers],[Personali]],IF(OR(H431=$E$5,H431=$E$6,H431=$E$7,H431=$E$8,H431=$E$9,H431=$E$10,H431=$E$11,H431=$E$12,H431=$E$13,H431=$E$14),SottocategorieUscite[[#Headers],[Lavoro]],IF(OR(H431=$F$5,H431=$F$6,H431=$F$7,H431=$F$8,H431=$F$9,H431=$F$10,H431=$F$11,H431=$F$12,H431=$F$13,H431=$F$14),SottocategorieUscite[[#Headers],[Casa]],IF(OR(H431=$G$5,H431=$G$6,H431=$G$7,H431=$G$8,H431=$G$9,H431=$G$10,H431=$G$11,H431=$G$12,H431=$G$13,H431=$G$14),SottocategorieUscite[[#Headers],[Utenze]],IF(OR(H431=$H$5,H431=$H$6,H431=$H$7,H431=$H$8,H431=$H$9,H431=$H$10,H431=$H$11,H431=$H$12,H431=$H$13,H431=$H$14),SottocategorieUscite[[#Headers],[Business Uscite]],IF(OR(H431=$I$5,H431=$I$6,H431=$I$7,H431=$I$8,H431=$I$9,H431=$I$10,H431=$I$11,H431=$I$12,H431=$I$13,H431=$I$14),SottocategorieUscite[[#Headers],[Banca]],IF(OR(H431=K$5,H431=K$6,H431=K$7,H431=K$8,H431=K$9,H431=K$10,H431=K$11,H431=K$12,H431=K$13,H431=K$14),SottocategorieEntrate[[#Headers],[Business Entrate]],IF(OR(H431=L$5,H431=L$6,H431=L$7,H431=L$8,H431=L$9,H431=L$10,H431=L$11,H431=L$12,H431=L$13,H431=L$14),SottocategorieEntrate[[#Headers],[Varie Entrate]],IF(OR(H431=M$5,H431=M$6,H431=M$7,H431=M$8,H431=M$9,H431=M$10,H431=M$11,H431=M$12,H431=M$13,H431=M$14),SottocategorieEntrate[[#Headers],[Real Estate]],IF(OR(H431=N$5,H431=N$6,H431=N$7,H431=N$8,H431=N$9,H431=N$10,H431=N$11,H431=N$12,H431=N$13,H431=N$14),SottocategorieEntrate[[#Headers],[Other]],""))))))))))))</f>
        <v/>
      </c>
      <c r="J431" t="str">
        <f>IF(OR(Dati[[#This Row],[Categoria]]="Bollette",Dati[[#This Row],[Categoria]]="Conto &amp; Carte BNL",Dati[[#This Row],[Categoria]]="Prelievo",Dati[[#This Row],[Categoria]]="Affitto",Dati[[#This Row],[Categoria]]="BNL(Interessi Creditori)"),"Carta",IF(Dati[[#This Row],[Categoria]]&lt;&gt;0,"Cash",""))</f>
        <v/>
      </c>
      <c r="K431" s="59" t="str">
        <f>IF(OR(Data!$I431=SottocategorieUscite[[#Headers],[Fuori Casa]],Data!$I431=SottocategorieUscite[[#Headers],[Varie Uscite]],Data!$I431=SottocategorieUscite[[#Headers],[Personali]],Data!$I431=SottocategorieUscite[[#Headers],[Lavoro]]),"$ -","")</f>
        <v/>
      </c>
      <c r="L431" s="59" t="str">
        <f>IF(OR(Data!$I431=SottocategorieUscite[[#Headers],[Casa]],Data!$I431=SottocategorieUscite[[#Headers],[Utenze]],Data!$I431=SottocategorieUscite[[#Headers],[Business Uscite]],Data!$I431=SottocategorieUscite[[#Headers],[Banca]]),"$ -","")</f>
        <v/>
      </c>
      <c r="M431" s="59" t="str">
        <f>IF(OR($I431&lt;&gt;SottocategorieUscite[[#Headers],[Fuori Casa]],$I431&lt;&gt;SottocategorieUscite[[#Headers],[Varie Uscite]],$I431&lt;&gt;SottocategorieUscite[[#Headers],[Personali]],$I431&lt;&gt;SottocategorieUscite[[#Headers],[Lavoro]],$I431&lt;&gt;SottocategorieUscite[[#Headers],[Casa]],$I431&lt;&gt;SottocategorieUscite[[#Headers],[Utenze]],$I431&lt;&gt;SottocategorieUscite[[#Headers],[Business Uscite]],$I431&lt;&gt;SottocategorieUscite[[#Headers],[Banca]]),"","$ -")</f>
        <v/>
      </c>
      <c r="N431" s="59" t="str">
        <f>IF(OR(Data!$I431=SottocategorieEntrate[[#Headers],[Business Entrate]],Data!$I431=SottocategorieEntrate[[#Headers],[Varie Entrate]]),"$ -","")</f>
        <v/>
      </c>
      <c r="O431" s="59" t="str">
        <f>IF(OR(Data!$I431=SottocategorieEntrate[[#Headers],[Real Estate]],SottocategorieEntrate[[#Headers],[Other]]),"$ -","")</f>
        <v/>
      </c>
      <c r="P431" s="59" t="str">
        <f>IF(OR($I431&lt;&gt;SottocategorieEntrate[[#Headers],[Business Entrate]],$I431&lt;&gt;SottocategorieEntrate[[#Headers],[Varie Entrate]],$I431&lt;&gt;SottocategorieEntrate[[#Headers],[Real Estate]],$I431&lt;&gt;SottocategorieEntrate[[#Headers],[Other]]),"","$ -")</f>
        <v/>
      </c>
      <c r="Q431" s="59" t="str">
        <f>IF(Dati[[#This Row],[Categoria]]="Prelievo","€ -","")</f>
        <v/>
      </c>
      <c r="R431" s="244"/>
      <c r="S431" s="59" t="str">
        <f>IF(Dati[[#This Row],[Categoria]]="Savings",0,"")</f>
        <v/>
      </c>
      <c r="T431" s="59"/>
      <c r="U431" s="59"/>
      <c r="V431" s="59"/>
      <c r="W431" s="59"/>
      <c r="X431" s="59"/>
      <c r="Y431" s="59"/>
      <c r="Z431" s="59"/>
      <c r="AA431" s="59"/>
      <c r="AB431" s="59"/>
      <c r="AC431" s="59"/>
      <c r="AD431" s="59"/>
      <c r="AE431" s="59"/>
      <c r="AF431" s="59"/>
      <c r="AG431" s="59"/>
      <c r="AH431" s="59"/>
      <c r="AI431" s="59" t="str">
        <f>IF(SUM(Dati[[#This Row],[Inv. Business]:[Inv. Cryptocurrency]])=0," ",SUM(Dati[[#This Row],[Inv. Business]:[Inv. Cryptocurrency]]))</f>
        <v xml:space="preserve"> </v>
      </c>
      <c r="AJ431" s="59"/>
      <c r="AK431" s="59" t="str">
        <f>IF(SUM(Dati[[#This Row],[Inv. Gold]:[Mutuo]])=0," ",SUM(Dati[[#This Row],[Inv. Gold]:[Mutuo]]))</f>
        <v xml:space="preserve"> </v>
      </c>
      <c r="AL431" s="59"/>
      <c r="AM431" s="59"/>
    </row>
    <row r="432" spans="2:39" ht="16" customHeight="1" x14ac:dyDescent="0.35">
      <c r="B432">
        <f t="shared" si="18"/>
        <v>412</v>
      </c>
      <c r="C432" s="49">
        <v>45274</v>
      </c>
      <c r="D432" s="29">
        <f>DAY(Dati[[#This Row],[Data]])</f>
        <v>14</v>
      </c>
      <c r="E432" s="29" t="str">
        <f>IF(DAY(Data!$C$21:$C$1327)&gt;0,TEXT(Data!$C$21:$C$1327, "mmmm"),"")</f>
        <v>dicembre</v>
      </c>
      <c r="F432" s="29" t="str">
        <f>IF(DAY(Data!$C$21:$C$1327)&gt;0,TEXT(Data!$C$21:$C$1327, "aaaa"),"")</f>
        <v>2023</v>
      </c>
      <c r="I432" t="str">
        <f>IF(OR(H432=$B$5,H432=$B$6,H432=$B$7,H432=$B$8,H432=$B$9,H432=$B$10,H432=$B$11,H432=$B$12,H432=$B$13,H432=$B$14),SottocategorieUscite[[#Headers],[Fuori Casa]],IF(OR(H432=$C$5,H432=$C$6,H432=$C$7,H432=$C$8,H432=$C$9,H432=$C$10,H432=$C$11,H432=$C$12,H432=$C$13,H432=$C$14),SottocategorieUscite[[#Headers],[Varie Uscite]],IF(OR(H432=$D$5,H432=$D$6,H432=$D$7,H432=$D$8,H432=$D$9,H432=$D$10,H432=$D$11,H432=$D$12,H432=$D$13,H432=$D$14),SottocategorieUscite[[#Headers],[Personali]],IF(OR(H432=$E$5,H432=$E$6,H432=$E$7,H432=$E$8,H432=$E$9,H432=$E$10,H432=$E$11,H432=$E$12,H432=$E$13,H432=$E$14),SottocategorieUscite[[#Headers],[Lavoro]],IF(OR(H432=$F$5,H432=$F$6,H432=$F$7,H432=$F$8,H432=$F$9,H432=$F$10,H432=$F$11,H432=$F$12,H432=$F$13,H432=$F$14),SottocategorieUscite[[#Headers],[Casa]],IF(OR(H432=$G$5,H432=$G$6,H432=$G$7,H432=$G$8,H432=$G$9,H432=$G$10,H432=$G$11,H432=$G$12,H432=$G$13,H432=$G$14),SottocategorieUscite[[#Headers],[Utenze]],IF(OR(H432=$H$5,H432=$H$6,H432=$H$7,H432=$H$8,H432=$H$9,H432=$H$10,H432=$H$11,H432=$H$12,H432=$H$13,H432=$H$14),SottocategorieUscite[[#Headers],[Business Uscite]],IF(OR(H432=$I$5,H432=$I$6,H432=$I$7,H432=$I$8,H432=$I$9,H432=$I$10,H432=$I$11,H432=$I$12,H432=$I$13,H432=$I$14),SottocategorieUscite[[#Headers],[Banca]],IF(OR(H432=K$5,H432=K$6,H432=K$7,H432=K$8,H432=K$9,H432=K$10,H432=K$11,H432=K$12,H432=K$13,H432=K$14),SottocategorieEntrate[[#Headers],[Business Entrate]],IF(OR(H432=L$5,H432=L$6,H432=L$7,H432=L$8,H432=L$9,H432=L$10,H432=L$11,H432=L$12,H432=L$13,H432=L$14),SottocategorieEntrate[[#Headers],[Varie Entrate]],IF(OR(H432=M$5,H432=M$6,H432=M$7,H432=M$8,H432=M$9,H432=M$10,H432=M$11,H432=M$12,H432=M$13,H432=M$14),SottocategorieEntrate[[#Headers],[Real Estate]],IF(OR(H432=N$5,H432=N$6,H432=N$7,H432=N$8,H432=N$9,H432=N$10,H432=N$11,H432=N$12,H432=N$13,H432=N$14),SottocategorieEntrate[[#Headers],[Other]],""))))))))))))</f>
        <v/>
      </c>
      <c r="J432" t="str">
        <f>IF(OR(Dati[[#This Row],[Categoria]]="Bollette",Dati[[#This Row],[Categoria]]="Conto &amp; Carte BNL",Dati[[#This Row],[Categoria]]="Prelievo",Dati[[#This Row],[Categoria]]="Affitto",Dati[[#This Row],[Categoria]]="BNL(Interessi Creditori)"),"Carta",IF(Dati[[#This Row],[Categoria]]&lt;&gt;0,"Cash",""))</f>
        <v/>
      </c>
      <c r="K432" s="59" t="str">
        <f>IF(OR(Data!$I432=SottocategorieUscite[[#Headers],[Fuori Casa]],Data!$I432=SottocategorieUscite[[#Headers],[Varie Uscite]],Data!$I432=SottocategorieUscite[[#Headers],[Personali]],Data!$I432=SottocategorieUscite[[#Headers],[Lavoro]]),"$ -","")</f>
        <v/>
      </c>
      <c r="L432" s="59" t="str">
        <f>IF(OR(Data!$I432=SottocategorieUscite[[#Headers],[Casa]],Data!$I432=SottocategorieUscite[[#Headers],[Utenze]],Data!$I432=SottocategorieUscite[[#Headers],[Business Uscite]],Data!$I432=SottocategorieUscite[[#Headers],[Banca]]),"$ -","")</f>
        <v/>
      </c>
      <c r="M432" s="59" t="str">
        <f>IF(OR($I432&lt;&gt;SottocategorieUscite[[#Headers],[Fuori Casa]],$I432&lt;&gt;SottocategorieUscite[[#Headers],[Varie Uscite]],$I432&lt;&gt;SottocategorieUscite[[#Headers],[Personali]],$I432&lt;&gt;SottocategorieUscite[[#Headers],[Lavoro]],$I432&lt;&gt;SottocategorieUscite[[#Headers],[Casa]],$I432&lt;&gt;SottocategorieUscite[[#Headers],[Utenze]],$I432&lt;&gt;SottocategorieUscite[[#Headers],[Business Uscite]],$I432&lt;&gt;SottocategorieUscite[[#Headers],[Banca]]),"","$ -")</f>
        <v/>
      </c>
      <c r="N432" s="59" t="str">
        <f>IF(OR(Data!$I432=SottocategorieEntrate[[#Headers],[Business Entrate]],Data!$I432=SottocategorieEntrate[[#Headers],[Varie Entrate]]),"$ -","")</f>
        <v/>
      </c>
      <c r="O432" s="59" t="str">
        <f>IF(OR(Data!$I432=SottocategorieEntrate[[#Headers],[Real Estate]],SottocategorieEntrate[[#Headers],[Other]]),"$ -","")</f>
        <v/>
      </c>
      <c r="P432" s="59" t="str">
        <f>IF(OR($I432&lt;&gt;SottocategorieEntrate[[#Headers],[Business Entrate]],$I432&lt;&gt;SottocategorieEntrate[[#Headers],[Varie Entrate]],$I432&lt;&gt;SottocategorieEntrate[[#Headers],[Real Estate]],$I432&lt;&gt;SottocategorieEntrate[[#Headers],[Other]]),"","$ -")</f>
        <v/>
      </c>
      <c r="Q432" s="59" t="str">
        <f>IF(Dati[[#This Row],[Categoria]]="Prelievo","€ -","")</f>
        <v/>
      </c>
      <c r="R432" s="244"/>
      <c r="S432" s="59" t="str">
        <f>IF(Dati[[#This Row],[Categoria]]="Savings",0,"")</f>
        <v/>
      </c>
      <c r="T432" s="59"/>
      <c r="U432" s="59"/>
      <c r="V432" s="59"/>
      <c r="W432" s="59"/>
      <c r="X432" s="59"/>
      <c r="Y432" s="59"/>
      <c r="Z432" s="59"/>
      <c r="AA432" s="59"/>
      <c r="AB432" s="59"/>
      <c r="AC432" s="59"/>
      <c r="AD432" s="59"/>
      <c r="AE432" s="59"/>
      <c r="AF432" s="59"/>
      <c r="AG432" s="59"/>
      <c r="AH432" s="59"/>
      <c r="AI432" s="59" t="str">
        <f>IF(SUM(Dati[[#This Row],[Inv. Business]:[Inv. Cryptocurrency]])=0," ",SUM(Dati[[#This Row],[Inv. Business]:[Inv. Cryptocurrency]]))</f>
        <v xml:space="preserve"> </v>
      </c>
      <c r="AJ432" s="59"/>
      <c r="AK432" s="59" t="str">
        <f>IF(SUM(Dati[[#This Row],[Inv. Gold]:[Mutuo]])=0," ",SUM(Dati[[#This Row],[Inv. Gold]:[Mutuo]]))</f>
        <v xml:space="preserve"> </v>
      </c>
      <c r="AL432" s="59"/>
      <c r="AM432" s="59"/>
    </row>
    <row r="433" spans="2:39" ht="16" customHeight="1" x14ac:dyDescent="0.35">
      <c r="B433">
        <f t="shared" si="18"/>
        <v>413</v>
      </c>
      <c r="C433" s="49">
        <f>C428+1</f>
        <v>45275</v>
      </c>
      <c r="D433" s="29">
        <f>DAY(Dati[[#This Row],[Data]])</f>
        <v>15</v>
      </c>
      <c r="E433" s="29" t="str">
        <f>IF(DAY(Data!$C$21:$C$1327)&gt;0,TEXT(Data!$C$21:$C$1327, "mmmm"),"")</f>
        <v>dicembre</v>
      </c>
      <c r="F433" s="29" t="str">
        <f>IF(DAY(Data!$C$21:$C$1327)&gt;0,TEXT(Data!$C$21:$C$1327, "aaaa"),"")</f>
        <v>2023</v>
      </c>
      <c r="I433" t="str">
        <f>IF(OR(H433=$B$5,H433=$B$6,H433=$B$7,H433=$B$8,H433=$B$9,H433=$B$10,H433=$B$11,H433=$B$12,H433=$B$13,H433=$B$14),SottocategorieUscite[[#Headers],[Fuori Casa]],IF(OR(H433=$C$5,H433=$C$6,H433=$C$7,H433=$C$8,H433=$C$9,H433=$C$10,H433=$C$11,H433=$C$12,H433=$C$13,H433=$C$14),SottocategorieUscite[[#Headers],[Varie Uscite]],IF(OR(H433=$D$5,H433=$D$6,H433=$D$7,H433=$D$8,H433=$D$9,H433=$D$10,H433=$D$11,H433=$D$12,H433=$D$13,H433=$D$14),SottocategorieUscite[[#Headers],[Personali]],IF(OR(H433=$E$5,H433=$E$6,H433=$E$7,H433=$E$8,H433=$E$9,H433=$E$10,H433=$E$11,H433=$E$12,H433=$E$13,H433=$E$14),SottocategorieUscite[[#Headers],[Lavoro]],IF(OR(H433=$F$5,H433=$F$6,H433=$F$7,H433=$F$8,H433=$F$9,H433=$F$10,H433=$F$11,H433=$F$12,H433=$F$13,H433=$F$14),SottocategorieUscite[[#Headers],[Casa]],IF(OR(H433=$G$5,H433=$G$6,H433=$G$7,H433=$G$8,H433=$G$9,H433=$G$10,H433=$G$11,H433=$G$12,H433=$G$13,H433=$G$14),SottocategorieUscite[[#Headers],[Utenze]],IF(OR(H433=$H$5,H433=$H$6,H433=$H$7,H433=$H$8,H433=$H$9,H433=$H$10,H433=$H$11,H433=$H$12,H433=$H$13,H433=$H$14),SottocategorieUscite[[#Headers],[Business Uscite]],IF(OR(H433=$I$5,H433=$I$6,H433=$I$7,H433=$I$8,H433=$I$9,H433=$I$10,H433=$I$11,H433=$I$12,H433=$I$13,H433=$I$14),SottocategorieUscite[[#Headers],[Banca]],IF(OR(H433=K$5,H433=K$6,H433=K$7,H433=K$8,H433=K$9,H433=K$10,H433=K$11,H433=K$12,H433=K$13,H433=K$14),SottocategorieEntrate[[#Headers],[Business Entrate]],IF(OR(H433=L$5,H433=L$6,H433=L$7,H433=L$8,H433=L$9,H433=L$10,H433=L$11,H433=L$12,H433=L$13,H433=L$14),SottocategorieEntrate[[#Headers],[Varie Entrate]],IF(OR(H433=M$5,H433=M$6,H433=M$7,H433=M$8,H433=M$9,H433=M$10,H433=M$11,H433=M$12,H433=M$13,H433=M$14),SottocategorieEntrate[[#Headers],[Real Estate]],IF(OR(H433=N$5,H433=N$6,H433=N$7,H433=N$8,H433=N$9,H433=N$10,H433=N$11,H433=N$12,H433=N$13,H433=N$14),SottocategorieEntrate[[#Headers],[Other]],""))))))))))))</f>
        <v/>
      </c>
      <c r="J433" t="str">
        <f>IF(OR(Dati[[#This Row],[Categoria]]="Bollette",Dati[[#This Row],[Categoria]]="Conto &amp; Carte BNL",Dati[[#This Row],[Categoria]]="Prelievo",Dati[[#This Row],[Categoria]]="Affitto",Dati[[#This Row],[Categoria]]="BNL(Interessi Creditori)"),"Carta",IF(Dati[[#This Row],[Categoria]]&lt;&gt;0,"Cash",""))</f>
        <v/>
      </c>
      <c r="K433" s="59" t="str">
        <f>IF(OR(Data!$I433=SottocategorieUscite[[#Headers],[Fuori Casa]],Data!$I433=SottocategorieUscite[[#Headers],[Varie Uscite]],Data!$I433=SottocategorieUscite[[#Headers],[Personali]],Data!$I433=SottocategorieUscite[[#Headers],[Lavoro]]),"$ -","")</f>
        <v/>
      </c>
      <c r="L433" s="59" t="str">
        <f>IF(OR(Data!$I433=SottocategorieUscite[[#Headers],[Casa]],Data!$I433=SottocategorieUscite[[#Headers],[Utenze]],Data!$I433=SottocategorieUscite[[#Headers],[Business Uscite]],Data!$I433=SottocategorieUscite[[#Headers],[Banca]]),"$ -","")</f>
        <v/>
      </c>
      <c r="M433" s="59" t="str">
        <f>IF(OR($I433&lt;&gt;SottocategorieUscite[[#Headers],[Fuori Casa]],$I433&lt;&gt;SottocategorieUscite[[#Headers],[Varie Uscite]],$I433&lt;&gt;SottocategorieUscite[[#Headers],[Personali]],$I433&lt;&gt;SottocategorieUscite[[#Headers],[Lavoro]],$I433&lt;&gt;SottocategorieUscite[[#Headers],[Casa]],$I433&lt;&gt;SottocategorieUscite[[#Headers],[Utenze]],$I433&lt;&gt;SottocategorieUscite[[#Headers],[Business Uscite]],$I433&lt;&gt;SottocategorieUscite[[#Headers],[Banca]]),"","$ -")</f>
        <v/>
      </c>
      <c r="N433" s="59" t="str">
        <f>IF(OR(Data!$I433=SottocategorieEntrate[[#Headers],[Business Entrate]],Data!$I433=SottocategorieEntrate[[#Headers],[Varie Entrate]]),"$ -","")</f>
        <v/>
      </c>
      <c r="O433" s="59" t="str">
        <f>IF(OR(Data!$I433=SottocategorieEntrate[[#Headers],[Real Estate]],SottocategorieEntrate[[#Headers],[Other]]),"$ -","")</f>
        <v/>
      </c>
      <c r="P433" s="59" t="str">
        <f>IF(OR($I433&lt;&gt;SottocategorieEntrate[[#Headers],[Business Entrate]],$I433&lt;&gt;SottocategorieEntrate[[#Headers],[Varie Entrate]],$I433&lt;&gt;SottocategorieEntrate[[#Headers],[Real Estate]],$I433&lt;&gt;SottocategorieEntrate[[#Headers],[Other]]),"","$ -")</f>
        <v/>
      </c>
      <c r="Q433" s="59" t="str">
        <f>IF(Dati[[#This Row],[Categoria]]="Prelievo","€ -","")</f>
        <v/>
      </c>
      <c r="R433" s="244"/>
      <c r="S433" s="59" t="str">
        <f>IF(Dati[[#This Row],[Categoria]]="Savings",0,"")</f>
        <v/>
      </c>
      <c r="T433" s="59"/>
      <c r="U433" s="59"/>
      <c r="V433" s="59"/>
      <c r="W433" s="59"/>
      <c r="X433" s="59"/>
      <c r="Y433" s="59"/>
      <c r="Z433" s="59"/>
      <c r="AA433" s="59"/>
      <c r="AB433" s="59"/>
      <c r="AC433" s="59"/>
      <c r="AD433" s="59"/>
      <c r="AE433" s="59"/>
      <c r="AF433" s="59"/>
      <c r="AG433" s="59"/>
      <c r="AH433" s="59"/>
      <c r="AI433" s="59" t="str">
        <f>IF(SUM(Dati[[#This Row],[Inv. Business]:[Inv. Cryptocurrency]])=0," ",SUM(Dati[[#This Row],[Inv. Business]:[Inv. Cryptocurrency]]))</f>
        <v xml:space="preserve"> </v>
      </c>
      <c r="AJ433" s="59"/>
      <c r="AK433" s="59" t="str">
        <f>IF(SUM(Dati[[#This Row],[Inv. Gold]:[Mutuo]])=0," ",SUM(Dati[[#This Row],[Inv. Gold]:[Mutuo]]))</f>
        <v xml:space="preserve"> </v>
      </c>
      <c r="AL433" s="59"/>
      <c r="AM433" s="59"/>
    </row>
    <row r="434" spans="2:39" ht="16" customHeight="1" x14ac:dyDescent="0.35">
      <c r="B434">
        <f t="shared" si="18"/>
        <v>414</v>
      </c>
      <c r="C434" s="49">
        <f>C433+1</f>
        <v>45276</v>
      </c>
      <c r="D434" s="29">
        <f>DAY(Dati[[#This Row],[Data]])</f>
        <v>16</v>
      </c>
      <c r="E434" s="29" t="str">
        <f>IF(DAY(Data!$C$21:$C$1327)&gt;0,TEXT(Data!$C$21:$C$1327, "mmmm"),"")</f>
        <v>dicembre</v>
      </c>
      <c r="F434" s="29" t="str">
        <f>IF(DAY(Data!$C$21:$C$1327)&gt;0,TEXT(Data!$C$21:$C$1327, "aaaa"),"")</f>
        <v>2023</v>
      </c>
      <c r="I434" t="str">
        <f>IF(OR(H434=$B$5,H434=$B$6,H434=$B$7,H434=$B$8,H434=$B$9,H434=$B$10,H434=$B$11,H434=$B$12,H434=$B$13,H434=$B$14),SottocategorieUscite[[#Headers],[Fuori Casa]],IF(OR(H434=$C$5,H434=$C$6,H434=$C$7,H434=$C$8,H434=$C$9,H434=$C$10,H434=$C$11,H434=$C$12,H434=$C$13,H434=$C$14),SottocategorieUscite[[#Headers],[Varie Uscite]],IF(OR(H434=$D$5,H434=$D$6,H434=$D$7,H434=$D$8,H434=$D$9,H434=$D$10,H434=$D$11,H434=$D$12,H434=$D$13,H434=$D$14),SottocategorieUscite[[#Headers],[Personali]],IF(OR(H434=$E$5,H434=$E$6,H434=$E$7,H434=$E$8,H434=$E$9,H434=$E$10,H434=$E$11,H434=$E$12,H434=$E$13,H434=$E$14),SottocategorieUscite[[#Headers],[Lavoro]],IF(OR(H434=$F$5,H434=$F$6,H434=$F$7,H434=$F$8,H434=$F$9,H434=$F$10,H434=$F$11,H434=$F$12,H434=$F$13,H434=$F$14),SottocategorieUscite[[#Headers],[Casa]],IF(OR(H434=$G$5,H434=$G$6,H434=$G$7,H434=$G$8,H434=$G$9,H434=$G$10,H434=$G$11,H434=$G$12,H434=$G$13,H434=$G$14),SottocategorieUscite[[#Headers],[Utenze]],IF(OR(H434=$H$5,H434=$H$6,H434=$H$7,H434=$H$8,H434=$H$9,H434=$H$10,H434=$H$11,H434=$H$12,H434=$H$13,H434=$H$14),SottocategorieUscite[[#Headers],[Business Uscite]],IF(OR(H434=$I$5,H434=$I$6,H434=$I$7,H434=$I$8,H434=$I$9,H434=$I$10,H434=$I$11,H434=$I$12,H434=$I$13,H434=$I$14),SottocategorieUscite[[#Headers],[Banca]],IF(OR(H434=K$5,H434=K$6,H434=K$7,H434=K$8,H434=K$9,H434=K$10,H434=K$11,H434=K$12,H434=K$13,H434=K$14),SottocategorieEntrate[[#Headers],[Business Entrate]],IF(OR(H434=L$5,H434=L$6,H434=L$7,H434=L$8,H434=L$9,H434=L$10,H434=L$11,H434=L$12,H434=L$13,H434=L$14),SottocategorieEntrate[[#Headers],[Varie Entrate]],IF(OR(H434=M$5,H434=M$6,H434=M$7,H434=M$8,H434=M$9,H434=M$10,H434=M$11,H434=M$12,H434=M$13,H434=M$14),SottocategorieEntrate[[#Headers],[Real Estate]],IF(OR(H434=N$5,H434=N$6,H434=N$7,H434=N$8,H434=N$9,H434=N$10,H434=N$11,H434=N$12,H434=N$13,H434=N$14),SottocategorieEntrate[[#Headers],[Other]],""))))))))))))</f>
        <v/>
      </c>
      <c r="J434" t="str">
        <f>IF(OR(Dati[[#This Row],[Categoria]]="Bollette",Dati[[#This Row],[Categoria]]="Conto &amp; Carte BNL",Dati[[#This Row],[Categoria]]="Prelievo",Dati[[#This Row],[Categoria]]="Affitto",Dati[[#This Row],[Categoria]]="BNL(Interessi Creditori)"),"Carta",IF(Dati[[#This Row],[Categoria]]&lt;&gt;0,"Cash",""))</f>
        <v/>
      </c>
      <c r="K434" s="59" t="str">
        <f>IF(OR(Data!$I434=SottocategorieUscite[[#Headers],[Fuori Casa]],Data!$I434=SottocategorieUscite[[#Headers],[Varie Uscite]],Data!$I434=SottocategorieUscite[[#Headers],[Personali]],Data!$I434=SottocategorieUscite[[#Headers],[Lavoro]]),"$ -","")</f>
        <v/>
      </c>
      <c r="L434" s="59" t="str">
        <f>IF(OR(Data!$I434=SottocategorieUscite[[#Headers],[Casa]],Data!$I434=SottocategorieUscite[[#Headers],[Utenze]],Data!$I434=SottocategorieUscite[[#Headers],[Business Uscite]],Data!$I434=SottocategorieUscite[[#Headers],[Banca]]),"$ -","")</f>
        <v/>
      </c>
      <c r="M434" s="59" t="str">
        <f>IF(OR($I434&lt;&gt;SottocategorieUscite[[#Headers],[Fuori Casa]],$I434&lt;&gt;SottocategorieUscite[[#Headers],[Varie Uscite]],$I434&lt;&gt;SottocategorieUscite[[#Headers],[Personali]],$I434&lt;&gt;SottocategorieUscite[[#Headers],[Lavoro]],$I434&lt;&gt;SottocategorieUscite[[#Headers],[Casa]],$I434&lt;&gt;SottocategorieUscite[[#Headers],[Utenze]],$I434&lt;&gt;SottocategorieUscite[[#Headers],[Business Uscite]],$I434&lt;&gt;SottocategorieUscite[[#Headers],[Banca]]),"","$ -")</f>
        <v/>
      </c>
      <c r="N434" s="59" t="str">
        <f>IF(OR(Data!$I434=SottocategorieEntrate[[#Headers],[Business Entrate]],Data!$I434=SottocategorieEntrate[[#Headers],[Varie Entrate]]),"$ -","")</f>
        <v/>
      </c>
      <c r="O434" s="59" t="str">
        <f>IF(OR(Data!$I434=SottocategorieEntrate[[#Headers],[Real Estate]],SottocategorieEntrate[[#Headers],[Other]]),"$ -","")</f>
        <v/>
      </c>
      <c r="P434" s="59" t="str">
        <f>IF(OR($I434&lt;&gt;SottocategorieEntrate[[#Headers],[Business Entrate]],$I434&lt;&gt;SottocategorieEntrate[[#Headers],[Varie Entrate]],$I434&lt;&gt;SottocategorieEntrate[[#Headers],[Real Estate]],$I434&lt;&gt;SottocategorieEntrate[[#Headers],[Other]]),"","$ -")</f>
        <v/>
      </c>
      <c r="Q434" s="59" t="str">
        <f>IF(Dati[[#This Row],[Categoria]]="Prelievo","€ -","")</f>
        <v/>
      </c>
      <c r="R434" s="244"/>
      <c r="S434" s="59" t="str">
        <f>IF(Dati[[#This Row],[Categoria]]="Savings",0,"")</f>
        <v/>
      </c>
      <c r="T434" s="59"/>
      <c r="U434" s="59"/>
      <c r="V434" s="59"/>
      <c r="W434" s="59"/>
      <c r="X434" s="59"/>
      <c r="Y434" s="59"/>
      <c r="Z434" s="59"/>
      <c r="AA434" s="59"/>
      <c r="AB434" s="59"/>
      <c r="AC434" s="59"/>
      <c r="AD434" s="59"/>
      <c r="AE434" s="59"/>
      <c r="AF434" s="59"/>
      <c r="AG434" s="59"/>
      <c r="AH434" s="59"/>
      <c r="AI434" s="59" t="str">
        <f>IF(SUM(Dati[[#This Row],[Inv. Business]:[Inv. Cryptocurrency]])=0," ",SUM(Dati[[#This Row],[Inv. Business]:[Inv. Cryptocurrency]]))</f>
        <v xml:space="preserve"> </v>
      </c>
      <c r="AJ434" s="59"/>
      <c r="AK434" s="59" t="str">
        <f>IF(SUM(Dati[[#This Row],[Inv. Gold]:[Mutuo]])=0," ",SUM(Dati[[#This Row],[Inv. Gold]:[Mutuo]]))</f>
        <v xml:space="preserve"> </v>
      </c>
      <c r="AL434" s="59"/>
      <c r="AM434" s="59"/>
    </row>
    <row r="435" spans="2:39" ht="16" customHeight="1" x14ac:dyDescent="0.35">
      <c r="B435">
        <f t="shared" si="18"/>
        <v>415</v>
      </c>
      <c r="C435" s="49">
        <v>45276</v>
      </c>
      <c r="D435" s="29">
        <f>DAY(Dati[[#This Row],[Data]])</f>
        <v>16</v>
      </c>
      <c r="E435" s="29" t="str">
        <f>IF(DAY(Data!$C$21:$C$1327)&gt;0,TEXT(Data!$C$21:$C$1327, "mmmm"),"")</f>
        <v>dicembre</v>
      </c>
      <c r="F435" s="29" t="str">
        <f>IF(DAY(Data!$C$21:$C$1327)&gt;0,TEXT(Data!$C$21:$C$1327, "aaaa"),"")</f>
        <v>2023</v>
      </c>
      <c r="I435" t="str">
        <f>IF(OR(H435=$B$5,H435=$B$6,H435=$B$7,H435=$B$8,H435=$B$9,H435=$B$10,H435=$B$11,H435=$B$12,H435=$B$13,H435=$B$14),SottocategorieUscite[[#Headers],[Fuori Casa]],IF(OR(H435=$C$5,H435=$C$6,H435=$C$7,H435=$C$8,H435=$C$9,H435=$C$10,H435=$C$11,H435=$C$12,H435=$C$13,H435=$C$14),SottocategorieUscite[[#Headers],[Varie Uscite]],IF(OR(H435=$D$5,H435=$D$6,H435=$D$7,H435=$D$8,H435=$D$9,H435=$D$10,H435=$D$11,H435=$D$12,H435=$D$13,H435=$D$14),SottocategorieUscite[[#Headers],[Personali]],IF(OR(H435=$E$5,H435=$E$6,H435=$E$7,H435=$E$8,H435=$E$9,H435=$E$10,H435=$E$11,H435=$E$12,H435=$E$13,H435=$E$14),SottocategorieUscite[[#Headers],[Lavoro]],IF(OR(H435=$F$5,H435=$F$6,H435=$F$7,H435=$F$8,H435=$F$9,H435=$F$10,H435=$F$11,H435=$F$12,H435=$F$13,H435=$F$14),SottocategorieUscite[[#Headers],[Casa]],IF(OR(H435=$G$5,H435=$G$6,H435=$G$7,H435=$G$8,H435=$G$9,H435=$G$10,H435=$G$11,H435=$G$12,H435=$G$13,H435=$G$14),SottocategorieUscite[[#Headers],[Utenze]],IF(OR(H435=$H$5,H435=$H$6,H435=$H$7,H435=$H$8,H435=$H$9,H435=$H$10,H435=$H$11,H435=$H$12,H435=$H$13,H435=$H$14),SottocategorieUscite[[#Headers],[Business Uscite]],IF(OR(H435=$I$5,H435=$I$6,H435=$I$7,H435=$I$8,H435=$I$9,H435=$I$10,H435=$I$11,H435=$I$12,H435=$I$13,H435=$I$14),SottocategorieUscite[[#Headers],[Banca]],IF(OR(H435=K$5,H435=K$6,H435=K$7,H435=K$8,H435=K$9,H435=K$10,H435=K$11,H435=K$12,H435=K$13,H435=K$14),SottocategorieEntrate[[#Headers],[Business Entrate]],IF(OR(H435=L$5,H435=L$6,H435=L$7,H435=L$8,H435=L$9,H435=L$10,H435=L$11,H435=L$12,H435=L$13,H435=L$14),SottocategorieEntrate[[#Headers],[Varie Entrate]],IF(OR(H435=M$5,H435=M$6,H435=M$7,H435=M$8,H435=M$9,H435=M$10,H435=M$11,H435=M$12,H435=M$13,H435=M$14),SottocategorieEntrate[[#Headers],[Real Estate]],IF(OR(H435=N$5,H435=N$6,H435=N$7,H435=N$8,H435=N$9,H435=N$10,H435=N$11,H435=N$12,H435=N$13,H435=N$14),SottocategorieEntrate[[#Headers],[Other]],""))))))))))))</f>
        <v/>
      </c>
      <c r="J435" t="str">
        <f>IF(OR(Dati[[#This Row],[Categoria]]="Bollette",Dati[[#This Row],[Categoria]]="Conto &amp; Carte BNL",Dati[[#This Row],[Categoria]]="Prelievo",Dati[[#This Row],[Categoria]]="Affitto",Dati[[#This Row],[Categoria]]="BNL(Interessi Creditori)"),"Carta",IF(Dati[[#This Row],[Categoria]]&lt;&gt;0,"Cash",""))</f>
        <v/>
      </c>
      <c r="K435" s="59" t="str">
        <f>IF(OR(Data!$I435=SottocategorieUscite[[#Headers],[Fuori Casa]],Data!$I435=SottocategorieUscite[[#Headers],[Varie Uscite]],Data!$I435=SottocategorieUscite[[#Headers],[Personali]],Data!$I435=SottocategorieUscite[[#Headers],[Lavoro]]),"$ -","")</f>
        <v/>
      </c>
      <c r="L435" s="59" t="str">
        <f>IF(OR(Data!$I435=SottocategorieUscite[[#Headers],[Casa]],Data!$I435=SottocategorieUscite[[#Headers],[Utenze]],Data!$I435=SottocategorieUscite[[#Headers],[Business Uscite]],Data!$I435=SottocategorieUscite[[#Headers],[Banca]]),"$ -","")</f>
        <v/>
      </c>
      <c r="M435" s="59" t="str">
        <f>IF(OR($I435&lt;&gt;SottocategorieUscite[[#Headers],[Fuori Casa]],$I435&lt;&gt;SottocategorieUscite[[#Headers],[Varie Uscite]],$I435&lt;&gt;SottocategorieUscite[[#Headers],[Personali]],$I435&lt;&gt;SottocategorieUscite[[#Headers],[Lavoro]],$I435&lt;&gt;SottocategorieUscite[[#Headers],[Casa]],$I435&lt;&gt;SottocategorieUscite[[#Headers],[Utenze]],$I435&lt;&gt;SottocategorieUscite[[#Headers],[Business Uscite]],$I435&lt;&gt;SottocategorieUscite[[#Headers],[Banca]]),"","$ -")</f>
        <v/>
      </c>
      <c r="N435" s="59" t="str">
        <f>IF(OR(Data!$I435=SottocategorieEntrate[[#Headers],[Business Entrate]],Data!$I435=SottocategorieEntrate[[#Headers],[Varie Entrate]]),"$ -","")</f>
        <v/>
      </c>
      <c r="O435" s="59" t="str">
        <f>IF(OR(Data!$I435=SottocategorieEntrate[[#Headers],[Real Estate]],SottocategorieEntrate[[#Headers],[Other]]),"$ -","")</f>
        <v/>
      </c>
      <c r="P435" s="59" t="str">
        <f>IF(OR($I435&lt;&gt;SottocategorieEntrate[[#Headers],[Business Entrate]],$I435&lt;&gt;SottocategorieEntrate[[#Headers],[Varie Entrate]],$I435&lt;&gt;SottocategorieEntrate[[#Headers],[Real Estate]],$I435&lt;&gt;SottocategorieEntrate[[#Headers],[Other]]),"","$ -")</f>
        <v/>
      </c>
      <c r="Q435" s="59" t="str">
        <f>IF(Dati[[#This Row],[Categoria]]="Prelievo","€ -","")</f>
        <v/>
      </c>
      <c r="R435" s="244"/>
      <c r="S435" s="59" t="str">
        <f>IF(Dati[[#This Row],[Categoria]]="Savings",0,"")</f>
        <v/>
      </c>
      <c r="T435" s="59"/>
      <c r="U435" s="59"/>
      <c r="V435" s="59"/>
      <c r="W435" s="59"/>
      <c r="X435" s="59"/>
      <c r="Y435" s="59"/>
      <c r="Z435" s="59"/>
      <c r="AA435" s="59"/>
      <c r="AB435" s="59"/>
      <c r="AC435" s="59"/>
      <c r="AD435" s="59"/>
      <c r="AE435" s="59"/>
      <c r="AF435" s="59"/>
      <c r="AG435" s="59"/>
      <c r="AH435" s="59"/>
      <c r="AI435" s="59" t="str">
        <f>IF(SUM(Dati[[#This Row],[Inv. Business]:[Inv. Cryptocurrency]])=0," ",SUM(Dati[[#This Row],[Inv. Business]:[Inv. Cryptocurrency]]))</f>
        <v xml:space="preserve"> </v>
      </c>
      <c r="AJ435" s="59"/>
      <c r="AK435" s="59" t="str">
        <f>IF(SUM(Dati[[#This Row],[Inv. Gold]:[Mutuo]])=0," ",SUM(Dati[[#This Row],[Inv. Gold]:[Mutuo]]))</f>
        <v xml:space="preserve"> </v>
      </c>
      <c r="AL435" s="59"/>
      <c r="AM435" s="59"/>
    </row>
    <row r="436" spans="2:39" ht="16" customHeight="1" x14ac:dyDescent="0.35">
      <c r="B436">
        <f t="shared" si="18"/>
        <v>416</v>
      </c>
      <c r="C436" s="49">
        <v>45276</v>
      </c>
      <c r="D436" s="29">
        <f>DAY(Dati[[#This Row],[Data]])</f>
        <v>16</v>
      </c>
      <c r="E436" s="29" t="str">
        <f>IF(DAY(Data!$C$21:$C$1327)&gt;0,TEXT(Data!$C$21:$C$1327, "mmmm"),"")</f>
        <v>dicembre</v>
      </c>
      <c r="F436" s="29" t="str">
        <f>IF(DAY(Data!$C$21:$C$1327)&gt;0,TEXT(Data!$C$21:$C$1327, "aaaa"),"")</f>
        <v>2023</v>
      </c>
      <c r="I436" t="str">
        <f>IF(OR(H436=$B$5,H436=$B$6,H436=$B$7,H436=$B$8,H436=$B$9,H436=$B$10,H436=$B$11,H436=$B$12,H436=$B$13,H436=$B$14),SottocategorieUscite[[#Headers],[Fuori Casa]],IF(OR(H436=$C$5,H436=$C$6,H436=$C$7,H436=$C$8,H436=$C$9,H436=$C$10,H436=$C$11,H436=$C$12,H436=$C$13,H436=$C$14),SottocategorieUscite[[#Headers],[Varie Uscite]],IF(OR(H436=$D$5,H436=$D$6,H436=$D$7,H436=$D$8,H436=$D$9,H436=$D$10,H436=$D$11,H436=$D$12,H436=$D$13,H436=$D$14),SottocategorieUscite[[#Headers],[Personali]],IF(OR(H436=$E$5,H436=$E$6,H436=$E$7,H436=$E$8,H436=$E$9,H436=$E$10,H436=$E$11,H436=$E$12,H436=$E$13,H436=$E$14),SottocategorieUscite[[#Headers],[Lavoro]],IF(OR(H436=$F$5,H436=$F$6,H436=$F$7,H436=$F$8,H436=$F$9,H436=$F$10,H436=$F$11,H436=$F$12,H436=$F$13,H436=$F$14),SottocategorieUscite[[#Headers],[Casa]],IF(OR(H436=$G$5,H436=$G$6,H436=$G$7,H436=$G$8,H436=$G$9,H436=$G$10,H436=$G$11,H436=$G$12,H436=$G$13,H436=$G$14),SottocategorieUscite[[#Headers],[Utenze]],IF(OR(H436=$H$5,H436=$H$6,H436=$H$7,H436=$H$8,H436=$H$9,H436=$H$10,H436=$H$11,H436=$H$12,H436=$H$13,H436=$H$14),SottocategorieUscite[[#Headers],[Business Uscite]],IF(OR(H436=$I$5,H436=$I$6,H436=$I$7,H436=$I$8,H436=$I$9,H436=$I$10,H436=$I$11,H436=$I$12,H436=$I$13,H436=$I$14),SottocategorieUscite[[#Headers],[Banca]],IF(OR(H436=K$5,H436=K$6,H436=K$7,H436=K$8,H436=K$9,H436=K$10,H436=K$11,H436=K$12,H436=K$13,H436=K$14),SottocategorieEntrate[[#Headers],[Business Entrate]],IF(OR(H436=L$5,H436=L$6,H436=L$7,H436=L$8,H436=L$9,H436=L$10,H436=L$11,H436=L$12,H436=L$13,H436=L$14),SottocategorieEntrate[[#Headers],[Varie Entrate]],IF(OR(H436=M$5,H436=M$6,H436=M$7,H436=M$8,H436=M$9,H436=M$10,H436=M$11,H436=M$12,H436=M$13,H436=M$14),SottocategorieEntrate[[#Headers],[Real Estate]],IF(OR(H436=N$5,H436=N$6,H436=N$7,H436=N$8,H436=N$9,H436=N$10,H436=N$11,H436=N$12,H436=N$13,H436=N$14),SottocategorieEntrate[[#Headers],[Other]],""))))))))))))</f>
        <v/>
      </c>
      <c r="J436" t="str">
        <f>IF(OR(Dati[[#This Row],[Categoria]]="Bollette",Dati[[#This Row],[Categoria]]="Conto &amp; Carte BNL",Dati[[#This Row],[Categoria]]="Prelievo",Dati[[#This Row],[Categoria]]="Affitto",Dati[[#This Row],[Categoria]]="BNL(Interessi Creditori)"),"Carta",IF(Dati[[#This Row],[Categoria]]&lt;&gt;0,"Cash",""))</f>
        <v/>
      </c>
      <c r="K436" s="59" t="str">
        <f>IF(OR(Data!$I436=SottocategorieUscite[[#Headers],[Fuori Casa]],Data!$I436=SottocategorieUscite[[#Headers],[Varie Uscite]],Data!$I436=SottocategorieUscite[[#Headers],[Personali]],Data!$I436=SottocategorieUscite[[#Headers],[Lavoro]]),"$ -","")</f>
        <v/>
      </c>
      <c r="L436" s="59" t="str">
        <f>IF(OR(Data!$I436=SottocategorieUscite[[#Headers],[Casa]],Data!$I436=SottocategorieUscite[[#Headers],[Utenze]],Data!$I436=SottocategorieUscite[[#Headers],[Business Uscite]],Data!$I436=SottocategorieUscite[[#Headers],[Banca]]),"$ -","")</f>
        <v/>
      </c>
      <c r="M436" s="59" t="str">
        <f>IF(OR($I436&lt;&gt;SottocategorieUscite[[#Headers],[Fuori Casa]],$I436&lt;&gt;SottocategorieUscite[[#Headers],[Varie Uscite]],$I436&lt;&gt;SottocategorieUscite[[#Headers],[Personali]],$I436&lt;&gt;SottocategorieUscite[[#Headers],[Lavoro]],$I436&lt;&gt;SottocategorieUscite[[#Headers],[Casa]],$I436&lt;&gt;SottocategorieUscite[[#Headers],[Utenze]],$I436&lt;&gt;SottocategorieUscite[[#Headers],[Business Uscite]],$I436&lt;&gt;SottocategorieUscite[[#Headers],[Banca]]),"","$ -")</f>
        <v/>
      </c>
      <c r="N436" s="59" t="str">
        <f>IF(OR(Data!$I436=SottocategorieEntrate[[#Headers],[Business Entrate]],Data!$I436=SottocategorieEntrate[[#Headers],[Varie Entrate]]),"$ -","")</f>
        <v/>
      </c>
      <c r="O436" s="59" t="str">
        <f>IF(OR(Data!$I436=SottocategorieEntrate[[#Headers],[Real Estate]],SottocategorieEntrate[[#Headers],[Other]]),"$ -","")</f>
        <v/>
      </c>
      <c r="P436" s="59" t="str">
        <f>IF(OR($I436&lt;&gt;SottocategorieEntrate[[#Headers],[Business Entrate]],$I436&lt;&gt;SottocategorieEntrate[[#Headers],[Varie Entrate]],$I436&lt;&gt;SottocategorieEntrate[[#Headers],[Real Estate]],$I436&lt;&gt;SottocategorieEntrate[[#Headers],[Other]]),"","$ -")</f>
        <v/>
      </c>
      <c r="Q436" s="59" t="str">
        <f>IF(Dati[[#This Row],[Categoria]]="Prelievo","€ -","")</f>
        <v/>
      </c>
      <c r="R436" s="244"/>
      <c r="S436" s="59" t="str">
        <f>IF(Dati[[#This Row],[Categoria]]="Savings",0,"")</f>
        <v/>
      </c>
      <c r="T436" s="59"/>
      <c r="U436" s="59"/>
      <c r="V436" s="59"/>
      <c r="W436" s="59"/>
      <c r="X436" s="59"/>
      <c r="Y436" s="59"/>
      <c r="Z436" s="59"/>
      <c r="AA436" s="59"/>
      <c r="AB436" s="59"/>
      <c r="AC436" s="59"/>
      <c r="AD436" s="59"/>
      <c r="AE436" s="59"/>
      <c r="AF436" s="59"/>
      <c r="AG436" s="59"/>
      <c r="AH436" s="59"/>
      <c r="AI436" s="59" t="str">
        <f>IF(SUM(Dati[[#This Row],[Inv. Business]:[Inv. Cryptocurrency]])=0," ",SUM(Dati[[#This Row],[Inv. Business]:[Inv. Cryptocurrency]]))</f>
        <v xml:space="preserve"> </v>
      </c>
      <c r="AJ436" s="59"/>
      <c r="AK436" s="59" t="str">
        <f>IF(SUM(Dati[[#This Row],[Inv. Gold]:[Mutuo]])=0," ",SUM(Dati[[#This Row],[Inv. Gold]:[Mutuo]]))</f>
        <v xml:space="preserve"> </v>
      </c>
      <c r="AL436" s="59"/>
      <c r="AM436" s="59"/>
    </row>
    <row r="437" spans="2:39" ht="16" customHeight="1" x14ac:dyDescent="0.35">
      <c r="B437">
        <f t="shared" si="18"/>
        <v>417</v>
      </c>
      <c r="C437" s="49">
        <f>C434+1</f>
        <v>45277</v>
      </c>
      <c r="D437" s="29">
        <f>DAY(Dati[[#This Row],[Data]])</f>
        <v>17</v>
      </c>
      <c r="E437" s="29" t="str">
        <f>IF(DAY(Data!$C$21:$C$1327)&gt;0,TEXT(Data!$C$21:$C$1327, "mmmm"),"")</f>
        <v>dicembre</v>
      </c>
      <c r="F437" s="29" t="str">
        <f>IF(DAY(Data!$C$21:$C$1327)&gt;0,TEXT(Data!$C$21:$C$1327, "aaaa"),"")</f>
        <v>2023</v>
      </c>
      <c r="I437" t="str">
        <f>IF(OR(H437=$B$5,H437=$B$6,H437=$B$7,H437=$B$8,H437=$B$9,H437=$B$10,H437=$B$11,H437=$B$12,H437=$B$13,H437=$B$14),SottocategorieUscite[[#Headers],[Fuori Casa]],IF(OR(H437=$C$5,H437=$C$6,H437=$C$7,H437=$C$8,H437=$C$9,H437=$C$10,H437=$C$11,H437=$C$12,H437=$C$13,H437=$C$14),SottocategorieUscite[[#Headers],[Varie Uscite]],IF(OR(H437=$D$5,H437=$D$6,H437=$D$7,H437=$D$8,H437=$D$9,H437=$D$10,H437=$D$11,H437=$D$12,H437=$D$13,H437=$D$14),SottocategorieUscite[[#Headers],[Personali]],IF(OR(H437=$E$5,H437=$E$6,H437=$E$7,H437=$E$8,H437=$E$9,H437=$E$10,H437=$E$11,H437=$E$12,H437=$E$13,H437=$E$14),SottocategorieUscite[[#Headers],[Lavoro]],IF(OR(H437=$F$5,H437=$F$6,H437=$F$7,H437=$F$8,H437=$F$9,H437=$F$10,H437=$F$11,H437=$F$12,H437=$F$13,H437=$F$14),SottocategorieUscite[[#Headers],[Casa]],IF(OR(H437=$G$5,H437=$G$6,H437=$G$7,H437=$G$8,H437=$G$9,H437=$G$10,H437=$G$11,H437=$G$12,H437=$G$13,H437=$G$14),SottocategorieUscite[[#Headers],[Utenze]],IF(OR(H437=$H$5,H437=$H$6,H437=$H$7,H437=$H$8,H437=$H$9,H437=$H$10,H437=$H$11,H437=$H$12,H437=$H$13,H437=$H$14),SottocategorieUscite[[#Headers],[Business Uscite]],IF(OR(H437=$I$5,H437=$I$6,H437=$I$7,H437=$I$8,H437=$I$9,H437=$I$10,H437=$I$11,H437=$I$12,H437=$I$13,H437=$I$14),SottocategorieUscite[[#Headers],[Banca]],IF(OR(H437=K$5,H437=K$6,H437=K$7,H437=K$8,H437=K$9,H437=K$10,H437=K$11,H437=K$12,H437=K$13,H437=K$14),SottocategorieEntrate[[#Headers],[Business Entrate]],IF(OR(H437=L$5,H437=L$6,H437=L$7,H437=L$8,H437=L$9,H437=L$10,H437=L$11,H437=L$12,H437=L$13,H437=L$14),SottocategorieEntrate[[#Headers],[Varie Entrate]],IF(OR(H437=M$5,H437=M$6,H437=M$7,H437=M$8,H437=M$9,H437=M$10,H437=M$11,H437=M$12,H437=M$13,H437=M$14),SottocategorieEntrate[[#Headers],[Real Estate]],IF(OR(H437=N$5,H437=N$6,H437=N$7,H437=N$8,H437=N$9,H437=N$10,H437=N$11,H437=N$12,H437=N$13,H437=N$14),SottocategorieEntrate[[#Headers],[Other]],""))))))))))))</f>
        <v/>
      </c>
      <c r="J437" t="str">
        <f>IF(OR(Dati[[#This Row],[Categoria]]="Bollette",Dati[[#This Row],[Categoria]]="Conto &amp; Carte BNL",Dati[[#This Row],[Categoria]]="Prelievo",Dati[[#This Row],[Categoria]]="Affitto",Dati[[#This Row],[Categoria]]="BNL(Interessi Creditori)"),"Carta",IF(Dati[[#This Row],[Categoria]]&lt;&gt;0,"Cash",""))</f>
        <v/>
      </c>
      <c r="K437" s="59" t="str">
        <f>IF(OR(Data!$I437=SottocategorieUscite[[#Headers],[Fuori Casa]],Data!$I437=SottocategorieUscite[[#Headers],[Varie Uscite]],Data!$I437=SottocategorieUscite[[#Headers],[Personali]],Data!$I437=SottocategorieUscite[[#Headers],[Lavoro]]),"$ -","")</f>
        <v/>
      </c>
      <c r="L437" s="59" t="str">
        <f>IF(OR(Data!$I437=SottocategorieUscite[[#Headers],[Casa]],Data!$I437=SottocategorieUscite[[#Headers],[Utenze]],Data!$I437=SottocategorieUscite[[#Headers],[Business Uscite]],Data!$I437=SottocategorieUscite[[#Headers],[Banca]]),"$ -","")</f>
        <v/>
      </c>
      <c r="M437" s="59" t="str">
        <f>IF(OR($I437&lt;&gt;SottocategorieUscite[[#Headers],[Fuori Casa]],$I437&lt;&gt;SottocategorieUscite[[#Headers],[Varie Uscite]],$I437&lt;&gt;SottocategorieUscite[[#Headers],[Personali]],$I437&lt;&gt;SottocategorieUscite[[#Headers],[Lavoro]],$I437&lt;&gt;SottocategorieUscite[[#Headers],[Casa]],$I437&lt;&gt;SottocategorieUscite[[#Headers],[Utenze]],$I437&lt;&gt;SottocategorieUscite[[#Headers],[Business Uscite]],$I437&lt;&gt;SottocategorieUscite[[#Headers],[Banca]]),"","$ -")</f>
        <v/>
      </c>
      <c r="N437" s="59" t="str">
        <f>IF(OR(Data!$I437=SottocategorieEntrate[[#Headers],[Business Entrate]],Data!$I437=SottocategorieEntrate[[#Headers],[Varie Entrate]]),"$ -","")</f>
        <v/>
      </c>
      <c r="O437" s="59" t="str">
        <f>IF(OR(Data!$I437=SottocategorieEntrate[[#Headers],[Real Estate]],SottocategorieEntrate[[#Headers],[Other]]),"$ -","")</f>
        <v/>
      </c>
      <c r="P437" s="59" t="str">
        <f>IF(OR($I437&lt;&gt;SottocategorieEntrate[[#Headers],[Business Entrate]],$I437&lt;&gt;SottocategorieEntrate[[#Headers],[Varie Entrate]],$I437&lt;&gt;SottocategorieEntrate[[#Headers],[Real Estate]],$I437&lt;&gt;SottocategorieEntrate[[#Headers],[Other]]),"","$ -")</f>
        <v/>
      </c>
      <c r="Q437" s="59" t="str">
        <f>IF(Dati[[#This Row],[Categoria]]="Prelievo","€ -","")</f>
        <v/>
      </c>
      <c r="R437" s="244"/>
      <c r="S437" s="59" t="str">
        <f>IF(Dati[[#This Row],[Categoria]]="Savings",0,"")</f>
        <v/>
      </c>
      <c r="T437" s="59"/>
      <c r="U437" s="59"/>
      <c r="V437" s="59"/>
      <c r="W437" s="59"/>
      <c r="X437" s="59"/>
      <c r="Y437" s="59"/>
      <c r="Z437" s="59"/>
      <c r="AA437" s="59"/>
      <c r="AB437" s="59"/>
      <c r="AC437" s="59"/>
      <c r="AD437" s="59"/>
      <c r="AE437" s="59"/>
      <c r="AF437" s="59"/>
      <c r="AG437" s="59"/>
      <c r="AH437" s="59"/>
      <c r="AI437" s="59" t="str">
        <f>IF(SUM(Dati[[#This Row],[Inv. Business]:[Inv. Cryptocurrency]])=0," ",SUM(Dati[[#This Row],[Inv. Business]:[Inv. Cryptocurrency]]))</f>
        <v xml:space="preserve"> </v>
      </c>
      <c r="AJ437" s="59"/>
      <c r="AK437" s="59" t="str">
        <f>IF(SUM(Dati[[#This Row],[Inv. Gold]:[Mutuo]])=0," ",SUM(Dati[[#This Row],[Inv. Gold]:[Mutuo]]))</f>
        <v xml:space="preserve"> </v>
      </c>
      <c r="AL437" s="59"/>
      <c r="AM437" s="59"/>
    </row>
    <row r="438" spans="2:39" ht="16" customHeight="1" x14ac:dyDescent="0.35">
      <c r="B438">
        <f t="shared" si="18"/>
        <v>418</v>
      </c>
      <c r="C438" s="49">
        <f t="shared" si="17"/>
        <v>45278</v>
      </c>
      <c r="D438" s="29">
        <f>DAY(Dati[[#This Row],[Data]])</f>
        <v>18</v>
      </c>
      <c r="E438" s="29" t="str">
        <f>IF(DAY(Data!$C$21:$C$1327)&gt;0,TEXT(Data!$C$21:$C$1327, "mmmm"),"")</f>
        <v>dicembre</v>
      </c>
      <c r="F438" s="29" t="str">
        <f>IF(DAY(Data!$C$21:$C$1327)&gt;0,TEXT(Data!$C$21:$C$1327, "aaaa"),"")</f>
        <v>2023</v>
      </c>
      <c r="I438" t="str">
        <f>IF(OR(H438=$B$5,H438=$B$6,H438=$B$7,H438=$B$8,H438=$B$9,H438=$B$10,H438=$B$11,H438=$B$12,H438=$B$13,H438=$B$14),SottocategorieUscite[[#Headers],[Fuori Casa]],IF(OR(H438=$C$5,H438=$C$6,H438=$C$7,H438=$C$8,H438=$C$9,H438=$C$10,H438=$C$11,H438=$C$12,H438=$C$13,H438=$C$14),SottocategorieUscite[[#Headers],[Varie Uscite]],IF(OR(H438=$D$5,H438=$D$6,H438=$D$7,H438=$D$8,H438=$D$9,H438=$D$10,H438=$D$11,H438=$D$12,H438=$D$13,H438=$D$14),SottocategorieUscite[[#Headers],[Personali]],IF(OR(H438=$E$5,H438=$E$6,H438=$E$7,H438=$E$8,H438=$E$9,H438=$E$10,H438=$E$11,H438=$E$12,H438=$E$13,H438=$E$14),SottocategorieUscite[[#Headers],[Lavoro]],IF(OR(H438=$F$5,H438=$F$6,H438=$F$7,H438=$F$8,H438=$F$9,H438=$F$10,H438=$F$11,H438=$F$12,H438=$F$13,H438=$F$14),SottocategorieUscite[[#Headers],[Casa]],IF(OR(H438=$G$5,H438=$G$6,H438=$G$7,H438=$G$8,H438=$G$9,H438=$G$10,H438=$G$11,H438=$G$12,H438=$G$13,H438=$G$14),SottocategorieUscite[[#Headers],[Utenze]],IF(OR(H438=$H$5,H438=$H$6,H438=$H$7,H438=$H$8,H438=$H$9,H438=$H$10,H438=$H$11,H438=$H$12,H438=$H$13,H438=$H$14),SottocategorieUscite[[#Headers],[Business Uscite]],IF(OR(H438=$I$5,H438=$I$6,H438=$I$7,H438=$I$8,H438=$I$9,H438=$I$10,H438=$I$11,H438=$I$12,H438=$I$13,H438=$I$14),SottocategorieUscite[[#Headers],[Banca]],IF(OR(H438=K$5,H438=K$6,H438=K$7,H438=K$8,H438=K$9,H438=K$10,H438=K$11,H438=K$12,H438=K$13,H438=K$14),SottocategorieEntrate[[#Headers],[Business Entrate]],IF(OR(H438=L$5,H438=L$6,H438=L$7,H438=L$8,H438=L$9,H438=L$10,H438=L$11,H438=L$12,H438=L$13,H438=L$14),SottocategorieEntrate[[#Headers],[Varie Entrate]],IF(OR(H438=M$5,H438=M$6,H438=M$7,H438=M$8,H438=M$9,H438=M$10,H438=M$11,H438=M$12,H438=M$13,H438=M$14),SottocategorieEntrate[[#Headers],[Real Estate]],IF(OR(H438=N$5,H438=N$6,H438=N$7,H438=N$8,H438=N$9,H438=N$10,H438=N$11,H438=N$12,H438=N$13,H438=N$14),SottocategorieEntrate[[#Headers],[Other]],""))))))))))))</f>
        <v/>
      </c>
      <c r="J438" t="str">
        <f>IF(OR(Dati[[#This Row],[Categoria]]="Bollette",Dati[[#This Row],[Categoria]]="Conto &amp; Carte BNL",Dati[[#This Row],[Categoria]]="Prelievo",Dati[[#This Row],[Categoria]]="Affitto",Dati[[#This Row],[Categoria]]="BNL(Interessi Creditori)"),"Carta",IF(Dati[[#This Row],[Categoria]]&lt;&gt;0,"Cash",""))</f>
        <v/>
      </c>
      <c r="K438" s="59" t="str">
        <f>IF(OR(Data!$I438=SottocategorieUscite[[#Headers],[Fuori Casa]],Data!$I438=SottocategorieUscite[[#Headers],[Varie Uscite]],Data!$I438=SottocategorieUscite[[#Headers],[Personali]],Data!$I438=SottocategorieUscite[[#Headers],[Lavoro]]),"$ -","")</f>
        <v/>
      </c>
      <c r="L438" s="59" t="str">
        <f>IF(OR(Data!$I438=SottocategorieUscite[[#Headers],[Casa]],Data!$I438=SottocategorieUscite[[#Headers],[Utenze]],Data!$I438=SottocategorieUscite[[#Headers],[Business Uscite]],Data!$I438=SottocategorieUscite[[#Headers],[Banca]]),"$ -","")</f>
        <v/>
      </c>
      <c r="M438" s="59" t="str">
        <f>IF(OR($I438&lt;&gt;SottocategorieUscite[[#Headers],[Fuori Casa]],$I438&lt;&gt;SottocategorieUscite[[#Headers],[Varie Uscite]],$I438&lt;&gt;SottocategorieUscite[[#Headers],[Personali]],$I438&lt;&gt;SottocategorieUscite[[#Headers],[Lavoro]],$I438&lt;&gt;SottocategorieUscite[[#Headers],[Casa]],$I438&lt;&gt;SottocategorieUscite[[#Headers],[Utenze]],$I438&lt;&gt;SottocategorieUscite[[#Headers],[Business Uscite]],$I438&lt;&gt;SottocategorieUscite[[#Headers],[Banca]]),"","$ -")</f>
        <v/>
      </c>
      <c r="N438" s="59" t="str">
        <f>IF(OR(Data!$I438=SottocategorieEntrate[[#Headers],[Business Entrate]],Data!$I438=SottocategorieEntrate[[#Headers],[Varie Entrate]]),"$ -","")</f>
        <v/>
      </c>
      <c r="O438" s="59" t="str">
        <f>IF(OR(Data!$I438=SottocategorieEntrate[[#Headers],[Real Estate]],SottocategorieEntrate[[#Headers],[Other]]),"$ -","")</f>
        <v/>
      </c>
      <c r="P438" s="59" t="str">
        <f>IF(OR($I438&lt;&gt;SottocategorieEntrate[[#Headers],[Business Entrate]],$I438&lt;&gt;SottocategorieEntrate[[#Headers],[Varie Entrate]],$I438&lt;&gt;SottocategorieEntrate[[#Headers],[Real Estate]],$I438&lt;&gt;SottocategorieEntrate[[#Headers],[Other]]),"","$ -")</f>
        <v/>
      </c>
      <c r="Q438" s="59" t="str">
        <f>IF(Dati[[#This Row],[Categoria]]="Prelievo","€ -","")</f>
        <v/>
      </c>
      <c r="R438" s="244"/>
      <c r="S438" s="59" t="str">
        <f>IF(Dati[[#This Row],[Categoria]]="Savings",0,"")</f>
        <v/>
      </c>
      <c r="T438" s="59"/>
      <c r="U438" s="59"/>
      <c r="V438" s="59"/>
      <c r="W438" s="59"/>
      <c r="X438" s="59"/>
      <c r="Y438" s="59"/>
      <c r="Z438" s="59"/>
      <c r="AA438" s="59"/>
      <c r="AB438" s="59"/>
      <c r="AC438" s="59"/>
      <c r="AD438" s="59"/>
      <c r="AE438" s="59"/>
      <c r="AF438" s="59"/>
      <c r="AG438" s="59"/>
      <c r="AH438" s="59"/>
      <c r="AI438" s="59" t="str">
        <f>IF(SUM(Dati[[#This Row],[Inv. Business]:[Inv. Cryptocurrency]])=0," ",SUM(Dati[[#This Row],[Inv. Business]:[Inv. Cryptocurrency]]))</f>
        <v xml:space="preserve"> </v>
      </c>
      <c r="AJ438" s="59"/>
      <c r="AK438" s="59" t="str">
        <f>IF(SUM(Dati[[#This Row],[Inv. Gold]:[Mutuo]])=0," ",SUM(Dati[[#This Row],[Inv. Gold]:[Mutuo]]))</f>
        <v xml:space="preserve"> </v>
      </c>
      <c r="AL438" s="59"/>
      <c r="AM438" s="59"/>
    </row>
    <row r="439" spans="2:39" ht="16" customHeight="1" x14ac:dyDescent="0.35">
      <c r="B439">
        <f t="shared" si="18"/>
        <v>419</v>
      </c>
      <c r="C439" s="49">
        <v>45278</v>
      </c>
      <c r="D439" s="29">
        <f>DAY(Dati[[#This Row],[Data]])</f>
        <v>18</v>
      </c>
      <c r="E439" s="29" t="str">
        <f>IF(DAY(Data!$C$21:$C$1327)&gt;0,TEXT(Data!$C$21:$C$1327, "mmmm"),"")</f>
        <v>dicembre</v>
      </c>
      <c r="F439" s="29" t="str">
        <f>IF(DAY(Data!$C$21:$C$1327)&gt;0,TEXT(Data!$C$21:$C$1327, "aaaa"),"")</f>
        <v>2023</v>
      </c>
      <c r="I439" t="str">
        <f>IF(OR(H439=$B$5,H439=$B$6,H439=$B$7,H439=$B$8,H439=$B$9,H439=$B$10,H439=$B$11,H439=$B$12,H439=$B$13,H439=$B$14),SottocategorieUscite[[#Headers],[Fuori Casa]],IF(OR(H439=$C$5,H439=$C$6,H439=$C$7,H439=$C$8,H439=$C$9,H439=$C$10,H439=$C$11,H439=$C$12,H439=$C$13,H439=$C$14),SottocategorieUscite[[#Headers],[Varie Uscite]],IF(OR(H439=$D$5,H439=$D$6,H439=$D$7,H439=$D$8,H439=$D$9,H439=$D$10,H439=$D$11,H439=$D$12,H439=$D$13,H439=$D$14),SottocategorieUscite[[#Headers],[Personali]],IF(OR(H439=$E$5,H439=$E$6,H439=$E$7,H439=$E$8,H439=$E$9,H439=$E$10,H439=$E$11,H439=$E$12,H439=$E$13,H439=$E$14),SottocategorieUscite[[#Headers],[Lavoro]],IF(OR(H439=$F$5,H439=$F$6,H439=$F$7,H439=$F$8,H439=$F$9,H439=$F$10,H439=$F$11,H439=$F$12,H439=$F$13,H439=$F$14),SottocategorieUscite[[#Headers],[Casa]],IF(OR(H439=$G$5,H439=$G$6,H439=$G$7,H439=$G$8,H439=$G$9,H439=$G$10,H439=$G$11,H439=$G$12,H439=$G$13,H439=$G$14),SottocategorieUscite[[#Headers],[Utenze]],IF(OR(H439=$H$5,H439=$H$6,H439=$H$7,H439=$H$8,H439=$H$9,H439=$H$10,H439=$H$11,H439=$H$12,H439=$H$13,H439=$H$14),SottocategorieUscite[[#Headers],[Business Uscite]],IF(OR(H439=$I$5,H439=$I$6,H439=$I$7,H439=$I$8,H439=$I$9,H439=$I$10,H439=$I$11,H439=$I$12,H439=$I$13,H439=$I$14),SottocategorieUscite[[#Headers],[Banca]],IF(OR(H439=K$5,H439=K$6,H439=K$7,H439=K$8,H439=K$9,H439=K$10,H439=K$11,H439=K$12,H439=K$13,H439=K$14),SottocategorieEntrate[[#Headers],[Business Entrate]],IF(OR(H439=L$5,H439=L$6,H439=L$7,H439=L$8,H439=L$9,H439=L$10,H439=L$11,H439=L$12,H439=L$13,H439=L$14),SottocategorieEntrate[[#Headers],[Varie Entrate]],IF(OR(H439=M$5,H439=M$6,H439=M$7,H439=M$8,H439=M$9,H439=M$10,H439=M$11,H439=M$12,H439=M$13,H439=M$14),SottocategorieEntrate[[#Headers],[Real Estate]],IF(OR(H439=N$5,H439=N$6,H439=N$7,H439=N$8,H439=N$9,H439=N$10,H439=N$11,H439=N$12,H439=N$13,H439=N$14),SottocategorieEntrate[[#Headers],[Other]],""))))))))))))</f>
        <v/>
      </c>
      <c r="J439" t="str">
        <f>IF(OR(Dati[[#This Row],[Categoria]]="Bollette",Dati[[#This Row],[Categoria]]="Conto &amp; Carte BNL",Dati[[#This Row],[Categoria]]="Prelievo",Dati[[#This Row],[Categoria]]="Affitto",Dati[[#This Row],[Categoria]]="BNL(Interessi Creditori)"),"Carta",IF(Dati[[#This Row],[Categoria]]&lt;&gt;0,"Cash",""))</f>
        <v/>
      </c>
      <c r="K439" s="59" t="str">
        <f>IF(OR(Data!$I439=SottocategorieUscite[[#Headers],[Fuori Casa]],Data!$I439=SottocategorieUscite[[#Headers],[Varie Uscite]],Data!$I439=SottocategorieUscite[[#Headers],[Personali]],Data!$I439=SottocategorieUscite[[#Headers],[Lavoro]]),"$ -","")</f>
        <v/>
      </c>
      <c r="L439" s="59" t="str">
        <f>IF(OR(Data!$I439=SottocategorieUscite[[#Headers],[Casa]],Data!$I439=SottocategorieUscite[[#Headers],[Utenze]],Data!$I439=SottocategorieUscite[[#Headers],[Business Uscite]],Data!$I439=SottocategorieUscite[[#Headers],[Banca]]),"$ -","")</f>
        <v/>
      </c>
      <c r="M439" s="59" t="str">
        <f>IF(OR($I439&lt;&gt;SottocategorieUscite[[#Headers],[Fuori Casa]],$I439&lt;&gt;SottocategorieUscite[[#Headers],[Varie Uscite]],$I439&lt;&gt;SottocategorieUscite[[#Headers],[Personali]],$I439&lt;&gt;SottocategorieUscite[[#Headers],[Lavoro]],$I439&lt;&gt;SottocategorieUscite[[#Headers],[Casa]],$I439&lt;&gt;SottocategorieUscite[[#Headers],[Utenze]],$I439&lt;&gt;SottocategorieUscite[[#Headers],[Business Uscite]],$I439&lt;&gt;SottocategorieUscite[[#Headers],[Banca]]),"","$ -")</f>
        <v/>
      </c>
      <c r="N439" s="59" t="str">
        <f>IF(OR(Data!$I439=SottocategorieEntrate[[#Headers],[Business Entrate]],Data!$I439=SottocategorieEntrate[[#Headers],[Varie Entrate]]),"$ -","")</f>
        <v/>
      </c>
      <c r="O439" s="59" t="str">
        <f>IF(OR(Data!$I439=SottocategorieEntrate[[#Headers],[Real Estate]],SottocategorieEntrate[[#Headers],[Other]]),"$ -","")</f>
        <v/>
      </c>
      <c r="P439" s="59" t="str">
        <f>IF(OR($I439&lt;&gt;SottocategorieEntrate[[#Headers],[Business Entrate]],$I439&lt;&gt;SottocategorieEntrate[[#Headers],[Varie Entrate]],$I439&lt;&gt;SottocategorieEntrate[[#Headers],[Real Estate]],$I439&lt;&gt;SottocategorieEntrate[[#Headers],[Other]]),"","$ -")</f>
        <v/>
      </c>
      <c r="Q439" s="59" t="str">
        <f>IF(Dati[[#This Row],[Categoria]]="Prelievo","€ -","")</f>
        <v/>
      </c>
      <c r="R439" s="244"/>
      <c r="S439" s="59" t="str">
        <f>IF(Dati[[#This Row],[Categoria]]="Savings",0,"")</f>
        <v/>
      </c>
      <c r="T439" s="59"/>
      <c r="U439" s="59"/>
      <c r="V439" s="59"/>
      <c r="W439" s="59"/>
      <c r="X439" s="59"/>
      <c r="Y439" s="59"/>
      <c r="Z439" s="59"/>
      <c r="AA439" s="59"/>
      <c r="AB439" s="59"/>
      <c r="AC439" s="59"/>
      <c r="AD439" s="59"/>
      <c r="AE439" s="59"/>
      <c r="AF439" s="59"/>
      <c r="AG439" s="59"/>
      <c r="AH439" s="59"/>
      <c r="AI439" s="59" t="str">
        <f>IF(SUM(Dati[[#This Row],[Inv. Business]:[Inv. Cryptocurrency]])=0," ",SUM(Dati[[#This Row],[Inv. Business]:[Inv. Cryptocurrency]]))</f>
        <v xml:space="preserve"> </v>
      </c>
      <c r="AJ439" s="59"/>
      <c r="AK439" s="59" t="str">
        <f>IF(SUM(Dati[[#This Row],[Inv. Gold]:[Mutuo]])=0," ",SUM(Dati[[#This Row],[Inv. Gold]:[Mutuo]]))</f>
        <v xml:space="preserve"> </v>
      </c>
      <c r="AL439" s="59"/>
      <c r="AM439" s="59"/>
    </row>
    <row r="440" spans="2:39" ht="16" customHeight="1" x14ac:dyDescent="0.35">
      <c r="B440">
        <f t="shared" si="18"/>
        <v>420</v>
      </c>
      <c r="C440" s="49">
        <v>45278</v>
      </c>
      <c r="D440" s="29">
        <f>DAY(Dati[[#This Row],[Data]])</f>
        <v>18</v>
      </c>
      <c r="E440" s="29" t="str">
        <f>IF(DAY(Data!$C$21:$C$1327)&gt;0,TEXT(Data!$C$21:$C$1327, "mmmm"),"")</f>
        <v>dicembre</v>
      </c>
      <c r="F440" s="29" t="str">
        <f>IF(DAY(Data!$C$21:$C$1327)&gt;0,TEXT(Data!$C$21:$C$1327, "aaaa"),"")</f>
        <v>2023</v>
      </c>
      <c r="I440" t="str">
        <f>IF(OR(H440=$B$5,H440=$B$6,H440=$B$7,H440=$B$8,H440=$B$9,H440=$B$10,H440=$B$11,H440=$B$12,H440=$B$13,H440=$B$14),SottocategorieUscite[[#Headers],[Fuori Casa]],IF(OR(H440=$C$5,H440=$C$6,H440=$C$7,H440=$C$8,H440=$C$9,H440=$C$10,H440=$C$11,H440=$C$12,H440=$C$13,H440=$C$14),SottocategorieUscite[[#Headers],[Varie Uscite]],IF(OR(H440=$D$5,H440=$D$6,H440=$D$7,H440=$D$8,H440=$D$9,H440=$D$10,H440=$D$11,H440=$D$12,H440=$D$13,H440=$D$14),SottocategorieUscite[[#Headers],[Personali]],IF(OR(H440=$E$5,H440=$E$6,H440=$E$7,H440=$E$8,H440=$E$9,H440=$E$10,H440=$E$11,H440=$E$12,H440=$E$13,H440=$E$14),SottocategorieUscite[[#Headers],[Lavoro]],IF(OR(H440=$F$5,H440=$F$6,H440=$F$7,H440=$F$8,H440=$F$9,H440=$F$10,H440=$F$11,H440=$F$12,H440=$F$13,H440=$F$14),SottocategorieUscite[[#Headers],[Casa]],IF(OR(H440=$G$5,H440=$G$6,H440=$G$7,H440=$G$8,H440=$G$9,H440=$G$10,H440=$G$11,H440=$G$12,H440=$G$13,H440=$G$14),SottocategorieUscite[[#Headers],[Utenze]],IF(OR(H440=$H$5,H440=$H$6,H440=$H$7,H440=$H$8,H440=$H$9,H440=$H$10,H440=$H$11,H440=$H$12,H440=$H$13,H440=$H$14),SottocategorieUscite[[#Headers],[Business Uscite]],IF(OR(H440=$I$5,H440=$I$6,H440=$I$7,H440=$I$8,H440=$I$9,H440=$I$10,H440=$I$11,H440=$I$12,H440=$I$13,H440=$I$14),SottocategorieUscite[[#Headers],[Banca]],IF(OR(H440=K$5,H440=K$6,H440=K$7,H440=K$8,H440=K$9,H440=K$10,H440=K$11,H440=K$12,H440=K$13,H440=K$14),SottocategorieEntrate[[#Headers],[Business Entrate]],IF(OR(H440=L$5,H440=L$6,H440=L$7,H440=L$8,H440=L$9,H440=L$10,H440=L$11,H440=L$12,H440=L$13,H440=L$14),SottocategorieEntrate[[#Headers],[Varie Entrate]],IF(OR(H440=M$5,H440=M$6,H440=M$7,H440=M$8,H440=M$9,H440=M$10,H440=M$11,H440=M$12,H440=M$13,H440=M$14),SottocategorieEntrate[[#Headers],[Real Estate]],IF(OR(H440=N$5,H440=N$6,H440=N$7,H440=N$8,H440=N$9,H440=N$10,H440=N$11,H440=N$12,H440=N$13,H440=N$14),SottocategorieEntrate[[#Headers],[Other]],""))))))))))))</f>
        <v/>
      </c>
      <c r="J440" t="str">
        <f>IF(OR(Dati[[#This Row],[Categoria]]="Bollette",Dati[[#This Row],[Categoria]]="Conto &amp; Carte BNL",Dati[[#This Row],[Categoria]]="Prelievo",Dati[[#This Row],[Categoria]]="Affitto",Dati[[#This Row],[Categoria]]="BNL(Interessi Creditori)"),"Carta",IF(Dati[[#This Row],[Categoria]]&lt;&gt;0,"Cash",""))</f>
        <v/>
      </c>
      <c r="K440" s="59" t="str">
        <f>IF(OR(Data!$I440=SottocategorieUscite[[#Headers],[Fuori Casa]],Data!$I440=SottocategorieUscite[[#Headers],[Varie Uscite]],Data!$I440=SottocategorieUscite[[#Headers],[Personali]],Data!$I440=SottocategorieUscite[[#Headers],[Lavoro]]),"$ -","")</f>
        <v/>
      </c>
      <c r="L440" s="59" t="str">
        <f>IF(OR(Data!$I440=SottocategorieUscite[[#Headers],[Casa]],Data!$I440=SottocategorieUscite[[#Headers],[Utenze]],Data!$I440=SottocategorieUscite[[#Headers],[Business Uscite]],Data!$I440=SottocategorieUscite[[#Headers],[Banca]]),"$ -","")</f>
        <v/>
      </c>
      <c r="M440" s="59" t="str">
        <f>IF(OR($I440&lt;&gt;SottocategorieUscite[[#Headers],[Fuori Casa]],$I440&lt;&gt;SottocategorieUscite[[#Headers],[Varie Uscite]],$I440&lt;&gt;SottocategorieUscite[[#Headers],[Personali]],$I440&lt;&gt;SottocategorieUscite[[#Headers],[Lavoro]],$I440&lt;&gt;SottocategorieUscite[[#Headers],[Casa]],$I440&lt;&gt;SottocategorieUscite[[#Headers],[Utenze]],$I440&lt;&gt;SottocategorieUscite[[#Headers],[Business Uscite]],$I440&lt;&gt;SottocategorieUscite[[#Headers],[Banca]]),"","$ -")</f>
        <v/>
      </c>
      <c r="N440" s="59" t="str">
        <f>IF(OR(Data!$I440=SottocategorieEntrate[[#Headers],[Business Entrate]],Data!$I440=SottocategorieEntrate[[#Headers],[Varie Entrate]]),"$ -","")</f>
        <v/>
      </c>
      <c r="O440" s="59" t="str">
        <f>IF(OR(Data!$I440=SottocategorieEntrate[[#Headers],[Real Estate]],SottocategorieEntrate[[#Headers],[Other]]),"$ -","")</f>
        <v/>
      </c>
      <c r="P440" s="59" t="str">
        <f>IF(OR($I440&lt;&gt;SottocategorieEntrate[[#Headers],[Business Entrate]],$I440&lt;&gt;SottocategorieEntrate[[#Headers],[Varie Entrate]],$I440&lt;&gt;SottocategorieEntrate[[#Headers],[Real Estate]],$I440&lt;&gt;SottocategorieEntrate[[#Headers],[Other]]),"","$ -")</f>
        <v/>
      </c>
      <c r="Q440" s="59" t="str">
        <f>IF(Dati[[#This Row],[Categoria]]="Prelievo","€ -","")</f>
        <v/>
      </c>
      <c r="R440" s="244"/>
      <c r="S440" s="59" t="str">
        <f>IF(Dati[[#This Row],[Categoria]]="Savings",0,"")</f>
        <v/>
      </c>
      <c r="T440" s="59"/>
      <c r="U440" s="59"/>
      <c r="V440" s="59"/>
      <c r="W440" s="59"/>
      <c r="X440" s="59"/>
      <c r="Y440" s="59"/>
      <c r="Z440" s="59"/>
      <c r="AA440" s="59"/>
      <c r="AB440" s="59"/>
      <c r="AC440" s="59"/>
      <c r="AD440" s="59"/>
      <c r="AE440" s="59"/>
      <c r="AF440" s="59"/>
      <c r="AG440" s="59"/>
      <c r="AH440" s="59"/>
      <c r="AI440" s="59" t="str">
        <f>IF(SUM(Dati[[#This Row],[Inv. Business]:[Inv. Cryptocurrency]])=0," ",SUM(Dati[[#This Row],[Inv. Business]:[Inv. Cryptocurrency]]))</f>
        <v xml:space="preserve"> </v>
      </c>
      <c r="AJ440" s="59"/>
      <c r="AK440" s="59" t="str">
        <f>IF(SUM(Dati[[#This Row],[Inv. Gold]:[Mutuo]])=0," ",SUM(Dati[[#This Row],[Inv. Gold]:[Mutuo]]))</f>
        <v xml:space="preserve"> </v>
      </c>
      <c r="AL440" s="59"/>
      <c r="AM440" s="59"/>
    </row>
    <row r="441" spans="2:39" ht="16" customHeight="1" x14ac:dyDescent="0.35">
      <c r="B441">
        <f t="shared" si="18"/>
        <v>421</v>
      </c>
      <c r="C441" s="49">
        <f>C438+1</f>
        <v>45279</v>
      </c>
      <c r="D441" s="29">
        <f>DAY(Dati[[#This Row],[Data]])</f>
        <v>19</v>
      </c>
      <c r="E441" s="29" t="str">
        <f>IF(DAY(Data!$C$21:$C$1327)&gt;0,TEXT(Data!$C$21:$C$1327, "mmmm"),"")</f>
        <v>dicembre</v>
      </c>
      <c r="F441" s="29" t="str">
        <f>IF(DAY(Data!$C$21:$C$1327)&gt;0,TEXT(Data!$C$21:$C$1327, "aaaa"),"")</f>
        <v>2023</v>
      </c>
      <c r="I441" t="str">
        <f>IF(OR(H441=$B$5,H441=$B$6,H441=$B$7,H441=$B$8,H441=$B$9,H441=$B$10,H441=$B$11,H441=$B$12,H441=$B$13,H441=$B$14),SottocategorieUscite[[#Headers],[Fuori Casa]],IF(OR(H441=$C$5,H441=$C$6,H441=$C$7,H441=$C$8,H441=$C$9,H441=$C$10,H441=$C$11,H441=$C$12,H441=$C$13,H441=$C$14),SottocategorieUscite[[#Headers],[Varie Uscite]],IF(OR(H441=$D$5,H441=$D$6,H441=$D$7,H441=$D$8,H441=$D$9,H441=$D$10,H441=$D$11,H441=$D$12,H441=$D$13,H441=$D$14),SottocategorieUscite[[#Headers],[Personali]],IF(OR(H441=$E$5,H441=$E$6,H441=$E$7,H441=$E$8,H441=$E$9,H441=$E$10,H441=$E$11,H441=$E$12,H441=$E$13,H441=$E$14),SottocategorieUscite[[#Headers],[Lavoro]],IF(OR(H441=$F$5,H441=$F$6,H441=$F$7,H441=$F$8,H441=$F$9,H441=$F$10,H441=$F$11,H441=$F$12,H441=$F$13,H441=$F$14),SottocategorieUscite[[#Headers],[Casa]],IF(OR(H441=$G$5,H441=$G$6,H441=$G$7,H441=$G$8,H441=$G$9,H441=$G$10,H441=$G$11,H441=$G$12,H441=$G$13,H441=$G$14),SottocategorieUscite[[#Headers],[Utenze]],IF(OR(H441=$H$5,H441=$H$6,H441=$H$7,H441=$H$8,H441=$H$9,H441=$H$10,H441=$H$11,H441=$H$12,H441=$H$13,H441=$H$14),SottocategorieUscite[[#Headers],[Business Uscite]],IF(OR(H441=$I$5,H441=$I$6,H441=$I$7,H441=$I$8,H441=$I$9,H441=$I$10,H441=$I$11,H441=$I$12,H441=$I$13,H441=$I$14),SottocategorieUscite[[#Headers],[Banca]],IF(OR(H441=K$5,H441=K$6,H441=K$7,H441=K$8,H441=K$9,H441=K$10,H441=K$11,H441=K$12,H441=K$13,H441=K$14),SottocategorieEntrate[[#Headers],[Business Entrate]],IF(OR(H441=L$5,H441=L$6,H441=L$7,H441=L$8,H441=L$9,H441=L$10,H441=L$11,H441=L$12,H441=L$13,H441=L$14),SottocategorieEntrate[[#Headers],[Varie Entrate]],IF(OR(H441=M$5,H441=M$6,H441=M$7,H441=M$8,H441=M$9,H441=M$10,H441=M$11,H441=M$12,H441=M$13,H441=M$14),SottocategorieEntrate[[#Headers],[Real Estate]],IF(OR(H441=N$5,H441=N$6,H441=N$7,H441=N$8,H441=N$9,H441=N$10,H441=N$11,H441=N$12,H441=N$13,H441=N$14),SottocategorieEntrate[[#Headers],[Other]],""))))))))))))</f>
        <v/>
      </c>
      <c r="J441" t="str">
        <f>IF(OR(Dati[[#This Row],[Categoria]]="Bollette",Dati[[#This Row],[Categoria]]="Conto &amp; Carte BNL",Dati[[#This Row],[Categoria]]="Prelievo",Dati[[#This Row],[Categoria]]="Affitto",Dati[[#This Row],[Categoria]]="BNL(Interessi Creditori)"),"Carta",IF(Dati[[#This Row],[Categoria]]&lt;&gt;0,"Cash",""))</f>
        <v/>
      </c>
      <c r="K441" s="59" t="str">
        <f>IF(OR(Data!$I441=SottocategorieUscite[[#Headers],[Fuori Casa]],Data!$I441=SottocategorieUscite[[#Headers],[Varie Uscite]],Data!$I441=SottocategorieUscite[[#Headers],[Personali]],Data!$I441=SottocategorieUscite[[#Headers],[Lavoro]]),"$ -","")</f>
        <v/>
      </c>
      <c r="L441" s="59" t="str">
        <f>IF(OR(Data!$I441=SottocategorieUscite[[#Headers],[Casa]],Data!$I441=SottocategorieUscite[[#Headers],[Utenze]],Data!$I441=SottocategorieUscite[[#Headers],[Business Uscite]],Data!$I441=SottocategorieUscite[[#Headers],[Banca]]),"$ -","")</f>
        <v/>
      </c>
      <c r="M441" s="59" t="str">
        <f>IF(OR($I441&lt;&gt;SottocategorieUscite[[#Headers],[Fuori Casa]],$I441&lt;&gt;SottocategorieUscite[[#Headers],[Varie Uscite]],$I441&lt;&gt;SottocategorieUscite[[#Headers],[Personali]],$I441&lt;&gt;SottocategorieUscite[[#Headers],[Lavoro]],$I441&lt;&gt;SottocategorieUscite[[#Headers],[Casa]],$I441&lt;&gt;SottocategorieUscite[[#Headers],[Utenze]],$I441&lt;&gt;SottocategorieUscite[[#Headers],[Business Uscite]],$I441&lt;&gt;SottocategorieUscite[[#Headers],[Banca]]),"","$ -")</f>
        <v/>
      </c>
      <c r="N441" s="59" t="str">
        <f>IF(OR(Data!$I441=SottocategorieEntrate[[#Headers],[Business Entrate]],Data!$I441=SottocategorieEntrate[[#Headers],[Varie Entrate]]),"$ -","")</f>
        <v/>
      </c>
      <c r="O441" s="59" t="str">
        <f>IF(OR(Data!$I441=SottocategorieEntrate[[#Headers],[Real Estate]],SottocategorieEntrate[[#Headers],[Other]]),"$ -","")</f>
        <v/>
      </c>
      <c r="P441" s="59" t="str">
        <f>IF(OR($I441&lt;&gt;SottocategorieEntrate[[#Headers],[Business Entrate]],$I441&lt;&gt;SottocategorieEntrate[[#Headers],[Varie Entrate]],$I441&lt;&gt;SottocategorieEntrate[[#Headers],[Real Estate]],$I441&lt;&gt;SottocategorieEntrate[[#Headers],[Other]]),"","$ -")</f>
        <v/>
      </c>
      <c r="Q441" s="59" t="str">
        <f>IF(Dati[[#This Row],[Categoria]]="Prelievo","€ -","")</f>
        <v/>
      </c>
      <c r="R441" s="244"/>
      <c r="S441" s="59" t="str">
        <f>IF(Dati[[#This Row],[Categoria]]="Savings",0,"")</f>
        <v/>
      </c>
      <c r="T441" s="59"/>
      <c r="U441" s="59"/>
      <c r="V441" s="59"/>
      <c r="W441" s="59"/>
      <c r="X441" s="59"/>
      <c r="Y441" s="59"/>
      <c r="Z441" s="59"/>
      <c r="AA441" s="59"/>
      <c r="AB441" s="59"/>
      <c r="AC441" s="59"/>
      <c r="AD441" s="59"/>
      <c r="AE441" s="59"/>
      <c r="AF441" s="59"/>
      <c r="AG441" s="59"/>
      <c r="AH441" s="59"/>
      <c r="AI441" s="59" t="str">
        <f>IF(SUM(Dati[[#This Row],[Inv. Business]:[Inv. Cryptocurrency]])=0," ",SUM(Dati[[#This Row],[Inv. Business]:[Inv. Cryptocurrency]]))</f>
        <v xml:space="preserve"> </v>
      </c>
      <c r="AJ441" s="59"/>
      <c r="AK441" s="59" t="str">
        <f>IF(SUM(Dati[[#This Row],[Inv. Gold]:[Mutuo]])=0," ",SUM(Dati[[#This Row],[Inv. Gold]:[Mutuo]]))</f>
        <v xml:space="preserve"> </v>
      </c>
      <c r="AL441" s="59"/>
      <c r="AM441" s="59"/>
    </row>
    <row r="442" spans="2:39" ht="16" customHeight="1" x14ac:dyDescent="0.35">
      <c r="B442">
        <f t="shared" si="18"/>
        <v>422</v>
      </c>
      <c r="C442" s="49">
        <f t="shared" si="17"/>
        <v>45280</v>
      </c>
      <c r="D442" s="29">
        <f>DAY(Dati[[#This Row],[Data]])</f>
        <v>20</v>
      </c>
      <c r="E442" s="29" t="str">
        <f>IF(DAY(Data!$C$21:$C$1327)&gt;0,TEXT(Data!$C$21:$C$1327, "mmmm"),"")</f>
        <v>dicembre</v>
      </c>
      <c r="F442" s="29" t="str">
        <f>IF(DAY(Data!$C$21:$C$1327)&gt;0,TEXT(Data!$C$21:$C$1327, "aaaa"),"")</f>
        <v>2023</v>
      </c>
      <c r="I442" t="str">
        <f>IF(OR(H442=$B$5,H442=$B$6,H442=$B$7,H442=$B$8,H442=$B$9,H442=$B$10,H442=$B$11,H442=$B$12,H442=$B$13,H442=$B$14),SottocategorieUscite[[#Headers],[Fuori Casa]],IF(OR(H442=$C$5,H442=$C$6,H442=$C$7,H442=$C$8,H442=$C$9,H442=$C$10,H442=$C$11,H442=$C$12,H442=$C$13,H442=$C$14),SottocategorieUscite[[#Headers],[Varie Uscite]],IF(OR(H442=$D$5,H442=$D$6,H442=$D$7,H442=$D$8,H442=$D$9,H442=$D$10,H442=$D$11,H442=$D$12,H442=$D$13,H442=$D$14),SottocategorieUscite[[#Headers],[Personali]],IF(OR(H442=$E$5,H442=$E$6,H442=$E$7,H442=$E$8,H442=$E$9,H442=$E$10,H442=$E$11,H442=$E$12,H442=$E$13,H442=$E$14),SottocategorieUscite[[#Headers],[Lavoro]],IF(OR(H442=$F$5,H442=$F$6,H442=$F$7,H442=$F$8,H442=$F$9,H442=$F$10,H442=$F$11,H442=$F$12,H442=$F$13,H442=$F$14),SottocategorieUscite[[#Headers],[Casa]],IF(OR(H442=$G$5,H442=$G$6,H442=$G$7,H442=$G$8,H442=$G$9,H442=$G$10,H442=$G$11,H442=$G$12,H442=$G$13,H442=$G$14),SottocategorieUscite[[#Headers],[Utenze]],IF(OR(H442=$H$5,H442=$H$6,H442=$H$7,H442=$H$8,H442=$H$9,H442=$H$10,H442=$H$11,H442=$H$12,H442=$H$13,H442=$H$14),SottocategorieUscite[[#Headers],[Business Uscite]],IF(OR(H442=$I$5,H442=$I$6,H442=$I$7,H442=$I$8,H442=$I$9,H442=$I$10,H442=$I$11,H442=$I$12,H442=$I$13,H442=$I$14),SottocategorieUscite[[#Headers],[Banca]],IF(OR(H442=K$5,H442=K$6,H442=K$7,H442=K$8,H442=K$9,H442=K$10,H442=K$11,H442=K$12,H442=K$13,H442=K$14),SottocategorieEntrate[[#Headers],[Business Entrate]],IF(OR(H442=L$5,H442=L$6,H442=L$7,H442=L$8,H442=L$9,H442=L$10,H442=L$11,H442=L$12,H442=L$13,H442=L$14),SottocategorieEntrate[[#Headers],[Varie Entrate]],IF(OR(H442=M$5,H442=M$6,H442=M$7,H442=M$8,H442=M$9,H442=M$10,H442=M$11,H442=M$12,H442=M$13,H442=M$14),SottocategorieEntrate[[#Headers],[Real Estate]],IF(OR(H442=N$5,H442=N$6,H442=N$7,H442=N$8,H442=N$9,H442=N$10,H442=N$11,H442=N$12,H442=N$13,H442=N$14),SottocategorieEntrate[[#Headers],[Other]],""))))))))))))</f>
        <v/>
      </c>
      <c r="J442" t="str">
        <f>IF(OR(Dati[[#This Row],[Categoria]]="Bollette",Dati[[#This Row],[Categoria]]="Conto &amp; Carte BNL",Dati[[#This Row],[Categoria]]="Prelievo",Dati[[#This Row],[Categoria]]="Affitto",Dati[[#This Row],[Categoria]]="BNL(Interessi Creditori)"),"Carta",IF(Dati[[#This Row],[Categoria]]&lt;&gt;0,"Cash",""))</f>
        <v/>
      </c>
      <c r="K442" s="59" t="str">
        <f>IF(OR(Data!$I442=SottocategorieUscite[[#Headers],[Fuori Casa]],Data!$I442=SottocategorieUscite[[#Headers],[Varie Uscite]],Data!$I442=SottocategorieUscite[[#Headers],[Personali]],Data!$I442=SottocategorieUscite[[#Headers],[Lavoro]]),"$ -","")</f>
        <v/>
      </c>
      <c r="L442" s="59" t="str">
        <f>IF(OR(Data!$I442=SottocategorieUscite[[#Headers],[Casa]],Data!$I442=SottocategorieUscite[[#Headers],[Utenze]],Data!$I442=SottocategorieUscite[[#Headers],[Business Uscite]],Data!$I442=SottocategorieUscite[[#Headers],[Banca]]),"$ -","")</f>
        <v/>
      </c>
      <c r="M442" s="59" t="str">
        <f>IF(OR($I442&lt;&gt;SottocategorieUscite[[#Headers],[Fuori Casa]],$I442&lt;&gt;SottocategorieUscite[[#Headers],[Varie Uscite]],$I442&lt;&gt;SottocategorieUscite[[#Headers],[Personali]],$I442&lt;&gt;SottocategorieUscite[[#Headers],[Lavoro]],$I442&lt;&gt;SottocategorieUscite[[#Headers],[Casa]],$I442&lt;&gt;SottocategorieUscite[[#Headers],[Utenze]],$I442&lt;&gt;SottocategorieUscite[[#Headers],[Business Uscite]],$I442&lt;&gt;SottocategorieUscite[[#Headers],[Banca]]),"","$ -")</f>
        <v/>
      </c>
      <c r="N442" s="59" t="str">
        <f>IF(OR(Data!$I442=SottocategorieEntrate[[#Headers],[Business Entrate]],Data!$I442=SottocategorieEntrate[[#Headers],[Varie Entrate]]),"$ -","")</f>
        <v/>
      </c>
      <c r="O442" s="59" t="str">
        <f>IF(OR(Data!$I442=SottocategorieEntrate[[#Headers],[Real Estate]],SottocategorieEntrate[[#Headers],[Other]]),"$ -","")</f>
        <v/>
      </c>
      <c r="P442" s="59" t="str">
        <f>IF(OR($I442&lt;&gt;SottocategorieEntrate[[#Headers],[Business Entrate]],$I442&lt;&gt;SottocategorieEntrate[[#Headers],[Varie Entrate]],$I442&lt;&gt;SottocategorieEntrate[[#Headers],[Real Estate]],$I442&lt;&gt;SottocategorieEntrate[[#Headers],[Other]]),"","$ -")</f>
        <v/>
      </c>
      <c r="Q442" s="59" t="str">
        <f>IF(Dati[[#This Row],[Categoria]]="Prelievo","€ -","")</f>
        <v/>
      </c>
      <c r="R442" s="244"/>
      <c r="S442" s="59" t="str">
        <f>IF(Dati[[#This Row],[Categoria]]="Savings",0,"")</f>
        <v/>
      </c>
      <c r="T442" s="59"/>
      <c r="U442" s="59"/>
      <c r="V442" s="59"/>
      <c r="W442" s="59"/>
      <c r="X442" s="59"/>
      <c r="Y442" s="59"/>
      <c r="Z442" s="59"/>
      <c r="AA442" s="59"/>
      <c r="AB442" s="59"/>
      <c r="AC442" s="59"/>
      <c r="AD442" s="59"/>
      <c r="AE442" s="59"/>
      <c r="AF442" s="59"/>
      <c r="AG442" s="59"/>
      <c r="AH442" s="59"/>
      <c r="AI442" s="59" t="str">
        <f>IF(SUM(Dati[[#This Row],[Inv. Business]:[Inv. Cryptocurrency]])=0," ",SUM(Dati[[#This Row],[Inv. Business]:[Inv. Cryptocurrency]]))</f>
        <v xml:space="preserve"> </v>
      </c>
      <c r="AJ442" s="59"/>
      <c r="AK442" s="59" t="str">
        <f>IF(SUM(Dati[[#This Row],[Inv. Gold]:[Mutuo]])=0," ",SUM(Dati[[#This Row],[Inv. Gold]:[Mutuo]]))</f>
        <v xml:space="preserve"> </v>
      </c>
      <c r="AL442" s="59"/>
      <c r="AM442" s="59"/>
    </row>
    <row r="443" spans="2:39" ht="16" customHeight="1" x14ac:dyDescent="0.35">
      <c r="B443">
        <f t="shared" si="18"/>
        <v>423</v>
      </c>
      <c r="C443" s="49">
        <f t="shared" si="17"/>
        <v>45281</v>
      </c>
      <c r="D443" s="29">
        <f>DAY(Dati[[#This Row],[Data]])</f>
        <v>21</v>
      </c>
      <c r="E443" s="29" t="str">
        <f>IF(DAY(Data!$C$21:$C$1327)&gt;0,TEXT(Data!$C$21:$C$1327, "mmmm"),"")</f>
        <v>dicembre</v>
      </c>
      <c r="F443" s="29" t="str">
        <f>IF(DAY(Data!$C$21:$C$1327)&gt;0,TEXT(Data!$C$21:$C$1327, "aaaa"),"")</f>
        <v>2023</v>
      </c>
      <c r="I443" t="str">
        <f>IF(OR(H443=$B$5,H443=$B$6,H443=$B$7,H443=$B$8,H443=$B$9,H443=$B$10,H443=$B$11,H443=$B$12,H443=$B$13,H443=$B$14),SottocategorieUscite[[#Headers],[Fuori Casa]],IF(OR(H443=$C$5,H443=$C$6,H443=$C$7,H443=$C$8,H443=$C$9,H443=$C$10,H443=$C$11,H443=$C$12,H443=$C$13,H443=$C$14),SottocategorieUscite[[#Headers],[Varie Uscite]],IF(OR(H443=$D$5,H443=$D$6,H443=$D$7,H443=$D$8,H443=$D$9,H443=$D$10,H443=$D$11,H443=$D$12,H443=$D$13,H443=$D$14),SottocategorieUscite[[#Headers],[Personali]],IF(OR(H443=$E$5,H443=$E$6,H443=$E$7,H443=$E$8,H443=$E$9,H443=$E$10,H443=$E$11,H443=$E$12,H443=$E$13,H443=$E$14),SottocategorieUscite[[#Headers],[Lavoro]],IF(OR(H443=$F$5,H443=$F$6,H443=$F$7,H443=$F$8,H443=$F$9,H443=$F$10,H443=$F$11,H443=$F$12,H443=$F$13,H443=$F$14),SottocategorieUscite[[#Headers],[Casa]],IF(OR(H443=$G$5,H443=$G$6,H443=$G$7,H443=$G$8,H443=$G$9,H443=$G$10,H443=$G$11,H443=$G$12,H443=$G$13,H443=$G$14),SottocategorieUscite[[#Headers],[Utenze]],IF(OR(H443=$H$5,H443=$H$6,H443=$H$7,H443=$H$8,H443=$H$9,H443=$H$10,H443=$H$11,H443=$H$12,H443=$H$13,H443=$H$14),SottocategorieUscite[[#Headers],[Business Uscite]],IF(OR(H443=$I$5,H443=$I$6,H443=$I$7,H443=$I$8,H443=$I$9,H443=$I$10,H443=$I$11,H443=$I$12,H443=$I$13,H443=$I$14),SottocategorieUscite[[#Headers],[Banca]],IF(OR(H443=K$5,H443=K$6,H443=K$7,H443=K$8,H443=K$9,H443=K$10,H443=K$11,H443=K$12,H443=K$13,H443=K$14),SottocategorieEntrate[[#Headers],[Business Entrate]],IF(OR(H443=L$5,H443=L$6,H443=L$7,H443=L$8,H443=L$9,H443=L$10,H443=L$11,H443=L$12,H443=L$13,H443=L$14),SottocategorieEntrate[[#Headers],[Varie Entrate]],IF(OR(H443=M$5,H443=M$6,H443=M$7,H443=M$8,H443=M$9,H443=M$10,H443=M$11,H443=M$12,H443=M$13,H443=M$14),SottocategorieEntrate[[#Headers],[Real Estate]],IF(OR(H443=N$5,H443=N$6,H443=N$7,H443=N$8,H443=N$9,H443=N$10,H443=N$11,H443=N$12,H443=N$13,H443=N$14),SottocategorieEntrate[[#Headers],[Other]],""))))))))))))</f>
        <v/>
      </c>
      <c r="J443" t="str">
        <f>IF(OR(Dati[[#This Row],[Categoria]]="Bollette",Dati[[#This Row],[Categoria]]="Conto &amp; Carte BNL",Dati[[#This Row],[Categoria]]="Prelievo",Dati[[#This Row],[Categoria]]="Affitto",Dati[[#This Row],[Categoria]]="BNL(Interessi Creditori)"),"Carta",IF(Dati[[#This Row],[Categoria]]&lt;&gt;0,"Cash",""))</f>
        <v/>
      </c>
      <c r="K443" s="59" t="str">
        <f>IF(OR(Data!$I443=SottocategorieUscite[[#Headers],[Fuori Casa]],Data!$I443=SottocategorieUscite[[#Headers],[Varie Uscite]],Data!$I443=SottocategorieUscite[[#Headers],[Personali]],Data!$I443=SottocategorieUscite[[#Headers],[Lavoro]]),"$ -","")</f>
        <v/>
      </c>
      <c r="L443" s="59" t="str">
        <f>IF(OR(Data!$I443=SottocategorieUscite[[#Headers],[Casa]],Data!$I443=SottocategorieUscite[[#Headers],[Utenze]],Data!$I443=SottocategorieUscite[[#Headers],[Business Uscite]],Data!$I443=SottocategorieUscite[[#Headers],[Banca]]),"$ -","")</f>
        <v/>
      </c>
      <c r="M443" s="59" t="str">
        <f>IF(OR($I443&lt;&gt;SottocategorieUscite[[#Headers],[Fuori Casa]],$I443&lt;&gt;SottocategorieUscite[[#Headers],[Varie Uscite]],$I443&lt;&gt;SottocategorieUscite[[#Headers],[Personali]],$I443&lt;&gt;SottocategorieUscite[[#Headers],[Lavoro]],$I443&lt;&gt;SottocategorieUscite[[#Headers],[Casa]],$I443&lt;&gt;SottocategorieUscite[[#Headers],[Utenze]],$I443&lt;&gt;SottocategorieUscite[[#Headers],[Business Uscite]],$I443&lt;&gt;SottocategorieUscite[[#Headers],[Banca]]),"","$ -")</f>
        <v/>
      </c>
      <c r="N443" s="59" t="str">
        <f>IF(OR(Data!$I443=SottocategorieEntrate[[#Headers],[Business Entrate]],Data!$I443=SottocategorieEntrate[[#Headers],[Varie Entrate]]),"$ -","")</f>
        <v/>
      </c>
      <c r="O443" s="59" t="str">
        <f>IF(OR(Data!$I443=SottocategorieEntrate[[#Headers],[Real Estate]],SottocategorieEntrate[[#Headers],[Other]]),"$ -","")</f>
        <v/>
      </c>
      <c r="P443" s="59" t="str">
        <f>IF(OR($I443&lt;&gt;SottocategorieEntrate[[#Headers],[Business Entrate]],$I443&lt;&gt;SottocategorieEntrate[[#Headers],[Varie Entrate]],$I443&lt;&gt;SottocategorieEntrate[[#Headers],[Real Estate]],$I443&lt;&gt;SottocategorieEntrate[[#Headers],[Other]]),"","$ -")</f>
        <v/>
      </c>
      <c r="Q443" s="59" t="str">
        <f>IF(Dati[[#This Row],[Categoria]]="Prelievo","€ -","")</f>
        <v/>
      </c>
      <c r="R443" s="244"/>
      <c r="S443" s="59" t="str">
        <f>IF(Dati[[#This Row],[Categoria]]="Savings",0,"")</f>
        <v/>
      </c>
      <c r="T443" s="59"/>
      <c r="U443" s="59"/>
      <c r="V443" s="59"/>
      <c r="W443" s="59"/>
      <c r="X443" s="59"/>
      <c r="Y443" s="59"/>
      <c r="Z443" s="59"/>
      <c r="AA443" s="59"/>
      <c r="AB443" s="59"/>
      <c r="AC443" s="59"/>
      <c r="AD443" s="59"/>
      <c r="AE443" s="59"/>
      <c r="AF443" s="59"/>
      <c r="AG443" s="59"/>
      <c r="AH443" s="59"/>
      <c r="AI443" s="59" t="str">
        <f>IF(SUM(Dati[[#This Row],[Inv. Business]:[Inv. Cryptocurrency]])=0," ",SUM(Dati[[#This Row],[Inv. Business]:[Inv. Cryptocurrency]]))</f>
        <v xml:space="preserve"> </v>
      </c>
      <c r="AJ443" s="59"/>
      <c r="AK443" s="59" t="str">
        <f>IF(SUM(Dati[[#This Row],[Inv. Gold]:[Mutuo]])=0," ",SUM(Dati[[#This Row],[Inv. Gold]:[Mutuo]]))</f>
        <v xml:space="preserve"> </v>
      </c>
      <c r="AL443" s="59"/>
      <c r="AM443" s="59"/>
    </row>
    <row r="444" spans="2:39" ht="16" customHeight="1" x14ac:dyDescent="0.35">
      <c r="B444">
        <f t="shared" si="18"/>
        <v>424</v>
      </c>
      <c r="C444" s="49">
        <v>45281</v>
      </c>
      <c r="D444" s="29">
        <f>DAY(Dati[[#This Row],[Data]])</f>
        <v>21</v>
      </c>
      <c r="E444" s="29" t="str">
        <f>IF(DAY(Data!$C$21:$C$1327)&gt;0,TEXT(Data!$C$21:$C$1327, "mmmm"),"")</f>
        <v>dicembre</v>
      </c>
      <c r="F444" s="29" t="str">
        <f>IF(DAY(Data!$C$21:$C$1327)&gt;0,TEXT(Data!$C$21:$C$1327, "aaaa"),"")</f>
        <v>2023</v>
      </c>
      <c r="I444" t="str">
        <f>IF(OR(H444=$B$5,H444=$B$6,H444=$B$7,H444=$B$8,H444=$B$9,H444=$B$10,H444=$B$11,H444=$B$12,H444=$B$13,H444=$B$14),SottocategorieUscite[[#Headers],[Fuori Casa]],IF(OR(H444=$C$5,H444=$C$6,H444=$C$7,H444=$C$8,H444=$C$9,H444=$C$10,H444=$C$11,H444=$C$12,H444=$C$13,H444=$C$14),SottocategorieUscite[[#Headers],[Varie Uscite]],IF(OR(H444=$D$5,H444=$D$6,H444=$D$7,H444=$D$8,H444=$D$9,H444=$D$10,H444=$D$11,H444=$D$12,H444=$D$13,H444=$D$14),SottocategorieUscite[[#Headers],[Personali]],IF(OR(H444=$E$5,H444=$E$6,H444=$E$7,H444=$E$8,H444=$E$9,H444=$E$10,H444=$E$11,H444=$E$12,H444=$E$13,H444=$E$14),SottocategorieUscite[[#Headers],[Lavoro]],IF(OR(H444=$F$5,H444=$F$6,H444=$F$7,H444=$F$8,H444=$F$9,H444=$F$10,H444=$F$11,H444=$F$12,H444=$F$13,H444=$F$14),SottocategorieUscite[[#Headers],[Casa]],IF(OR(H444=$G$5,H444=$G$6,H444=$G$7,H444=$G$8,H444=$G$9,H444=$G$10,H444=$G$11,H444=$G$12,H444=$G$13,H444=$G$14),SottocategorieUscite[[#Headers],[Utenze]],IF(OR(H444=$H$5,H444=$H$6,H444=$H$7,H444=$H$8,H444=$H$9,H444=$H$10,H444=$H$11,H444=$H$12,H444=$H$13,H444=$H$14),SottocategorieUscite[[#Headers],[Business Uscite]],IF(OR(H444=$I$5,H444=$I$6,H444=$I$7,H444=$I$8,H444=$I$9,H444=$I$10,H444=$I$11,H444=$I$12,H444=$I$13,H444=$I$14),SottocategorieUscite[[#Headers],[Banca]],IF(OR(H444=K$5,H444=K$6,H444=K$7,H444=K$8,H444=K$9,H444=K$10,H444=K$11,H444=K$12,H444=K$13,H444=K$14),SottocategorieEntrate[[#Headers],[Business Entrate]],IF(OR(H444=L$5,H444=L$6,H444=L$7,H444=L$8,H444=L$9,H444=L$10,H444=L$11,H444=L$12,H444=L$13,H444=L$14),SottocategorieEntrate[[#Headers],[Varie Entrate]],IF(OR(H444=M$5,H444=M$6,H444=M$7,H444=M$8,H444=M$9,H444=M$10,H444=M$11,H444=M$12,H444=M$13,H444=M$14),SottocategorieEntrate[[#Headers],[Real Estate]],IF(OR(H444=N$5,H444=N$6,H444=N$7,H444=N$8,H444=N$9,H444=N$10,H444=N$11,H444=N$12,H444=N$13,H444=N$14),SottocategorieEntrate[[#Headers],[Other]],""))))))))))))</f>
        <v/>
      </c>
      <c r="J444" t="str">
        <f>IF(OR(Dati[[#This Row],[Categoria]]="Bollette",Dati[[#This Row],[Categoria]]="Conto &amp; Carte BNL",Dati[[#This Row],[Categoria]]="Prelievo",Dati[[#This Row],[Categoria]]="Affitto",Dati[[#This Row],[Categoria]]="BNL(Interessi Creditori)"),"Carta",IF(Dati[[#This Row],[Categoria]]&lt;&gt;0,"Cash",""))</f>
        <v/>
      </c>
      <c r="K444" s="59" t="str">
        <f>IF(OR(Data!$I444=SottocategorieUscite[[#Headers],[Fuori Casa]],Data!$I444=SottocategorieUscite[[#Headers],[Varie Uscite]],Data!$I444=SottocategorieUscite[[#Headers],[Personali]],Data!$I444=SottocategorieUscite[[#Headers],[Lavoro]]),"$ -","")</f>
        <v/>
      </c>
      <c r="L444" s="59" t="str">
        <f>IF(OR(Data!$I444=SottocategorieUscite[[#Headers],[Casa]],Data!$I444=SottocategorieUscite[[#Headers],[Utenze]],Data!$I444=SottocategorieUscite[[#Headers],[Business Uscite]],Data!$I444=SottocategorieUscite[[#Headers],[Banca]]),"$ -","")</f>
        <v/>
      </c>
      <c r="M444" s="59" t="str">
        <f>IF(OR($I444&lt;&gt;SottocategorieUscite[[#Headers],[Fuori Casa]],$I444&lt;&gt;SottocategorieUscite[[#Headers],[Varie Uscite]],$I444&lt;&gt;SottocategorieUscite[[#Headers],[Personali]],$I444&lt;&gt;SottocategorieUscite[[#Headers],[Lavoro]],$I444&lt;&gt;SottocategorieUscite[[#Headers],[Casa]],$I444&lt;&gt;SottocategorieUscite[[#Headers],[Utenze]],$I444&lt;&gt;SottocategorieUscite[[#Headers],[Business Uscite]],$I444&lt;&gt;SottocategorieUscite[[#Headers],[Banca]]),"","$ -")</f>
        <v/>
      </c>
      <c r="N444" s="59" t="str">
        <f>IF(OR(Data!$I444=SottocategorieEntrate[[#Headers],[Business Entrate]],Data!$I444=SottocategorieEntrate[[#Headers],[Varie Entrate]]),"$ -","")</f>
        <v/>
      </c>
      <c r="O444" s="59" t="str">
        <f>IF(OR(Data!$I444=SottocategorieEntrate[[#Headers],[Real Estate]],SottocategorieEntrate[[#Headers],[Other]]),"$ -","")</f>
        <v/>
      </c>
      <c r="P444" s="59" t="str">
        <f>IF(OR($I444&lt;&gt;SottocategorieEntrate[[#Headers],[Business Entrate]],$I444&lt;&gt;SottocategorieEntrate[[#Headers],[Varie Entrate]],$I444&lt;&gt;SottocategorieEntrate[[#Headers],[Real Estate]],$I444&lt;&gt;SottocategorieEntrate[[#Headers],[Other]]),"","$ -")</f>
        <v/>
      </c>
      <c r="Q444" s="59" t="str">
        <f>IF(Dati[[#This Row],[Categoria]]="Prelievo","€ -","")</f>
        <v/>
      </c>
      <c r="R444" s="244"/>
      <c r="S444" s="59" t="str">
        <f>IF(Dati[[#This Row],[Categoria]]="Savings",0,"")</f>
        <v/>
      </c>
      <c r="T444" s="59"/>
      <c r="U444" s="59"/>
      <c r="V444" s="59"/>
      <c r="W444" s="59"/>
      <c r="X444" s="59"/>
      <c r="Y444" s="59"/>
      <c r="Z444" s="59"/>
      <c r="AA444" s="59"/>
      <c r="AB444" s="59"/>
      <c r="AC444" s="59"/>
      <c r="AD444" s="59"/>
      <c r="AE444" s="59"/>
      <c r="AF444" s="59"/>
      <c r="AG444" s="59"/>
      <c r="AH444" s="59"/>
      <c r="AI444" s="59" t="str">
        <f>IF(SUM(Dati[[#This Row],[Inv. Business]:[Inv. Cryptocurrency]])=0," ",SUM(Dati[[#This Row],[Inv. Business]:[Inv. Cryptocurrency]]))</f>
        <v xml:space="preserve"> </v>
      </c>
      <c r="AJ444" s="59"/>
      <c r="AK444" s="59" t="str">
        <f>IF(SUM(Dati[[#This Row],[Inv. Gold]:[Mutuo]])=0," ",SUM(Dati[[#This Row],[Inv. Gold]:[Mutuo]]))</f>
        <v xml:space="preserve"> </v>
      </c>
      <c r="AL444" s="59"/>
      <c r="AM444" s="59"/>
    </row>
    <row r="445" spans="2:39" x14ac:dyDescent="0.35">
      <c r="B445">
        <f t="shared" si="18"/>
        <v>425</v>
      </c>
      <c r="C445" s="49">
        <f>C443+1</f>
        <v>45282</v>
      </c>
      <c r="D445" s="29">
        <f>DAY(Dati[[#This Row],[Data]])</f>
        <v>22</v>
      </c>
      <c r="E445" s="29" t="str">
        <f>IF(DAY(Data!$C$21:$C$1327)&gt;0,TEXT(Data!$C$21:$C$1327, "mmmm"),"")</f>
        <v>dicembre</v>
      </c>
      <c r="F445" s="29" t="str">
        <f>IF(DAY(Data!$C$21:$C$1327)&gt;0,TEXT(Data!$C$21:$C$1327, "aaaa"),"")</f>
        <v>2023</v>
      </c>
      <c r="I445" t="str">
        <f>IF(OR(H445=$B$5,H445=$B$6,H445=$B$7,H445=$B$8,H445=$B$9,H445=$B$10,H445=$B$11,H445=$B$12,H445=$B$13,H445=$B$14),SottocategorieUscite[[#Headers],[Fuori Casa]],IF(OR(H445=$C$5,H445=$C$6,H445=$C$7,H445=$C$8,H445=$C$9,H445=$C$10,H445=$C$11,H445=$C$12,H445=$C$13,H445=$C$14),SottocategorieUscite[[#Headers],[Varie Uscite]],IF(OR(H445=$D$5,H445=$D$6,H445=$D$7,H445=$D$8,H445=$D$9,H445=$D$10,H445=$D$11,H445=$D$12,H445=$D$13,H445=$D$14),SottocategorieUscite[[#Headers],[Personali]],IF(OR(H445=$E$5,H445=$E$6,H445=$E$7,H445=$E$8,H445=$E$9,H445=$E$10,H445=$E$11,H445=$E$12,H445=$E$13,H445=$E$14),SottocategorieUscite[[#Headers],[Lavoro]],IF(OR(H445=$F$5,H445=$F$6,H445=$F$7,H445=$F$8,H445=$F$9,H445=$F$10,H445=$F$11,H445=$F$12,H445=$F$13,H445=$F$14),SottocategorieUscite[[#Headers],[Casa]],IF(OR(H445=$G$5,H445=$G$6,H445=$G$7,H445=$G$8,H445=$G$9,H445=$G$10,H445=$G$11,H445=$G$12,H445=$G$13,H445=$G$14),SottocategorieUscite[[#Headers],[Utenze]],IF(OR(H445=$H$5,H445=$H$6,H445=$H$7,H445=$H$8,H445=$H$9,H445=$H$10,H445=$H$11,H445=$H$12,H445=$H$13,H445=$H$14),SottocategorieUscite[[#Headers],[Business Uscite]],IF(OR(H445=$I$5,H445=$I$6,H445=$I$7,H445=$I$8,H445=$I$9,H445=$I$10,H445=$I$11,H445=$I$12,H445=$I$13,H445=$I$14),SottocategorieUscite[[#Headers],[Banca]],IF(OR(H445=K$5,H445=K$6,H445=K$7,H445=K$8,H445=K$9,H445=K$10,H445=K$11,H445=K$12,H445=K$13,H445=K$14),SottocategorieEntrate[[#Headers],[Business Entrate]],IF(OR(H445=L$5,H445=L$6,H445=L$7,H445=L$8,H445=L$9,H445=L$10,H445=L$11,H445=L$12,H445=L$13,H445=L$14),SottocategorieEntrate[[#Headers],[Varie Entrate]],IF(OR(H445=M$5,H445=M$6,H445=M$7,H445=M$8,H445=M$9,H445=M$10,H445=M$11,H445=M$12,H445=M$13,H445=M$14),SottocategorieEntrate[[#Headers],[Real Estate]],IF(OR(H445=N$5,H445=N$6,H445=N$7,H445=N$8,H445=N$9,H445=N$10,H445=N$11,H445=N$12,H445=N$13,H445=N$14),SottocategorieEntrate[[#Headers],[Other]],""))))))))))))</f>
        <v/>
      </c>
      <c r="J445" t="str">
        <f>IF(OR(Dati[[#This Row],[Categoria]]="Bollette",Dati[[#This Row],[Categoria]]="Conto &amp; Carte BNL",Dati[[#This Row],[Categoria]]="Prelievo",Dati[[#This Row],[Categoria]]="Affitto",Dati[[#This Row],[Categoria]]="BNL(Interessi Creditori)"),"Carta",IF(Dati[[#This Row],[Categoria]]&lt;&gt;0,"Cash",""))</f>
        <v/>
      </c>
      <c r="K445" s="59" t="str">
        <f>IF(OR(Data!$I445=SottocategorieUscite[[#Headers],[Fuori Casa]],Data!$I445=SottocategorieUscite[[#Headers],[Varie Uscite]],Data!$I445=SottocategorieUscite[[#Headers],[Personali]],Data!$I445=SottocategorieUscite[[#Headers],[Lavoro]]),"$ -","")</f>
        <v/>
      </c>
      <c r="L445" s="59" t="str">
        <f>IF(OR(Data!$I445=SottocategorieUscite[[#Headers],[Casa]],Data!$I445=SottocategorieUscite[[#Headers],[Utenze]],Data!$I445=SottocategorieUscite[[#Headers],[Business Uscite]],Data!$I445=SottocategorieUscite[[#Headers],[Banca]]),"$ -","")</f>
        <v/>
      </c>
      <c r="M445" s="59" t="str">
        <f>IF(OR($I445&lt;&gt;SottocategorieUscite[[#Headers],[Fuori Casa]],$I445&lt;&gt;SottocategorieUscite[[#Headers],[Varie Uscite]],$I445&lt;&gt;SottocategorieUscite[[#Headers],[Personali]],$I445&lt;&gt;SottocategorieUscite[[#Headers],[Lavoro]],$I445&lt;&gt;SottocategorieUscite[[#Headers],[Casa]],$I445&lt;&gt;SottocategorieUscite[[#Headers],[Utenze]],$I445&lt;&gt;SottocategorieUscite[[#Headers],[Business Uscite]],$I445&lt;&gt;SottocategorieUscite[[#Headers],[Banca]]),"","$ -")</f>
        <v/>
      </c>
      <c r="N445" s="59" t="str">
        <f>IF(OR(Data!$I445=SottocategorieEntrate[[#Headers],[Business Entrate]],Data!$I445=SottocategorieEntrate[[#Headers],[Varie Entrate]]),"$ -","")</f>
        <v/>
      </c>
      <c r="O445" s="59" t="str">
        <f>IF(OR(Data!$I445=SottocategorieEntrate[[#Headers],[Real Estate]],SottocategorieEntrate[[#Headers],[Other]]),"$ -","")</f>
        <v/>
      </c>
      <c r="P445" s="59" t="str">
        <f>IF(OR($I445&lt;&gt;SottocategorieEntrate[[#Headers],[Business Entrate]],$I445&lt;&gt;SottocategorieEntrate[[#Headers],[Varie Entrate]],$I445&lt;&gt;SottocategorieEntrate[[#Headers],[Real Estate]],$I445&lt;&gt;SottocategorieEntrate[[#Headers],[Other]]),"","$ -")</f>
        <v/>
      </c>
      <c r="Q445" s="59" t="str">
        <f>IF(Dati[[#This Row],[Categoria]]="Prelievo","€ -","")</f>
        <v/>
      </c>
      <c r="R445" s="244"/>
      <c r="S445" s="59" t="str">
        <f>IF(Dati[[#This Row],[Categoria]]="Savings",0,"")</f>
        <v/>
      </c>
      <c r="T445" s="59"/>
      <c r="U445" s="59"/>
      <c r="V445" s="59"/>
      <c r="W445" s="59"/>
      <c r="X445" s="59"/>
      <c r="Y445" s="59"/>
      <c r="Z445" s="59"/>
      <c r="AA445" s="59"/>
      <c r="AB445" s="59"/>
      <c r="AC445" s="59"/>
      <c r="AD445" s="59"/>
      <c r="AE445" s="59"/>
      <c r="AF445" s="59"/>
      <c r="AG445" s="59"/>
      <c r="AH445" s="59"/>
      <c r="AI445" s="59" t="str">
        <f>IF(SUM(Dati[[#This Row],[Inv. Business]:[Inv. Cryptocurrency]])=0," ",SUM(Dati[[#This Row],[Inv. Business]:[Inv. Cryptocurrency]]))</f>
        <v xml:space="preserve"> </v>
      </c>
      <c r="AJ445" s="59"/>
      <c r="AK445" s="59" t="str">
        <f>IF(SUM(Dati[[#This Row],[Inv. Gold]:[Mutuo]])=0," ",SUM(Dati[[#This Row],[Inv. Gold]:[Mutuo]]))</f>
        <v xml:space="preserve"> </v>
      </c>
      <c r="AL445" s="59"/>
      <c r="AM445" s="59"/>
    </row>
    <row r="446" spans="2:39" x14ac:dyDescent="0.35">
      <c r="B446">
        <f t="shared" si="18"/>
        <v>426</v>
      </c>
      <c r="C446" s="49">
        <v>45282</v>
      </c>
      <c r="D446" s="29">
        <f>DAY(Dati[[#This Row],[Data]])</f>
        <v>22</v>
      </c>
      <c r="E446" s="29" t="str">
        <f>IF(DAY(Data!$C$21:$C$1327)&gt;0,TEXT(Data!$C$21:$C$1327, "mmmm"),"")</f>
        <v>dicembre</v>
      </c>
      <c r="F446" s="29" t="str">
        <f>IF(DAY(Data!$C$21:$C$1327)&gt;0,TEXT(Data!$C$21:$C$1327, "aaaa"),"")</f>
        <v>2023</v>
      </c>
      <c r="I446" t="str">
        <f>IF(OR(H446=$B$5,H446=$B$6,H446=$B$7,H446=$B$8,H446=$B$9,H446=$B$10,H446=$B$11,H446=$B$12,H446=$B$13,H446=$B$14),SottocategorieUscite[[#Headers],[Fuori Casa]],IF(OR(H446=$C$5,H446=$C$6,H446=$C$7,H446=$C$8,H446=$C$9,H446=$C$10,H446=$C$11,H446=$C$12,H446=$C$13,H446=$C$14),SottocategorieUscite[[#Headers],[Varie Uscite]],IF(OR(H446=$D$5,H446=$D$6,H446=$D$7,H446=$D$8,H446=$D$9,H446=$D$10,H446=$D$11,H446=$D$12,H446=$D$13,H446=$D$14),SottocategorieUscite[[#Headers],[Personali]],IF(OR(H446=$E$5,H446=$E$6,H446=$E$7,H446=$E$8,H446=$E$9,H446=$E$10,H446=$E$11,H446=$E$12,H446=$E$13,H446=$E$14),SottocategorieUscite[[#Headers],[Lavoro]],IF(OR(H446=$F$5,H446=$F$6,H446=$F$7,H446=$F$8,H446=$F$9,H446=$F$10,H446=$F$11,H446=$F$12,H446=$F$13,H446=$F$14),SottocategorieUscite[[#Headers],[Casa]],IF(OR(H446=$G$5,H446=$G$6,H446=$G$7,H446=$G$8,H446=$G$9,H446=$G$10,H446=$G$11,H446=$G$12,H446=$G$13,H446=$G$14),SottocategorieUscite[[#Headers],[Utenze]],IF(OR(H446=$H$5,H446=$H$6,H446=$H$7,H446=$H$8,H446=$H$9,H446=$H$10,H446=$H$11,H446=$H$12,H446=$H$13,H446=$H$14),SottocategorieUscite[[#Headers],[Business Uscite]],IF(OR(H446=$I$5,H446=$I$6,H446=$I$7,H446=$I$8,H446=$I$9,H446=$I$10,H446=$I$11,H446=$I$12,H446=$I$13,H446=$I$14),SottocategorieUscite[[#Headers],[Banca]],IF(OR(H446=K$5,H446=K$6,H446=K$7,H446=K$8,H446=K$9,H446=K$10,H446=K$11,H446=K$12,H446=K$13,H446=K$14),SottocategorieEntrate[[#Headers],[Business Entrate]],IF(OR(H446=L$5,H446=L$6,H446=L$7,H446=L$8,H446=L$9,H446=L$10,H446=L$11,H446=L$12,H446=L$13,H446=L$14),SottocategorieEntrate[[#Headers],[Varie Entrate]],IF(OR(H446=M$5,H446=M$6,H446=M$7,H446=M$8,H446=M$9,H446=M$10,H446=M$11,H446=M$12,H446=M$13,H446=M$14),SottocategorieEntrate[[#Headers],[Real Estate]],IF(OR(H446=N$5,H446=N$6,H446=N$7,H446=N$8,H446=N$9,H446=N$10,H446=N$11,H446=N$12,H446=N$13,H446=N$14),SottocategorieEntrate[[#Headers],[Other]],""))))))))))))</f>
        <v/>
      </c>
      <c r="J446" t="str">
        <f>IF(OR(Dati[[#This Row],[Categoria]]="Bollette",Dati[[#This Row],[Categoria]]="Conto &amp; Carte BNL",Dati[[#This Row],[Categoria]]="Prelievo",Dati[[#This Row],[Categoria]]="Affitto",Dati[[#This Row],[Categoria]]="BNL(Interessi Creditori)"),"Carta",IF(Dati[[#This Row],[Categoria]]&lt;&gt;0,"Cash",""))</f>
        <v/>
      </c>
      <c r="K446" s="59" t="str">
        <f>IF(OR(Data!$I446=SottocategorieUscite[[#Headers],[Fuori Casa]],Data!$I446=SottocategorieUscite[[#Headers],[Varie Uscite]],Data!$I446=SottocategorieUscite[[#Headers],[Personali]],Data!$I446=SottocategorieUscite[[#Headers],[Lavoro]]),"$ -","")</f>
        <v/>
      </c>
      <c r="L446" s="59" t="str">
        <f>IF(OR(Data!$I446=SottocategorieUscite[[#Headers],[Casa]],Data!$I446=SottocategorieUscite[[#Headers],[Utenze]],Data!$I446=SottocategorieUscite[[#Headers],[Business Uscite]],Data!$I446=SottocategorieUscite[[#Headers],[Banca]]),"$ -","")</f>
        <v/>
      </c>
      <c r="M446" s="59" t="str">
        <f>IF(OR($I446&lt;&gt;SottocategorieUscite[[#Headers],[Fuori Casa]],$I446&lt;&gt;SottocategorieUscite[[#Headers],[Varie Uscite]],$I446&lt;&gt;SottocategorieUscite[[#Headers],[Personali]],$I446&lt;&gt;SottocategorieUscite[[#Headers],[Lavoro]],$I446&lt;&gt;SottocategorieUscite[[#Headers],[Casa]],$I446&lt;&gt;SottocategorieUscite[[#Headers],[Utenze]],$I446&lt;&gt;SottocategorieUscite[[#Headers],[Business Uscite]],$I446&lt;&gt;SottocategorieUscite[[#Headers],[Banca]]),"","$ -")</f>
        <v/>
      </c>
      <c r="N446" s="59" t="str">
        <f>IF(OR(Data!$I446=SottocategorieEntrate[[#Headers],[Business Entrate]],Data!$I446=SottocategorieEntrate[[#Headers],[Varie Entrate]]),"$ -","")</f>
        <v/>
      </c>
      <c r="O446" s="59" t="str">
        <f>IF(OR(Data!$I446=SottocategorieEntrate[[#Headers],[Real Estate]],SottocategorieEntrate[[#Headers],[Other]]),"$ -","")</f>
        <v/>
      </c>
      <c r="P446" s="59" t="str">
        <f>IF(OR($I446&lt;&gt;SottocategorieEntrate[[#Headers],[Business Entrate]],$I446&lt;&gt;SottocategorieEntrate[[#Headers],[Varie Entrate]],$I446&lt;&gt;SottocategorieEntrate[[#Headers],[Real Estate]],$I446&lt;&gt;SottocategorieEntrate[[#Headers],[Other]]),"","$ -")</f>
        <v/>
      </c>
      <c r="Q446" s="59" t="str">
        <f>IF(Dati[[#This Row],[Categoria]]="Prelievo","€ -","")</f>
        <v/>
      </c>
      <c r="R446" s="244"/>
      <c r="S446" s="59" t="str">
        <f>IF(Dati[[#This Row],[Categoria]]="Savings",0,"")</f>
        <v/>
      </c>
      <c r="T446" s="59"/>
      <c r="U446" s="59"/>
      <c r="V446" s="59"/>
      <c r="W446" s="59"/>
      <c r="X446" s="59"/>
      <c r="Y446" s="59"/>
      <c r="Z446" s="59"/>
      <c r="AA446" s="59"/>
      <c r="AB446" s="59"/>
      <c r="AC446" s="59"/>
      <c r="AD446" s="59"/>
      <c r="AE446" s="59"/>
      <c r="AF446" s="59"/>
      <c r="AG446" s="59"/>
      <c r="AH446" s="59"/>
      <c r="AI446" s="59" t="str">
        <f>IF(SUM(Dati[[#This Row],[Inv. Business]:[Inv. Cryptocurrency]])=0," ",SUM(Dati[[#This Row],[Inv. Business]:[Inv. Cryptocurrency]]))</f>
        <v xml:space="preserve"> </v>
      </c>
      <c r="AJ446" s="59"/>
      <c r="AK446" s="59" t="str">
        <f>IF(SUM(Dati[[#This Row],[Inv. Gold]:[Mutuo]])=0," ",SUM(Dati[[#This Row],[Inv. Gold]:[Mutuo]]))</f>
        <v xml:space="preserve"> </v>
      </c>
      <c r="AL446" s="59"/>
      <c r="AM446" s="59"/>
    </row>
    <row r="447" spans="2:39" x14ac:dyDescent="0.35">
      <c r="B447">
        <f t="shared" si="18"/>
        <v>427</v>
      </c>
      <c r="C447" s="49">
        <v>45282</v>
      </c>
      <c r="D447" s="29">
        <f>DAY(Dati[[#This Row],[Data]])</f>
        <v>22</v>
      </c>
      <c r="E447" s="29" t="str">
        <f>IF(DAY(Data!$C$21:$C$1327)&gt;0,TEXT(Data!$C$21:$C$1327, "mmmm"),"")</f>
        <v>dicembre</v>
      </c>
      <c r="F447" s="29" t="str">
        <f>IF(DAY(Data!$C$21:$C$1327)&gt;0,TEXT(Data!$C$21:$C$1327, "aaaa"),"")</f>
        <v>2023</v>
      </c>
      <c r="I447" t="str">
        <f>IF(OR(H447=$B$5,H447=$B$6,H447=$B$7,H447=$B$8,H447=$B$9,H447=$B$10,H447=$B$11,H447=$B$12,H447=$B$13,H447=$B$14),SottocategorieUscite[[#Headers],[Fuori Casa]],IF(OR(H447=$C$5,H447=$C$6,H447=$C$7,H447=$C$8,H447=$C$9,H447=$C$10,H447=$C$11,H447=$C$12,H447=$C$13,H447=$C$14),SottocategorieUscite[[#Headers],[Varie Uscite]],IF(OR(H447=$D$5,H447=$D$6,H447=$D$7,H447=$D$8,H447=$D$9,H447=$D$10,H447=$D$11,H447=$D$12,H447=$D$13,H447=$D$14),SottocategorieUscite[[#Headers],[Personali]],IF(OR(H447=$E$5,H447=$E$6,H447=$E$7,H447=$E$8,H447=$E$9,H447=$E$10,H447=$E$11,H447=$E$12,H447=$E$13,H447=$E$14),SottocategorieUscite[[#Headers],[Lavoro]],IF(OR(H447=$F$5,H447=$F$6,H447=$F$7,H447=$F$8,H447=$F$9,H447=$F$10,H447=$F$11,H447=$F$12,H447=$F$13,H447=$F$14),SottocategorieUscite[[#Headers],[Casa]],IF(OR(H447=$G$5,H447=$G$6,H447=$G$7,H447=$G$8,H447=$G$9,H447=$G$10,H447=$G$11,H447=$G$12,H447=$G$13,H447=$G$14),SottocategorieUscite[[#Headers],[Utenze]],IF(OR(H447=$H$5,H447=$H$6,H447=$H$7,H447=$H$8,H447=$H$9,H447=$H$10,H447=$H$11,H447=$H$12,H447=$H$13,H447=$H$14),SottocategorieUscite[[#Headers],[Business Uscite]],IF(OR(H447=$I$5,H447=$I$6,H447=$I$7,H447=$I$8,H447=$I$9,H447=$I$10,H447=$I$11,H447=$I$12,H447=$I$13,H447=$I$14),SottocategorieUscite[[#Headers],[Banca]],IF(OR(H447=K$5,H447=K$6,H447=K$7,H447=K$8,H447=K$9,H447=K$10,H447=K$11,H447=K$12,H447=K$13,H447=K$14),SottocategorieEntrate[[#Headers],[Business Entrate]],IF(OR(H447=L$5,H447=L$6,H447=L$7,H447=L$8,H447=L$9,H447=L$10,H447=L$11,H447=L$12,H447=L$13,H447=L$14),SottocategorieEntrate[[#Headers],[Varie Entrate]],IF(OR(H447=M$5,H447=M$6,H447=M$7,H447=M$8,H447=M$9,H447=M$10,H447=M$11,H447=M$12,H447=M$13,H447=M$14),SottocategorieEntrate[[#Headers],[Real Estate]],IF(OR(H447=N$5,H447=N$6,H447=N$7,H447=N$8,H447=N$9,H447=N$10,H447=N$11,H447=N$12,H447=N$13,H447=N$14),SottocategorieEntrate[[#Headers],[Other]],""))))))))))))</f>
        <v/>
      </c>
      <c r="J447" t="str">
        <f>IF(OR(Dati[[#This Row],[Categoria]]="Bollette",Dati[[#This Row],[Categoria]]="Conto &amp; Carte BNL",Dati[[#This Row],[Categoria]]="Prelievo",Dati[[#This Row],[Categoria]]="Affitto",Dati[[#This Row],[Categoria]]="BNL(Interessi Creditori)"),"Carta",IF(Dati[[#This Row],[Categoria]]&lt;&gt;0,"Cash",""))</f>
        <v/>
      </c>
      <c r="K447" s="59" t="str">
        <f>IF(OR(Data!$I447=SottocategorieUscite[[#Headers],[Fuori Casa]],Data!$I447=SottocategorieUscite[[#Headers],[Varie Uscite]],Data!$I447=SottocategorieUscite[[#Headers],[Personali]],Data!$I447=SottocategorieUscite[[#Headers],[Lavoro]]),"$ -","")</f>
        <v/>
      </c>
      <c r="L447" s="59" t="str">
        <f>IF(OR(Data!$I447=SottocategorieUscite[[#Headers],[Casa]],Data!$I447=SottocategorieUscite[[#Headers],[Utenze]],Data!$I447=SottocategorieUscite[[#Headers],[Business Uscite]],Data!$I447=SottocategorieUscite[[#Headers],[Banca]]),"$ -","")</f>
        <v/>
      </c>
      <c r="M447" s="59" t="str">
        <f>IF(OR($I447&lt;&gt;SottocategorieUscite[[#Headers],[Fuori Casa]],$I447&lt;&gt;SottocategorieUscite[[#Headers],[Varie Uscite]],$I447&lt;&gt;SottocategorieUscite[[#Headers],[Personali]],$I447&lt;&gt;SottocategorieUscite[[#Headers],[Lavoro]],$I447&lt;&gt;SottocategorieUscite[[#Headers],[Casa]],$I447&lt;&gt;SottocategorieUscite[[#Headers],[Utenze]],$I447&lt;&gt;SottocategorieUscite[[#Headers],[Business Uscite]],$I447&lt;&gt;SottocategorieUscite[[#Headers],[Banca]]),"","$ -")</f>
        <v/>
      </c>
      <c r="N447" s="59" t="str">
        <f>IF(OR(Data!$I447=SottocategorieEntrate[[#Headers],[Business Entrate]],Data!$I447=SottocategorieEntrate[[#Headers],[Varie Entrate]]),"$ -","")</f>
        <v/>
      </c>
      <c r="O447" s="59" t="str">
        <f>IF(OR(Data!$I447=SottocategorieEntrate[[#Headers],[Real Estate]],SottocategorieEntrate[[#Headers],[Other]]),"$ -","")</f>
        <v/>
      </c>
      <c r="P447" s="59" t="str">
        <f>IF(OR($I447&lt;&gt;SottocategorieEntrate[[#Headers],[Business Entrate]],$I447&lt;&gt;SottocategorieEntrate[[#Headers],[Varie Entrate]],$I447&lt;&gt;SottocategorieEntrate[[#Headers],[Real Estate]],$I447&lt;&gt;SottocategorieEntrate[[#Headers],[Other]]),"","$ -")</f>
        <v/>
      </c>
      <c r="Q447" s="59" t="str">
        <f>IF(Dati[[#This Row],[Categoria]]="Prelievo","€ -","")</f>
        <v/>
      </c>
      <c r="R447" s="244"/>
      <c r="S447" s="59" t="str">
        <f>IF(Dati[[#This Row],[Categoria]]="Savings",0,"")</f>
        <v/>
      </c>
      <c r="T447" s="59"/>
      <c r="U447" s="59"/>
      <c r="V447" s="59"/>
      <c r="W447" s="59"/>
      <c r="X447" s="59"/>
      <c r="Y447" s="59"/>
      <c r="Z447" s="59"/>
      <c r="AA447" s="59"/>
      <c r="AB447" s="59"/>
      <c r="AC447" s="59"/>
      <c r="AD447" s="59"/>
      <c r="AE447" s="59"/>
      <c r="AF447" s="59"/>
      <c r="AG447" s="59"/>
      <c r="AH447" s="59"/>
      <c r="AI447" s="59" t="str">
        <f>IF(SUM(Dati[[#This Row],[Inv. Business]:[Inv. Cryptocurrency]])=0," ",SUM(Dati[[#This Row],[Inv. Business]:[Inv. Cryptocurrency]]))</f>
        <v xml:space="preserve"> </v>
      </c>
      <c r="AJ447" s="59"/>
      <c r="AK447" s="59" t="str">
        <f>IF(SUM(Dati[[#This Row],[Inv. Gold]:[Mutuo]])=0," ",SUM(Dati[[#This Row],[Inv. Gold]:[Mutuo]]))</f>
        <v xml:space="preserve"> </v>
      </c>
      <c r="AL447" s="59"/>
      <c r="AM447" s="59"/>
    </row>
    <row r="448" spans="2:39" x14ac:dyDescent="0.35">
      <c r="B448">
        <f t="shared" si="18"/>
        <v>428</v>
      </c>
      <c r="C448" s="49">
        <v>45282</v>
      </c>
      <c r="D448" s="29">
        <f>DAY(Dati[[#This Row],[Data]])</f>
        <v>22</v>
      </c>
      <c r="E448" s="29" t="str">
        <f>IF(DAY(Data!$C$21:$C$1327)&gt;0,TEXT(Data!$C$21:$C$1327, "mmmm"),"")</f>
        <v>dicembre</v>
      </c>
      <c r="F448" s="29" t="str">
        <f>IF(DAY(Data!$C$21:$C$1327)&gt;0,TEXT(Data!$C$21:$C$1327, "aaaa"),"")</f>
        <v>2023</v>
      </c>
      <c r="I448" t="str">
        <f>IF(OR(H448=$B$5,H448=$B$6,H448=$B$7,H448=$B$8,H448=$B$9,H448=$B$10,H448=$B$11,H448=$B$12,H448=$B$13,H448=$B$14),SottocategorieUscite[[#Headers],[Fuori Casa]],IF(OR(H448=$C$5,H448=$C$6,H448=$C$7,H448=$C$8,H448=$C$9,H448=$C$10,H448=$C$11,H448=$C$12,H448=$C$13,H448=$C$14),SottocategorieUscite[[#Headers],[Varie Uscite]],IF(OR(H448=$D$5,H448=$D$6,H448=$D$7,H448=$D$8,H448=$D$9,H448=$D$10,H448=$D$11,H448=$D$12,H448=$D$13,H448=$D$14),SottocategorieUscite[[#Headers],[Personali]],IF(OR(H448=$E$5,H448=$E$6,H448=$E$7,H448=$E$8,H448=$E$9,H448=$E$10,H448=$E$11,H448=$E$12,H448=$E$13,H448=$E$14),SottocategorieUscite[[#Headers],[Lavoro]],IF(OR(H448=$F$5,H448=$F$6,H448=$F$7,H448=$F$8,H448=$F$9,H448=$F$10,H448=$F$11,H448=$F$12,H448=$F$13,H448=$F$14),SottocategorieUscite[[#Headers],[Casa]],IF(OR(H448=$G$5,H448=$G$6,H448=$G$7,H448=$G$8,H448=$G$9,H448=$G$10,H448=$G$11,H448=$G$12,H448=$G$13,H448=$G$14),SottocategorieUscite[[#Headers],[Utenze]],IF(OR(H448=$H$5,H448=$H$6,H448=$H$7,H448=$H$8,H448=$H$9,H448=$H$10,H448=$H$11,H448=$H$12,H448=$H$13,H448=$H$14),SottocategorieUscite[[#Headers],[Business Uscite]],IF(OR(H448=$I$5,H448=$I$6,H448=$I$7,H448=$I$8,H448=$I$9,H448=$I$10,H448=$I$11,H448=$I$12,H448=$I$13,H448=$I$14),SottocategorieUscite[[#Headers],[Banca]],IF(OR(H448=K$5,H448=K$6,H448=K$7,H448=K$8,H448=K$9,H448=K$10,H448=K$11,H448=K$12,H448=K$13,H448=K$14),SottocategorieEntrate[[#Headers],[Business Entrate]],IF(OR(H448=L$5,H448=L$6,H448=L$7,H448=L$8,H448=L$9,H448=L$10,H448=L$11,H448=L$12,H448=L$13,H448=L$14),SottocategorieEntrate[[#Headers],[Varie Entrate]],IF(OR(H448=M$5,H448=M$6,H448=M$7,H448=M$8,H448=M$9,H448=M$10,H448=M$11,H448=M$12,H448=M$13,H448=M$14),SottocategorieEntrate[[#Headers],[Real Estate]],IF(OR(H448=N$5,H448=N$6,H448=N$7,H448=N$8,H448=N$9,H448=N$10,H448=N$11,H448=N$12,H448=N$13,H448=N$14),SottocategorieEntrate[[#Headers],[Other]],""))))))))))))</f>
        <v/>
      </c>
      <c r="J448" t="str">
        <f>IF(OR(Dati[[#This Row],[Categoria]]="Bollette",Dati[[#This Row],[Categoria]]="Conto &amp; Carte BNL",Dati[[#This Row],[Categoria]]="Prelievo",Dati[[#This Row],[Categoria]]="Affitto",Dati[[#This Row],[Categoria]]="BNL(Interessi Creditori)"),"Carta",IF(Dati[[#This Row],[Categoria]]&lt;&gt;0,"Cash",""))</f>
        <v/>
      </c>
      <c r="K448" s="59" t="str">
        <f>IF(OR(Data!$I448=SottocategorieUscite[[#Headers],[Fuori Casa]],Data!$I448=SottocategorieUscite[[#Headers],[Varie Uscite]],Data!$I448=SottocategorieUscite[[#Headers],[Personali]],Data!$I448=SottocategorieUscite[[#Headers],[Lavoro]]),"$ -","")</f>
        <v/>
      </c>
      <c r="L448" s="59" t="str">
        <f>IF(OR(Data!$I448=SottocategorieUscite[[#Headers],[Casa]],Data!$I448=SottocategorieUscite[[#Headers],[Utenze]],Data!$I448=SottocategorieUscite[[#Headers],[Business Uscite]],Data!$I448=SottocategorieUscite[[#Headers],[Banca]]),"$ -","")</f>
        <v/>
      </c>
      <c r="M448" s="59" t="str">
        <f>IF(OR($I448&lt;&gt;SottocategorieUscite[[#Headers],[Fuori Casa]],$I448&lt;&gt;SottocategorieUscite[[#Headers],[Varie Uscite]],$I448&lt;&gt;SottocategorieUscite[[#Headers],[Personali]],$I448&lt;&gt;SottocategorieUscite[[#Headers],[Lavoro]],$I448&lt;&gt;SottocategorieUscite[[#Headers],[Casa]],$I448&lt;&gt;SottocategorieUscite[[#Headers],[Utenze]],$I448&lt;&gt;SottocategorieUscite[[#Headers],[Business Uscite]],$I448&lt;&gt;SottocategorieUscite[[#Headers],[Banca]]),"","$ -")</f>
        <v/>
      </c>
      <c r="N448" s="59" t="str">
        <f>IF(OR(Data!$I448=SottocategorieEntrate[[#Headers],[Business Entrate]],Data!$I448=SottocategorieEntrate[[#Headers],[Varie Entrate]]),"$ -","")</f>
        <v/>
      </c>
      <c r="O448" s="59" t="str">
        <f>IF(OR(Data!$I448=SottocategorieEntrate[[#Headers],[Real Estate]],SottocategorieEntrate[[#Headers],[Other]]),"$ -","")</f>
        <v/>
      </c>
      <c r="P448" s="59" t="str">
        <f>IF(OR($I448&lt;&gt;SottocategorieEntrate[[#Headers],[Business Entrate]],$I448&lt;&gt;SottocategorieEntrate[[#Headers],[Varie Entrate]],$I448&lt;&gt;SottocategorieEntrate[[#Headers],[Real Estate]],$I448&lt;&gt;SottocategorieEntrate[[#Headers],[Other]]),"","$ -")</f>
        <v/>
      </c>
      <c r="Q448" s="59" t="str">
        <f>IF(Dati[[#This Row],[Categoria]]="Prelievo","€ -","")</f>
        <v/>
      </c>
      <c r="R448" s="244"/>
      <c r="S448" s="59" t="str">
        <f>IF(Dati[[#This Row],[Categoria]]="Savings",0,"")</f>
        <v/>
      </c>
      <c r="T448" s="59"/>
      <c r="U448" s="59"/>
      <c r="V448" s="59"/>
      <c r="W448" s="59"/>
      <c r="X448" s="59"/>
      <c r="Y448" s="59"/>
      <c r="Z448" s="59"/>
      <c r="AA448" s="59"/>
      <c r="AB448" s="59"/>
      <c r="AC448" s="59"/>
      <c r="AD448" s="59"/>
      <c r="AE448" s="59"/>
      <c r="AF448" s="59"/>
      <c r="AG448" s="59"/>
      <c r="AH448" s="59"/>
      <c r="AI448" s="59" t="str">
        <f>IF(SUM(Dati[[#This Row],[Inv. Business]:[Inv. Cryptocurrency]])=0," ",SUM(Dati[[#This Row],[Inv. Business]:[Inv. Cryptocurrency]]))</f>
        <v xml:space="preserve"> </v>
      </c>
      <c r="AJ448" s="59"/>
      <c r="AK448" s="59" t="str">
        <f>IF(SUM(Dati[[#This Row],[Inv. Gold]:[Mutuo]])=0," ",SUM(Dati[[#This Row],[Inv. Gold]:[Mutuo]]))</f>
        <v xml:space="preserve"> </v>
      </c>
      <c r="AL448" s="59"/>
      <c r="AM448" s="59"/>
    </row>
    <row r="449" spans="2:39" x14ac:dyDescent="0.35">
      <c r="B449">
        <f t="shared" si="18"/>
        <v>429</v>
      </c>
      <c r="C449" s="49">
        <f>C445+1</f>
        <v>45283</v>
      </c>
      <c r="D449" s="29">
        <f>DAY(Dati[[#This Row],[Data]])</f>
        <v>23</v>
      </c>
      <c r="E449" s="29" t="str">
        <f>IF(DAY(Data!$C$21:$C$1327)&gt;0,TEXT(Data!$C$21:$C$1327, "mmmm"),"")</f>
        <v>dicembre</v>
      </c>
      <c r="F449" s="29" t="str">
        <f>IF(DAY(Data!$C$21:$C$1327)&gt;0,TEXT(Data!$C$21:$C$1327, "aaaa"),"")</f>
        <v>2023</v>
      </c>
      <c r="I449" t="str">
        <f>IF(OR(H449=$B$5,H449=$B$6,H449=$B$7,H449=$B$8,H449=$B$9,H449=$B$10,H449=$B$11,H449=$B$12,H449=$B$13,H449=$B$14),SottocategorieUscite[[#Headers],[Fuori Casa]],IF(OR(H449=$C$5,H449=$C$6,H449=$C$7,H449=$C$8,H449=$C$9,H449=$C$10,H449=$C$11,H449=$C$12,H449=$C$13,H449=$C$14),SottocategorieUscite[[#Headers],[Varie Uscite]],IF(OR(H449=$D$5,H449=$D$6,H449=$D$7,H449=$D$8,H449=$D$9,H449=$D$10,H449=$D$11,H449=$D$12,H449=$D$13,H449=$D$14),SottocategorieUscite[[#Headers],[Personali]],IF(OR(H449=$E$5,H449=$E$6,H449=$E$7,H449=$E$8,H449=$E$9,H449=$E$10,H449=$E$11,H449=$E$12,H449=$E$13,H449=$E$14),SottocategorieUscite[[#Headers],[Lavoro]],IF(OR(H449=$F$5,H449=$F$6,H449=$F$7,H449=$F$8,H449=$F$9,H449=$F$10,H449=$F$11,H449=$F$12,H449=$F$13,H449=$F$14),SottocategorieUscite[[#Headers],[Casa]],IF(OR(H449=$G$5,H449=$G$6,H449=$G$7,H449=$G$8,H449=$G$9,H449=$G$10,H449=$G$11,H449=$G$12,H449=$G$13,H449=$G$14),SottocategorieUscite[[#Headers],[Utenze]],IF(OR(H449=$H$5,H449=$H$6,H449=$H$7,H449=$H$8,H449=$H$9,H449=$H$10,H449=$H$11,H449=$H$12,H449=$H$13,H449=$H$14),SottocategorieUscite[[#Headers],[Business Uscite]],IF(OR(H449=$I$5,H449=$I$6,H449=$I$7,H449=$I$8,H449=$I$9,H449=$I$10,H449=$I$11,H449=$I$12,H449=$I$13,H449=$I$14),SottocategorieUscite[[#Headers],[Banca]],IF(OR(H449=K$5,H449=K$6,H449=K$7,H449=K$8,H449=K$9,H449=K$10,H449=K$11,H449=K$12,H449=K$13,H449=K$14),SottocategorieEntrate[[#Headers],[Business Entrate]],IF(OR(H449=L$5,H449=L$6,H449=L$7,H449=L$8,H449=L$9,H449=L$10,H449=L$11,H449=L$12,H449=L$13,H449=L$14),SottocategorieEntrate[[#Headers],[Varie Entrate]],IF(OR(H449=M$5,H449=M$6,H449=M$7,H449=M$8,H449=M$9,H449=M$10,H449=M$11,H449=M$12,H449=M$13,H449=M$14),SottocategorieEntrate[[#Headers],[Real Estate]],IF(OR(H449=N$5,H449=N$6,H449=N$7,H449=N$8,H449=N$9,H449=N$10,H449=N$11,H449=N$12,H449=N$13,H449=N$14),SottocategorieEntrate[[#Headers],[Other]],""))))))))))))</f>
        <v/>
      </c>
      <c r="J449" t="str">
        <f>IF(OR(Dati[[#This Row],[Categoria]]="Bollette",Dati[[#This Row],[Categoria]]="Conto &amp; Carte BNL",Dati[[#This Row],[Categoria]]="Prelievo",Dati[[#This Row],[Categoria]]="Affitto",Dati[[#This Row],[Categoria]]="BNL(Interessi Creditori)"),"Carta",IF(Dati[[#This Row],[Categoria]]&lt;&gt;0,"Cash",""))</f>
        <v/>
      </c>
      <c r="K449" s="59" t="str">
        <f>IF(OR(Data!$I449=SottocategorieUscite[[#Headers],[Fuori Casa]],Data!$I449=SottocategorieUscite[[#Headers],[Varie Uscite]],Data!$I449=SottocategorieUscite[[#Headers],[Personali]],Data!$I449=SottocategorieUscite[[#Headers],[Lavoro]]),"$ -","")</f>
        <v/>
      </c>
      <c r="L449" s="59" t="str">
        <f>IF(OR(Data!$I449=SottocategorieUscite[[#Headers],[Casa]],Data!$I449=SottocategorieUscite[[#Headers],[Utenze]],Data!$I449=SottocategorieUscite[[#Headers],[Business Uscite]],Data!$I449=SottocategorieUscite[[#Headers],[Banca]]),"$ -","")</f>
        <v/>
      </c>
      <c r="M449" s="59" t="str">
        <f>IF(OR($I449&lt;&gt;SottocategorieUscite[[#Headers],[Fuori Casa]],$I449&lt;&gt;SottocategorieUscite[[#Headers],[Varie Uscite]],$I449&lt;&gt;SottocategorieUscite[[#Headers],[Personali]],$I449&lt;&gt;SottocategorieUscite[[#Headers],[Lavoro]],$I449&lt;&gt;SottocategorieUscite[[#Headers],[Casa]],$I449&lt;&gt;SottocategorieUscite[[#Headers],[Utenze]],$I449&lt;&gt;SottocategorieUscite[[#Headers],[Business Uscite]],$I449&lt;&gt;SottocategorieUscite[[#Headers],[Banca]]),"","$ -")</f>
        <v/>
      </c>
      <c r="N449" s="59" t="str">
        <f>IF(OR(Data!$I449=SottocategorieEntrate[[#Headers],[Business Entrate]],Data!$I449=SottocategorieEntrate[[#Headers],[Varie Entrate]]),"$ -","")</f>
        <v/>
      </c>
      <c r="O449" s="59" t="str">
        <f>IF(OR(Data!$I449=SottocategorieEntrate[[#Headers],[Real Estate]],SottocategorieEntrate[[#Headers],[Other]]),"$ -","")</f>
        <v/>
      </c>
      <c r="P449" s="59" t="str">
        <f>IF(OR($I449&lt;&gt;SottocategorieEntrate[[#Headers],[Business Entrate]],$I449&lt;&gt;SottocategorieEntrate[[#Headers],[Varie Entrate]],$I449&lt;&gt;SottocategorieEntrate[[#Headers],[Real Estate]],$I449&lt;&gt;SottocategorieEntrate[[#Headers],[Other]]),"","$ -")</f>
        <v/>
      </c>
      <c r="Q449" s="59" t="str">
        <f>IF(Dati[[#This Row],[Categoria]]="Prelievo","€ -","")</f>
        <v/>
      </c>
      <c r="R449" s="244"/>
      <c r="S449" s="59" t="str">
        <f>IF(Dati[[#This Row],[Categoria]]="Savings",0,"")</f>
        <v/>
      </c>
      <c r="T449" s="59"/>
      <c r="U449" s="59"/>
      <c r="V449" s="59"/>
      <c r="W449" s="59"/>
      <c r="X449" s="59"/>
      <c r="Y449" s="59"/>
      <c r="Z449" s="59"/>
      <c r="AA449" s="59"/>
      <c r="AB449" s="59"/>
      <c r="AC449" s="59"/>
      <c r="AD449" s="59"/>
      <c r="AE449" s="59"/>
      <c r="AF449" s="59"/>
      <c r="AG449" s="59"/>
      <c r="AH449" s="59"/>
      <c r="AI449" s="59" t="str">
        <f>IF(SUM(Dati[[#This Row],[Inv. Business]:[Inv. Cryptocurrency]])=0," ",SUM(Dati[[#This Row],[Inv. Business]:[Inv. Cryptocurrency]]))</f>
        <v xml:space="preserve"> </v>
      </c>
      <c r="AJ449" s="59"/>
      <c r="AK449" s="59" t="str">
        <f>IF(SUM(Dati[[#This Row],[Inv. Gold]:[Mutuo]])=0," ",SUM(Dati[[#This Row],[Inv. Gold]:[Mutuo]]))</f>
        <v xml:space="preserve"> </v>
      </c>
      <c r="AL449" s="59"/>
      <c r="AM449" s="59"/>
    </row>
    <row r="450" spans="2:39" x14ac:dyDescent="0.35">
      <c r="B450">
        <f t="shared" si="18"/>
        <v>430</v>
      </c>
      <c r="C450" s="49">
        <f t="shared" ref="C450:C456" si="19">C449+1</f>
        <v>45284</v>
      </c>
      <c r="D450" s="29">
        <f>DAY(Dati[[#This Row],[Data]])</f>
        <v>24</v>
      </c>
      <c r="E450" s="29" t="str">
        <f>IF(DAY(Data!$C$21:$C$1327)&gt;0,TEXT(Data!$C$21:$C$1327, "mmmm"),"")</f>
        <v>dicembre</v>
      </c>
      <c r="F450" s="29" t="str">
        <f>IF(DAY(Data!$C$21:$C$1327)&gt;0,TEXT(Data!$C$21:$C$1327, "aaaa"),"")</f>
        <v>2023</v>
      </c>
      <c r="I450" t="str">
        <f>IF(OR(H450=$B$5,H450=$B$6,H450=$B$7,H450=$B$8,H450=$B$9,H450=$B$10,H450=$B$11,H450=$B$12,H450=$B$13,H450=$B$14),SottocategorieUscite[[#Headers],[Fuori Casa]],IF(OR(H450=$C$5,H450=$C$6,H450=$C$7,H450=$C$8,H450=$C$9,H450=$C$10,H450=$C$11,H450=$C$12,H450=$C$13,H450=$C$14),SottocategorieUscite[[#Headers],[Varie Uscite]],IF(OR(H450=$D$5,H450=$D$6,H450=$D$7,H450=$D$8,H450=$D$9,H450=$D$10,H450=$D$11,H450=$D$12,H450=$D$13,H450=$D$14),SottocategorieUscite[[#Headers],[Personali]],IF(OR(H450=$E$5,H450=$E$6,H450=$E$7,H450=$E$8,H450=$E$9,H450=$E$10,H450=$E$11,H450=$E$12,H450=$E$13,H450=$E$14),SottocategorieUscite[[#Headers],[Lavoro]],IF(OR(H450=$F$5,H450=$F$6,H450=$F$7,H450=$F$8,H450=$F$9,H450=$F$10,H450=$F$11,H450=$F$12,H450=$F$13,H450=$F$14),SottocategorieUscite[[#Headers],[Casa]],IF(OR(H450=$G$5,H450=$G$6,H450=$G$7,H450=$G$8,H450=$G$9,H450=$G$10,H450=$G$11,H450=$G$12,H450=$G$13,H450=$G$14),SottocategorieUscite[[#Headers],[Utenze]],IF(OR(H450=$H$5,H450=$H$6,H450=$H$7,H450=$H$8,H450=$H$9,H450=$H$10,H450=$H$11,H450=$H$12,H450=$H$13,H450=$H$14),SottocategorieUscite[[#Headers],[Business Uscite]],IF(OR(H450=$I$5,H450=$I$6,H450=$I$7,H450=$I$8,H450=$I$9,H450=$I$10,H450=$I$11,H450=$I$12,H450=$I$13,H450=$I$14),SottocategorieUscite[[#Headers],[Banca]],IF(OR(H450=K$5,H450=K$6,H450=K$7,H450=K$8,H450=K$9,H450=K$10,H450=K$11,H450=K$12,H450=K$13,H450=K$14),SottocategorieEntrate[[#Headers],[Business Entrate]],IF(OR(H450=L$5,H450=L$6,H450=L$7,H450=L$8,H450=L$9,H450=L$10,H450=L$11,H450=L$12,H450=L$13,H450=L$14),SottocategorieEntrate[[#Headers],[Varie Entrate]],IF(OR(H450=M$5,H450=M$6,H450=M$7,H450=M$8,H450=M$9,H450=M$10,H450=M$11,H450=M$12,H450=M$13,H450=M$14),SottocategorieEntrate[[#Headers],[Real Estate]],IF(OR(H450=N$5,H450=N$6,H450=N$7,H450=N$8,H450=N$9,H450=N$10,H450=N$11,H450=N$12,H450=N$13,H450=N$14),SottocategorieEntrate[[#Headers],[Other]],""))))))))))))</f>
        <v/>
      </c>
      <c r="J450" t="str">
        <f>IF(OR(Dati[[#This Row],[Categoria]]="Bollette",Dati[[#This Row],[Categoria]]="Conto &amp; Carte BNL",Dati[[#This Row],[Categoria]]="Prelievo",Dati[[#This Row],[Categoria]]="Affitto",Dati[[#This Row],[Categoria]]="BNL(Interessi Creditori)"),"Carta",IF(Dati[[#This Row],[Categoria]]&lt;&gt;0,"Cash",""))</f>
        <v/>
      </c>
      <c r="K450" s="59" t="str">
        <f>IF(OR(Data!$I450=SottocategorieUscite[[#Headers],[Fuori Casa]],Data!$I450=SottocategorieUscite[[#Headers],[Varie Uscite]],Data!$I450=SottocategorieUscite[[#Headers],[Personali]],Data!$I450=SottocategorieUscite[[#Headers],[Lavoro]]),"$ -","")</f>
        <v/>
      </c>
      <c r="L450" s="59" t="str">
        <f>IF(OR(Data!$I450=SottocategorieUscite[[#Headers],[Casa]],Data!$I450=SottocategorieUscite[[#Headers],[Utenze]],Data!$I450=SottocategorieUscite[[#Headers],[Business Uscite]],Data!$I450=SottocategorieUscite[[#Headers],[Banca]]),"$ -","")</f>
        <v/>
      </c>
      <c r="M450" s="59" t="str">
        <f>IF(OR($I450&lt;&gt;SottocategorieUscite[[#Headers],[Fuori Casa]],$I450&lt;&gt;SottocategorieUscite[[#Headers],[Varie Uscite]],$I450&lt;&gt;SottocategorieUscite[[#Headers],[Personali]],$I450&lt;&gt;SottocategorieUscite[[#Headers],[Lavoro]],$I450&lt;&gt;SottocategorieUscite[[#Headers],[Casa]],$I450&lt;&gt;SottocategorieUscite[[#Headers],[Utenze]],$I450&lt;&gt;SottocategorieUscite[[#Headers],[Business Uscite]],$I450&lt;&gt;SottocategorieUscite[[#Headers],[Banca]]),"","$ -")</f>
        <v/>
      </c>
      <c r="N450" s="59" t="str">
        <f>IF(OR(Data!$I450=SottocategorieEntrate[[#Headers],[Business Entrate]],Data!$I450=SottocategorieEntrate[[#Headers],[Varie Entrate]]),"$ -","")</f>
        <v/>
      </c>
      <c r="O450" s="59" t="str">
        <f>IF(OR(Data!$I450=SottocategorieEntrate[[#Headers],[Real Estate]],SottocategorieEntrate[[#Headers],[Other]]),"$ -","")</f>
        <v/>
      </c>
      <c r="P450" s="59" t="str">
        <f>IF(OR($I450&lt;&gt;SottocategorieEntrate[[#Headers],[Business Entrate]],$I450&lt;&gt;SottocategorieEntrate[[#Headers],[Varie Entrate]],$I450&lt;&gt;SottocategorieEntrate[[#Headers],[Real Estate]],$I450&lt;&gt;SottocategorieEntrate[[#Headers],[Other]]),"","$ -")</f>
        <v/>
      </c>
      <c r="Q450" s="59" t="str">
        <f>IF(Dati[[#This Row],[Categoria]]="Prelievo","€ -","")</f>
        <v/>
      </c>
      <c r="R450" s="244"/>
      <c r="S450" s="59" t="str">
        <f>IF(Dati[[#This Row],[Categoria]]="Savings",0,"")</f>
        <v/>
      </c>
      <c r="T450" s="59"/>
      <c r="U450" s="59"/>
      <c r="V450" s="59"/>
      <c r="W450" s="59"/>
      <c r="X450" s="59"/>
      <c r="Y450" s="59"/>
      <c r="Z450" s="59"/>
      <c r="AA450" s="59"/>
      <c r="AB450" s="59"/>
      <c r="AC450" s="59"/>
      <c r="AD450" s="59"/>
      <c r="AE450" s="59"/>
      <c r="AF450" s="59"/>
      <c r="AG450" s="59"/>
      <c r="AH450" s="59"/>
      <c r="AI450" s="59" t="str">
        <f>IF(SUM(Dati[[#This Row],[Inv. Business]:[Inv. Cryptocurrency]])=0," ",SUM(Dati[[#This Row],[Inv. Business]:[Inv. Cryptocurrency]]))</f>
        <v xml:space="preserve"> </v>
      </c>
      <c r="AJ450" s="59"/>
      <c r="AK450" s="59" t="str">
        <f>IF(SUM(Dati[[#This Row],[Inv. Gold]:[Mutuo]])=0," ",SUM(Dati[[#This Row],[Inv. Gold]:[Mutuo]]))</f>
        <v xml:space="preserve"> </v>
      </c>
      <c r="AL450" s="59"/>
      <c r="AM450" s="59"/>
    </row>
    <row r="451" spans="2:39" x14ac:dyDescent="0.35">
      <c r="B451">
        <f t="shared" si="18"/>
        <v>431</v>
      </c>
      <c r="C451" s="49">
        <f t="shared" si="19"/>
        <v>45285</v>
      </c>
      <c r="D451" s="29">
        <f>DAY(Dati[[#This Row],[Data]])</f>
        <v>25</v>
      </c>
      <c r="E451" s="29" t="str">
        <f>IF(DAY(Data!$C$21:$C$1327)&gt;0,TEXT(Data!$C$21:$C$1327, "mmmm"),"")</f>
        <v>dicembre</v>
      </c>
      <c r="F451" s="29" t="str">
        <f>IF(DAY(Data!$C$21:$C$1327)&gt;0,TEXT(Data!$C$21:$C$1327, "aaaa"),"")</f>
        <v>2023</v>
      </c>
      <c r="I451" t="str">
        <f>IF(OR(H451=$B$5,H451=$B$6,H451=$B$7,H451=$B$8,H451=$B$9,H451=$B$10,H451=$B$11,H451=$B$12,H451=$B$13,H451=$B$14),SottocategorieUscite[[#Headers],[Fuori Casa]],IF(OR(H451=$C$5,H451=$C$6,H451=$C$7,H451=$C$8,H451=$C$9,H451=$C$10,H451=$C$11,H451=$C$12,H451=$C$13,H451=$C$14),SottocategorieUscite[[#Headers],[Varie Uscite]],IF(OR(H451=$D$5,H451=$D$6,H451=$D$7,H451=$D$8,H451=$D$9,H451=$D$10,H451=$D$11,H451=$D$12,H451=$D$13,H451=$D$14),SottocategorieUscite[[#Headers],[Personali]],IF(OR(H451=$E$5,H451=$E$6,H451=$E$7,H451=$E$8,H451=$E$9,H451=$E$10,H451=$E$11,H451=$E$12,H451=$E$13,H451=$E$14),SottocategorieUscite[[#Headers],[Lavoro]],IF(OR(H451=$F$5,H451=$F$6,H451=$F$7,H451=$F$8,H451=$F$9,H451=$F$10,H451=$F$11,H451=$F$12,H451=$F$13,H451=$F$14),SottocategorieUscite[[#Headers],[Casa]],IF(OR(H451=$G$5,H451=$G$6,H451=$G$7,H451=$G$8,H451=$G$9,H451=$G$10,H451=$G$11,H451=$G$12,H451=$G$13,H451=$G$14),SottocategorieUscite[[#Headers],[Utenze]],IF(OR(H451=$H$5,H451=$H$6,H451=$H$7,H451=$H$8,H451=$H$9,H451=$H$10,H451=$H$11,H451=$H$12,H451=$H$13,H451=$H$14),SottocategorieUscite[[#Headers],[Business Uscite]],IF(OR(H451=$I$5,H451=$I$6,H451=$I$7,H451=$I$8,H451=$I$9,H451=$I$10,H451=$I$11,H451=$I$12,H451=$I$13,H451=$I$14),SottocategorieUscite[[#Headers],[Banca]],IF(OR(H451=K$5,H451=K$6,H451=K$7,H451=K$8,H451=K$9,H451=K$10,H451=K$11,H451=K$12,H451=K$13,H451=K$14),SottocategorieEntrate[[#Headers],[Business Entrate]],IF(OR(H451=L$5,H451=L$6,H451=L$7,H451=L$8,H451=L$9,H451=L$10,H451=L$11,H451=L$12,H451=L$13,H451=L$14),SottocategorieEntrate[[#Headers],[Varie Entrate]],IF(OR(H451=M$5,H451=M$6,H451=M$7,H451=M$8,H451=M$9,H451=M$10,H451=M$11,H451=M$12,H451=M$13,H451=M$14),SottocategorieEntrate[[#Headers],[Real Estate]],IF(OR(H451=N$5,H451=N$6,H451=N$7,H451=N$8,H451=N$9,H451=N$10,H451=N$11,H451=N$12,H451=N$13,H451=N$14),SottocategorieEntrate[[#Headers],[Other]],""))))))))))))</f>
        <v/>
      </c>
      <c r="J451" t="str">
        <f>IF(OR(Dati[[#This Row],[Categoria]]="Bollette",Dati[[#This Row],[Categoria]]="Conto &amp; Carte BNL",Dati[[#This Row],[Categoria]]="Prelievo",Dati[[#This Row],[Categoria]]="Affitto",Dati[[#This Row],[Categoria]]="BNL(Interessi Creditori)"),"Carta",IF(Dati[[#This Row],[Categoria]]&lt;&gt;0,"Cash",""))</f>
        <v/>
      </c>
      <c r="K451" s="59" t="str">
        <f>IF(OR(Data!$I451=SottocategorieUscite[[#Headers],[Fuori Casa]],Data!$I451=SottocategorieUscite[[#Headers],[Varie Uscite]],Data!$I451=SottocategorieUscite[[#Headers],[Personali]],Data!$I451=SottocategorieUscite[[#Headers],[Lavoro]]),"$ -","")</f>
        <v/>
      </c>
      <c r="L451" s="59" t="str">
        <f>IF(OR(Data!$I451=SottocategorieUscite[[#Headers],[Casa]],Data!$I451=SottocategorieUscite[[#Headers],[Utenze]],Data!$I451=SottocategorieUscite[[#Headers],[Business Uscite]],Data!$I451=SottocategorieUscite[[#Headers],[Banca]]),"$ -","")</f>
        <v/>
      </c>
      <c r="M451" s="59" t="str">
        <f>IF(OR($I451&lt;&gt;SottocategorieUscite[[#Headers],[Fuori Casa]],$I451&lt;&gt;SottocategorieUscite[[#Headers],[Varie Uscite]],$I451&lt;&gt;SottocategorieUscite[[#Headers],[Personali]],$I451&lt;&gt;SottocategorieUscite[[#Headers],[Lavoro]],$I451&lt;&gt;SottocategorieUscite[[#Headers],[Casa]],$I451&lt;&gt;SottocategorieUscite[[#Headers],[Utenze]],$I451&lt;&gt;SottocategorieUscite[[#Headers],[Business Uscite]],$I451&lt;&gt;SottocategorieUscite[[#Headers],[Banca]]),"","$ -")</f>
        <v/>
      </c>
      <c r="N451" s="59" t="str">
        <f>IF(OR(Data!$I451=SottocategorieEntrate[[#Headers],[Business Entrate]],Data!$I451=SottocategorieEntrate[[#Headers],[Varie Entrate]]),"$ -","")</f>
        <v/>
      </c>
      <c r="O451" s="59" t="str">
        <f>IF(OR(Data!$I451=SottocategorieEntrate[[#Headers],[Real Estate]],SottocategorieEntrate[[#Headers],[Other]]),"$ -","")</f>
        <v/>
      </c>
      <c r="P451" s="59" t="str">
        <f>IF(OR($I451&lt;&gt;SottocategorieEntrate[[#Headers],[Business Entrate]],$I451&lt;&gt;SottocategorieEntrate[[#Headers],[Varie Entrate]],$I451&lt;&gt;SottocategorieEntrate[[#Headers],[Real Estate]],$I451&lt;&gt;SottocategorieEntrate[[#Headers],[Other]]),"","$ -")</f>
        <v/>
      </c>
      <c r="Q451" s="59" t="str">
        <f>IF(Dati[[#This Row],[Categoria]]="Prelievo","€ -","")</f>
        <v/>
      </c>
      <c r="R451" s="244"/>
      <c r="S451" s="59" t="str">
        <f>IF(Dati[[#This Row],[Categoria]]="Savings",0,"")</f>
        <v/>
      </c>
      <c r="T451" s="59"/>
      <c r="U451" s="59"/>
      <c r="V451" s="59"/>
      <c r="W451" s="59"/>
      <c r="X451" s="59"/>
      <c r="Y451" s="59"/>
      <c r="Z451" s="59"/>
      <c r="AA451" s="59"/>
      <c r="AB451" s="59"/>
      <c r="AC451" s="59"/>
      <c r="AD451" s="59"/>
      <c r="AE451" s="59"/>
      <c r="AF451" s="59"/>
      <c r="AG451" s="59"/>
      <c r="AH451" s="59"/>
      <c r="AI451" s="59" t="str">
        <f>IF(SUM(Dati[[#This Row],[Inv. Business]:[Inv. Cryptocurrency]])=0," ",SUM(Dati[[#This Row],[Inv. Business]:[Inv. Cryptocurrency]]))</f>
        <v xml:space="preserve"> </v>
      </c>
      <c r="AJ451" s="59"/>
      <c r="AK451" s="59" t="str">
        <f>IF(SUM(Dati[[#This Row],[Inv. Gold]:[Mutuo]])=0," ",SUM(Dati[[#This Row],[Inv. Gold]:[Mutuo]]))</f>
        <v xml:space="preserve"> </v>
      </c>
      <c r="AL451" s="59"/>
      <c r="AM451" s="59"/>
    </row>
    <row r="452" spans="2:39" x14ac:dyDescent="0.35">
      <c r="B452">
        <f t="shared" si="18"/>
        <v>432</v>
      </c>
      <c r="C452" s="49">
        <f t="shared" si="19"/>
        <v>45286</v>
      </c>
      <c r="D452" s="29">
        <f>DAY(Dati[[#This Row],[Data]])</f>
        <v>26</v>
      </c>
      <c r="E452" s="29" t="str">
        <f>IF(DAY(Data!$C$21:$C$1327)&gt;0,TEXT(Data!$C$21:$C$1327, "mmmm"),"")</f>
        <v>dicembre</v>
      </c>
      <c r="F452" s="29" t="str">
        <f>IF(DAY(Data!$C$21:$C$1327)&gt;0,TEXT(Data!$C$21:$C$1327, "aaaa"),"")</f>
        <v>2023</v>
      </c>
      <c r="I452" t="str">
        <f>IF(OR(H452=$B$5,H452=$B$6,H452=$B$7,H452=$B$8,H452=$B$9,H452=$B$10,H452=$B$11,H452=$B$12,H452=$B$13,H452=$B$14),SottocategorieUscite[[#Headers],[Fuori Casa]],IF(OR(H452=$C$5,H452=$C$6,H452=$C$7,H452=$C$8,H452=$C$9,H452=$C$10,H452=$C$11,H452=$C$12,H452=$C$13,H452=$C$14),SottocategorieUscite[[#Headers],[Varie Uscite]],IF(OR(H452=$D$5,H452=$D$6,H452=$D$7,H452=$D$8,H452=$D$9,H452=$D$10,H452=$D$11,H452=$D$12,H452=$D$13,H452=$D$14),SottocategorieUscite[[#Headers],[Personali]],IF(OR(H452=$E$5,H452=$E$6,H452=$E$7,H452=$E$8,H452=$E$9,H452=$E$10,H452=$E$11,H452=$E$12,H452=$E$13,H452=$E$14),SottocategorieUscite[[#Headers],[Lavoro]],IF(OR(H452=$F$5,H452=$F$6,H452=$F$7,H452=$F$8,H452=$F$9,H452=$F$10,H452=$F$11,H452=$F$12,H452=$F$13,H452=$F$14),SottocategorieUscite[[#Headers],[Casa]],IF(OR(H452=$G$5,H452=$G$6,H452=$G$7,H452=$G$8,H452=$G$9,H452=$G$10,H452=$G$11,H452=$G$12,H452=$G$13,H452=$G$14),SottocategorieUscite[[#Headers],[Utenze]],IF(OR(H452=$H$5,H452=$H$6,H452=$H$7,H452=$H$8,H452=$H$9,H452=$H$10,H452=$H$11,H452=$H$12,H452=$H$13,H452=$H$14),SottocategorieUscite[[#Headers],[Business Uscite]],IF(OR(H452=$I$5,H452=$I$6,H452=$I$7,H452=$I$8,H452=$I$9,H452=$I$10,H452=$I$11,H452=$I$12,H452=$I$13,H452=$I$14),SottocategorieUscite[[#Headers],[Banca]],IF(OR(H452=K$5,H452=K$6,H452=K$7,H452=K$8,H452=K$9,H452=K$10,H452=K$11,H452=K$12,H452=K$13,H452=K$14),SottocategorieEntrate[[#Headers],[Business Entrate]],IF(OR(H452=L$5,H452=L$6,H452=L$7,H452=L$8,H452=L$9,H452=L$10,H452=L$11,H452=L$12,H452=L$13,H452=L$14),SottocategorieEntrate[[#Headers],[Varie Entrate]],IF(OR(H452=M$5,H452=M$6,H452=M$7,H452=M$8,H452=M$9,H452=M$10,H452=M$11,H452=M$12,H452=M$13,H452=M$14),SottocategorieEntrate[[#Headers],[Real Estate]],IF(OR(H452=N$5,H452=N$6,H452=N$7,H452=N$8,H452=N$9,H452=N$10,H452=N$11,H452=N$12,H452=N$13,H452=N$14),SottocategorieEntrate[[#Headers],[Other]],""))))))))))))</f>
        <v/>
      </c>
      <c r="J452" t="str">
        <f>IF(OR(Dati[[#This Row],[Categoria]]="Bollette",Dati[[#This Row],[Categoria]]="Conto &amp; Carte BNL",Dati[[#This Row],[Categoria]]="Prelievo",Dati[[#This Row],[Categoria]]="Affitto",Dati[[#This Row],[Categoria]]="BNL(Interessi Creditori)"),"Carta",IF(Dati[[#This Row],[Categoria]]&lt;&gt;0,"Cash",""))</f>
        <v/>
      </c>
      <c r="K452" s="59" t="str">
        <f>IF(OR(Data!$I452=SottocategorieUscite[[#Headers],[Fuori Casa]],Data!$I452=SottocategorieUscite[[#Headers],[Varie Uscite]],Data!$I452=SottocategorieUscite[[#Headers],[Personali]],Data!$I452=SottocategorieUscite[[#Headers],[Lavoro]]),"$ -","")</f>
        <v/>
      </c>
      <c r="L452" s="59" t="str">
        <f>IF(OR(Data!$I452=SottocategorieUscite[[#Headers],[Casa]],Data!$I452=SottocategorieUscite[[#Headers],[Utenze]],Data!$I452=SottocategorieUscite[[#Headers],[Business Uscite]],Data!$I452=SottocategorieUscite[[#Headers],[Banca]]),"$ -","")</f>
        <v/>
      </c>
      <c r="M452" s="59" t="str">
        <f>IF(OR($I452&lt;&gt;SottocategorieUscite[[#Headers],[Fuori Casa]],$I452&lt;&gt;SottocategorieUscite[[#Headers],[Varie Uscite]],$I452&lt;&gt;SottocategorieUscite[[#Headers],[Personali]],$I452&lt;&gt;SottocategorieUscite[[#Headers],[Lavoro]],$I452&lt;&gt;SottocategorieUscite[[#Headers],[Casa]],$I452&lt;&gt;SottocategorieUscite[[#Headers],[Utenze]],$I452&lt;&gt;SottocategorieUscite[[#Headers],[Business Uscite]],$I452&lt;&gt;SottocategorieUscite[[#Headers],[Banca]]),"","$ -")</f>
        <v/>
      </c>
      <c r="N452" s="59" t="str">
        <f>IF(OR(Data!$I452=SottocategorieEntrate[[#Headers],[Business Entrate]],Data!$I452=SottocategorieEntrate[[#Headers],[Varie Entrate]]),"$ -","")</f>
        <v/>
      </c>
      <c r="O452" s="59" t="str">
        <f>IF(OR(Data!$I452=SottocategorieEntrate[[#Headers],[Real Estate]],SottocategorieEntrate[[#Headers],[Other]]),"$ -","")</f>
        <v/>
      </c>
      <c r="P452" s="59" t="str">
        <f>IF(OR($I452&lt;&gt;SottocategorieEntrate[[#Headers],[Business Entrate]],$I452&lt;&gt;SottocategorieEntrate[[#Headers],[Varie Entrate]],$I452&lt;&gt;SottocategorieEntrate[[#Headers],[Real Estate]],$I452&lt;&gt;SottocategorieEntrate[[#Headers],[Other]]),"","$ -")</f>
        <v/>
      </c>
      <c r="Q452" s="59" t="str">
        <f>IF(Dati[[#This Row],[Categoria]]="Prelievo","€ -","")</f>
        <v/>
      </c>
      <c r="R452" s="244"/>
      <c r="S452" s="59" t="str">
        <f>IF(Dati[[#This Row],[Categoria]]="Savings",0,"")</f>
        <v/>
      </c>
      <c r="T452" s="59"/>
      <c r="U452" s="59"/>
      <c r="V452" s="59"/>
      <c r="W452" s="59"/>
      <c r="X452" s="59"/>
      <c r="Y452" s="59"/>
      <c r="Z452" s="59"/>
      <c r="AA452" s="59"/>
      <c r="AB452" s="59"/>
      <c r="AC452" s="59"/>
      <c r="AD452" s="59"/>
      <c r="AE452" s="59"/>
      <c r="AF452" s="59"/>
      <c r="AG452" s="59"/>
      <c r="AH452" s="59"/>
      <c r="AI452" s="59" t="str">
        <f>IF(SUM(Dati[[#This Row],[Inv. Business]:[Inv. Cryptocurrency]])=0," ",SUM(Dati[[#This Row],[Inv. Business]:[Inv. Cryptocurrency]]))</f>
        <v xml:space="preserve"> </v>
      </c>
      <c r="AJ452" s="59"/>
      <c r="AK452" s="59" t="str">
        <f>IF(SUM(Dati[[#This Row],[Inv. Gold]:[Mutuo]])=0," ",SUM(Dati[[#This Row],[Inv. Gold]:[Mutuo]]))</f>
        <v xml:space="preserve"> </v>
      </c>
      <c r="AL452" s="59"/>
      <c r="AM452" s="59"/>
    </row>
    <row r="453" spans="2:39" x14ac:dyDescent="0.35">
      <c r="B453">
        <f t="shared" si="18"/>
        <v>433</v>
      </c>
      <c r="C453" s="49">
        <f t="shared" si="19"/>
        <v>45287</v>
      </c>
      <c r="D453" s="29">
        <f>DAY(Dati[[#This Row],[Data]])</f>
        <v>27</v>
      </c>
      <c r="E453" s="29" t="str">
        <f>IF(DAY(Data!$C$21:$C$1327)&gt;0,TEXT(Data!$C$21:$C$1327, "mmmm"),"")</f>
        <v>dicembre</v>
      </c>
      <c r="F453" s="29" t="str">
        <f>IF(DAY(Data!$C$21:$C$1327)&gt;0,TEXT(Data!$C$21:$C$1327, "aaaa"),"")</f>
        <v>2023</v>
      </c>
      <c r="I453" t="str">
        <f>IF(OR(H453=$B$5,H453=$B$6,H453=$B$7,H453=$B$8,H453=$B$9,H453=$B$10,H453=$B$11,H453=$B$12,H453=$B$13,H453=$B$14),SottocategorieUscite[[#Headers],[Fuori Casa]],IF(OR(H453=$C$5,H453=$C$6,H453=$C$7,H453=$C$8,H453=$C$9,H453=$C$10,H453=$C$11,H453=$C$12,H453=$C$13,H453=$C$14),SottocategorieUscite[[#Headers],[Varie Uscite]],IF(OR(H453=$D$5,H453=$D$6,H453=$D$7,H453=$D$8,H453=$D$9,H453=$D$10,H453=$D$11,H453=$D$12,H453=$D$13,H453=$D$14),SottocategorieUscite[[#Headers],[Personali]],IF(OR(H453=$E$5,H453=$E$6,H453=$E$7,H453=$E$8,H453=$E$9,H453=$E$10,H453=$E$11,H453=$E$12,H453=$E$13,H453=$E$14),SottocategorieUscite[[#Headers],[Lavoro]],IF(OR(H453=$F$5,H453=$F$6,H453=$F$7,H453=$F$8,H453=$F$9,H453=$F$10,H453=$F$11,H453=$F$12,H453=$F$13,H453=$F$14),SottocategorieUscite[[#Headers],[Casa]],IF(OR(H453=$G$5,H453=$G$6,H453=$G$7,H453=$G$8,H453=$G$9,H453=$G$10,H453=$G$11,H453=$G$12,H453=$G$13,H453=$G$14),SottocategorieUscite[[#Headers],[Utenze]],IF(OR(H453=$H$5,H453=$H$6,H453=$H$7,H453=$H$8,H453=$H$9,H453=$H$10,H453=$H$11,H453=$H$12,H453=$H$13,H453=$H$14),SottocategorieUscite[[#Headers],[Business Uscite]],IF(OR(H453=$I$5,H453=$I$6,H453=$I$7,H453=$I$8,H453=$I$9,H453=$I$10,H453=$I$11,H453=$I$12,H453=$I$13,H453=$I$14),SottocategorieUscite[[#Headers],[Banca]],IF(OR(H453=K$5,H453=K$6,H453=K$7,H453=K$8,H453=K$9,H453=K$10,H453=K$11,H453=K$12,H453=K$13,H453=K$14),SottocategorieEntrate[[#Headers],[Business Entrate]],IF(OR(H453=L$5,H453=L$6,H453=L$7,H453=L$8,H453=L$9,H453=L$10,H453=L$11,H453=L$12,H453=L$13,H453=L$14),SottocategorieEntrate[[#Headers],[Varie Entrate]],IF(OR(H453=M$5,H453=M$6,H453=M$7,H453=M$8,H453=M$9,H453=M$10,H453=M$11,H453=M$12,H453=M$13,H453=M$14),SottocategorieEntrate[[#Headers],[Real Estate]],IF(OR(H453=N$5,H453=N$6,H453=N$7,H453=N$8,H453=N$9,H453=N$10,H453=N$11,H453=N$12,H453=N$13,H453=N$14),SottocategorieEntrate[[#Headers],[Other]],""))))))))))))</f>
        <v/>
      </c>
      <c r="J453" t="str">
        <f>IF(OR(Dati[[#This Row],[Categoria]]="Bollette",Dati[[#This Row],[Categoria]]="Conto &amp; Carte BNL",Dati[[#This Row],[Categoria]]="Prelievo",Dati[[#This Row],[Categoria]]="Affitto",Dati[[#This Row],[Categoria]]="BNL(Interessi Creditori)"),"Carta",IF(Dati[[#This Row],[Categoria]]&lt;&gt;0,"Cash",""))</f>
        <v/>
      </c>
      <c r="K453" s="59" t="str">
        <f>IF(OR(Data!$I453=SottocategorieUscite[[#Headers],[Fuori Casa]],Data!$I453=SottocategorieUscite[[#Headers],[Varie Uscite]],Data!$I453=SottocategorieUscite[[#Headers],[Personali]],Data!$I453=SottocategorieUscite[[#Headers],[Lavoro]]),"$ -","")</f>
        <v/>
      </c>
      <c r="L453" s="59" t="str">
        <f>IF(OR(Data!$I453=SottocategorieUscite[[#Headers],[Casa]],Data!$I453=SottocategorieUscite[[#Headers],[Utenze]],Data!$I453=SottocategorieUscite[[#Headers],[Business Uscite]],Data!$I453=SottocategorieUscite[[#Headers],[Banca]]),"$ -","")</f>
        <v/>
      </c>
      <c r="M453" s="59" t="str">
        <f>IF(OR($I453&lt;&gt;SottocategorieUscite[[#Headers],[Fuori Casa]],$I453&lt;&gt;SottocategorieUscite[[#Headers],[Varie Uscite]],$I453&lt;&gt;SottocategorieUscite[[#Headers],[Personali]],$I453&lt;&gt;SottocategorieUscite[[#Headers],[Lavoro]],$I453&lt;&gt;SottocategorieUscite[[#Headers],[Casa]],$I453&lt;&gt;SottocategorieUscite[[#Headers],[Utenze]],$I453&lt;&gt;SottocategorieUscite[[#Headers],[Business Uscite]],$I453&lt;&gt;SottocategorieUscite[[#Headers],[Banca]]),"","$ -")</f>
        <v/>
      </c>
      <c r="N453" s="59" t="str">
        <f>IF(OR(Data!$I453=SottocategorieEntrate[[#Headers],[Business Entrate]],Data!$I453=SottocategorieEntrate[[#Headers],[Varie Entrate]]),"$ -","")</f>
        <v/>
      </c>
      <c r="O453" s="59" t="str">
        <f>IF(OR(Data!$I453=SottocategorieEntrate[[#Headers],[Real Estate]],SottocategorieEntrate[[#Headers],[Other]]),"$ -","")</f>
        <v/>
      </c>
      <c r="P453" s="59" t="str">
        <f>IF(OR($I453&lt;&gt;SottocategorieEntrate[[#Headers],[Business Entrate]],$I453&lt;&gt;SottocategorieEntrate[[#Headers],[Varie Entrate]],$I453&lt;&gt;SottocategorieEntrate[[#Headers],[Real Estate]],$I453&lt;&gt;SottocategorieEntrate[[#Headers],[Other]]),"","$ -")</f>
        <v/>
      </c>
      <c r="Q453" s="59" t="str">
        <f>IF(Dati[[#This Row],[Categoria]]="Prelievo","€ -","")</f>
        <v/>
      </c>
      <c r="R453" s="244"/>
      <c r="S453" s="59" t="str">
        <f>IF(Dati[[#This Row],[Categoria]]="Savings",0,"")</f>
        <v/>
      </c>
      <c r="T453" s="59"/>
      <c r="U453" s="59"/>
      <c r="V453" s="59"/>
      <c r="W453" s="59"/>
      <c r="X453" s="59"/>
      <c r="Y453" s="59"/>
      <c r="Z453" s="59"/>
      <c r="AA453" s="59"/>
      <c r="AB453" s="59"/>
      <c r="AC453" s="59"/>
      <c r="AD453" s="59"/>
      <c r="AE453" s="59"/>
      <c r="AF453" s="59"/>
      <c r="AG453" s="59"/>
      <c r="AH453" s="59"/>
      <c r="AI453" s="59" t="str">
        <f>IF(SUM(Dati[[#This Row],[Inv. Business]:[Inv. Cryptocurrency]])=0," ",SUM(Dati[[#This Row],[Inv. Business]:[Inv. Cryptocurrency]]))</f>
        <v xml:space="preserve"> </v>
      </c>
      <c r="AJ453" s="59"/>
      <c r="AK453" s="59" t="str">
        <f>IF(SUM(Dati[[#This Row],[Inv. Gold]:[Mutuo]])=0," ",SUM(Dati[[#This Row],[Inv. Gold]:[Mutuo]]))</f>
        <v xml:space="preserve"> </v>
      </c>
      <c r="AL453" s="59"/>
      <c r="AM453" s="59"/>
    </row>
    <row r="454" spans="2:39" x14ac:dyDescent="0.35">
      <c r="B454">
        <f t="shared" si="18"/>
        <v>434</v>
      </c>
      <c r="C454" s="49">
        <f t="shared" si="19"/>
        <v>45288</v>
      </c>
      <c r="D454" s="29">
        <f>DAY(Dati[[#This Row],[Data]])</f>
        <v>28</v>
      </c>
      <c r="E454" s="29" t="str">
        <f>IF(DAY(Data!$C$21:$C$1327)&gt;0,TEXT(Data!$C$21:$C$1327, "mmmm"),"")</f>
        <v>dicembre</v>
      </c>
      <c r="F454" s="29" t="str">
        <f>IF(DAY(Data!$C$21:$C$1327)&gt;0,TEXT(Data!$C$21:$C$1327, "aaaa"),"")</f>
        <v>2023</v>
      </c>
      <c r="I454" t="str">
        <f>IF(OR(H454=$B$5,H454=$B$6,H454=$B$7,H454=$B$8,H454=$B$9,H454=$B$10,H454=$B$11,H454=$B$12,H454=$B$13,H454=$B$14),SottocategorieUscite[[#Headers],[Fuori Casa]],IF(OR(H454=$C$5,H454=$C$6,H454=$C$7,H454=$C$8,H454=$C$9,H454=$C$10,H454=$C$11,H454=$C$12,H454=$C$13,H454=$C$14),SottocategorieUscite[[#Headers],[Varie Uscite]],IF(OR(H454=$D$5,H454=$D$6,H454=$D$7,H454=$D$8,H454=$D$9,H454=$D$10,H454=$D$11,H454=$D$12,H454=$D$13,H454=$D$14),SottocategorieUscite[[#Headers],[Personali]],IF(OR(H454=$E$5,H454=$E$6,H454=$E$7,H454=$E$8,H454=$E$9,H454=$E$10,H454=$E$11,H454=$E$12,H454=$E$13,H454=$E$14),SottocategorieUscite[[#Headers],[Lavoro]],IF(OR(H454=$F$5,H454=$F$6,H454=$F$7,H454=$F$8,H454=$F$9,H454=$F$10,H454=$F$11,H454=$F$12,H454=$F$13,H454=$F$14),SottocategorieUscite[[#Headers],[Casa]],IF(OR(H454=$G$5,H454=$G$6,H454=$G$7,H454=$G$8,H454=$G$9,H454=$G$10,H454=$G$11,H454=$G$12,H454=$G$13,H454=$G$14),SottocategorieUscite[[#Headers],[Utenze]],IF(OR(H454=$H$5,H454=$H$6,H454=$H$7,H454=$H$8,H454=$H$9,H454=$H$10,H454=$H$11,H454=$H$12,H454=$H$13,H454=$H$14),SottocategorieUscite[[#Headers],[Business Uscite]],IF(OR(H454=$I$5,H454=$I$6,H454=$I$7,H454=$I$8,H454=$I$9,H454=$I$10,H454=$I$11,H454=$I$12,H454=$I$13,H454=$I$14),SottocategorieUscite[[#Headers],[Banca]],IF(OR(H454=K$5,H454=K$6,H454=K$7,H454=K$8,H454=K$9,H454=K$10,H454=K$11,H454=K$12,H454=K$13,H454=K$14),SottocategorieEntrate[[#Headers],[Business Entrate]],IF(OR(H454=L$5,H454=L$6,H454=L$7,H454=L$8,H454=L$9,H454=L$10,H454=L$11,H454=L$12,H454=L$13,H454=L$14),SottocategorieEntrate[[#Headers],[Varie Entrate]],IF(OR(H454=M$5,H454=M$6,H454=M$7,H454=M$8,H454=M$9,H454=M$10,H454=M$11,H454=M$12,H454=M$13,H454=M$14),SottocategorieEntrate[[#Headers],[Real Estate]],IF(OR(H454=N$5,H454=N$6,H454=N$7,H454=N$8,H454=N$9,H454=N$10,H454=N$11,H454=N$12,H454=N$13,H454=N$14),SottocategorieEntrate[[#Headers],[Other]],""))))))))))))</f>
        <v/>
      </c>
      <c r="J454" t="str">
        <f>IF(OR(Dati[[#This Row],[Categoria]]="Bollette",Dati[[#This Row],[Categoria]]="Conto &amp; Carte BNL",Dati[[#This Row],[Categoria]]="Prelievo",Dati[[#This Row],[Categoria]]="Affitto",Dati[[#This Row],[Categoria]]="BNL(Interessi Creditori)"),"Carta",IF(Dati[[#This Row],[Categoria]]&lt;&gt;0,"Cash",""))</f>
        <v/>
      </c>
      <c r="K454" s="59" t="str">
        <f>IF(OR(Data!$I454=SottocategorieUscite[[#Headers],[Fuori Casa]],Data!$I454=SottocategorieUscite[[#Headers],[Varie Uscite]],Data!$I454=SottocategorieUscite[[#Headers],[Personali]],Data!$I454=SottocategorieUscite[[#Headers],[Lavoro]]),"$ -","")</f>
        <v/>
      </c>
      <c r="L454" s="59" t="str">
        <f>IF(OR(Data!$I454=SottocategorieUscite[[#Headers],[Casa]],Data!$I454=SottocategorieUscite[[#Headers],[Utenze]],Data!$I454=SottocategorieUscite[[#Headers],[Business Uscite]],Data!$I454=SottocategorieUscite[[#Headers],[Banca]]),"$ -","")</f>
        <v/>
      </c>
      <c r="M454" s="59" t="str">
        <f>IF(OR($I454&lt;&gt;SottocategorieUscite[[#Headers],[Fuori Casa]],$I454&lt;&gt;SottocategorieUscite[[#Headers],[Varie Uscite]],$I454&lt;&gt;SottocategorieUscite[[#Headers],[Personali]],$I454&lt;&gt;SottocategorieUscite[[#Headers],[Lavoro]],$I454&lt;&gt;SottocategorieUscite[[#Headers],[Casa]],$I454&lt;&gt;SottocategorieUscite[[#Headers],[Utenze]],$I454&lt;&gt;SottocategorieUscite[[#Headers],[Business Uscite]],$I454&lt;&gt;SottocategorieUscite[[#Headers],[Banca]]),"","$ -")</f>
        <v/>
      </c>
      <c r="N454" s="59" t="str">
        <f>IF(OR(Data!$I454=SottocategorieEntrate[[#Headers],[Business Entrate]],Data!$I454=SottocategorieEntrate[[#Headers],[Varie Entrate]]),"$ -","")</f>
        <v/>
      </c>
      <c r="O454" s="59" t="str">
        <f>IF(OR(Data!$I454=SottocategorieEntrate[[#Headers],[Real Estate]],SottocategorieEntrate[[#Headers],[Other]]),"$ -","")</f>
        <v/>
      </c>
      <c r="P454" s="59" t="str">
        <f>IF(OR($I454&lt;&gt;SottocategorieEntrate[[#Headers],[Business Entrate]],$I454&lt;&gt;SottocategorieEntrate[[#Headers],[Varie Entrate]],$I454&lt;&gt;SottocategorieEntrate[[#Headers],[Real Estate]],$I454&lt;&gt;SottocategorieEntrate[[#Headers],[Other]]),"","$ -")</f>
        <v/>
      </c>
      <c r="Q454" s="59" t="str">
        <f>IF(Dati[[#This Row],[Categoria]]="Prelievo","€ -","")</f>
        <v/>
      </c>
      <c r="R454" s="244"/>
      <c r="S454" s="59" t="str">
        <f>IF(Dati[[#This Row],[Categoria]]="Savings",0,"")</f>
        <v/>
      </c>
      <c r="T454" s="59"/>
      <c r="U454" s="59"/>
      <c r="V454" s="59"/>
      <c r="W454" s="59"/>
      <c r="X454" s="59"/>
      <c r="Y454" s="59"/>
      <c r="Z454" s="59"/>
      <c r="AA454" s="59"/>
      <c r="AB454" s="59"/>
      <c r="AC454" s="59"/>
      <c r="AD454" s="59"/>
      <c r="AE454" s="59"/>
      <c r="AF454" s="59"/>
      <c r="AG454" s="59"/>
      <c r="AH454" s="59"/>
      <c r="AI454" s="59" t="str">
        <f>IF(SUM(Dati[[#This Row],[Inv. Business]:[Inv. Cryptocurrency]])=0," ",SUM(Dati[[#This Row],[Inv. Business]:[Inv. Cryptocurrency]]))</f>
        <v xml:space="preserve"> </v>
      </c>
      <c r="AJ454" s="59"/>
      <c r="AK454" s="59" t="str">
        <f>IF(SUM(Dati[[#This Row],[Inv. Gold]:[Mutuo]])=0," ",SUM(Dati[[#This Row],[Inv. Gold]:[Mutuo]]))</f>
        <v xml:space="preserve"> </v>
      </c>
      <c r="AL454" s="59"/>
      <c r="AM454" s="59"/>
    </row>
    <row r="455" spans="2:39" x14ac:dyDescent="0.35">
      <c r="B455">
        <f t="shared" si="18"/>
        <v>435</v>
      </c>
      <c r="C455" s="49">
        <f t="shared" si="19"/>
        <v>45289</v>
      </c>
      <c r="D455" s="29">
        <f>DAY(Dati[[#This Row],[Data]])</f>
        <v>29</v>
      </c>
      <c r="E455" s="29" t="str">
        <f>IF(DAY(Data!$C$21:$C$1327)&gt;0,TEXT(Data!$C$21:$C$1327, "mmmm"),"")</f>
        <v>dicembre</v>
      </c>
      <c r="F455" s="29" t="str">
        <f>IF(DAY(Data!$C$21:$C$1327)&gt;0,TEXT(Data!$C$21:$C$1327, "aaaa"),"")</f>
        <v>2023</v>
      </c>
      <c r="I455" t="str">
        <f>IF(OR(H455=$B$5,H455=$B$6,H455=$B$7,H455=$B$8,H455=$B$9,H455=$B$10,H455=$B$11,H455=$B$12,H455=$B$13,H455=$B$14),SottocategorieUscite[[#Headers],[Fuori Casa]],IF(OR(H455=$C$5,H455=$C$6,H455=$C$7,H455=$C$8,H455=$C$9,H455=$C$10,H455=$C$11,H455=$C$12,H455=$C$13,H455=$C$14),SottocategorieUscite[[#Headers],[Varie Uscite]],IF(OR(H455=$D$5,H455=$D$6,H455=$D$7,H455=$D$8,H455=$D$9,H455=$D$10,H455=$D$11,H455=$D$12,H455=$D$13,H455=$D$14),SottocategorieUscite[[#Headers],[Personali]],IF(OR(H455=$E$5,H455=$E$6,H455=$E$7,H455=$E$8,H455=$E$9,H455=$E$10,H455=$E$11,H455=$E$12,H455=$E$13,H455=$E$14),SottocategorieUscite[[#Headers],[Lavoro]],IF(OR(H455=$F$5,H455=$F$6,H455=$F$7,H455=$F$8,H455=$F$9,H455=$F$10,H455=$F$11,H455=$F$12,H455=$F$13,H455=$F$14),SottocategorieUscite[[#Headers],[Casa]],IF(OR(H455=$G$5,H455=$G$6,H455=$G$7,H455=$G$8,H455=$G$9,H455=$G$10,H455=$G$11,H455=$G$12,H455=$G$13,H455=$G$14),SottocategorieUscite[[#Headers],[Utenze]],IF(OR(H455=$H$5,H455=$H$6,H455=$H$7,H455=$H$8,H455=$H$9,H455=$H$10,H455=$H$11,H455=$H$12,H455=$H$13,H455=$H$14),SottocategorieUscite[[#Headers],[Business Uscite]],IF(OR(H455=$I$5,H455=$I$6,H455=$I$7,H455=$I$8,H455=$I$9,H455=$I$10,H455=$I$11,H455=$I$12,H455=$I$13,H455=$I$14),SottocategorieUscite[[#Headers],[Banca]],IF(OR(H455=K$5,H455=K$6,H455=K$7,H455=K$8,H455=K$9,H455=K$10,H455=K$11,H455=K$12,H455=K$13,H455=K$14),SottocategorieEntrate[[#Headers],[Business Entrate]],IF(OR(H455=L$5,H455=L$6,H455=L$7,H455=L$8,H455=L$9,H455=L$10,H455=L$11,H455=L$12,H455=L$13,H455=L$14),SottocategorieEntrate[[#Headers],[Varie Entrate]],IF(OR(H455=M$5,H455=M$6,H455=M$7,H455=M$8,H455=M$9,H455=M$10,H455=M$11,H455=M$12,H455=M$13,H455=M$14),SottocategorieEntrate[[#Headers],[Real Estate]],IF(OR(H455=N$5,H455=N$6,H455=N$7,H455=N$8,H455=N$9,H455=N$10,H455=N$11,H455=N$12,H455=N$13,H455=N$14),SottocategorieEntrate[[#Headers],[Other]],""))))))))))))</f>
        <v/>
      </c>
      <c r="J455" t="str">
        <f>IF(OR(Dati[[#This Row],[Categoria]]="Bollette",Dati[[#This Row],[Categoria]]="Conto &amp; Carte BNL",Dati[[#This Row],[Categoria]]="Prelievo",Dati[[#This Row],[Categoria]]="Affitto",Dati[[#This Row],[Categoria]]="BNL(Interessi Creditori)"),"Carta",IF(Dati[[#This Row],[Categoria]]&lt;&gt;0,"Cash",""))</f>
        <v/>
      </c>
      <c r="K455" s="59" t="str">
        <f>IF(OR(Data!$I455=SottocategorieUscite[[#Headers],[Fuori Casa]],Data!$I455=SottocategorieUscite[[#Headers],[Varie Uscite]],Data!$I455=SottocategorieUscite[[#Headers],[Personali]],Data!$I455=SottocategorieUscite[[#Headers],[Lavoro]]),"$ -","")</f>
        <v/>
      </c>
      <c r="L455" s="59" t="str">
        <f>IF(OR(Data!$I455=SottocategorieUscite[[#Headers],[Casa]],Data!$I455=SottocategorieUscite[[#Headers],[Utenze]],Data!$I455=SottocategorieUscite[[#Headers],[Business Uscite]],Data!$I455=SottocategorieUscite[[#Headers],[Banca]]),"$ -","")</f>
        <v/>
      </c>
      <c r="M455" s="59" t="str">
        <f>IF(OR($I455&lt;&gt;SottocategorieUscite[[#Headers],[Fuori Casa]],$I455&lt;&gt;SottocategorieUscite[[#Headers],[Varie Uscite]],$I455&lt;&gt;SottocategorieUscite[[#Headers],[Personali]],$I455&lt;&gt;SottocategorieUscite[[#Headers],[Lavoro]],$I455&lt;&gt;SottocategorieUscite[[#Headers],[Casa]],$I455&lt;&gt;SottocategorieUscite[[#Headers],[Utenze]],$I455&lt;&gt;SottocategorieUscite[[#Headers],[Business Uscite]],$I455&lt;&gt;SottocategorieUscite[[#Headers],[Banca]]),"","$ -")</f>
        <v/>
      </c>
      <c r="N455" s="59" t="str">
        <f>IF(OR(Data!$I455=SottocategorieEntrate[[#Headers],[Business Entrate]],Data!$I455=SottocategorieEntrate[[#Headers],[Varie Entrate]]),"$ -","")</f>
        <v/>
      </c>
      <c r="O455" s="59" t="str">
        <f>IF(OR(Data!$I455=SottocategorieEntrate[[#Headers],[Real Estate]],SottocategorieEntrate[[#Headers],[Other]]),"$ -","")</f>
        <v/>
      </c>
      <c r="P455" s="59" t="str">
        <f>IF(OR($I455&lt;&gt;SottocategorieEntrate[[#Headers],[Business Entrate]],$I455&lt;&gt;SottocategorieEntrate[[#Headers],[Varie Entrate]],$I455&lt;&gt;SottocategorieEntrate[[#Headers],[Real Estate]],$I455&lt;&gt;SottocategorieEntrate[[#Headers],[Other]]),"","$ -")</f>
        <v/>
      </c>
      <c r="Q455" s="59" t="str">
        <f>IF(Dati[[#This Row],[Categoria]]="Prelievo","€ -","")</f>
        <v/>
      </c>
      <c r="R455" s="244"/>
      <c r="S455" s="59" t="str">
        <f>IF(Dati[[#This Row],[Categoria]]="Savings",0,"")</f>
        <v/>
      </c>
      <c r="T455" s="59"/>
      <c r="U455" s="59"/>
      <c r="V455" s="59"/>
      <c r="W455" s="59"/>
      <c r="X455" s="59"/>
      <c r="Y455" s="59"/>
      <c r="Z455" s="59"/>
      <c r="AA455" s="59"/>
      <c r="AB455" s="59"/>
      <c r="AC455" s="59"/>
      <c r="AD455" s="59"/>
      <c r="AE455" s="59"/>
      <c r="AF455" s="59"/>
      <c r="AG455" s="59"/>
      <c r="AH455" s="59"/>
      <c r="AI455" s="59" t="str">
        <f>IF(SUM(Dati[[#This Row],[Inv. Business]:[Inv. Cryptocurrency]])=0," ",SUM(Dati[[#This Row],[Inv. Business]:[Inv. Cryptocurrency]]))</f>
        <v xml:space="preserve"> </v>
      </c>
      <c r="AJ455" s="59"/>
      <c r="AK455" s="59" t="str">
        <f>IF(SUM(Dati[[#This Row],[Inv. Gold]:[Mutuo]])=0," ",SUM(Dati[[#This Row],[Inv. Gold]:[Mutuo]]))</f>
        <v xml:space="preserve"> </v>
      </c>
      <c r="AL455" s="59"/>
      <c r="AM455" s="59"/>
    </row>
    <row r="456" spans="2:39" x14ac:dyDescent="0.35">
      <c r="B456">
        <f t="shared" si="18"/>
        <v>436</v>
      </c>
      <c r="C456" s="49">
        <f t="shared" si="19"/>
        <v>45290</v>
      </c>
      <c r="D456" s="29">
        <f>DAY(Dati[[#This Row],[Data]])</f>
        <v>30</v>
      </c>
      <c r="E456" s="29" t="str">
        <f>IF(DAY(Data!$C$21:$C$1327)&gt;0,TEXT(Data!$C$21:$C$1327, "mmmm"),"")</f>
        <v>dicembre</v>
      </c>
      <c r="F456" s="29" t="str">
        <f>IF(DAY(Data!$C$21:$C$1327)&gt;0,TEXT(Data!$C$21:$C$1327, "aaaa"),"")</f>
        <v>2023</v>
      </c>
      <c r="I456" t="str">
        <f>IF(OR(H456=$B$5,H456=$B$6,H456=$B$7,H456=$B$8,H456=$B$9,H456=$B$10,H456=$B$11,H456=$B$12,H456=$B$13,H456=$B$14),SottocategorieUscite[[#Headers],[Fuori Casa]],IF(OR(H456=$C$5,H456=$C$6,H456=$C$7,H456=$C$8,H456=$C$9,H456=$C$10,H456=$C$11,H456=$C$12,H456=$C$13,H456=$C$14),SottocategorieUscite[[#Headers],[Varie Uscite]],IF(OR(H456=$D$5,H456=$D$6,H456=$D$7,H456=$D$8,H456=$D$9,H456=$D$10,H456=$D$11,H456=$D$12,H456=$D$13,H456=$D$14),SottocategorieUscite[[#Headers],[Personali]],IF(OR(H456=$E$5,H456=$E$6,H456=$E$7,H456=$E$8,H456=$E$9,H456=$E$10,H456=$E$11,H456=$E$12,H456=$E$13,H456=$E$14),SottocategorieUscite[[#Headers],[Lavoro]],IF(OR(H456=$F$5,H456=$F$6,H456=$F$7,H456=$F$8,H456=$F$9,H456=$F$10,H456=$F$11,H456=$F$12,H456=$F$13,H456=$F$14),SottocategorieUscite[[#Headers],[Casa]],IF(OR(H456=$G$5,H456=$G$6,H456=$G$7,H456=$G$8,H456=$G$9,H456=$G$10,H456=$G$11,H456=$G$12,H456=$G$13,H456=$G$14),SottocategorieUscite[[#Headers],[Utenze]],IF(OR(H456=$H$5,H456=$H$6,H456=$H$7,H456=$H$8,H456=$H$9,H456=$H$10,H456=$H$11,H456=$H$12,H456=$H$13,H456=$H$14),SottocategorieUscite[[#Headers],[Business Uscite]],IF(OR(H456=$I$5,H456=$I$6,H456=$I$7,H456=$I$8,H456=$I$9,H456=$I$10,H456=$I$11,H456=$I$12,H456=$I$13,H456=$I$14),SottocategorieUscite[[#Headers],[Banca]],IF(OR(H456=K$5,H456=K$6,H456=K$7,H456=K$8,H456=K$9,H456=K$10,H456=K$11,H456=K$12,H456=K$13,H456=K$14),SottocategorieEntrate[[#Headers],[Business Entrate]],IF(OR(H456=L$5,H456=L$6,H456=L$7,H456=L$8,H456=L$9,H456=L$10,H456=L$11,H456=L$12,H456=L$13,H456=L$14),SottocategorieEntrate[[#Headers],[Varie Entrate]],IF(OR(H456=M$5,H456=M$6,H456=M$7,H456=M$8,H456=M$9,H456=M$10,H456=M$11,H456=M$12,H456=M$13,H456=M$14),SottocategorieEntrate[[#Headers],[Real Estate]],IF(OR(H456=N$5,H456=N$6,H456=N$7,H456=N$8,H456=N$9,H456=N$10,H456=N$11,H456=N$12,H456=N$13,H456=N$14),SottocategorieEntrate[[#Headers],[Other]],""))))))))))))</f>
        <v/>
      </c>
      <c r="J456" t="str">
        <f>IF(OR(Dati[[#This Row],[Categoria]]="Bollette",Dati[[#This Row],[Categoria]]="Conto &amp; Carte BNL",Dati[[#This Row],[Categoria]]="Prelievo",Dati[[#This Row],[Categoria]]="Affitto",Dati[[#This Row],[Categoria]]="BNL(Interessi Creditori)"),"Carta",IF(Dati[[#This Row],[Categoria]]&lt;&gt;0,"Cash",""))</f>
        <v/>
      </c>
      <c r="K456" s="59" t="str">
        <f>IF(OR(Data!$I456=SottocategorieUscite[[#Headers],[Fuori Casa]],Data!$I456=SottocategorieUscite[[#Headers],[Varie Uscite]],Data!$I456=SottocategorieUscite[[#Headers],[Personali]],Data!$I456=SottocategorieUscite[[#Headers],[Lavoro]]),"$ -","")</f>
        <v/>
      </c>
      <c r="L456" s="59" t="str">
        <f>IF(OR(Data!$I456=SottocategorieUscite[[#Headers],[Casa]],Data!$I456=SottocategorieUscite[[#Headers],[Utenze]],Data!$I456=SottocategorieUscite[[#Headers],[Business Uscite]],Data!$I456=SottocategorieUscite[[#Headers],[Banca]]),"$ -","")</f>
        <v/>
      </c>
      <c r="M456" s="59" t="str">
        <f>IF(OR($I456&lt;&gt;SottocategorieUscite[[#Headers],[Fuori Casa]],$I456&lt;&gt;SottocategorieUscite[[#Headers],[Varie Uscite]],$I456&lt;&gt;SottocategorieUscite[[#Headers],[Personali]],$I456&lt;&gt;SottocategorieUscite[[#Headers],[Lavoro]],$I456&lt;&gt;SottocategorieUscite[[#Headers],[Casa]],$I456&lt;&gt;SottocategorieUscite[[#Headers],[Utenze]],$I456&lt;&gt;SottocategorieUscite[[#Headers],[Business Uscite]],$I456&lt;&gt;SottocategorieUscite[[#Headers],[Banca]]),"","$ -")</f>
        <v/>
      </c>
      <c r="N456" s="59" t="str">
        <f>IF(OR(Data!$I456=SottocategorieEntrate[[#Headers],[Business Entrate]],Data!$I456=SottocategorieEntrate[[#Headers],[Varie Entrate]]),"$ -","")</f>
        <v/>
      </c>
      <c r="O456" s="59" t="str">
        <f>IF(OR(Data!$I456=SottocategorieEntrate[[#Headers],[Real Estate]],SottocategorieEntrate[[#Headers],[Other]]),"$ -","")</f>
        <v/>
      </c>
      <c r="P456" s="59" t="str">
        <f>IF(OR($I456&lt;&gt;SottocategorieEntrate[[#Headers],[Business Entrate]],$I456&lt;&gt;SottocategorieEntrate[[#Headers],[Varie Entrate]],$I456&lt;&gt;SottocategorieEntrate[[#Headers],[Real Estate]],$I456&lt;&gt;SottocategorieEntrate[[#Headers],[Other]]),"","$ -")</f>
        <v/>
      </c>
      <c r="Q456" s="59" t="str">
        <f>IF(Dati[[#This Row],[Categoria]]="Prelievo","€ -","")</f>
        <v/>
      </c>
      <c r="R456" s="244"/>
      <c r="S456" s="59" t="str">
        <f>IF(Dati[[#This Row],[Categoria]]="Savings",0,"")</f>
        <v/>
      </c>
      <c r="T456" s="59"/>
      <c r="U456" s="59"/>
      <c r="V456" s="59"/>
      <c r="W456" s="59"/>
      <c r="X456" s="59"/>
      <c r="Y456" s="59"/>
      <c r="Z456" s="59"/>
      <c r="AA456" s="59"/>
      <c r="AB456" s="59"/>
      <c r="AC456" s="59"/>
      <c r="AD456" s="59"/>
      <c r="AE456" s="59"/>
      <c r="AF456" s="59"/>
      <c r="AG456" s="59"/>
      <c r="AH456" s="59"/>
      <c r="AI456" s="59" t="str">
        <f>IF(SUM(Dati[[#This Row],[Inv. Business]:[Inv. Cryptocurrency]])=0," ",SUM(Dati[[#This Row],[Inv. Business]:[Inv. Cryptocurrency]]))</f>
        <v xml:space="preserve"> </v>
      </c>
      <c r="AJ456" s="59"/>
      <c r="AK456" s="59" t="str">
        <f>IF(SUM(Dati[[#This Row],[Inv. Gold]:[Mutuo]])=0," ",SUM(Dati[[#This Row],[Inv. Gold]:[Mutuo]]))</f>
        <v xml:space="preserve"> </v>
      </c>
      <c r="AL456" s="59"/>
      <c r="AM456" s="59"/>
    </row>
    <row r="457" spans="2:39" x14ac:dyDescent="0.35">
      <c r="B457">
        <f t="shared" si="18"/>
        <v>437</v>
      </c>
      <c r="C457" s="49">
        <f>C456+1</f>
        <v>45291</v>
      </c>
      <c r="D457" s="29">
        <f>DAY(Dati[[#This Row],[Data]])</f>
        <v>31</v>
      </c>
      <c r="E457" s="29" t="str">
        <f>IF(DAY(Data!$C$21:$C$1327)&gt;0,TEXT(Data!$C$21:$C$1327, "mmmm"),"")</f>
        <v>dicembre</v>
      </c>
      <c r="F457" s="29" t="str">
        <f>IF(DAY(Data!$C$21:$C$1327)&gt;0,TEXT(Data!$C$21:$C$1327, "aaaa"),"")</f>
        <v>2023</v>
      </c>
      <c r="I457" t="str">
        <f>IF(OR(H457=$B$5,H457=$B$6,H457=$B$7,H457=$B$8,H457=$B$9,H457=$B$10,H457=$B$11,H457=$B$12,H457=$B$13,H457=$B$14),SottocategorieUscite[[#Headers],[Fuori Casa]],IF(OR(H457=$C$5,H457=$C$6,H457=$C$7,H457=$C$8,H457=$C$9,H457=$C$10,H457=$C$11,H457=$C$12,H457=$C$13,H457=$C$14),SottocategorieUscite[[#Headers],[Varie Uscite]],IF(OR(H457=$D$5,H457=$D$6,H457=$D$7,H457=$D$8,H457=$D$9,H457=$D$10,H457=$D$11,H457=$D$12,H457=$D$13,H457=$D$14),SottocategorieUscite[[#Headers],[Personali]],IF(OR(H457=$E$5,H457=$E$6,H457=$E$7,H457=$E$8,H457=$E$9,H457=$E$10,H457=$E$11,H457=$E$12,H457=$E$13,H457=$E$14),SottocategorieUscite[[#Headers],[Lavoro]],IF(OR(H457=$F$5,H457=$F$6,H457=$F$7,H457=$F$8,H457=$F$9,H457=$F$10,H457=$F$11,H457=$F$12,H457=$F$13,H457=$F$14),SottocategorieUscite[[#Headers],[Casa]],IF(OR(H457=$G$5,H457=$G$6,H457=$G$7,H457=$G$8,H457=$G$9,H457=$G$10,H457=$G$11,H457=$G$12,H457=$G$13,H457=$G$14),SottocategorieUscite[[#Headers],[Utenze]],IF(OR(H457=$H$5,H457=$H$6,H457=$H$7,H457=$H$8,H457=$H$9,H457=$H$10,H457=$H$11,H457=$H$12,H457=$H$13,H457=$H$14),SottocategorieUscite[[#Headers],[Business Uscite]],IF(OR(H457=$I$5,H457=$I$6,H457=$I$7,H457=$I$8,H457=$I$9,H457=$I$10,H457=$I$11,H457=$I$12,H457=$I$13,H457=$I$14),SottocategorieUscite[[#Headers],[Banca]],IF(OR(H457=K$5,H457=K$6,H457=K$7,H457=K$8,H457=K$9,H457=K$10,H457=K$11,H457=K$12,H457=K$13,H457=K$14),SottocategorieEntrate[[#Headers],[Business Entrate]],IF(OR(H457=L$5,H457=L$6,H457=L$7,H457=L$8,H457=L$9,H457=L$10,H457=L$11,H457=L$12,H457=L$13,H457=L$14),SottocategorieEntrate[[#Headers],[Varie Entrate]],IF(OR(H457=M$5,H457=M$6,H457=M$7,H457=M$8,H457=M$9,H457=M$10,H457=M$11,H457=M$12,H457=M$13,H457=M$14),SottocategorieEntrate[[#Headers],[Real Estate]],IF(OR(H457=N$5,H457=N$6,H457=N$7,H457=N$8,H457=N$9,H457=N$10,H457=N$11,H457=N$12,H457=N$13,H457=N$14),SottocategorieEntrate[[#Headers],[Other]],""))))))))))))</f>
        <v/>
      </c>
      <c r="J457" t="str">
        <f>IF(OR(Dati[[#This Row],[Categoria]]="Bollette",Dati[[#This Row],[Categoria]]="Conto &amp; Carte BNL",Dati[[#This Row],[Categoria]]="Prelievo",Dati[[#This Row],[Categoria]]="Affitto",Dati[[#This Row],[Categoria]]="BNL(Interessi Creditori)"),"Carta",IF(Dati[[#This Row],[Categoria]]&lt;&gt;0,"Cash",""))</f>
        <v/>
      </c>
      <c r="K457" s="59" t="str">
        <f>IF(OR(Data!$I457=SottocategorieUscite[[#Headers],[Fuori Casa]],Data!$I457=SottocategorieUscite[[#Headers],[Varie Uscite]],Data!$I457=SottocategorieUscite[[#Headers],[Personali]],Data!$I457=SottocategorieUscite[[#Headers],[Lavoro]]),"$ -","")</f>
        <v/>
      </c>
      <c r="L457" s="59" t="str">
        <f>IF(OR(Data!$I457=SottocategorieUscite[[#Headers],[Casa]],Data!$I457=SottocategorieUscite[[#Headers],[Utenze]],Data!$I457=SottocategorieUscite[[#Headers],[Business Uscite]],Data!$I457=SottocategorieUscite[[#Headers],[Banca]]),"$ -","")</f>
        <v/>
      </c>
      <c r="M457" s="59" t="str">
        <f>IF(OR($I457&lt;&gt;SottocategorieUscite[[#Headers],[Fuori Casa]],$I457&lt;&gt;SottocategorieUscite[[#Headers],[Varie Uscite]],$I457&lt;&gt;SottocategorieUscite[[#Headers],[Personali]],$I457&lt;&gt;SottocategorieUscite[[#Headers],[Lavoro]],$I457&lt;&gt;SottocategorieUscite[[#Headers],[Casa]],$I457&lt;&gt;SottocategorieUscite[[#Headers],[Utenze]],$I457&lt;&gt;SottocategorieUscite[[#Headers],[Business Uscite]],$I457&lt;&gt;SottocategorieUscite[[#Headers],[Banca]]),"","$ -")</f>
        <v/>
      </c>
      <c r="N457" s="59" t="str">
        <f>IF(OR(Data!$I457=SottocategorieEntrate[[#Headers],[Business Entrate]],Data!$I457=SottocategorieEntrate[[#Headers],[Varie Entrate]]),"$ -","")</f>
        <v/>
      </c>
      <c r="O457" s="59" t="str">
        <f>IF(OR(Data!$I457=SottocategorieEntrate[[#Headers],[Real Estate]],SottocategorieEntrate[[#Headers],[Other]]),"$ -","")</f>
        <v/>
      </c>
      <c r="P457" s="59" t="str">
        <f>IF(OR($I457&lt;&gt;SottocategorieEntrate[[#Headers],[Business Entrate]],$I457&lt;&gt;SottocategorieEntrate[[#Headers],[Varie Entrate]],$I457&lt;&gt;SottocategorieEntrate[[#Headers],[Real Estate]],$I457&lt;&gt;SottocategorieEntrate[[#Headers],[Other]]),"","$ -")</f>
        <v/>
      </c>
      <c r="Q457" s="59" t="str">
        <f>IF(Dati[[#This Row],[Categoria]]="Prelievo","€ -","")</f>
        <v/>
      </c>
      <c r="R457" s="244"/>
      <c r="S457" s="59" t="str">
        <f>IF(Dati[[#This Row],[Categoria]]="Savings",0,"")</f>
        <v/>
      </c>
      <c r="T457" s="59"/>
      <c r="U457" s="59"/>
      <c r="V457" s="59"/>
      <c r="W457" s="59"/>
      <c r="X457" s="59"/>
      <c r="Y457" s="59"/>
      <c r="Z457" s="59"/>
      <c r="AA457" s="59"/>
      <c r="AB457" s="59"/>
      <c r="AC457" s="59"/>
      <c r="AD457" s="59"/>
      <c r="AE457" s="59"/>
      <c r="AF457" s="59"/>
      <c r="AG457" s="59"/>
      <c r="AH457" s="59"/>
      <c r="AI457" s="59" t="str">
        <f>IF(SUM(Dati[[#This Row],[Inv. Business]:[Inv. Cryptocurrency]])=0," ",SUM(Dati[[#This Row],[Inv. Business]:[Inv. Cryptocurrency]]))</f>
        <v xml:space="preserve"> </v>
      </c>
      <c r="AJ457" s="59"/>
      <c r="AK457" s="59" t="str">
        <f>IF(SUM(Dati[[#This Row],[Inv. Gold]:[Mutuo]])=0," ",SUM(Dati[[#This Row],[Inv. Gold]:[Mutuo]]))</f>
        <v xml:space="preserve"> </v>
      </c>
      <c r="AL457" s="59"/>
      <c r="AM457" s="59"/>
    </row>
    <row r="458" spans="2:39" x14ac:dyDescent="0.35">
      <c r="B458">
        <f t="shared" si="18"/>
        <v>438</v>
      </c>
      <c r="C458" s="49">
        <f t="shared" ref="C458:C520" si="20">C457+1</f>
        <v>45292</v>
      </c>
      <c r="D458" s="29">
        <f>DAY(Dati[[#This Row],[Data]])</f>
        <v>1</v>
      </c>
      <c r="E458" s="29" t="str">
        <f>IF(DAY(Data!$C$21:$C$1327)&gt;0,TEXT(Data!$C$21:$C$1327, "mmmm"),"")</f>
        <v>gennaio</v>
      </c>
      <c r="F458" s="29" t="str">
        <f>IF(DAY(Data!$C$21:$C$1327)&gt;0,TEXT(Data!$C$21:$C$1327, "aaaa"),"")</f>
        <v>2024</v>
      </c>
      <c r="I458" t="str">
        <f>IF(OR(H458=$B$5,H458=$B$6,H458=$B$7,H458=$B$8,H458=$B$9,H458=$B$10,H458=$B$11,H458=$B$12,H458=$B$13,H458=$B$14),SottocategorieUscite[[#Headers],[Fuori Casa]],IF(OR(H458=$C$5,H458=$C$6,H458=$C$7,H458=$C$8,H458=$C$9,H458=$C$10,H458=$C$11,H458=$C$12,H458=$C$13,H458=$C$14),SottocategorieUscite[[#Headers],[Varie Uscite]],IF(OR(H458=$D$5,H458=$D$6,H458=$D$7,H458=$D$8,H458=$D$9,H458=$D$10,H458=$D$11,H458=$D$12,H458=$D$13,H458=$D$14),SottocategorieUscite[[#Headers],[Personali]],IF(OR(H458=$E$5,H458=$E$6,H458=$E$7,H458=$E$8,H458=$E$9,H458=$E$10,H458=$E$11,H458=$E$12,H458=$E$13,H458=$E$14),SottocategorieUscite[[#Headers],[Lavoro]],IF(OR(H458=$F$5,H458=$F$6,H458=$F$7,H458=$F$8,H458=$F$9,H458=$F$10,H458=$F$11,H458=$F$12,H458=$F$13,H458=$F$14),SottocategorieUscite[[#Headers],[Casa]],IF(OR(H458=$G$5,H458=$G$6,H458=$G$7,H458=$G$8,H458=$G$9,H458=$G$10,H458=$G$11,H458=$G$12,H458=$G$13,H458=$G$14),SottocategorieUscite[[#Headers],[Utenze]],IF(OR(H458=$H$5,H458=$H$6,H458=$H$7,H458=$H$8,H458=$H$9,H458=$H$10,H458=$H$11,H458=$H$12,H458=$H$13,H458=$H$14),SottocategorieUscite[[#Headers],[Business Uscite]],IF(OR(H458=$I$5,H458=$I$6,H458=$I$7,H458=$I$8,H458=$I$9,H458=$I$10,H458=$I$11,H458=$I$12,H458=$I$13,H458=$I$14),SottocategorieUscite[[#Headers],[Banca]],IF(OR(H458=K$5,H458=K$6,H458=K$7,H458=K$8,H458=K$9,H458=K$10,H458=K$11,H458=K$12,H458=K$13,H458=K$14),SottocategorieEntrate[[#Headers],[Business Entrate]],IF(OR(H458=L$5,H458=L$6,H458=L$7,H458=L$8,H458=L$9,H458=L$10,H458=L$11,H458=L$12,H458=L$13,H458=L$14),SottocategorieEntrate[[#Headers],[Varie Entrate]],IF(OR(H458=M$5,H458=M$6,H458=M$7,H458=M$8,H458=M$9,H458=M$10,H458=M$11,H458=M$12,H458=M$13,H458=M$14),SottocategorieEntrate[[#Headers],[Real Estate]],IF(OR(H458=N$5,H458=N$6,H458=N$7,H458=N$8,H458=N$9,H458=N$10,H458=N$11,H458=N$12,H458=N$13,H458=N$14),SottocategorieEntrate[[#Headers],[Other]],""))))))))))))</f>
        <v/>
      </c>
      <c r="J458" t="str">
        <f>IF(OR(Dati[[#This Row],[Categoria]]="Bollette",Dati[[#This Row],[Categoria]]="Conto &amp; Carte BNL",Dati[[#This Row],[Categoria]]="Prelievo",Dati[[#This Row],[Categoria]]="Affitto",Dati[[#This Row],[Categoria]]="BNL(Interessi Creditori)"),"Carta",IF(Dati[[#This Row],[Categoria]]&lt;&gt;0,"Cash",""))</f>
        <v/>
      </c>
      <c r="K458" s="59" t="str">
        <f>IF(OR(Data!$I458=SottocategorieUscite[[#Headers],[Fuori Casa]],Data!$I458=SottocategorieUscite[[#Headers],[Varie Uscite]],Data!$I458=SottocategorieUscite[[#Headers],[Personali]],Data!$I458=SottocategorieUscite[[#Headers],[Lavoro]]),"$ -","")</f>
        <v/>
      </c>
      <c r="L458" s="59" t="str">
        <f>IF(OR(Data!$I458=SottocategorieUscite[[#Headers],[Casa]],Data!$I458=SottocategorieUscite[[#Headers],[Utenze]],Data!$I458=SottocategorieUscite[[#Headers],[Business Uscite]],Data!$I458=SottocategorieUscite[[#Headers],[Banca]]),"$ -","")</f>
        <v/>
      </c>
      <c r="M458" s="59" t="str">
        <f>IF(OR($I458&lt;&gt;SottocategorieUscite[[#Headers],[Fuori Casa]],$I458&lt;&gt;SottocategorieUscite[[#Headers],[Varie Uscite]],$I458&lt;&gt;SottocategorieUscite[[#Headers],[Personali]],$I458&lt;&gt;SottocategorieUscite[[#Headers],[Lavoro]],$I458&lt;&gt;SottocategorieUscite[[#Headers],[Casa]],$I458&lt;&gt;SottocategorieUscite[[#Headers],[Utenze]],$I458&lt;&gt;SottocategorieUscite[[#Headers],[Business Uscite]],$I458&lt;&gt;SottocategorieUscite[[#Headers],[Banca]]),"","$ -")</f>
        <v/>
      </c>
      <c r="N458" s="59" t="str">
        <f>IF(OR(Data!$I458=SottocategorieEntrate[[#Headers],[Business Entrate]],Data!$I458=SottocategorieEntrate[[#Headers],[Varie Entrate]]),"$ -","")</f>
        <v/>
      </c>
      <c r="O458" s="59" t="str">
        <f>IF(OR(Data!$I458=SottocategorieEntrate[[#Headers],[Real Estate]],SottocategorieEntrate[[#Headers],[Other]]),"$ -","")</f>
        <v/>
      </c>
      <c r="P458" s="59" t="str">
        <f>IF(OR($I458&lt;&gt;SottocategorieEntrate[[#Headers],[Business Entrate]],$I458&lt;&gt;SottocategorieEntrate[[#Headers],[Varie Entrate]],$I458&lt;&gt;SottocategorieEntrate[[#Headers],[Real Estate]],$I458&lt;&gt;SottocategorieEntrate[[#Headers],[Other]]),"","$ -")</f>
        <v/>
      </c>
      <c r="Q458" s="59" t="str">
        <f>IF(Dati[[#This Row],[Categoria]]="Prelievo","€ -","")</f>
        <v/>
      </c>
      <c r="R458" s="244"/>
      <c r="S458" s="59" t="str">
        <f>IF(Dati[[#This Row],[Categoria]]="Savings",0,"")</f>
        <v/>
      </c>
      <c r="T458" s="59"/>
      <c r="U458" s="59"/>
      <c r="V458" s="59"/>
      <c r="W458" s="59"/>
      <c r="X458" s="59"/>
      <c r="Y458" s="59"/>
      <c r="Z458" s="59"/>
      <c r="AA458" s="59"/>
      <c r="AB458" s="59"/>
      <c r="AC458" s="59"/>
      <c r="AD458" s="59"/>
      <c r="AE458" s="59"/>
      <c r="AF458" s="59"/>
      <c r="AG458" s="59"/>
      <c r="AH458" s="59"/>
      <c r="AI458" s="59" t="str">
        <f>IF(SUM(Dati[[#This Row],[Inv. Business]:[Inv. Cryptocurrency]])=0," ",SUM(Dati[[#This Row],[Inv. Business]:[Inv. Cryptocurrency]]))</f>
        <v xml:space="preserve"> </v>
      </c>
      <c r="AJ458" s="59"/>
      <c r="AK458" s="59" t="str">
        <f>IF(SUM(Dati[[#This Row],[Inv. Gold]:[Mutuo]])=0," ",SUM(Dati[[#This Row],[Inv. Gold]:[Mutuo]]))</f>
        <v xml:space="preserve"> </v>
      </c>
      <c r="AL458" s="59"/>
      <c r="AM458" s="59"/>
    </row>
    <row r="459" spans="2:39" x14ac:dyDescent="0.35">
      <c r="B459">
        <f t="shared" si="18"/>
        <v>439</v>
      </c>
      <c r="C459" s="49">
        <f>C457+1</f>
        <v>45292</v>
      </c>
      <c r="D459" s="29">
        <f>DAY(Dati[[#This Row],[Data]])</f>
        <v>1</v>
      </c>
      <c r="E459" s="29" t="str">
        <f>IF(DAY(Data!$C$21:$C$1327)&gt;0,TEXT(Data!$C$21:$C$1327, "mmmm"),"")</f>
        <v>gennaio</v>
      </c>
      <c r="F459" s="29" t="str">
        <f>IF(DAY(Data!$C$21:$C$1327)&gt;0,TEXT(Data!$C$21:$C$1327, "aaaa"),"")</f>
        <v>2024</v>
      </c>
      <c r="I459" t="str">
        <f>IF(OR(H459=$B$5,H459=$B$6,H459=$B$7,H459=$B$8,H459=$B$9,H459=$B$10,H459=$B$11,H459=$B$12,H459=$B$13,H459=$B$14),SottocategorieUscite[[#Headers],[Fuori Casa]],IF(OR(H459=$C$5,H459=$C$6,H459=$C$7,H459=$C$8,H459=$C$9,H459=$C$10,H459=$C$11,H459=$C$12,H459=$C$13,H459=$C$14),SottocategorieUscite[[#Headers],[Varie Uscite]],IF(OR(H459=$D$5,H459=$D$6,H459=$D$7,H459=$D$8,H459=$D$9,H459=$D$10,H459=$D$11,H459=$D$12,H459=$D$13,H459=$D$14),SottocategorieUscite[[#Headers],[Personali]],IF(OR(H459=$E$5,H459=$E$6,H459=$E$7,H459=$E$8,H459=$E$9,H459=$E$10,H459=$E$11,H459=$E$12,H459=$E$13,H459=$E$14),SottocategorieUscite[[#Headers],[Lavoro]],IF(OR(H459=$F$5,H459=$F$6,H459=$F$7,H459=$F$8,H459=$F$9,H459=$F$10,H459=$F$11,H459=$F$12,H459=$F$13,H459=$F$14),SottocategorieUscite[[#Headers],[Casa]],IF(OR(H459=$G$5,H459=$G$6,H459=$G$7,H459=$G$8,H459=$G$9,H459=$G$10,H459=$G$11,H459=$G$12,H459=$G$13,H459=$G$14),SottocategorieUscite[[#Headers],[Utenze]],IF(OR(H459=$H$5,H459=$H$6,H459=$H$7,H459=$H$8,H459=$H$9,H459=$H$10,H459=$H$11,H459=$H$12,H459=$H$13,H459=$H$14),SottocategorieUscite[[#Headers],[Business Uscite]],IF(OR(H459=$I$5,H459=$I$6,H459=$I$7,H459=$I$8,H459=$I$9,H459=$I$10,H459=$I$11,H459=$I$12,H459=$I$13,H459=$I$14),SottocategorieUscite[[#Headers],[Banca]],IF(OR(H459=K$5,H459=K$6,H459=K$7,H459=K$8,H459=K$9,H459=K$10,H459=K$11,H459=K$12,H459=K$13,H459=K$14),SottocategorieEntrate[[#Headers],[Business Entrate]],IF(OR(H459=L$5,H459=L$6,H459=L$7,H459=L$8,H459=L$9,H459=L$10,H459=L$11,H459=L$12,H459=L$13,H459=L$14),SottocategorieEntrate[[#Headers],[Varie Entrate]],IF(OR(H459=M$5,H459=M$6,H459=M$7,H459=M$8,H459=M$9,H459=M$10,H459=M$11,H459=M$12,H459=M$13,H459=M$14),SottocategorieEntrate[[#Headers],[Real Estate]],IF(OR(H459=N$5,H459=N$6,H459=N$7,H459=N$8,H459=N$9,H459=N$10,H459=N$11,H459=N$12,H459=N$13,H459=N$14),SottocategorieEntrate[[#Headers],[Other]],""))))))))))))</f>
        <v/>
      </c>
      <c r="J459" t="str">
        <f>IF(OR(Dati[[#This Row],[Categoria]]="Bollette",Dati[[#This Row],[Categoria]]="Conto &amp; Carte BNL",Dati[[#This Row],[Categoria]]="Prelievo",Dati[[#This Row],[Categoria]]="Affitto",Dati[[#This Row],[Categoria]]="BNL(Interessi Creditori)"),"Carta",IF(Dati[[#This Row],[Categoria]]&lt;&gt;0,"Cash",""))</f>
        <v/>
      </c>
      <c r="K459" s="59" t="str">
        <f>IF(OR(Data!$I459=SottocategorieUscite[[#Headers],[Fuori Casa]],Data!$I459=SottocategorieUscite[[#Headers],[Varie Uscite]],Data!$I459=SottocategorieUscite[[#Headers],[Personali]],Data!$I459=SottocategorieUscite[[#Headers],[Lavoro]]),"$ -","")</f>
        <v/>
      </c>
      <c r="L459" s="59" t="str">
        <f>IF(OR(Data!$I459=SottocategorieUscite[[#Headers],[Casa]],Data!$I459=SottocategorieUscite[[#Headers],[Utenze]],Data!$I459=SottocategorieUscite[[#Headers],[Business Uscite]],Data!$I459=SottocategorieUscite[[#Headers],[Banca]]),"$ -","")</f>
        <v/>
      </c>
      <c r="M459" s="59" t="str">
        <f>IF(OR($I459&lt;&gt;SottocategorieUscite[[#Headers],[Fuori Casa]],$I459&lt;&gt;SottocategorieUscite[[#Headers],[Varie Uscite]],$I459&lt;&gt;SottocategorieUscite[[#Headers],[Personali]],$I459&lt;&gt;SottocategorieUscite[[#Headers],[Lavoro]],$I459&lt;&gt;SottocategorieUscite[[#Headers],[Casa]],$I459&lt;&gt;SottocategorieUscite[[#Headers],[Utenze]],$I459&lt;&gt;SottocategorieUscite[[#Headers],[Business Uscite]],$I459&lt;&gt;SottocategorieUscite[[#Headers],[Banca]]),"","$ -")</f>
        <v/>
      </c>
      <c r="N459" s="59" t="str">
        <f>IF(OR(Data!$I459=SottocategorieEntrate[[#Headers],[Business Entrate]],Data!$I459=SottocategorieEntrate[[#Headers],[Varie Entrate]]),"$ -","")</f>
        <v/>
      </c>
      <c r="O459" s="59" t="str">
        <f>IF(OR(Data!$I459=SottocategorieEntrate[[#Headers],[Real Estate]],SottocategorieEntrate[[#Headers],[Other]]),"$ -","")</f>
        <v/>
      </c>
      <c r="P459" s="59" t="str">
        <f>IF(OR($I459&lt;&gt;SottocategorieEntrate[[#Headers],[Business Entrate]],$I459&lt;&gt;SottocategorieEntrate[[#Headers],[Varie Entrate]],$I459&lt;&gt;SottocategorieEntrate[[#Headers],[Real Estate]],$I459&lt;&gt;SottocategorieEntrate[[#Headers],[Other]]),"","$ -")</f>
        <v/>
      </c>
      <c r="Q459" s="59" t="str">
        <f>IF(Dati[[#This Row],[Categoria]]="Prelievo","€ -","")</f>
        <v/>
      </c>
      <c r="R459" s="244"/>
      <c r="S459" s="59" t="str">
        <f>IF(Dati[[#This Row],[Categoria]]="Savings",0,"")</f>
        <v/>
      </c>
      <c r="T459" s="59"/>
      <c r="U459" s="59"/>
      <c r="V459" s="59"/>
      <c r="W459" s="59"/>
      <c r="X459" s="59"/>
      <c r="Y459" s="59"/>
      <c r="Z459" s="59"/>
      <c r="AA459" s="59"/>
      <c r="AB459" s="59"/>
      <c r="AC459" s="59"/>
      <c r="AD459" s="59"/>
      <c r="AE459" s="59"/>
      <c r="AF459" s="59"/>
      <c r="AG459" s="59"/>
      <c r="AH459" s="59"/>
      <c r="AI459" s="59" t="str">
        <f>IF(SUM(Dati[[#This Row],[Inv. Business]:[Inv. Cryptocurrency]])=0," ",SUM(Dati[[#This Row],[Inv. Business]:[Inv. Cryptocurrency]]))</f>
        <v xml:space="preserve"> </v>
      </c>
      <c r="AJ459" s="59"/>
      <c r="AK459" s="59" t="str">
        <f>IF(SUM(Dati[[#This Row],[Inv. Gold]:[Mutuo]])=0," ",SUM(Dati[[#This Row],[Inv. Gold]:[Mutuo]]))</f>
        <v xml:space="preserve"> </v>
      </c>
      <c r="AL459" s="59"/>
      <c r="AM459" s="59"/>
    </row>
    <row r="460" spans="2:39" x14ac:dyDescent="0.35">
      <c r="B460">
        <f t="shared" si="18"/>
        <v>440</v>
      </c>
      <c r="C460" s="49">
        <f>C458+1</f>
        <v>45293</v>
      </c>
      <c r="D460" s="29">
        <f>DAY(Dati[[#This Row],[Data]])</f>
        <v>2</v>
      </c>
      <c r="E460" s="29" t="str">
        <f>IF(DAY(Data!$C$21:$C$1327)&gt;0,TEXT(Data!$C$21:$C$1327, "mmmm"),"")</f>
        <v>gennaio</v>
      </c>
      <c r="F460" s="29" t="str">
        <f>IF(DAY(Data!$C$21:$C$1327)&gt;0,TEXT(Data!$C$21:$C$1327, "aaaa"),"")</f>
        <v>2024</v>
      </c>
      <c r="I460" t="str">
        <f>IF(OR(H460=$B$5,H460=$B$6,H460=$B$7,H460=$B$8,H460=$B$9,H460=$B$10,H460=$B$11,H460=$B$12,H460=$B$13,H460=$B$14),SottocategorieUscite[[#Headers],[Fuori Casa]],IF(OR(H460=$C$5,H460=$C$6,H460=$C$7,H460=$C$8,H460=$C$9,H460=$C$10,H460=$C$11,H460=$C$12,H460=$C$13,H460=$C$14),SottocategorieUscite[[#Headers],[Varie Uscite]],IF(OR(H460=$D$5,H460=$D$6,H460=$D$7,H460=$D$8,H460=$D$9,H460=$D$10,H460=$D$11,H460=$D$12,H460=$D$13,H460=$D$14),SottocategorieUscite[[#Headers],[Personali]],IF(OR(H460=$E$5,H460=$E$6,H460=$E$7,H460=$E$8,H460=$E$9,H460=$E$10,H460=$E$11,H460=$E$12,H460=$E$13,H460=$E$14),SottocategorieUscite[[#Headers],[Lavoro]],IF(OR(H460=$F$5,H460=$F$6,H460=$F$7,H460=$F$8,H460=$F$9,H460=$F$10,H460=$F$11,H460=$F$12,H460=$F$13,H460=$F$14),SottocategorieUscite[[#Headers],[Casa]],IF(OR(H460=$G$5,H460=$G$6,H460=$G$7,H460=$G$8,H460=$G$9,H460=$G$10,H460=$G$11,H460=$G$12,H460=$G$13,H460=$G$14),SottocategorieUscite[[#Headers],[Utenze]],IF(OR(H460=$H$5,H460=$H$6,H460=$H$7,H460=$H$8,H460=$H$9,H460=$H$10,H460=$H$11,H460=$H$12,H460=$H$13,H460=$H$14),SottocategorieUscite[[#Headers],[Business Uscite]],IF(OR(H460=$I$5,H460=$I$6,H460=$I$7,H460=$I$8,H460=$I$9,H460=$I$10,H460=$I$11,H460=$I$12,H460=$I$13,H460=$I$14),SottocategorieUscite[[#Headers],[Banca]],IF(OR(H460=K$5,H460=K$6,H460=K$7,H460=K$8,H460=K$9,H460=K$10,H460=K$11,H460=K$12,H460=K$13,H460=K$14),SottocategorieEntrate[[#Headers],[Business Entrate]],IF(OR(H460=L$5,H460=L$6,H460=L$7,H460=L$8,H460=L$9,H460=L$10,H460=L$11,H460=L$12,H460=L$13,H460=L$14),SottocategorieEntrate[[#Headers],[Varie Entrate]],IF(OR(H460=M$5,H460=M$6,H460=M$7,H460=M$8,H460=M$9,H460=M$10,H460=M$11,H460=M$12,H460=M$13,H460=M$14),SottocategorieEntrate[[#Headers],[Real Estate]],IF(OR(H460=N$5,H460=N$6,H460=N$7,H460=N$8,H460=N$9,H460=N$10,H460=N$11,H460=N$12,H460=N$13,H460=N$14),SottocategorieEntrate[[#Headers],[Other]],""))))))))))))</f>
        <v/>
      </c>
      <c r="J460" t="str">
        <f>IF(OR(Dati[[#This Row],[Categoria]]="Bollette",Dati[[#This Row],[Categoria]]="Conto &amp; Carte BNL",Dati[[#This Row],[Categoria]]="Prelievo",Dati[[#This Row],[Categoria]]="Affitto",Dati[[#This Row],[Categoria]]="BNL(Interessi Creditori)"),"Carta",IF(Dati[[#This Row],[Categoria]]&lt;&gt;0,"Cash",""))</f>
        <v/>
      </c>
      <c r="K460" s="59" t="str">
        <f>IF(OR(Data!$I460=SottocategorieUscite[[#Headers],[Fuori Casa]],Data!$I460=SottocategorieUscite[[#Headers],[Varie Uscite]],Data!$I460=SottocategorieUscite[[#Headers],[Personali]],Data!$I460=SottocategorieUscite[[#Headers],[Lavoro]]),"$ -","")</f>
        <v/>
      </c>
      <c r="L460" s="59" t="str">
        <f>IF(OR(Data!$I460=SottocategorieUscite[[#Headers],[Casa]],Data!$I460=SottocategorieUscite[[#Headers],[Utenze]],Data!$I460=SottocategorieUscite[[#Headers],[Business Uscite]],Data!$I460=SottocategorieUscite[[#Headers],[Banca]]),"$ -","")</f>
        <v/>
      </c>
      <c r="M460" s="59" t="str">
        <f>IF(OR($I460&lt;&gt;SottocategorieUscite[[#Headers],[Fuori Casa]],$I460&lt;&gt;SottocategorieUscite[[#Headers],[Varie Uscite]],$I460&lt;&gt;SottocategorieUscite[[#Headers],[Personali]],$I460&lt;&gt;SottocategorieUscite[[#Headers],[Lavoro]],$I460&lt;&gt;SottocategorieUscite[[#Headers],[Casa]],$I460&lt;&gt;SottocategorieUscite[[#Headers],[Utenze]],$I460&lt;&gt;SottocategorieUscite[[#Headers],[Business Uscite]],$I460&lt;&gt;SottocategorieUscite[[#Headers],[Banca]]),"","$ -")</f>
        <v/>
      </c>
      <c r="N460" s="59" t="str">
        <f>IF(OR(Data!$I460=SottocategorieEntrate[[#Headers],[Business Entrate]],Data!$I460=SottocategorieEntrate[[#Headers],[Varie Entrate]]),"$ -","")</f>
        <v/>
      </c>
      <c r="O460" s="59" t="str">
        <f>IF(OR(Data!$I460=SottocategorieEntrate[[#Headers],[Real Estate]],SottocategorieEntrate[[#Headers],[Other]]),"$ -","")</f>
        <v/>
      </c>
      <c r="P460" s="59" t="str">
        <f>IF(OR($I460&lt;&gt;SottocategorieEntrate[[#Headers],[Business Entrate]],$I460&lt;&gt;SottocategorieEntrate[[#Headers],[Varie Entrate]],$I460&lt;&gt;SottocategorieEntrate[[#Headers],[Real Estate]],$I460&lt;&gt;SottocategorieEntrate[[#Headers],[Other]]),"","$ -")</f>
        <v/>
      </c>
      <c r="Q460" s="59" t="str">
        <f>IF(Dati[[#This Row],[Categoria]]="Prelievo","€ -","")</f>
        <v/>
      </c>
      <c r="R460" s="244"/>
      <c r="S460" s="59" t="str">
        <f>IF(Dati[[#This Row],[Categoria]]="Savings",0,"")</f>
        <v/>
      </c>
      <c r="T460" s="59"/>
      <c r="U460" s="59"/>
      <c r="V460" s="59"/>
      <c r="W460" s="59"/>
      <c r="X460" s="59"/>
      <c r="Y460" s="59"/>
      <c r="Z460" s="59"/>
      <c r="AA460" s="59"/>
      <c r="AB460" s="59"/>
      <c r="AC460" s="59"/>
      <c r="AD460" s="59"/>
      <c r="AE460" s="59"/>
      <c r="AF460" s="59"/>
      <c r="AG460" s="59"/>
      <c r="AH460" s="59"/>
      <c r="AI460" s="59" t="str">
        <f>IF(SUM(Dati[[#This Row],[Inv. Business]:[Inv. Cryptocurrency]])=0," ",SUM(Dati[[#This Row],[Inv. Business]:[Inv. Cryptocurrency]]))</f>
        <v xml:space="preserve"> </v>
      </c>
      <c r="AJ460" s="59"/>
      <c r="AK460" s="59" t="str">
        <f>IF(SUM(Dati[[#This Row],[Inv. Gold]:[Mutuo]])=0," ",SUM(Dati[[#This Row],[Inv. Gold]:[Mutuo]]))</f>
        <v xml:space="preserve"> </v>
      </c>
      <c r="AL460" s="59"/>
      <c r="AM460" s="59"/>
    </row>
    <row r="461" spans="2:39" x14ac:dyDescent="0.35">
      <c r="B461">
        <f t="shared" si="18"/>
        <v>441</v>
      </c>
      <c r="C461" s="49">
        <f>C458+1</f>
        <v>45293</v>
      </c>
      <c r="D461" s="29">
        <f>DAY(Dati[[#This Row],[Data]])</f>
        <v>2</v>
      </c>
      <c r="E461" s="29" t="str">
        <f>IF(DAY(Data!$C$21:$C$1327)&gt;0,TEXT(Data!$C$21:$C$1327, "mmmm"),"")</f>
        <v>gennaio</v>
      </c>
      <c r="F461" s="29" t="str">
        <f>IF(DAY(Data!$C$21:$C$1327)&gt;0,TEXT(Data!$C$21:$C$1327, "aaaa"),"")</f>
        <v>2024</v>
      </c>
      <c r="I461" t="str">
        <f>IF(OR(H461=$B$5,H461=$B$6,H461=$B$7,H461=$B$8,H461=$B$9,H461=$B$10,H461=$B$11,H461=$B$12,H461=$B$13,H461=$B$14),SottocategorieUscite[[#Headers],[Fuori Casa]],IF(OR(H461=$C$5,H461=$C$6,H461=$C$7,H461=$C$8,H461=$C$9,H461=$C$10,H461=$C$11,H461=$C$12,H461=$C$13,H461=$C$14),SottocategorieUscite[[#Headers],[Varie Uscite]],IF(OR(H461=$D$5,H461=$D$6,H461=$D$7,H461=$D$8,H461=$D$9,H461=$D$10,H461=$D$11,H461=$D$12,H461=$D$13,H461=$D$14),SottocategorieUscite[[#Headers],[Personali]],IF(OR(H461=$E$5,H461=$E$6,H461=$E$7,H461=$E$8,H461=$E$9,H461=$E$10,H461=$E$11,H461=$E$12,H461=$E$13,H461=$E$14),SottocategorieUscite[[#Headers],[Lavoro]],IF(OR(H461=$F$5,H461=$F$6,H461=$F$7,H461=$F$8,H461=$F$9,H461=$F$10,H461=$F$11,H461=$F$12,H461=$F$13,H461=$F$14),SottocategorieUscite[[#Headers],[Casa]],IF(OR(H461=$G$5,H461=$G$6,H461=$G$7,H461=$G$8,H461=$G$9,H461=$G$10,H461=$G$11,H461=$G$12,H461=$G$13,H461=$G$14),SottocategorieUscite[[#Headers],[Utenze]],IF(OR(H461=$H$5,H461=$H$6,H461=$H$7,H461=$H$8,H461=$H$9,H461=$H$10,H461=$H$11,H461=$H$12,H461=$H$13,H461=$H$14),SottocategorieUscite[[#Headers],[Business Uscite]],IF(OR(H461=$I$5,H461=$I$6,H461=$I$7,H461=$I$8,H461=$I$9,H461=$I$10,H461=$I$11,H461=$I$12,H461=$I$13,H461=$I$14),SottocategorieUscite[[#Headers],[Banca]],IF(OR(H461=K$5,H461=K$6,H461=K$7,H461=K$8,H461=K$9,H461=K$10,H461=K$11,H461=K$12,H461=K$13,H461=K$14),SottocategorieEntrate[[#Headers],[Business Entrate]],IF(OR(H461=L$5,H461=L$6,H461=L$7,H461=L$8,H461=L$9,H461=L$10,H461=L$11,H461=L$12,H461=L$13,H461=L$14),SottocategorieEntrate[[#Headers],[Varie Entrate]],IF(OR(H461=M$5,H461=M$6,H461=M$7,H461=M$8,H461=M$9,H461=M$10,H461=M$11,H461=M$12,H461=M$13,H461=M$14),SottocategorieEntrate[[#Headers],[Real Estate]],IF(OR(H461=N$5,H461=N$6,H461=N$7,H461=N$8,H461=N$9,H461=N$10,H461=N$11,H461=N$12,H461=N$13,H461=N$14),SottocategorieEntrate[[#Headers],[Other]],""))))))))))))</f>
        <v/>
      </c>
      <c r="J461" t="str">
        <f>IF(OR(Dati[[#This Row],[Categoria]]="Bollette",Dati[[#This Row],[Categoria]]="Conto &amp; Carte BNL",Dati[[#This Row],[Categoria]]="Prelievo",Dati[[#This Row],[Categoria]]="Affitto",Dati[[#This Row],[Categoria]]="BNL(Interessi Creditori)"),"Carta",IF(Dati[[#This Row],[Categoria]]&lt;&gt;0,"Cash",""))</f>
        <v/>
      </c>
      <c r="K461" s="59" t="str">
        <f>IF(OR(Data!$I461=SottocategorieUscite[[#Headers],[Fuori Casa]],Data!$I461=SottocategorieUscite[[#Headers],[Varie Uscite]],Data!$I461=SottocategorieUscite[[#Headers],[Personali]],Data!$I461=SottocategorieUscite[[#Headers],[Lavoro]]),"$ -","")</f>
        <v/>
      </c>
      <c r="L461" s="59" t="str">
        <f>IF(OR(Data!$I461=SottocategorieUscite[[#Headers],[Casa]],Data!$I461=SottocategorieUscite[[#Headers],[Utenze]],Data!$I461=SottocategorieUscite[[#Headers],[Business Uscite]],Data!$I461=SottocategorieUscite[[#Headers],[Banca]]),"$ -","")</f>
        <v/>
      </c>
      <c r="M461" s="59" t="str">
        <f>IF(OR($I461&lt;&gt;SottocategorieUscite[[#Headers],[Fuori Casa]],$I461&lt;&gt;SottocategorieUscite[[#Headers],[Varie Uscite]],$I461&lt;&gt;SottocategorieUscite[[#Headers],[Personali]],$I461&lt;&gt;SottocategorieUscite[[#Headers],[Lavoro]],$I461&lt;&gt;SottocategorieUscite[[#Headers],[Casa]],$I461&lt;&gt;SottocategorieUscite[[#Headers],[Utenze]],$I461&lt;&gt;SottocategorieUscite[[#Headers],[Business Uscite]],$I461&lt;&gt;SottocategorieUscite[[#Headers],[Banca]]),"","$ -")</f>
        <v/>
      </c>
      <c r="N461" s="59" t="str">
        <f>IF(OR(Data!$I461=SottocategorieEntrate[[#Headers],[Business Entrate]],Data!$I461=SottocategorieEntrate[[#Headers],[Varie Entrate]]),"$ -","")</f>
        <v/>
      </c>
      <c r="O461" s="59" t="str">
        <f>IF(OR(Data!$I461=SottocategorieEntrate[[#Headers],[Real Estate]],SottocategorieEntrate[[#Headers],[Other]]),"$ -","")</f>
        <v/>
      </c>
      <c r="P461" s="59" t="str">
        <f>IF(OR($I461&lt;&gt;SottocategorieEntrate[[#Headers],[Business Entrate]],$I461&lt;&gt;SottocategorieEntrate[[#Headers],[Varie Entrate]],$I461&lt;&gt;SottocategorieEntrate[[#Headers],[Real Estate]],$I461&lt;&gt;SottocategorieEntrate[[#Headers],[Other]]),"","$ -")</f>
        <v/>
      </c>
      <c r="Q461" s="59" t="str">
        <f>IF(Dati[[#This Row],[Categoria]]="Prelievo","€ -","")</f>
        <v/>
      </c>
      <c r="R461" s="244"/>
      <c r="S461" s="59" t="str">
        <f>IF(Dati[[#This Row],[Categoria]]="Savings",0,"")</f>
        <v/>
      </c>
      <c r="T461" s="59"/>
      <c r="U461" s="59"/>
      <c r="V461" s="59"/>
      <c r="W461" s="59"/>
      <c r="X461" s="59"/>
      <c r="Y461" s="59"/>
      <c r="Z461" s="59"/>
      <c r="AA461" s="59"/>
      <c r="AB461" s="59"/>
      <c r="AC461" s="59"/>
      <c r="AD461" s="59"/>
      <c r="AE461" s="59"/>
      <c r="AF461" s="59"/>
      <c r="AG461" s="59"/>
      <c r="AH461" s="59"/>
      <c r="AI461" s="59" t="str">
        <f>IF(SUM(Dati[[#This Row],[Inv. Business]:[Inv. Cryptocurrency]])=0," ",SUM(Dati[[#This Row],[Inv. Business]:[Inv. Cryptocurrency]]))</f>
        <v xml:space="preserve"> </v>
      </c>
      <c r="AJ461" s="59"/>
      <c r="AK461" s="59" t="str">
        <f>IF(SUM(Dati[[#This Row],[Inv. Gold]:[Mutuo]])=0," ",SUM(Dati[[#This Row],[Inv. Gold]:[Mutuo]]))</f>
        <v xml:space="preserve"> </v>
      </c>
      <c r="AL461" s="59"/>
      <c r="AM461" s="59"/>
    </row>
    <row r="462" spans="2:39" x14ac:dyDescent="0.35">
      <c r="B462">
        <f t="shared" si="18"/>
        <v>442</v>
      </c>
      <c r="C462" s="49">
        <f>C458+1</f>
        <v>45293</v>
      </c>
      <c r="D462" s="29">
        <f>DAY(Dati[[#This Row],[Data]])</f>
        <v>2</v>
      </c>
      <c r="E462" s="29" t="str">
        <f>IF(DAY(Data!$C$21:$C$1327)&gt;0,TEXT(Data!$C$21:$C$1327, "mmmm"),"")</f>
        <v>gennaio</v>
      </c>
      <c r="F462" s="29" t="str">
        <f>IF(DAY(Data!$C$21:$C$1327)&gt;0,TEXT(Data!$C$21:$C$1327, "aaaa"),"")</f>
        <v>2024</v>
      </c>
      <c r="I462" t="str">
        <f>IF(OR(H462=$B$5,H462=$B$6,H462=$B$7,H462=$B$8,H462=$B$9,H462=$B$10,H462=$B$11,H462=$B$12,H462=$B$13,H462=$B$14),SottocategorieUscite[[#Headers],[Fuori Casa]],IF(OR(H462=$C$5,H462=$C$6,H462=$C$7,H462=$C$8,H462=$C$9,H462=$C$10,H462=$C$11,H462=$C$12,H462=$C$13,H462=$C$14),SottocategorieUscite[[#Headers],[Varie Uscite]],IF(OR(H462=$D$5,H462=$D$6,H462=$D$7,H462=$D$8,H462=$D$9,H462=$D$10,H462=$D$11,H462=$D$12,H462=$D$13,H462=$D$14),SottocategorieUscite[[#Headers],[Personali]],IF(OR(H462=$E$5,H462=$E$6,H462=$E$7,H462=$E$8,H462=$E$9,H462=$E$10,H462=$E$11,H462=$E$12,H462=$E$13,H462=$E$14),SottocategorieUscite[[#Headers],[Lavoro]],IF(OR(H462=$F$5,H462=$F$6,H462=$F$7,H462=$F$8,H462=$F$9,H462=$F$10,H462=$F$11,H462=$F$12,H462=$F$13,H462=$F$14),SottocategorieUscite[[#Headers],[Casa]],IF(OR(H462=$G$5,H462=$G$6,H462=$G$7,H462=$G$8,H462=$G$9,H462=$G$10,H462=$G$11,H462=$G$12,H462=$G$13,H462=$G$14),SottocategorieUscite[[#Headers],[Utenze]],IF(OR(H462=$H$5,H462=$H$6,H462=$H$7,H462=$H$8,H462=$H$9,H462=$H$10,H462=$H$11,H462=$H$12,H462=$H$13,H462=$H$14),SottocategorieUscite[[#Headers],[Business Uscite]],IF(OR(H462=$I$5,H462=$I$6,H462=$I$7,H462=$I$8,H462=$I$9,H462=$I$10,H462=$I$11,H462=$I$12,H462=$I$13,H462=$I$14),SottocategorieUscite[[#Headers],[Banca]],IF(OR(H462=K$5,H462=K$6,H462=K$7,H462=K$8,H462=K$9,H462=K$10,H462=K$11,H462=K$12,H462=K$13,H462=K$14),SottocategorieEntrate[[#Headers],[Business Entrate]],IF(OR(H462=L$5,H462=L$6,H462=L$7,H462=L$8,H462=L$9,H462=L$10,H462=L$11,H462=L$12,H462=L$13,H462=L$14),SottocategorieEntrate[[#Headers],[Varie Entrate]],IF(OR(H462=M$5,H462=M$6,H462=M$7,H462=M$8,H462=M$9,H462=M$10,H462=M$11,H462=M$12,H462=M$13,H462=M$14),SottocategorieEntrate[[#Headers],[Real Estate]],IF(OR(H462=N$5,H462=N$6,H462=N$7,H462=N$8,H462=N$9,H462=N$10,H462=N$11,H462=N$12,H462=N$13,H462=N$14),SottocategorieEntrate[[#Headers],[Other]],""))))))))))))</f>
        <v/>
      </c>
      <c r="J462" t="str">
        <f>IF(OR(Dati[[#This Row],[Categoria]]="Bollette",Dati[[#This Row],[Categoria]]="Conto &amp; Carte BNL",Dati[[#This Row],[Categoria]]="Prelievo",Dati[[#This Row],[Categoria]]="Affitto",Dati[[#This Row],[Categoria]]="BNL(Interessi Creditori)"),"Carta",IF(Dati[[#This Row],[Categoria]]&lt;&gt;0,"Cash",""))</f>
        <v/>
      </c>
      <c r="K462" s="59" t="str">
        <f>IF(OR(Data!$I462=SottocategorieUscite[[#Headers],[Fuori Casa]],Data!$I462=SottocategorieUscite[[#Headers],[Varie Uscite]],Data!$I462=SottocategorieUscite[[#Headers],[Personali]],Data!$I462=SottocategorieUscite[[#Headers],[Lavoro]]),"$ -","")</f>
        <v/>
      </c>
      <c r="L462" s="59" t="str">
        <f>IF(OR(Data!$I462=SottocategorieUscite[[#Headers],[Casa]],Data!$I462=SottocategorieUscite[[#Headers],[Utenze]],Data!$I462=SottocategorieUscite[[#Headers],[Business Uscite]],Data!$I462=SottocategorieUscite[[#Headers],[Banca]]),"$ -","")</f>
        <v/>
      </c>
      <c r="M462" s="59" t="str">
        <f>IF(OR($I462&lt;&gt;SottocategorieUscite[[#Headers],[Fuori Casa]],$I462&lt;&gt;SottocategorieUscite[[#Headers],[Varie Uscite]],$I462&lt;&gt;SottocategorieUscite[[#Headers],[Personali]],$I462&lt;&gt;SottocategorieUscite[[#Headers],[Lavoro]],$I462&lt;&gt;SottocategorieUscite[[#Headers],[Casa]],$I462&lt;&gt;SottocategorieUscite[[#Headers],[Utenze]],$I462&lt;&gt;SottocategorieUscite[[#Headers],[Business Uscite]],$I462&lt;&gt;SottocategorieUscite[[#Headers],[Banca]]),"","$ -")</f>
        <v/>
      </c>
      <c r="N462" s="59" t="str">
        <f>IF(OR(Data!$I462=SottocategorieEntrate[[#Headers],[Business Entrate]],Data!$I462=SottocategorieEntrate[[#Headers],[Varie Entrate]]),"$ -","")</f>
        <v/>
      </c>
      <c r="O462" s="59" t="str">
        <f>IF(OR(Data!$I462=SottocategorieEntrate[[#Headers],[Real Estate]],SottocategorieEntrate[[#Headers],[Other]]),"$ -","")</f>
        <v/>
      </c>
      <c r="P462" s="59" t="str">
        <f>IF(OR($I462&lt;&gt;SottocategorieEntrate[[#Headers],[Business Entrate]],$I462&lt;&gt;SottocategorieEntrate[[#Headers],[Varie Entrate]],$I462&lt;&gt;SottocategorieEntrate[[#Headers],[Real Estate]],$I462&lt;&gt;SottocategorieEntrate[[#Headers],[Other]]),"","$ -")</f>
        <v/>
      </c>
      <c r="Q462" s="59" t="str">
        <f>IF(Dati[[#This Row],[Categoria]]="Prelievo","€ -","")</f>
        <v/>
      </c>
      <c r="R462" s="244"/>
      <c r="S462" s="59" t="str">
        <f>IF(Dati[[#This Row],[Categoria]]="Savings",0,"")</f>
        <v/>
      </c>
      <c r="T462" s="59"/>
      <c r="U462" s="59"/>
      <c r="V462" s="59"/>
      <c r="W462" s="59"/>
      <c r="X462" s="59"/>
      <c r="Y462" s="59"/>
      <c r="Z462" s="59"/>
      <c r="AA462" s="59"/>
      <c r="AB462" s="59"/>
      <c r="AC462" s="59"/>
      <c r="AD462" s="59"/>
      <c r="AE462" s="59"/>
      <c r="AF462" s="59"/>
      <c r="AG462" s="59"/>
      <c r="AH462" s="59"/>
      <c r="AI462" s="59" t="str">
        <f>IF(SUM(Dati[[#This Row],[Inv. Business]:[Inv. Cryptocurrency]])=0," ",SUM(Dati[[#This Row],[Inv. Business]:[Inv. Cryptocurrency]]))</f>
        <v xml:space="preserve"> </v>
      </c>
      <c r="AJ462" s="59"/>
      <c r="AK462" s="59" t="str">
        <f>IF(SUM(Dati[[#This Row],[Inv. Gold]:[Mutuo]])=0," ",SUM(Dati[[#This Row],[Inv. Gold]:[Mutuo]]))</f>
        <v xml:space="preserve"> </v>
      </c>
      <c r="AL462" s="59"/>
      <c r="AM462" s="59"/>
    </row>
    <row r="463" spans="2:39" x14ac:dyDescent="0.35">
      <c r="B463">
        <f t="shared" si="18"/>
        <v>443</v>
      </c>
      <c r="C463" s="49">
        <f>C459+1</f>
        <v>45293</v>
      </c>
      <c r="D463" s="29">
        <f>DAY(Dati[[#This Row],[Data]])</f>
        <v>2</v>
      </c>
      <c r="E463" s="29" t="str">
        <f>IF(DAY(Data!$C$21:$C$1327)&gt;0,TEXT(Data!$C$21:$C$1327, "mmmm"),"")</f>
        <v>gennaio</v>
      </c>
      <c r="F463" s="29" t="str">
        <f>IF(DAY(Data!$C$21:$C$1327)&gt;0,TEXT(Data!$C$21:$C$1327, "aaaa"),"")</f>
        <v>2024</v>
      </c>
      <c r="I463" t="str">
        <f>IF(OR(H463=$B$5,H463=$B$6,H463=$B$7,H463=$B$8,H463=$B$9,H463=$B$10,H463=$B$11,H463=$B$12,H463=$B$13,H463=$B$14),SottocategorieUscite[[#Headers],[Fuori Casa]],IF(OR(H463=$C$5,H463=$C$6,H463=$C$7,H463=$C$8,H463=$C$9,H463=$C$10,H463=$C$11,H463=$C$12,H463=$C$13,H463=$C$14),SottocategorieUscite[[#Headers],[Varie Uscite]],IF(OR(H463=$D$5,H463=$D$6,H463=$D$7,H463=$D$8,H463=$D$9,H463=$D$10,H463=$D$11,H463=$D$12,H463=$D$13,H463=$D$14),SottocategorieUscite[[#Headers],[Personali]],IF(OR(H463=$E$5,H463=$E$6,H463=$E$7,H463=$E$8,H463=$E$9,H463=$E$10,H463=$E$11,H463=$E$12,H463=$E$13,H463=$E$14),SottocategorieUscite[[#Headers],[Lavoro]],IF(OR(H463=$F$5,H463=$F$6,H463=$F$7,H463=$F$8,H463=$F$9,H463=$F$10,H463=$F$11,H463=$F$12,H463=$F$13,H463=$F$14),SottocategorieUscite[[#Headers],[Casa]],IF(OR(H463=$G$5,H463=$G$6,H463=$G$7,H463=$G$8,H463=$G$9,H463=$G$10,H463=$G$11,H463=$G$12,H463=$G$13,H463=$G$14),SottocategorieUscite[[#Headers],[Utenze]],IF(OR(H463=$H$5,H463=$H$6,H463=$H$7,H463=$H$8,H463=$H$9,H463=$H$10,H463=$H$11,H463=$H$12,H463=$H$13,H463=$H$14),SottocategorieUscite[[#Headers],[Business Uscite]],IF(OR(H463=$I$5,H463=$I$6,H463=$I$7,H463=$I$8,H463=$I$9,H463=$I$10,H463=$I$11,H463=$I$12,H463=$I$13,H463=$I$14),SottocategorieUscite[[#Headers],[Banca]],IF(OR(H463=K$5,H463=K$6,H463=K$7,H463=K$8,H463=K$9,H463=K$10,H463=K$11,H463=K$12,H463=K$13,H463=K$14),SottocategorieEntrate[[#Headers],[Business Entrate]],IF(OR(H463=L$5,H463=L$6,H463=L$7,H463=L$8,H463=L$9,H463=L$10,H463=L$11,H463=L$12,H463=L$13,H463=L$14),SottocategorieEntrate[[#Headers],[Varie Entrate]],IF(OR(H463=M$5,H463=M$6,H463=M$7,H463=M$8,H463=M$9,H463=M$10,H463=M$11,H463=M$12,H463=M$13,H463=M$14),SottocategorieEntrate[[#Headers],[Real Estate]],IF(OR(H463=N$5,H463=N$6,H463=N$7,H463=N$8,H463=N$9,H463=N$10,H463=N$11,H463=N$12,H463=N$13,H463=N$14),SottocategorieEntrate[[#Headers],[Other]],""))))))))))))</f>
        <v/>
      </c>
      <c r="J463" t="str">
        <f>IF(OR(Dati[[#This Row],[Categoria]]="Bollette",Dati[[#This Row],[Categoria]]="Conto &amp; Carte BNL",Dati[[#This Row],[Categoria]]="Prelievo",Dati[[#This Row],[Categoria]]="Affitto",Dati[[#This Row],[Categoria]]="BNL(Interessi Creditori)"),"Carta",IF(Dati[[#This Row],[Categoria]]&lt;&gt;0,"Cash",""))</f>
        <v/>
      </c>
      <c r="K463" s="59" t="str">
        <f>IF(OR(Data!$I463=SottocategorieUscite[[#Headers],[Fuori Casa]],Data!$I463=SottocategorieUscite[[#Headers],[Varie Uscite]],Data!$I463=SottocategorieUscite[[#Headers],[Personali]],Data!$I463=SottocategorieUscite[[#Headers],[Lavoro]]),"$ -","")</f>
        <v/>
      </c>
      <c r="L463" s="59" t="str">
        <f>IF(OR(Data!$I463=SottocategorieUscite[[#Headers],[Casa]],Data!$I463=SottocategorieUscite[[#Headers],[Utenze]],Data!$I463=SottocategorieUscite[[#Headers],[Business Uscite]],Data!$I463=SottocategorieUscite[[#Headers],[Banca]]),"$ -","")</f>
        <v/>
      </c>
      <c r="M463" s="59" t="str">
        <f>IF(OR($I463&lt;&gt;SottocategorieUscite[[#Headers],[Fuori Casa]],$I463&lt;&gt;SottocategorieUscite[[#Headers],[Varie Uscite]],$I463&lt;&gt;SottocategorieUscite[[#Headers],[Personali]],$I463&lt;&gt;SottocategorieUscite[[#Headers],[Lavoro]],$I463&lt;&gt;SottocategorieUscite[[#Headers],[Casa]],$I463&lt;&gt;SottocategorieUscite[[#Headers],[Utenze]],$I463&lt;&gt;SottocategorieUscite[[#Headers],[Business Uscite]],$I463&lt;&gt;SottocategorieUscite[[#Headers],[Banca]]),"","$ -")</f>
        <v/>
      </c>
      <c r="N463" s="59" t="str">
        <f>IF(OR(Data!$I463=SottocategorieEntrate[[#Headers],[Business Entrate]],Data!$I463=SottocategorieEntrate[[#Headers],[Varie Entrate]]),"$ -","")</f>
        <v/>
      </c>
      <c r="O463" s="59" t="str">
        <f>IF(OR(Data!$I463=SottocategorieEntrate[[#Headers],[Real Estate]],SottocategorieEntrate[[#Headers],[Other]]),"$ -","")</f>
        <v/>
      </c>
      <c r="P463" s="59" t="str">
        <f>IF(OR($I463&lt;&gt;SottocategorieEntrate[[#Headers],[Business Entrate]],$I463&lt;&gt;SottocategorieEntrate[[#Headers],[Varie Entrate]],$I463&lt;&gt;SottocategorieEntrate[[#Headers],[Real Estate]],$I463&lt;&gt;SottocategorieEntrate[[#Headers],[Other]]),"","$ -")</f>
        <v/>
      </c>
      <c r="Q463" s="59" t="str">
        <f>IF(Dati[[#This Row],[Categoria]]="Prelievo","€ -","")</f>
        <v/>
      </c>
      <c r="R463" s="244"/>
      <c r="S463" s="59" t="str">
        <f>IF(Dati[[#This Row],[Categoria]]="Savings",0,"")</f>
        <v/>
      </c>
      <c r="T463" s="59"/>
      <c r="U463" s="59"/>
      <c r="V463" s="59"/>
      <c r="W463" s="59"/>
      <c r="X463" s="59"/>
      <c r="Y463" s="59"/>
      <c r="Z463" s="59"/>
      <c r="AA463" s="59"/>
      <c r="AB463" s="59"/>
      <c r="AC463" s="59"/>
      <c r="AD463" s="59"/>
      <c r="AE463" s="59"/>
      <c r="AF463" s="59"/>
      <c r="AG463" s="59"/>
      <c r="AH463" s="59"/>
      <c r="AI463" s="59" t="str">
        <f>IF(SUM(Dati[[#This Row],[Inv. Business]:[Inv. Cryptocurrency]])=0," ",SUM(Dati[[#This Row],[Inv. Business]:[Inv. Cryptocurrency]]))</f>
        <v xml:space="preserve"> </v>
      </c>
      <c r="AJ463" s="59"/>
      <c r="AK463" s="59" t="str">
        <f>IF(SUM(Dati[[#This Row],[Inv. Gold]:[Mutuo]])=0," ",SUM(Dati[[#This Row],[Inv. Gold]:[Mutuo]]))</f>
        <v xml:space="preserve"> </v>
      </c>
      <c r="AL463" s="59"/>
      <c r="AM463" s="59"/>
    </row>
    <row r="464" spans="2:39" x14ac:dyDescent="0.35">
      <c r="B464">
        <f t="shared" si="18"/>
        <v>444</v>
      </c>
      <c r="C464" s="49">
        <f>C459+1</f>
        <v>45293</v>
      </c>
      <c r="D464" s="29">
        <f>DAY(Dati[[#This Row],[Data]])</f>
        <v>2</v>
      </c>
      <c r="E464" s="29" t="str">
        <f>IF(DAY(Data!$C$21:$C$1327)&gt;0,TEXT(Data!$C$21:$C$1327, "mmmm"),"")</f>
        <v>gennaio</v>
      </c>
      <c r="F464" s="29" t="str">
        <f>IF(DAY(Data!$C$21:$C$1327)&gt;0,TEXT(Data!$C$21:$C$1327, "aaaa"),"")</f>
        <v>2024</v>
      </c>
      <c r="I464" t="str">
        <f>IF(OR(H464=$B$5,H464=$B$6,H464=$B$7,H464=$B$8,H464=$B$9,H464=$B$10,H464=$B$11,H464=$B$12,H464=$B$13,H464=$B$14),SottocategorieUscite[[#Headers],[Fuori Casa]],IF(OR(H464=$C$5,H464=$C$6,H464=$C$7,H464=$C$8,H464=$C$9,H464=$C$10,H464=$C$11,H464=$C$12,H464=$C$13,H464=$C$14),SottocategorieUscite[[#Headers],[Varie Uscite]],IF(OR(H464=$D$5,H464=$D$6,H464=$D$7,H464=$D$8,H464=$D$9,H464=$D$10,H464=$D$11,H464=$D$12,H464=$D$13,H464=$D$14),SottocategorieUscite[[#Headers],[Personali]],IF(OR(H464=$E$5,H464=$E$6,H464=$E$7,H464=$E$8,H464=$E$9,H464=$E$10,H464=$E$11,H464=$E$12,H464=$E$13,H464=$E$14),SottocategorieUscite[[#Headers],[Lavoro]],IF(OR(H464=$F$5,H464=$F$6,H464=$F$7,H464=$F$8,H464=$F$9,H464=$F$10,H464=$F$11,H464=$F$12,H464=$F$13,H464=$F$14),SottocategorieUscite[[#Headers],[Casa]],IF(OR(H464=$G$5,H464=$G$6,H464=$G$7,H464=$G$8,H464=$G$9,H464=$G$10,H464=$G$11,H464=$G$12,H464=$G$13,H464=$G$14),SottocategorieUscite[[#Headers],[Utenze]],IF(OR(H464=$H$5,H464=$H$6,H464=$H$7,H464=$H$8,H464=$H$9,H464=$H$10,H464=$H$11,H464=$H$12,H464=$H$13,H464=$H$14),SottocategorieUscite[[#Headers],[Business Uscite]],IF(OR(H464=$I$5,H464=$I$6,H464=$I$7,H464=$I$8,H464=$I$9,H464=$I$10,H464=$I$11,H464=$I$12,H464=$I$13,H464=$I$14),SottocategorieUscite[[#Headers],[Banca]],IF(OR(H464=K$5,H464=K$6,H464=K$7,H464=K$8,H464=K$9,H464=K$10,H464=K$11,H464=K$12,H464=K$13,H464=K$14),SottocategorieEntrate[[#Headers],[Business Entrate]],IF(OR(H464=L$5,H464=L$6,H464=L$7,H464=L$8,H464=L$9,H464=L$10,H464=L$11,H464=L$12,H464=L$13,H464=L$14),SottocategorieEntrate[[#Headers],[Varie Entrate]],IF(OR(H464=M$5,H464=M$6,H464=M$7,H464=M$8,H464=M$9,H464=M$10,H464=M$11,H464=M$12,H464=M$13,H464=M$14),SottocategorieEntrate[[#Headers],[Real Estate]],IF(OR(H464=N$5,H464=N$6,H464=N$7,H464=N$8,H464=N$9,H464=N$10,H464=N$11,H464=N$12,H464=N$13,H464=N$14),SottocategorieEntrate[[#Headers],[Other]],""))))))))))))</f>
        <v/>
      </c>
      <c r="J464" t="str">
        <f>IF(OR(Dati[[#This Row],[Categoria]]="Bollette",Dati[[#This Row],[Categoria]]="Conto &amp; Carte BNL",Dati[[#This Row],[Categoria]]="Prelievo",Dati[[#This Row],[Categoria]]="Affitto",Dati[[#This Row],[Categoria]]="BNL(Interessi Creditori)"),"Carta",IF(Dati[[#This Row],[Categoria]]&lt;&gt;0,"Cash",""))</f>
        <v/>
      </c>
      <c r="K464" s="59" t="str">
        <f>IF(OR(Data!$I464=SottocategorieUscite[[#Headers],[Fuori Casa]],Data!$I464=SottocategorieUscite[[#Headers],[Varie Uscite]],Data!$I464=SottocategorieUscite[[#Headers],[Personali]],Data!$I464=SottocategorieUscite[[#Headers],[Lavoro]]),"$ -","")</f>
        <v/>
      </c>
      <c r="L464" s="59" t="str">
        <f>IF(OR(Data!$I464=SottocategorieUscite[[#Headers],[Casa]],Data!$I464=SottocategorieUscite[[#Headers],[Utenze]],Data!$I464=SottocategorieUscite[[#Headers],[Business Uscite]],Data!$I464=SottocategorieUscite[[#Headers],[Banca]]),"$ -","")</f>
        <v/>
      </c>
      <c r="M464" s="59" t="str">
        <f>IF(OR($I464&lt;&gt;SottocategorieUscite[[#Headers],[Fuori Casa]],$I464&lt;&gt;SottocategorieUscite[[#Headers],[Varie Uscite]],$I464&lt;&gt;SottocategorieUscite[[#Headers],[Personali]],$I464&lt;&gt;SottocategorieUscite[[#Headers],[Lavoro]],$I464&lt;&gt;SottocategorieUscite[[#Headers],[Casa]],$I464&lt;&gt;SottocategorieUscite[[#Headers],[Utenze]],$I464&lt;&gt;SottocategorieUscite[[#Headers],[Business Uscite]],$I464&lt;&gt;SottocategorieUscite[[#Headers],[Banca]]),"","$ -")</f>
        <v/>
      </c>
      <c r="N464" s="59" t="str">
        <f>IF(OR(Data!$I464=SottocategorieEntrate[[#Headers],[Business Entrate]],Data!$I464=SottocategorieEntrate[[#Headers],[Varie Entrate]]),"$ -","")</f>
        <v/>
      </c>
      <c r="O464" s="59" t="str">
        <f>IF(OR(Data!$I464=SottocategorieEntrate[[#Headers],[Real Estate]],SottocategorieEntrate[[#Headers],[Other]]),"$ -","")</f>
        <v/>
      </c>
      <c r="P464" s="59" t="str">
        <f>IF(OR($I464&lt;&gt;SottocategorieEntrate[[#Headers],[Business Entrate]],$I464&lt;&gt;SottocategorieEntrate[[#Headers],[Varie Entrate]],$I464&lt;&gt;SottocategorieEntrate[[#Headers],[Real Estate]],$I464&lt;&gt;SottocategorieEntrate[[#Headers],[Other]]),"","$ -")</f>
        <v/>
      </c>
      <c r="Q464" s="59" t="str">
        <f>IF(Dati[[#This Row],[Categoria]]="Prelievo","€ -","")</f>
        <v/>
      </c>
      <c r="R464" s="244"/>
      <c r="S464" s="59" t="str">
        <f>IF(Dati[[#This Row],[Categoria]]="Savings",0,"")</f>
        <v/>
      </c>
      <c r="T464" s="59"/>
      <c r="U464" s="59"/>
      <c r="V464" s="59"/>
      <c r="W464" s="59"/>
      <c r="X464" s="59"/>
      <c r="Y464" s="59"/>
      <c r="Z464" s="59"/>
      <c r="AA464" s="59"/>
      <c r="AB464" s="59"/>
      <c r="AC464" s="59"/>
      <c r="AD464" s="59"/>
      <c r="AE464" s="59"/>
      <c r="AF464" s="59"/>
      <c r="AG464" s="59"/>
      <c r="AH464" s="59"/>
      <c r="AI464" s="59" t="str">
        <f>IF(SUM(Dati[[#This Row],[Inv. Business]:[Inv. Cryptocurrency]])=0," ",SUM(Dati[[#This Row],[Inv. Business]:[Inv. Cryptocurrency]]))</f>
        <v xml:space="preserve"> </v>
      </c>
      <c r="AJ464" s="59"/>
      <c r="AK464" s="59" t="str">
        <f>IF(SUM(Dati[[#This Row],[Inv. Gold]:[Mutuo]])=0," ",SUM(Dati[[#This Row],[Inv. Gold]:[Mutuo]]))</f>
        <v xml:space="preserve"> </v>
      </c>
      <c r="AL464" s="59"/>
      <c r="AM464" s="59"/>
    </row>
    <row r="465" spans="2:39" x14ac:dyDescent="0.35">
      <c r="B465">
        <f t="shared" si="18"/>
        <v>445</v>
      </c>
      <c r="C465" s="49">
        <f>C460+1</f>
        <v>45294</v>
      </c>
      <c r="D465" s="29">
        <f>DAY(Dati[[#This Row],[Data]])</f>
        <v>3</v>
      </c>
      <c r="E465" s="29" t="str">
        <f>IF(DAY(Data!$C$21:$C$1327)&gt;0,TEXT(Data!$C$21:$C$1327, "mmmm"),"")</f>
        <v>gennaio</v>
      </c>
      <c r="F465" s="29" t="str">
        <f>IF(DAY(Data!$C$21:$C$1327)&gt;0,TEXT(Data!$C$21:$C$1327, "aaaa"),"")</f>
        <v>2024</v>
      </c>
      <c r="I465" t="str">
        <f>IF(OR(H465=$B$5,H465=$B$6,H465=$B$7,H465=$B$8,H465=$B$9,H465=$B$10,H465=$B$11,H465=$B$12,H465=$B$13,H465=$B$14),SottocategorieUscite[[#Headers],[Fuori Casa]],IF(OR(H465=$C$5,H465=$C$6,H465=$C$7,H465=$C$8,H465=$C$9,H465=$C$10,H465=$C$11,H465=$C$12,H465=$C$13,H465=$C$14),SottocategorieUscite[[#Headers],[Varie Uscite]],IF(OR(H465=$D$5,H465=$D$6,H465=$D$7,H465=$D$8,H465=$D$9,H465=$D$10,H465=$D$11,H465=$D$12,H465=$D$13,H465=$D$14),SottocategorieUscite[[#Headers],[Personali]],IF(OR(H465=$E$5,H465=$E$6,H465=$E$7,H465=$E$8,H465=$E$9,H465=$E$10,H465=$E$11,H465=$E$12,H465=$E$13,H465=$E$14),SottocategorieUscite[[#Headers],[Lavoro]],IF(OR(H465=$F$5,H465=$F$6,H465=$F$7,H465=$F$8,H465=$F$9,H465=$F$10,H465=$F$11,H465=$F$12,H465=$F$13,H465=$F$14),SottocategorieUscite[[#Headers],[Casa]],IF(OR(H465=$G$5,H465=$G$6,H465=$G$7,H465=$G$8,H465=$G$9,H465=$G$10,H465=$G$11,H465=$G$12,H465=$G$13,H465=$G$14),SottocategorieUscite[[#Headers],[Utenze]],IF(OR(H465=$H$5,H465=$H$6,H465=$H$7,H465=$H$8,H465=$H$9,H465=$H$10,H465=$H$11,H465=$H$12,H465=$H$13,H465=$H$14),SottocategorieUscite[[#Headers],[Business Uscite]],IF(OR(H465=$I$5,H465=$I$6,H465=$I$7,H465=$I$8,H465=$I$9,H465=$I$10,H465=$I$11,H465=$I$12,H465=$I$13,H465=$I$14),SottocategorieUscite[[#Headers],[Banca]],IF(OR(H465=K$5,H465=K$6,H465=K$7,H465=K$8,H465=K$9,H465=K$10,H465=K$11,H465=K$12,H465=K$13,H465=K$14),SottocategorieEntrate[[#Headers],[Business Entrate]],IF(OR(H465=L$5,H465=L$6,H465=L$7,H465=L$8,H465=L$9,H465=L$10,H465=L$11,H465=L$12,H465=L$13,H465=L$14),SottocategorieEntrate[[#Headers],[Varie Entrate]],IF(OR(H465=M$5,H465=M$6,H465=M$7,H465=M$8,H465=M$9,H465=M$10,H465=M$11,H465=M$12,H465=M$13,H465=M$14),SottocategorieEntrate[[#Headers],[Real Estate]],IF(OR(H465=N$5,H465=N$6,H465=N$7,H465=N$8,H465=N$9,H465=N$10,H465=N$11,H465=N$12,H465=N$13,H465=N$14),SottocategorieEntrate[[#Headers],[Other]],""))))))))))))</f>
        <v/>
      </c>
      <c r="J465" t="str">
        <f>IF(OR(Dati[[#This Row],[Categoria]]="Bollette",Dati[[#This Row],[Categoria]]="Conto &amp; Carte BNL",Dati[[#This Row],[Categoria]]="Prelievo",Dati[[#This Row],[Categoria]]="Affitto",Dati[[#This Row],[Categoria]]="BNL(Interessi Creditori)"),"Carta",IF(Dati[[#This Row],[Categoria]]&lt;&gt;0,"Cash",""))</f>
        <v/>
      </c>
      <c r="K465" s="59" t="str">
        <f>IF(OR(Data!$I465=SottocategorieUscite[[#Headers],[Fuori Casa]],Data!$I465=SottocategorieUscite[[#Headers],[Varie Uscite]],Data!$I465=SottocategorieUscite[[#Headers],[Personali]],Data!$I465=SottocategorieUscite[[#Headers],[Lavoro]]),"$ -","")</f>
        <v/>
      </c>
      <c r="L465" s="59" t="str">
        <f>IF(OR(Data!$I465=SottocategorieUscite[[#Headers],[Casa]],Data!$I465=SottocategorieUscite[[#Headers],[Utenze]],Data!$I465=SottocategorieUscite[[#Headers],[Business Uscite]],Data!$I465=SottocategorieUscite[[#Headers],[Banca]]),"$ -","")</f>
        <v/>
      </c>
      <c r="M465" s="59" t="str">
        <f>IF(OR($I465&lt;&gt;SottocategorieUscite[[#Headers],[Fuori Casa]],$I465&lt;&gt;SottocategorieUscite[[#Headers],[Varie Uscite]],$I465&lt;&gt;SottocategorieUscite[[#Headers],[Personali]],$I465&lt;&gt;SottocategorieUscite[[#Headers],[Lavoro]],$I465&lt;&gt;SottocategorieUscite[[#Headers],[Casa]],$I465&lt;&gt;SottocategorieUscite[[#Headers],[Utenze]],$I465&lt;&gt;SottocategorieUscite[[#Headers],[Business Uscite]],$I465&lt;&gt;SottocategorieUscite[[#Headers],[Banca]]),"","$ -")</f>
        <v/>
      </c>
      <c r="N465" s="59" t="str">
        <f>IF(OR(Data!$I465=SottocategorieEntrate[[#Headers],[Business Entrate]],Data!$I465=SottocategorieEntrate[[#Headers],[Varie Entrate]]),"$ -","")</f>
        <v/>
      </c>
      <c r="O465" s="59" t="str">
        <f>IF(OR(Data!$I465=SottocategorieEntrate[[#Headers],[Real Estate]],SottocategorieEntrate[[#Headers],[Other]]),"$ -","")</f>
        <v/>
      </c>
      <c r="P465" s="59" t="str">
        <f>IF(OR($I465&lt;&gt;SottocategorieEntrate[[#Headers],[Business Entrate]],$I465&lt;&gt;SottocategorieEntrate[[#Headers],[Varie Entrate]],$I465&lt;&gt;SottocategorieEntrate[[#Headers],[Real Estate]],$I465&lt;&gt;SottocategorieEntrate[[#Headers],[Other]]),"","$ -")</f>
        <v/>
      </c>
      <c r="Q465" s="59" t="str">
        <f>IF(Dati[[#This Row],[Categoria]]="Prelievo","€ -","")</f>
        <v/>
      </c>
      <c r="R465" s="244"/>
      <c r="S465" s="59" t="str">
        <f>IF(Dati[[#This Row],[Categoria]]="Savings",0,"")</f>
        <v/>
      </c>
      <c r="T465" s="59"/>
      <c r="U465" s="59"/>
      <c r="V465" s="59"/>
      <c r="W465" s="59"/>
      <c r="X465" s="59"/>
      <c r="Y465" s="59"/>
      <c r="Z465" s="59"/>
      <c r="AA465" s="59"/>
      <c r="AB465" s="59"/>
      <c r="AC465" s="59"/>
      <c r="AD465" s="59"/>
      <c r="AE465" s="59"/>
      <c r="AF465" s="59"/>
      <c r="AG465" s="59"/>
      <c r="AH465" s="59"/>
      <c r="AI465" s="59" t="str">
        <f>IF(SUM(Dati[[#This Row],[Inv. Business]:[Inv. Cryptocurrency]])=0," ",SUM(Dati[[#This Row],[Inv. Business]:[Inv. Cryptocurrency]]))</f>
        <v xml:space="preserve"> </v>
      </c>
      <c r="AJ465" s="59"/>
      <c r="AK465" s="59" t="str">
        <f>IF(SUM(Dati[[#This Row],[Inv. Gold]:[Mutuo]])=0," ",SUM(Dati[[#This Row],[Inv. Gold]:[Mutuo]]))</f>
        <v xml:space="preserve"> </v>
      </c>
      <c r="AL465" s="59"/>
      <c r="AM465" s="59"/>
    </row>
    <row r="466" spans="2:39" x14ac:dyDescent="0.35">
      <c r="B466">
        <f t="shared" si="18"/>
        <v>446</v>
      </c>
      <c r="C466" s="49">
        <f>C462+1</f>
        <v>45294</v>
      </c>
      <c r="D466" s="29">
        <f>DAY(Dati[[#This Row],[Data]])</f>
        <v>3</v>
      </c>
      <c r="E466" s="29" t="str">
        <f>IF(DAY(Data!$C$21:$C$1327)&gt;0,TEXT(Data!$C$21:$C$1327, "mmmm"),"")</f>
        <v>gennaio</v>
      </c>
      <c r="F466" s="29" t="str">
        <f>IF(DAY(Data!$C$21:$C$1327)&gt;0,TEXT(Data!$C$21:$C$1327, "aaaa"),"")</f>
        <v>2024</v>
      </c>
      <c r="I466" t="str">
        <f>IF(OR(H466=$B$5,H466=$B$6,H466=$B$7,H466=$B$8,H466=$B$9,H466=$B$10,H466=$B$11,H466=$B$12,H466=$B$13,H466=$B$14),SottocategorieUscite[[#Headers],[Fuori Casa]],IF(OR(H466=$C$5,H466=$C$6,H466=$C$7,H466=$C$8,H466=$C$9,H466=$C$10,H466=$C$11,H466=$C$12,H466=$C$13,H466=$C$14),SottocategorieUscite[[#Headers],[Varie Uscite]],IF(OR(H466=$D$5,H466=$D$6,H466=$D$7,H466=$D$8,H466=$D$9,H466=$D$10,H466=$D$11,H466=$D$12,H466=$D$13,H466=$D$14),SottocategorieUscite[[#Headers],[Personali]],IF(OR(H466=$E$5,H466=$E$6,H466=$E$7,H466=$E$8,H466=$E$9,H466=$E$10,H466=$E$11,H466=$E$12,H466=$E$13,H466=$E$14),SottocategorieUscite[[#Headers],[Lavoro]],IF(OR(H466=$F$5,H466=$F$6,H466=$F$7,H466=$F$8,H466=$F$9,H466=$F$10,H466=$F$11,H466=$F$12,H466=$F$13,H466=$F$14),SottocategorieUscite[[#Headers],[Casa]],IF(OR(H466=$G$5,H466=$G$6,H466=$G$7,H466=$G$8,H466=$G$9,H466=$G$10,H466=$G$11,H466=$G$12,H466=$G$13,H466=$G$14),SottocategorieUscite[[#Headers],[Utenze]],IF(OR(H466=$H$5,H466=$H$6,H466=$H$7,H466=$H$8,H466=$H$9,H466=$H$10,H466=$H$11,H466=$H$12,H466=$H$13,H466=$H$14),SottocategorieUscite[[#Headers],[Business Uscite]],IF(OR(H466=$I$5,H466=$I$6,H466=$I$7,H466=$I$8,H466=$I$9,H466=$I$10,H466=$I$11,H466=$I$12,H466=$I$13,H466=$I$14),SottocategorieUscite[[#Headers],[Banca]],IF(OR(H466=K$5,H466=K$6,H466=K$7,H466=K$8,H466=K$9,H466=K$10,H466=K$11,H466=K$12,H466=K$13,H466=K$14),SottocategorieEntrate[[#Headers],[Business Entrate]],IF(OR(H466=L$5,H466=L$6,H466=L$7,H466=L$8,H466=L$9,H466=L$10,H466=L$11,H466=L$12,H466=L$13,H466=L$14),SottocategorieEntrate[[#Headers],[Varie Entrate]],IF(OR(H466=M$5,H466=M$6,H466=M$7,H466=M$8,H466=M$9,H466=M$10,H466=M$11,H466=M$12,H466=M$13,H466=M$14),SottocategorieEntrate[[#Headers],[Real Estate]],IF(OR(H466=N$5,H466=N$6,H466=N$7,H466=N$8,H466=N$9,H466=N$10,H466=N$11,H466=N$12,H466=N$13,H466=N$14),SottocategorieEntrate[[#Headers],[Other]],""))))))))))))</f>
        <v/>
      </c>
      <c r="J466" t="str">
        <f>IF(OR(Dati[[#This Row],[Categoria]]="Bollette",Dati[[#This Row],[Categoria]]="Conto &amp; Carte BNL",Dati[[#This Row],[Categoria]]="Prelievo",Dati[[#This Row],[Categoria]]="Affitto",Dati[[#This Row],[Categoria]]="BNL(Interessi Creditori)"),"Carta",IF(Dati[[#This Row],[Categoria]]&lt;&gt;0,"Cash",""))</f>
        <v/>
      </c>
      <c r="K466" s="59" t="str">
        <f>IF(OR(Data!$I466=SottocategorieUscite[[#Headers],[Fuori Casa]],Data!$I466=SottocategorieUscite[[#Headers],[Varie Uscite]],Data!$I466=SottocategorieUscite[[#Headers],[Personali]],Data!$I466=SottocategorieUscite[[#Headers],[Lavoro]]),"$ -","")</f>
        <v/>
      </c>
      <c r="L466" s="59" t="str">
        <f>IF(OR(Data!$I466=SottocategorieUscite[[#Headers],[Casa]],Data!$I466=SottocategorieUscite[[#Headers],[Utenze]],Data!$I466=SottocategorieUscite[[#Headers],[Business Uscite]],Data!$I466=SottocategorieUscite[[#Headers],[Banca]]),"$ -","")</f>
        <v/>
      </c>
      <c r="M466" s="59" t="str">
        <f>IF(OR($I466&lt;&gt;SottocategorieUscite[[#Headers],[Fuori Casa]],$I466&lt;&gt;SottocategorieUscite[[#Headers],[Varie Uscite]],$I466&lt;&gt;SottocategorieUscite[[#Headers],[Personali]],$I466&lt;&gt;SottocategorieUscite[[#Headers],[Lavoro]],$I466&lt;&gt;SottocategorieUscite[[#Headers],[Casa]],$I466&lt;&gt;SottocategorieUscite[[#Headers],[Utenze]],$I466&lt;&gt;SottocategorieUscite[[#Headers],[Business Uscite]],$I466&lt;&gt;SottocategorieUscite[[#Headers],[Banca]]),"","$ -")</f>
        <v/>
      </c>
      <c r="N466" s="59" t="str">
        <f>IF(OR(Data!$I466=SottocategorieEntrate[[#Headers],[Business Entrate]],Data!$I466=SottocategorieEntrate[[#Headers],[Varie Entrate]]),"$ -","")</f>
        <v/>
      </c>
      <c r="O466" s="59" t="str">
        <f>IF(OR(Data!$I466=SottocategorieEntrate[[#Headers],[Real Estate]],SottocategorieEntrate[[#Headers],[Other]]),"$ -","")</f>
        <v/>
      </c>
      <c r="P466" s="59" t="str">
        <f>IF(OR($I466&lt;&gt;SottocategorieEntrate[[#Headers],[Business Entrate]],$I466&lt;&gt;SottocategorieEntrate[[#Headers],[Varie Entrate]],$I466&lt;&gt;SottocategorieEntrate[[#Headers],[Real Estate]],$I466&lt;&gt;SottocategorieEntrate[[#Headers],[Other]]),"","$ -")</f>
        <v/>
      </c>
      <c r="Q466" s="59" t="str">
        <f>IF(Dati[[#This Row],[Categoria]]="Prelievo","€ -","")</f>
        <v/>
      </c>
      <c r="R466" s="244"/>
      <c r="S466" s="59" t="str">
        <f>IF(Dati[[#This Row],[Categoria]]="Savings",0,"")</f>
        <v/>
      </c>
      <c r="T466" s="59"/>
      <c r="U466" s="59"/>
      <c r="V466" s="59"/>
      <c r="W466" s="59"/>
      <c r="X466" s="59"/>
      <c r="Y466" s="59"/>
      <c r="Z466" s="59"/>
      <c r="AA466" s="59"/>
      <c r="AB466" s="59"/>
      <c r="AC466" s="59"/>
      <c r="AD466" s="59"/>
      <c r="AE466" s="59"/>
      <c r="AF466" s="59"/>
      <c r="AG466" s="59"/>
      <c r="AH466" s="59"/>
      <c r="AI466" s="59" t="str">
        <f>IF(SUM(Dati[[#This Row],[Inv. Business]:[Inv. Cryptocurrency]])=0," ",SUM(Dati[[#This Row],[Inv. Business]:[Inv. Cryptocurrency]]))</f>
        <v xml:space="preserve"> </v>
      </c>
      <c r="AJ466" s="59"/>
      <c r="AK466" s="59" t="str">
        <f>IF(SUM(Dati[[#This Row],[Inv. Gold]:[Mutuo]])=0," ",SUM(Dati[[#This Row],[Inv. Gold]:[Mutuo]]))</f>
        <v xml:space="preserve"> </v>
      </c>
      <c r="AL466" s="59"/>
      <c r="AM466" s="59"/>
    </row>
    <row r="467" spans="2:39" x14ac:dyDescent="0.35">
      <c r="B467">
        <f t="shared" si="18"/>
        <v>447</v>
      </c>
      <c r="C467" s="49">
        <f>C462+1</f>
        <v>45294</v>
      </c>
      <c r="D467" s="29">
        <f>DAY(Dati[[#This Row],[Data]])</f>
        <v>3</v>
      </c>
      <c r="E467" s="29" t="str">
        <f>IF(DAY(Data!$C$21:$C$1327)&gt;0,TEXT(Data!$C$21:$C$1327, "mmmm"),"")</f>
        <v>gennaio</v>
      </c>
      <c r="F467" s="29" t="str">
        <f>IF(DAY(Data!$C$21:$C$1327)&gt;0,TEXT(Data!$C$21:$C$1327, "aaaa"),"")</f>
        <v>2024</v>
      </c>
      <c r="I467" t="str">
        <f>IF(OR(H467=$B$5,H467=$B$6,H467=$B$7,H467=$B$8,H467=$B$9,H467=$B$10,H467=$B$11,H467=$B$12,H467=$B$13,H467=$B$14),SottocategorieUscite[[#Headers],[Fuori Casa]],IF(OR(H467=$C$5,H467=$C$6,H467=$C$7,H467=$C$8,H467=$C$9,H467=$C$10,H467=$C$11,H467=$C$12,H467=$C$13,H467=$C$14),SottocategorieUscite[[#Headers],[Varie Uscite]],IF(OR(H467=$D$5,H467=$D$6,H467=$D$7,H467=$D$8,H467=$D$9,H467=$D$10,H467=$D$11,H467=$D$12,H467=$D$13,H467=$D$14),SottocategorieUscite[[#Headers],[Personali]],IF(OR(H467=$E$5,H467=$E$6,H467=$E$7,H467=$E$8,H467=$E$9,H467=$E$10,H467=$E$11,H467=$E$12,H467=$E$13,H467=$E$14),SottocategorieUscite[[#Headers],[Lavoro]],IF(OR(H467=$F$5,H467=$F$6,H467=$F$7,H467=$F$8,H467=$F$9,H467=$F$10,H467=$F$11,H467=$F$12,H467=$F$13,H467=$F$14),SottocategorieUscite[[#Headers],[Casa]],IF(OR(H467=$G$5,H467=$G$6,H467=$G$7,H467=$G$8,H467=$G$9,H467=$G$10,H467=$G$11,H467=$G$12,H467=$G$13,H467=$G$14),SottocategorieUscite[[#Headers],[Utenze]],IF(OR(H467=$H$5,H467=$H$6,H467=$H$7,H467=$H$8,H467=$H$9,H467=$H$10,H467=$H$11,H467=$H$12,H467=$H$13,H467=$H$14),SottocategorieUscite[[#Headers],[Business Uscite]],IF(OR(H467=$I$5,H467=$I$6,H467=$I$7,H467=$I$8,H467=$I$9,H467=$I$10,H467=$I$11,H467=$I$12,H467=$I$13,H467=$I$14),SottocategorieUscite[[#Headers],[Banca]],IF(OR(H467=K$5,H467=K$6,H467=K$7,H467=K$8,H467=K$9,H467=K$10,H467=K$11,H467=K$12,H467=K$13,H467=K$14),SottocategorieEntrate[[#Headers],[Business Entrate]],IF(OR(H467=L$5,H467=L$6,H467=L$7,H467=L$8,H467=L$9,H467=L$10,H467=L$11,H467=L$12,H467=L$13,H467=L$14),SottocategorieEntrate[[#Headers],[Varie Entrate]],IF(OR(H467=M$5,H467=M$6,H467=M$7,H467=M$8,H467=M$9,H467=M$10,H467=M$11,H467=M$12,H467=M$13,H467=M$14),SottocategorieEntrate[[#Headers],[Real Estate]],IF(OR(H467=N$5,H467=N$6,H467=N$7,H467=N$8,H467=N$9,H467=N$10,H467=N$11,H467=N$12,H467=N$13,H467=N$14),SottocategorieEntrate[[#Headers],[Other]],""))))))))))))</f>
        <v/>
      </c>
      <c r="J467" t="str">
        <f>IF(OR(Dati[[#This Row],[Categoria]]="Bollette",Dati[[#This Row],[Categoria]]="Conto &amp; Carte BNL",Dati[[#This Row],[Categoria]]="Prelievo",Dati[[#This Row],[Categoria]]="Affitto",Dati[[#This Row],[Categoria]]="BNL(Interessi Creditori)"),"Carta",IF(Dati[[#This Row],[Categoria]]&lt;&gt;0,"Cash",""))</f>
        <v/>
      </c>
      <c r="K467" s="59" t="str">
        <f>IF(OR(Data!$I467=SottocategorieUscite[[#Headers],[Fuori Casa]],Data!$I467=SottocategorieUscite[[#Headers],[Varie Uscite]],Data!$I467=SottocategorieUscite[[#Headers],[Personali]],Data!$I467=SottocategorieUscite[[#Headers],[Lavoro]]),"$ -","")</f>
        <v/>
      </c>
      <c r="L467" s="59" t="str">
        <f>IF(OR(Data!$I467=SottocategorieUscite[[#Headers],[Casa]],Data!$I467=SottocategorieUscite[[#Headers],[Utenze]],Data!$I467=SottocategorieUscite[[#Headers],[Business Uscite]],Data!$I467=SottocategorieUscite[[#Headers],[Banca]]),"$ -","")</f>
        <v/>
      </c>
      <c r="M467" s="59" t="str">
        <f>IF(OR($I467&lt;&gt;SottocategorieUscite[[#Headers],[Fuori Casa]],$I467&lt;&gt;SottocategorieUscite[[#Headers],[Varie Uscite]],$I467&lt;&gt;SottocategorieUscite[[#Headers],[Personali]],$I467&lt;&gt;SottocategorieUscite[[#Headers],[Lavoro]],$I467&lt;&gt;SottocategorieUscite[[#Headers],[Casa]],$I467&lt;&gt;SottocategorieUscite[[#Headers],[Utenze]],$I467&lt;&gt;SottocategorieUscite[[#Headers],[Business Uscite]],$I467&lt;&gt;SottocategorieUscite[[#Headers],[Banca]]),"","$ -")</f>
        <v/>
      </c>
      <c r="N467" s="59" t="str">
        <f>IF(OR(Data!$I467=SottocategorieEntrate[[#Headers],[Business Entrate]],Data!$I467=SottocategorieEntrate[[#Headers],[Varie Entrate]]),"$ -","")</f>
        <v/>
      </c>
      <c r="O467" s="59" t="str">
        <f>IF(OR(Data!$I467=SottocategorieEntrate[[#Headers],[Real Estate]],SottocategorieEntrate[[#Headers],[Other]]),"$ -","")</f>
        <v/>
      </c>
      <c r="P467" s="59" t="str">
        <f>IF(OR($I467&lt;&gt;SottocategorieEntrate[[#Headers],[Business Entrate]],$I467&lt;&gt;SottocategorieEntrate[[#Headers],[Varie Entrate]],$I467&lt;&gt;SottocategorieEntrate[[#Headers],[Real Estate]],$I467&lt;&gt;SottocategorieEntrate[[#Headers],[Other]]),"","$ -")</f>
        <v/>
      </c>
      <c r="Q467" s="59" t="str">
        <f>IF(Dati[[#This Row],[Categoria]]="Prelievo","€ -","")</f>
        <v/>
      </c>
      <c r="R467" s="244"/>
      <c r="S467" s="59" t="str">
        <f>IF(Dati[[#This Row],[Categoria]]="Savings",0,"")</f>
        <v/>
      </c>
      <c r="T467" s="59"/>
      <c r="U467" s="59"/>
      <c r="V467" s="59"/>
      <c r="W467" s="59"/>
      <c r="X467" s="59"/>
      <c r="Y467" s="59"/>
      <c r="Z467" s="59"/>
      <c r="AA467" s="59"/>
      <c r="AB467" s="59"/>
      <c r="AC467" s="59"/>
      <c r="AD467" s="59"/>
      <c r="AE467" s="59"/>
      <c r="AF467" s="59"/>
      <c r="AG467" s="59"/>
      <c r="AH467" s="59"/>
      <c r="AI467" s="59" t="str">
        <f>IF(SUM(Dati[[#This Row],[Inv. Business]:[Inv. Cryptocurrency]])=0," ",SUM(Dati[[#This Row],[Inv. Business]:[Inv. Cryptocurrency]]))</f>
        <v xml:space="preserve"> </v>
      </c>
      <c r="AJ467" s="59"/>
      <c r="AK467" s="59" t="str">
        <f>IF(SUM(Dati[[#This Row],[Inv. Gold]:[Mutuo]])=0," ",SUM(Dati[[#This Row],[Inv. Gold]:[Mutuo]]))</f>
        <v xml:space="preserve"> </v>
      </c>
      <c r="AL467" s="59"/>
      <c r="AM467" s="59"/>
    </row>
    <row r="468" spans="2:39" x14ac:dyDescent="0.35">
      <c r="B468">
        <f t="shared" si="18"/>
        <v>448</v>
      </c>
      <c r="C468" s="49">
        <f>C462+1</f>
        <v>45294</v>
      </c>
      <c r="D468" s="29">
        <f>DAY(Dati[[#This Row],[Data]])</f>
        <v>3</v>
      </c>
      <c r="E468" s="29" t="str">
        <f>IF(DAY(Data!$C$21:$C$1327)&gt;0,TEXT(Data!$C$21:$C$1327, "mmmm"),"")</f>
        <v>gennaio</v>
      </c>
      <c r="F468" s="29" t="str">
        <f>IF(DAY(Data!$C$21:$C$1327)&gt;0,TEXT(Data!$C$21:$C$1327, "aaaa"),"")</f>
        <v>2024</v>
      </c>
      <c r="I468" t="str">
        <f>IF(OR(H468=$B$5,H468=$B$6,H468=$B$7,H468=$B$8,H468=$B$9,H468=$B$10,H468=$B$11,H468=$B$12,H468=$B$13,H468=$B$14),SottocategorieUscite[[#Headers],[Fuori Casa]],IF(OR(H468=$C$5,H468=$C$6,H468=$C$7,H468=$C$8,H468=$C$9,H468=$C$10,H468=$C$11,H468=$C$12,H468=$C$13,H468=$C$14),SottocategorieUscite[[#Headers],[Varie Uscite]],IF(OR(H468=$D$5,H468=$D$6,H468=$D$7,H468=$D$8,H468=$D$9,H468=$D$10,H468=$D$11,H468=$D$12,H468=$D$13,H468=$D$14),SottocategorieUscite[[#Headers],[Personali]],IF(OR(H468=$E$5,H468=$E$6,H468=$E$7,H468=$E$8,H468=$E$9,H468=$E$10,H468=$E$11,H468=$E$12,H468=$E$13,H468=$E$14),SottocategorieUscite[[#Headers],[Lavoro]],IF(OR(H468=$F$5,H468=$F$6,H468=$F$7,H468=$F$8,H468=$F$9,H468=$F$10,H468=$F$11,H468=$F$12,H468=$F$13,H468=$F$14),SottocategorieUscite[[#Headers],[Casa]],IF(OR(H468=$G$5,H468=$G$6,H468=$G$7,H468=$G$8,H468=$G$9,H468=$G$10,H468=$G$11,H468=$G$12,H468=$G$13,H468=$G$14),SottocategorieUscite[[#Headers],[Utenze]],IF(OR(H468=$H$5,H468=$H$6,H468=$H$7,H468=$H$8,H468=$H$9,H468=$H$10,H468=$H$11,H468=$H$12,H468=$H$13,H468=$H$14),SottocategorieUscite[[#Headers],[Business Uscite]],IF(OR(H468=$I$5,H468=$I$6,H468=$I$7,H468=$I$8,H468=$I$9,H468=$I$10,H468=$I$11,H468=$I$12,H468=$I$13,H468=$I$14),SottocategorieUscite[[#Headers],[Banca]],IF(OR(H468=K$5,H468=K$6,H468=K$7,H468=K$8,H468=K$9,H468=K$10,H468=K$11,H468=K$12,H468=K$13,H468=K$14),SottocategorieEntrate[[#Headers],[Business Entrate]],IF(OR(H468=L$5,H468=L$6,H468=L$7,H468=L$8,H468=L$9,H468=L$10,H468=L$11,H468=L$12,H468=L$13,H468=L$14),SottocategorieEntrate[[#Headers],[Varie Entrate]],IF(OR(H468=M$5,H468=M$6,H468=M$7,H468=M$8,H468=M$9,H468=M$10,H468=M$11,H468=M$12,H468=M$13,H468=M$14),SottocategorieEntrate[[#Headers],[Real Estate]],IF(OR(H468=N$5,H468=N$6,H468=N$7,H468=N$8,H468=N$9,H468=N$10,H468=N$11,H468=N$12,H468=N$13,H468=N$14),SottocategorieEntrate[[#Headers],[Other]],""))))))))))))</f>
        <v/>
      </c>
      <c r="J468" t="str">
        <f>IF(OR(Dati[[#This Row],[Categoria]]="Bollette",Dati[[#This Row],[Categoria]]="Conto &amp; Carte BNL",Dati[[#This Row],[Categoria]]="Prelievo",Dati[[#This Row],[Categoria]]="Affitto",Dati[[#This Row],[Categoria]]="BNL(Interessi Creditori)"),"Carta",IF(Dati[[#This Row],[Categoria]]&lt;&gt;0,"Cash",""))</f>
        <v/>
      </c>
      <c r="K468" s="59" t="str">
        <f>IF(OR(Data!$I468=SottocategorieUscite[[#Headers],[Fuori Casa]],Data!$I468=SottocategorieUscite[[#Headers],[Varie Uscite]],Data!$I468=SottocategorieUscite[[#Headers],[Personali]],Data!$I468=SottocategorieUscite[[#Headers],[Lavoro]]),"$ -","")</f>
        <v/>
      </c>
      <c r="L468" s="59" t="str">
        <f>IF(OR(Data!$I468=SottocategorieUscite[[#Headers],[Casa]],Data!$I468=SottocategorieUscite[[#Headers],[Utenze]],Data!$I468=SottocategorieUscite[[#Headers],[Business Uscite]],Data!$I468=SottocategorieUscite[[#Headers],[Banca]]),"$ -","")</f>
        <v/>
      </c>
      <c r="M468" s="59" t="str">
        <f>IF(OR($I468&lt;&gt;SottocategorieUscite[[#Headers],[Fuori Casa]],$I468&lt;&gt;SottocategorieUscite[[#Headers],[Varie Uscite]],$I468&lt;&gt;SottocategorieUscite[[#Headers],[Personali]],$I468&lt;&gt;SottocategorieUscite[[#Headers],[Lavoro]],$I468&lt;&gt;SottocategorieUscite[[#Headers],[Casa]],$I468&lt;&gt;SottocategorieUscite[[#Headers],[Utenze]],$I468&lt;&gt;SottocategorieUscite[[#Headers],[Business Uscite]],$I468&lt;&gt;SottocategorieUscite[[#Headers],[Banca]]),"","$ -")</f>
        <v/>
      </c>
      <c r="N468" s="59" t="str">
        <f>IF(OR(Data!$I468=SottocategorieEntrate[[#Headers],[Business Entrate]],Data!$I468=SottocategorieEntrate[[#Headers],[Varie Entrate]]),"$ -","")</f>
        <v/>
      </c>
      <c r="O468" s="59" t="str">
        <f>IF(OR(Data!$I468=SottocategorieEntrate[[#Headers],[Real Estate]],SottocategorieEntrate[[#Headers],[Other]]),"$ -","")</f>
        <v/>
      </c>
      <c r="P468" s="59" t="str">
        <f>IF(OR($I468&lt;&gt;SottocategorieEntrate[[#Headers],[Business Entrate]],$I468&lt;&gt;SottocategorieEntrate[[#Headers],[Varie Entrate]],$I468&lt;&gt;SottocategorieEntrate[[#Headers],[Real Estate]],$I468&lt;&gt;SottocategorieEntrate[[#Headers],[Other]]),"","$ -")</f>
        <v/>
      </c>
      <c r="Q468" s="59" t="str">
        <f>IF(Dati[[#This Row],[Categoria]]="Prelievo","€ -","")</f>
        <v/>
      </c>
      <c r="R468" s="244"/>
      <c r="S468" s="59" t="str">
        <f>IF(Dati[[#This Row],[Categoria]]="Savings",0,"")</f>
        <v/>
      </c>
      <c r="T468" s="59"/>
      <c r="U468" s="59"/>
      <c r="V468" s="59"/>
      <c r="W468" s="59"/>
      <c r="X468" s="59"/>
      <c r="Y468" s="59"/>
      <c r="Z468" s="59"/>
      <c r="AA468" s="59"/>
      <c r="AB468" s="59"/>
      <c r="AC468" s="59"/>
      <c r="AD468" s="59"/>
      <c r="AE468" s="59"/>
      <c r="AF468" s="59"/>
      <c r="AG468" s="59"/>
      <c r="AH468" s="59"/>
      <c r="AI468" s="59" t="str">
        <f>IF(SUM(Dati[[#This Row],[Inv. Business]:[Inv. Cryptocurrency]])=0," ",SUM(Dati[[#This Row],[Inv. Business]:[Inv. Cryptocurrency]]))</f>
        <v xml:space="preserve"> </v>
      </c>
      <c r="AJ468" s="59"/>
      <c r="AK468" s="59" t="str">
        <f>IF(SUM(Dati[[#This Row],[Inv. Gold]:[Mutuo]])=0," ",SUM(Dati[[#This Row],[Inv. Gold]:[Mutuo]]))</f>
        <v xml:space="preserve"> </v>
      </c>
      <c r="AL468" s="59"/>
      <c r="AM468" s="59"/>
    </row>
    <row r="469" spans="2:39" x14ac:dyDescent="0.35">
      <c r="B469">
        <f t="shared" ref="B469:B532" si="21">ROW(449:449)</f>
        <v>449</v>
      </c>
      <c r="C469" s="49">
        <f>C465+1</f>
        <v>45295</v>
      </c>
      <c r="D469" s="29">
        <f>DAY(Dati[[#This Row],[Data]])</f>
        <v>4</v>
      </c>
      <c r="E469" s="29" t="str">
        <f>IF(DAY(Data!$C$21:$C$1327)&gt;0,TEXT(Data!$C$21:$C$1327, "mmmm"),"")</f>
        <v>gennaio</v>
      </c>
      <c r="F469" s="29" t="str">
        <f>IF(DAY(Data!$C$21:$C$1327)&gt;0,TEXT(Data!$C$21:$C$1327, "aaaa"),"")</f>
        <v>2024</v>
      </c>
      <c r="I469" t="str">
        <f>IF(OR(H469=$B$5,H469=$B$6,H469=$B$7,H469=$B$8,H469=$B$9,H469=$B$10,H469=$B$11,H469=$B$12,H469=$B$13,H469=$B$14),SottocategorieUscite[[#Headers],[Fuori Casa]],IF(OR(H469=$C$5,H469=$C$6,H469=$C$7,H469=$C$8,H469=$C$9,H469=$C$10,H469=$C$11,H469=$C$12,H469=$C$13,H469=$C$14),SottocategorieUscite[[#Headers],[Varie Uscite]],IF(OR(H469=$D$5,H469=$D$6,H469=$D$7,H469=$D$8,H469=$D$9,H469=$D$10,H469=$D$11,H469=$D$12,H469=$D$13,H469=$D$14),SottocategorieUscite[[#Headers],[Personali]],IF(OR(H469=$E$5,H469=$E$6,H469=$E$7,H469=$E$8,H469=$E$9,H469=$E$10,H469=$E$11,H469=$E$12,H469=$E$13,H469=$E$14),SottocategorieUscite[[#Headers],[Lavoro]],IF(OR(H469=$F$5,H469=$F$6,H469=$F$7,H469=$F$8,H469=$F$9,H469=$F$10,H469=$F$11,H469=$F$12,H469=$F$13,H469=$F$14),SottocategorieUscite[[#Headers],[Casa]],IF(OR(H469=$G$5,H469=$G$6,H469=$G$7,H469=$G$8,H469=$G$9,H469=$G$10,H469=$G$11,H469=$G$12,H469=$G$13,H469=$G$14),SottocategorieUscite[[#Headers],[Utenze]],IF(OR(H469=$H$5,H469=$H$6,H469=$H$7,H469=$H$8,H469=$H$9,H469=$H$10,H469=$H$11,H469=$H$12,H469=$H$13,H469=$H$14),SottocategorieUscite[[#Headers],[Business Uscite]],IF(OR(H469=$I$5,H469=$I$6,H469=$I$7,H469=$I$8,H469=$I$9,H469=$I$10,H469=$I$11,H469=$I$12,H469=$I$13,H469=$I$14),SottocategorieUscite[[#Headers],[Banca]],IF(OR(H469=K$5,H469=K$6,H469=K$7,H469=K$8,H469=K$9,H469=K$10,H469=K$11,H469=K$12,H469=K$13,H469=K$14),SottocategorieEntrate[[#Headers],[Business Entrate]],IF(OR(H469=L$5,H469=L$6,H469=L$7,H469=L$8,H469=L$9,H469=L$10,H469=L$11,H469=L$12,H469=L$13,H469=L$14),SottocategorieEntrate[[#Headers],[Varie Entrate]],IF(OR(H469=M$5,H469=M$6,H469=M$7,H469=M$8,H469=M$9,H469=M$10,H469=M$11,H469=M$12,H469=M$13,H469=M$14),SottocategorieEntrate[[#Headers],[Real Estate]],IF(OR(H469=N$5,H469=N$6,H469=N$7,H469=N$8,H469=N$9,H469=N$10,H469=N$11,H469=N$12,H469=N$13,H469=N$14),SottocategorieEntrate[[#Headers],[Other]],""))))))))))))</f>
        <v/>
      </c>
      <c r="J469" t="str">
        <f>IF(OR(Dati[[#This Row],[Categoria]]="Bollette",Dati[[#This Row],[Categoria]]="Conto &amp; Carte BNL",Dati[[#This Row],[Categoria]]="Prelievo",Dati[[#This Row],[Categoria]]="Affitto",Dati[[#This Row],[Categoria]]="BNL(Interessi Creditori)"),"Carta",IF(Dati[[#This Row],[Categoria]]&lt;&gt;0,"Cash",""))</f>
        <v/>
      </c>
      <c r="K469" s="59" t="str">
        <f>IF(OR(Data!$I469=SottocategorieUscite[[#Headers],[Fuori Casa]],Data!$I469=SottocategorieUscite[[#Headers],[Varie Uscite]],Data!$I469=SottocategorieUscite[[#Headers],[Personali]],Data!$I469=SottocategorieUscite[[#Headers],[Lavoro]]),"$ -","")</f>
        <v/>
      </c>
      <c r="L469" s="59" t="str">
        <f>IF(OR(Data!$I469=SottocategorieUscite[[#Headers],[Casa]],Data!$I469=SottocategorieUscite[[#Headers],[Utenze]],Data!$I469=SottocategorieUscite[[#Headers],[Business Uscite]],Data!$I469=SottocategorieUscite[[#Headers],[Banca]]),"$ -","")</f>
        <v/>
      </c>
      <c r="M469" s="59" t="str">
        <f>IF(OR($I469&lt;&gt;SottocategorieUscite[[#Headers],[Fuori Casa]],$I469&lt;&gt;SottocategorieUscite[[#Headers],[Varie Uscite]],$I469&lt;&gt;SottocategorieUscite[[#Headers],[Personali]],$I469&lt;&gt;SottocategorieUscite[[#Headers],[Lavoro]],$I469&lt;&gt;SottocategorieUscite[[#Headers],[Casa]],$I469&lt;&gt;SottocategorieUscite[[#Headers],[Utenze]],$I469&lt;&gt;SottocategorieUscite[[#Headers],[Business Uscite]],$I469&lt;&gt;SottocategorieUscite[[#Headers],[Banca]]),"","$ -")</f>
        <v/>
      </c>
      <c r="N469" s="59" t="str">
        <f>IF(OR(Data!$I469=SottocategorieEntrate[[#Headers],[Business Entrate]],Data!$I469=SottocategorieEntrate[[#Headers],[Varie Entrate]]),"$ -","")</f>
        <v/>
      </c>
      <c r="O469" s="59" t="str">
        <f>IF(OR(Data!$I469=SottocategorieEntrate[[#Headers],[Real Estate]],SottocategorieEntrate[[#Headers],[Other]]),"$ -","")</f>
        <v/>
      </c>
      <c r="P469" s="59" t="str">
        <f>IF(OR($I469&lt;&gt;SottocategorieEntrate[[#Headers],[Business Entrate]],$I469&lt;&gt;SottocategorieEntrate[[#Headers],[Varie Entrate]],$I469&lt;&gt;SottocategorieEntrate[[#Headers],[Real Estate]],$I469&lt;&gt;SottocategorieEntrate[[#Headers],[Other]]),"","$ -")</f>
        <v/>
      </c>
      <c r="Q469" s="59" t="str">
        <f>IF(Dati[[#This Row],[Categoria]]="Prelievo","€ -","")</f>
        <v/>
      </c>
      <c r="R469" s="244"/>
      <c r="S469" s="59" t="str">
        <f>IF(Dati[[#This Row],[Categoria]]="Savings",0,"")</f>
        <v/>
      </c>
      <c r="T469" s="59"/>
      <c r="U469" s="59"/>
      <c r="V469" s="59"/>
      <c r="W469" s="59"/>
      <c r="X469" s="59"/>
      <c r="Y469" s="59"/>
      <c r="Z469" s="59"/>
      <c r="AA469" s="59"/>
      <c r="AB469" s="59"/>
      <c r="AC469" s="59"/>
      <c r="AD469" s="59"/>
      <c r="AE469" s="59"/>
      <c r="AF469" s="59"/>
      <c r="AG469" s="59"/>
      <c r="AH469" s="59"/>
      <c r="AI469" s="59" t="str">
        <f>IF(SUM(Dati[[#This Row],[Inv. Business]:[Inv. Cryptocurrency]])=0," ",SUM(Dati[[#This Row],[Inv. Business]:[Inv. Cryptocurrency]]))</f>
        <v xml:space="preserve"> </v>
      </c>
      <c r="AJ469" s="59"/>
      <c r="AK469" s="59" t="str">
        <f>IF(SUM(Dati[[#This Row],[Inv. Gold]:[Mutuo]])=0," ",SUM(Dati[[#This Row],[Inv. Gold]:[Mutuo]]))</f>
        <v xml:space="preserve"> </v>
      </c>
      <c r="AL469" s="59"/>
      <c r="AM469" s="59"/>
    </row>
    <row r="470" spans="2:39" x14ac:dyDescent="0.35">
      <c r="B470">
        <f t="shared" si="21"/>
        <v>450</v>
      </c>
      <c r="C470" s="49">
        <f t="shared" si="20"/>
        <v>45296</v>
      </c>
      <c r="D470" s="29">
        <f>DAY(Dati[[#This Row],[Data]])</f>
        <v>5</v>
      </c>
      <c r="E470" s="29" t="str">
        <f>IF(DAY(Data!$C$21:$C$1327)&gt;0,TEXT(Data!$C$21:$C$1327, "mmmm"),"")</f>
        <v>gennaio</v>
      </c>
      <c r="F470" s="29" t="str">
        <f>IF(DAY(Data!$C$21:$C$1327)&gt;0,TEXT(Data!$C$21:$C$1327, "aaaa"),"")</f>
        <v>2024</v>
      </c>
      <c r="I470" t="str">
        <f>IF(OR(H470=$B$5,H470=$B$6,H470=$B$7,H470=$B$8,H470=$B$9,H470=$B$10,H470=$B$11,H470=$B$12,H470=$B$13,H470=$B$14),SottocategorieUscite[[#Headers],[Fuori Casa]],IF(OR(H470=$C$5,H470=$C$6,H470=$C$7,H470=$C$8,H470=$C$9,H470=$C$10,H470=$C$11,H470=$C$12,H470=$C$13,H470=$C$14),SottocategorieUscite[[#Headers],[Varie Uscite]],IF(OR(H470=$D$5,H470=$D$6,H470=$D$7,H470=$D$8,H470=$D$9,H470=$D$10,H470=$D$11,H470=$D$12,H470=$D$13,H470=$D$14),SottocategorieUscite[[#Headers],[Personali]],IF(OR(H470=$E$5,H470=$E$6,H470=$E$7,H470=$E$8,H470=$E$9,H470=$E$10,H470=$E$11,H470=$E$12,H470=$E$13,H470=$E$14),SottocategorieUscite[[#Headers],[Lavoro]],IF(OR(H470=$F$5,H470=$F$6,H470=$F$7,H470=$F$8,H470=$F$9,H470=$F$10,H470=$F$11,H470=$F$12,H470=$F$13,H470=$F$14),SottocategorieUscite[[#Headers],[Casa]],IF(OR(H470=$G$5,H470=$G$6,H470=$G$7,H470=$G$8,H470=$G$9,H470=$G$10,H470=$G$11,H470=$G$12,H470=$G$13,H470=$G$14),SottocategorieUscite[[#Headers],[Utenze]],IF(OR(H470=$H$5,H470=$H$6,H470=$H$7,H470=$H$8,H470=$H$9,H470=$H$10,H470=$H$11,H470=$H$12,H470=$H$13,H470=$H$14),SottocategorieUscite[[#Headers],[Business Uscite]],IF(OR(H470=$I$5,H470=$I$6,H470=$I$7,H470=$I$8,H470=$I$9,H470=$I$10,H470=$I$11,H470=$I$12,H470=$I$13,H470=$I$14),SottocategorieUscite[[#Headers],[Banca]],IF(OR(H470=K$5,H470=K$6,H470=K$7,H470=K$8,H470=K$9,H470=K$10,H470=K$11,H470=K$12,H470=K$13,H470=K$14),SottocategorieEntrate[[#Headers],[Business Entrate]],IF(OR(H470=L$5,H470=L$6,H470=L$7,H470=L$8,H470=L$9,H470=L$10,H470=L$11,H470=L$12,H470=L$13,H470=L$14),SottocategorieEntrate[[#Headers],[Varie Entrate]],IF(OR(H470=M$5,H470=M$6,H470=M$7,H470=M$8,H470=M$9,H470=M$10,H470=M$11,H470=M$12,H470=M$13,H470=M$14),SottocategorieEntrate[[#Headers],[Real Estate]],IF(OR(H470=N$5,H470=N$6,H470=N$7,H470=N$8,H470=N$9,H470=N$10,H470=N$11,H470=N$12,H470=N$13,H470=N$14),SottocategorieEntrate[[#Headers],[Other]],""))))))))))))</f>
        <v/>
      </c>
      <c r="J470" t="str">
        <f>IF(OR(Dati[[#This Row],[Categoria]]="Bollette",Dati[[#This Row],[Categoria]]="Conto &amp; Carte BNL",Dati[[#This Row],[Categoria]]="Prelievo",Dati[[#This Row],[Categoria]]="Affitto",Dati[[#This Row],[Categoria]]="BNL(Interessi Creditori)"),"Carta",IF(Dati[[#This Row],[Categoria]]&lt;&gt;0,"Cash",""))</f>
        <v/>
      </c>
      <c r="K470" s="59" t="str">
        <f>IF(OR(Data!$I470=SottocategorieUscite[[#Headers],[Fuori Casa]],Data!$I470=SottocategorieUscite[[#Headers],[Varie Uscite]],Data!$I470=SottocategorieUscite[[#Headers],[Personali]],Data!$I470=SottocategorieUscite[[#Headers],[Lavoro]]),"$ -","")</f>
        <v/>
      </c>
      <c r="L470" s="59" t="str">
        <f>IF(OR(Data!$I470=SottocategorieUscite[[#Headers],[Casa]],Data!$I470=SottocategorieUscite[[#Headers],[Utenze]],Data!$I470=SottocategorieUscite[[#Headers],[Business Uscite]],Data!$I470=SottocategorieUscite[[#Headers],[Banca]]),"$ -","")</f>
        <v/>
      </c>
      <c r="M470" s="59" t="str">
        <f>IF(OR($I470&lt;&gt;SottocategorieUscite[[#Headers],[Fuori Casa]],$I470&lt;&gt;SottocategorieUscite[[#Headers],[Varie Uscite]],$I470&lt;&gt;SottocategorieUscite[[#Headers],[Personali]],$I470&lt;&gt;SottocategorieUscite[[#Headers],[Lavoro]],$I470&lt;&gt;SottocategorieUscite[[#Headers],[Casa]],$I470&lt;&gt;SottocategorieUscite[[#Headers],[Utenze]],$I470&lt;&gt;SottocategorieUscite[[#Headers],[Business Uscite]],$I470&lt;&gt;SottocategorieUscite[[#Headers],[Banca]]),"","$ -")</f>
        <v/>
      </c>
      <c r="N470" s="59" t="str">
        <f>IF(OR(Data!$I470=SottocategorieEntrate[[#Headers],[Business Entrate]],Data!$I470=SottocategorieEntrate[[#Headers],[Varie Entrate]]),"$ -","")</f>
        <v/>
      </c>
      <c r="O470" s="59" t="str">
        <f>IF(OR(Data!$I470=SottocategorieEntrate[[#Headers],[Real Estate]],SottocategorieEntrate[[#Headers],[Other]]),"$ -","")</f>
        <v/>
      </c>
      <c r="P470" s="59" t="str">
        <f>IF(OR($I470&lt;&gt;SottocategorieEntrate[[#Headers],[Business Entrate]],$I470&lt;&gt;SottocategorieEntrate[[#Headers],[Varie Entrate]],$I470&lt;&gt;SottocategorieEntrate[[#Headers],[Real Estate]],$I470&lt;&gt;SottocategorieEntrate[[#Headers],[Other]]),"","$ -")</f>
        <v/>
      </c>
      <c r="Q470" s="59" t="str">
        <f>IF(Dati[[#This Row],[Categoria]]="Prelievo","€ -","")</f>
        <v/>
      </c>
      <c r="R470" s="244"/>
      <c r="S470" s="59" t="str">
        <f>IF(Dati[[#This Row],[Categoria]]="Savings",0,"")</f>
        <v/>
      </c>
      <c r="T470" s="59"/>
      <c r="U470" s="59"/>
      <c r="V470" s="59"/>
      <c r="W470" s="59"/>
      <c r="X470" s="59"/>
      <c r="Y470" s="59"/>
      <c r="Z470" s="59"/>
      <c r="AA470" s="59"/>
      <c r="AB470" s="59"/>
      <c r="AC470" s="59"/>
      <c r="AD470" s="59"/>
      <c r="AE470" s="59"/>
      <c r="AF470" s="59"/>
      <c r="AG470" s="59"/>
      <c r="AH470" s="59"/>
      <c r="AI470" s="59" t="str">
        <f>IF(SUM(Dati[[#This Row],[Inv. Business]:[Inv. Cryptocurrency]])=0," ",SUM(Dati[[#This Row],[Inv. Business]:[Inv. Cryptocurrency]]))</f>
        <v xml:space="preserve"> </v>
      </c>
      <c r="AJ470" s="59"/>
      <c r="AK470" s="59" t="str">
        <f>IF(SUM(Dati[[#This Row],[Inv. Gold]:[Mutuo]])=0," ",SUM(Dati[[#This Row],[Inv. Gold]:[Mutuo]]))</f>
        <v xml:space="preserve"> </v>
      </c>
      <c r="AL470" s="59"/>
      <c r="AM470" s="59"/>
    </row>
    <row r="471" spans="2:39" x14ac:dyDescent="0.35">
      <c r="B471">
        <f t="shared" si="21"/>
        <v>451</v>
      </c>
      <c r="C471" s="49">
        <f t="shared" si="20"/>
        <v>45297</v>
      </c>
      <c r="D471" s="29">
        <f>DAY(Dati[[#This Row],[Data]])</f>
        <v>6</v>
      </c>
      <c r="E471" s="29" t="str">
        <f>IF(DAY(Data!$C$21:$C$1327)&gt;0,TEXT(Data!$C$21:$C$1327, "mmmm"),"")</f>
        <v>gennaio</v>
      </c>
      <c r="F471" s="29" t="str">
        <f>IF(DAY(Data!$C$21:$C$1327)&gt;0,TEXT(Data!$C$21:$C$1327, "aaaa"),"")</f>
        <v>2024</v>
      </c>
      <c r="I471" t="str">
        <f>IF(OR(H471=$B$5,H471=$B$6,H471=$B$7,H471=$B$8,H471=$B$9,H471=$B$10,H471=$B$11,H471=$B$12,H471=$B$13,H471=$B$14),SottocategorieUscite[[#Headers],[Fuori Casa]],IF(OR(H471=$C$5,H471=$C$6,H471=$C$7,H471=$C$8,H471=$C$9,H471=$C$10,H471=$C$11,H471=$C$12,H471=$C$13,H471=$C$14),SottocategorieUscite[[#Headers],[Varie Uscite]],IF(OR(H471=$D$5,H471=$D$6,H471=$D$7,H471=$D$8,H471=$D$9,H471=$D$10,H471=$D$11,H471=$D$12,H471=$D$13,H471=$D$14),SottocategorieUscite[[#Headers],[Personali]],IF(OR(H471=$E$5,H471=$E$6,H471=$E$7,H471=$E$8,H471=$E$9,H471=$E$10,H471=$E$11,H471=$E$12,H471=$E$13,H471=$E$14),SottocategorieUscite[[#Headers],[Lavoro]],IF(OR(H471=$F$5,H471=$F$6,H471=$F$7,H471=$F$8,H471=$F$9,H471=$F$10,H471=$F$11,H471=$F$12,H471=$F$13,H471=$F$14),SottocategorieUscite[[#Headers],[Casa]],IF(OR(H471=$G$5,H471=$G$6,H471=$G$7,H471=$G$8,H471=$G$9,H471=$G$10,H471=$G$11,H471=$G$12,H471=$G$13,H471=$G$14),SottocategorieUscite[[#Headers],[Utenze]],IF(OR(H471=$H$5,H471=$H$6,H471=$H$7,H471=$H$8,H471=$H$9,H471=$H$10,H471=$H$11,H471=$H$12,H471=$H$13,H471=$H$14),SottocategorieUscite[[#Headers],[Business Uscite]],IF(OR(H471=$I$5,H471=$I$6,H471=$I$7,H471=$I$8,H471=$I$9,H471=$I$10,H471=$I$11,H471=$I$12,H471=$I$13,H471=$I$14),SottocategorieUscite[[#Headers],[Banca]],IF(OR(H471=K$5,H471=K$6,H471=K$7,H471=K$8,H471=K$9,H471=K$10,H471=K$11,H471=K$12,H471=K$13,H471=K$14),SottocategorieEntrate[[#Headers],[Business Entrate]],IF(OR(H471=L$5,H471=L$6,H471=L$7,H471=L$8,H471=L$9,H471=L$10,H471=L$11,H471=L$12,H471=L$13,H471=L$14),SottocategorieEntrate[[#Headers],[Varie Entrate]],IF(OR(H471=M$5,H471=M$6,H471=M$7,H471=M$8,H471=M$9,H471=M$10,H471=M$11,H471=M$12,H471=M$13,H471=M$14),SottocategorieEntrate[[#Headers],[Real Estate]],IF(OR(H471=N$5,H471=N$6,H471=N$7,H471=N$8,H471=N$9,H471=N$10,H471=N$11,H471=N$12,H471=N$13,H471=N$14),SottocategorieEntrate[[#Headers],[Other]],""))))))))))))</f>
        <v/>
      </c>
      <c r="J471" t="str">
        <f>IF(OR(Dati[[#This Row],[Categoria]]="Bollette",Dati[[#This Row],[Categoria]]="Conto &amp; Carte BNL",Dati[[#This Row],[Categoria]]="Prelievo",Dati[[#This Row],[Categoria]]="Affitto",Dati[[#This Row],[Categoria]]="BNL(Interessi Creditori)"),"Carta",IF(Dati[[#This Row],[Categoria]]&lt;&gt;0,"Cash",""))</f>
        <v/>
      </c>
      <c r="K471" s="59" t="str">
        <f>IF(OR(Data!$I471=SottocategorieUscite[[#Headers],[Fuori Casa]],Data!$I471=SottocategorieUscite[[#Headers],[Varie Uscite]],Data!$I471=SottocategorieUscite[[#Headers],[Personali]],Data!$I471=SottocategorieUscite[[#Headers],[Lavoro]]),"$ -","")</f>
        <v/>
      </c>
      <c r="L471" s="59" t="str">
        <f>IF(OR(Data!$I471=SottocategorieUscite[[#Headers],[Casa]],Data!$I471=SottocategorieUscite[[#Headers],[Utenze]],Data!$I471=SottocategorieUscite[[#Headers],[Business Uscite]],Data!$I471=SottocategorieUscite[[#Headers],[Banca]]),"$ -","")</f>
        <v/>
      </c>
      <c r="M471" s="59" t="str">
        <f>IF(OR($I471&lt;&gt;SottocategorieUscite[[#Headers],[Fuori Casa]],$I471&lt;&gt;SottocategorieUscite[[#Headers],[Varie Uscite]],$I471&lt;&gt;SottocategorieUscite[[#Headers],[Personali]],$I471&lt;&gt;SottocategorieUscite[[#Headers],[Lavoro]],$I471&lt;&gt;SottocategorieUscite[[#Headers],[Casa]],$I471&lt;&gt;SottocategorieUscite[[#Headers],[Utenze]],$I471&lt;&gt;SottocategorieUscite[[#Headers],[Business Uscite]],$I471&lt;&gt;SottocategorieUscite[[#Headers],[Banca]]),"","$ -")</f>
        <v/>
      </c>
      <c r="N471" s="59" t="str">
        <f>IF(OR(Data!$I471=SottocategorieEntrate[[#Headers],[Business Entrate]],Data!$I471=SottocategorieEntrate[[#Headers],[Varie Entrate]]),"$ -","")</f>
        <v/>
      </c>
      <c r="O471" s="59" t="str">
        <f>IF(OR(Data!$I471=SottocategorieEntrate[[#Headers],[Real Estate]],SottocategorieEntrate[[#Headers],[Other]]),"$ -","")</f>
        <v/>
      </c>
      <c r="P471" s="59" t="str">
        <f>IF(OR($I471&lt;&gt;SottocategorieEntrate[[#Headers],[Business Entrate]],$I471&lt;&gt;SottocategorieEntrate[[#Headers],[Varie Entrate]],$I471&lt;&gt;SottocategorieEntrate[[#Headers],[Real Estate]],$I471&lt;&gt;SottocategorieEntrate[[#Headers],[Other]]),"","$ -")</f>
        <v/>
      </c>
      <c r="Q471" s="59" t="str">
        <f>IF(Dati[[#This Row],[Categoria]]="Prelievo","€ -","")</f>
        <v/>
      </c>
      <c r="R471" s="244"/>
      <c r="S471" s="59" t="str">
        <f>IF(Dati[[#This Row],[Categoria]]="Savings",0,"")</f>
        <v/>
      </c>
      <c r="T471" s="59"/>
      <c r="U471" s="59"/>
      <c r="V471" s="59"/>
      <c r="W471" s="59"/>
      <c r="X471" s="59"/>
      <c r="Y471" s="59"/>
      <c r="Z471" s="59"/>
      <c r="AA471" s="59"/>
      <c r="AB471" s="59"/>
      <c r="AC471" s="59"/>
      <c r="AD471" s="59"/>
      <c r="AE471" s="59"/>
      <c r="AF471" s="59"/>
      <c r="AG471" s="59"/>
      <c r="AH471" s="59"/>
      <c r="AI471" s="59" t="str">
        <f>IF(SUM(Dati[[#This Row],[Inv. Business]:[Inv. Cryptocurrency]])=0," ",SUM(Dati[[#This Row],[Inv. Business]:[Inv. Cryptocurrency]]))</f>
        <v xml:space="preserve"> </v>
      </c>
      <c r="AJ471" s="59"/>
      <c r="AK471" s="59" t="str">
        <f>IF(SUM(Dati[[#This Row],[Inv. Gold]:[Mutuo]])=0," ",SUM(Dati[[#This Row],[Inv. Gold]:[Mutuo]]))</f>
        <v xml:space="preserve"> </v>
      </c>
      <c r="AL471" s="59"/>
      <c r="AM471" s="59"/>
    </row>
    <row r="472" spans="2:39" x14ac:dyDescent="0.35">
      <c r="B472">
        <f t="shared" si="21"/>
        <v>452</v>
      </c>
      <c r="C472" s="49">
        <f t="shared" si="20"/>
        <v>45298</v>
      </c>
      <c r="D472" s="29">
        <f>DAY(Dati[[#This Row],[Data]])</f>
        <v>7</v>
      </c>
      <c r="E472" s="29" t="str">
        <f>IF(DAY(Data!$C$21:$C$1327)&gt;0,TEXT(Data!$C$21:$C$1327, "mmmm"),"")</f>
        <v>gennaio</v>
      </c>
      <c r="F472" s="29" t="str">
        <f>IF(DAY(Data!$C$21:$C$1327)&gt;0,TEXT(Data!$C$21:$C$1327, "aaaa"),"")</f>
        <v>2024</v>
      </c>
      <c r="I472" t="str">
        <f>IF(OR(H472=$B$5,H472=$B$6,H472=$B$7,H472=$B$8,H472=$B$9,H472=$B$10,H472=$B$11,H472=$B$12,H472=$B$13,H472=$B$14),SottocategorieUscite[[#Headers],[Fuori Casa]],IF(OR(H472=$C$5,H472=$C$6,H472=$C$7,H472=$C$8,H472=$C$9,H472=$C$10,H472=$C$11,H472=$C$12,H472=$C$13,H472=$C$14),SottocategorieUscite[[#Headers],[Varie Uscite]],IF(OR(H472=$D$5,H472=$D$6,H472=$D$7,H472=$D$8,H472=$D$9,H472=$D$10,H472=$D$11,H472=$D$12,H472=$D$13,H472=$D$14),SottocategorieUscite[[#Headers],[Personali]],IF(OR(H472=$E$5,H472=$E$6,H472=$E$7,H472=$E$8,H472=$E$9,H472=$E$10,H472=$E$11,H472=$E$12,H472=$E$13,H472=$E$14),SottocategorieUscite[[#Headers],[Lavoro]],IF(OR(H472=$F$5,H472=$F$6,H472=$F$7,H472=$F$8,H472=$F$9,H472=$F$10,H472=$F$11,H472=$F$12,H472=$F$13,H472=$F$14),SottocategorieUscite[[#Headers],[Casa]],IF(OR(H472=$G$5,H472=$G$6,H472=$G$7,H472=$G$8,H472=$G$9,H472=$G$10,H472=$G$11,H472=$G$12,H472=$G$13,H472=$G$14),SottocategorieUscite[[#Headers],[Utenze]],IF(OR(H472=$H$5,H472=$H$6,H472=$H$7,H472=$H$8,H472=$H$9,H472=$H$10,H472=$H$11,H472=$H$12,H472=$H$13,H472=$H$14),SottocategorieUscite[[#Headers],[Business Uscite]],IF(OR(H472=$I$5,H472=$I$6,H472=$I$7,H472=$I$8,H472=$I$9,H472=$I$10,H472=$I$11,H472=$I$12,H472=$I$13,H472=$I$14),SottocategorieUscite[[#Headers],[Banca]],IF(OR(H472=K$5,H472=K$6,H472=K$7,H472=K$8,H472=K$9,H472=K$10,H472=K$11,H472=K$12,H472=K$13,H472=K$14),SottocategorieEntrate[[#Headers],[Business Entrate]],IF(OR(H472=L$5,H472=L$6,H472=L$7,H472=L$8,H472=L$9,H472=L$10,H472=L$11,H472=L$12,H472=L$13,H472=L$14),SottocategorieEntrate[[#Headers],[Varie Entrate]],IF(OR(H472=M$5,H472=M$6,H472=M$7,H472=M$8,H472=M$9,H472=M$10,H472=M$11,H472=M$12,H472=M$13,H472=M$14),SottocategorieEntrate[[#Headers],[Real Estate]],IF(OR(H472=N$5,H472=N$6,H472=N$7,H472=N$8,H472=N$9,H472=N$10,H472=N$11,H472=N$12,H472=N$13,H472=N$14),SottocategorieEntrate[[#Headers],[Other]],""))))))))))))</f>
        <v/>
      </c>
      <c r="J472" t="str">
        <f>IF(OR(Dati[[#This Row],[Categoria]]="Bollette",Dati[[#This Row],[Categoria]]="Conto &amp; Carte BNL",Dati[[#This Row],[Categoria]]="Prelievo",Dati[[#This Row],[Categoria]]="Affitto",Dati[[#This Row],[Categoria]]="BNL(Interessi Creditori)"),"Carta",IF(Dati[[#This Row],[Categoria]]&lt;&gt;0,"Cash",""))</f>
        <v/>
      </c>
      <c r="K472" s="59" t="str">
        <f>IF(OR(Data!$I472=SottocategorieUscite[[#Headers],[Fuori Casa]],Data!$I472=SottocategorieUscite[[#Headers],[Varie Uscite]],Data!$I472=SottocategorieUscite[[#Headers],[Personali]],Data!$I472=SottocategorieUscite[[#Headers],[Lavoro]]),"$ -","")</f>
        <v/>
      </c>
      <c r="L472" s="59" t="str">
        <f>IF(OR(Data!$I472=SottocategorieUscite[[#Headers],[Casa]],Data!$I472=SottocategorieUscite[[#Headers],[Utenze]],Data!$I472=SottocategorieUscite[[#Headers],[Business Uscite]],Data!$I472=SottocategorieUscite[[#Headers],[Banca]]),"$ -","")</f>
        <v/>
      </c>
      <c r="M472" s="59" t="str">
        <f>IF(OR($I472&lt;&gt;SottocategorieUscite[[#Headers],[Fuori Casa]],$I472&lt;&gt;SottocategorieUscite[[#Headers],[Varie Uscite]],$I472&lt;&gt;SottocategorieUscite[[#Headers],[Personali]],$I472&lt;&gt;SottocategorieUscite[[#Headers],[Lavoro]],$I472&lt;&gt;SottocategorieUscite[[#Headers],[Casa]],$I472&lt;&gt;SottocategorieUscite[[#Headers],[Utenze]],$I472&lt;&gt;SottocategorieUscite[[#Headers],[Business Uscite]],$I472&lt;&gt;SottocategorieUscite[[#Headers],[Banca]]),"","$ -")</f>
        <v/>
      </c>
      <c r="N472" s="59" t="str">
        <f>IF(OR(Data!$I472=SottocategorieEntrate[[#Headers],[Business Entrate]],Data!$I472=SottocategorieEntrate[[#Headers],[Varie Entrate]]),"$ -","")</f>
        <v/>
      </c>
      <c r="O472" s="59" t="str">
        <f>IF(OR(Data!$I472=SottocategorieEntrate[[#Headers],[Real Estate]],SottocategorieEntrate[[#Headers],[Other]]),"$ -","")</f>
        <v/>
      </c>
      <c r="P472" s="59" t="str">
        <f>IF(OR($I472&lt;&gt;SottocategorieEntrate[[#Headers],[Business Entrate]],$I472&lt;&gt;SottocategorieEntrate[[#Headers],[Varie Entrate]],$I472&lt;&gt;SottocategorieEntrate[[#Headers],[Real Estate]],$I472&lt;&gt;SottocategorieEntrate[[#Headers],[Other]]),"","$ -")</f>
        <v/>
      </c>
      <c r="Q472" s="59" t="str">
        <f>IF(Dati[[#This Row],[Categoria]]="Prelievo","€ -","")</f>
        <v/>
      </c>
      <c r="R472" s="244"/>
      <c r="S472" s="59" t="str">
        <f>IF(Dati[[#This Row],[Categoria]]="Savings",0,"")</f>
        <v/>
      </c>
      <c r="T472" s="59"/>
      <c r="U472" s="59"/>
      <c r="V472" s="59"/>
      <c r="W472" s="59"/>
      <c r="X472" s="59"/>
      <c r="Y472" s="59"/>
      <c r="Z472" s="59"/>
      <c r="AA472" s="59"/>
      <c r="AB472" s="59"/>
      <c r="AC472" s="59"/>
      <c r="AD472" s="59"/>
      <c r="AE472" s="59"/>
      <c r="AF472" s="59"/>
      <c r="AG472" s="59"/>
      <c r="AH472" s="59"/>
      <c r="AI472" s="59" t="str">
        <f>IF(SUM(Dati[[#This Row],[Inv. Business]:[Inv. Cryptocurrency]])=0," ",SUM(Dati[[#This Row],[Inv. Business]:[Inv. Cryptocurrency]]))</f>
        <v xml:space="preserve"> </v>
      </c>
      <c r="AJ472" s="59"/>
      <c r="AK472" s="59" t="str">
        <f>IF(SUM(Dati[[#This Row],[Inv. Gold]:[Mutuo]])=0," ",SUM(Dati[[#This Row],[Inv. Gold]:[Mutuo]]))</f>
        <v xml:space="preserve"> </v>
      </c>
      <c r="AL472" s="59"/>
      <c r="AM472" s="59"/>
    </row>
    <row r="473" spans="2:39" x14ac:dyDescent="0.35">
      <c r="B473">
        <f t="shared" si="21"/>
        <v>453</v>
      </c>
      <c r="C473" s="49">
        <f t="shared" si="20"/>
        <v>45299</v>
      </c>
      <c r="D473" s="29">
        <f>DAY(Dati[[#This Row],[Data]])</f>
        <v>8</v>
      </c>
      <c r="E473" s="29" t="str">
        <f>IF(DAY(Data!$C$21:$C$1327)&gt;0,TEXT(Data!$C$21:$C$1327, "mmmm"),"")</f>
        <v>gennaio</v>
      </c>
      <c r="F473" s="29" t="str">
        <f>IF(DAY(Data!$C$21:$C$1327)&gt;0,TEXT(Data!$C$21:$C$1327, "aaaa"),"")</f>
        <v>2024</v>
      </c>
      <c r="I473" t="str">
        <f>IF(OR(H473=$B$5,H473=$B$6,H473=$B$7,H473=$B$8,H473=$B$9,H473=$B$10,H473=$B$11,H473=$B$12,H473=$B$13,H473=$B$14),SottocategorieUscite[[#Headers],[Fuori Casa]],IF(OR(H473=$C$5,H473=$C$6,H473=$C$7,H473=$C$8,H473=$C$9,H473=$C$10,H473=$C$11,H473=$C$12,H473=$C$13,H473=$C$14),SottocategorieUscite[[#Headers],[Varie Uscite]],IF(OR(H473=$D$5,H473=$D$6,H473=$D$7,H473=$D$8,H473=$D$9,H473=$D$10,H473=$D$11,H473=$D$12,H473=$D$13,H473=$D$14),SottocategorieUscite[[#Headers],[Personali]],IF(OR(H473=$E$5,H473=$E$6,H473=$E$7,H473=$E$8,H473=$E$9,H473=$E$10,H473=$E$11,H473=$E$12,H473=$E$13,H473=$E$14),SottocategorieUscite[[#Headers],[Lavoro]],IF(OR(H473=$F$5,H473=$F$6,H473=$F$7,H473=$F$8,H473=$F$9,H473=$F$10,H473=$F$11,H473=$F$12,H473=$F$13,H473=$F$14),SottocategorieUscite[[#Headers],[Casa]],IF(OR(H473=$G$5,H473=$G$6,H473=$G$7,H473=$G$8,H473=$G$9,H473=$G$10,H473=$G$11,H473=$G$12,H473=$G$13,H473=$G$14),SottocategorieUscite[[#Headers],[Utenze]],IF(OR(H473=$H$5,H473=$H$6,H473=$H$7,H473=$H$8,H473=$H$9,H473=$H$10,H473=$H$11,H473=$H$12,H473=$H$13,H473=$H$14),SottocategorieUscite[[#Headers],[Business Uscite]],IF(OR(H473=$I$5,H473=$I$6,H473=$I$7,H473=$I$8,H473=$I$9,H473=$I$10,H473=$I$11,H473=$I$12,H473=$I$13,H473=$I$14),SottocategorieUscite[[#Headers],[Banca]],IF(OR(H473=K$5,H473=K$6,H473=K$7,H473=K$8,H473=K$9,H473=K$10,H473=K$11,H473=K$12,H473=K$13,H473=K$14),SottocategorieEntrate[[#Headers],[Business Entrate]],IF(OR(H473=L$5,H473=L$6,H473=L$7,H473=L$8,H473=L$9,H473=L$10,H473=L$11,H473=L$12,H473=L$13,H473=L$14),SottocategorieEntrate[[#Headers],[Varie Entrate]],IF(OR(H473=M$5,H473=M$6,H473=M$7,H473=M$8,H473=M$9,H473=M$10,H473=M$11,H473=M$12,H473=M$13,H473=M$14),SottocategorieEntrate[[#Headers],[Real Estate]],IF(OR(H473=N$5,H473=N$6,H473=N$7,H473=N$8,H473=N$9,H473=N$10,H473=N$11,H473=N$12,H473=N$13,H473=N$14),SottocategorieEntrate[[#Headers],[Other]],""))))))))))))</f>
        <v/>
      </c>
      <c r="J473" t="str">
        <f>IF(OR(Dati[[#This Row],[Categoria]]="Bollette",Dati[[#This Row],[Categoria]]="Conto &amp; Carte BNL",Dati[[#This Row],[Categoria]]="Prelievo",Dati[[#This Row],[Categoria]]="Affitto",Dati[[#This Row],[Categoria]]="BNL(Interessi Creditori)"),"Carta",IF(Dati[[#This Row],[Categoria]]&lt;&gt;0,"Cash",""))</f>
        <v/>
      </c>
      <c r="K473" s="59" t="str">
        <f>IF(OR(Data!$I473=SottocategorieUscite[[#Headers],[Fuori Casa]],Data!$I473=SottocategorieUscite[[#Headers],[Varie Uscite]],Data!$I473=SottocategorieUscite[[#Headers],[Personali]],Data!$I473=SottocategorieUscite[[#Headers],[Lavoro]]),"$ -","")</f>
        <v/>
      </c>
      <c r="L473" s="59" t="str">
        <f>IF(OR(Data!$I473=SottocategorieUscite[[#Headers],[Casa]],Data!$I473=SottocategorieUscite[[#Headers],[Utenze]],Data!$I473=SottocategorieUscite[[#Headers],[Business Uscite]],Data!$I473=SottocategorieUscite[[#Headers],[Banca]]),"$ -","")</f>
        <v/>
      </c>
      <c r="M473" s="59" t="str">
        <f>IF(OR($I473&lt;&gt;SottocategorieUscite[[#Headers],[Fuori Casa]],$I473&lt;&gt;SottocategorieUscite[[#Headers],[Varie Uscite]],$I473&lt;&gt;SottocategorieUscite[[#Headers],[Personali]],$I473&lt;&gt;SottocategorieUscite[[#Headers],[Lavoro]],$I473&lt;&gt;SottocategorieUscite[[#Headers],[Casa]],$I473&lt;&gt;SottocategorieUscite[[#Headers],[Utenze]],$I473&lt;&gt;SottocategorieUscite[[#Headers],[Business Uscite]],$I473&lt;&gt;SottocategorieUscite[[#Headers],[Banca]]),"","$ -")</f>
        <v/>
      </c>
      <c r="N473" s="59" t="str">
        <f>IF(OR(Data!$I473=SottocategorieEntrate[[#Headers],[Business Entrate]],Data!$I473=SottocategorieEntrate[[#Headers],[Varie Entrate]]),"$ -","")</f>
        <v/>
      </c>
      <c r="O473" s="59" t="str">
        <f>IF(OR(Data!$I473=SottocategorieEntrate[[#Headers],[Real Estate]],SottocategorieEntrate[[#Headers],[Other]]),"$ -","")</f>
        <v/>
      </c>
      <c r="P473" s="59" t="str">
        <f>IF(OR($I473&lt;&gt;SottocategorieEntrate[[#Headers],[Business Entrate]],$I473&lt;&gt;SottocategorieEntrate[[#Headers],[Varie Entrate]],$I473&lt;&gt;SottocategorieEntrate[[#Headers],[Real Estate]],$I473&lt;&gt;SottocategorieEntrate[[#Headers],[Other]]),"","$ -")</f>
        <v/>
      </c>
      <c r="Q473" s="59" t="str">
        <f>IF(Dati[[#This Row],[Categoria]]="Prelievo","€ -","")</f>
        <v/>
      </c>
      <c r="R473" s="244"/>
      <c r="S473" s="59" t="str">
        <f>IF(Dati[[#This Row],[Categoria]]="Savings",0,"")</f>
        <v/>
      </c>
      <c r="T473" s="59"/>
      <c r="U473" s="59"/>
      <c r="V473" s="59"/>
      <c r="W473" s="59"/>
      <c r="X473" s="59"/>
      <c r="Y473" s="59"/>
      <c r="Z473" s="59"/>
      <c r="AA473" s="59"/>
      <c r="AB473" s="59"/>
      <c r="AC473" s="59"/>
      <c r="AD473" s="59"/>
      <c r="AE473" s="59"/>
      <c r="AF473" s="59"/>
      <c r="AG473" s="59"/>
      <c r="AH473" s="59"/>
      <c r="AI473" s="59" t="str">
        <f>IF(SUM(Dati[[#This Row],[Inv. Business]:[Inv. Cryptocurrency]])=0," ",SUM(Dati[[#This Row],[Inv. Business]:[Inv. Cryptocurrency]]))</f>
        <v xml:space="preserve"> </v>
      </c>
      <c r="AJ473" s="59"/>
      <c r="AK473" s="59" t="str">
        <f>IF(SUM(Dati[[#This Row],[Inv. Gold]:[Mutuo]])=0," ",SUM(Dati[[#This Row],[Inv. Gold]:[Mutuo]]))</f>
        <v xml:space="preserve"> </v>
      </c>
      <c r="AL473" s="59"/>
      <c r="AM473" s="59"/>
    </row>
    <row r="474" spans="2:39" x14ac:dyDescent="0.35">
      <c r="B474">
        <f t="shared" si="21"/>
        <v>454</v>
      </c>
      <c r="C474" s="49">
        <f t="shared" si="20"/>
        <v>45300</v>
      </c>
      <c r="D474" s="29">
        <f>DAY(Dati[[#This Row],[Data]])</f>
        <v>9</v>
      </c>
      <c r="E474" s="29" t="str">
        <f>IF(DAY(Data!$C$21:$C$1327)&gt;0,TEXT(Data!$C$21:$C$1327, "mmmm"),"")</f>
        <v>gennaio</v>
      </c>
      <c r="F474" s="29" t="str">
        <f>IF(DAY(Data!$C$21:$C$1327)&gt;0,TEXT(Data!$C$21:$C$1327, "aaaa"),"")</f>
        <v>2024</v>
      </c>
      <c r="I474" t="str">
        <f>IF(OR(H474=$B$5,H474=$B$6,H474=$B$7,H474=$B$8,H474=$B$9,H474=$B$10,H474=$B$11,H474=$B$12,H474=$B$13,H474=$B$14),SottocategorieUscite[[#Headers],[Fuori Casa]],IF(OR(H474=$C$5,H474=$C$6,H474=$C$7,H474=$C$8,H474=$C$9,H474=$C$10,H474=$C$11,H474=$C$12,H474=$C$13,H474=$C$14),SottocategorieUscite[[#Headers],[Varie Uscite]],IF(OR(H474=$D$5,H474=$D$6,H474=$D$7,H474=$D$8,H474=$D$9,H474=$D$10,H474=$D$11,H474=$D$12,H474=$D$13,H474=$D$14),SottocategorieUscite[[#Headers],[Personali]],IF(OR(H474=$E$5,H474=$E$6,H474=$E$7,H474=$E$8,H474=$E$9,H474=$E$10,H474=$E$11,H474=$E$12,H474=$E$13,H474=$E$14),SottocategorieUscite[[#Headers],[Lavoro]],IF(OR(H474=$F$5,H474=$F$6,H474=$F$7,H474=$F$8,H474=$F$9,H474=$F$10,H474=$F$11,H474=$F$12,H474=$F$13,H474=$F$14),SottocategorieUscite[[#Headers],[Casa]],IF(OR(H474=$G$5,H474=$G$6,H474=$G$7,H474=$G$8,H474=$G$9,H474=$G$10,H474=$G$11,H474=$G$12,H474=$G$13,H474=$G$14),SottocategorieUscite[[#Headers],[Utenze]],IF(OR(H474=$H$5,H474=$H$6,H474=$H$7,H474=$H$8,H474=$H$9,H474=$H$10,H474=$H$11,H474=$H$12,H474=$H$13,H474=$H$14),SottocategorieUscite[[#Headers],[Business Uscite]],IF(OR(H474=$I$5,H474=$I$6,H474=$I$7,H474=$I$8,H474=$I$9,H474=$I$10,H474=$I$11,H474=$I$12,H474=$I$13,H474=$I$14),SottocategorieUscite[[#Headers],[Banca]],IF(OR(H474=K$5,H474=K$6,H474=K$7,H474=K$8,H474=K$9,H474=K$10,H474=K$11,H474=K$12,H474=K$13,H474=K$14),SottocategorieEntrate[[#Headers],[Business Entrate]],IF(OR(H474=L$5,H474=L$6,H474=L$7,H474=L$8,H474=L$9,H474=L$10,H474=L$11,H474=L$12,H474=L$13,H474=L$14),SottocategorieEntrate[[#Headers],[Varie Entrate]],IF(OR(H474=M$5,H474=M$6,H474=M$7,H474=M$8,H474=M$9,H474=M$10,H474=M$11,H474=M$12,H474=M$13,H474=M$14),SottocategorieEntrate[[#Headers],[Real Estate]],IF(OR(H474=N$5,H474=N$6,H474=N$7,H474=N$8,H474=N$9,H474=N$10,H474=N$11,H474=N$12,H474=N$13,H474=N$14),SottocategorieEntrate[[#Headers],[Other]],""))))))))))))</f>
        <v/>
      </c>
      <c r="J474" t="str">
        <f>IF(OR(Dati[[#This Row],[Categoria]]="Bollette",Dati[[#This Row],[Categoria]]="Conto &amp; Carte BNL",Dati[[#This Row],[Categoria]]="Prelievo",Dati[[#This Row],[Categoria]]="Affitto",Dati[[#This Row],[Categoria]]="BNL(Interessi Creditori)"),"Carta",IF(Dati[[#This Row],[Categoria]]&lt;&gt;0,"Cash",""))</f>
        <v/>
      </c>
      <c r="K474" s="59" t="str">
        <f>IF(OR(Data!$I474=SottocategorieUscite[[#Headers],[Fuori Casa]],Data!$I474=SottocategorieUscite[[#Headers],[Varie Uscite]],Data!$I474=SottocategorieUscite[[#Headers],[Personali]],Data!$I474=SottocategorieUscite[[#Headers],[Lavoro]]),"$ -","")</f>
        <v/>
      </c>
      <c r="L474" s="59" t="str">
        <f>IF(OR(Data!$I474=SottocategorieUscite[[#Headers],[Casa]],Data!$I474=SottocategorieUscite[[#Headers],[Utenze]],Data!$I474=SottocategorieUscite[[#Headers],[Business Uscite]],Data!$I474=SottocategorieUscite[[#Headers],[Banca]]),"$ -","")</f>
        <v/>
      </c>
      <c r="M474" s="59" t="str">
        <f>IF(OR($I474&lt;&gt;SottocategorieUscite[[#Headers],[Fuori Casa]],$I474&lt;&gt;SottocategorieUscite[[#Headers],[Varie Uscite]],$I474&lt;&gt;SottocategorieUscite[[#Headers],[Personali]],$I474&lt;&gt;SottocategorieUscite[[#Headers],[Lavoro]],$I474&lt;&gt;SottocategorieUscite[[#Headers],[Casa]],$I474&lt;&gt;SottocategorieUscite[[#Headers],[Utenze]],$I474&lt;&gt;SottocategorieUscite[[#Headers],[Business Uscite]],$I474&lt;&gt;SottocategorieUscite[[#Headers],[Banca]]),"","$ -")</f>
        <v/>
      </c>
      <c r="N474" s="59" t="str">
        <f>IF(OR(Data!$I474=SottocategorieEntrate[[#Headers],[Business Entrate]],Data!$I474=SottocategorieEntrate[[#Headers],[Varie Entrate]]),"$ -","")</f>
        <v/>
      </c>
      <c r="O474" s="59" t="str">
        <f>IF(OR(Data!$I474=SottocategorieEntrate[[#Headers],[Real Estate]],SottocategorieEntrate[[#Headers],[Other]]),"$ -","")</f>
        <v/>
      </c>
      <c r="P474" s="59" t="str">
        <f>IF(OR($I474&lt;&gt;SottocategorieEntrate[[#Headers],[Business Entrate]],$I474&lt;&gt;SottocategorieEntrate[[#Headers],[Varie Entrate]],$I474&lt;&gt;SottocategorieEntrate[[#Headers],[Real Estate]],$I474&lt;&gt;SottocategorieEntrate[[#Headers],[Other]]),"","$ -")</f>
        <v/>
      </c>
      <c r="Q474" s="59" t="str">
        <f>IF(Dati[[#This Row],[Categoria]]="Prelievo","€ -","")</f>
        <v/>
      </c>
      <c r="R474" s="244"/>
      <c r="S474" s="59" t="str">
        <f>IF(Dati[[#This Row],[Categoria]]="Savings",0,"")</f>
        <v/>
      </c>
      <c r="T474" s="59"/>
      <c r="U474" s="59"/>
      <c r="V474" s="59"/>
      <c r="W474" s="59"/>
      <c r="X474" s="59"/>
      <c r="Y474" s="59"/>
      <c r="Z474" s="59"/>
      <c r="AA474" s="59"/>
      <c r="AB474" s="59"/>
      <c r="AC474" s="59"/>
      <c r="AD474" s="59"/>
      <c r="AE474" s="59"/>
      <c r="AF474" s="59"/>
      <c r="AG474" s="59"/>
      <c r="AH474" s="59"/>
      <c r="AI474" s="59" t="str">
        <f>IF(SUM(Dati[[#This Row],[Inv. Business]:[Inv. Cryptocurrency]])=0," ",SUM(Dati[[#This Row],[Inv. Business]:[Inv. Cryptocurrency]]))</f>
        <v xml:space="preserve"> </v>
      </c>
      <c r="AJ474" s="59"/>
      <c r="AK474" s="59" t="str">
        <f>IF(SUM(Dati[[#This Row],[Inv. Gold]:[Mutuo]])=0," ",SUM(Dati[[#This Row],[Inv. Gold]:[Mutuo]]))</f>
        <v xml:space="preserve"> </v>
      </c>
      <c r="AL474" s="59"/>
      <c r="AM474" s="59"/>
    </row>
    <row r="475" spans="2:39" x14ac:dyDescent="0.35">
      <c r="B475">
        <f t="shared" si="21"/>
        <v>455</v>
      </c>
      <c r="C475" s="49">
        <f>C473+1</f>
        <v>45300</v>
      </c>
      <c r="D475" s="29">
        <f>DAY(Dati[[#This Row],[Data]])</f>
        <v>9</v>
      </c>
      <c r="E475" s="29" t="str">
        <f>IF(DAY(Data!$C$21:$C$1327)&gt;0,TEXT(Data!$C$21:$C$1327, "mmmm"),"")</f>
        <v>gennaio</v>
      </c>
      <c r="F475" s="29" t="str">
        <f>IF(DAY(Data!$C$21:$C$1327)&gt;0,TEXT(Data!$C$21:$C$1327, "aaaa"),"")</f>
        <v>2024</v>
      </c>
      <c r="I475" t="str">
        <f>IF(OR(H475=$B$5,H475=$B$6,H475=$B$7,H475=$B$8,H475=$B$9,H475=$B$10,H475=$B$11,H475=$B$12,H475=$B$13,H475=$B$14),SottocategorieUscite[[#Headers],[Fuori Casa]],IF(OR(H475=$C$5,H475=$C$6,H475=$C$7,H475=$C$8,H475=$C$9,H475=$C$10,H475=$C$11,H475=$C$12,H475=$C$13,H475=$C$14),SottocategorieUscite[[#Headers],[Varie Uscite]],IF(OR(H475=$D$5,H475=$D$6,H475=$D$7,H475=$D$8,H475=$D$9,H475=$D$10,H475=$D$11,H475=$D$12,H475=$D$13,H475=$D$14),SottocategorieUscite[[#Headers],[Personali]],IF(OR(H475=$E$5,H475=$E$6,H475=$E$7,H475=$E$8,H475=$E$9,H475=$E$10,H475=$E$11,H475=$E$12,H475=$E$13,H475=$E$14),SottocategorieUscite[[#Headers],[Lavoro]],IF(OR(H475=$F$5,H475=$F$6,H475=$F$7,H475=$F$8,H475=$F$9,H475=$F$10,H475=$F$11,H475=$F$12,H475=$F$13,H475=$F$14),SottocategorieUscite[[#Headers],[Casa]],IF(OR(H475=$G$5,H475=$G$6,H475=$G$7,H475=$G$8,H475=$G$9,H475=$G$10,H475=$G$11,H475=$G$12,H475=$G$13,H475=$G$14),SottocategorieUscite[[#Headers],[Utenze]],IF(OR(H475=$H$5,H475=$H$6,H475=$H$7,H475=$H$8,H475=$H$9,H475=$H$10,H475=$H$11,H475=$H$12,H475=$H$13,H475=$H$14),SottocategorieUscite[[#Headers],[Business Uscite]],IF(OR(H475=$I$5,H475=$I$6,H475=$I$7,H475=$I$8,H475=$I$9,H475=$I$10,H475=$I$11,H475=$I$12,H475=$I$13,H475=$I$14),SottocategorieUscite[[#Headers],[Banca]],IF(OR(H475=K$5,H475=K$6,H475=K$7,H475=K$8,H475=K$9,H475=K$10,H475=K$11,H475=K$12,H475=K$13,H475=K$14),SottocategorieEntrate[[#Headers],[Business Entrate]],IF(OR(H475=L$5,H475=L$6,H475=L$7,H475=L$8,H475=L$9,H475=L$10,H475=L$11,H475=L$12,H475=L$13,H475=L$14),SottocategorieEntrate[[#Headers],[Varie Entrate]],IF(OR(H475=M$5,H475=M$6,H475=M$7,H475=M$8,H475=M$9,H475=M$10,H475=M$11,H475=M$12,H475=M$13,H475=M$14),SottocategorieEntrate[[#Headers],[Real Estate]],IF(OR(H475=N$5,H475=N$6,H475=N$7,H475=N$8,H475=N$9,H475=N$10,H475=N$11,H475=N$12,H475=N$13,H475=N$14),SottocategorieEntrate[[#Headers],[Other]],""))))))))))))</f>
        <v/>
      </c>
      <c r="J475" t="str">
        <f>IF(OR(Dati[[#This Row],[Categoria]]="Bollette",Dati[[#This Row],[Categoria]]="Conto &amp; Carte BNL",Dati[[#This Row],[Categoria]]="Prelievo",Dati[[#This Row],[Categoria]]="Affitto",Dati[[#This Row],[Categoria]]="BNL(Interessi Creditori)"),"Carta",IF(Dati[[#This Row],[Categoria]]&lt;&gt;0,"Cash",""))</f>
        <v/>
      </c>
      <c r="K475" s="59" t="str">
        <f>IF(OR(Data!$I475=SottocategorieUscite[[#Headers],[Fuori Casa]],Data!$I475=SottocategorieUscite[[#Headers],[Varie Uscite]],Data!$I475=SottocategorieUscite[[#Headers],[Personali]],Data!$I475=SottocategorieUscite[[#Headers],[Lavoro]]),"$ -","")</f>
        <v/>
      </c>
      <c r="L475" s="59" t="str">
        <f>IF(OR(Data!$I475=SottocategorieUscite[[#Headers],[Casa]],Data!$I475=SottocategorieUscite[[#Headers],[Utenze]],Data!$I475=SottocategorieUscite[[#Headers],[Business Uscite]],Data!$I475=SottocategorieUscite[[#Headers],[Banca]]),"$ -","")</f>
        <v/>
      </c>
      <c r="M475" s="59" t="str">
        <f>IF(OR($I475&lt;&gt;SottocategorieUscite[[#Headers],[Fuori Casa]],$I475&lt;&gt;SottocategorieUscite[[#Headers],[Varie Uscite]],$I475&lt;&gt;SottocategorieUscite[[#Headers],[Personali]],$I475&lt;&gt;SottocategorieUscite[[#Headers],[Lavoro]],$I475&lt;&gt;SottocategorieUscite[[#Headers],[Casa]],$I475&lt;&gt;SottocategorieUscite[[#Headers],[Utenze]],$I475&lt;&gt;SottocategorieUscite[[#Headers],[Business Uscite]],$I475&lt;&gt;SottocategorieUscite[[#Headers],[Banca]]),"","$ -")</f>
        <v/>
      </c>
      <c r="N475" s="59" t="str">
        <f>IF(OR(Data!$I475=SottocategorieEntrate[[#Headers],[Business Entrate]],Data!$I475=SottocategorieEntrate[[#Headers],[Varie Entrate]]),"$ -","")</f>
        <v/>
      </c>
      <c r="O475" s="59" t="str">
        <f>IF(OR(Data!$I475=SottocategorieEntrate[[#Headers],[Real Estate]],SottocategorieEntrate[[#Headers],[Other]]),"$ -","")</f>
        <v/>
      </c>
      <c r="P475" s="59" t="str">
        <f>IF(OR($I475&lt;&gt;SottocategorieEntrate[[#Headers],[Business Entrate]],$I475&lt;&gt;SottocategorieEntrate[[#Headers],[Varie Entrate]],$I475&lt;&gt;SottocategorieEntrate[[#Headers],[Real Estate]],$I475&lt;&gt;SottocategorieEntrate[[#Headers],[Other]]),"","$ -")</f>
        <v/>
      </c>
      <c r="Q475" s="59" t="str">
        <f>IF(Dati[[#This Row],[Categoria]]="Prelievo","€ -","")</f>
        <v/>
      </c>
      <c r="R475" s="244"/>
      <c r="S475" s="59" t="str">
        <f>IF(Dati[[#This Row],[Categoria]]="Savings",0,"")</f>
        <v/>
      </c>
      <c r="T475" s="59"/>
      <c r="U475" s="59"/>
      <c r="V475" s="59"/>
      <c r="W475" s="59"/>
      <c r="X475" s="59"/>
      <c r="Y475" s="59"/>
      <c r="Z475" s="59"/>
      <c r="AA475" s="59"/>
      <c r="AB475" s="59"/>
      <c r="AC475" s="59"/>
      <c r="AD475" s="59"/>
      <c r="AE475" s="59"/>
      <c r="AF475" s="59"/>
      <c r="AG475" s="59"/>
      <c r="AH475" s="59"/>
      <c r="AI475" s="59" t="str">
        <f>IF(SUM(Dati[[#This Row],[Inv. Business]:[Inv. Cryptocurrency]])=0," ",SUM(Dati[[#This Row],[Inv. Business]:[Inv. Cryptocurrency]]))</f>
        <v xml:space="preserve"> </v>
      </c>
      <c r="AJ475" s="59"/>
      <c r="AK475" s="59" t="str">
        <f>IF(SUM(Dati[[#This Row],[Inv. Gold]:[Mutuo]])=0," ",SUM(Dati[[#This Row],[Inv. Gold]:[Mutuo]]))</f>
        <v xml:space="preserve"> </v>
      </c>
      <c r="AL475" s="59"/>
      <c r="AM475" s="59"/>
    </row>
    <row r="476" spans="2:39" x14ac:dyDescent="0.35">
      <c r="B476">
        <f t="shared" si="21"/>
        <v>456</v>
      </c>
      <c r="C476" s="49">
        <f>C473+1</f>
        <v>45300</v>
      </c>
      <c r="D476" s="29">
        <f>DAY(Dati[[#This Row],[Data]])</f>
        <v>9</v>
      </c>
      <c r="E476" s="29" t="str">
        <f>IF(DAY(Data!$C$21:$C$1327)&gt;0,TEXT(Data!$C$21:$C$1327, "mmmm"),"")</f>
        <v>gennaio</v>
      </c>
      <c r="F476" s="29" t="str">
        <f>IF(DAY(Data!$C$21:$C$1327)&gt;0,TEXT(Data!$C$21:$C$1327, "aaaa"),"")</f>
        <v>2024</v>
      </c>
      <c r="I476" t="str">
        <f>IF(OR(H476=$B$5,H476=$B$6,H476=$B$7,H476=$B$8,H476=$B$9,H476=$B$10,H476=$B$11,H476=$B$12,H476=$B$13,H476=$B$14),SottocategorieUscite[[#Headers],[Fuori Casa]],IF(OR(H476=$C$5,H476=$C$6,H476=$C$7,H476=$C$8,H476=$C$9,H476=$C$10,H476=$C$11,H476=$C$12,H476=$C$13,H476=$C$14),SottocategorieUscite[[#Headers],[Varie Uscite]],IF(OR(H476=$D$5,H476=$D$6,H476=$D$7,H476=$D$8,H476=$D$9,H476=$D$10,H476=$D$11,H476=$D$12,H476=$D$13,H476=$D$14),SottocategorieUscite[[#Headers],[Personali]],IF(OR(H476=$E$5,H476=$E$6,H476=$E$7,H476=$E$8,H476=$E$9,H476=$E$10,H476=$E$11,H476=$E$12,H476=$E$13,H476=$E$14),SottocategorieUscite[[#Headers],[Lavoro]],IF(OR(H476=$F$5,H476=$F$6,H476=$F$7,H476=$F$8,H476=$F$9,H476=$F$10,H476=$F$11,H476=$F$12,H476=$F$13,H476=$F$14),SottocategorieUscite[[#Headers],[Casa]],IF(OR(H476=$G$5,H476=$G$6,H476=$G$7,H476=$G$8,H476=$G$9,H476=$G$10,H476=$G$11,H476=$G$12,H476=$G$13,H476=$G$14),SottocategorieUscite[[#Headers],[Utenze]],IF(OR(H476=$H$5,H476=$H$6,H476=$H$7,H476=$H$8,H476=$H$9,H476=$H$10,H476=$H$11,H476=$H$12,H476=$H$13,H476=$H$14),SottocategorieUscite[[#Headers],[Business Uscite]],IF(OR(H476=$I$5,H476=$I$6,H476=$I$7,H476=$I$8,H476=$I$9,H476=$I$10,H476=$I$11,H476=$I$12,H476=$I$13,H476=$I$14),SottocategorieUscite[[#Headers],[Banca]],IF(OR(H476=K$5,H476=K$6,H476=K$7,H476=K$8,H476=K$9,H476=K$10,H476=K$11,H476=K$12,H476=K$13,H476=K$14),SottocategorieEntrate[[#Headers],[Business Entrate]],IF(OR(H476=L$5,H476=L$6,H476=L$7,H476=L$8,H476=L$9,H476=L$10,H476=L$11,H476=L$12,H476=L$13,H476=L$14),SottocategorieEntrate[[#Headers],[Varie Entrate]],IF(OR(H476=M$5,H476=M$6,H476=M$7,H476=M$8,H476=M$9,H476=M$10,H476=M$11,H476=M$12,H476=M$13,H476=M$14),SottocategorieEntrate[[#Headers],[Real Estate]],IF(OR(H476=N$5,H476=N$6,H476=N$7,H476=N$8,H476=N$9,H476=N$10,H476=N$11,H476=N$12,H476=N$13,H476=N$14),SottocategorieEntrate[[#Headers],[Other]],""))))))))))))</f>
        <v/>
      </c>
      <c r="J476" t="str">
        <f>IF(OR(Dati[[#This Row],[Categoria]]="Bollette",Dati[[#This Row],[Categoria]]="Conto &amp; Carte BNL",Dati[[#This Row],[Categoria]]="Prelievo",Dati[[#This Row],[Categoria]]="Affitto",Dati[[#This Row],[Categoria]]="BNL(Interessi Creditori)"),"Carta",IF(Dati[[#This Row],[Categoria]]&lt;&gt;0,"Cash",""))</f>
        <v/>
      </c>
      <c r="K476" s="59" t="str">
        <f>IF(OR(Data!$I476=SottocategorieUscite[[#Headers],[Fuori Casa]],Data!$I476=SottocategorieUscite[[#Headers],[Varie Uscite]],Data!$I476=SottocategorieUscite[[#Headers],[Personali]],Data!$I476=SottocategorieUscite[[#Headers],[Lavoro]]),"$ -","")</f>
        <v/>
      </c>
      <c r="L476" s="59" t="str">
        <f>IF(OR(Data!$I476=SottocategorieUscite[[#Headers],[Casa]],Data!$I476=SottocategorieUscite[[#Headers],[Utenze]],Data!$I476=SottocategorieUscite[[#Headers],[Business Uscite]],Data!$I476=SottocategorieUscite[[#Headers],[Banca]]),"$ -","")</f>
        <v/>
      </c>
      <c r="M476" s="59" t="str">
        <f>IF(OR($I476&lt;&gt;SottocategorieUscite[[#Headers],[Fuori Casa]],$I476&lt;&gt;SottocategorieUscite[[#Headers],[Varie Uscite]],$I476&lt;&gt;SottocategorieUscite[[#Headers],[Personali]],$I476&lt;&gt;SottocategorieUscite[[#Headers],[Lavoro]],$I476&lt;&gt;SottocategorieUscite[[#Headers],[Casa]],$I476&lt;&gt;SottocategorieUscite[[#Headers],[Utenze]],$I476&lt;&gt;SottocategorieUscite[[#Headers],[Business Uscite]],$I476&lt;&gt;SottocategorieUscite[[#Headers],[Banca]]),"","$ -")</f>
        <v/>
      </c>
      <c r="N476" s="59" t="str">
        <f>IF(OR(Data!$I476=SottocategorieEntrate[[#Headers],[Business Entrate]],Data!$I476=SottocategorieEntrate[[#Headers],[Varie Entrate]]),"$ -","")</f>
        <v/>
      </c>
      <c r="O476" s="59" t="str">
        <f>IF(OR(Data!$I476=SottocategorieEntrate[[#Headers],[Real Estate]],SottocategorieEntrate[[#Headers],[Other]]),"$ -","")</f>
        <v/>
      </c>
      <c r="P476" s="59" t="str">
        <f>IF(OR($I476&lt;&gt;SottocategorieEntrate[[#Headers],[Business Entrate]],$I476&lt;&gt;SottocategorieEntrate[[#Headers],[Varie Entrate]],$I476&lt;&gt;SottocategorieEntrate[[#Headers],[Real Estate]],$I476&lt;&gt;SottocategorieEntrate[[#Headers],[Other]]),"","$ -")</f>
        <v/>
      </c>
      <c r="Q476" s="59" t="str">
        <f>IF(Dati[[#This Row],[Categoria]]="Prelievo","€ -","")</f>
        <v/>
      </c>
      <c r="R476" s="244"/>
      <c r="S476" s="59" t="str">
        <f>IF(Dati[[#This Row],[Categoria]]="Savings",0,"")</f>
        <v/>
      </c>
      <c r="T476" s="59"/>
      <c r="U476" s="59"/>
      <c r="V476" s="59"/>
      <c r="W476" s="59"/>
      <c r="X476" s="59"/>
      <c r="Y476" s="59"/>
      <c r="Z476" s="59"/>
      <c r="AA476" s="59"/>
      <c r="AB476" s="59"/>
      <c r="AC476" s="59"/>
      <c r="AD476" s="59"/>
      <c r="AE476" s="59"/>
      <c r="AF476" s="59"/>
      <c r="AG476" s="59"/>
      <c r="AH476" s="59"/>
      <c r="AI476" s="59" t="str">
        <f>IF(SUM(Dati[[#This Row],[Inv. Business]:[Inv. Cryptocurrency]])=0," ",SUM(Dati[[#This Row],[Inv. Business]:[Inv. Cryptocurrency]]))</f>
        <v xml:space="preserve"> </v>
      </c>
      <c r="AJ476" s="59"/>
      <c r="AK476" s="59" t="str">
        <f>IF(SUM(Dati[[#This Row],[Inv. Gold]:[Mutuo]])=0," ",SUM(Dati[[#This Row],[Inv. Gold]:[Mutuo]]))</f>
        <v xml:space="preserve"> </v>
      </c>
      <c r="AL476" s="59"/>
      <c r="AM476" s="59"/>
    </row>
    <row r="477" spans="2:39" x14ac:dyDescent="0.35">
      <c r="B477">
        <f t="shared" si="21"/>
        <v>457</v>
      </c>
      <c r="C477" s="49">
        <f>C473+1</f>
        <v>45300</v>
      </c>
      <c r="D477" s="29">
        <f>DAY(Dati[[#This Row],[Data]])</f>
        <v>9</v>
      </c>
      <c r="E477" s="29" t="str">
        <f>IF(DAY(Data!$C$21:$C$1327)&gt;0,TEXT(Data!$C$21:$C$1327, "mmmm"),"")</f>
        <v>gennaio</v>
      </c>
      <c r="F477" s="29" t="str">
        <f>IF(DAY(Data!$C$21:$C$1327)&gt;0,TEXT(Data!$C$21:$C$1327, "aaaa"),"")</f>
        <v>2024</v>
      </c>
      <c r="I477" t="str">
        <f>IF(OR(H477=$B$5,H477=$B$6,H477=$B$7,H477=$B$8,H477=$B$9,H477=$B$10,H477=$B$11,H477=$B$12,H477=$B$13,H477=$B$14),SottocategorieUscite[[#Headers],[Fuori Casa]],IF(OR(H477=$C$5,H477=$C$6,H477=$C$7,H477=$C$8,H477=$C$9,H477=$C$10,H477=$C$11,H477=$C$12,H477=$C$13,H477=$C$14),SottocategorieUscite[[#Headers],[Varie Uscite]],IF(OR(H477=$D$5,H477=$D$6,H477=$D$7,H477=$D$8,H477=$D$9,H477=$D$10,H477=$D$11,H477=$D$12,H477=$D$13,H477=$D$14),SottocategorieUscite[[#Headers],[Personali]],IF(OR(H477=$E$5,H477=$E$6,H477=$E$7,H477=$E$8,H477=$E$9,H477=$E$10,H477=$E$11,H477=$E$12,H477=$E$13,H477=$E$14),SottocategorieUscite[[#Headers],[Lavoro]],IF(OR(H477=$F$5,H477=$F$6,H477=$F$7,H477=$F$8,H477=$F$9,H477=$F$10,H477=$F$11,H477=$F$12,H477=$F$13,H477=$F$14),SottocategorieUscite[[#Headers],[Casa]],IF(OR(H477=$G$5,H477=$G$6,H477=$G$7,H477=$G$8,H477=$G$9,H477=$G$10,H477=$G$11,H477=$G$12,H477=$G$13,H477=$G$14),SottocategorieUscite[[#Headers],[Utenze]],IF(OR(H477=$H$5,H477=$H$6,H477=$H$7,H477=$H$8,H477=$H$9,H477=$H$10,H477=$H$11,H477=$H$12,H477=$H$13,H477=$H$14),SottocategorieUscite[[#Headers],[Business Uscite]],IF(OR(H477=$I$5,H477=$I$6,H477=$I$7,H477=$I$8,H477=$I$9,H477=$I$10,H477=$I$11,H477=$I$12,H477=$I$13,H477=$I$14),SottocategorieUscite[[#Headers],[Banca]],IF(OR(H477=K$5,H477=K$6,H477=K$7,H477=K$8,H477=K$9,H477=K$10,H477=K$11,H477=K$12,H477=K$13,H477=K$14),SottocategorieEntrate[[#Headers],[Business Entrate]],IF(OR(H477=L$5,H477=L$6,H477=L$7,H477=L$8,H477=L$9,H477=L$10,H477=L$11,H477=L$12,H477=L$13,H477=L$14),SottocategorieEntrate[[#Headers],[Varie Entrate]],IF(OR(H477=M$5,H477=M$6,H477=M$7,H477=M$8,H477=M$9,H477=M$10,H477=M$11,H477=M$12,H477=M$13,H477=M$14),SottocategorieEntrate[[#Headers],[Real Estate]],IF(OR(H477=N$5,H477=N$6,H477=N$7,H477=N$8,H477=N$9,H477=N$10,H477=N$11,H477=N$12,H477=N$13,H477=N$14),SottocategorieEntrate[[#Headers],[Other]],""))))))))))))</f>
        <v/>
      </c>
      <c r="J477" t="str">
        <f>IF(OR(Dati[[#This Row],[Categoria]]="Bollette",Dati[[#This Row],[Categoria]]="Conto &amp; Carte BNL",Dati[[#This Row],[Categoria]]="Prelievo",Dati[[#This Row],[Categoria]]="Affitto",Dati[[#This Row],[Categoria]]="BNL(Interessi Creditori)"),"Carta",IF(Dati[[#This Row],[Categoria]]&lt;&gt;0,"Cash",""))</f>
        <v/>
      </c>
      <c r="K477" s="59" t="str">
        <f>IF(OR(Data!$I477=SottocategorieUscite[[#Headers],[Fuori Casa]],Data!$I477=SottocategorieUscite[[#Headers],[Varie Uscite]],Data!$I477=SottocategorieUscite[[#Headers],[Personali]],Data!$I477=SottocategorieUscite[[#Headers],[Lavoro]]),"$ -","")</f>
        <v/>
      </c>
      <c r="L477" s="59" t="str">
        <f>IF(OR(Data!$I477=SottocategorieUscite[[#Headers],[Casa]],Data!$I477=SottocategorieUscite[[#Headers],[Utenze]],Data!$I477=SottocategorieUscite[[#Headers],[Business Uscite]],Data!$I477=SottocategorieUscite[[#Headers],[Banca]]),"$ -","")</f>
        <v/>
      </c>
      <c r="M477" s="59" t="str">
        <f>IF(OR($I477&lt;&gt;SottocategorieUscite[[#Headers],[Fuori Casa]],$I477&lt;&gt;SottocategorieUscite[[#Headers],[Varie Uscite]],$I477&lt;&gt;SottocategorieUscite[[#Headers],[Personali]],$I477&lt;&gt;SottocategorieUscite[[#Headers],[Lavoro]],$I477&lt;&gt;SottocategorieUscite[[#Headers],[Casa]],$I477&lt;&gt;SottocategorieUscite[[#Headers],[Utenze]],$I477&lt;&gt;SottocategorieUscite[[#Headers],[Business Uscite]],$I477&lt;&gt;SottocategorieUscite[[#Headers],[Banca]]),"","$ -")</f>
        <v/>
      </c>
      <c r="N477" s="59" t="str">
        <f>IF(OR(Data!$I477=SottocategorieEntrate[[#Headers],[Business Entrate]],Data!$I477=SottocategorieEntrate[[#Headers],[Varie Entrate]]),"$ -","")</f>
        <v/>
      </c>
      <c r="O477" s="59" t="str">
        <f>IF(OR(Data!$I477=SottocategorieEntrate[[#Headers],[Real Estate]],SottocategorieEntrate[[#Headers],[Other]]),"$ -","")</f>
        <v/>
      </c>
      <c r="P477" s="59" t="str">
        <f>IF(OR($I477&lt;&gt;SottocategorieEntrate[[#Headers],[Business Entrate]],$I477&lt;&gt;SottocategorieEntrate[[#Headers],[Varie Entrate]],$I477&lt;&gt;SottocategorieEntrate[[#Headers],[Real Estate]],$I477&lt;&gt;SottocategorieEntrate[[#Headers],[Other]]),"","$ -")</f>
        <v/>
      </c>
      <c r="Q477" s="59" t="str">
        <f>IF(Dati[[#This Row],[Categoria]]="Prelievo","€ -","")</f>
        <v/>
      </c>
      <c r="R477" s="244"/>
      <c r="S477" s="59" t="str">
        <f>IF(Dati[[#This Row],[Categoria]]="Savings",0,"")</f>
        <v/>
      </c>
      <c r="T477" s="59"/>
      <c r="U477" s="59"/>
      <c r="V477" s="59"/>
      <c r="W477" s="59"/>
      <c r="X477" s="59"/>
      <c r="Y477" s="59"/>
      <c r="Z477" s="59"/>
      <c r="AA477" s="59"/>
      <c r="AB477" s="59"/>
      <c r="AC477" s="59"/>
      <c r="AD477" s="59"/>
      <c r="AE477" s="59"/>
      <c r="AF477" s="59"/>
      <c r="AG477" s="59"/>
      <c r="AH477" s="59"/>
      <c r="AI477" s="59" t="str">
        <f>IF(SUM(Dati[[#This Row],[Inv. Business]:[Inv. Cryptocurrency]])=0," ",SUM(Dati[[#This Row],[Inv. Business]:[Inv. Cryptocurrency]]))</f>
        <v xml:space="preserve"> </v>
      </c>
      <c r="AJ477" s="59"/>
      <c r="AK477" s="59" t="str">
        <f>IF(SUM(Dati[[#This Row],[Inv. Gold]:[Mutuo]])=0," ",SUM(Dati[[#This Row],[Inv. Gold]:[Mutuo]]))</f>
        <v xml:space="preserve"> </v>
      </c>
      <c r="AL477" s="59"/>
      <c r="AM477" s="59"/>
    </row>
    <row r="478" spans="2:39" x14ac:dyDescent="0.35">
      <c r="B478">
        <f t="shared" si="21"/>
        <v>458</v>
      </c>
      <c r="C478" s="49">
        <f>C474+1</f>
        <v>45301</v>
      </c>
      <c r="D478" s="29">
        <f>DAY(Dati[[#This Row],[Data]])</f>
        <v>10</v>
      </c>
      <c r="E478" s="29" t="str">
        <f>IF(DAY(Data!$C$21:$C$1327)&gt;0,TEXT(Data!$C$21:$C$1327, "mmmm"),"")</f>
        <v>gennaio</v>
      </c>
      <c r="F478" s="29" t="str">
        <f>IF(DAY(Data!$C$21:$C$1327)&gt;0,TEXT(Data!$C$21:$C$1327, "aaaa"),"")</f>
        <v>2024</v>
      </c>
      <c r="I478" t="str">
        <f>IF(OR(H478=$B$5,H478=$B$6,H478=$B$7,H478=$B$8,H478=$B$9,H478=$B$10,H478=$B$11,H478=$B$12,H478=$B$13,H478=$B$14),SottocategorieUscite[[#Headers],[Fuori Casa]],IF(OR(H478=$C$5,H478=$C$6,H478=$C$7,H478=$C$8,H478=$C$9,H478=$C$10,H478=$C$11,H478=$C$12,H478=$C$13,H478=$C$14),SottocategorieUscite[[#Headers],[Varie Uscite]],IF(OR(H478=$D$5,H478=$D$6,H478=$D$7,H478=$D$8,H478=$D$9,H478=$D$10,H478=$D$11,H478=$D$12,H478=$D$13,H478=$D$14),SottocategorieUscite[[#Headers],[Personali]],IF(OR(H478=$E$5,H478=$E$6,H478=$E$7,H478=$E$8,H478=$E$9,H478=$E$10,H478=$E$11,H478=$E$12,H478=$E$13,H478=$E$14),SottocategorieUscite[[#Headers],[Lavoro]],IF(OR(H478=$F$5,H478=$F$6,H478=$F$7,H478=$F$8,H478=$F$9,H478=$F$10,H478=$F$11,H478=$F$12,H478=$F$13,H478=$F$14),SottocategorieUscite[[#Headers],[Casa]],IF(OR(H478=$G$5,H478=$G$6,H478=$G$7,H478=$G$8,H478=$G$9,H478=$G$10,H478=$G$11,H478=$G$12,H478=$G$13,H478=$G$14),SottocategorieUscite[[#Headers],[Utenze]],IF(OR(H478=$H$5,H478=$H$6,H478=$H$7,H478=$H$8,H478=$H$9,H478=$H$10,H478=$H$11,H478=$H$12,H478=$H$13,H478=$H$14),SottocategorieUscite[[#Headers],[Business Uscite]],IF(OR(H478=$I$5,H478=$I$6,H478=$I$7,H478=$I$8,H478=$I$9,H478=$I$10,H478=$I$11,H478=$I$12,H478=$I$13,H478=$I$14),SottocategorieUscite[[#Headers],[Banca]],IF(OR(H478=K$5,H478=K$6,H478=K$7,H478=K$8,H478=K$9,H478=K$10,H478=K$11,H478=K$12,H478=K$13,H478=K$14),SottocategorieEntrate[[#Headers],[Business Entrate]],IF(OR(H478=L$5,H478=L$6,H478=L$7,H478=L$8,H478=L$9,H478=L$10,H478=L$11,H478=L$12,H478=L$13,H478=L$14),SottocategorieEntrate[[#Headers],[Varie Entrate]],IF(OR(H478=M$5,H478=M$6,H478=M$7,H478=M$8,H478=M$9,H478=M$10,H478=M$11,H478=M$12,H478=M$13,H478=M$14),SottocategorieEntrate[[#Headers],[Real Estate]],IF(OR(H478=N$5,H478=N$6,H478=N$7,H478=N$8,H478=N$9,H478=N$10,H478=N$11,H478=N$12,H478=N$13,H478=N$14),SottocategorieEntrate[[#Headers],[Other]],""))))))))))))</f>
        <v/>
      </c>
      <c r="J478" t="str">
        <f>IF(OR(Dati[[#This Row],[Categoria]]="Bollette",Dati[[#This Row],[Categoria]]="Conto &amp; Carte BNL",Dati[[#This Row],[Categoria]]="Prelievo",Dati[[#This Row],[Categoria]]="Affitto",Dati[[#This Row],[Categoria]]="BNL(Interessi Creditori)"),"Carta",IF(Dati[[#This Row],[Categoria]]&lt;&gt;0,"Cash",""))</f>
        <v/>
      </c>
      <c r="K478" s="59" t="str">
        <f>IF(OR(Data!$I478=SottocategorieUscite[[#Headers],[Fuori Casa]],Data!$I478=SottocategorieUscite[[#Headers],[Varie Uscite]],Data!$I478=SottocategorieUscite[[#Headers],[Personali]],Data!$I478=SottocategorieUscite[[#Headers],[Lavoro]]),"$ -","")</f>
        <v/>
      </c>
      <c r="L478" s="59" t="str">
        <f>IF(OR(Data!$I478=SottocategorieUscite[[#Headers],[Casa]],Data!$I478=SottocategorieUscite[[#Headers],[Utenze]],Data!$I478=SottocategorieUscite[[#Headers],[Business Uscite]],Data!$I478=SottocategorieUscite[[#Headers],[Banca]]),"$ -","")</f>
        <v/>
      </c>
      <c r="M478" s="59" t="str">
        <f>IF(OR($I478&lt;&gt;SottocategorieUscite[[#Headers],[Fuori Casa]],$I478&lt;&gt;SottocategorieUscite[[#Headers],[Varie Uscite]],$I478&lt;&gt;SottocategorieUscite[[#Headers],[Personali]],$I478&lt;&gt;SottocategorieUscite[[#Headers],[Lavoro]],$I478&lt;&gt;SottocategorieUscite[[#Headers],[Casa]],$I478&lt;&gt;SottocategorieUscite[[#Headers],[Utenze]],$I478&lt;&gt;SottocategorieUscite[[#Headers],[Business Uscite]],$I478&lt;&gt;SottocategorieUscite[[#Headers],[Banca]]),"","$ -")</f>
        <v/>
      </c>
      <c r="N478" s="59" t="str">
        <f>IF(OR(Data!$I478=SottocategorieEntrate[[#Headers],[Business Entrate]],Data!$I478=SottocategorieEntrate[[#Headers],[Varie Entrate]]),"$ -","")</f>
        <v/>
      </c>
      <c r="O478" s="59" t="str">
        <f>IF(OR(Data!$I478=SottocategorieEntrate[[#Headers],[Real Estate]],SottocategorieEntrate[[#Headers],[Other]]),"$ -","")</f>
        <v/>
      </c>
      <c r="P478" s="59" t="str">
        <f>IF(OR($I478&lt;&gt;SottocategorieEntrate[[#Headers],[Business Entrate]],$I478&lt;&gt;SottocategorieEntrate[[#Headers],[Varie Entrate]],$I478&lt;&gt;SottocategorieEntrate[[#Headers],[Real Estate]],$I478&lt;&gt;SottocategorieEntrate[[#Headers],[Other]]),"","$ -")</f>
        <v/>
      </c>
      <c r="Q478" s="59" t="str">
        <f>IF(Dati[[#This Row],[Categoria]]="Prelievo","€ -","")</f>
        <v/>
      </c>
      <c r="R478" s="244"/>
      <c r="S478" s="59" t="str">
        <f>IF(Dati[[#This Row],[Categoria]]="Savings",0,"")</f>
        <v/>
      </c>
      <c r="T478" s="59"/>
      <c r="U478" s="59"/>
      <c r="V478" s="59"/>
      <c r="W478" s="59"/>
      <c r="X478" s="59"/>
      <c r="Y478" s="59"/>
      <c r="Z478" s="59"/>
      <c r="AA478" s="59"/>
      <c r="AB478" s="59"/>
      <c r="AC478" s="59"/>
      <c r="AD478" s="59"/>
      <c r="AE478" s="59"/>
      <c r="AF478" s="59"/>
      <c r="AG478" s="59"/>
      <c r="AH478" s="59"/>
      <c r="AI478" s="59" t="str">
        <f>IF(SUM(Dati[[#This Row],[Inv. Business]:[Inv. Cryptocurrency]])=0," ",SUM(Dati[[#This Row],[Inv. Business]:[Inv. Cryptocurrency]]))</f>
        <v xml:space="preserve"> </v>
      </c>
      <c r="AJ478" s="59"/>
      <c r="AK478" s="59" t="str">
        <f>IF(SUM(Dati[[#This Row],[Inv. Gold]:[Mutuo]])=0," ",SUM(Dati[[#This Row],[Inv. Gold]:[Mutuo]]))</f>
        <v xml:space="preserve"> </v>
      </c>
      <c r="AL478" s="59"/>
      <c r="AM478" s="59"/>
    </row>
    <row r="479" spans="2:39" x14ac:dyDescent="0.35">
      <c r="B479">
        <f t="shared" si="21"/>
        <v>459</v>
      </c>
      <c r="C479" s="49">
        <f>C477+1</f>
        <v>45301</v>
      </c>
      <c r="D479" s="29">
        <f>DAY(Dati[[#This Row],[Data]])</f>
        <v>10</v>
      </c>
      <c r="E479" s="29" t="str">
        <f>IF(DAY(Data!$C$21:$C$1327)&gt;0,TEXT(Data!$C$21:$C$1327, "mmmm"),"")</f>
        <v>gennaio</v>
      </c>
      <c r="F479" s="29" t="str">
        <f>IF(DAY(Data!$C$21:$C$1327)&gt;0,TEXT(Data!$C$21:$C$1327, "aaaa"),"")</f>
        <v>2024</v>
      </c>
      <c r="I479" t="str">
        <f>IF(OR(H479=$B$5,H479=$B$6,H479=$B$7,H479=$B$8,H479=$B$9,H479=$B$10,H479=$B$11,H479=$B$12,H479=$B$13,H479=$B$14),SottocategorieUscite[[#Headers],[Fuori Casa]],IF(OR(H479=$C$5,H479=$C$6,H479=$C$7,H479=$C$8,H479=$C$9,H479=$C$10,H479=$C$11,H479=$C$12,H479=$C$13,H479=$C$14),SottocategorieUscite[[#Headers],[Varie Uscite]],IF(OR(H479=$D$5,H479=$D$6,H479=$D$7,H479=$D$8,H479=$D$9,H479=$D$10,H479=$D$11,H479=$D$12,H479=$D$13,H479=$D$14),SottocategorieUscite[[#Headers],[Personali]],IF(OR(H479=$E$5,H479=$E$6,H479=$E$7,H479=$E$8,H479=$E$9,H479=$E$10,H479=$E$11,H479=$E$12,H479=$E$13,H479=$E$14),SottocategorieUscite[[#Headers],[Lavoro]],IF(OR(H479=$F$5,H479=$F$6,H479=$F$7,H479=$F$8,H479=$F$9,H479=$F$10,H479=$F$11,H479=$F$12,H479=$F$13,H479=$F$14),SottocategorieUscite[[#Headers],[Casa]],IF(OR(H479=$G$5,H479=$G$6,H479=$G$7,H479=$G$8,H479=$G$9,H479=$G$10,H479=$G$11,H479=$G$12,H479=$G$13,H479=$G$14),SottocategorieUscite[[#Headers],[Utenze]],IF(OR(H479=$H$5,H479=$H$6,H479=$H$7,H479=$H$8,H479=$H$9,H479=$H$10,H479=$H$11,H479=$H$12,H479=$H$13,H479=$H$14),SottocategorieUscite[[#Headers],[Business Uscite]],IF(OR(H479=$I$5,H479=$I$6,H479=$I$7,H479=$I$8,H479=$I$9,H479=$I$10,H479=$I$11,H479=$I$12,H479=$I$13,H479=$I$14),SottocategorieUscite[[#Headers],[Banca]],IF(OR(H479=K$5,H479=K$6,H479=K$7,H479=K$8,H479=K$9,H479=K$10,H479=K$11,H479=K$12,H479=K$13,H479=K$14),SottocategorieEntrate[[#Headers],[Business Entrate]],IF(OR(H479=L$5,H479=L$6,H479=L$7,H479=L$8,H479=L$9,H479=L$10,H479=L$11,H479=L$12,H479=L$13,H479=L$14),SottocategorieEntrate[[#Headers],[Varie Entrate]],IF(OR(H479=M$5,H479=M$6,H479=M$7,H479=M$8,H479=M$9,H479=M$10,H479=M$11,H479=M$12,H479=M$13,H479=M$14),SottocategorieEntrate[[#Headers],[Real Estate]],IF(OR(H479=N$5,H479=N$6,H479=N$7,H479=N$8,H479=N$9,H479=N$10,H479=N$11,H479=N$12,H479=N$13,H479=N$14),SottocategorieEntrate[[#Headers],[Other]],""))))))))))))</f>
        <v/>
      </c>
      <c r="J479" t="str">
        <f>IF(OR(Dati[[#This Row],[Categoria]]="Bollette",Dati[[#This Row],[Categoria]]="Conto &amp; Carte BNL",Dati[[#This Row],[Categoria]]="Prelievo",Dati[[#This Row],[Categoria]]="Affitto",Dati[[#This Row],[Categoria]]="BNL(Interessi Creditori)"),"Carta",IF(Dati[[#This Row],[Categoria]]&lt;&gt;0,"Cash",""))</f>
        <v/>
      </c>
      <c r="K479" s="59" t="str">
        <f>IF(OR(Data!$I479=SottocategorieUscite[[#Headers],[Fuori Casa]],Data!$I479=SottocategorieUscite[[#Headers],[Varie Uscite]],Data!$I479=SottocategorieUscite[[#Headers],[Personali]],Data!$I479=SottocategorieUscite[[#Headers],[Lavoro]]),"$ -","")</f>
        <v/>
      </c>
      <c r="L479" s="59" t="str">
        <f>IF(OR(Data!$I479=SottocategorieUscite[[#Headers],[Casa]],Data!$I479=SottocategorieUscite[[#Headers],[Utenze]],Data!$I479=SottocategorieUscite[[#Headers],[Business Uscite]],Data!$I479=SottocategorieUscite[[#Headers],[Banca]]),"$ -","")</f>
        <v/>
      </c>
      <c r="M479" s="59" t="str">
        <f>IF(OR($I479&lt;&gt;SottocategorieUscite[[#Headers],[Fuori Casa]],$I479&lt;&gt;SottocategorieUscite[[#Headers],[Varie Uscite]],$I479&lt;&gt;SottocategorieUscite[[#Headers],[Personali]],$I479&lt;&gt;SottocategorieUscite[[#Headers],[Lavoro]],$I479&lt;&gt;SottocategorieUscite[[#Headers],[Casa]],$I479&lt;&gt;SottocategorieUscite[[#Headers],[Utenze]],$I479&lt;&gt;SottocategorieUscite[[#Headers],[Business Uscite]],$I479&lt;&gt;SottocategorieUscite[[#Headers],[Banca]]),"","$ -")</f>
        <v/>
      </c>
      <c r="N479" s="59" t="str">
        <f>IF(OR(Data!$I479=SottocategorieEntrate[[#Headers],[Business Entrate]],Data!$I479=SottocategorieEntrate[[#Headers],[Varie Entrate]]),"$ -","")</f>
        <v/>
      </c>
      <c r="O479" s="59" t="str">
        <f>IF(OR(Data!$I479=SottocategorieEntrate[[#Headers],[Real Estate]],SottocategorieEntrate[[#Headers],[Other]]),"$ -","")</f>
        <v/>
      </c>
      <c r="P479" s="59" t="str">
        <f>IF(OR($I479&lt;&gt;SottocategorieEntrate[[#Headers],[Business Entrate]],$I479&lt;&gt;SottocategorieEntrate[[#Headers],[Varie Entrate]],$I479&lt;&gt;SottocategorieEntrate[[#Headers],[Real Estate]],$I479&lt;&gt;SottocategorieEntrate[[#Headers],[Other]]),"","$ -")</f>
        <v/>
      </c>
      <c r="Q479" s="59" t="str">
        <f>IF(Dati[[#This Row],[Categoria]]="Prelievo","€ -","")</f>
        <v/>
      </c>
      <c r="R479" s="244"/>
      <c r="S479" s="59" t="str">
        <f>IF(Dati[[#This Row],[Categoria]]="Savings",0,"")</f>
        <v/>
      </c>
      <c r="T479" s="59"/>
      <c r="U479" s="59"/>
      <c r="V479" s="59"/>
      <c r="W479" s="59"/>
      <c r="X479" s="59"/>
      <c r="Y479" s="59"/>
      <c r="Z479" s="59"/>
      <c r="AA479" s="59"/>
      <c r="AB479" s="59"/>
      <c r="AC479" s="59"/>
      <c r="AD479" s="59"/>
      <c r="AE479" s="59"/>
      <c r="AF479" s="59"/>
      <c r="AG479" s="59"/>
      <c r="AH479" s="59"/>
      <c r="AI479" s="59" t="str">
        <f>IF(SUM(Dati[[#This Row],[Inv. Business]:[Inv. Cryptocurrency]])=0," ",SUM(Dati[[#This Row],[Inv. Business]:[Inv. Cryptocurrency]]))</f>
        <v xml:space="preserve"> </v>
      </c>
      <c r="AJ479" s="59"/>
      <c r="AK479" s="59" t="str">
        <f>IF(SUM(Dati[[#This Row],[Inv. Gold]:[Mutuo]])=0," ",SUM(Dati[[#This Row],[Inv. Gold]:[Mutuo]]))</f>
        <v xml:space="preserve"> </v>
      </c>
      <c r="AL479" s="59"/>
      <c r="AM479" s="59"/>
    </row>
    <row r="480" spans="2:39" x14ac:dyDescent="0.35">
      <c r="B480">
        <f t="shared" si="21"/>
        <v>460</v>
      </c>
      <c r="C480" s="49">
        <f>C477+1</f>
        <v>45301</v>
      </c>
      <c r="D480" s="29">
        <f>DAY(Dati[[#This Row],[Data]])</f>
        <v>10</v>
      </c>
      <c r="E480" s="29" t="str">
        <f>IF(DAY(Data!$C$21:$C$1327)&gt;0,TEXT(Data!$C$21:$C$1327, "mmmm"),"")</f>
        <v>gennaio</v>
      </c>
      <c r="F480" s="29" t="str">
        <f>IF(DAY(Data!$C$21:$C$1327)&gt;0,TEXT(Data!$C$21:$C$1327, "aaaa"),"")</f>
        <v>2024</v>
      </c>
      <c r="I480" t="str">
        <f>IF(OR(H480=$B$5,H480=$B$6,H480=$B$7,H480=$B$8,H480=$B$9,H480=$B$10,H480=$B$11,H480=$B$12,H480=$B$13,H480=$B$14),SottocategorieUscite[[#Headers],[Fuori Casa]],IF(OR(H480=$C$5,H480=$C$6,H480=$C$7,H480=$C$8,H480=$C$9,H480=$C$10,H480=$C$11,H480=$C$12,H480=$C$13,H480=$C$14),SottocategorieUscite[[#Headers],[Varie Uscite]],IF(OR(H480=$D$5,H480=$D$6,H480=$D$7,H480=$D$8,H480=$D$9,H480=$D$10,H480=$D$11,H480=$D$12,H480=$D$13,H480=$D$14),SottocategorieUscite[[#Headers],[Personali]],IF(OR(H480=$E$5,H480=$E$6,H480=$E$7,H480=$E$8,H480=$E$9,H480=$E$10,H480=$E$11,H480=$E$12,H480=$E$13,H480=$E$14),SottocategorieUscite[[#Headers],[Lavoro]],IF(OR(H480=$F$5,H480=$F$6,H480=$F$7,H480=$F$8,H480=$F$9,H480=$F$10,H480=$F$11,H480=$F$12,H480=$F$13,H480=$F$14),SottocategorieUscite[[#Headers],[Casa]],IF(OR(H480=$G$5,H480=$G$6,H480=$G$7,H480=$G$8,H480=$G$9,H480=$G$10,H480=$G$11,H480=$G$12,H480=$G$13,H480=$G$14),SottocategorieUscite[[#Headers],[Utenze]],IF(OR(H480=$H$5,H480=$H$6,H480=$H$7,H480=$H$8,H480=$H$9,H480=$H$10,H480=$H$11,H480=$H$12,H480=$H$13,H480=$H$14),SottocategorieUscite[[#Headers],[Business Uscite]],IF(OR(H480=$I$5,H480=$I$6,H480=$I$7,H480=$I$8,H480=$I$9,H480=$I$10,H480=$I$11,H480=$I$12,H480=$I$13,H480=$I$14),SottocategorieUscite[[#Headers],[Banca]],IF(OR(H480=K$5,H480=K$6,H480=K$7,H480=K$8,H480=K$9,H480=K$10,H480=K$11,H480=K$12,H480=K$13,H480=K$14),SottocategorieEntrate[[#Headers],[Business Entrate]],IF(OR(H480=L$5,H480=L$6,H480=L$7,H480=L$8,H480=L$9,H480=L$10,H480=L$11,H480=L$12,H480=L$13,H480=L$14),SottocategorieEntrate[[#Headers],[Varie Entrate]],IF(OR(H480=M$5,H480=M$6,H480=M$7,H480=M$8,H480=M$9,H480=M$10,H480=M$11,H480=M$12,H480=M$13,H480=M$14),SottocategorieEntrate[[#Headers],[Real Estate]],IF(OR(H480=N$5,H480=N$6,H480=N$7,H480=N$8,H480=N$9,H480=N$10,H480=N$11,H480=N$12,H480=N$13,H480=N$14),SottocategorieEntrate[[#Headers],[Other]],""))))))))))))</f>
        <v/>
      </c>
      <c r="J480" t="str">
        <f>IF(OR(Dati[[#This Row],[Categoria]]="Bollette",Dati[[#This Row],[Categoria]]="Conto &amp; Carte BNL",Dati[[#This Row],[Categoria]]="Prelievo",Dati[[#This Row],[Categoria]]="Affitto",Dati[[#This Row],[Categoria]]="BNL(Interessi Creditori)"),"Carta",IF(Dati[[#This Row],[Categoria]]&lt;&gt;0,"Cash",""))</f>
        <v/>
      </c>
      <c r="K480" s="59" t="str">
        <f>IF(OR(Data!$I480=SottocategorieUscite[[#Headers],[Fuori Casa]],Data!$I480=SottocategorieUscite[[#Headers],[Varie Uscite]],Data!$I480=SottocategorieUscite[[#Headers],[Personali]],Data!$I480=SottocategorieUscite[[#Headers],[Lavoro]]),"$ -","")</f>
        <v/>
      </c>
      <c r="L480" s="59" t="str">
        <f>IF(OR(Data!$I480=SottocategorieUscite[[#Headers],[Casa]],Data!$I480=SottocategorieUscite[[#Headers],[Utenze]],Data!$I480=SottocategorieUscite[[#Headers],[Business Uscite]],Data!$I480=SottocategorieUscite[[#Headers],[Banca]]),"$ -","")</f>
        <v/>
      </c>
      <c r="M480" s="59" t="str">
        <f>IF(OR($I480&lt;&gt;SottocategorieUscite[[#Headers],[Fuori Casa]],$I480&lt;&gt;SottocategorieUscite[[#Headers],[Varie Uscite]],$I480&lt;&gt;SottocategorieUscite[[#Headers],[Personali]],$I480&lt;&gt;SottocategorieUscite[[#Headers],[Lavoro]],$I480&lt;&gt;SottocategorieUscite[[#Headers],[Casa]],$I480&lt;&gt;SottocategorieUscite[[#Headers],[Utenze]],$I480&lt;&gt;SottocategorieUscite[[#Headers],[Business Uscite]],$I480&lt;&gt;SottocategorieUscite[[#Headers],[Banca]]),"","$ -")</f>
        <v/>
      </c>
      <c r="N480" s="59" t="str">
        <f>IF(OR(Data!$I480=SottocategorieEntrate[[#Headers],[Business Entrate]],Data!$I480=SottocategorieEntrate[[#Headers],[Varie Entrate]]),"$ -","")</f>
        <v/>
      </c>
      <c r="O480" s="59" t="str">
        <f>IF(OR(Data!$I480=SottocategorieEntrate[[#Headers],[Real Estate]],SottocategorieEntrate[[#Headers],[Other]]),"$ -","")</f>
        <v/>
      </c>
      <c r="P480" s="59" t="str">
        <f>IF(OR($I480&lt;&gt;SottocategorieEntrate[[#Headers],[Business Entrate]],$I480&lt;&gt;SottocategorieEntrate[[#Headers],[Varie Entrate]],$I480&lt;&gt;SottocategorieEntrate[[#Headers],[Real Estate]],$I480&lt;&gt;SottocategorieEntrate[[#Headers],[Other]]),"","$ -")</f>
        <v/>
      </c>
      <c r="Q480" s="59" t="str">
        <f>IF(Dati[[#This Row],[Categoria]]="Prelievo","€ -","")</f>
        <v/>
      </c>
      <c r="R480" s="244"/>
      <c r="S480" s="59" t="str">
        <f>IF(Dati[[#This Row],[Categoria]]="Savings",0,"")</f>
        <v/>
      </c>
      <c r="T480" s="59"/>
      <c r="U480" s="59"/>
      <c r="V480" s="59"/>
      <c r="W480" s="59"/>
      <c r="X480" s="59"/>
      <c r="Y480" s="59"/>
      <c r="Z480" s="59"/>
      <c r="AA480" s="59"/>
      <c r="AB480" s="59"/>
      <c r="AC480" s="59"/>
      <c r="AD480" s="59"/>
      <c r="AE480" s="59"/>
      <c r="AF480" s="59"/>
      <c r="AG480" s="59"/>
      <c r="AH480" s="59"/>
      <c r="AI480" s="59" t="str">
        <f>IF(SUM(Dati[[#This Row],[Inv. Business]:[Inv. Cryptocurrency]])=0," ",SUM(Dati[[#This Row],[Inv. Business]:[Inv. Cryptocurrency]]))</f>
        <v xml:space="preserve"> </v>
      </c>
      <c r="AJ480" s="59"/>
      <c r="AK480" s="59" t="str">
        <f>IF(SUM(Dati[[#This Row],[Inv. Gold]:[Mutuo]])=0," ",SUM(Dati[[#This Row],[Inv. Gold]:[Mutuo]]))</f>
        <v xml:space="preserve"> </v>
      </c>
      <c r="AL480" s="59"/>
      <c r="AM480" s="59"/>
    </row>
    <row r="481" spans="2:39" x14ac:dyDescent="0.35">
      <c r="B481">
        <f t="shared" si="21"/>
        <v>461</v>
      </c>
      <c r="C481" s="49">
        <f>C478+1</f>
        <v>45302</v>
      </c>
      <c r="D481" s="29">
        <f>DAY(Dati[[#This Row],[Data]])</f>
        <v>11</v>
      </c>
      <c r="E481" s="29" t="str">
        <f>IF(DAY(Data!$C$21:$C$1327)&gt;0,TEXT(Data!$C$21:$C$1327, "mmmm"),"")</f>
        <v>gennaio</v>
      </c>
      <c r="F481" s="29" t="str">
        <f>IF(DAY(Data!$C$21:$C$1327)&gt;0,TEXT(Data!$C$21:$C$1327, "aaaa"),"")</f>
        <v>2024</v>
      </c>
      <c r="I481" t="str">
        <f>IF(OR(H481=$B$5,H481=$B$6,H481=$B$7,H481=$B$8,H481=$B$9,H481=$B$10,H481=$B$11,H481=$B$12,H481=$B$13,H481=$B$14),SottocategorieUscite[[#Headers],[Fuori Casa]],IF(OR(H481=$C$5,H481=$C$6,H481=$C$7,H481=$C$8,H481=$C$9,H481=$C$10,H481=$C$11,H481=$C$12,H481=$C$13,H481=$C$14),SottocategorieUscite[[#Headers],[Varie Uscite]],IF(OR(H481=$D$5,H481=$D$6,H481=$D$7,H481=$D$8,H481=$D$9,H481=$D$10,H481=$D$11,H481=$D$12,H481=$D$13,H481=$D$14),SottocategorieUscite[[#Headers],[Personali]],IF(OR(H481=$E$5,H481=$E$6,H481=$E$7,H481=$E$8,H481=$E$9,H481=$E$10,H481=$E$11,H481=$E$12,H481=$E$13,H481=$E$14),SottocategorieUscite[[#Headers],[Lavoro]],IF(OR(H481=$F$5,H481=$F$6,H481=$F$7,H481=$F$8,H481=$F$9,H481=$F$10,H481=$F$11,H481=$F$12,H481=$F$13,H481=$F$14),SottocategorieUscite[[#Headers],[Casa]],IF(OR(H481=$G$5,H481=$G$6,H481=$G$7,H481=$G$8,H481=$G$9,H481=$G$10,H481=$G$11,H481=$G$12,H481=$G$13,H481=$G$14),SottocategorieUscite[[#Headers],[Utenze]],IF(OR(H481=$H$5,H481=$H$6,H481=$H$7,H481=$H$8,H481=$H$9,H481=$H$10,H481=$H$11,H481=$H$12,H481=$H$13,H481=$H$14),SottocategorieUscite[[#Headers],[Business Uscite]],IF(OR(H481=$I$5,H481=$I$6,H481=$I$7,H481=$I$8,H481=$I$9,H481=$I$10,H481=$I$11,H481=$I$12,H481=$I$13,H481=$I$14),SottocategorieUscite[[#Headers],[Banca]],IF(OR(H481=K$5,H481=K$6,H481=K$7,H481=K$8,H481=K$9,H481=K$10,H481=K$11,H481=K$12,H481=K$13,H481=K$14),SottocategorieEntrate[[#Headers],[Business Entrate]],IF(OR(H481=L$5,H481=L$6,H481=L$7,H481=L$8,H481=L$9,H481=L$10,H481=L$11,H481=L$12,H481=L$13,H481=L$14),SottocategorieEntrate[[#Headers],[Varie Entrate]],IF(OR(H481=M$5,H481=M$6,H481=M$7,H481=M$8,H481=M$9,H481=M$10,H481=M$11,H481=M$12,H481=M$13,H481=M$14),SottocategorieEntrate[[#Headers],[Real Estate]],IF(OR(H481=N$5,H481=N$6,H481=N$7,H481=N$8,H481=N$9,H481=N$10,H481=N$11,H481=N$12,H481=N$13,H481=N$14),SottocategorieEntrate[[#Headers],[Other]],""))))))))))))</f>
        <v/>
      </c>
      <c r="J481" t="str">
        <f>IF(OR(Dati[[#This Row],[Categoria]]="Bollette",Dati[[#This Row],[Categoria]]="Conto &amp; Carte BNL",Dati[[#This Row],[Categoria]]="Prelievo",Dati[[#This Row],[Categoria]]="Affitto",Dati[[#This Row],[Categoria]]="BNL(Interessi Creditori)"),"Carta",IF(Dati[[#This Row],[Categoria]]&lt;&gt;0,"Cash",""))</f>
        <v/>
      </c>
      <c r="K481" s="59" t="str">
        <f>IF(OR(Data!$I481=SottocategorieUscite[[#Headers],[Fuori Casa]],Data!$I481=SottocategorieUscite[[#Headers],[Varie Uscite]],Data!$I481=SottocategorieUscite[[#Headers],[Personali]],Data!$I481=SottocategorieUscite[[#Headers],[Lavoro]]),"$ -","")</f>
        <v/>
      </c>
      <c r="L481" s="59" t="str">
        <f>IF(OR(Data!$I481=SottocategorieUscite[[#Headers],[Casa]],Data!$I481=SottocategorieUscite[[#Headers],[Utenze]],Data!$I481=SottocategorieUscite[[#Headers],[Business Uscite]],Data!$I481=SottocategorieUscite[[#Headers],[Banca]]),"$ -","")</f>
        <v/>
      </c>
      <c r="M481" s="59" t="str">
        <f>IF(OR($I481&lt;&gt;SottocategorieUscite[[#Headers],[Fuori Casa]],$I481&lt;&gt;SottocategorieUscite[[#Headers],[Varie Uscite]],$I481&lt;&gt;SottocategorieUscite[[#Headers],[Personali]],$I481&lt;&gt;SottocategorieUscite[[#Headers],[Lavoro]],$I481&lt;&gt;SottocategorieUscite[[#Headers],[Casa]],$I481&lt;&gt;SottocategorieUscite[[#Headers],[Utenze]],$I481&lt;&gt;SottocategorieUscite[[#Headers],[Business Uscite]],$I481&lt;&gt;SottocategorieUscite[[#Headers],[Banca]]),"","$ -")</f>
        <v/>
      </c>
      <c r="N481" s="59" t="str">
        <f>IF(OR(Data!$I481=SottocategorieEntrate[[#Headers],[Business Entrate]],Data!$I481=SottocategorieEntrate[[#Headers],[Varie Entrate]]),"$ -","")</f>
        <v/>
      </c>
      <c r="O481" s="59" t="str">
        <f>IF(OR(Data!$I481=SottocategorieEntrate[[#Headers],[Real Estate]],SottocategorieEntrate[[#Headers],[Other]]),"$ -","")</f>
        <v/>
      </c>
      <c r="P481" s="59" t="str">
        <f>IF(OR($I481&lt;&gt;SottocategorieEntrate[[#Headers],[Business Entrate]],$I481&lt;&gt;SottocategorieEntrate[[#Headers],[Varie Entrate]],$I481&lt;&gt;SottocategorieEntrate[[#Headers],[Real Estate]],$I481&lt;&gt;SottocategorieEntrate[[#Headers],[Other]]),"","$ -")</f>
        <v/>
      </c>
      <c r="Q481" s="59" t="str">
        <f>IF(Dati[[#This Row],[Categoria]]="Prelievo","€ -","")</f>
        <v/>
      </c>
      <c r="R481" s="244"/>
      <c r="S481" s="59" t="str">
        <f>IF(Dati[[#This Row],[Categoria]]="Savings",0,"")</f>
        <v/>
      </c>
      <c r="T481" s="59"/>
      <c r="U481" s="59"/>
      <c r="V481" s="59"/>
      <c r="W481" s="59"/>
      <c r="X481" s="59"/>
      <c r="Y481" s="59"/>
      <c r="Z481" s="59"/>
      <c r="AA481" s="59"/>
      <c r="AB481" s="59"/>
      <c r="AC481" s="59"/>
      <c r="AD481" s="59"/>
      <c r="AE481" s="59"/>
      <c r="AF481" s="59"/>
      <c r="AG481" s="59"/>
      <c r="AH481" s="59"/>
      <c r="AI481" s="59" t="str">
        <f>IF(SUM(Dati[[#This Row],[Inv. Business]:[Inv. Cryptocurrency]])=0," ",SUM(Dati[[#This Row],[Inv. Business]:[Inv. Cryptocurrency]]))</f>
        <v xml:space="preserve"> </v>
      </c>
      <c r="AJ481" s="59"/>
      <c r="AK481" s="59" t="str">
        <f>IF(SUM(Dati[[#This Row],[Inv. Gold]:[Mutuo]])=0," ",SUM(Dati[[#This Row],[Inv. Gold]:[Mutuo]]))</f>
        <v xml:space="preserve"> </v>
      </c>
      <c r="AL481" s="59"/>
      <c r="AM481" s="59"/>
    </row>
    <row r="482" spans="2:39" x14ac:dyDescent="0.35">
      <c r="B482">
        <f t="shared" si="21"/>
        <v>462</v>
      </c>
      <c r="C482" s="49">
        <f t="shared" si="20"/>
        <v>45303</v>
      </c>
      <c r="D482" s="29">
        <f>DAY(Dati[[#This Row],[Data]])</f>
        <v>12</v>
      </c>
      <c r="E482" s="29" t="str">
        <f>IF(DAY(Data!$C$21:$C$1327)&gt;0,TEXT(Data!$C$21:$C$1327, "mmmm"),"")</f>
        <v>gennaio</v>
      </c>
      <c r="F482" s="29" t="str">
        <f>IF(DAY(Data!$C$21:$C$1327)&gt;0,TEXT(Data!$C$21:$C$1327, "aaaa"),"")</f>
        <v>2024</v>
      </c>
      <c r="I482" t="str">
        <f>IF(OR(H482=$B$5,H482=$B$6,H482=$B$7,H482=$B$8,H482=$B$9,H482=$B$10,H482=$B$11,H482=$B$12,H482=$B$13,H482=$B$14),SottocategorieUscite[[#Headers],[Fuori Casa]],IF(OR(H482=$C$5,H482=$C$6,H482=$C$7,H482=$C$8,H482=$C$9,H482=$C$10,H482=$C$11,H482=$C$12,H482=$C$13,H482=$C$14),SottocategorieUscite[[#Headers],[Varie Uscite]],IF(OR(H482=$D$5,H482=$D$6,H482=$D$7,H482=$D$8,H482=$D$9,H482=$D$10,H482=$D$11,H482=$D$12,H482=$D$13,H482=$D$14),SottocategorieUscite[[#Headers],[Personali]],IF(OR(H482=$E$5,H482=$E$6,H482=$E$7,H482=$E$8,H482=$E$9,H482=$E$10,H482=$E$11,H482=$E$12,H482=$E$13,H482=$E$14),SottocategorieUscite[[#Headers],[Lavoro]],IF(OR(H482=$F$5,H482=$F$6,H482=$F$7,H482=$F$8,H482=$F$9,H482=$F$10,H482=$F$11,H482=$F$12,H482=$F$13,H482=$F$14),SottocategorieUscite[[#Headers],[Casa]],IF(OR(H482=$G$5,H482=$G$6,H482=$G$7,H482=$G$8,H482=$G$9,H482=$G$10,H482=$G$11,H482=$G$12,H482=$G$13,H482=$G$14),SottocategorieUscite[[#Headers],[Utenze]],IF(OR(H482=$H$5,H482=$H$6,H482=$H$7,H482=$H$8,H482=$H$9,H482=$H$10,H482=$H$11,H482=$H$12,H482=$H$13,H482=$H$14),SottocategorieUscite[[#Headers],[Business Uscite]],IF(OR(H482=$I$5,H482=$I$6,H482=$I$7,H482=$I$8,H482=$I$9,H482=$I$10,H482=$I$11,H482=$I$12,H482=$I$13,H482=$I$14),SottocategorieUscite[[#Headers],[Banca]],IF(OR(H482=K$5,H482=K$6,H482=K$7,H482=K$8,H482=K$9,H482=K$10,H482=K$11,H482=K$12,H482=K$13,H482=K$14),SottocategorieEntrate[[#Headers],[Business Entrate]],IF(OR(H482=L$5,H482=L$6,H482=L$7,H482=L$8,H482=L$9,H482=L$10,H482=L$11,H482=L$12,H482=L$13,H482=L$14),SottocategorieEntrate[[#Headers],[Varie Entrate]],IF(OR(H482=M$5,H482=M$6,H482=M$7,H482=M$8,H482=M$9,H482=M$10,H482=M$11,H482=M$12,H482=M$13,H482=M$14),SottocategorieEntrate[[#Headers],[Real Estate]],IF(OR(H482=N$5,H482=N$6,H482=N$7,H482=N$8,H482=N$9,H482=N$10,H482=N$11,H482=N$12,H482=N$13,H482=N$14),SottocategorieEntrate[[#Headers],[Other]],""))))))))))))</f>
        <v/>
      </c>
      <c r="J482" t="str">
        <f>IF(OR(Dati[[#This Row],[Categoria]]="Bollette",Dati[[#This Row],[Categoria]]="Conto &amp; Carte BNL",Dati[[#This Row],[Categoria]]="Prelievo",Dati[[#This Row],[Categoria]]="Affitto",Dati[[#This Row],[Categoria]]="BNL(Interessi Creditori)"),"Carta",IF(Dati[[#This Row],[Categoria]]&lt;&gt;0,"Cash",""))</f>
        <v/>
      </c>
      <c r="K482" s="59" t="str">
        <f>IF(OR(Data!$I482=SottocategorieUscite[[#Headers],[Fuori Casa]],Data!$I482=SottocategorieUscite[[#Headers],[Varie Uscite]],Data!$I482=SottocategorieUscite[[#Headers],[Personali]],Data!$I482=SottocategorieUscite[[#Headers],[Lavoro]]),"$ -","")</f>
        <v/>
      </c>
      <c r="L482" s="59" t="str">
        <f>IF(OR(Data!$I482=SottocategorieUscite[[#Headers],[Casa]],Data!$I482=SottocategorieUscite[[#Headers],[Utenze]],Data!$I482=SottocategorieUscite[[#Headers],[Business Uscite]],Data!$I482=SottocategorieUscite[[#Headers],[Banca]]),"$ -","")</f>
        <v/>
      </c>
      <c r="M482" s="59" t="str">
        <f>IF(OR($I482&lt;&gt;SottocategorieUscite[[#Headers],[Fuori Casa]],$I482&lt;&gt;SottocategorieUscite[[#Headers],[Varie Uscite]],$I482&lt;&gt;SottocategorieUscite[[#Headers],[Personali]],$I482&lt;&gt;SottocategorieUscite[[#Headers],[Lavoro]],$I482&lt;&gt;SottocategorieUscite[[#Headers],[Casa]],$I482&lt;&gt;SottocategorieUscite[[#Headers],[Utenze]],$I482&lt;&gt;SottocategorieUscite[[#Headers],[Business Uscite]],$I482&lt;&gt;SottocategorieUscite[[#Headers],[Banca]]),"","$ -")</f>
        <v/>
      </c>
      <c r="N482" s="59" t="str">
        <f>IF(OR(Data!$I482=SottocategorieEntrate[[#Headers],[Business Entrate]],Data!$I482=SottocategorieEntrate[[#Headers],[Varie Entrate]]),"$ -","")</f>
        <v/>
      </c>
      <c r="O482" s="59" t="str">
        <f>IF(OR(Data!$I482=SottocategorieEntrate[[#Headers],[Real Estate]],SottocategorieEntrate[[#Headers],[Other]]),"$ -","")</f>
        <v/>
      </c>
      <c r="P482" s="59" t="str">
        <f>IF(OR($I482&lt;&gt;SottocategorieEntrate[[#Headers],[Business Entrate]],$I482&lt;&gt;SottocategorieEntrate[[#Headers],[Varie Entrate]],$I482&lt;&gt;SottocategorieEntrate[[#Headers],[Real Estate]],$I482&lt;&gt;SottocategorieEntrate[[#Headers],[Other]]),"","$ -")</f>
        <v/>
      </c>
      <c r="Q482" s="59" t="str">
        <f>IF(Dati[[#This Row],[Categoria]]="Prelievo","€ -","")</f>
        <v/>
      </c>
      <c r="R482" s="244"/>
      <c r="S482" s="59" t="str">
        <f>IF(Dati[[#This Row],[Categoria]]="Savings",0,"")</f>
        <v/>
      </c>
      <c r="T482" s="59"/>
      <c r="U482" s="59"/>
      <c r="V482" s="59"/>
      <c r="W482" s="59"/>
      <c r="X482" s="59"/>
      <c r="Y482" s="59"/>
      <c r="Z482" s="59"/>
      <c r="AA482" s="59"/>
      <c r="AB482" s="59"/>
      <c r="AC482" s="59"/>
      <c r="AD482" s="59"/>
      <c r="AE482" s="59"/>
      <c r="AF482" s="59"/>
      <c r="AG482" s="59"/>
      <c r="AH482" s="59"/>
      <c r="AI482" s="59" t="str">
        <f>IF(SUM(Dati[[#This Row],[Inv. Business]:[Inv. Cryptocurrency]])=0," ",SUM(Dati[[#This Row],[Inv. Business]:[Inv. Cryptocurrency]]))</f>
        <v xml:space="preserve"> </v>
      </c>
      <c r="AJ482" s="59"/>
      <c r="AK482" s="59" t="str">
        <f>IF(SUM(Dati[[#This Row],[Inv. Gold]:[Mutuo]])=0," ",SUM(Dati[[#This Row],[Inv. Gold]:[Mutuo]]))</f>
        <v xml:space="preserve"> </v>
      </c>
      <c r="AL482" s="59"/>
      <c r="AM482" s="59"/>
    </row>
    <row r="483" spans="2:39" x14ac:dyDescent="0.35">
      <c r="B483">
        <f t="shared" si="21"/>
        <v>463</v>
      </c>
      <c r="C483" s="49">
        <f t="shared" si="20"/>
        <v>45304</v>
      </c>
      <c r="D483" s="29">
        <f>DAY(Dati[[#This Row],[Data]])</f>
        <v>13</v>
      </c>
      <c r="E483" s="29" t="str">
        <f>IF(DAY(Data!$C$21:$C$1327)&gt;0,TEXT(Data!$C$21:$C$1327, "mmmm"),"")</f>
        <v>gennaio</v>
      </c>
      <c r="F483" s="29" t="str">
        <f>IF(DAY(Data!$C$21:$C$1327)&gt;0,TEXT(Data!$C$21:$C$1327, "aaaa"),"")</f>
        <v>2024</v>
      </c>
      <c r="I483" t="str">
        <f>IF(OR(H483=$B$5,H483=$B$6,H483=$B$7,H483=$B$8,H483=$B$9,H483=$B$10,H483=$B$11,H483=$B$12,H483=$B$13,H483=$B$14),SottocategorieUscite[[#Headers],[Fuori Casa]],IF(OR(H483=$C$5,H483=$C$6,H483=$C$7,H483=$C$8,H483=$C$9,H483=$C$10,H483=$C$11,H483=$C$12,H483=$C$13,H483=$C$14),SottocategorieUscite[[#Headers],[Varie Uscite]],IF(OR(H483=$D$5,H483=$D$6,H483=$D$7,H483=$D$8,H483=$D$9,H483=$D$10,H483=$D$11,H483=$D$12,H483=$D$13,H483=$D$14),SottocategorieUscite[[#Headers],[Personali]],IF(OR(H483=$E$5,H483=$E$6,H483=$E$7,H483=$E$8,H483=$E$9,H483=$E$10,H483=$E$11,H483=$E$12,H483=$E$13,H483=$E$14),SottocategorieUscite[[#Headers],[Lavoro]],IF(OR(H483=$F$5,H483=$F$6,H483=$F$7,H483=$F$8,H483=$F$9,H483=$F$10,H483=$F$11,H483=$F$12,H483=$F$13,H483=$F$14),SottocategorieUscite[[#Headers],[Casa]],IF(OR(H483=$G$5,H483=$G$6,H483=$G$7,H483=$G$8,H483=$G$9,H483=$G$10,H483=$G$11,H483=$G$12,H483=$G$13,H483=$G$14),SottocategorieUscite[[#Headers],[Utenze]],IF(OR(H483=$H$5,H483=$H$6,H483=$H$7,H483=$H$8,H483=$H$9,H483=$H$10,H483=$H$11,H483=$H$12,H483=$H$13,H483=$H$14),SottocategorieUscite[[#Headers],[Business Uscite]],IF(OR(H483=$I$5,H483=$I$6,H483=$I$7,H483=$I$8,H483=$I$9,H483=$I$10,H483=$I$11,H483=$I$12,H483=$I$13,H483=$I$14),SottocategorieUscite[[#Headers],[Banca]],IF(OR(H483=K$5,H483=K$6,H483=K$7,H483=K$8,H483=K$9,H483=K$10,H483=K$11,H483=K$12,H483=K$13,H483=K$14),SottocategorieEntrate[[#Headers],[Business Entrate]],IF(OR(H483=L$5,H483=L$6,H483=L$7,H483=L$8,H483=L$9,H483=L$10,H483=L$11,H483=L$12,H483=L$13,H483=L$14),SottocategorieEntrate[[#Headers],[Varie Entrate]],IF(OR(H483=M$5,H483=M$6,H483=M$7,H483=M$8,H483=M$9,H483=M$10,H483=M$11,H483=M$12,H483=M$13,H483=M$14),SottocategorieEntrate[[#Headers],[Real Estate]],IF(OR(H483=N$5,H483=N$6,H483=N$7,H483=N$8,H483=N$9,H483=N$10,H483=N$11,H483=N$12,H483=N$13,H483=N$14),SottocategorieEntrate[[#Headers],[Other]],""))))))))))))</f>
        <v/>
      </c>
      <c r="J483" t="str">
        <f>IF(OR(Dati[[#This Row],[Categoria]]="Bollette",Dati[[#This Row],[Categoria]]="Conto &amp; Carte BNL",Dati[[#This Row],[Categoria]]="Prelievo",Dati[[#This Row],[Categoria]]="Affitto",Dati[[#This Row],[Categoria]]="BNL(Interessi Creditori)"),"Carta",IF(Dati[[#This Row],[Categoria]]&lt;&gt;0,"Cash",""))</f>
        <v/>
      </c>
      <c r="K483" s="59" t="str">
        <f>IF(OR(Data!$I483=SottocategorieUscite[[#Headers],[Fuori Casa]],Data!$I483=SottocategorieUscite[[#Headers],[Varie Uscite]],Data!$I483=SottocategorieUscite[[#Headers],[Personali]],Data!$I483=SottocategorieUscite[[#Headers],[Lavoro]]),"$ -","")</f>
        <v/>
      </c>
      <c r="L483" s="59" t="str">
        <f>IF(OR(Data!$I483=SottocategorieUscite[[#Headers],[Casa]],Data!$I483=SottocategorieUscite[[#Headers],[Utenze]],Data!$I483=SottocategorieUscite[[#Headers],[Business Uscite]],Data!$I483=SottocategorieUscite[[#Headers],[Banca]]),"$ -","")</f>
        <v/>
      </c>
      <c r="M483" s="59" t="str">
        <f>IF(OR($I483&lt;&gt;SottocategorieUscite[[#Headers],[Fuori Casa]],$I483&lt;&gt;SottocategorieUscite[[#Headers],[Varie Uscite]],$I483&lt;&gt;SottocategorieUscite[[#Headers],[Personali]],$I483&lt;&gt;SottocategorieUscite[[#Headers],[Lavoro]],$I483&lt;&gt;SottocategorieUscite[[#Headers],[Casa]],$I483&lt;&gt;SottocategorieUscite[[#Headers],[Utenze]],$I483&lt;&gt;SottocategorieUscite[[#Headers],[Business Uscite]],$I483&lt;&gt;SottocategorieUscite[[#Headers],[Banca]]),"","$ -")</f>
        <v/>
      </c>
      <c r="N483" s="59" t="str">
        <f>IF(OR(Data!$I483=SottocategorieEntrate[[#Headers],[Business Entrate]],Data!$I483=SottocategorieEntrate[[#Headers],[Varie Entrate]]),"$ -","")</f>
        <v/>
      </c>
      <c r="O483" s="59" t="str">
        <f>IF(OR(Data!$I483=SottocategorieEntrate[[#Headers],[Real Estate]],SottocategorieEntrate[[#Headers],[Other]]),"$ -","")</f>
        <v/>
      </c>
      <c r="P483" s="59" t="str">
        <f>IF(OR($I483&lt;&gt;SottocategorieEntrate[[#Headers],[Business Entrate]],$I483&lt;&gt;SottocategorieEntrate[[#Headers],[Varie Entrate]],$I483&lt;&gt;SottocategorieEntrate[[#Headers],[Real Estate]],$I483&lt;&gt;SottocategorieEntrate[[#Headers],[Other]]),"","$ -")</f>
        <v/>
      </c>
      <c r="Q483" s="59" t="str">
        <f>IF(Dati[[#This Row],[Categoria]]="Prelievo","€ -","")</f>
        <v/>
      </c>
      <c r="R483" s="244"/>
      <c r="S483" s="59" t="str">
        <f>IF(Dati[[#This Row],[Categoria]]="Savings",0,"")</f>
        <v/>
      </c>
      <c r="T483" s="59"/>
      <c r="U483" s="59"/>
      <c r="V483" s="59"/>
      <c r="W483" s="59"/>
      <c r="X483" s="59"/>
      <c r="Y483" s="59"/>
      <c r="Z483" s="59"/>
      <c r="AA483" s="59"/>
      <c r="AB483" s="59"/>
      <c r="AC483" s="59"/>
      <c r="AD483" s="59"/>
      <c r="AE483" s="59"/>
      <c r="AF483" s="59"/>
      <c r="AG483" s="59"/>
      <c r="AH483" s="59"/>
      <c r="AI483" s="59" t="str">
        <f>IF(SUM(Dati[[#This Row],[Inv. Business]:[Inv. Cryptocurrency]])=0," ",SUM(Dati[[#This Row],[Inv. Business]:[Inv. Cryptocurrency]]))</f>
        <v xml:space="preserve"> </v>
      </c>
      <c r="AJ483" s="59"/>
      <c r="AK483" s="59" t="str">
        <f>IF(SUM(Dati[[#This Row],[Inv. Gold]:[Mutuo]])=0," ",SUM(Dati[[#This Row],[Inv. Gold]:[Mutuo]]))</f>
        <v xml:space="preserve"> </v>
      </c>
      <c r="AL483" s="59"/>
      <c r="AM483" s="59"/>
    </row>
    <row r="484" spans="2:39" x14ac:dyDescent="0.35">
      <c r="B484">
        <f t="shared" si="21"/>
        <v>464</v>
      </c>
      <c r="C484" s="49">
        <f>C482+1</f>
        <v>45304</v>
      </c>
      <c r="D484" s="29">
        <f>DAY(Dati[[#This Row],[Data]])</f>
        <v>13</v>
      </c>
      <c r="E484" s="29" t="str">
        <f>IF(DAY(Data!$C$21:$C$1327)&gt;0,TEXT(Data!$C$21:$C$1327, "mmmm"),"")</f>
        <v>gennaio</v>
      </c>
      <c r="F484" s="29" t="str">
        <f>IF(DAY(Data!$C$21:$C$1327)&gt;0,TEXT(Data!$C$21:$C$1327, "aaaa"),"")</f>
        <v>2024</v>
      </c>
      <c r="I484" t="str">
        <f>IF(OR(H484=$B$5,H484=$B$6,H484=$B$7,H484=$B$8,H484=$B$9,H484=$B$10,H484=$B$11,H484=$B$12,H484=$B$13,H484=$B$14),SottocategorieUscite[[#Headers],[Fuori Casa]],IF(OR(H484=$C$5,H484=$C$6,H484=$C$7,H484=$C$8,H484=$C$9,H484=$C$10,H484=$C$11,H484=$C$12,H484=$C$13,H484=$C$14),SottocategorieUscite[[#Headers],[Varie Uscite]],IF(OR(H484=$D$5,H484=$D$6,H484=$D$7,H484=$D$8,H484=$D$9,H484=$D$10,H484=$D$11,H484=$D$12,H484=$D$13,H484=$D$14),SottocategorieUscite[[#Headers],[Personali]],IF(OR(H484=$E$5,H484=$E$6,H484=$E$7,H484=$E$8,H484=$E$9,H484=$E$10,H484=$E$11,H484=$E$12,H484=$E$13,H484=$E$14),SottocategorieUscite[[#Headers],[Lavoro]],IF(OR(H484=$F$5,H484=$F$6,H484=$F$7,H484=$F$8,H484=$F$9,H484=$F$10,H484=$F$11,H484=$F$12,H484=$F$13,H484=$F$14),SottocategorieUscite[[#Headers],[Casa]],IF(OR(H484=$G$5,H484=$G$6,H484=$G$7,H484=$G$8,H484=$G$9,H484=$G$10,H484=$G$11,H484=$G$12,H484=$G$13,H484=$G$14),SottocategorieUscite[[#Headers],[Utenze]],IF(OR(H484=$H$5,H484=$H$6,H484=$H$7,H484=$H$8,H484=$H$9,H484=$H$10,H484=$H$11,H484=$H$12,H484=$H$13,H484=$H$14),SottocategorieUscite[[#Headers],[Business Uscite]],IF(OR(H484=$I$5,H484=$I$6,H484=$I$7,H484=$I$8,H484=$I$9,H484=$I$10,H484=$I$11,H484=$I$12,H484=$I$13,H484=$I$14),SottocategorieUscite[[#Headers],[Banca]],IF(OR(H484=K$5,H484=K$6,H484=K$7,H484=K$8,H484=K$9,H484=K$10,H484=K$11,H484=K$12,H484=K$13,H484=K$14),SottocategorieEntrate[[#Headers],[Business Entrate]],IF(OR(H484=L$5,H484=L$6,H484=L$7,H484=L$8,H484=L$9,H484=L$10,H484=L$11,H484=L$12,H484=L$13,H484=L$14),SottocategorieEntrate[[#Headers],[Varie Entrate]],IF(OR(H484=M$5,H484=M$6,H484=M$7,H484=M$8,H484=M$9,H484=M$10,H484=M$11,H484=M$12,H484=M$13,H484=M$14),SottocategorieEntrate[[#Headers],[Real Estate]],IF(OR(H484=N$5,H484=N$6,H484=N$7,H484=N$8,H484=N$9,H484=N$10,H484=N$11,H484=N$12,H484=N$13,H484=N$14),SottocategorieEntrate[[#Headers],[Other]],""))))))))))))</f>
        <v/>
      </c>
      <c r="J484" t="str">
        <f>IF(OR(Dati[[#This Row],[Categoria]]="Bollette",Dati[[#This Row],[Categoria]]="Conto &amp; Carte BNL",Dati[[#This Row],[Categoria]]="Prelievo",Dati[[#This Row],[Categoria]]="Affitto",Dati[[#This Row],[Categoria]]="BNL(Interessi Creditori)"),"Carta",IF(Dati[[#This Row],[Categoria]]&lt;&gt;0,"Cash",""))</f>
        <v/>
      </c>
      <c r="K484" s="59" t="str">
        <f>IF(OR(Data!$I484=SottocategorieUscite[[#Headers],[Fuori Casa]],Data!$I484=SottocategorieUscite[[#Headers],[Varie Uscite]],Data!$I484=SottocategorieUscite[[#Headers],[Personali]],Data!$I484=SottocategorieUscite[[#Headers],[Lavoro]]),"$ -","")</f>
        <v/>
      </c>
      <c r="L484" s="59" t="str">
        <f>IF(OR(Data!$I484=SottocategorieUscite[[#Headers],[Casa]],Data!$I484=SottocategorieUscite[[#Headers],[Utenze]],Data!$I484=SottocategorieUscite[[#Headers],[Business Uscite]],Data!$I484=SottocategorieUscite[[#Headers],[Banca]]),"$ -","")</f>
        <v/>
      </c>
      <c r="M484" s="59" t="str">
        <f>IF(OR($I484&lt;&gt;SottocategorieUscite[[#Headers],[Fuori Casa]],$I484&lt;&gt;SottocategorieUscite[[#Headers],[Varie Uscite]],$I484&lt;&gt;SottocategorieUscite[[#Headers],[Personali]],$I484&lt;&gt;SottocategorieUscite[[#Headers],[Lavoro]],$I484&lt;&gt;SottocategorieUscite[[#Headers],[Casa]],$I484&lt;&gt;SottocategorieUscite[[#Headers],[Utenze]],$I484&lt;&gt;SottocategorieUscite[[#Headers],[Business Uscite]],$I484&lt;&gt;SottocategorieUscite[[#Headers],[Banca]]),"","$ -")</f>
        <v/>
      </c>
      <c r="N484" s="59" t="str">
        <f>IF(OR(Data!$I484=SottocategorieEntrate[[#Headers],[Business Entrate]],Data!$I484=SottocategorieEntrate[[#Headers],[Varie Entrate]]),"$ -","")</f>
        <v/>
      </c>
      <c r="O484" s="59" t="str">
        <f>IF(OR(Data!$I484=SottocategorieEntrate[[#Headers],[Real Estate]],SottocategorieEntrate[[#Headers],[Other]]),"$ -","")</f>
        <v/>
      </c>
      <c r="P484" s="59" t="str">
        <f>IF(OR($I484&lt;&gt;SottocategorieEntrate[[#Headers],[Business Entrate]],$I484&lt;&gt;SottocategorieEntrate[[#Headers],[Varie Entrate]],$I484&lt;&gt;SottocategorieEntrate[[#Headers],[Real Estate]],$I484&lt;&gt;SottocategorieEntrate[[#Headers],[Other]]),"","$ -")</f>
        <v/>
      </c>
      <c r="Q484" s="59" t="str">
        <f>IF(Dati[[#This Row],[Categoria]]="Prelievo","€ -","")</f>
        <v/>
      </c>
      <c r="R484" s="244"/>
      <c r="S484" s="59" t="str">
        <f>IF(Dati[[#This Row],[Categoria]]="Savings",0,"")</f>
        <v/>
      </c>
      <c r="T484" s="59"/>
      <c r="U484" s="59"/>
      <c r="V484" s="59"/>
      <c r="W484" s="59"/>
      <c r="X484" s="59"/>
      <c r="Y484" s="59"/>
      <c r="Z484" s="59"/>
      <c r="AA484" s="59"/>
      <c r="AB484" s="59"/>
      <c r="AC484" s="59"/>
      <c r="AD484" s="59"/>
      <c r="AE484" s="59"/>
      <c r="AF484" s="59"/>
      <c r="AG484" s="59"/>
      <c r="AH484" s="59"/>
      <c r="AI484" s="59" t="str">
        <f>IF(SUM(Dati[[#This Row],[Inv. Business]:[Inv. Cryptocurrency]])=0," ",SUM(Dati[[#This Row],[Inv. Business]:[Inv. Cryptocurrency]]))</f>
        <v xml:space="preserve"> </v>
      </c>
      <c r="AJ484" s="59"/>
      <c r="AK484" s="59" t="str">
        <f>IF(SUM(Dati[[#This Row],[Inv. Gold]:[Mutuo]])=0," ",SUM(Dati[[#This Row],[Inv. Gold]:[Mutuo]]))</f>
        <v xml:space="preserve"> </v>
      </c>
      <c r="AL484" s="59"/>
      <c r="AM484" s="59"/>
    </row>
    <row r="485" spans="2:39" x14ac:dyDescent="0.35">
      <c r="B485">
        <f t="shared" si="21"/>
        <v>465</v>
      </c>
      <c r="C485" s="49">
        <f>C482+1</f>
        <v>45304</v>
      </c>
      <c r="D485" s="29">
        <f>DAY(Dati[[#This Row],[Data]])</f>
        <v>13</v>
      </c>
      <c r="E485" s="29" t="str">
        <f>IF(DAY(Data!$C$21:$C$1327)&gt;0,TEXT(Data!$C$21:$C$1327, "mmmm"),"")</f>
        <v>gennaio</v>
      </c>
      <c r="F485" s="29" t="str">
        <f>IF(DAY(Data!$C$21:$C$1327)&gt;0,TEXT(Data!$C$21:$C$1327, "aaaa"),"")</f>
        <v>2024</v>
      </c>
      <c r="I485" t="str">
        <f>IF(OR(H485=$B$5,H485=$B$6,H485=$B$7,H485=$B$8,H485=$B$9,H485=$B$10,H485=$B$11,H485=$B$12,H485=$B$13,H485=$B$14),SottocategorieUscite[[#Headers],[Fuori Casa]],IF(OR(H485=$C$5,H485=$C$6,H485=$C$7,H485=$C$8,H485=$C$9,H485=$C$10,H485=$C$11,H485=$C$12,H485=$C$13,H485=$C$14),SottocategorieUscite[[#Headers],[Varie Uscite]],IF(OR(H485=$D$5,H485=$D$6,H485=$D$7,H485=$D$8,H485=$D$9,H485=$D$10,H485=$D$11,H485=$D$12,H485=$D$13,H485=$D$14),SottocategorieUscite[[#Headers],[Personali]],IF(OR(H485=$E$5,H485=$E$6,H485=$E$7,H485=$E$8,H485=$E$9,H485=$E$10,H485=$E$11,H485=$E$12,H485=$E$13,H485=$E$14),SottocategorieUscite[[#Headers],[Lavoro]],IF(OR(H485=$F$5,H485=$F$6,H485=$F$7,H485=$F$8,H485=$F$9,H485=$F$10,H485=$F$11,H485=$F$12,H485=$F$13,H485=$F$14),SottocategorieUscite[[#Headers],[Casa]],IF(OR(H485=$G$5,H485=$G$6,H485=$G$7,H485=$G$8,H485=$G$9,H485=$G$10,H485=$G$11,H485=$G$12,H485=$G$13,H485=$G$14),SottocategorieUscite[[#Headers],[Utenze]],IF(OR(H485=$H$5,H485=$H$6,H485=$H$7,H485=$H$8,H485=$H$9,H485=$H$10,H485=$H$11,H485=$H$12,H485=$H$13,H485=$H$14),SottocategorieUscite[[#Headers],[Business Uscite]],IF(OR(H485=$I$5,H485=$I$6,H485=$I$7,H485=$I$8,H485=$I$9,H485=$I$10,H485=$I$11,H485=$I$12,H485=$I$13,H485=$I$14),SottocategorieUscite[[#Headers],[Banca]],IF(OR(H485=K$5,H485=K$6,H485=K$7,H485=K$8,H485=K$9,H485=K$10,H485=K$11,H485=K$12,H485=K$13,H485=K$14),SottocategorieEntrate[[#Headers],[Business Entrate]],IF(OR(H485=L$5,H485=L$6,H485=L$7,H485=L$8,H485=L$9,H485=L$10,H485=L$11,H485=L$12,H485=L$13,H485=L$14),SottocategorieEntrate[[#Headers],[Varie Entrate]],IF(OR(H485=M$5,H485=M$6,H485=M$7,H485=M$8,H485=M$9,H485=M$10,H485=M$11,H485=M$12,H485=M$13,H485=M$14),SottocategorieEntrate[[#Headers],[Real Estate]],IF(OR(H485=N$5,H485=N$6,H485=N$7,H485=N$8,H485=N$9,H485=N$10,H485=N$11,H485=N$12,H485=N$13,H485=N$14),SottocategorieEntrate[[#Headers],[Other]],""))))))))))))</f>
        <v/>
      </c>
      <c r="J485" t="str">
        <f>IF(OR(Dati[[#This Row],[Categoria]]="Bollette",Dati[[#This Row],[Categoria]]="Conto &amp; Carte BNL",Dati[[#This Row],[Categoria]]="Prelievo",Dati[[#This Row],[Categoria]]="Affitto",Dati[[#This Row],[Categoria]]="BNL(Interessi Creditori)"),"Carta",IF(Dati[[#This Row],[Categoria]]&lt;&gt;0,"Cash",""))</f>
        <v/>
      </c>
      <c r="K485" s="59" t="str">
        <f>IF(OR(Data!$I485=SottocategorieUscite[[#Headers],[Fuori Casa]],Data!$I485=SottocategorieUscite[[#Headers],[Varie Uscite]],Data!$I485=SottocategorieUscite[[#Headers],[Personali]],Data!$I485=SottocategorieUscite[[#Headers],[Lavoro]]),"$ -","")</f>
        <v/>
      </c>
      <c r="L485" s="59" t="str">
        <f>IF(OR(Data!$I485=SottocategorieUscite[[#Headers],[Casa]],Data!$I485=SottocategorieUscite[[#Headers],[Utenze]],Data!$I485=SottocategorieUscite[[#Headers],[Business Uscite]],Data!$I485=SottocategorieUscite[[#Headers],[Banca]]),"$ -","")</f>
        <v/>
      </c>
      <c r="M485" s="59" t="str">
        <f>IF(OR($I485&lt;&gt;SottocategorieUscite[[#Headers],[Fuori Casa]],$I485&lt;&gt;SottocategorieUscite[[#Headers],[Varie Uscite]],$I485&lt;&gt;SottocategorieUscite[[#Headers],[Personali]],$I485&lt;&gt;SottocategorieUscite[[#Headers],[Lavoro]],$I485&lt;&gt;SottocategorieUscite[[#Headers],[Casa]],$I485&lt;&gt;SottocategorieUscite[[#Headers],[Utenze]],$I485&lt;&gt;SottocategorieUscite[[#Headers],[Business Uscite]],$I485&lt;&gt;SottocategorieUscite[[#Headers],[Banca]]),"","$ -")</f>
        <v/>
      </c>
      <c r="N485" s="59" t="str">
        <f>IF(OR(Data!$I485=SottocategorieEntrate[[#Headers],[Business Entrate]],Data!$I485=SottocategorieEntrate[[#Headers],[Varie Entrate]]),"$ -","")</f>
        <v/>
      </c>
      <c r="O485" s="59" t="str">
        <f>IF(OR(Data!$I485=SottocategorieEntrate[[#Headers],[Real Estate]],SottocategorieEntrate[[#Headers],[Other]]),"$ -","")</f>
        <v/>
      </c>
      <c r="P485" s="59" t="str">
        <f>IF(OR($I485&lt;&gt;SottocategorieEntrate[[#Headers],[Business Entrate]],$I485&lt;&gt;SottocategorieEntrate[[#Headers],[Varie Entrate]],$I485&lt;&gt;SottocategorieEntrate[[#Headers],[Real Estate]],$I485&lt;&gt;SottocategorieEntrate[[#Headers],[Other]]),"","$ -")</f>
        <v/>
      </c>
      <c r="Q485" s="59" t="str">
        <f>IF(Dati[[#This Row],[Categoria]]="Prelievo","€ -","")</f>
        <v/>
      </c>
      <c r="R485" s="244"/>
      <c r="S485" s="59" t="str">
        <f>IF(Dati[[#This Row],[Categoria]]="Savings",0,"")</f>
        <v/>
      </c>
      <c r="T485" s="59"/>
      <c r="U485" s="59"/>
      <c r="V485" s="59"/>
      <c r="W485" s="59"/>
      <c r="X485" s="59"/>
      <c r="Y485" s="59"/>
      <c r="Z485" s="59"/>
      <c r="AA485" s="59"/>
      <c r="AB485" s="59"/>
      <c r="AC485" s="59"/>
      <c r="AD485" s="59"/>
      <c r="AE485" s="59"/>
      <c r="AF485" s="59"/>
      <c r="AG485" s="59"/>
      <c r="AH485" s="59"/>
      <c r="AI485" s="59" t="str">
        <f>IF(SUM(Dati[[#This Row],[Inv. Business]:[Inv. Cryptocurrency]])=0," ",SUM(Dati[[#This Row],[Inv. Business]:[Inv. Cryptocurrency]]))</f>
        <v xml:space="preserve"> </v>
      </c>
      <c r="AJ485" s="59"/>
      <c r="AK485" s="59" t="str">
        <f>IF(SUM(Dati[[#This Row],[Inv. Gold]:[Mutuo]])=0," ",SUM(Dati[[#This Row],[Inv. Gold]:[Mutuo]]))</f>
        <v xml:space="preserve"> </v>
      </c>
      <c r="AL485" s="59"/>
      <c r="AM485" s="59"/>
    </row>
    <row r="486" spans="2:39" x14ac:dyDescent="0.35">
      <c r="B486">
        <f t="shared" si="21"/>
        <v>466</v>
      </c>
      <c r="C486" s="49">
        <f>C482+1</f>
        <v>45304</v>
      </c>
      <c r="D486" s="29">
        <f>DAY(Dati[[#This Row],[Data]])</f>
        <v>13</v>
      </c>
      <c r="E486" s="29" t="str">
        <f>IF(DAY(Data!$C$21:$C$1327)&gt;0,TEXT(Data!$C$21:$C$1327, "mmmm"),"")</f>
        <v>gennaio</v>
      </c>
      <c r="F486" s="29" t="str">
        <f>IF(DAY(Data!$C$21:$C$1327)&gt;0,TEXT(Data!$C$21:$C$1327, "aaaa"),"")</f>
        <v>2024</v>
      </c>
      <c r="I486" t="str">
        <f>IF(OR(H486=$B$5,H486=$B$6,H486=$B$7,H486=$B$8,H486=$B$9,H486=$B$10,H486=$B$11,H486=$B$12,H486=$B$13,H486=$B$14),SottocategorieUscite[[#Headers],[Fuori Casa]],IF(OR(H486=$C$5,H486=$C$6,H486=$C$7,H486=$C$8,H486=$C$9,H486=$C$10,H486=$C$11,H486=$C$12,H486=$C$13,H486=$C$14),SottocategorieUscite[[#Headers],[Varie Uscite]],IF(OR(H486=$D$5,H486=$D$6,H486=$D$7,H486=$D$8,H486=$D$9,H486=$D$10,H486=$D$11,H486=$D$12,H486=$D$13,H486=$D$14),SottocategorieUscite[[#Headers],[Personali]],IF(OR(H486=$E$5,H486=$E$6,H486=$E$7,H486=$E$8,H486=$E$9,H486=$E$10,H486=$E$11,H486=$E$12,H486=$E$13,H486=$E$14),SottocategorieUscite[[#Headers],[Lavoro]],IF(OR(H486=$F$5,H486=$F$6,H486=$F$7,H486=$F$8,H486=$F$9,H486=$F$10,H486=$F$11,H486=$F$12,H486=$F$13,H486=$F$14),SottocategorieUscite[[#Headers],[Casa]],IF(OR(H486=$G$5,H486=$G$6,H486=$G$7,H486=$G$8,H486=$G$9,H486=$G$10,H486=$G$11,H486=$G$12,H486=$G$13,H486=$G$14),SottocategorieUscite[[#Headers],[Utenze]],IF(OR(H486=$H$5,H486=$H$6,H486=$H$7,H486=$H$8,H486=$H$9,H486=$H$10,H486=$H$11,H486=$H$12,H486=$H$13,H486=$H$14),SottocategorieUscite[[#Headers],[Business Uscite]],IF(OR(H486=$I$5,H486=$I$6,H486=$I$7,H486=$I$8,H486=$I$9,H486=$I$10,H486=$I$11,H486=$I$12,H486=$I$13,H486=$I$14),SottocategorieUscite[[#Headers],[Banca]],IF(OR(H486=K$5,H486=K$6,H486=K$7,H486=K$8,H486=K$9,H486=K$10,H486=K$11,H486=K$12,H486=K$13,H486=K$14),SottocategorieEntrate[[#Headers],[Business Entrate]],IF(OR(H486=L$5,H486=L$6,H486=L$7,H486=L$8,H486=L$9,H486=L$10,H486=L$11,H486=L$12,H486=L$13,H486=L$14),SottocategorieEntrate[[#Headers],[Varie Entrate]],IF(OR(H486=M$5,H486=M$6,H486=M$7,H486=M$8,H486=M$9,H486=M$10,H486=M$11,H486=M$12,H486=M$13,H486=M$14),SottocategorieEntrate[[#Headers],[Real Estate]],IF(OR(H486=N$5,H486=N$6,H486=N$7,H486=N$8,H486=N$9,H486=N$10,H486=N$11,H486=N$12,H486=N$13,H486=N$14),SottocategorieEntrate[[#Headers],[Other]],""))))))))))))</f>
        <v/>
      </c>
      <c r="J486" t="str">
        <f>IF(OR(Dati[[#This Row],[Categoria]]="Bollette",Dati[[#This Row],[Categoria]]="Conto &amp; Carte BNL",Dati[[#This Row],[Categoria]]="Prelievo",Dati[[#This Row],[Categoria]]="Affitto",Dati[[#This Row],[Categoria]]="BNL(Interessi Creditori)"),"Carta",IF(Dati[[#This Row],[Categoria]]&lt;&gt;0,"Cash",""))</f>
        <v/>
      </c>
      <c r="K486" s="59" t="str">
        <f>IF(OR(Data!$I486=SottocategorieUscite[[#Headers],[Fuori Casa]],Data!$I486=SottocategorieUscite[[#Headers],[Varie Uscite]],Data!$I486=SottocategorieUscite[[#Headers],[Personali]],Data!$I486=SottocategorieUscite[[#Headers],[Lavoro]]),"$ -","")</f>
        <v/>
      </c>
      <c r="L486" s="59" t="str">
        <f>IF(OR(Data!$I486=SottocategorieUscite[[#Headers],[Casa]],Data!$I486=SottocategorieUscite[[#Headers],[Utenze]],Data!$I486=SottocategorieUscite[[#Headers],[Business Uscite]],Data!$I486=SottocategorieUscite[[#Headers],[Banca]]),"$ -","")</f>
        <v/>
      </c>
      <c r="M486" s="59" t="str">
        <f>IF(OR($I486&lt;&gt;SottocategorieUscite[[#Headers],[Fuori Casa]],$I486&lt;&gt;SottocategorieUscite[[#Headers],[Varie Uscite]],$I486&lt;&gt;SottocategorieUscite[[#Headers],[Personali]],$I486&lt;&gt;SottocategorieUscite[[#Headers],[Lavoro]],$I486&lt;&gt;SottocategorieUscite[[#Headers],[Casa]],$I486&lt;&gt;SottocategorieUscite[[#Headers],[Utenze]],$I486&lt;&gt;SottocategorieUscite[[#Headers],[Business Uscite]],$I486&lt;&gt;SottocategorieUscite[[#Headers],[Banca]]),"","$ -")</f>
        <v/>
      </c>
      <c r="N486" s="59" t="str">
        <f>IF(OR(Data!$I486=SottocategorieEntrate[[#Headers],[Business Entrate]],Data!$I486=SottocategorieEntrate[[#Headers],[Varie Entrate]]),"$ -","")</f>
        <v/>
      </c>
      <c r="O486" s="59" t="str">
        <f>IF(OR(Data!$I486=SottocategorieEntrate[[#Headers],[Real Estate]],SottocategorieEntrate[[#Headers],[Other]]),"$ -","")</f>
        <v/>
      </c>
      <c r="P486" s="59" t="str">
        <f>IF(OR($I486&lt;&gt;SottocategorieEntrate[[#Headers],[Business Entrate]],$I486&lt;&gt;SottocategorieEntrate[[#Headers],[Varie Entrate]],$I486&lt;&gt;SottocategorieEntrate[[#Headers],[Real Estate]],$I486&lt;&gt;SottocategorieEntrate[[#Headers],[Other]]),"","$ -")</f>
        <v/>
      </c>
      <c r="Q486" s="59" t="str">
        <f>IF(Dati[[#This Row],[Categoria]]="Prelievo","€ -","")</f>
        <v/>
      </c>
      <c r="R486" s="244"/>
      <c r="S486" s="59" t="str">
        <f>IF(Dati[[#This Row],[Categoria]]="Savings",0,"")</f>
        <v/>
      </c>
      <c r="T486" s="59"/>
      <c r="U486" s="59"/>
      <c r="V486" s="59"/>
      <c r="W486" s="59"/>
      <c r="X486" s="59"/>
      <c r="Y486" s="59"/>
      <c r="Z486" s="59"/>
      <c r="AA486" s="59"/>
      <c r="AB486" s="59"/>
      <c r="AC486" s="59"/>
      <c r="AD486" s="59"/>
      <c r="AE486" s="59"/>
      <c r="AF486" s="59"/>
      <c r="AG486" s="59"/>
      <c r="AH486" s="59"/>
      <c r="AI486" s="59" t="str">
        <f>IF(SUM(Dati[[#This Row],[Inv. Business]:[Inv. Cryptocurrency]])=0," ",SUM(Dati[[#This Row],[Inv. Business]:[Inv. Cryptocurrency]]))</f>
        <v xml:space="preserve"> </v>
      </c>
      <c r="AJ486" s="59"/>
      <c r="AK486" s="59" t="str">
        <f>IF(SUM(Dati[[#This Row],[Inv. Gold]:[Mutuo]])=0," ",SUM(Dati[[#This Row],[Inv. Gold]:[Mutuo]]))</f>
        <v xml:space="preserve"> </v>
      </c>
      <c r="AL486" s="59"/>
      <c r="AM486" s="59"/>
    </row>
    <row r="487" spans="2:39" x14ac:dyDescent="0.35">
      <c r="B487">
        <f t="shared" si="21"/>
        <v>467</v>
      </c>
      <c r="C487" s="49">
        <f>C483+1</f>
        <v>45305</v>
      </c>
      <c r="D487" s="29">
        <f>DAY(Dati[[#This Row],[Data]])</f>
        <v>14</v>
      </c>
      <c r="E487" s="29" t="str">
        <f>IF(DAY(Data!$C$21:$C$1327)&gt;0,TEXT(Data!$C$21:$C$1327, "mmmm"),"")</f>
        <v>gennaio</v>
      </c>
      <c r="F487" s="29" t="str">
        <f>IF(DAY(Data!$C$21:$C$1327)&gt;0,TEXT(Data!$C$21:$C$1327, "aaaa"),"")</f>
        <v>2024</v>
      </c>
      <c r="I487" t="str">
        <f>IF(OR(H487=$B$5,H487=$B$6,H487=$B$7,H487=$B$8,H487=$B$9,H487=$B$10,H487=$B$11,H487=$B$12,H487=$B$13,H487=$B$14),SottocategorieUscite[[#Headers],[Fuori Casa]],IF(OR(H487=$C$5,H487=$C$6,H487=$C$7,H487=$C$8,H487=$C$9,H487=$C$10,H487=$C$11,H487=$C$12,H487=$C$13,H487=$C$14),SottocategorieUscite[[#Headers],[Varie Uscite]],IF(OR(H487=$D$5,H487=$D$6,H487=$D$7,H487=$D$8,H487=$D$9,H487=$D$10,H487=$D$11,H487=$D$12,H487=$D$13,H487=$D$14),SottocategorieUscite[[#Headers],[Personali]],IF(OR(H487=$E$5,H487=$E$6,H487=$E$7,H487=$E$8,H487=$E$9,H487=$E$10,H487=$E$11,H487=$E$12,H487=$E$13,H487=$E$14),SottocategorieUscite[[#Headers],[Lavoro]],IF(OR(H487=$F$5,H487=$F$6,H487=$F$7,H487=$F$8,H487=$F$9,H487=$F$10,H487=$F$11,H487=$F$12,H487=$F$13,H487=$F$14),SottocategorieUscite[[#Headers],[Casa]],IF(OR(H487=$G$5,H487=$G$6,H487=$G$7,H487=$G$8,H487=$G$9,H487=$G$10,H487=$G$11,H487=$G$12,H487=$G$13,H487=$G$14),SottocategorieUscite[[#Headers],[Utenze]],IF(OR(H487=$H$5,H487=$H$6,H487=$H$7,H487=$H$8,H487=$H$9,H487=$H$10,H487=$H$11,H487=$H$12,H487=$H$13,H487=$H$14),SottocategorieUscite[[#Headers],[Business Uscite]],IF(OR(H487=$I$5,H487=$I$6,H487=$I$7,H487=$I$8,H487=$I$9,H487=$I$10,H487=$I$11,H487=$I$12,H487=$I$13,H487=$I$14),SottocategorieUscite[[#Headers],[Banca]],IF(OR(H487=K$5,H487=K$6,H487=K$7,H487=K$8,H487=K$9,H487=K$10,H487=K$11,H487=K$12,H487=K$13,H487=K$14),SottocategorieEntrate[[#Headers],[Business Entrate]],IF(OR(H487=L$5,H487=L$6,H487=L$7,H487=L$8,H487=L$9,H487=L$10,H487=L$11,H487=L$12,H487=L$13,H487=L$14),SottocategorieEntrate[[#Headers],[Varie Entrate]],IF(OR(H487=M$5,H487=M$6,H487=M$7,H487=M$8,H487=M$9,H487=M$10,H487=M$11,H487=M$12,H487=M$13,H487=M$14),SottocategorieEntrate[[#Headers],[Real Estate]],IF(OR(H487=N$5,H487=N$6,H487=N$7,H487=N$8,H487=N$9,H487=N$10,H487=N$11,H487=N$12,H487=N$13,H487=N$14),SottocategorieEntrate[[#Headers],[Other]],""))))))))))))</f>
        <v/>
      </c>
      <c r="J487" t="str">
        <f>IF(OR(Dati[[#This Row],[Categoria]]="Bollette",Dati[[#This Row],[Categoria]]="Conto &amp; Carte BNL",Dati[[#This Row],[Categoria]]="Prelievo",Dati[[#This Row],[Categoria]]="Affitto",Dati[[#This Row],[Categoria]]="BNL(Interessi Creditori)"),"Carta",IF(Dati[[#This Row],[Categoria]]&lt;&gt;0,"Cash",""))</f>
        <v/>
      </c>
      <c r="K487" s="59" t="str">
        <f>IF(OR(Data!$I487=SottocategorieUscite[[#Headers],[Fuori Casa]],Data!$I487=SottocategorieUscite[[#Headers],[Varie Uscite]],Data!$I487=SottocategorieUscite[[#Headers],[Personali]],Data!$I487=SottocategorieUscite[[#Headers],[Lavoro]]),"$ -","")</f>
        <v/>
      </c>
      <c r="L487" s="59" t="str">
        <f>IF(OR(Data!$I487=SottocategorieUscite[[#Headers],[Casa]],Data!$I487=SottocategorieUscite[[#Headers],[Utenze]],Data!$I487=SottocategorieUscite[[#Headers],[Business Uscite]],Data!$I487=SottocategorieUscite[[#Headers],[Banca]]),"$ -","")</f>
        <v/>
      </c>
      <c r="M487" s="59" t="str">
        <f>IF(OR($I487&lt;&gt;SottocategorieUscite[[#Headers],[Fuori Casa]],$I487&lt;&gt;SottocategorieUscite[[#Headers],[Varie Uscite]],$I487&lt;&gt;SottocategorieUscite[[#Headers],[Personali]],$I487&lt;&gt;SottocategorieUscite[[#Headers],[Lavoro]],$I487&lt;&gt;SottocategorieUscite[[#Headers],[Casa]],$I487&lt;&gt;SottocategorieUscite[[#Headers],[Utenze]],$I487&lt;&gt;SottocategorieUscite[[#Headers],[Business Uscite]],$I487&lt;&gt;SottocategorieUscite[[#Headers],[Banca]]),"","$ -")</f>
        <v/>
      </c>
      <c r="N487" s="59" t="str">
        <f>IF(OR(Data!$I487=SottocategorieEntrate[[#Headers],[Business Entrate]],Data!$I487=SottocategorieEntrate[[#Headers],[Varie Entrate]]),"$ -","")</f>
        <v/>
      </c>
      <c r="O487" s="59" t="str">
        <f>IF(OR(Data!$I487=SottocategorieEntrate[[#Headers],[Real Estate]],SottocategorieEntrate[[#Headers],[Other]]),"$ -","")</f>
        <v/>
      </c>
      <c r="P487" s="59" t="str">
        <f>IF(OR($I487&lt;&gt;SottocategorieEntrate[[#Headers],[Business Entrate]],$I487&lt;&gt;SottocategorieEntrate[[#Headers],[Varie Entrate]],$I487&lt;&gt;SottocategorieEntrate[[#Headers],[Real Estate]],$I487&lt;&gt;SottocategorieEntrate[[#Headers],[Other]]),"","$ -")</f>
        <v/>
      </c>
      <c r="Q487" s="59" t="str">
        <f>IF(Dati[[#This Row],[Categoria]]="Prelievo","€ -","")</f>
        <v/>
      </c>
      <c r="R487" s="244"/>
      <c r="S487" s="59" t="str">
        <f>IF(Dati[[#This Row],[Categoria]]="Savings",0,"")</f>
        <v/>
      </c>
      <c r="T487" s="59"/>
      <c r="U487" s="59"/>
      <c r="V487" s="59"/>
      <c r="W487" s="59"/>
      <c r="X487" s="59"/>
      <c r="Y487" s="59"/>
      <c r="Z487" s="59"/>
      <c r="AA487" s="59"/>
      <c r="AB487" s="59"/>
      <c r="AC487" s="59"/>
      <c r="AD487" s="59"/>
      <c r="AE487" s="59"/>
      <c r="AF487" s="59"/>
      <c r="AG487" s="59"/>
      <c r="AH487" s="59"/>
      <c r="AI487" s="59" t="str">
        <f>IF(SUM(Dati[[#This Row],[Inv. Business]:[Inv. Cryptocurrency]])=0," ",SUM(Dati[[#This Row],[Inv. Business]:[Inv. Cryptocurrency]]))</f>
        <v xml:space="preserve"> </v>
      </c>
      <c r="AJ487" s="59"/>
      <c r="AK487" s="59" t="str">
        <f>IF(SUM(Dati[[#This Row],[Inv. Gold]:[Mutuo]])=0," ",SUM(Dati[[#This Row],[Inv. Gold]:[Mutuo]]))</f>
        <v xml:space="preserve"> </v>
      </c>
      <c r="AL487" s="59"/>
      <c r="AM487" s="59"/>
    </row>
    <row r="488" spans="2:39" x14ac:dyDescent="0.35">
      <c r="B488">
        <f t="shared" si="21"/>
        <v>468</v>
      </c>
      <c r="C488" s="49">
        <f>C485+1</f>
        <v>45305</v>
      </c>
      <c r="D488" s="29">
        <f>DAY(Dati[[#This Row],[Data]])</f>
        <v>14</v>
      </c>
      <c r="E488" s="29" t="str">
        <f>IF(DAY(Data!$C$21:$C$1327)&gt;0,TEXT(Data!$C$21:$C$1327, "mmmm"),"")</f>
        <v>gennaio</v>
      </c>
      <c r="F488" s="29" t="str">
        <f>IF(DAY(Data!$C$21:$C$1327)&gt;0,TEXT(Data!$C$21:$C$1327, "aaaa"),"")</f>
        <v>2024</v>
      </c>
      <c r="I488" t="str">
        <f>IF(OR(H488=$B$5,H488=$B$6,H488=$B$7,H488=$B$8,H488=$B$9,H488=$B$10,H488=$B$11,H488=$B$12,H488=$B$13,H488=$B$14),SottocategorieUscite[[#Headers],[Fuori Casa]],IF(OR(H488=$C$5,H488=$C$6,H488=$C$7,H488=$C$8,H488=$C$9,H488=$C$10,H488=$C$11,H488=$C$12,H488=$C$13,H488=$C$14),SottocategorieUscite[[#Headers],[Varie Uscite]],IF(OR(H488=$D$5,H488=$D$6,H488=$D$7,H488=$D$8,H488=$D$9,H488=$D$10,H488=$D$11,H488=$D$12,H488=$D$13,H488=$D$14),SottocategorieUscite[[#Headers],[Personali]],IF(OR(H488=$E$5,H488=$E$6,H488=$E$7,H488=$E$8,H488=$E$9,H488=$E$10,H488=$E$11,H488=$E$12,H488=$E$13,H488=$E$14),SottocategorieUscite[[#Headers],[Lavoro]],IF(OR(H488=$F$5,H488=$F$6,H488=$F$7,H488=$F$8,H488=$F$9,H488=$F$10,H488=$F$11,H488=$F$12,H488=$F$13,H488=$F$14),SottocategorieUscite[[#Headers],[Casa]],IF(OR(H488=$G$5,H488=$G$6,H488=$G$7,H488=$G$8,H488=$G$9,H488=$G$10,H488=$G$11,H488=$G$12,H488=$G$13,H488=$G$14),SottocategorieUscite[[#Headers],[Utenze]],IF(OR(H488=$H$5,H488=$H$6,H488=$H$7,H488=$H$8,H488=$H$9,H488=$H$10,H488=$H$11,H488=$H$12,H488=$H$13,H488=$H$14),SottocategorieUscite[[#Headers],[Business Uscite]],IF(OR(H488=$I$5,H488=$I$6,H488=$I$7,H488=$I$8,H488=$I$9,H488=$I$10,H488=$I$11,H488=$I$12,H488=$I$13,H488=$I$14),SottocategorieUscite[[#Headers],[Banca]],IF(OR(H488=K$5,H488=K$6,H488=K$7,H488=K$8,H488=K$9,H488=K$10,H488=K$11,H488=K$12,H488=K$13,H488=K$14),SottocategorieEntrate[[#Headers],[Business Entrate]],IF(OR(H488=L$5,H488=L$6,H488=L$7,H488=L$8,H488=L$9,H488=L$10,H488=L$11,H488=L$12,H488=L$13,H488=L$14),SottocategorieEntrate[[#Headers],[Varie Entrate]],IF(OR(H488=M$5,H488=M$6,H488=M$7,H488=M$8,H488=M$9,H488=M$10,H488=M$11,H488=M$12,H488=M$13,H488=M$14),SottocategorieEntrate[[#Headers],[Real Estate]],IF(OR(H488=N$5,H488=N$6,H488=N$7,H488=N$8,H488=N$9,H488=N$10,H488=N$11,H488=N$12,H488=N$13,H488=N$14),SottocategorieEntrate[[#Headers],[Other]],""))))))))))))</f>
        <v/>
      </c>
      <c r="J488" t="str">
        <f>IF(OR(Dati[[#This Row],[Categoria]]="Bollette",Dati[[#This Row],[Categoria]]="Conto &amp; Carte BNL",Dati[[#This Row],[Categoria]]="Prelievo",Dati[[#This Row],[Categoria]]="Affitto",Dati[[#This Row],[Categoria]]="BNL(Interessi Creditori)"),"Carta",IF(Dati[[#This Row],[Categoria]]&lt;&gt;0,"Cash",""))</f>
        <v/>
      </c>
      <c r="K488" s="59" t="str">
        <f>IF(OR(Data!$I488=SottocategorieUscite[[#Headers],[Fuori Casa]],Data!$I488=SottocategorieUscite[[#Headers],[Varie Uscite]],Data!$I488=SottocategorieUscite[[#Headers],[Personali]],Data!$I488=SottocategorieUscite[[#Headers],[Lavoro]]),"$ -","")</f>
        <v/>
      </c>
      <c r="L488" s="59" t="str">
        <f>IF(OR(Data!$I488=SottocategorieUscite[[#Headers],[Casa]],Data!$I488=SottocategorieUscite[[#Headers],[Utenze]],Data!$I488=SottocategorieUscite[[#Headers],[Business Uscite]],Data!$I488=SottocategorieUscite[[#Headers],[Banca]]),"$ -","")</f>
        <v/>
      </c>
      <c r="M488" s="59" t="str">
        <f>IF(OR($I488&lt;&gt;SottocategorieUscite[[#Headers],[Fuori Casa]],$I488&lt;&gt;SottocategorieUscite[[#Headers],[Varie Uscite]],$I488&lt;&gt;SottocategorieUscite[[#Headers],[Personali]],$I488&lt;&gt;SottocategorieUscite[[#Headers],[Lavoro]],$I488&lt;&gt;SottocategorieUscite[[#Headers],[Casa]],$I488&lt;&gt;SottocategorieUscite[[#Headers],[Utenze]],$I488&lt;&gt;SottocategorieUscite[[#Headers],[Business Uscite]],$I488&lt;&gt;SottocategorieUscite[[#Headers],[Banca]]),"","$ -")</f>
        <v/>
      </c>
      <c r="N488" s="59" t="str">
        <f>IF(OR(Data!$I488=SottocategorieEntrate[[#Headers],[Business Entrate]],Data!$I488=SottocategorieEntrate[[#Headers],[Varie Entrate]]),"$ -","")</f>
        <v/>
      </c>
      <c r="O488" s="59" t="str">
        <f>IF(OR(Data!$I488=SottocategorieEntrate[[#Headers],[Real Estate]],SottocategorieEntrate[[#Headers],[Other]]),"$ -","")</f>
        <v/>
      </c>
      <c r="P488" s="59" t="str">
        <f>IF(OR($I488&lt;&gt;SottocategorieEntrate[[#Headers],[Business Entrate]],$I488&lt;&gt;SottocategorieEntrate[[#Headers],[Varie Entrate]],$I488&lt;&gt;SottocategorieEntrate[[#Headers],[Real Estate]],$I488&lt;&gt;SottocategorieEntrate[[#Headers],[Other]]),"","$ -")</f>
        <v/>
      </c>
      <c r="Q488" s="59" t="str">
        <f>IF(Dati[[#This Row],[Categoria]]="Prelievo","€ -","")</f>
        <v/>
      </c>
      <c r="R488" s="244"/>
      <c r="S488" s="59" t="str">
        <f>IF(Dati[[#This Row],[Categoria]]="Savings",0,"")</f>
        <v/>
      </c>
      <c r="T488" s="59"/>
      <c r="U488" s="59"/>
      <c r="V488" s="59"/>
      <c r="W488" s="59"/>
      <c r="X488" s="59"/>
      <c r="Y488" s="59"/>
      <c r="Z488" s="59"/>
      <c r="AA488" s="59"/>
      <c r="AB488" s="59"/>
      <c r="AC488" s="59"/>
      <c r="AD488" s="59"/>
      <c r="AE488" s="59"/>
      <c r="AF488" s="59"/>
      <c r="AG488" s="59"/>
      <c r="AH488" s="59"/>
      <c r="AI488" s="59" t="str">
        <f>IF(SUM(Dati[[#This Row],[Inv. Business]:[Inv. Cryptocurrency]])=0," ",SUM(Dati[[#This Row],[Inv. Business]:[Inv. Cryptocurrency]]))</f>
        <v xml:space="preserve"> </v>
      </c>
      <c r="AJ488" s="59"/>
      <c r="AK488" s="59" t="str">
        <f>IF(SUM(Dati[[#This Row],[Inv. Gold]:[Mutuo]])=0," ",SUM(Dati[[#This Row],[Inv. Gold]:[Mutuo]]))</f>
        <v xml:space="preserve"> </v>
      </c>
      <c r="AL488" s="59"/>
      <c r="AM488" s="59"/>
    </row>
    <row r="489" spans="2:39" x14ac:dyDescent="0.35">
      <c r="B489">
        <f t="shared" si="21"/>
        <v>469</v>
      </c>
      <c r="C489" s="49">
        <f>C487+1</f>
        <v>45306</v>
      </c>
      <c r="D489" s="29">
        <f>DAY(Dati[[#This Row],[Data]])</f>
        <v>15</v>
      </c>
      <c r="E489" s="29" t="str">
        <f>IF(DAY(Data!$C$21:$C$1327)&gt;0,TEXT(Data!$C$21:$C$1327, "mmmm"),"")</f>
        <v>gennaio</v>
      </c>
      <c r="F489" s="29" t="str">
        <f>IF(DAY(Data!$C$21:$C$1327)&gt;0,TEXT(Data!$C$21:$C$1327, "aaaa"),"")</f>
        <v>2024</v>
      </c>
      <c r="I489" t="str">
        <f>IF(OR(H489=$B$5,H489=$B$6,H489=$B$7,H489=$B$8,H489=$B$9,H489=$B$10,H489=$B$11,H489=$B$12,H489=$B$13,H489=$B$14),SottocategorieUscite[[#Headers],[Fuori Casa]],IF(OR(H489=$C$5,H489=$C$6,H489=$C$7,H489=$C$8,H489=$C$9,H489=$C$10,H489=$C$11,H489=$C$12,H489=$C$13,H489=$C$14),SottocategorieUscite[[#Headers],[Varie Uscite]],IF(OR(H489=$D$5,H489=$D$6,H489=$D$7,H489=$D$8,H489=$D$9,H489=$D$10,H489=$D$11,H489=$D$12,H489=$D$13,H489=$D$14),SottocategorieUscite[[#Headers],[Personali]],IF(OR(H489=$E$5,H489=$E$6,H489=$E$7,H489=$E$8,H489=$E$9,H489=$E$10,H489=$E$11,H489=$E$12,H489=$E$13,H489=$E$14),SottocategorieUscite[[#Headers],[Lavoro]],IF(OR(H489=$F$5,H489=$F$6,H489=$F$7,H489=$F$8,H489=$F$9,H489=$F$10,H489=$F$11,H489=$F$12,H489=$F$13,H489=$F$14),SottocategorieUscite[[#Headers],[Casa]],IF(OR(H489=$G$5,H489=$G$6,H489=$G$7,H489=$G$8,H489=$G$9,H489=$G$10,H489=$G$11,H489=$G$12,H489=$G$13,H489=$G$14),SottocategorieUscite[[#Headers],[Utenze]],IF(OR(H489=$H$5,H489=$H$6,H489=$H$7,H489=$H$8,H489=$H$9,H489=$H$10,H489=$H$11,H489=$H$12,H489=$H$13,H489=$H$14),SottocategorieUscite[[#Headers],[Business Uscite]],IF(OR(H489=$I$5,H489=$I$6,H489=$I$7,H489=$I$8,H489=$I$9,H489=$I$10,H489=$I$11,H489=$I$12,H489=$I$13,H489=$I$14),SottocategorieUscite[[#Headers],[Banca]],IF(OR(H489=K$5,H489=K$6,H489=K$7,H489=K$8,H489=K$9,H489=K$10,H489=K$11,H489=K$12,H489=K$13,H489=K$14),SottocategorieEntrate[[#Headers],[Business Entrate]],IF(OR(H489=L$5,H489=L$6,H489=L$7,H489=L$8,H489=L$9,H489=L$10,H489=L$11,H489=L$12,H489=L$13,H489=L$14),SottocategorieEntrate[[#Headers],[Varie Entrate]],IF(OR(H489=M$5,H489=M$6,H489=M$7,H489=M$8,H489=M$9,H489=M$10,H489=M$11,H489=M$12,H489=M$13,H489=M$14),SottocategorieEntrate[[#Headers],[Real Estate]],IF(OR(H489=N$5,H489=N$6,H489=N$7,H489=N$8,H489=N$9,H489=N$10,H489=N$11,H489=N$12,H489=N$13,H489=N$14),SottocategorieEntrate[[#Headers],[Other]],""))))))))))))</f>
        <v/>
      </c>
      <c r="J489" t="str">
        <f>IF(OR(Dati[[#This Row],[Categoria]]="Bollette",Dati[[#This Row],[Categoria]]="Conto &amp; Carte BNL",Dati[[#This Row],[Categoria]]="Prelievo",Dati[[#This Row],[Categoria]]="Affitto",Dati[[#This Row],[Categoria]]="BNL(Interessi Creditori)"),"Carta",IF(Dati[[#This Row],[Categoria]]&lt;&gt;0,"Cash",""))</f>
        <v/>
      </c>
      <c r="K489" s="59" t="str">
        <f>IF(OR(Data!$I489=SottocategorieUscite[[#Headers],[Fuori Casa]],Data!$I489=SottocategorieUscite[[#Headers],[Varie Uscite]],Data!$I489=SottocategorieUscite[[#Headers],[Personali]],Data!$I489=SottocategorieUscite[[#Headers],[Lavoro]]),"$ -","")</f>
        <v/>
      </c>
      <c r="L489" s="59" t="str">
        <f>IF(OR(Data!$I489=SottocategorieUscite[[#Headers],[Casa]],Data!$I489=SottocategorieUscite[[#Headers],[Utenze]],Data!$I489=SottocategorieUscite[[#Headers],[Business Uscite]],Data!$I489=SottocategorieUscite[[#Headers],[Banca]]),"$ -","")</f>
        <v/>
      </c>
      <c r="M489" s="59" t="str">
        <f>IF(OR($I489&lt;&gt;SottocategorieUscite[[#Headers],[Fuori Casa]],$I489&lt;&gt;SottocategorieUscite[[#Headers],[Varie Uscite]],$I489&lt;&gt;SottocategorieUscite[[#Headers],[Personali]],$I489&lt;&gt;SottocategorieUscite[[#Headers],[Lavoro]],$I489&lt;&gt;SottocategorieUscite[[#Headers],[Casa]],$I489&lt;&gt;SottocategorieUscite[[#Headers],[Utenze]],$I489&lt;&gt;SottocategorieUscite[[#Headers],[Business Uscite]],$I489&lt;&gt;SottocategorieUscite[[#Headers],[Banca]]),"","$ -")</f>
        <v/>
      </c>
      <c r="N489" s="59" t="str">
        <f>IF(OR(Data!$I489=SottocategorieEntrate[[#Headers],[Business Entrate]],Data!$I489=SottocategorieEntrate[[#Headers],[Varie Entrate]]),"$ -","")</f>
        <v/>
      </c>
      <c r="O489" s="59" t="str">
        <f>IF(OR(Data!$I489=SottocategorieEntrate[[#Headers],[Real Estate]],SottocategorieEntrate[[#Headers],[Other]]),"$ -","")</f>
        <v/>
      </c>
      <c r="P489" s="59" t="str">
        <f>IF(OR($I489&lt;&gt;SottocategorieEntrate[[#Headers],[Business Entrate]],$I489&lt;&gt;SottocategorieEntrate[[#Headers],[Varie Entrate]],$I489&lt;&gt;SottocategorieEntrate[[#Headers],[Real Estate]],$I489&lt;&gt;SottocategorieEntrate[[#Headers],[Other]]),"","$ -")</f>
        <v/>
      </c>
      <c r="Q489" s="59" t="str">
        <f>IF(Dati[[#This Row],[Categoria]]="Prelievo","€ -","")</f>
        <v/>
      </c>
      <c r="R489" s="244"/>
      <c r="S489" s="59" t="str">
        <f>IF(Dati[[#This Row],[Categoria]]="Savings",0,"")</f>
        <v/>
      </c>
      <c r="T489" s="59"/>
      <c r="U489" s="59"/>
      <c r="V489" s="59"/>
      <c r="W489" s="59"/>
      <c r="X489" s="59"/>
      <c r="Y489" s="59"/>
      <c r="Z489" s="59"/>
      <c r="AA489" s="59"/>
      <c r="AB489" s="59"/>
      <c r="AC489" s="59"/>
      <c r="AD489" s="59"/>
      <c r="AE489" s="59"/>
      <c r="AF489" s="59"/>
      <c r="AG489" s="59"/>
      <c r="AH489" s="59"/>
      <c r="AI489" s="59" t="str">
        <f>IF(SUM(Dati[[#This Row],[Inv. Business]:[Inv. Cryptocurrency]])=0," ",SUM(Dati[[#This Row],[Inv. Business]:[Inv. Cryptocurrency]]))</f>
        <v xml:space="preserve"> </v>
      </c>
      <c r="AJ489" s="59"/>
      <c r="AK489" s="59" t="str">
        <f>IF(SUM(Dati[[#This Row],[Inv. Gold]:[Mutuo]])=0," ",SUM(Dati[[#This Row],[Inv. Gold]:[Mutuo]]))</f>
        <v xml:space="preserve"> </v>
      </c>
      <c r="AL489" s="59"/>
      <c r="AM489" s="59"/>
    </row>
    <row r="490" spans="2:39" x14ac:dyDescent="0.35">
      <c r="B490">
        <f t="shared" si="21"/>
        <v>470</v>
      </c>
      <c r="C490" s="49">
        <f t="shared" si="20"/>
        <v>45307</v>
      </c>
      <c r="D490" s="29">
        <f>DAY(Dati[[#This Row],[Data]])</f>
        <v>16</v>
      </c>
      <c r="E490" s="29" t="str">
        <f>IF(DAY(Data!$C$21:$C$1327)&gt;0,TEXT(Data!$C$21:$C$1327, "mmmm"),"")</f>
        <v>gennaio</v>
      </c>
      <c r="F490" s="29" t="str">
        <f>IF(DAY(Data!$C$21:$C$1327)&gt;0,TEXT(Data!$C$21:$C$1327, "aaaa"),"")</f>
        <v>2024</v>
      </c>
      <c r="I490" t="str">
        <f>IF(OR(H490=$B$5,H490=$B$6,H490=$B$7,H490=$B$8,H490=$B$9,H490=$B$10,H490=$B$11,H490=$B$12,H490=$B$13,H490=$B$14),SottocategorieUscite[[#Headers],[Fuori Casa]],IF(OR(H490=$C$5,H490=$C$6,H490=$C$7,H490=$C$8,H490=$C$9,H490=$C$10,H490=$C$11,H490=$C$12,H490=$C$13,H490=$C$14),SottocategorieUscite[[#Headers],[Varie Uscite]],IF(OR(H490=$D$5,H490=$D$6,H490=$D$7,H490=$D$8,H490=$D$9,H490=$D$10,H490=$D$11,H490=$D$12,H490=$D$13,H490=$D$14),SottocategorieUscite[[#Headers],[Personali]],IF(OR(H490=$E$5,H490=$E$6,H490=$E$7,H490=$E$8,H490=$E$9,H490=$E$10,H490=$E$11,H490=$E$12,H490=$E$13,H490=$E$14),SottocategorieUscite[[#Headers],[Lavoro]],IF(OR(H490=$F$5,H490=$F$6,H490=$F$7,H490=$F$8,H490=$F$9,H490=$F$10,H490=$F$11,H490=$F$12,H490=$F$13,H490=$F$14),SottocategorieUscite[[#Headers],[Casa]],IF(OR(H490=$G$5,H490=$G$6,H490=$G$7,H490=$G$8,H490=$G$9,H490=$G$10,H490=$G$11,H490=$G$12,H490=$G$13,H490=$G$14),SottocategorieUscite[[#Headers],[Utenze]],IF(OR(H490=$H$5,H490=$H$6,H490=$H$7,H490=$H$8,H490=$H$9,H490=$H$10,H490=$H$11,H490=$H$12,H490=$H$13,H490=$H$14),SottocategorieUscite[[#Headers],[Business Uscite]],IF(OR(H490=$I$5,H490=$I$6,H490=$I$7,H490=$I$8,H490=$I$9,H490=$I$10,H490=$I$11,H490=$I$12,H490=$I$13,H490=$I$14),SottocategorieUscite[[#Headers],[Banca]],IF(OR(H490=K$5,H490=K$6,H490=K$7,H490=K$8,H490=K$9,H490=K$10,H490=K$11,H490=K$12,H490=K$13,H490=K$14),SottocategorieEntrate[[#Headers],[Business Entrate]],IF(OR(H490=L$5,H490=L$6,H490=L$7,H490=L$8,H490=L$9,H490=L$10,H490=L$11,H490=L$12,H490=L$13,H490=L$14),SottocategorieEntrate[[#Headers],[Varie Entrate]],IF(OR(H490=M$5,H490=M$6,H490=M$7,H490=M$8,H490=M$9,H490=M$10,H490=M$11,H490=M$12,H490=M$13,H490=M$14),SottocategorieEntrate[[#Headers],[Real Estate]],IF(OR(H490=N$5,H490=N$6,H490=N$7,H490=N$8,H490=N$9,H490=N$10,H490=N$11,H490=N$12,H490=N$13,H490=N$14),SottocategorieEntrate[[#Headers],[Other]],""))))))))))))</f>
        <v/>
      </c>
      <c r="J490" t="str">
        <f>IF(OR(Dati[[#This Row],[Categoria]]="Bollette",Dati[[#This Row],[Categoria]]="Conto &amp; Carte BNL",Dati[[#This Row],[Categoria]]="Prelievo",Dati[[#This Row],[Categoria]]="Affitto",Dati[[#This Row],[Categoria]]="BNL(Interessi Creditori)"),"Carta",IF(Dati[[#This Row],[Categoria]]&lt;&gt;0,"Cash",""))</f>
        <v/>
      </c>
      <c r="K490" s="59" t="str">
        <f>IF(OR(Data!$I490=SottocategorieUscite[[#Headers],[Fuori Casa]],Data!$I490=SottocategorieUscite[[#Headers],[Varie Uscite]],Data!$I490=SottocategorieUscite[[#Headers],[Personali]],Data!$I490=SottocategorieUscite[[#Headers],[Lavoro]]),"$ -","")</f>
        <v/>
      </c>
      <c r="L490" s="59" t="str">
        <f>IF(OR(Data!$I490=SottocategorieUscite[[#Headers],[Casa]],Data!$I490=SottocategorieUscite[[#Headers],[Utenze]],Data!$I490=SottocategorieUscite[[#Headers],[Business Uscite]],Data!$I490=SottocategorieUscite[[#Headers],[Banca]]),"$ -","")</f>
        <v/>
      </c>
      <c r="M490" s="59" t="str">
        <f>IF(OR($I490&lt;&gt;SottocategorieUscite[[#Headers],[Fuori Casa]],$I490&lt;&gt;SottocategorieUscite[[#Headers],[Varie Uscite]],$I490&lt;&gt;SottocategorieUscite[[#Headers],[Personali]],$I490&lt;&gt;SottocategorieUscite[[#Headers],[Lavoro]],$I490&lt;&gt;SottocategorieUscite[[#Headers],[Casa]],$I490&lt;&gt;SottocategorieUscite[[#Headers],[Utenze]],$I490&lt;&gt;SottocategorieUscite[[#Headers],[Business Uscite]],$I490&lt;&gt;SottocategorieUscite[[#Headers],[Banca]]),"","$ -")</f>
        <v/>
      </c>
      <c r="N490" s="59" t="str">
        <f>IF(OR(Data!$I490=SottocategorieEntrate[[#Headers],[Business Entrate]],Data!$I490=SottocategorieEntrate[[#Headers],[Varie Entrate]]),"$ -","")</f>
        <v/>
      </c>
      <c r="O490" s="59" t="str">
        <f>IF(OR(Data!$I490=SottocategorieEntrate[[#Headers],[Real Estate]],SottocategorieEntrate[[#Headers],[Other]]),"$ -","")</f>
        <v/>
      </c>
      <c r="P490" s="59" t="str">
        <f>IF(OR($I490&lt;&gt;SottocategorieEntrate[[#Headers],[Business Entrate]],$I490&lt;&gt;SottocategorieEntrate[[#Headers],[Varie Entrate]],$I490&lt;&gt;SottocategorieEntrate[[#Headers],[Real Estate]],$I490&lt;&gt;SottocategorieEntrate[[#Headers],[Other]]),"","$ -")</f>
        <v/>
      </c>
      <c r="Q490" s="59" t="str">
        <f>IF(Dati[[#This Row],[Categoria]]="Prelievo","€ -","")</f>
        <v/>
      </c>
      <c r="R490" s="244"/>
      <c r="S490" s="59" t="str">
        <f>IF(Dati[[#This Row],[Categoria]]="Savings",0,"")</f>
        <v/>
      </c>
      <c r="T490" s="59"/>
      <c r="U490" s="59"/>
      <c r="V490" s="59"/>
      <c r="W490" s="59"/>
      <c r="X490" s="59"/>
      <c r="Y490" s="59"/>
      <c r="Z490" s="59"/>
      <c r="AA490" s="59"/>
      <c r="AB490" s="59"/>
      <c r="AC490" s="59"/>
      <c r="AD490" s="59"/>
      <c r="AE490" s="59"/>
      <c r="AF490" s="59"/>
      <c r="AG490" s="59"/>
      <c r="AH490" s="59"/>
      <c r="AI490" s="59" t="str">
        <f>IF(SUM(Dati[[#This Row],[Inv. Business]:[Inv. Cryptocurrency]])=0," ",SUM(Dati[[#This Row],[Inv. Business]:[Inv. Cryptocurrency]]))</f>
        <v xml:space="preserve"> </v>
      </c>
      <c r="AJ490" s="59"/>
      <c r="AK490" s="59" t="str">
        <f>IF(SUM(Dati[[#This Row],[Inv. Gold]:[Mutuo]])=0," ",SUM(Dati[[#This Row],[Inv. Gold]:[Mutuo]]))</f>
        <v xml:space="preserve"> </v>
      </c>
      <c r="AL490" s="59"/>
      <c r="AM490" s="59"/>
    </row>
    <row r="491" spans="2:39" x14ac:dyDescent="0.35">
      <c r="B491">
        <f t="shared" si="21"/>
        <v>471</v>
      </c>
      <c r="C491" s="49">
        <f>C489+1</f>
        <v>45307</v>
      </c>
      <c r="D491" s="29">
        <f>DAY(Dati[[#This Row],[Data]])</f>
        <v>16</v>
      </c>
      <c r="E491" s="29" t="str">
        <f>IF(DAY(Data!$C$21:$C$1327)&gt;0,TEXT(Data!$C$21:$C$1327, "mmmm"),"")</f>
        <v>gennaio</v>
      </c>
      <c r="F491" s="29" t="str">
        <f>IF(DAY(Data!$C$21:$C$1327)&gt;0,TEXT(Data!$C$21:$C$1327, "aaaa"),"")</f>
        <v>2024</v>
      </c>
      <c r="I491" t="str">
        <f>IF(OR(H491=$B$5,H491=$B$6,H491=$B$7,H491=$B$8,H491=$B$9,H491=$B$10,H491=$B$11,H491=$B$12,H491=$B$13,H491=$B$14),SottocategorieUscite[[#Headers],[Fuori Casa]],IF(OR(H491=$C$5,H491=$C$6,H491=$C$7,H491=$C$8,H491=$C$9,H491=$C$10,H491=$C$11,H491=$C$12,H491=$C$13,H491=$C$14),SottocategorieUscite[[#Headers],[Varie Uscite]],IF(OR(H491=$D$5,H491=$D$6,H491=$D$7,H491=$D$8,H491=$D$9,H491=$D$10,H491=$D$11,H491=$D$12,H491=$D$13,H491=$D$14),SottocategorieUscite[[#Headers],[Personali]],IF(OR(H491=$E$5,H491=$E$6,H491=$E$7,H491=$E$8,H491=$E$9,H491=$E$10,H491=$E$11,H491=$E$12,H491=$E$13,H491=$E$14),SottocategorieUscite[[#Headers],[Lavoro]],IF(OR(H491=$F$5,H491=$F$6,H491=$F$7,H491=$F$8,H491=$F$9,H491=$F$10,H491=$F$11,H491=$F$12,H491=$F$13,H491=$F$14),SottocategorieUscite[[#Headers],[Casa]],IF(OR(H491=$G$5,H491=$G$6,H491=$G$7,H491=$G$8,H491=$G$9,H491=$G$10,H491=$G$11,H491=$G$12,H491=$G$13,H491=$G$14),SottocategorieUscite[[#Headers],[Utenze]],IF(OR(H491=$H$5,H491=$H$6,H491=$H$7,H491=$H$8,H491=$H$9,H491=$H$10,H491=$H$11,H491=$H$12,H491=$H$13,H491=$H$14),SottocategorieUscite[[#Headers],[Business Uscite]],IF(OR(H491=$I$5,H491=$I$6,H491=$I$7,H491=$I$8,H491=$I$9,H491=$I$10,H491=$I$11,H491=$I$12,H491=$I$13,H491=$I$14),SottocategorieUscite[[#Headers],[Banca]],IF(OR(H491=K$5,H491=K$6,H491=K$7,H491=K$8,H491=K$9,H491=K$10,H491=K$11,H491=K$12,H491=K$13,H491=K$14),SottocategorieEntrate[[#Headers],[Business Entrate]],IF(OR(H491=L$5,H491=L$6,H491=L$7,H491=L$8,H491=L$9,H491=L$10,H491=L$11,H491=L$12,H491=L$13,H491=L$14),SottocategorieEntrate[[#Headers],[Varie Entrate]],IF(OR(H491=M$5,H491=M$6,H491=M$7,H491=M$8,H491=M$9,H491=M$10,H491=M$11,H491=M$12,H491=M$13,H491=M$14),SottocategorieEntrate[[#Headers],[Real Estate]],IF(OR(H491=N$5,H491=N$6,H491=N$7,H491=N$8,H491=N$9,H491=N$10,H491=N$11,H491=N$12,H491=N$13,H491=N$14),SottocategorieEntrate[[#Headers],[Other]],""))))))))))))</f>
        <v/>
      </c>
      <c r="J491" t="str">
        <f>IF(OR(Dati[[#This Row],[Categoria]]="Bollette",Dati[[#This Row],[Categoria]]="Conto &amp; Carte BNL",Dati[[#This Row],[Categoria]]="Prelievo",Dati[[#This Row],[Categoria]]="Affitto",Dati[[#This Row],[Categoria]]="BNL(Interessi Creditori)"),"Carta",IF(Dati[[#This Row],[Categoria]]&lt;&gt;0,"Cash",""))</f>
        <v/>
      </c>
      <c r="K491" s="59" t="str">
        <f>IF(OR(Data!$I491=SottocategorieUscite[[#Headers],[Fuori Casa]],Data!$I491=SottocategorieUscite[[#Headers],[Varie Uscite]],Data!$I491=SottocategorieUscite[[#Headers],[Personali]],Data!$I491=SottocategorieUscite[[#Headers],[Lavoro]]),"$ -","")</f>
        <v/>
      </c>
      <c r="L491" s="59" t="str">
        <f>IF(OR(Data!$I491=SottocategorieUscite[[#Headers],[Casa]],Data!$I491=SottocategorieUscite[[#Headers],[Utenze]],Data!$I491=SottocategorieUscite[[#Headers],[Business Uscite]],Data!$I491=SottocategorieUscite[[#Headers],[Banca]]),"$ -","")</f>
        <v/>
      </c>
      <c r="M491" s="59" t="str">
        <f>IF(OR($I491&lt;&gt;SottocategorieUscite[[#Headers],[Fuori Casa]],$I491&lt;&gt;SottocategorieUscite[[#Headers],[Varie Uscite]],$I491&lt;&gt;SottocategorieUscite[[#Headers],[Personali]],$I491&lt;&gt;SottocategorieUscite[[#Headers],[Lavoro]],$I491&lt;&gt;SottocategorieUscite[[#Headers],[Casa]],$I491&lt;&gt;SottocategorieUscite[[#Headers],[Utenze]],$I491&lt;&gt;SottocategorieUscite[[#Headers],[Business Uscite]],$I491&lt;&gt;SottocategorieUscite[[#Headers],[Banca]]),"","$ -")</f>
        <v/>
      </c>
      <c r="N491" s="59" t="str">
        <f>IF(OR(Data!$I491=SottocategorieEntrate[[#Headers],[Business Entrate]],Data!$I491=SottocategorieEntrate[[#Headers],[Varie Entrate]]),"$ -","")</f>
        <v/>
      </c>
      <c r="O491" s="59" t="str">
        <f>IF(OR(Data!$I491=SottocategorieEntrate[[#Headers],[Real Estate]],SottocategorieEntrate[[#Headers],[Other]]),"$ -","")</f>
        <v/>
      </c>
      <c r="P491" s="59" t="str">
        <f>IF(OR($I491&lt;&gt;SottocategorieEntrate[[#Headers],[Business Entrate]],$I491&lt;&gt;SottocategorieEntrate[[#Headers],[Varie Entrate]],$I491&lt;&gt;SottocategorieEntrate[[#Headers],[Real Estate]],$I491&lt;&gt;SottocategorieEntrate[[#Headers],[Other]]),"","$ -")</f>
        <v/>
      </c>
      <c r="Q491" s="59" t="str">
        <f>IF(Dati[[#This Row],[Categoria]]="Prelievo","€ -","")</f>
        <v/>
      </c>
      <c r="R491" s="244"/>
      <c r="S491" s="59" t="str">
        <f>IF(Dati[[#This Row],[Categoria]]="Savings",0,"")</f>
        <v/>
      </c>
      <c r="T491" s="59"/>
      <c r="U491" s="59"/>
      <c r="V491" s="59"/>
      <c r="W491" s="59"/>
      <c r="X491" s="59"/>
      <c r="Y491" s="59"/>
      <c r="Z491" s="59"/>
      <c r="AA491" s="59"/>
      <c r="AB491" s="59"/>
      <c r="AC491" s="59"/>
      <c r="AD491" s="59"/>
      <c r="AE491" s="59"/>
      <c r="AF491" s="59"/>
      <c r="AG491" s="59"/>
      <c r="AH491" s="59"/>
      <c r="AI491" s="59" t="str">
        <f>IF(SUM(Dati[[#This Row],[Inv. Business]:[Inv. Cryptocurrency]])=0," ",SUM(Dati[[#This Row],[Inv. Business]:[Inv. Cryptocurrency]]))</f>
        <v xml:space="preserve"> </v>
      </c>
      <c r="AJ491" s="59"/>
      <c r="AK491" s="59" t="str">
        <f>IF(SUM(Dati[[#This Row],[Inv. Gold]:[Mutuo]])=0," ",SUM(Dati[[#This Row],[Inv. Gold]:[Mutuo]]))</f>
        <v xml:space="preserve"> </v>
      </c>
      <c r="AL491" s="59"/>
      <c r="AM491" s="59"/>
    </row>
    <row r="492" spans="2:39" x14ac:dyDescent="0.35">
      <c r="B492">
        <f t="shared" si="21"/>
        <v>472</v>
      </c>
      <c r="C492" s="49">
        <f>C489+1</f>
        <v>45307</v>
      </c>
      <c r="D492" s="29">
        <f>DAY(Dati[[#This Row],[Data]])</f>
        <v>16</v>
      </c>
      <c r="E492" s="29" t="str">
        <f>IF(DAY(Data!$C$21:$C$1327)&gt;0,TEXT(Data!$C$21:$C$1327, "mmmm"),"")</f>
        <v>gennaio</v>
      </c>
      <c r="F492" s="29" t="str">
        <f>IF(DAY(Data!$C$21:$C$1327)&gt;0,TEXT(Data!$C$21:$C$1327, "aaaa"),"")</f>
        <v>2024</v>
      </c>
      <c r="I492" t="str">
        <f>IF(OR(H492=$B$5,H492=$B$6,H492=$B$7,H492=$B$8,H492=$B$9,H492=$B$10,H492=$B$11,H492=$B$12,H492=$B$13,H492=$B$14),SottocategorieUscite[[#Headers],[Fuori Casa]],IF(OR(H492=$C$5,H492=$C$6,H492=$C$7,H492=$C$8,H492=$C$9,H492=$C$10,H492=$C$11,H492=$C$12,H492=$C$13,H492=$C$14),SottocategorieUscite[[#Headers],[Varie Uscite]],IF(OR(H492=$D$5,H492=$D$6,H492=$D$7,H492=$D$8,H492=$D$9,H492=$D$10,H492=$D$11,H492=$D$12,H492=$D$13,H492=$D$14),SottocategorieUscite[[#Headers],[Personali]],IF(OR(H492=$E$5,H492=$E$6,H492=$E$7,H492=$E$8,H492=$E$9,H492=$E$10,H492=$E$11,H492=$E$12,H492=$E$13,H492=$E$14),SottocategorieUscite[[#Headers],[Lavoro]],IF(OR(H492=$F$5,H492=$F$6,H492=$F$7,H492=$F$8,H492=$F$9,H492=$F$10,H492=$F$11,H492=$F$12,H492=$F$13,H492=$F$14),SottocategorieUscite[[#Headers],[Casa]],IF(OR(H492=$G$5,H492=$G$6,H492=$G$7,H492=$G$8,H492=$G$9,H492=$G$10,H492=$G$11,H492=$G$12,H492=$G$13,H492=$G$14),SottocategorieUscite[[#Headers],[Utenze]],IF(OR(H492=$H$5,H492=$H$6,H492=$H$7,H492=$H$8,H492=$H$9,H492=$H$10,H492=$H$11,H492=$H$12,H492=$H$13,H492=$H$14),SottocategorieUscite[[#Headers],[Business Uscite]],IF(OR(H492=$I$5,H492=$I$6,H492=$I$7,H492=$I$8,H492=$I$9,H492=$I$10,H492=$I$11,H492=$I$12,H492=$I$13,H492=$I$14),SottocategorieUscite[[#Headers],[Banca]],IF(OR(H492=K$5,H492=K$6,H492=K$7,H492=K$8,H492=K$9,H492=K$10,H492=K$11,H492=K$12,H492=K$13,H492=K$14),SottocategorieEntrate[[#Headers],[Business Entrate]],IF(OR(H492=L$5,H492=L$6,H492=L$7,H492=L$8,H492=L$9,H492=L$10,H492=L$11,H492=L$12,H492=L$13,H492=L$14),SottocategorieEntrate[[#Headers],[Varie Entrate]],IF(OR(H492=M$5,H492=M$6,H492=M$7,H492=M$8,H492=M$9,H492=M$10,H492=M$11,H492=M$12,H492=M$13,H492=M$14),SottocategorieEntrate[[#Headers],[Real Estate]],IF(OR(H492=N$5,H492=N$6,H492=N$7,H492=N$8,H492=N$9,H492=N$10,H492=N$11,H492=N$12,H492=N$13,H492=N$14),SottocategorieEntrate[[#Headers],[Other]],""))))))))))))</f>
        <v/>
      </c>
      <c r="J492" t="str">
        <f>IF(OR(Dati[[#This Row],[Categoria]]="Bollette",Dati[[#This Row],[Categoria]]="Conto &amp; Carte BNL",Dati[[#This Row],[Categoria]]="Prelievo",Dati[[#This Row],[Categoria]]="Affitto",Dati[[#This Row],[Categoria]]="BNL(Interessi Creditori)"),"Carta",IF(Dati[[#This Row],[Categoria]]&lt;&gt;0,"Cash",""))</f>
        <v/>
      </c>
      <c r="K492" s="59" t="str">
        <f>IF(OR(Data!$I492=SottocategorieUscite[[#Headers],[Fuori Casa]],Data!$I492=SottocategorieUscite[[#Headers],[Varie Uscite]],Data!$I492=SottocategorieUscite[[#Headers],[Personali]],Data!$I492=SottocategorieUscite[[#Headers],[Lavoro]]),"$ -","")</f>
        <v/>
      </c>
      <c r="L492" s="59" t="str">
        <f>IF(OR(Data!$I492=SottocategorieUscite[[#Headers],[Casa]],Data!$I492=SottocategorieUscite[[#Headers],[Utenze]],Data!$I492=SottocategorieUscite[[#Headers],[Business Uscite]],Data!$I492=SottocategorieUscite[[#Headers],[Banca]]),"$ -","")</f>
        <v/>
      </c>
      <c r="M492" s="59" t="str">
        <f>IF(OR($I492&lt;&gt;SottocategorieUscite[[#Headers],[Fuori Casa]],$I492&lt;&gt;SottocategorieUscite[[#Headers],[Varie Uscite]],$I492&lt;&gt;SottocategorieUscite[[#Headers],[Personali]],$I492&lt;&gt;SottocategorieUscite[[#Headers],[Lavoro]],$I492&lt;&gt;SottocategorieUscite[[#Headers],[Casa]],$I492&lt;&gt;SottocategorieUscite[[#Headers],[Utenze]],$I492&lt;&gt;SottocategorieUscite[[#Headers],[Business Uscite]],$I492&lt;&gt;SottocategorieUscite[[#Headers],[Banca]]),"","$ -")</f>
        <v/>
      </c>
      <c r="N492" s="59" t="str">
        <f>IF(OR(Data!$I492=SottocategorieEntrate[[#Headers],[Business Entrate]],Data!$I492=SottocategorieEntrate[[#Headers],[Varie Entrate]]),"$ -","")</f>
        <v/>
      </c>
      <c r="O492" s="59" t="str">
        <f>IF(OR(Data!$I492=SottocategorieEntrate[[#Headers],[Real Estate]],SottocategorieEntrate[[#Headers],[Other]]),"$ -","")</f>
        <v/>
      </c>
      <c r="P492" s="59" t="str">
        <f>IF(OR($I492&lt;&gt;SottocategorieEntrate[[#Headers],[Business Entrate]],$I492&lt;&gt;SottocategorieEntrate[[#Headers],[Varie Entrate]],$I492&lt;&gt;SottocategorieEntrate[[#Headers],[Real Estate]],$I492&lt;&gt;SottocategorieEntrate[[#Headers],[Other]]),"","$ -")</f>
        <v/>
      </c>
      <c r="Q492" s="59" t="str">
        <f>IF(Dati[[#This Row],[Categoria]]="Prelievo","€ -","")</f>
        <v/>
      </c>
      <c r="R492" s="244"/>
      <c r="S492" s="59" t="str">
        <f>IF(Dati[[#This Row],[Categoria]]="Savings",0,"")</f>
        <v/>
      </c>
      <c r="T492" s="59"/>
      <c r="U492" s="59"/>
      <c r="V492" s="59"/>
      <c r="W492" s="59"/>
      <c r="X492" s="59"/>
      <c r="Y492" s="59"/>
      <c r="Z492" s="59"/>
      <c r="AA492" s="59"/>
      <c r="AB492" s="59"/>
      <c r="AC492" s="59"/>
      <c r="AD492" s="59"/>
      <c r="AE492" s="59"/>
      <c r="AF492" s="59"/>
      <c r="AG492" s="59"/>
      <c r="AH492" s="59"/>
      <c r="AI492" s="59" t="str">
        <f>IF(SUM(Dati[[#This Row],[Inv. Business]:[Inv. Cryptocurrency]])=0," ",SUM(Dati[[#This Row],[Inv. Business]:[Inv. Cryptocurrency]]))</f>
        <v xml:space="preserve"> </v>
      </c>
      <c r="AJ492" s="59"/>
      <c r="AK492" s="59" t="str">
        <f>IF(SUM(Dati[[#This Row],[Inv. Gold]:[Mutuo]])=0," ",SUM(Dati[[#This Row],[Inv. Gold]:[Mutuo]]))</f>
        <v xml:space="preserve"> </v>
      </c>
      <c r="AL492" s="59"/>
      <c r="AM492" s="59"/>
    </row>
    <row r="493" spans="2:39" x14ac:dyDescent="0.35">
      <c r="B493">
        <f t="shared" si="21"/>
        <v>473</v>
      </c>
      <c r="C493" s="49">
        <f>C489+1</f>
        <v>45307</v>
      </c>
      <c r="D493" s="29">
        <f>DAY(Dati[[#This Row],[Data]])</f>
        <v>16</v>
      </c>
      <c r="E493" s="29" t="str">
        <f>IF(DAY(Data!$C$21:$C$1327)&gt;0,TEXT(Data!$C$21:$C$1327, "mmmm"),"")</f>
        <v>gennaio</v>
      </c>
      <c r="F493" s="29" t="str">
        <f>IF(DAY(Data!$C$21:$C$1327)&gt;0,TEXT(Data!$C$21:$C$1327, "aaaa"),"")</f>
        <v>2024</v>
      </c>
      <c r="I493" t="str">
        <f>IF(OR(H493=$B$5,H493=$B$6,H493=$B$7,H493=$B$8,H493=$B$9,H493=$B$10,H493=$B$11,H493=$B$12,H493=$B$13,H493=$B$14),SottocategorieUscite[[#Headers],[Fuori Casa]],IF(OR(H493=$C$5,H493=$C$6,H493=$C$7,H493=$C$8,H493=$C$9,H493=$C$10,H493=$C$11,H493=$C$12,H493=$C$13,H493=$C$14),SottocategorieUscite[[#Headers],[Varie Uscite]],IF(OR(H493=$D$5,H493=$D$6,H493=$D$7,H493=$D$8,H493=$D$9,H493=$D$10,H493=$D$11,H493=$D$12,H493=$D$13,H493=$D$14),SottocategorieUscite[[#Headers],[Personali]],IF(OR(H493=$E$5,H493=$E$6,H493=$E$7,H493=$E$8,H493=$E$9,H493=$E$10,H493=$E$11,H493=$E$12,H493=$E$13,H493=$E$14),SottocategorieUscite[[#Headers],[Lavoro]],IF(OR(H493=$F$5,H493=$F$6,H493=$F$7,H493=$F$8,H493=$F$9,H493=$F$10,H493=$F$11,H493=$F$12,H493=$F$13,H493=$F$14),SottocategorieUscite[[#Headers],[Casa]],IF(OR(H493=$G$5,H493=$G$6,H493=$G$7,H493=$G$8,H493=$G$9,H493=$G$10,H493=$G$11,H493=$G$12,H493=$G$13,H493=$G$14),SottocategorieUscite[[#Headers],[Utenze]],IF(OR(H493=$H$5,H493=$H$6,H493=$H$7,H493=$H$8,H493=$H$9,H493=$H$10,H493=$H$11,H493=$H$12,H493=$H$13,H493=$H$14),SottocategorieUscite[[#Headers],[Business Uscite]],IF(OR(H493=$I$5,H493=$I$6,H493=$I$7,H493=$I$8,H493=$I$9,H493=$I$10,H493=$I$11,H493=$I$12,H493=$I$13,H493=$I$14),SottocategorieUscite[[#Headers],[Banca]],IF(OR(H493=K$5,H493=K$6,H493=K$7,H493=K$8,H493=K$9,H493=K$10,H493=K$11,H493=K$12,H493=K$13,H493=K$14),SottocategorieEntrate[[#Headers],[Business Entrate]],IF(OR(H493=L$5,H493=L$6,H493=L$7,H493=L$8,H493=L$9,H493=L$10,H493=L$11,H493=L$12,H493=L$13,H493=L$14),SottocategorieEntrate[[#Headers],[Varie Entrate]],IF(OR(H493=M$5,H493=M$6,H493=M$7,H493=M$8,H493=M$9,H493=M$10,H493=M$11,H493=M$12,H493=M$13,H493=M$14),SottocategorieEntrate[[#Headers],[Real Estate]],IF(OR(H493=N$5,H493=N$6,H493=N$7,H493=N$8,H493=N$9,H493=N$10,H493=N$11,H493=N$12,H493=N$13,H493=N$14),SottocategorieEntrate[[#Headers],[Other]],""))))))))))))</f>
        <v/>
      </c>
      <c r="J493" t="str">
        <f>IF(OR(Dati[[#This Row],[Categoria]]="Bollette",Dati[[#This Row],[Categoria]]="Conto &amp; Carte BNL",Dati[[#This Row],[Categoria]]="Prelievo",Dati[[#This Row],[Categoria]]="Affitto",Dati[[#This Row],[Categoria]]="BNL(Interessi Creditori)"),"Carta",IF(Dati[[#This Row],[Categoria]]&lt;&gt;0,"Cash",""))</f>
        <v/>
      </c>
      <c r="K493" s="59" t="str">
        <f>IF(OR(Data!$I493=SottocategorieUscite[[#Headers],[Fuori Casa]],Data!$I493=SottocategorieUscite[[#Headers],[Varie Uscite]],Data!$I493=SottocategorieUscite[[#Headers],[Personali]],Data!$I493=SottocategorieUscite[[#Headers],[Lavoro]]),"$ -","")</f>
        <v/>
      </c>
      <c r="L493" s="59" t="str">
        <f>IF(OR(Data!$I493=SottocategorieUscite[[#Headers],[Casa]],Data!$I493=SottocategorieUscite[[#Headers],[Utenze]],Data!$I493=SottocategorieUscite[[#Headers],[Business Uscite]],Data!$I493=SottocategorieUscite[[#Headers],[Banca]]),"$ -","")</f>
        <v/>
      </c>
      <c r="M493" s="59" t="str">
        <f>IF(OR($I493&lt;&gt;SottocategorieUscite[[#Headers],[Fuori Casa]],$I493&lt;&gt;SottocategorieUscite[[#Headers],[Varie Uscite]],$I493&lt;&gt;SottocategorieUscite[[#Headers],[Personali]],$I493&lt;&gt;SottocategorieUscite[[#Headers],[Lavoro]],$I493&lt;&gt;SottocategorieUscite[[#Headers],[Casa]],$I493&lt;&gt;SottocategorieUscite[[#Headers],[Utenze]],$I493&lt;&gt;SottocategorieUscite[[#Headers],[Business Uscite]],$I493&lt;&gt;SottocategorieUscite[[#Headers],[Banca]]),"","$ -")</f>
        <v/>
      </c>
      <c r="N493" s="59" t="str">
        <f>IF(OR(Data!$I493=SottocategorieEntrate[[#Headers],[Business Entrate]],Data!$I493=SottocategorieEntrate[[#Headers],[Varie Entrate]]),"$ -","")</f>
        <v/>
      </c>
      <c r="O493" s="59" t="str">
        <f>IF(OR(Data!$I493=SottocategorieEntrate[[#Headers],[Real Estate]],SottocategorieEntrate[[#Headers],[Other]]),"$ -","")</f>
        <v/>
      </c>
      <c r="P493" s="59" t="str">
        <f>IF(OR($I493&lt;&gt;SottocategorieEntrate[[#Headers],[Business Entrate]],$I493&lt;&gt;SottocategorieEntrate[[#Headers],[Varie Entrate]],$I493&lt;&gt;SottocategorieEntrate[[#Headers],[Real Estate]],$I493&lt;&gt;SottocategorieEntrate[[#Headers],[Other]]),"","$ -")</f>
        <v/>
      </c>
      <c r="Q493" s="59" t="str">
        <f>IF(Dati[[#This Row],[Categoria]]="Prelievo","€ -","")</f>
        <v/>
      </c>
      <c r="R493" s="244"/>
      <c r="S493" s="59" t="str">
        <f>IF(Dati[[#This Row],[Categoria]]="Savings",0,"")</f>
        <v/>
      </c>
      <c r="T493" s="59"/>
      <c r="U493" s="59"/>
      <c r="V493" s="59"/>
      <c r="W493" s="59"/>
      <c r="X493" s="59"/>
      <c r="Y493" s="59"/>
      <c r="Z493" s="59"/>
      <c r="AA493" s="59"/>
      <c r="AB493" s="59"/>
      <c r="AC493" s="59"/>
      <c r="AD493" s="59"/>
      <c r="AE493" s="59"/>
      <c r="AF493" s="59"/>
      <c r="AG493" s="59"/>
      <c r="AH493" s="59"/>
      <c r="AI493" s="59" t="str">
        <f>IF(SUM(Dati[[#This Row],[Inv. Business]:[Inv. Cryptocurrency]])=0," ",SUM(Dati[[#This Row],[Inv. Business]:[Inv. Cryptocurrency]]))</f>
        <v xml:space="preserve"> </v>
      </c>
      <c r="AJ493" s="59"/>
      <c r="AK493" s="59" t="str">
        <f>IF(SUM(Dati[[#This Row],[Inv. Gold]:[Mutuo]])=0," ",SUM(Dati[[#This Row],[Inv. Gold]:[Mutuo]]))</f>
        <v xml:space="preserve"> </v>
      </c>
      <c r="AL493" s="59"/>
      <c r="AM493" s="59"/>
    </row>
    <row r="494" spans="2:39" x14ac:dyDescent="0.35">
      <c r="B494">
        <f t="shared" si="21"/>
        <v>474</v>
      </c>
      <c r="C494" s="49">
        <f>C490+1</f>
        <v>45308</v>
      </c>
      <c r="D494" s="29">
        <f>DAY(Dati[[#This Row],[Data]])</f>
        <v>17</v>
      </c>
      <c r="E494" s="29" t="str">
        <f>IF(DAY(Data!$C$21:$C$1327)&gt;0,TEXT(Data!$C$21:$C$1327, "mmmm"),"")</f>
        <v>gennaio</v>
      </c>
      <c r="F494" s="29" t="str">
        <f>IF(DAY(Data!$C$21:$C$1327)&gt;0,TEXT(Data!$C$21:$C$1327, "aaaa"),"")</f>
        <v>2024</v>
      </c>
      <c r="I494" t="str">
        <f>IF(OR(H494=$B$5,H494=$B$6,H494=$B$7,H494=$B$8,H494=$B$9,H494=$B$10,H494=$B$11,H494=$B$12,H494=$B$13,H494=$B$14),SottocategorieUscite[[#Headers],[Fuori Casa]],IF(OR(H494=$C$5,H494=$C$6,H494=$C$7,H494=$C$8,H494=$C$9,H494=$C$10,H494=$C$11,H494=$C$12,H494=$C$13,H494=$C$14),SottocategorieUscite[[#Headers],[Varie Uscite]],IF(OR(H494=$D$5,H494=$D$6,H494=$D$7,H494=$D$8,H494=$D$9,H494=$D$10,H494=$D$11,H494=$D$12,H494=$D$13,H494=$D$14),SottocategorieUscite[[#Headers],[Personali]],IF(OR(H494=$E$5,H494=$E$6,H494=$E$7,H494=$E$8,H494=$E$9,H494=$E$10,H494=$E$11,H494=$E$12,H494=$E$13,H494=$E$14),SottocategorieUscite[[#Headers],[Lavoro]],IF(OR(H494=$F$5,H494=$F$6,H494=$F$7,H494=$F$8,H494=$F$9,H494=$F$10,H494=$F$11,H494=$F$12,H494=$F$13,H494=$F$14),SottocategorieUscite[[#Headers],[Casa]],IF(OR(H494=$G$5,H494=$G$6,H494=$G$7,H494=$G$8,H494=$G$9,H494=$G$10,H494=$G$11,H494=$G$12,H494=$G$13,H494=$G$14),SottocategorieUscite[[#Headers],[Utenze]],IF(OR(H494=$H$5,H494=$H$6,H494=$H$7,H494=$H$8,H494=$H$9,H494=$H$10,H494=$H$11,H494=$H$12,H494=$H$13,H494=$H$14),SottocategorieUscite[[#Headers],[Business Uscite]],IF(OR(H494=$I$5,H494=$I$6,H494=$I$7,H494=$I$8,H494=$I$9,H494=$I$10,H494=$I$11,H494=$I$12,H494=$I$13,H494=$I$14),SottocategorieUscite[[#Headers],[Banca]],IF(OR(H494=K$5,H494=K$6,H494=K$7,H494=K$8,H494=K$9,H494=K$10,H494=K$11,H494=K$12,H494=K$13,H494=K$14),SottocategorieEntrate[[#Headers],[Business Entrate]],IF(OR(H494=L$5,H494=L$6,H494=L$7,H494=L$8,H494=L$9,H494=L$10,H494=L$11,H494=L$12,H494=L$13,H494=L$14),SottocategorieEntrate[[#Headers],[Varie Entrate]],IF(OR(H494=M$5,H494=M$6,H494=M$7,H494=M$8,H494=M$9,H494=M$10,H494=M$11,H494=M$12,H494=M$13,H494=M$14),SottocategorieEntrate[[#Headers],[Real Estate]],IF(OR(H494=N$5,H494=N$6,H494=N$7,H494=N$8,H494=N$9,H494=N$10,H494=N$11,H494=N$12,H494=N$13,H494=N$14),SottocategorieEntrate[[#Headers],[Other]],""))))))))))))</f>
        <v/>
      </c>
      <c r="J494" t="str">
        <f>IF(OR(Dati[[#This Row],[Categoria]]="Bollette",Dati[[#This Row],[Categoria]]="Conto &amp; Carte BNL",Dati[[#This Row],[Categoria]]="Prelievo",Dati[[#This Row],[Categoria]]="Affitto",Dati[[#This Row],[Categoria]]="BNL(Interessi Creditori)"),"Carta",IF(Dati[[#This Row],[Categoria]]&lt;&gt;0,"Cash",""))</f>
        <v/>
      </c>
      <c r="K494" s="59" t="str">
        <f>IF(OR(Data!$I494=SottocategorieUscite[[#Headers],[Fuori Casa]],Data!$I494=SottocategorieUscite[[#Headers],[Varie Uscite]],Data!$I494=SottocategorieUscite[[#Headers],[Personali]],Data!$I494=SottocategorieUscite[[#Headers],[Lavoro]]),"$ -","")</f>
        <v/>
      </c>
      <c r="L494" s="59" t="str">
        <f>IF(OR(Data!$I494=SottocategorieUscite[[#Headers],[Casa]],Data!$I494=SottocategorieUscite[[#Headers],[Utenze]],Data!$I494=SottocategorieUscite[[#Headers],[Business Uscite]],Data!$I494=SottocategorieUscite[[#Headers],[Banca]]),"$ -","")</f>
        <v/>
      </c>
      <c r="M494" s="59" t="str">
        <f>IF(OR($I494&lt;&gt;SottocategorieUscite[[#Headers],[Fuori Casa]],$I494&lt;&gt;SottocategorieUscite[[#Headers],[Varie Uscite]],$I494&lt;&gt;SottocategorieUscite[[#Headers],[Personali]],$I494&lt;&gt;SottocategorieUscite[[#Headers],[Lavoro]],$I494&lt;&gt;SottocategorieUscite[[#Headers],[Casa]],$I494&lt;&gt;SottocategorieUscite[[#Headers],[Utenze]],$I494&lt;&gt;SottocategorieUscite[[#Headers],[Business Uscite]],$I494&lt;&gt;SottocategorieUscite[[#Headers],[Banca]]),"","$ -")</f>
        <v/>
      </c>
      <c r="N494" s="59" t="str">
        <f>IF(OR(Data!$I494=SottocategorieEntrate[[#Headers],[Business Entrate]],Data!$I494=SottocategorieEntrate[[#Headers],[Varie Entrate]]),"$ -","")</f>
        <v/>
      </c>
      <c r="O494" s="59" t="str">
        <f>IF(OR(Data!$I494=SottocategorieEntrate[[#Headers],[Real Estate]],SottocategorieEntrate[[#Headers],[Other]]),"$ -","")</f>
        <v/>
      </c>
      <c r="P494" s="59" t="str">
        <f>IF(OR($I494&lt;&gt;SottocategorieEntrate[[#Headers],[Business Entrate]],$I494&lt;&gt;SottocategorieEntrate[[#Headers],[Varie Entrate]],$I494&lt;&gt;SottocategorieEntrate[[#Headers],[Real Estate]],$I494&lt;&gt;SottocategorieEntrate[[#Headers],[Other]]),"","$ -")</f>
        <v/>
      </c>
      <c r="Q494" s="59" t="str">
        <f>IF(Dati[[#This Row],[Categoria]]="Prelievo","€ -","")</f>
        <v/>
      </c>
      <c r="R494" s="244"/>
      <c r="S494" s="59" t="str">
        <f>IF(Dati[[#This Row],[Categoria]]="Savings",0,"")</f>
        <v/>
      </c>
      <c r="T494" s="59"/>
      <c r="U494" s="59"/>
      <c r="V494" s="59"/>
      <c r="W494" s="59"/>
      <c r="X494" s="59"/>
      <c r="Y494" s="59"/>
      <c r="Z494" s="59"/>
      <c r="AA494" s="59"/>
      <c r="AB494" s="59"/>
      <c r="AC494" s="59"/>
      <c r="AD494" s="59"/>
      <c r="AE494" s="59"/>
      <c r="AF494" s="59"/>
      <c r="AG494" s="59"/>
      <c r="AH494" s="59"/>
      <c r="AI494" s="59" t="str">
        <f>IF(SUM(Dati[[#This Row],[Inv. Business]:[Inv. Cryptocurrency]])=0," ",SUM(Dati[[#This Row],[Inv. Business]:[Inv. Cryptocurrency]]))</f>
        <v xml:space="preserve"> </v>
      </c>
      <c r="AJ494" s="59"/>
      <c r="AK494" s="59" t="str">
        <f>IF(SUM(Dati[[#This Row],[Inv. Gold]:[Mutuo]])=0," ",SUM(Dati[[#This Row],[Inv. Gold]:[Mutuo]]))</f>
        <v xml:space="preserve"> </v>
      </c>
      <c r="AL494" s="59"/>
      <c r="AM494" s="59"/>
    </row>
    <row r="495" spans="2:39" x14ac:dyDescent="0.35">
      <c r="B495">
        <f t="shared" si="21"/>
        <v>475</v>
      </c>
      <c r="C495" s="49">
        <f t="shared" si="20"/>
        <v>45309</v>
      </c>
      <c r="D495" s="29">
        <f>DAY(Dati[[#This Row],[Data]])</f>
        <v>18</v>
      </c>
      <c r="E495" s="29" t="str">
        <f>IF(DAY(Data!$C$21:$C$1327)&gt;0,TEXT(Data!$C$21:$C$1327, "mmmm"),"")</f>
        <v>gennaio</v>
      </c>
      <c r="F495" s="29" t="str">
        <f>IF(DAY(Data!$C$21:$C$1327)&gt;0,TEXT(Data!$C$21:$C$1327, "aaaa"),"")</f>
        <v>2024</v>
      </c>
      <c r="I495" t="str">
        <f>IF(OR(H495=$B$5,H495=$B$6,H495=$B$7,H495=$B$8,H495=$B$9,H495=$B$10,H495=$B$11,H495=$B$12,H495=$B$13,H495=$B$14),SottocategorieUscite[[#Headers],[Fuori Casa]],IF(OR(H495=$C$5,H495=$C$6,H495=$C$7,H495=$C$8,H495=$C$9,H495=$C$10,H495=$C$11,H495=$C$12,H495=$C$13,H495=$C$14),SottocategorieUscite[[#Headers],[Varie Uscite]],IF(OR(H495=$D$5,H495=$D$6,H495=$D$7,H495=$D$8,H495=$D$9,H495=$D$10,H495=$D$11,H495=$D$12,H495=$D$13,H495=$D$14),SottocategorieUscite[[#Headers],[Personali]],IF(OR(H495=$E$5,H495=$E$6,H495=$E$7,H495=$E$8,H495=$E$9,H495=$E$10,H495=$E$11,H495=$E$12,H495=$E$13,H495=$E$14),SottocategorieUscite[[#Headers],[Lavoro]],IF(OR(H495=$F$5,H495=$F$6,H495=$F$7,H495=$F$8,H495=$F$9,H495=$F$10,H495=$F$11,H495=$F$12,H495=$F$13,H495=$F$14),SottocategorieUscite[[#Headers],[Casa]],IF(OR(H495=$G$5,H495=$G$6,H495=$G$7,H495=$G$8,H495=$G$9,H495=$G$10,H495=$G$11,H495=$G$12,H495=$G$13,H495=$G$14),SottocategorieUscite[[#Headers],[Utenze]],IF(OR(H495=$H$5,H495=$H$6,H495=$H$7,H495=$H$8,H495=$H$9,H495=$H$10,H495=$H$11,H495=$H$12,H495=$H$13,H495=$H$14),SottocategorieUscite[[#Headers],[Business Uscite]],IF(OR(H495=$I$5,H495=$I$6,H495=$I$7,H495=$I$8,H495=$I$9,H495=$I$10,H495=$I$11,H495=$I$12,H495=$I$13,H495=$I$14),SottocategorieUscite[[#Headers],[Banca]],IF(OR(H495=K$5,H495=K$6,H495=K$7,H495=K$8,H495=K$9,H495=K$10,H495=K$11,H495=K$12,H495=K$13,H495=K$14),SottocategorieEntrate[[#Headers],[Business Entrate]],IF(OR(H495=L$5,H495=L$6,H495=L$7,H495=L$8,H495=L$9,H495=L$10,H495=L$11,H495=L$12,H495=L$13,H495=L$14),SottocategorieEntrate[[#Headers],[Varie Entrate]],IF(OR(H495=M$5,H495=M$6,H495=M$7,H495=M$8,H495=M$9,H495=M$10,H495=M$11,H495=M$12,H495=M$13,H495=M$14),SottocategorieEntrate[[#Headers],[Real Estate]],IF(OR(H495=N$5,H495=N$6,H495=N$7,H495=N$8,H495=N$9,H495=N$10,H495=N$11,H495=N$12,H495=N$13,H495=N$14),SottocategorieEntrate[[#Headers],[Other]],""))))))))))))</f>
        <v/>
      </c>
      <c r="J495" t="str">
        <f>IF(OR(Dati[[#This Row],[Categoria]]="Bollette",Dati[[#This Row],[Categoria]]="Conto &amp; Carte BNL",Dati[[#This Row],[Categoria]]="Prelievo",Dati[[#This Row],[Categoria]]="Affitto",Dati[[#This Row],[Categoria]]="BNL(Interessi Creditori)"),"Carta",IF(Dati[[#This Row],[Categoria]]&lt;&gt;0,"Cash",""))</f>
        <v/>
      </c>
      <c r="K495" s="59" t="str">
        <f>IF(OR(Data!$I495=SottocategorieUscite[[#Headers],[Fuori Casa]],Data!$I495=SottocategorieUscite[[#Headers],[Varie Uscite]],Data!$I495=SottocategorieUscite[[#Headers],[Personali]],Data!$I495=SottocategorieUscite[[#Headers],[Lavoro]]),"$ -","")</f>
        <v/>
      </c>
      <c r="L495" s="59" t="str">
        <f>IF(OR(Data!$I495=SottocategorieUscite[[#Headers],[Casa]],Data!$I495=SottocategorieUscite[[#Headers],[Utenze]],Data!$I495=SottocategorieUscite[[#Headers],[Business Uscite]],Data!$I495=SottocategorieUscite[[#Headers],[Banca]]),"$ -","")</f>
        <v/>
      </c>
      <c r="M495" s="59" t="str">
        <f>IF(OR($I495&lt;&gt;SottocategorieUscite[[#Headers],[Fuori Casa]],$I495&lt;&gt;SottocategorieUscite[[#Headers],[Varie Uscite]],$I495&lt;&gt;SottocategorieUscite[[#Headers],[Personali]],$I495&lt;&gt;SottocategorieUscite[[#Headers],[Lavoro]],$I495&lt;&gt;SottocategorieUscite[[#Headers],[Casa]],$I495&lt;&gt;SottocategorieUscite[[#Headers],[Utenze]],$I495&lt;&gt;SottocategorieUscite[[#Headers],[Business Uscite]],$I495&lt;&gt;SottocategorieUscite[[#Headers],[Banca]]),"","$ -")</f>
        <v/>
      </c>
      <c r="N495" s="59" t="str">
        <f>IF(OR(Data!$I495=SottocategorieEntrate[[#Headers],[Business Entrate]],Data!$I495=SottocategorieEntrate[[#Headers],[Varie Entrate]]),"$ -","")</f>
        <v/>
      </c>
      <c r="O495" s="59" t="str">
        <f>IF(OR(Data!$I495=SottocategorieEntrate[[#Headers],[Real Estate]],SottocategorieEntrate[[#Headers],[Other]]),"$ -","")</f>
        <v/>
      </c>
      <c r="P495" s="59" t="str">
        <f>IF(OR($I495&lt;&gt;SottocategorieEntrate[[#Headers],[Business Entrate]],$I495&lt;&gt;SottocategorieEntrate[[#Headers],[Varie Entrate]],$I495&lt;&gt;SottocategorieEntrate[[#Headers],[Real Estate]],$I495&lt;&gt;SottocategorieEntrate[[#Headers],[Other]]),"","$ -")</f>
        <v/>
      </c>
      <c r="Q495" s="59" t="str">
        <f>IF(Dati[[#This Row],[Categoria]]="Prelievo","€ -","")</f>
        <v/>
      </c>
      <c r="R495" s="244"/>
      <c r="S495" s="59" t="str">
        <f>IF(Dati[[#This Row],[Categoria]]="Savings",0,"")</f>
        <v/>
      </c>
      <c r="T495" s="59"/>
      <c r="U495" s="59"/>
      <c r="V495" s="59"/>
      <c r="W495" s="59"/>
      <c r="X495" s="59"/>
      <c r="Y495" s="59"/>
      <c r="Z495" s="59"/>
      <c r="AA495" s="59"/>
      <c r="AB495" s="59"/>
      <c r="AC495" s="59"/>
      <c r="AD495" s="59"/>
      <c r="AE495" s="59"/>
      <c r="AF495" s="59"/>
      <c r="AG495" s="59"/>
      <c r="AH495" s="59"/>
      <c r="AI495" s="59" t="str">
        <f>IF(SUM(Dati[[#This Row],[Inv. Business]:[Inv. Cryptocurrency]])=0," ",SUM(Dati[[#This Row],[Inv. Business]:[Inv. Cryptocurrency]]))</f>
        <v xml:space="preserve"> </v>
      </c>
      <c r="AJ495" s="59"/>
      <c r="AK495" s="59" t="str">
        <f>IF(SUM(Dati[[#This Row],[Inv. Gold]:[Mutuo]])=0," ",SUM(Dati[[#This Row],[Inv. Gold]:[Mutuo]]))</f>
        <v xml:space="preserve"> </v>
      </c>
      <c r="AL495" s="59"/>
      <c r="AM495" s="59"/>
    </row>
    <row r="496" spans="2:39" x14ac:dyDescent="0.35">
      <c r="B496">
        <f t="shared" si="21"/>
        <v>476</v>
      </c>
      <c r="C496" s="49">
        <f t="shared" si="20"/>
        <v>45310</v>
      </c>
      <c r="D496" s="29">
        <f>DAY(Dati[[#This Row],[Data]])</f>
        <v>19</v>
      </c>
      <c r="E496" s="29" t="str">
        <f>IF(DAY(Data!$C$21:$C$1327)&gt;0,TEXT(Data!$C$21:$C$1327, "mmmm"),"")</f>
        <v>gennaio</v>
      </c>
      <c r="F496" s="29" t="str">
        <f>IF(DAY(Data!$C$21:$C$1327)&gt;0,TEXT(Data!$C$21:$C$1327, "aaaa"),"")</f>
        <v>2024</v>
      </c>
      <c r="I496" t="str">
        <f>IF(OR(H496=$B$5,H496=$B$6,H496=$B$7,H496=$B$8,H496=$B$9,H496=$B$10,H496=$B$11,H496=$B$12,H496=$B$13,H496=$B$14),SottocategorieUscite[[#Headers],[Fuori Casa]],IF(OR(H496=$C$5,H496=$C$6,H496=$C$7,H496=$C$8,H496=$C$9,H496=$C$10,H496=$C$11,H496=$C$12,H496=$C$13,H496=$C$14),SottocategorieUscite[[#Headers],[Varie Uscite]],IF(OR(H496=$D$5,H496=$D$6,H496=$D$7,H496=$D$8,H496=$D$9,H496=$D$10,H496=$D$11,H496=$D$12,H496=$D$13,H496=$D$14),SottocategorieUscite[[#Headers],[Personali]],IF(OR(H496=$E$5,H496=$E$6,H496=$E$7,H496=$E$8,H496=$E$9,H496=$E$10,H496=$E$11,H496=$E$12,H496=$E$13,H496=$E$14),SottocategorieUscite[[#Headers],[Lavoro]],IF(OR(H496=$F$5,H496=$F$6,H496=$F$7,H496=$F$8,H496=$F$9,H496=$F$10,H496=$F$11,H496=$F$12,H496=$F$13,H496=$F$14),SottocategorieUscite[[#Headers],[Casa]],IF(OR(H496=$G$5,H496=$G$6,H496=$G$7,H496=$G$8,H496=$G$9,H496=$G$10,H496=$G$11,H496=$G$12,H496=$G$13,H496=$G$14),SottocategorieUscite[[#Headers],[Utenze]],IF(OR(H496=$H$5,H496=$H$6,H496=$H$7,H496=$H$8,H496=$H$9,H496=$H$10,H496=$H$11,H496=$H$12,H496=$H$13,H496=$H$14),SottocategorieUscite[[#Headers],[Business Uscite]],IF(OR(H496=$I$5,H496=$I$6,H496=$I$7,H496=$I$8,H496=$I$9,H496=$I$10,H496=$I$11,H496=$I$12,H496=$I$13,H496=$I$14),SottocategorieUscite[[#Headers],[Banca]],IF(OR(H496=K$5,H496=K$6,H496=K$7,H496=K$8,H496=K$9,H496=K$10,H496=K$11,H496=K$12,H496=K$13,H496=K$14),SottocategorieEntrate[[#Headers],[Business Entrate]],IF(OR(H496=L$5,H496=L$6,H496=L$7,H496=L$8,H496=L$9,H496=L$10,H496=L$11,H496=L$12,H496=L$13,H496=L$14),SottocategorieEntrate[[#Headers],[Varie Entrate]],IF(OR(H496=M$5,H496=M$6,H496=M$7,H496=M$8,H496=M$9,H496=M$10,H496=M$11,H496=M$12,H496=M$13,H496=M$14),SottocategorieEntrate[[#Headers],[Real Estate]],IF(OR(H496=N$5,H496=N$6,H496=N$7,H496=N$8,H496=N$9,H496=N$10,H496=N$11,H496=N$12,H496=N$13,H496=N$14),SottocategorieEntrate[[#Headers],[Other]],""))))))))))))</f>
        <v/>
      </c>
      <c r="J496" t="str">
        <f>IF(OR(Dati[[#This Row],[Categoria]]="Bollette",Dati[[#This Row],[Categoria]]="Conto &amp; Carte BNL",Dati[[#This Row],[Categoria]]="Prelievo",Dati[[#This Row],[Categoria]]="Affitto",Dati[[#This Row],[Categoria]]="BNL(Interessi Creditori)"),"Carta",IF(Dati[[#This Row],[Categoria]]&lt;&gt;0,"Cash",""))</f>
        <v/>
      </c>
      <c r="K496" s="59" t="str">
        <f>IF(OR(Data!$I496=SottocategorieUscite[[#Headers],[Fuori Casa]],Data!$I496=SottocategorieUscite[[#Headers],[Varie Uscite]],Data!$I496=SottocategorieUscite[[#Headers],[Personali]],Data!$I496=SottocategorieUscite[[#Headers],[Lavoro]]),"$ -","")</f>
        <v/>
      </c>
      <c r="L496" s="59" t="str">
        <f>IF(OR(Data!$I496=SottocategorieUscite[[#Headers],[Casa]],Data!$I496=SottocategorieUscite[[#Headers],[Utenze]],Data!$I496=SottocategorieUscite[[#Headers],[Business Uscite]],Data!$I496=SottocategorieUscite[[#Headers],[Banca]]),"$ -","")</f>
        <v/>
      </c>
      <c r="M496" s="59" t="str">
        <f>IF(OR($I496&lt;&gt;SottocategorieUscite[[#Headers],[Fuori Casa]],$I496&lt;&gt;SottocategorieUscite[[#Headers],[Varie Uscite]],$I496&lt;&gt;SottocategorieUscite[[#Headers],[Personali]],$I496&lt;&gt;SottocategorieUscite[[#Headers],[Lavoro]],$I496&lt;&gt;SottocategorieUscite[[#Headers],[Casa]],$I496&lt;&gt;SottocategorieUscite[[#Headers],[Utenze]],$I496&lt;&gt;SottocategorieUscite[[#Headers],[Business Uscite]],$I496&lt;&gt;SottocategorieUscite[[#Headers],[Banca]]),"","$ -")</f>
        <v/>
      </c>
      <c r="N496" s="59" t="str">
        <f>IF(OR(Data!$I496=SottocategorieEntrate[[#Headers],[Business Entrate]],Data!$I496=SottocategorieEntrate[[#Headers],[Varie Entrate]]),"$ -","")</f>
        <v/>
      </c>
      <c r="O496" s="59" t="str">
        <f>IF(OR(Data!$I496=SottocategorieEntrate[[#Headers],[Real Estate]],SottocategorieEntrate[[#Headers],[Other]]),"$ -","")</f>
        <v/>
      </c>
      <c r="P496" s="59" t="str">
        <f>IF(OR($I496&lt;&gt;SottocategorieEntrate[[#Headers],[Business Entrate]],$I496&lt;&gt;SottocategorieEntrate[[#Headers],[Varie Entrate]],$I496&lt;&gt;SottocategorieEntrate[[#Headers],[Real Estate]],$I496&lt;&gt;SottocategorieEntrate[[#Headers],[Other]]),"","$ -")</f>
        <v/>
      </c>
      <c r="Q496" s="59" t="str">
        <f>IF(Dati[[#This Row],[Categoria]]="Prelievo","€ -","")</f>
        <v/>
      </c>
      <c r="R496" s="244"/>
      <c r="S496" s="59" t="str">
        <f>IF(Dati[[#This Row],[Categoria]]="Savings",0,"")</f>
        <v/>
      </c>
      <c r="T496" s="59"/>
      <c r="U496" s="59"/>
      <c r="V496" s="59"/>
      <c r="W496" s="59"/>
      <c r="X496" s="59"/>
      <c r="Y496" s="59"/>
      <c r="Z496" s="59"/>
      <c r="AA496" s="59"/>
      <c r="AB496" s="59"/>
      <c r="AC496" s="59"/>
      <c r="AD496" s="59"/>
      <c r="AE496" s="59"/>
      <c r="AF496" s="59"/>
      <c r="AG496" s="59"/>
      <c r="AH496" s="59"/>
      <c r="AI496" s="59" t="str">
        <f>IF(SUM(Dati[[#This Row],[Inv. Business]:[Inv. Cryptocurrency]])=0," ",SUM(Dati[[#This Row],[Inv. Business]:[Inv. Cryptocurrency]]))</f>
        <v xml:space="preserve"> </v>
      </c>
      <c r="AJ496" s="59"/>
      <c r="AK496" s="59" t="str">
        <f>IF(SUM(Dati[[#This Row],[Inv. Gold]:[Mutuo]])=0," ",SUM(Dati[[#This Row],[Inv. Gold]:[Mutuo]]))</f>
        <v xml:space="preserve"> </v>
      </c>
      <c r="AL496" s="59"/>
      <c r="AM496" s="59"/>
    </row>
    <row r="497" spans="2:39" x14ac:dyDescent="0.35">
      <c r="B497">
        <f t="shared" si="21"/>
        <v>477</v>
      </c>
      <c r="C497" s="49">
        <f t="shared" si="20"/>
        <v>45311</v>
      </c>
      <c r="D497" s="29">
        <f>DAY(Dati[[#This Row],[Data]])</f>
        <v>20</v>
      </c>
      <c r="E497" s="29" t="str">
        <f>IF(DAY(Data!$C$21:$C$1327)&gt;0,TEXT(Data!$C$21:$C$1327, "mmmm"),"")</f>
        <v>gennaio</v>
      </c>
      <c r="F497" s="29" t="str">
        <f>IF(DAY(Data!$C$21:$C$1327)&gt;0,TEXT(Data!$C$21:$C$1327, "aaaa"),"")</f>
        <v>2024</v>
      </c>
      <c r="I497" t="str">
        <f>IF(OR(H497=$B$5,H497=$B$6,H497=$B$7,H497=$B$8,H497=$B$9,H497=$B$10,H497=$B$11,H497=$B$12,H497=$B$13,H497=$B$14),SottocategorieUscite[[#Headers],[Fuori Casa]],IF(OR(H497=$C$5,H497=$C$6,H497=$C$7,H497=$C$8,H497=$C$9,H497=$C$10,H497=$C$11,H497=$C$12,H497=$C$13,H497=$C$14),SottocategorieUscite[[#Headers],[Varie Uscite]],IF(OR(H497=$D$5,H497=$D$6,H497=$D$7,H497=$D$8,H497=$D$9,H497=$D$10,H497=$D$11,H497=$D$12,H497=$D$13,H497=$D$14),SottocategorieUscite[[#Headers],[Personali]],IF(OR(H497=$E$5,H497=$E$6,H497=$E$7,H497=$E$8,H497=$E$9,H497=$E$10,H497=$E$11,H497=$E$12,H497=$E$13,H497=$E$14),SottocategorieUscite[[#Headers],[Lavoro]],IF(OR(H497=$F$5,H497=$F$6,H497=$F$7,H497=$F$8,H497=$F$9,H497=$F$10,H497=$F$11,H497=$F$12,H497=$F$13,H497=$F$14),SottocategorieUscite[[#Headers],[Casa]],IF(OR(H497=$G$5,H497=$G$6,H497=$G$7,H497=$G$8,H497=$G$9,H497=$G$10,H497=$G$11,H497=$G$12,H497=$G$13,H497=$G$14),SottocategorieUscite[[#Headers],[Utenze]],IF(OR(H497=$H$5,H497=$H$6,H497=$H$7,H497=$H$8,H497=$H$9,H497=$H$10,H497=$H$11,H497=$H$12,H497=$H$13,H497=$H$14),SottocategorieUscite[[#Headers],[Business Uscite]],IF(OR(H497=$I$5,H497=$I$6,H497=$I$7,H497=$I$8,H497=$I$9,H497=$I$10,H497=$I$11,H497=$I$12,H497=$I$13,H497=$I$14),SottocategorieUscite[[#Headers],[Banca]],IF(OR(H497=K$5,H497=K$6,H497=K$7,H497=K$8,H497=K$9,H497=K$10,H497=K$11,H497=K$12,H497=K$13,H497=K$14),SottocategorieEntrate[[#Headers],[Business Entrate]],IF(OR(H497=L$5,H497=L$6,H497=L$7,H497=L$8,H497=L$9,H497=L$10,H497=L$11,H497=L$12,H497=L$13,H497=L$14),SottocategorieEntrate[[#Headers],[Varie Entrate]],IF(OR(H497=M$5,H497=M$6,H497=M$7,H497=M$8,H497=M$9,H497=M$10,H497=M$11,H497=M$12,H497=M$13,H497=M$14),SottocategorieEntrate[[#Headers],[Real Estate]],IF(OR(H497=N$5,H497=N$6,H497=N$7,H497=N$8,H497=N$9,H497=N$10,H497=N$11,H497=N$12,H497=N$13,H497=N$14),SottocategorieEntrate[[#Headers],[Other]],""))))))))))))</f>
        <v/>
      </c>
      <c r="J497" t="str">
        <f>IF(OR(Dati[[#This Row],[Categoria]]="Bollette",Dati[[#This Row],[Categoria]]="Conto &amp; Carte BNL",Dati[[#This Row],[Categoria]]="Prelievo",Dati[[#This Row],[Categoria]]="Affitto",Dati[[#This Row],[Categoria]]="BNL(Interessi Creditori)"),"Carta",IF(Dati[[#This Row],[Categoria]]&lt;&gt;0,"Cash",""))</f>
        <v/>
      </c>
      <c r="K497" s="59" t="str">
        <f>IF(OR(Data!$I497=SottocategorieUscite[[#Headers],[Fuori Casa]],Data!$I497=SottocategorieUscite[[#Headers],[Varie Uscite]],Data!$I497=SottocategorieUscite[[#Headers],[Personali]],Data!$I497=SottocategorieUscite[[#Headers],[Lavoro]]),"$ -","")</f>
        <v/>
      </c>
      <c r="L497" s="59" t="str">
        <f>IF(OR(Data!$I497=SottocategorieUscite[[#Headers],[Casa]],Data!$I497=SottocategorieUscite[[#Headers],[Utenze]],Data!$I497=SottocategorieUscite[[#Headers],[Business Uscite]],Data!$I497=SottocategorieUscite[[#Headers],[Banca]]),"$ -","")</f>
        <v/>
      </c>
      <c r="M497" s="59" t="str">
        <f>IF(OR($I497&lt;&gt;SottocategorieUscite[[#Headers],[Fuori Casa]],$I497&lt;&gt;SottocategorieUscite[[#Headers],[Varie Uscite]],$I497&lt;&gt;SottocategorieUscite[[#Headers],[Personali]],$I497&lt;&gt;SottocategorieUscite[[#Headers],[Lavoro]],$I497&lt;&gt;SottocategorieUscite[[#Headers],[Casa]],$I497&lt;&gt;SottocategorieUscite[[#Headers],[Utenze]],$I497&lt;&gt;SottocategorieUscite[[#Headers],[Business Uscite]],$I497&lt;&gt;SottocategorieUscite[[#Headers],[Banca]]),"","$ -")</f>
        <v/>
      </c>
      <c r="N497" s="59" t="str">
        <f>IF(OR(Data!$I497=SottocategorieEntrate[[#Headers],[Business Entrate]],Data!$I497=SottocategorieEntrate[[#Headers],[Varie Entrate]]),"$ -","")</f>
        <v/>
      </c>
      <c r="O497" s="59" t="str">
        <f>IF(OR(Data!$I497=SottocategorieEntrate[[#Headers],[Real Estate]],SottocategorieEntrate[[#Headers],[Other]]),"$ -","")</f>
        <v/>
      </c>
      <c r="P497" s="59" t="str">
        <f>IF(OR($I497&lt;&gt;SottocategorieEntrate[[#Headers],[Business Entrate]],$I497&lt;&gt;SottocategorieEntrate[[#Headers],[Varie Entrate]],$I497&lt;&gt;SottocategorieEntrate[[#Headers],[Real Estate]],$I497&lt;&gt;SottocategorieEntrate[[#Headers],[Other]]),"","$ -")</f>
        <v/>
      </c>
      <c r="Q497" s="59" t="str">
        <f>IF(Dati[[#This Row],[Categoria]]="Prelievo","€ -","")</f>
        <v/>
      </c>
      <c r="R497" s="244"/>
      <c r="S497" s="59" t="str">
        <f>IF(Dati[[#This Row],[Categoria]]="Savings",0,"")</f>
        <v/>
      </c>
      <c r="T497" s="59"/>
      <c r="U497" s="59"/>
      <c r="V497" s="59"/>
      <c r="W497" s="59"/>
      <c r="X497" s="59"/>
      <c r="Y497" s="59"/>
      <c r="Z497" s="59"/>
      <c r="AA497" s="59"/>
      <c r="AB497" s="59"/>
      <c r="AC497" s="59"/>
      <c r="AD497" s="59"/>
      <c r="AE497" s="59"/>
      <c r="AF497" s="59"/>
      <c r="AG497" s="59"/>
      <c r="AH497" s="59"/>
      <c r="AI497" s="59" t="str">
        <f>IF(SUM(Dati[[#This Row],[Inv. Business]:[Inv. Cryptocurrency]])=0," ",SUM(Dati[[#This Row],[Inv. Business]:[Inv. Cryptocurrency]]))</f>
        <v xml:space="preserve"> </v>
      </c>
      <c r="AJ497" s="59"/>
      <c r="AK497" s="59" t="str">
        <f>IF(SUM(Dati[[#This Row],[Inv. Gold]:[Mutuo]])=0," ",SUM(Dati[[#This Row],[Inv. Gold]:[Mutuo]]))</f>
        <v xml:space="preserve"> </v>
      </c>
      <c r="AL497" s="59"/>
      <c r="AM497" s="59"/>
    </row>
    <row r="498" spans="2:39" x14ac:dyDescent="0.35">
      <c r="B498">
        <f t="shared" si="21"/>
        <v>478</v>
      </c>
      <c r="C498" s="49">
        <f>C496+1</f>
        <v>45311</v>
      </c>
      <c r="D498" s="29">
        <f>DAY(Dati[[#This Row],[Data]])</f>
        <v>20</v>
      </c>
      <c r="E498" s="29" t="str">
        <f>IF(DAY(Data!$C$21:$C$1327)&gt;0,TEXT(Data!$C$21:$C$1327, "mmmm"),"")</f>
        <v>gennaio</v>
      </c>
      <c r="F498" s="29" t="str">
        <f>IF(DAY(Data!$C$21:$C$1327)&gt;0,TEXT(Data!$C$21:$C$1327, "aaaa"),"")</f>
        <v>2024</v>
      </c>
      <c r="I498" t="str">
        <f>IF(OR(H498=$B$5,H498=$B$6,H498=$B$7,H498=$B$8,H498=$B$9,H498=$B$10,H498=$B$11,H498=$B$12,H498=$B$13,H498=$B$14),SottocategorieUscite[[#Headers],[Fuori Casa]],IF(OR(H498=$C$5,H498=$C$6,H498=$C$7,H498=$C$8,H498=$C$9,H498=$C$10,H498=$C$11,H498=$C$12,H498=$C$13,H498=$C$14),SottocategorieUscite[[#Headers],[Varie Uscite]],IF(OR(H498=$D$5,H498=$D$6,H498=$D$7,H498=$D$8,H498=$D$9,H498=$D$10,H498=$D$11,H498=$D$12,H498=$D$13,H498=$D$14),SottocategorieUscite[[#Headers],[Personali]],IF(OR(H498=$E$5,H498=$E$6,H498=$E$7,H498=$E$8,H498=$E$9,H498=$E$10,H498=$E$11,H498=$E$12,H498=$E$13,H498=$E$14),SottocategorieUscite[[#Headers],[Lavoro]],IF(OR(H498=$F$5,H498=$F$6,H498=$F$7,H498=$F$8,H498=$F$9,H498=$F$10,H498=$F$11,H498=$F$12,H498=$F$13,H498=$F$14),SottocategorieUscite[[#Headers],[Casa]],IF(OR(H498=$G$5,H498=$G$6,H498=$G$7,H498=$G$8,H498=$G$9,H498=$G$10,H498=$G$11,H498=$G$12,H498=$G$13,H498=$G$14),SottocategorieUscite[[#Headers],[Utenze]],IF(OR(H498=$H$5,H498=$H$6,H498=$H$7,H498=$H$8,H498=$H$9,H498=$H$10,H498=$H$11,H498=$H$12,H498=$H$13,H498=$H$14),SottocategorieUscite[[#Headers],[Business Uscite]],IF(OR(H498=$I$5,H498=$I$6,H498=$I$7,H498=$I$8,H498=$I$9,H498=$I$10,H498=$I$11,H498=$I$12,H498=$I$13,H498=$I$14),SottocategorieUscite[[#Headers],[Banca]],IF(OR(H498=K$5,H498=K$6,H498=K$7,H498=K$8,H498=K$9,H498=K$10,H498=K$11,H498=K$12,H498=K$13,H498=K$14),SottocategorieEntrate[[#Headers],[Business Entrate]],IF(OR(H498=L$5,H498=L$6,H498=L$7,H498=L$8,H498=L$9,H498=L$10,H498=L$11,H498=L$12,H498=L$13,H498=L$14),SottocategorieEntrate[[#Headers],[Varie Entrate]],IF(OR(H498=M$5,H498=M$6,H498=M$7,H498=M$8,H498=M$9,H498=M$10,H498=M$11,H498=M$12,H498=M$13,H498=M$14),SottocategorieEntrate[[#Headers],[Real Estate]],IF(OR(H498=N$5,H498=N$6,H498=N$7,H498=N$8,H498=N$9,H498=N$10,H498=N$11,H498=N$12,H498=N$13,H498=N$14),SottocategorieEntrate[[#Headers],[Other]],""))))))))))))</f>
        <v/>
      </c>
      <c r="J498" t="str">
        <f>IF(OR(Dati[[#This Row],[Categoria]]="Bollette",Dati[[#This Row],[Categoria]]="Conto &amp; Carte BNL",Dati[[#This Row],[Categoria]]="Prelievo",Dati[[#This Row],[Categoria]]="Affitto",Dati[[#This Row],[Categoria]]="BNL(Interessi Creditori)"),"Carta",IF(Dati[[#This Row],[Categoria]]&lt;&gt;0,"Cash",""))</f>
        <v/>
      </c>
      <c r="K498" s="59" t="str">
        <f>IF(OR(Data!$I498=SottocategorieUscite[[#Headers],[Fuori Casa]],Data!$I498=SottocategorieUscite[[#Headers],[Varie Uscite]],Data!$I498=SottocategorieUscite[[#Headers],[Personali]],Data!$I498=SottocategorieUscite[[#Headers],[Lavoro]]),"$ -","")</f>
        <v/>
      </c>
      <c r="L498" s="59" t="str">
        <f>IF(OR(Data!$I498=SottocategorieUscite[[#Headers],[Casa]],Data!$I498=SottocategorieUscite[[#Headers],[Utenze]],Data!$I498=SottocategorieUscite[[#Headers],[Business Uscite]],Data!$I498=SottocategorieUscite[[#Headers],[Banca]]),"$ -","")</f>
        <v/>
      </c>
      <c r="M498" s="59" t="str">
        <f>IF(OR($I498&lt;&gt;SottocategorieUscite[[#Headers],[Fuori Casa]],$I498&lt;&gt;SottocategorieUscite[[#Headers],[Varie Uscite]],$I498&lt;&gt;SottocategorieUscite[[#Headers],[Personali]],$I498&lt;&gt;SottocategorieUscite[[#Headers],[Lavoro]],$I498&lt;&gt;SottocategorieUscite[[#Headers],[Casa]],$I498&lt;&gt;SottocategorieUscite[[#Headers],[Utenze]],$I498&lt;&gt;SottocategorieUscite[[#Headers],[Business Uscite]],$I498&lt;&gt;SottocategorieUscite[[#Headers],[Banca]]),"","$ -")</f>
        <v/>
      </c>
      <c r="N498" s="59" t="str">
        <f>IF(OR(Data!$I498=SottocategorieEntrate[[#Headers],[Business Entrate]],Data!$I498=SottocategorieEntrate[[#Headers],[Varie Entrate]]),"$ -","")</f>
        <v/>
      </c>
      <c r="O498" s="59" t="str">
        <f>IF(OR(Data!$I498=SottocategorieEntrate[[#Headers],[Real Estate]],SottocategorieEntrate[[#Headers],[Other]]),"$ -","")</f>
        <v/>
      </c>
      <c r="P498" s="59" t="str">
        <f>IF(OR($I498&lt;&gt;SottocategorieEntrate[[#Headers],[Business Entrate]],$I498&lt;&gt;SottocategorieEntrate[[#Headers],[Varie Entrate]],$I498&lt;&gt;SottocategorieEntrate[[#Headers],[Real Estate]],$I498&lt;&gt;SottocategorieEntrate[[#Headers],[Other]]),"","$ -")</f>
        <v/>
      </c>
      <c r="Q498" s="59" t="str">
        <f>IF(Dati[[#This Row],[Categoria]]="Prelievo","€ -","")</f>
        <v/>
      </c>
      <c r="R498" s="244"/>
      <c r="S498" s="59" t="str">
        <f>IF(Dati[[#This Row],[Categoria]]="Savings",0,"")</f>
        <v/>
      </c>
      <c r="T498" s="59"/>
      <c r="U498" s="59"/>
      <c r="V498" s="59"/>
      <c r="W498" s="59"/>
      <c r="X498" s="59"/>
      <c r="Y498" s="59"/>
      <c r="Z498" s="59"/>
      <c r="AA498" s="59"/>
      <c r="AB498" s="59"/>
      <c r="AC498" s="59"/>
      <c r="AD498" s="59"/>
      <c r="AE498" s="59"/>
      <c r="AF498" s="59"/>
      <c r="AG498" s="59"/>
      <c r="AH498" s="59"/>
      <c r="AI498" s="59" t="str">
        <f>IF(SUM(Dati[[#This Row],[Inv. Business]:[Inv. Cryptocurrency]])=0," ",SUM(Dati[[#This Row],[Inv. Business]:[Inv. Cryptocurrency]]))</f>
        <v xml:space="preserve"> </v>
      </c>
      <c r="AJ498" s="59"/>
      <c r="AK498" s="59" t="str">
        <f>IF(SUM(Dati[[#This Row],[Inv. Gold]:[Mutuo]])=0," ",SUM(Dati[[#This Row],[Inv. Gold]:[Mutuo]]))</f>
        <v xml:space="preserve"> </v>
      </c>
      <c r="AL498" s="59"/>
      <c r="AM498" s="59"/>
    </row>
    <row r="499" spans="2:39" x14ac:dyDescent="0.35">
      <c r="B499">
        <f t="shared" si="21"/>
        <v>479</v>
      </c>
      <c r="C499" s="49">
        <f>C496+1</f>
        <v>45311</v>
      </c>
      <c r="D499" s="29">
        <f>DAY(Dati[[#This Row],[Data]])</f>
        <v>20</v>
      </c>
      <c r="E499" s="29" t="str">
        <f>IF(DAY(Data!$C$21:$C$1327)&gt;0,TEXT(Data!$C$21:$C$1327, "mmmm"),"")</f>
        <v>gennaio</v>
      </c>
      <c r="F499" s="29" t="str">
        <f>IF(DAY(Data!$C$21:$C$1327)&gt;0,TEXT(Data!$C$21:$C$1327, "aaaa"),"")</f>
        <v>2024</v>
      </c>
      <c r="I499" t="str">
        <f>IF(OR(H499=$B$5,H499=$B$6,H499=$B$7,H499=$B$8,H499=$B$9,H499=$B$10,H499=$B$11,H499=$B$12,H499=$B$13,H499=$B$14),SottocategorieUscite[[#Headers],[Fuori Casa]],IF(OR(H499=$C$5,H499=$C$6,H499=$C$7,H499=$C$8,H499=$C$9,H499=$C$10,H499=$C$11,H499=$C$12,H499=$C$13,H499=$C$14),SottocategorieUscite[[#Headers],[Varie Uscite]],IF(OR(H499=$D$5,H499=$D$6,H499=$D$7,H499=$D$8,H499=$D$9,H499=$D$10,H499=$D$11,H499=$D$12,H499=$D$13,H499=$D$14),SottocategorieUscite[[#Headers],[Personali]],IF(OR(H499=$E$5,H499=$E$6,H499=$E$7,H499=$E$8,H499=$E$9,H499=$E$10,H499=$E$11,H499=$E$12,H499=$E$13,H499=$E$14),SottocategorieUscite[[#Headers],[Lavoro]],IF(OR(H499=$F$5,H499=$F$6,H499=$F$7,H499=$F$8,H499=$F$9,H499=$F$10,H499=$F$11,H499=$F$12,H499=$F$13,H499=$F$14),SottocategorieUscite[[#Headers],[Casa]],IF(OR(H499=$G$5,H499=$G$6,H499=$G$7,H499=$G$8,H499=$G$9,H499=$G$10,H499=$G$11,H499=$G$12,H499=$G$13,H499=$G$14),SottocategorieUscite[[#Headers],[Utenze]],IF(OR(H499=$H$5,H499=$H$6,H499=$H$7,H499=$H$8,H499=$H$9,H499=$H$10,H499=$H$11,H499=$H$12,H499=$H$13,H499=$H$14),SottocategorieUscite[[#Headers],[Business Uscite]],IF(OR(H499=$I$5,H499=$I$6,H499=$I$7,H499=$I$8,H499=$I$9,H499=$I$10,H499=$I$11,H499=$I$12,H499=$I$13,H499=$I$14),SottocategorieUscite[[#Headers],[Banca]],IF(OR(H499=K$5,H499=K$6,H499=K$7,H499=K$8,H499=K$9,H499=K$10,H499=K$11,H499=K$12,H499=K$13,H499=K$14),SottocategorieEntrate[[#Headers],[Business Entrate]],IF(OR(H499=L$5,H499=L$6,H499=L$7,H499=L$8,H499=L$9,H499=L$10,H499=L$11,H499=L$12,H499=L$13,H499=L$14),SottocategorieEntrate[[#Headers],[Varie Entrate]],IF(OR(H499=M$5,H499=M$6,H499=M$7,H499=M$8,H499=M$9,H499=M$10,H499=M$11,H499=M$12,H499=M$13,H499=M$14),SottocategorieEntrate[[#Headers],[Real Estate]],IF(OR(H499=N$5,H499=N$6,H499=N$7,H499=N$8,H499=N$9,H499=N$10,H499=N$11,H499=N$12,H499=N$13,H499=N$14),SottocategorieEntrate[[#Headers],[Other]],""))))))))))))</f>
        <v/>
      </c>
      <c r="J499" t="str">
        <f>IF(OR(Dati[[#This Row],[Categoria]]="Bollette",Dati[[#This Row],[Categoria]]="Conto &amp; Carte BNL",Dati[[#This Row],[Categoria]]="Prelievo",Dati[[#This Row],[Categoria]]="Affitto",Dati[[#This Row],[Categoria]]="BNL(Interessi Creditori)"),"Carta",IF(Dati[[#This Row],[Categoria]]&lt;&gt;0,"Cash",""))</f>
        <v/>
      </c>
      <c r="K499" s="59" t="str">
        <f>IF(OR(Data!$I499=SottocategorieUscite[[#Headers],[Fuori Casa]],Data!$I499=SottocategorieUscite[[#Headers],[Varie Uscite]],Data!$I499=SottocategorieUscite[[#Headers],[Personali]],Data!$I499=SottocategorieUscite[[#Headers],[Lavoro]]),"$ -","")</f>
        <v/>
      </c>
      <c r="L499" s="59" t="str">
        <f>IF(OR(Data!$I499=SottocategorieUscite[[#Headers],[Casa]],Data!$I499=SottocategorieUscite[[#Headers],[Utenze]],Data!$I499=SottocategorieUscite[[#Headers],[Business Uscite]],Data!$I499=SottocategorieUscite[[#Headers],[Banca]]),"$ -","")</f>
        <v/>
      </c>
      <c r="M499" s="59" t="str">
        <f>IF(OR($I499&lt;&gt;SottocategorieUscite[[#Headers],[Fuori Casa]],$I499&lt;&gt;SottocategorieUscite[[#Headers],[Varie Uscite]],$I499&lt;&gt;SottocategorieUscite[[#Headers],[Personali]],$I499&lt;&gt;SottocategorieUscite[[#Headers],[Lavoro]],$I499&lt;&gt;SottocategorieUscite[[#Headers],[Casa]],$I499&lt;&gt;SottocategorieUscite[[#Headers],[Utenze]],$I499&lt;&gt;SottocategorieUscite[[#Headers],[Business Uscite]],$I499&lt;&gt;SottocategorieUscite[[#Headers],[Banca]]),"","$ -")</f>
        <v/>
      </c>
      <c r="N499" s="59" t="str">
        <f>IF(OR(Data!$I499=SottocategorieEntrate[[#Headers],[Business Entrate]],Data!$I499=SottocategorieEntrate[[#Headers],[Varie Entrate]]),"$ -","")</f>
        <v/>
      </c>
      <c r="O499" s="59" t="str">
        <f>IF(OR(Data!$I499=SottocategorieEntrate[[#Headers],[Real Estate]],SottocategorieEntrate[[#Headers],[Other]]),"$ -","")</f>
        <v/>
      </c>
      <c r="P499" s="59" t="str">
        <f>IF(OR($I499&lt;&gt;SottocategorieEntrate[[#Headers],[Business Entrate]],$I499&lt;&gt;SottocategorieEntrate[[#Headers],[Varie Entrate]],$I499&lt;&gt;SottocategorieEntrate[[#Headers],[Real Estate]],$I499&lt;&gt;SottocategorieEntrate[[#Headers],[Other]]),"","$ -")</f>
        <v/>
      </c>
      <c r="Q499" s="59" t="str">
        <f>IF(Dati[[#This Row],[Categoria]]="Prelievo","€ -","")</f>
        <v/>
      </c>
      <c r="R499" s="244"/>
      <c r="S499" s="59" t="str">
        <f>IF(Dati[[#This Row],[Categoria]]="Savings",0,"")</f>
        <v/>
      </c>
      <c r="T499" s="59"/>
      <c r="U499" s="59"/>
      <c r="V499" s="59"/>
      <c r="W499" s="59"/>
      <c r="X499" s="59"/>
      <c r="Y499" s="59"/>
      <c r="Z499" s="59"/>
      <c r="AA499" s="59"/>
      <c r="AB499" s="59"/>
      <c r="AC499" s="59"/>
      <c r="AD499" s="59"/>
      <c r="AE499" s="59"/>
      <c r="AF499" s="59"/>
      <c r="AG499" s="59"/>
      <c r="AH499" s="59"/>
      <c r="AI499" s="59" t="str">
        <f>IF(SUM(Dati[[#This Row],[Inv. Business]:[Inv. Cryptocurrency]])=0," ",SUM(Dati[[#This Row],[Inv. Business]:[Inv. Cryptocurrency]]))</f>
        <v xml:space="preserve"> </v>
      </c>
      <c r="AJ499" s="59"/>
      <c r="AK499" s="59" t="str">
        <f>IF(SUM(Dati[[#This Row],[Inv. Gold]:[Mutuo]])=0," ",SUM(Dati[[#This Row],[Inv. Gold]:[Mutuo]]))</f>
        <v xml:space="preserve"> </v>
      </c>
      <c r="AL499" s="59"/>
      <c r="AM499" s="59"/>
    </row>
    <row r="500" spans="2:39" x14ac:dyDescent="0.35">
      <c r="B500">
        <f t="shared" si="21"/>
        <v>480</v>
      </c>
      <c r="C500" s="49">
        <f>C496+1</f>
        <v>45311</v>
      </c>
      <c r="D500" s="29">
        <f>DAY(Dati[[#This Row],[Data]])</f>
        <v>20</v>
      </c>
      <c r="E500" s="29" t="str">
        <f>IF(DAY(Data!$C$21:$C$1327)&gt;0,TEXT(Data!$C$21:$C$1327, "mmmm"),"")</f>
        <v>gennaio</v>
      </c>
      <c r="F500" s="29" t="str">
        <f>IF(DAY(Data!$C$21:$C$1327)&gt;0,TEXT(Data!$C$21:$C$1327, "aaaa"),"")</f>
        <v>2024</v>
      </c>
      <c r="I500" t="str">
        <f>IF(OR(H500=$B$5,H500=$B$6,H500=$B$7,H500=$B$8,H500=$B$9,H500=$B$10,H500=$B$11,H500=$B$12,H500=$B$13,H500=$B$14),SottocategorieUscite[[#Headers],[Fuori Casa]],IF(OR(H500=$C$5,H500=$C$6,H500=$C$7,H500=$C$8,H500=$C$9,H500=$C$10,H500=$C$11,H500=$C$12,H500=$C$13,H500=$C$14),SottocategorieUscite[[#Headers],[Varie Uscite]],IF(OR(H500=$D$5,H500=$D$6,H500=$D$7,H500=$D$8,H500=$D$9,H500=$D$10,H500=$D$11,H500=$D$12,H500=$D$13,H500=$D$14),SottocategorieUscite[[#Headers],[Personali]],IF(OR(H500=$E$5,H500=$E$6,H500=$E$7,H500=$E$8,H500=$E$9,H500=$E$10,H500=$E$11,H500=$E$12,H500=$E$13,H500=$E$14),SottocategorieUscite[[#Headers],[Lavoro]],IF(OR(H500=$F$5,H500=$F$6,H500=$F$7,H500=$F$8,H500=$F$9,H500=$F$10,H500=$F$11,H500=$F$12,H500=$F$13,H500=$F$14),SottocategorieUscite[[#Headers],[Casa]],IF(OR(H500=$G$5,H500=$G$6,H500=$G$7,H500=$G$8,H500=$G$9,H500=$G$10,H500=$G$11,H500=$G$12,H500=$G$13,H500=$G$14),SottocategorieUscite[[#Headers],[Utenze]],IF(OR(H500=$H$5,H500=$H$6,H500=$H$7,H500=$H$8,H500=$H$9,H500=$H$10,H500=$H$11,H500=$H$12,H500=$H$13,H500=$H$14),SottocategorieUscite[[#Headers],[Business Uscite]],IF(OR(H500=$I$5,H500=$I$6,H500=$I$7,H500=$I$8,H500=$I$9,H500=$I$10,H500=$I$11,H500=$I$12,H500=$I$13,H500=$I$14),SottocategorieUscite[[#Headers],[Banca]],IF(OR(H500=K$5,H500=K$6,H500=K$7,H500=K$8,H500=K$9,H500=K$10,H500=K$11,H500=K$12,H500=K$13,H500=K$14),SottocategorieEntrate[[#Headers],[Business Entrate]],IF(OR(H500=L$5,H500=L$6,H500=L$7,H500=L$8,H500=L$9,H500=L$10,H500=L$11,H500=L$12,H500=L$13,H500=L$14),SottocategorieEntrate[[#Headers],[Varie Entrate]],IF(OR(H500=M$5,H500=M$6,H500=M$7,H500=M$8,H500=M$9,H500=M$10,H500=M$11,H500=M$12,H500=M$13,H500=M$14),SottocategorieEntrate[[#Headers],[Real Estate]],IF(OR(H500=N$5,H500=N$6,H500=N$7,H500=N$8,H500=N$9,H500=N$10,H500=N$11,H500=N$12,H500=N$13,H500=N$14),SottocategorieEntrate[[#Headers],[Other]],""))))))))))))</f>
        <v/>
      </c>
      <c r="J500" t="str">
        <f>IF(OR(Dati[[#This Row],[Categoria]]="Bollette",Dati[[#This Row],[Categoria]]="Conto &amp; Carte BNL",Dati[[#This Row],[Categoria]]="Prelievo",Dati[[#This Row],[Categoria]]="Affitto",Dati[[#This Row],[Categoria]]="BNL(Interessi Creditori)"),"Carta",IF(Dati[[#This Row],[Categoria]]&lt;&gt;0,"Cash",""))</f>
        <v/>
      </c>
      <c r="K500" s="59" t="str">
        <f>IF(OR(Data!$I500=SottocategorieUscite[[#Headers],[Fuori Casa]],Data!$I500=SottocategorieUscite[[#Headers],[Varie Uscite]],Data!$I500=SottocategorieUscite[[#Headers],[Personali]],Data!$I500=SottocategorieUscite[[#Headers],[Lavoro]]),"$ -","")</f>
        <v/>
      </c>
      <c r="L500" s="59" t="str">
        <f>IF(OR(Data!$I500=SottocategorieUscite[[#Headers],[Casa]],Data!$I500=SottocategorieUscite[[#Headers],[Utenze]],Data!$I500=SottocategorieUscite[[#Headers],[Business Uscite]],Data!$I500=SottocategorieUscite[[#Headers],[Banca]]),"$ -","")</f>
        <v/>
      </c>
      <c r="M500" s="59" t="str">
        <f>IF(OR($I500&lt;&gt;SottocategorieUscite[[#Headers],[Fuori Casa]],$I500&lt;&gt;SottocategorieUscite[[#Headers],[Varie Uscite]],$I500&lt;&gt;SottocategorieUscite[[#Headers],[Personali]],$I500&lt;&gt;SottocategorieUscite[[#Headers],[Lavoro]],$I500&lt;&gt;SottocategorieUscite[[#Headers],[Casa]],$I500&lt;&gt;SottocategorieUscite[[#Headers],[Utenze]],$I500&lt;&gt;SottocategorieUscite[[#Headers],[Business Uscite]],$I500&lt;&gt;SottocategorieUscite[[#Headers],[Banca]]),"","$ -")</f>
        <v/>
      </c>
      <c r="N500" s="59" t="str">
        <f>IF(OR(Data!$I500=SottocategorieEntrate[[#Headers],[Business Entrate]],Data!$I500=SottocategorieEntrate[[#Headers],[Varie Entrate]]),"$ -","")</f>
        <v/>
      </c>
      <c r="O500" s="59" t="str">
        <f>IF(OR(Data!$I500=SottocategorieEntrate[[#Headers],[Real Estate]],SottocategorieEntrate[[#Headers],[Other]]),"$ -","")</f>
        <v/>
      </c>
      <c r="P500" s="59" t="str">
        <f>IF(OR($I500&lt;&gt;SottocategorieEntrate[[#Headers],[Business Entrate]],$I500&lt;&gt;SottocategorieEntrate[[#Headers],[Varie Entrate]],$I500&lt;&gt;SottocategorieEntrate[[#Headers],[Real Estate]],$I500&lt;&gt;SottocategorieEntrate[[#Headers],[Other]]),"","$ -")</f>
        <v/>
      </c>
      <c r="Q500" s="59" t="str">
        <f>IF(Dati[[#This Row],[Categoria]]="Prelievo","€ -","")</f>
        <v/>
      </c>
      <c r="R500" s="244"/>
      <c r="S500" s="59" t="str">
        <f>IF(Dati[[#This Row],[Categoria]]="Savings",0,"")</f>
        <v/>
      </c>
      <c r="T500" s="59"/>
      <c r="U500" s="59"/>
      <c r="V500" s="59"/>
      <c r="W500" s="59"/>
      <c r="X500" s="59"/>
      <c r="Y500" s="59"/>
      <c r="Z500" s="59"/>
      <c r="AA500" s="59"/>
      <c r="AB500" s="59"/>
      <c r="AC500" s="59"/>
      <c r="AD500" s="59"/>
      <c r="AE500" s="59"/>
      <c r="AF500" s="59"/>
      <c r="AG500" s="59"/>
      <c r="AH500" s="59"/>
      <c r="AI500" s="59" t="str">
        <f>IF(SUM(Dati[[#This Row],[Inv. Business]:[Inv. Cryptocurrency]])=0," ",SUM(Dati[[#This Row],[Inv. Business]:[Inv. Cryptocurrency]]))</f>
        <v xml:space="preserve"> </v>
      </c>
      <c r="AJ500" s="59"/>
      <c r="AK500" s="59" t="str">
        <f>IF(SUM(Dati[[#This Row],[Inv. Gold]:[Mutuo]])=0," ",SUM(Dati[[#This Row],[Inv. Gold]:[Mutuo]]))</f>
        <v xml:space="preserve"> </v>
      </c>
      <c r="AL500" s="59"/>
      <c r="AM500" s="59"/>
    </row>
    <row r="501" spans="2:39" x14ac:dyDescent="0.35">
      <c r="B501">
        <f t="shared" si="21"/>
        <v>481</v>
      </c>
      <c r="C501" s="49">
        <f>C496+1</f>
        <v>45311</v>
      </c>
      <c r="D501" s="29">
        <f>DAY(Dati[[#This Row],[Data]])</f>
        <v>20</v>
      </c>
      <c r="E501" s="29" t="str">
        <f>IF(DAY(Data!$C$21:$C$1327)&gt;0,TEXT(Data!$C$21:$C$1327, "mmmm"),"")</f>
        <v>gennaio</v>
      </c>
      <c r="F501" s="29" t="str">
        <f>IF(DAY(Data!$C$21:$C$1327)&gt;0,TEXT(Data!$C$21:$C$1327, "aaaa"),"")</f>
        <v>2024</v>
      </c>
      <c r="I501" t="str">
        <f>IF(OR(H501=$B$5,H501=$B$6,H501=$B$7,H501=$B$8,H501=$B$9,H501=$B$10,H501=$B$11,H501=$B$12,H501=$B$13,H501=$B$14),SottocategorieUscite[[#Headers],[Fuori Casa]],IF(OR(H501=$C$5,H501=$C$6,H501=$C$7,H501=$C$8,H501=$C$9,H501=$C$10,H501=$C$11,H501=$C$12,H501=$C$13,H501=$C$14),SottocategorieUscite[[#Headers],[Varie Uscite]],IF(OR(H501=$D$5,H501=$D$6,H501=$D$7,H501=$D$8,H501=$D$9,H501=$D$10,H501=$D$11,H501=$D$12,H501=$D$13,H501=$D$14),SottocategorieUscite[[#Headers],[Personali]],IF(OR(H501=$E$5,H501=$E$6,H501=$E$7,H501=$E$8,H501=$E$9,H501=$E$10,H501=$E$11,H501=$E$12,H501=$E$13,H501=$E$14),SottocategorieUscite[[#Headers],[Lavoro]],IF(OR(H501=$F$5,H501=$F$6,H501=$F$7,H501=$F$8,H501=$F$9,H501=$F$10,H501=$F$11,H501=$F$12,H501=$F$13,H501=$F$14),SottocategorieUscite[[#Headers],[Casa]],IF(OR(H501=$G$5,H501=$G$6,H501=$G$7,H501=$G$8,H501=$G$9,H501=$G$10,H501=$G$11,H501=$G$12,H501=$G$13,H501=$G$14),SottocategorieUscite[[#Headers],[Utenze]],IF(OR(H501=$H$5,H501=$H$6,H501=$H$7,H501=$H$8,H501=$H$9,H501=$H$10,H501=$H$11,H501=$H$12,H501=$H$13,H501=$H$14),SottocategorieUscite[[#Headers],[Business Uscite]],IF(OR(H501=$I$5,H501=$I$6,H501=$I$7,H501=$I$8,H501=$I$9,H501=$I$10,H501=$I$11,H501=$I$12,H501=$I$13,H501=$I$14),SottocategorieUscite[[#Headers],[Banca]],IF(OR(H501=K$5,H501=K$6,H501=K$7,H501=K$8,H501=K$9,H501=K$10,H501=K$11,H501=K$12,H501=K$13,H501=K$14),SottocategorieEntrate[[#Headers],[Business Entrate]],IF(OR(H501=L$5,H501=L$6,H501=L$7,H501=L$8,H501=L$9,H501=L$10,H501=L$11,H501=L$12,H501=L$13,H501=L$14),SottocategorieEntrate[[#Headers],[Varie Entrate]],IF(OR(H501=M$5,H501=M$6,H501=M$7,H501=M$8,H501=M$9,H501=M$10,H501=M$11,H501=M$12,H501=M$13,H501=M$14),SottocategorieEntrate[[#Headers],[Real Estate]],IF(OR(H501=N$5,H501=N$6,H501=N$7,H501=N$8,H501=N$9,H501=N$10,H501=N$11,H501=N$12,H501=N$13,H501=N$14),SottocategorieEntrate[[#Headers],[Other]],""))))))))))))</f>
        <v/>
      </c>
      <c r="J501" t="str">
        <f>IF(OR(Dati[[#This Row],[Categoria]]="Bollette",Dati[[#This Row],[Categoria]]="Conto &amp; Carte BNL",Dati[[#This Row],[Categoria]]="Prelievo",Dati[[#This Row],[Categoria]]="Affitto",Dati[[#This Row],[Categoria]]="BNL(Interessi Creditori)"),"Carta",IF(Dati[[#This Row],[Categoria]]&lt;&gt;0,"Cash",""))</f>
        <v/>
      </c>
      <c r="K501" s="59" t="str">
        <f>IF(OR(Data!$I501=SottocategorieUscite[[#Headers],[Fuori Casa]],Data!$I501=SottocategorieUscite[[#Headers],[Varie Uscite]],Data!$I501=SottocategorieUscite[[#Headers],[Personali]],Data!$I501=SottocategorieUscite[[#Headers],[Lavoro]]),"$ -","")</f>
        <v/>
      </c>
      <c r="L501" s="59" t="str">
        <f>IF(OR(Data!$I501=SottocategorieUscite[[#Headers],[Casa]],Data!$I501=SottocategorieUscite[[#Headers],[Utenze]],Data!$I501=SottocategorieUscite[[#Headers],[Business Uscite]],Data!$I501=SottocategorieUscite[[#Headers],[Banca]]),"$ -","")</f>
        <v/>
      </c>
      <c r="M501" s="59" t="str">
        <f>IF(OR($I501&lt;&gt;SottocategorieUscite[[#Headers],[Fuori Casa]],$I501&lt;&gt;SottocategorieUscite[[#Headers],[Varie Uscite]],$I501&lt;&gt;SottocategorieUscite[[#Headers],[Personali]],$I501&lt;&gt;SottocategorieUscite[[#Headers],[Lavoro]],$I501&lt;&gt;SottocategorieUscite[[#Headers],[Casa]],$I501&lt;&gt;SottocategorieUscite[[#Headers],[Utenze]],$I501&lt;&gt;SottocategorieUscite[[#Headers],[Business Uscite]],$I501&lt;&gt;SottocategorieUscite[[#Headers],[Banca]]),"","$ -")</f>
        <v/>
      </c>
      <c r="N501" s="59" t="str">
        <f>IF(OR(Data!$I501=SottocategorieEntrate[[#Headers],[Business Entrate]],Data!$I501=SottocategorieEntrate[[#Headers],[Varie Entrate]]),"$ -","")</f>
        <v/>
      </c>
      <c r="O501" s="59" t="str">
        <f>IF(OR(Data!$I501=SottocategorieEntrate[[#Headers],[Real Estate]],SottocategorieEntrate[[#Headers],[Other]]),"$ -","")</f>
        <v/>
      </c>
      <c r="P501" s="59" t="str">
        <f>IF(OR($I501&lt;&gt;SottocategorieEntrate[[#Headers],[Business Entrate]],$I501&lt;&gt;SottocategorieEntrate[[#Headers],[Varie Entrate]],$I501&lt;&gt;SottocategorieEntrate[[#Headers],[Real Estate]],$I501&lt;&gt;SottocategorieEntrate[[#Headers],[Other]]),"","$ -")</f>
        <v/>
      </c>
      <c r="Q501" s="59" t="str">
        <f>IF(Dati[[#This Row],[Categoria]]="Prelievo","€ -","")</f>
        <v/>
      </c>
      <c r="R501" s="244"/>
      <c r="S501" s="59" t="str">
        <f>IF(Dati[[#This Row],[Categoria]]="Savings",0,"")</f>
        <v/>
      </c>
      <c r="T501" s="59"/>
      <c r="U501" s="59"/>
      <c r="V501" s="59"/>
      <c r="W501" s="59"/>
      <c r="X501" s="59"/>
      <c r="Y501" s="59"/>
      <c r="Z501" s="59"/>
      <c r="AA501" s="59"/>
      <c r="AB501" s="59"/>
      <c r="AC501" s="59"/>
      <c r="AD501" s="59"/>
      <c r="AE501" s="59"/>
      <c r="AF501" s="59"/>
      <c r="AG501" s="59"/>
      <c r="AH501" s="59"/>
      <c r="AI501" s="59" t="str">
        <f>IF(SUM(Dati[[#This Row],[Inv. Business]:[Inv. Cryptocurrency]])=0," ",SUM(Dati[[#This Row],[Inv. Business]:[Inv. Cryptocurrency]]))</f>
        <v xml:space="preserve"> </v>
      </c>
      <c r="AJ501" s="59"/>
      <c r="AK501" s="59" t="str">
        <f>IF(SUM(Dati[[#This Row],[Inv. Gold]:[Mutuo]])=0," ",SUM(Dati[[#This Row],[Inv. Gold]:[Mutuo]]))</f>
        <v xml:space="preserve"> </v>
      </c>
      <c r="AL501" s="59"/>
      <c r="AM501" s="59"/>
    </row>
    <row r="502" spans="2:39" x14ac:dyDescent="0.35">
      <c r="B502">
        <f t="shared" si="21"/>
        <v>482</v>
      </c>
      <c r="C502" s="49">
        <f>C496+1</f>
        <v>45311</v>
      </c>
      <c r="D502" s="29">
        <f>DAY(Dati[[#This Row],[Data]])</f>
        <v>20</v>
      </c>
      <c r="E502" s="29" t="str">
        <f>IF(DAY(Data!$C$21:$C$1327)&gt;0,TEXT(Data!$C$21:$C$1327, "mmmm"),"")</f>
        <v>gennaio</v>
      </c>
      <c r="F502" s="29" t="str">
        <f>IF(DAY(Data!$C$21:$C$1327)&gt;0,TEXT(Data!$C$21:$C$1327, "aaaa"),"")</f>
        <v>2024</v>
      </c>
      <c r="I502" t="str">
        <f>IF(OR(H502=$B$5,H502=$B$6,H502=$B$7,H502=$B$8,H502=$B$9,H502=$B$10,H502=$B$11,H502=$B$12,H502=$B$13,H502=$B$14),SottocategorieUscite[[#Headers],[Fuori Casa]],IF(OR(H502=$C$5,H502=$C$6,H502=$C$7,H502=$C$8,H502=$C$9,H502=$C$10,H502=$C$11,H502=$C$12,H502=$C$13,H502=$C$14),SottocategorieUscite[[#Headers],[Varie Uscite]],IF(OR(H502=$D$5,H502=$D$6,H502=$D$7,H502=$D$8,H502=$D$9,H502=$D$10,H502=$D$11,H502=$D$12,H502=$D$13,H502=$D$14),SottocategorieUscite[[#Headers],[Personali]],IF(OR(H502=$E$5,H502=$E$6,H502=$E$7,H502=$E$8,H502=$E$9,H502=$E$10,H502=$E$11,H502=$E$12,H502=$E$13,H502=$E$14),SottocategorieUscite[[#Headers],[Lavoro]],IF(OR(H502=$F$5,H502=$F$6,H502=$F$7,H502=$F$8,H502=$F$9,H502=$F$10,H502=$F$11,H502=$F$12,H502=$F$13,H502=$F$14),SottocategorieUscite[[#Headers],[Casa]],IF(OR(H502=$G$5,H502=$G$6,H502=$G$7,H502=$G$8,H502=$G$9,H502=$G$10,H502=$G$11,H502=$G$12,H502=$G$13,H502=$G$14),SottocategorieUscite[[#Headers],[Utenze]],IF(OR(H502=$H$5,H502=$H$6,H502=$H$7,H502=$H$8,H502=$H$9,H502=$H$10,H502=$H$11,H502=$H$12,H502=$H$13,H502=$H$14),SottocategorieUscite[[#Headers],[Business Uscite]],IF(OR(H502=$I$5,H502=$I$6,H502=$I$7,H502=$I$8,H502=$I$9,H502=$I$10,H502=$I$11,H502=$I$12,H502=$I$13,H502=$I$14),SottocategorieUscite[[#Headers],[Banca]],IF(OR(H502=K$5,H502=K$6,H502=K$7,H502=K$8,H502=K$9,H502=K$10,H502=K$11,H502=K$12,H502=K$13,H502=K$14),SottocategorieEntrate[[#Headers],[Business Entrate]],IF(OR(H502=L$5,H502=L$6,H502=L$7,H502=L$8,H502=L$9,H502=L$10,H502=L$11,H502=L$12,H502=L$13,H502=L$14),SottocategorieEntrate[[#Headers],[Varie Entrate]],IF(OR(H502=M$5,H502=M$6,H502=M$7,H502=M$8,H502=M$9,H502=M$10,H502=M$11,H502=M$12,H502=M$13,H502=M$14),SottocategorieEntrate[[#Headers],[Real Estate]],IF(OR(H502=N$5,H502=N$6,H502=N$7,H502=N$8,H502=N$9,H502=N$10,H502=N$11,H502=N$12,H502=N$13,H502=N$14),SottocategorieEntrate[[#Headers],[Other]],""))))))))))))</f>
        <v/>
      </c>
      <c r="J502" t="str">
        <f>IF(OR(Dati[[#This Row],[Categoria]]="Bollette",Dati[[#This Row],[Categoria]]="Conto &amp; Carte BNL",Dati[[#This Row],[Categoria]]="Prelievo",Dati[[#This Row],[Categoria]]="Affitto",Dati[[#This Row],[Categoria]]="BNL(Interessi Creditori)"),"Carta",IF(Dati[[#This Row],[Categoria]]&lt;&gt;0,"Cash",""))</f>
        <v/>
      </c>
      <c r="K502" s="59" t="str">
        <f>IF(OR(Data!$I502=SottocategorieUscite[[#Headers],[Fuori Casa]],Data!$I502=SottocategorieUscite[[#Headers],[Varie Uscite]],Data!$I502=SottocategorieUscite[[#Headers],[Personali]],Data!$I502=SottocategorieUscite[[#Headers],[Lavoro]]),"$ -","")</f>
        <v/>
      </c>
      <c r="L502" s="59" t="str">
        <f>IF(OR(Data!$I502=SottocategorieUscite[[#Headers],[Casa]],Data!$I502=SottocategorieUscite[[#Headers],[Utenze]],Data!$I502=SottocategorieUscite[[#Headers],[Business Uscite]],Data!$I502=SottocategorieUscite[[#Headers],[Banca]]),"$ -","")</f>
        <v/>
      </c>
      <c r="M502" s="59" t="str">
        <f>IF(OR($I502&lt;&gt;SottocategorieUscite[[#Headers],[Fuori Casa]],$I502&lt;&gt;SottocategorieUscite[[#Headers],[Varie Uscite]],$I502&lt;&gt;SottocategorieUscite[[#Headers],[Personali]],$I502&lt;&gt;SottocategorieUscite[[#Headers],[Lavoro]],$I502&lt;&gt;SottocategorieUscite[[#Headers],[Casa]],$I502&lt;&gt;SottocategorieUscite[[#Headers],[Utenze]],$I502&lt;&gt;SottocategorieUscite[[#Headers],[Business Uscite]],$I502&lt;&gt;SottocategorieUscite[[#Headers],[Banca]]),"","$ -")</f>
        <v/>
      </c>
      <c r="N502" s="59" t="str">
        <f>IF(OR(Data!$I502=SottocategorieEntrate[[#Headers],[Business Entrate]],Data!$I502=SottocategorieEntrate[[#Headers],[Varie Entrate]]),"$ -","")</f>
        <v/>
      </c>
      <c r="O502" s="59" t="str">
        <f>IF(OR(Data!$I502=SottocategorieEntrate[[#Headers],[Real Estate]],SottocategorieEntrate[[#Headers],[Other]]),"$ -","")</f>
        <v/>
      </c>
      <c r="P502" s="59" t="str">
        <f>IF(OR($I502&lt;&gt;SottocategorieEntrate[[#Headers],[Business Entrate]],$I502&lt;&gt;SottocategorieEntrate[[#Headers],[Varie Entrate]],$I502&lt;&gt;SottocategorieEntrate[[#Headers],[Real Estate]],$I502&lt;&gt;SottocategorieEntrate[[#Headers],[Other]]),"","$ -")</f>
        <v/>
      </c>
      <c r="Q502" s="59" t="str">
        <f>IF(Dati[[#This Row],[Categoria]]="Prelievo","€ -","")</f>
        <v/>
      </c>
      <c r="R502" s="244"/>
      <c r="S502" s="59" t="str">
        <f>IF(Dati[[#This Row],[Categoria]]="Savings",0,"")</f>
        <v/>
      </c>
      <c r="T502" s="59"/>
      <c r="U502" s="59"/>
      <c r="V502" s="59"/>
      <c r="W502" s="59"/>
      <c r="X502" s="59"/>
      <c r="Y502" s="59"/>
      <c r="Z502" s="59"/>
      <c r="AA502" s="59"/>
      <c r="AB502" s="59"/>
      <c r="AC502" s="59"/>
      <c r="AD502" s="59"/>
      <c r="AE502" s="59"/>
      <c r="AF502" s="59"/>
      <c r="AG502" s="59"/>
      <c r="AH502" s="59"/>
      <c r="AI502" s="59" t="str">
        <f>IF(SUM(Dati[[#This Row],[Inv. Business]:[Inv. Cryptocurrency]])=0," ",SUM(Dati[[#This Row],[Inv. Business]:[Inv. Cryptocurrency]]))</f>
        <v xml:space="preserve"> </v>
      </c>
      <c r="AJ502" s="59"/>
      <c r="AK502" s="59" t="str">
        <f>IF(SUM(Dati[[#This Row],[Inv. Gold]:[Mutuo]])=0," ",SUM(Dati[[#This Row],[Inv. Gold]:[Mutuo]]))</f>
        <v xml:space="preserve"> </v>
      </c>
      <c r="AL502" s="59"/>
      <c r="AM502" s="59"/>
    </row>
    <row r="503" spans="2:39" x14ac:dyDescent="0.35">
      <c r="B503">
        <f t="shared" si="21"/>
        <v>483</v>
      </c>
      <c r="C503" s="49">
        <f>C497+1</f>
        <v>45312</v>
      </c>
      <c r="D503" s="29">
        <f>DAY(Dati[[#This Row],[Data]])</f>
        <v>21</v>
      </c>
      <c r="E503" s="29" t="str">
        <f>IF(DAY(Data!$C$21:$C$1327)&gt;0,TEXT(Data!$C$21:$C$1327, "mmmm"),"")</f>
        <v>gennaio</v>
      </c>
      <c r="F503" s="29" t="str">
        <f>IF(DAY(Data!$C$21:$C$1327)&gt;0,TEXT(Data!$C$21:$C$1327, "aaaa"),"")</f>
        <v>2024</v>
      </c>
      <c r="I503" t="str">
        <f>IF(OR(H503=$B$5,H503=$B$6,H503=$B$7,H503=$B$8,H503=$B$9,H503=$B$10,H503=$B$11,H503=$B$12,H503=$B$13,H503=$B$14),SottocategorieUscite[[#Headers],[Fuori Casa]],IF(OR(H503=$C$5,H503=$C$6,H503=$C$7,H503=$C$8,H503=$C$9,H503=$C$10,H503=$C$11,H503=$C$12,H503=$C$13,H503=$C$14),SottocategorieUscite[[#Headers],[Varie Uscite]],IF(OR(H503=$D$5,H503=$D$6,H503=$D$7,H503=$D$8,H503=$D$9,H503=$D$10,H503=$D$11,H503=$D$12,H503=$D$13,H503=$D$14),SottocategorieUscite[[#Headers],[Personali]],IF(OR(H503=$E$5,H503=$E$6,H503=$E$7,H503=$E$8,H503=$E$9,H503=$E$10,H503=$E$11,H503=$E$12,H503=$E$13,H503=$E$14),SottocategorieUscite[[#Headers],[Lavoro]],IF(OR(H503=$F$5,H503=$F$6,H503=$F$7,H503=$F$8,H503=$F$9,H503=$F$10,H503=$F$11,H503=$F$12,H503=$F$13,H503=$F$14),SottocategorieUscite[[#Headers],[Casa]],IF(OR(H503=$G$5,H503=$G$6,H503=$G$7,H503=$G$8,H503=$G$9,H503=$G$10,H503=$G$11,H503=$G$12,H503=$G$13,H503=$G$14),SottocategorieUscite[[#Headers],[Utenze]],IF(OR(H503=$H$5,H503=$H$6,H503=$H$7,H503=$H$8,H503=$H$9,H503=$H$10,H503=$H$11,H503=$H$12,H503=$H$13,H503=$H$14),SottocategorieUscite[[#Headers],[Business Uscite]],IF(OR(H503=$I$5,H503=$I$6,H503=$I$7,H503=$I$8,H503=$I$9,H503=$I$10,H503=$I$11,H503=$I$12,H503=$I$13,H503=$I$14),SottocategorieUscite[[#Headers],[Banca]],IF(OR(H503=K$5,H503=K$6,H503=K$7,H503=K$8,H503=K$9,H503=K$10,H503=K$11,H503=K$12,H503=K$13,H503=K$14),SottocategorieEntrate[[#Headers],[Business Entrate]],IF(OR(H503=L$5,H503=L$6,H503=L$7,H503=L$8,H503=L$9,H503=L$10,H503=L$11,H503=L$12,H503=L$13,H503=L$14),SottocategorieEntrate[[#Headers],[Varie Entrate]],IF(OR(H503=M$5,H503=M$6,H503=M$7,H503=M$8,H503=M$9,H503=M$10,H503=M$11,H503=M$12,H503=M$13,H503=M$14),SottocategorieEntrate[[#Headers],[Real Estate]],IF(OR(H503=N$5,H503=N$6,H503=N$7,H503=N$8,H503=N$9,H503=N$10,H503=N$11,H503=N$12,H503=N$13,H503=N$14),SottocategorieEntrate[[#Headers],[Other]],""))))))))))))</f>
        <v/>
      </c>
      <c r="J503" t="str">
        <f>IF(OR(Dati[[#This Row],[Categoria]]="Bollette",Dati[[#This Row],[Categoria]]="Conto &amp; Carte BNL",Dati[[#This Row],[Categoria]]="Prelievo",Dati[[#This Row],[Categoria]]="Affitto",Dati[[#This Row],[Categoria]]="BNL(Interessi Creditori)"),"Carta",IF(Dati[[#This Row],[Categoria]]&lt;&gt;0,"Cash",""))</f>
        <v/>
      </c>
      <c r="K503" s="59" t="str">
        <f>IF(OR(Data!$I503=SottocategorieUscite[[#Headers],[Fuori Casa]],Data!$I503=SottocategorieUscite[[#Headers],[Varie Uscite]],Data!$I503=SottocategorieUscite[[#Headers],[Personali]],Data!$I503=SottocategorieUscite[[#Headers],[Lavoro]]),"$ -","")</f>
        <v/>
      </c>
      <c r="L503" s="59" t="str">
        <f>IF(OR(Data!$I503=SottocategorieUscite[[#Headers],[Casa]],Data!$I503=SottocategorieUscite[[#Headers],[Utenze]],Data!$I503=SottocategorieUscite[[#Headers],[Business Uscite]],Data!$I503=SottocategorieUscite[[#Headers],[Banca]]),"$ -","")</f>
        <v/>
      </c>
      <c r="M503" s="59" t="str">
        <f>IF(OR($I503&lt;&gt;SottocategorieUscite[[#Headers],[Fuori Casa]],$I503&lt;&gt;SottocategorieUscite[[#Headers],[Varie Uscite]],$I503&lt;&gt;SottocategorieUscite[[#Headers],[Personali]],$I503&lt;&gt;SottocategorieUscite[[#Headers],[Lavoro]],$I503&lt;&gt;SottocategorieUscite[[#Headers],[Casa]],$I503&lt;&gt;SottocategorieUscite[[#Headers],[Utenze]],$I503&lt;&gt;SottocategorieUscite[[#Headers],[Business Uscite]],$I503&lt;&gt;SottocategorieUscite[[#Headers],[Banca]]),"","$ -")</f>
        <v/>
      </c>
      <c r="N503" s="59" t="str">
        <f>IF(OR(Data!$I503=SottocategorieEntrate[[#Headers],[Business Entrate]],Data!$I503=SottocategorieEntrate[[#Headers],[Varie Entrate]]),"$ -","")</f>
        <v/>
      </c>
      <c r="O503" s="59" t="str">
        <f>IF(OR(Data!$I503=SottocategorieEntrate[[#Headers],[Real Estate]],SottocategorieEntrate[[#Headers],[Other]]),"$ -","")</f>
        <v/>
      </c>
      <c r="P503" s="59" t="str">
        <f>IF(OR($I503&lt;&gt;SottocategorieEntrate[[#Headers],[Business Entrate]],$I503&lt;&gt;SottocategorieEntrate[[#Headers],[Varie Entrate]],$I503&lt;&gt;SottocategorieEntrate[[#Headers],[Real Estate]],$I503&lt;&gt;SottocategorieEntrate[[#Headers],[Other]]),"","$ -")</f>
        <v/>
      </c>
      <c r="Q503" s="59" t="str">
        <f>IF(Dati[[#This Row],[Categoria]]="Prelievo","€ -","")</f>
        <v/>
      </c>
      <c r="R503" s="244"/>
      <c r="S503" s="59" t="str">
        <f>IF(Dati[[#This Row],[Categoria]]="Savings",0,"")</f>
        <v/>
      </c>
      <c r="T503" s="59"/>
      <c r="U503" s="59"/>
      <c r="V503" s="59"/>
      <c r="W503" s="59"/>
      <c r="X503" s="59"/>
      <c r="Y503" s="59"/>
      <c r="Z503" s="59"/>
      <c r="AA503" s="59"/>
      <c r="AB503" s="59"/>
      <c r="AC503" s="59"/>
      <c r="AD503" s="59"/>
      <c r="AE503" s="59"/>
      <c r="AF503" s="59"/>
      <c r="AG503" s="59"/>
      <c r="AH503" s="59"/>
      <c r="AI503" s="59" t="str">
        <f>IF(SUM(Dati[[#This Row],[Inv. Business]:[Inv. Cryptocurrency]])=0," ",SUM(Dati[[#This Row],[Inv. Business]:[Inv. Cryptocurrency]]))</f>
        <v xml:space="preserve"> </v>
      </c>
      <c r="AJ503" s="59"/>
      <c r="AK503" s="59" t="str">
        <f>IF(SUM(Dati[[#This Row],[Inv. Gold]:[Mutuo]])=0," ",SUM(Dati[[#This Row],[Inv. Gold]:[Mutuo]]))</f>
        <v xml:space="preserve"> </v>
      </c>
      <c r="AL503" s="59"/>
      <c r="AM503" s="59"/>
    </row>
    <row r="504" spans="2:39" x14ac:dyDescent="0.35">
      <c r="B504">
        <f t="shared" si="21"/>
        <v>484</v>
      </c>
      <c r="C504" s="49">
        <f t="shared" si="20"/>
        <v>45313</v>
      </c>
      <c r="D504" s="29">
        <f>DAY(Dati[[#This Row],[Data]])</f>
        <v>22</v>
      </c>
      <c r="E504" s="29" t="str">
        <f>IF(DAY(Data!$C$21:$C$1327)&gt;0,TEXT(Data!$C$21:$C$1327, "mmmm"),"")</f>
        <v>gennaio</v>
      </c>
      <c r="F504" s="29" t="str">
        <f>IF(DAY(Data!$C$21:$C$1327)&gt;0,TEXT(Data!$C$21:$C$1327, "aaaa"),"")</f>
        <v>2024</v>
      </c>
      <c r="I504" t="str">
        <f>IF(OR(H504=$B$5,H504=$B$6,H504=$B$7,H504=$B$8,H504=$B$9,H504=$B$10,H504=$B$11,H504=$B$12,H504=$B$13,H504=$B$14),SottocategorieUscite[[#Headers],[Fuori Casa]],IF(OR(H504=$C$5,H504=$C$6,H504=$C$7,H504=$C$8,H504=$C$9,H504=$C$10,H504=$C$11,H504=$C$12,H504=$C$13,H504=$C$14),SottocategorieUscite[[#Headers],[Varie Uscite]],IF(OR(H504=$D$5,H504=$D$6,H504=$D$7,H504=$D$8,H504=$D$9,H504=$D$10,H504=$D$11,H504=$D$12,H504=$D$13,H504=$D$14),SottocategorieUscite[[#Headers],[Personali]],IF(OR(H504=$E$5,H504=$E$6,H504=$E$7,H504=$E$8,H504=$E$9,H504=$E$10,H504=$E$11,H504=$E$12,H504=$E$13,H504=$E$14),SottocategorieUscite[[#Headers],[Lavoro]],IF(OR(H504=$F$5,H504=$F$6,H504=$F$7,H504=$F$8,H504=$F$9,H504=$F$10,H504=$F$11,H504=$F$12,H504=$F$13,H504=$F$14),SottocategorieUscite[[#Headers],[Casa]],IF(OR(H504=$G$5,H504=$G$6,H504=$G$7,H504=$G$8,H504=$G$9,H504=$G$10,H504=$G$11,H504=$G$12,H504=$G$13,H504=$G$14),SottocategorieUscite[[#Headers],[Utenze]],IF(OR(H504=$H$5,H504=$H$6,H504=$H$7,H504=$H$8,H504=$H$9,H504=$H$10,H504=$H$11,H504=$H$12,H504=$H$13,H504=$H$14),SottocategorieUscite[[#Headers],[Business Uscite]],IF(OR(H504=$I$5,H504=$I$6,H504=$I$7,H504=$I$8,H504=$I$9,H504=$I$10,H504=$I$11,H504=$I$12,H504=$I$13,H504=$I$14),SottocategorieUscite[[#Headers],[Banca]],IF(OR(H504=K$5,H504=K$6,H504=K$7,H504=K$8,H504=K$9,H504=K$10,H504=K$11,H504=K$12,H504=K$13,H504=K$14),SottocategorieEntrate[[#Headers],[Business Entrate]],IF(OR(H504=L$5,H504=L$6,H504=L$7,H504=L$8,H504=L$9,H504=L$10,H504=L$11,H504=L$12,H504=L$13,H504=L$14),SottocategorieEntrate[[#Headers],[Varie Entrate]],IF(OR(H504=M$5,H504=M$6,H504=M$7,H504=M$8,H504=M$9,H504=M$10,H504=M$11,H504=M$12,H504=M$13,H504=M$14),SottocategorieEntrate[[#Headers],[Real Estate]],IF(OR(H504=N$5,H504=N$6,H504=N$7,H504=N$8,H504=N$9,H504=N$10,H504=N$11,H504=N$12,H504=N$13,H504=N$14),SottocategorieEntrate[[#Headers],[Other]],""))))))))))))</f>
        <v/>
      </c>
      <c r="J504" t="str">
        <f>IF(OR(Dati[[#This Row],[Categoria]]="Bollette",Dati[[#This Row],[Categoria]]="Conto &amp; Carte BNL",Dati[[#This Row],[Categoria]]="Prelievo",Dati[[#This Row],[Categoria]]="Affitto",Dati[[#This Row],[Categoria]]="BNL(Interessi Creditori)"),"Carta",IF(Dati[[#This Row],[Categoria]]&lt;&gt;0,"Cash",""))</f>
        <v/>
      </c>
      <c r="K504" s="59" t="str">
        <f>IF(OR(Data!$I504=SottocategorieUscite[[#Headers],[Fuori Casa]],Data!$I504=SottocategorieUscite[[#Headers],[Varie Uscite]],Data!$I504=SottocategorieUscite[[#Headers],[Personali]],Data!$I504=SottocategorieUscite[[#Headers],[Lavoro]]),"$ -","")</f>
        <v/>
      </c>
      <c r="L504" s="59" t="str">
        <f>IF(OR(Data!$I504=SottocategorieUscite[[#Headers],[Casa]],Data!$I504=SottocategorieUscite[[#Headers],[Utenze]],Data!$I504=SottocategorieUscite[[#Headers],[Business Uscite]],Data!$I504=SottocategorieUscite[[#Headers],[Banca]]),"$ -","")</f>
        <v/>
      </c>
      <c r="M504" s="59" t="str">
        <f>IF(OR($I504&lt;&gt;SottocategorieUscite[[#Headers],[Fuori Casa]],$I504&lt;&gt;SottocategorieUscite[[#Headers],[Varie Uscite]],$I504&lt;&gt;SottocategorieUscite[[#Headers],[Personali]],$I504&lt;&gt;SottocategorieUscite[[#Headers],[Lavoro]],$I504&lt;&gt;SottocategorieUscite[[#Headers],[Casa]],$I504&lt;&gt;SottocategorieUscite[[#Headers],[Utenze]],$I504&lt;&gt;SottocategorieUscite[[#Headers],[Business Uscite]],$I504&lt;&gt;SottocategorieUscite[[#Headers],[Banca]]),"","$ -")</f>
        <v/>
      </c>
      <c r="N504" s="59" t="str">
        <f>IF(OR(Data!$I504=SottocategorieEntrate[[#Headers],[Business Entrate]],Data!$I504=SottocategorieEntrate[[#Headers],[Varie Entrate]]),"$ -","")</f>
        <v/>
      </c>
      <c r="O504" s="59" t="str">
        <f>IF(OR(Data!$I504=SottocategorieEntrate[[#Headers],[Real Estate]],SottocategorieEntrate[[#Headers],[Other]]),"$ -","")</f>
        <v/>
      </c>
      <c r="P504" s="59" t="str">
        <f>IF(OR($I504&lt;&gt;SottocategorieEntrate[[#Headers],[Business Entrate]],$I504&lt;&gt;SottocategorieEntrate[[#Headers],[Varie Entrate]],$I504&lt;&gt;SottocategorieEntrate[[#Headers],[Real Estate]],$I504&lt;&gt;SottocategorieEntrate[[#Headers],[Other]]),"","$ -")</f>
        <v/>
      </c>
      <c r="Q504" s="59" t="str">
        <f>IF(Dati[[#This Row],[Categoria]]="Prelievo","€ -","")</f>
        <v/>
      </c>
      <c r="R504" s="244"/>
      <c r="S504" s="59" t="str">
        <f>IF(Dati[[#This Row],[Categoria]]="Savings",0,"")</f>
        <v/>
      </c>
      <c r="T504" s="59"/>
      <c r="U504" s="59"/>
      <c r="V504" s="59"/>
      <c r="W504" s="59"/>
      <c r="X504" s="59"/>
      <c r="Y504" s="59"/>
      <c r="Z504" s="59"/>
      <c r="AA504" s="59"/>
      <c r="AB504" s="59"/>
      <c r="AC504" s="59"/>
      <c r="AD504" s="59"/>
      <c r="AE504" s="59"/>
      <c r="AF504" s="59"/>
      <c r="AG504" s="59"/>
      <c r="AH504" s="59"/>
      <c r="AI504" s="59" t="str">
        <f>IF(SUM(Dati[[#This Row],[Inv. Business]:[Inv. Cryptocurrency]])=0," ",SUM(Dati[[#This Row],[Inv. Business]:[Inv. Cryptocurrency]]))</f>
        <v xml:space="preserve"> </v>
      </c>
      <c r="AJ504" s="59"/>
      <c r="AK504" s="59" t="str">
        <f>IF(SUM(Dati[[#This Row],[Inv. Gold]:[Mutuo]])=0," ",SUM(Dati[[#This Row],[Inv. Gold]:[Mutuo]]))</f>
        <v xml:space="preserve"> </v>
      </c>
      <c r="AL504" s="59"/>
      <c r="AM504" s="59"/>
    </row>
    <row r="505" spans="2:39" x14ac:dyDescent="0.35">
      <c r="B505">
        <f t="shared" si="21"/>
        <v>485</v>
      </c>
      <c r="C505" s="49">
        <f t="shared" si="20"/>
        <v>45314</v>
      </c>
      <c r="D505" s="29">
        <f>DAY(Dati[[#This Row],[Data]])</f>
        <v>23</v>
      </c>
      <c r="E505" s="29" t="str">
        <f>IF(DAY(Data!$C$21:$C$1327)&gt;0,TEXT(Data!$C$21:$C$1327, "mmmm"),"")</f>
        <v>gennaio</v>
      </c>
      <c r="F505" s="29" t="str">
        <f>IF(DAY(Data!$C$21:$C$1327)&gt;0,TEXT(Data!$C$21:$C$1327, "aaaa"),"")</f>
        <v>2024</v>
      </c>
      <c r="I505" t="str">
        <f>IF(OR(H505=$B$5,H505=$B$6,H505=$B$7,H505=$B$8,H505=$B$9,H505=$B$10,H505=$B$11,H505=$B$12,H505=$B$13,H505=$B$14),SottocategorieUscite[[#Headers],[Fuori Casa]],IF(OR(H505=$C$5,H505=$C$6,H505=$C$7,H505=$C$8,H505=$C$9,H505=$C$10,H505=$C$11,H505=$C$12,H505=$C$13,H505=$C$14),SottocategorieUscite[[#Headers],[Varie Uscite]],IF(OR(H505=$D$5,H505=$D$6,H505=$D$7,H505=$D$8,H505=$D$9,H505=$D$10,H505=$D$11,H505=$D$12,H505=$D$13,H505=$D$14),SottocategorieUscite[[#Headers],[Personali]],IF(OR(H505=$E$5,H505=$E$6,H505=$E$7,H505=$E$8,H505=$E$9,H505=$E$10,H505=$E$11,H505=$E$12,H505=$E$13,H505=$E$14),SottocategorieUscite[[#Headers],[Lavoro]],IF(OR(H505=$F$5,H505=$F$6,H505=$F$7,H505=$F$8,H505=$F$9,H505=$F$10,H505=$F$11,H505=$F$12,H505=$F$13,H505=$F$14),SottocategorieUscite[[#Headers],[Casa]],IF(OR(H505=$G$5,H505=$G$6,H505=$G$7,H505=$G$8,H505=$G$9,H505=$G$10,H505=$G$11,H505=$G$12,H505=$G$13,H505=$G$14),SottocategorieUscite[[#Headers],[Utenze]],IF(OR(H505=$H$5,H505=$H$6,H505=$H$7,H505=$H$8,H505=$H$9,H505=$H$10,H505=$H$11,H505=$H$12,H505=$H$13,H505=$H$14),SottocategorieUscite[[#Headers],[Business Uscite]],IF(OR(H505=$I$5,H505=$I$6,H505=$I$7,H505=$I$8,H505=$I$9,H505=$I$10,H505=$I$11,H505=$I$12,H505=$I$13,H505=$I$14),SottocategorieUscite[[#Headers],[Banca]],IF(OR(H505=K$5,H505=K$6,H505=K$7,H505=K$8,H505=K$9,H505=K$10,H505=K$11,H505=K$12,H505=K$13,H505=K$14),SottocategorieEntrate[[#Headers],[Business Entrate]],IF(OR(H505=L$5,H505=L$6,H505=L$7,H505=L$8,H505=L$9,H505=L$10,H505=L$11,H505=L$12,H505=L$13,H505=L$14),SottocategorieEntrate[[#Headers],[Varie Entrate]],IF(OR(H505=M$5,H505=M$6,H505=M$7,H505=M$8,H505=M$9,H505=M$10,H505=M$11,H505=M$12,H505=M$13,H505=M$14),SottocategorieEntrate[[#Headers],[Real Estate]],IF(OR(H505=N$5,H505=N$6,H505=N$7,H505=N$8,H505=N$9,H505=N$10,H505=N$11,H505=N$12,H505=N$13,H505=N$14),SottocategorieEntrate[[#Headers],[Other]],""))))))))))))</f>
        <v/>
      </c>
      <c r="J505" t="str">
        <f>IF(OR(Dati[[#This Row],[Categoria]]="Bollette",Dati[[#This Row],[Categoria]]="Conto &amp; Carte BNL",Dati[[#This Row],[Categoria]]="Prelievo",Dati[[#This Row],[Categoria]]="Affitto",Dati[[#This Row],[Categoria]]="BNL(Interessi Creditori)"),"Carta",IF(Dati[[#This Row],[Categoria]]&lt;&gt;0,"Cash",""))</f>
        <v/>
      </c>
      <c r="K505" s="59" t="str">
        <f>IF(OR(Data!$I505=SottocategorieUscite[[#Headers],[Fuori Casa]],Data!$I505=SottocategorieUscite[[#Headers],[Varie Uscite]],Data!$I505=SottocategorieUscite[[#Headers],[Personali]],Data!$I505=SottocategorieUscite[[#Headers],[Lavoro]]),"$ -","")</f>
        <v/>
      </c>
      <c r="L505" s="59" t="str">
        <f>IF(OR(Data!$I505=SottocategorieUscite[[#Headers],[Casa]],Data!$I505=SottocategorieUscite[[#Headers],[Utenze]],Data!$I505=SottocategorieUscite[[#Headers],[Business Uscite]],Data!$I505=SottocategorieUscite[[#Headers],[Banca]]),"$ -","")</f>
        <v/>
      </c>
      <c r="M505" s="59" t="str">
        <f>IF(OR($I505&lt;&gt;SottocategorieUscite[[#Headers],[Fuori Casa]],$I505&lt;&gt;SottocategorieUscite[[#Headers],[Varie Uscite]],$I505&lt;&gt;SottocategorieUscite[[#Headers],[Personali]],$I505&lt;&gt;SottocategorieUscite[[#Headers],[Lavoro]],$I505&lt;&gt;SottocategorieUscite[[#Headers],[Casa]],$I505&lt;&gt;SottocategorieUscite[[#Headers],[Utenze]],$I505&lt;&gt;SottocategorieUscite[[#Headers],[Business Uscite]],$I505&lt;&gt;SottocategorieUscite[[#Headers],[Banca]]),"","$ -")</f>
        <v/>
      </c>
      <c r="N505" s="59" t="str">
        <f>IF(OR(Data!$I505=SottocategorieEntrate[[#Headers],[Business Entrate]],Data!$I505=SottocategorieEntrate[[#Headers],[Varie Entrate]]),"$ -","")</f>
        <v/>
      </c>
      <c r="O505" s="59" t="str">
        <f>IF(OR(Data!$I505=SottocategorieEntrate[[#Headers],[Real Estate]],SottocategorieEntrate[[#Headers],[Other]]),"$ -","")</f>
        <v/>
      </c>
      <c r="P505" s="59" t="str">
        <f>IF(OR($I505&lt;&gt;SottocategorieEntrate[[#Headers],[Business Entrate]],$I505&lt;&gt;SottocategorieEntrate[[#Headers],[Varie Entrate]],$I505&lt;&gt;SottocategorieEntrate[[#Headers],[Real Estate]],$I505&lt;&gt;SottocategorieEntrate[[#Headers],[Other]]),"","$ -")</f>
        <v/>
      </c>
      <c r="Q505" s="59" t="str">
        <f>IF(Dati[[#This Row],[Categoria]]="Prelievo","€ -","")</f>
        <v/>
      </c>
      <c r="R505" s="244"/>
      <c r="S505" s="59" t="str">
        <f>IF(Dati[[#This Row],[Categoria]]="Savings",0,"")</f>
        <v/>
      </c>
      <c r="T505" s="59"/>
      <c r="U505" s="59"/>
      <c r="V505" s="59"/>
      <c r="W505" s="59"/>
      <c r="X505" s="59"/>
      <c r="Y505" s="59"/>
      <c r="Z505" s="59"/>
      <c r="AA505" s="59"/>
      <c r="AB505" s="59"/>
      <c r="AC505" s="59"/>
      <c r="AD505" s="59"/>
      <c r="AE505" s="59"/>
      <c r="AF505" s="59"/>
      <c r="AG505" s="59"/>
      <c r="AH505" s="59"/>
      <c r="AI505" s="59" t="str">
        <f>IF(SUM(Dati[[#This Row],[Inv. Business]:[Inv. Cryptocurrency]])=0," ",SUM(Dati[[#This Row],[Inv. Business]:[Inv. Cryptocurrency]]))</f>
        <v xml:space="preserve"> </v>
      </c>
      <c r="AJ505" s="59"/>
      <c r="AK505" s="59" t="str">
        <f>IF(SUM(Dati[[#This Row],[Inv. Gold]:[Mutuo]])=0," ",SUM(Dati[[#This Row],[Inv. Gold]:[Mutuo]]))</f>
        <v xml:space="preserve"> </v>
      </c>
      <c r="AL505" s="59"/>
      <c r="AM505" s="59"/>
    </row>
    <row r="506" spans="2:39" x14ac:dyDescent="0.35">
      <c r="B506">
        <f t="shared" si="21"/>
        <v>486</v>
      </c>
      <c r="C506" s="49">
        <f>C504+1</f>
        <v>45314</v>
      </c>
      <c r="D506" s="29">
        <f>DAY(Dati[[#This Row],[Data]])</f>
        <v>23</v>
      </c>
      <c r="E506" s="29" t="str">
        <f>IF(DAY(Data!$C$21:$C$1327)&gt;0,TEXT(Data!$C$21:$C$1327, "mmmm"),"")</f>
        <v>gennaio</v>
      </c>
      <c r="F506" s="29" t="str">
        <f>IF(DAY(Data!$C$21:$C$1327)&gt;0,TEXT(Data!$C$21:$C$1327, "aaaa"),"")</f>
        <v>2024</v>
      </c>
      <c r="I506" t="str">
        <f>IF(OR(H506=$B$5,H506=$B$6,H506=$B$7,H506=$B$8,H506=$B$9,H506=$B$10,H506=$B$11,H506=$B$12,H506=$B$13,H506=$B$14),SottocategorieUscite[[#Headers],[Fuori Casa]],IF(OR(H506=$C$5,H506=$C$6,H506=$C$7,H506=$C$8,H506=$C$9,H506=$C$10,H506=$C$11,H506=$C$12,H506=$C$13,H506=$C$14),SottocategorieUscite[[#Headers],[Varie Uscite]],IF(OR(H506=$D$5,H506=$D$6,H506=$D$7,H506=$D$8,H506=$D$9,H506=$D$10,H506=$D$11,H506=$D$12,H506=$D$13,H506=$D$14),SottocategorieUscite[[#Headers],[Personali]],IF(OR(H506=$E$5,H506=$E$6,H506=$E$7,H506=$E$8,H506=$E$9,H506=$E$10,H506=$E$11,H506=$E$12,H506=$E$13,H506=$E$14),SottocategorieUscite[[#Headers],[Lavoro]],IF(OR(H506=$F$5,H506=$F$6,H506=$F$7,H506=$F$8,H506=$F$9,H506=$F$10,H506=$F$11,H506=$F$12,H506=$F$13,H506=$F$14),SottocategorieUscite[[#Headers],[Casa]],IF(OR(H506=$G$5,H506=$G$6,H506=$G$7,H506=$G$8,H506=$G$9,H506=$G$10,H506=$G$11,H506=$G$12,H506=$G$13,H506=$G$14),SottocategorieUscite[[#Headers],[Utenze]],IF(OR(H506=$H$5,H506=$H$6,H506=$H$7,H506=$H$8,H506=$H$9,H506=$H$10,H506=$H$11,H506=$H$12,H506=$H$13,H506=$H$14),SottocategorieUscite[[#Headers],[Business Uscite]],IF(OR(H506=$I$5,H506=$I$6,H506=$I$7,H506=$I$8,H506=$I$9,H506=$I$10,H506=$I$11,H506=$I$12,H506=$I$13,H506=$I$14),SottocategorieUscite[[#Headers],[Banca]],IF(OR(H506=K$5,H506=K$6,H506=K$7,H506=K$8,H506=K$9,H506=K$10,H506=K$11,H506=K$12,H506=K$13,H506=K$14),SottocategorieEntrate[[#Headers],[Business Entrate]],IF(OR(H506=L$5,H506=L$6,H506=L$7,H506=L$8,H506=L$9,H506=L$10,H506=L$11,H506=L$12,H506=L$13,H506=L$14),SottocategorieEntrate[[#Headers],[Varie Entrate]],IF(OR(H506=M$5,H506=M$6,H506=M$7,H506=M$8,H506=M$9,H506=M$10,H506=M$11,H506=M$12,H506=M$13,H506=M$14),SottocategorieEntrate[[#Headers],[Real Estate]],IF(OR(H506=N$5,H506=N$6,H506=N$7,H506=N$8,H506=N$9,H506=N$10,H506=N$11,H506=N$12,H506=N$13,H506=N$14),SottocategorieEntrate[[#Headers],[Other]],""))))))))))))</f>
        <v/>
      </c>
      <c r="J506" t="str">
        <f>IF(OR(Dati[[#This Row],[Categoria]]="Bollette",Dati[[#This Row],[Categoria]]="Conto &amp; Carte BNL",Dati[[#This Row],[Categoria]]="Prelievo",Dati[[#This Row],[Categoria]]="Affitto",Dati[[#This Row],[Categoria]]="BNL(Interessi Creditori)"),"Carta",IF(Dati[[#This Row],[Categoria]]&lt;&gt;0,"Cash",""))</f>
        <v/>
      </c>
      <c r="K506" s="59" t="str">
        <f>IF(OR(Data!$I506=SottocategorieUscite[[#Headers],[Fuori Casa]],Data!$I506=SottocategorieUscite[[#Headers],[Varie Uscite]],Data!$I506=SottocategorieUscite[[#Headers],[Personali]],Data!$I506=SottocategorieUscite[[#Headers],[Lavoro]]),"$ -","")</f>
        <v/>
      </c>
      <c r="L506" s="59" t="str">
        <f>IF(OR(Data!$I506=SottocategorieUscite[[#Headers],[Casa]],Data!$I506=SottocategorieUscite[[#Headers],[Utenze]],Data!$I506=SottocategorieUscite[[#Headers],[Business Uscite]],Data!$I506=SottocategorieUscite[[#Headers],[Banca]]),"$ -","")</f>
        <v/>
      </c>
      <c r="M506" s="59" t="str">
        <f>IF(OR($I506&lt;&gt;SottocategorieUscite[[#Headers],[Fuori Casa]],$I506&lt;&gt;SottocategorieUscite[[#Headers],[Varie Uscite]],$I506&lt;&gt;SottocategorieUscite[[#Headers],[Personali]],$I506&lt;&gt;SottocategorieUscite[[#Headers],[Lavoro]],$I506&lt;&gt;SottocategorieUscite[[#Headers],[Casa]],$I506&lt;&gt;SottocategorieUscite[[#Headers],[Utenze]],$I506&lt;&gt;SottocategorieUscite[[#Headers],[Business Uscite]],$I506&lt;&gt;SottocategorieUscite[[#Headers],[Banca]]),"","$ -")</f>
        <v/>
      </c>
      <c r="N506" s="59" t="str">
        <f>IF(OR(Data!$I506=SottocategorieEntrate[[#Headers],[Business Entrate]],Data!$I506=SottocategorieEntrate[[#Headers],[Varie Entrate]]),"$ -","")</f>
        <v/>
      </c>
      <c r="O506" s="59" t="str">
        <f>IF(OR(Data!$I506=SottocategorieEntrate[[#Headers],[Real Estate]],SottocategorieEntrate[[#Headers],[Other]]),"$ -","")</f>
        <v/>
      </c>
      <c r="P506" s="59" t="str">
        <f>IF(OR($I506&lt;&gt;SottocategorieEntrate[[#Headers],[Business Entrate]],$I506&lt;&gt;SottocategorieEntrate[[#Headers],[Varie Entrate]],$I506&lt;&gt;SottocategorieEntrate[[#Headers],[Real Estate]],$I506&lt;&gt;SottocategorieEntrate[[#Headers],[Other]]),"","$ -")</f>
        <v/>
      </c>
      <c r="Q506" s="59" t="str">
        <f>IF(Dati[[#This Row],[Categoria]]="Prelievo","€ -","")</f>
        <v/>
      </c>
      <c r="R506" s="244"/>
      <c r="S506" s="59" t="str">
        <f>IF(Dati[[#This Row],[Categoria]]="Savings",0,"")</f>
        <v/>
      </c>
      <c r="T506" s="59"/>
      <c r="U506" s="59"/>
      <c r="V506" s="59"/>
      <c r="W506" s="59"/>
      <c r="X506" s="59"/>
      <c r="Y506" s="59"/>
      <c r="Z506" s="59"/>
      <c r="AA506" s="59"/>
      <c r="AB506" s="59"/>
      <c r="AC506" s="59"/>
      <c r="AD506" s="59"/>
      <c r="AE506" s="59"/>
      <c r="AF506" s="59"/>
      <c r="AG506" s="59"/>
      <c r="AH506" s="59"/>
      <c r="AI506" s="59" t="str">
        <f>IF(SUM(Dati[[#This Row],[Inv. Business]:[Inv. Cryptocurrency]])=0," ",SUM(Dati[[#This Row],[Inv. Business]:[Inv. Cryptocurrency]]))</f>
        <v xml:space="preserve"> </v>
      </c>
      <c r="AJ506" s="59"/>
      <c r="AK506" s="59" t="str">
        <f>IF(SUM(Dati[[#This Row],[Inv. Gold]:[Mutuo]])=0," ",SUM(Dati[[#This Row],[Inv. Gold]:[Mutuo]]))</f>
        <v xml:space="preserve"> </v>
      </c>
      <c r="AL506" s="59"/>
      <c r="AM506" s="59"/>
    </row>
    <row r="507" spans="2:39" x14ac:dyDescent="0.35">
      <c r="B507">
        <f t="shared" si="21"/>
        <v>487</v>
      </c>
      <c r="C507" s="49">
        <f>C504+1</f>
        <v>45314</v>
      </c>
      <c r="D507" s="29">
        <f>DAY(Dati[[#This Row],[Data]])</f>
        <v>23</v>
      </c>
      <c r="E507" s="29" t="str">
        <f>IF(DAY(Data!$C$21:$C$1327)&gt;0,TEXT(Data!$C$21:$C$1327, "mmmm"),"")</f>
        <v>gennaio</v>
      </c>
      <c r="F507" s="29" t="str">
        <f>IF(DAY(Data!$C$21:$C$1327)&gt;0,TEXT(Data!$C$21:$C$1327, "aaaa"),"")</f>
        <v>2024</v>
      </c>
      <c r="I507" t="str">
        <f>IF(OR(H507=$B$5,H507=$B$6,H507=$B$7,H507=$B$8,H507=$B$9,H507=$B$10,H507=$B$11,H507=$B$12,H507=$B$13,H507=$B$14),SottocategorieUscite[[#Headers],[Fuori Casa]],IF(OR(H507=$C$5,H507=$C$6,H507=$C$7,H507=$C$8,H507=$C$9,H507=$C$10,H507=$C$11,H507=$C$12,H507=$C$13,H507=$C$14),SottocategorieUscite[[#Headers],[Varie Uscite]],IF(OR(H507=$D$5,H507=$D$6,H507=$D$7,H507=$D$8,H507=$D$9,H507=$D$10,H507=$D$11,H507=$D$12,H507=$D$13,H507=$D$14),SottocategorieUscite[[#Headers],[Personali]],IF(OR(H507=$E$5,H507=$E$6,H507=$E$7,H507=$E$8,H507=$E$9,H507=$E$10,H507=$E$11,H507=$E$12,H507=$E$13,H507=$E$14),SottocategorieUscite[[#Headers],[Lavoro]],IF(OR(H507=$F$5,H507=$F$6,H507=$F$7,H507=$F$8,H507=$F$9,H507=$F$10,H507=$F$11,H507=$F$12,H507=$F$13,H507=$F$14),SottocategorieUscite[[#Headers],[Casa]],IF(OR(H507=$G$5,H507=$G$6,H507=$G$7,H507=$G$8,H507=$G$9,H507=$G$10,H507=$G$11,H507=$G$12,H507=$G$13,H507=$G$14),SottocategorieUscite[[#Headers],[Utenze]],IF(OR(H507=$H$5,H507=$H$6,H507=$H$7,H507=$H$8,H507=$H$9,H507=$H$10,H507=$H$11,H507=$H$12,H507=$H$13,H507=$H$14),SottocategorieUscite[[#Headers],[Business Uscite]],IF(OR(H507=$I$5,H507=$I$6,H507=$I$7,H507=$I$8,H507=$I$9,H507=$I$10,H507=$I$11,H507=$I$12,H507=$I$13,H507=$I$14),SottocategorieUscite[[#Headers],[Banca]],IF(OR(H507=K$5,H507=K$6,H507=K$7,H507=K$8,H507=K$9,H507=K$10,H507=K$11,H507=K$12,H507=K$13,H507=K$14),SottocategorieEntrate[[#Headers],[Business Entrate]],IF(OR(H507=L$5,H507=L$6,H507=L$7,H507=L$8,H507=L$9,H507=L$10,H507=L$11,H507=L$12,H507=L$13,H507=L$14),SottocategorieEntrate[[#Headers],[Varie Entrate]],IF(OR(H507=M$5,H507=M$6,H507=M$7,H507=M$8,H507=M$9,H507=M$10,H507=M$11,H507=M$12,H507=M$13,H507=M$14),SottocategorieEntrate[[#Headers],[Real Estate]],IF(OR(H507=N$5,H507=N$6,H507=N$7,H507=N$8,H507=N$9,H507=N$10,H507=N$11,H507=N$12,H507=N$13,H507=N$14),SottocategorieEntrate[[#Headers],[Other]],""))))))))))))</f>
        <v/>
      </c>
      <c r="J507" t="str">
        <f>IF(OR(Dati[[#This Row],[Categoria]]="Bollette",Dati[[#This Row],[Categoria]]="Conto &amp; Carte BNL",Dati[[#This Row],[Categoria]]="Prelievo",Dati[[#This Row],[Categoria]]="Affitto",Dati[[#This Row],[Categoria]]="BNL(Interessi Creditori)"),"Carta",IF(Dati[[#This Row],[Categoria]]&lt;&gt;0,"Cash",""))</f>
        <v/>
      </c>
      <c r="K507" s="59" t="str">
        <f>IF(OR(Data!$I507=SottocategorieUscite[[#Headers],[Fuori Casa]],Data!$I507=SottocategorieUscite[[#Headers],[Varie Uscite]],Data!$I507=SottocategorieUscite[[#Headers],[Personali]],Data!$I507=SottocategorieUscite[[#Headers],[Lavoro]]),"$ -","")</f>
        <v/>
      </c>
      <c r="L507" s="59" t="str">
        <f>IF(OR(Data!$I507=SottocategorieUscite[[#Headers],[Casa]],Data!$I507=SottocategorieUscite[[#Headers],[Utenze]],Data!$I507=SottocategorieUscite[[#Headers],[Business Uscite]],Data!$I507=SottocategorieUscite[[#Headers],[Banca]]),"$ -","")</f>
        <v/>
      </c>
      <c r="M507" s="59" t="str">
        <f>IF(OR($I507&lt;&gt;SottocategorieUscite[[#Headers],[Fuori Casa]],$I507&lt;&gt;SottocategorieUscite[[#Headers],[Varie Uscite]],$I507&lt;&gt;SottocategorieUscite[[#Headers],[Personali]],$I507&lt;&gt;SottocategorieUscite[[#Headers],[Lavoro]],$I507&lt;&gt;SottocategorieUscite[[#Headers],[Casa]],$I507&lt;&gt;SottocategorieUscite[[#Headers],[Utenze]],$I507&lt;&gt;SottocategorieUscite[[#Headers],[Business Uscite]],$I507&lt;&gt;SottocategorieUscite[[#Headers],[Banca]]),"","$ -")</f>
        <v/>
      </c>
      <c r="N507" s="59" t="str">
        <f>IF(OR(Data!$I507=SottocategorieEntrate[[#Headers],[Business Entrate]],Data!$I507=SottocategorieEntrate[[#Headers],[Varie Entrate]]),"$ -","")</f>
        <v/>
      </c>
      <c r="O507" s="59" t="str">
        <f>IF(OR(Data!$I507=SottocategorieEntrate[[#Headers],[Real Estate]],SottocategorieEntrate[[#Headers],[Other]]),"$ -","")</f>
        <v/>
      </c>
      <c r="P507" s="59" t="str">
        <f>IF(OR($I507&lt;&gt;SottocategorieEntrate[[#Headers],[Business Entrate]],$I507&lt;&gt;SottocategorieEntrate[[#Headers],[Varie Entrate]],$I507&lt;&gt;SottocategorieEntrate[[#Headers],[Real Estate]],$I507&lt;&gt;SottocategorieEntrate[[#Headers],[Other]]),"","$ -")</f>
        <v/>
      </c>
      <c r="Q507" s="59" t="str">
        <f>IF(Dati[[#This Row],[Categoria]]="Prelievo","€ -","")</f>
        <v/>
      </c>
      <c r="R507" s="244"/>
      <c r="S507" s="59" t="str">
        <f>IF(Dati[[#This Row],[Categoria]]="Savings",0,"")</f>
        <v/>
      </c>
      <c r="T507" s="59"/>
      <c r="U507" s="59"/>
      <c r="V507" s="59"/>
      <c r="W507" s="59"/>
      <c r="X507" s="59"/>
      <c r="Y507" s="59"/>
      <c r="Z507" s="59"/>
      <c r="AA507" s="59"/>
      <c r="AB507" s="59"/>
      <c r="AC507" s="59"/>
      <c r="AD507" s="59"/>
      <c r="AE507" s="59"/>
      <c r="AF507" s="59"/>
      <c r="AG507" s="59"/>
      <c r="AH507" s="59"/>
      <c r="AI507" s="59" t="str">
        <f>IF(SUM(Dati[[#This Row],[Inv. Business]:[Inv. Cryptocurrency]])=0," ",SUM(Dati[[#This Row],[Inv. Business]:[Inv. Cryptocurrency]]))</f>
        <v xml:space="preserve"> </v>
      </c>
      <c r="AJ507" s="59"/>
      <c r="AK507" s="59" t="str">
        <f>IF(SUM(Dati[[#This Row],[Inv. Gold]:[Mutuo]])=0," ",SUM(Dati[[#This Row],[Inv. Gold]:[Mutuo]]))</f>
        <v xml:space="preserve"> </v>
      </c>
      <c r="AL507" s="59"/>
      <c r="AM507" s="59"/>
    </row>
    <row r="508" spans="2:39" x14ac:dyDescent="0.35">
      <c r="B508">
        <f t="shared" si="21"/>
        <v>488</v>
      </c>
      <c r="C508" s="49">
        <f>C505+1</f>
        <v>45315</v>
      </c>
      <c r="D508" s="29">
        <f>DAY(Dati[[#This Row],[Data]])</f>
        <v>24</v>
      </c>
      <c r="E508" s="29" t="str">
        <f>IF(DAY(Data!$C$21:$C$1327)&gt;0,TEXT(Data!$C$21:$C$1327, "mmmm"),"")</f>
        <v>gennaio</v>
      </c>
      <c r="F508" s="29" t="str">
        <f>IF(DAY(Data!$C$21:$C$1327)&gt;0,TEXT(Data!$C$21:$C$1327, "aaaa"),"")</f>
        <v>2024</v>
      </c>
      <c r="I508" t="str">
        <f>IF(OR(H508=$B$5,H508=$B$6,H508=$B$7,H508=$B$8,H508=$B$9,H508=$B$10,H508=$B$11,H508=$B$12,H508=$B$13,H508=$B$14),SottocategorieUscite[[#Headers],[Fuori Casa]],IF(OR(H508=$C$5,H508=$C$6,H508=$C$7,H508=$C$8,H508=$C$9,H508=$C$10,H508=$C$11,H508=$C$12,H508=$C$13,H508=$C$14),SottocategorieUscite[[#Headers],[Varie Uscite]],IF(OR(H508=$D$5,H508=$D$6,H508=$D$7,H508=$D$8,H508=$D$9,H508=$D$10,H508=$D$11,H508=$D$12,H508=$D$13,H508=$D$14),SottocategorieUscite[[#Headers],[Personali]],IF(OR(H508=$E$5,H508=$E$6,H508=$E$7,H508=$E$8,H508=$E$9,H508=$E$10,H508=$E$11,H508=$E$12,H508=$E$13,H508=$E$14),SottocategorieUscite[[#Headers],[Lavoro]],IF(OR(H508=$F$5,H508=$F$6,H508=$F$7,H508=$F$8,H508=$F$9,H508=$F$10,H508=$F$11,H508=$F$12,H508=$F$13,H508=$F$14),SottocategorieUscite[[#Headers],[Casa]],IF(OR(H508=$G$5,H508=$G$6,H508=$G$7,H508=$G$8,H508=$G$9,H508=$G$10,H508=$G$11,H508=$G$12,H508=$G$13,H508=$G$14),SottocategorieUscite[[#Headers],[Utenze]],IF(OR(H508=$H$5,H508=$H$6,H508=$H$7,H508=$H$8,H508=$H$9,H508=$H$10,H508=$H$11,H508=$H$12,H508=$H$13,H508=$H$14),SottocategorieUscite[[#Headers],[Business Uscite]],IF(OR(H508=$I$5,H508=$I$6,H508=$I$7,H508=$I$8,H508=$I$9,H508=$I$10,H508=$I$11,H508=$I$12,H508=$I$13,H508=$I$14),SottocategorieUscite[[#Headers],[Banca]],IF(OR(H508=K$5,H508=K$6,H508=K$7,H508=K$8,H508=K$9,H508=K$10,H508=K$11,H508=K$12,H508=K$13,H508=K$14),SottocategorieEntrate[[#Headers],[Business Entrate]],IF(OR(H508=L$5,H508=L$6,H508=L$7,H508=L$8,H508=L$9,H508=L$10,H508=L$11,H508=L$12,H508=L$13,H508=L$14),SottocategorieEntrate[[#Headers],[Varie Entrate]],IF(OR(H508=M$5,H508=M$6,H508=M$7,H508=M$8,H508=M$9,H508=M$10,H508=M$11,H508=M$12,H508=M$13,H508=M$14),SottocategorieEntrate[[#Headers],[Real Estate]],IF(OR(H508=N$5,H508=N$6,H508=N$7,H508=N$8,H508=N$9,H508=N$10,H508=N$11,H508=N$12,H508=N$13,H508=N$14),SottocategorieEntrate[[#Headers],[Other]],""))))))))))))</f>
        <v/>
      </c>
      <c r="J508" t="str">
        <f>IF(OR(Dati[[#This Row],[Categoria]]="Bollette",Dati[[#This Row],[Categoria]]="Conto &amp; Carte BNL",Dati[[#This Row],[Categoria]]="Prelievo",Dati[[#This Row],[Categoria]]="Affitto",Dati[[#This Row],[Categoria]]="BNL(Interessi Creditori)"),"Carta",IF(Dati[[#This Row],[Categoria]]&lt;&gt;0,"Cash",""))</f>
        <v/>
      </c>
      <c r="K508" s="59" t="str">
        <f>IF(OR(Data!$I508=SottocategorieUscite[[#Headers],[Fuori Casa]],Data!$I508=SottocategorieUscite[[#Headers],[Varie Uscite]],Data!$I508=SottocategorieUscite[[#Headers],[Personali]],Data!$I508=SottocategorieUscite[[#Headers],[Lavoro]]),"$ -","")</f>
        <v/>
      </c>
      <c r="L508" s="59" t="str">
        <f>IF(OR(Data!$I508=SottocategorieUscite[[#Headers],[Casa]],Data!$I508=SottocategorieUscite[[#Headers],[Utenze]],Data!$I508=SottocategorieUscite[[#Headers],[Business Uscite]],Data!$I508=SottocategorieUscite[[#Headers],[Banca]]),"$ -","")</f>
        <v/>
      </c>
      <c r="M508" s="59" t="str">
        <f>IF(OR($I508&lt;&gt;SottocategorieUscite[[#Headers],[Fuori Casa]],$I508&lt;&gt;SottocategorieUscite[[#Headers],[Varie Uscite]],$I508&lt;&gt;SottocategorieUscite[[#Headers],[Personali]],$I508&lt;&gt;SottocategorieUscite[[#Headers],[Lavoro]],$I508&lt;&gt;SottocategorieUscite[[#Headers],[Casa]],$I508&lt;&gt;SottocategorieUscite[[#Headers],[Utenze]],$I508&lt;&gt;SottocategorieUscite[[#Headers],[Business Uscite]],$I508&lt;&gt;SottocategorieUscite[[#Headers],[Banca]]),"","$ -")</f>
        <v/>
      </c>
      <c r="N508" s="59" t="str">
        <f>IF(OR(Data!$I508=SottocategorieEntrate[[#Headers],[Business Entrate]],Data!$I508=SottocategorieEntrate[[#Headers],[Varie Entrate]]),"$ -","")</f>
        <v/>
      </c>
      <c r="O508" s="59" t="str">
        <f>IF(OR(Data!$I508=SottocategorieEntrate[[#Headers],[Real Estate]],SottocategorieEntrate[[#Headers],[Other]]),"$ -","")</f>
        <v/>
      </c>
      <c r="P508" s="59" t="str">
        <f>IF(OR($I508&lt;&gt;SottocategorieEntrate[[#Headers],[Business Entrate]],$I508&lt;&gt;SottocategorieEntrate[[#Headers],[Varie Entrate]],$I508&lt;&gt;SottocategorieEntrate[[#Headers],[Real Estate]],$I508&lt;&gt;SottocategorieEntrate[[#Headers],[Other]]),"","$ -")</f>
        <v/>
      </c>
      <c r="Q508" s="59" t="str">
        <f>IF(Dati[[#This Row],[Categoria]]="Prelievo","€ -","")</f>
        <v/>
      </c>
      <c r="R508" s="244"/>
      <c r="S508" s="59" t="str">
        <f>IF(Dati[[#This Row],[Categoria]]="Savings",0,"")</f>
        <v/>
      </c>
      <c r="T508" s="59"/>
      <c r="U508" s="59"/>
      <c r="V508" s="59"/>
      <c r="W508" s="59"/>
      <c r="X508" s="59"/>
      <c r="Y508" s="59"/>
      <c r="Z508" s="59"/>
      <c r="AA508" s="59"/>
      <c r="AB508" s="59"/>
      <c r="AC508" s="59"/>
      <c r="AD508" s="59"/>
      <c r="AE508" s="59"/>
      <c r="AF508" s="59"/>
      <c r="AG508" s="59"/>
      <c r="AH508" s="59"/>
      <c r="AI508" s="59" t="str">
        <f>IF(SUM(Dati[[#This Row],[Inv. Business]:[Inv. Cryptocurrency]])=0," ",SUM(Dati[[#This Row],[Inv. Business]:[Inv. Cryptocurrency]]))</f>
        <v xml:space="preserve"> </v>
      </c>
      <c r="AJ508" s="59"/>
      <c r="AK508" s="59" t="str">
        <f>IF(SUM(Dati[[#This Row],[Inv. Gold]:[Mutuo]])=0," ",SUM(Dati[[#This Row],[Inv. Gold]:[Mutuo]]))</f>
        <v xml:space="preserve"> </v>
      </c>
      <c r="AL508" s="59"/>
      <c r="AM508" s="59"/>
    </row>
    <row r="509" spans="2:39" x14ac:dyDescent="0.35">
      <c r="B509">
        <f t="shared" si="21"/>
        <v>489</v>
      </c>
      <c r="C509" s="49">
        <f t="shared" si="20"/>
        <v>45316</v>
      </c>
      <c r="D509" s="29">
        <f>DAY(Dati[[#This Row],[Data]])</f>
        <v>25</v>
      </c>
      <c r="E509" s="29" t="str">
        <f>IF(DAY(Data!$C$21:$C$1327)&gt;0,TEXT(Data!$C$21:$C$1327, "mmmm"),"")</f>
        <v>gennaio</v>
      </c>
      <c r="F509" s="29" t="str">
        <f>IF(DAY(Data!$C$21:$C$1327)&gt;0,TEXT(Data!$C$21:$C$1327, "aaaa"),"")</f>
        <v>2024</v>
      </c>
      <c r="I509" t="str">
        <f>IF(OR(H509=$B$5,H509=$B$6,H509=$B$7,H509=$B$8,H509=$B$9,H509=$B$10,H509=$B$11,H509=$B$12,H509=$B$13,H509=$B$14),SottocategorieUscite[[#Headers],[Fuori Casa]],IF(OR(H509=$C$5,H509=$C$6,H509=$C$7,H509=$C$8,H509=$C$9,H509=$C$10,H509=$C$11,H509=$C$12,H509=$C$13,H509=$C$14),SottocategorieUscite[[#Headers],[Varie Uscite]],IF(OR(H509=$D$5,H509=$D$6,H509=$D$7,H509=$D$8,H509=$D$9,H509=$D$10,H509=$D$11,H509=$D$12,H509=$D$13,H509=$D$14),SottocategorieUscite[[#Headers],[Personali]],IF(OR(H509=$E$5,H509=$E$6,H509=$E$7,H509=$E$8,H509=$E$9,H509=$E$10,H509=$E$11,H509=$E$12,H509=$E$13,H509=$E$14),SottocategorieUscite[[#Headers],[Lavoro]],IF(OR(H509=$F$5,H509=$F$6,H509=$F$7,H509=$F$8,H509=$F$9,H509=$F$10,H509=$F$11,H509=$F$12,H509=$F$13,H509=$F$14),SottocategorieUscite[[#Headers],[Casa]],IF(OR(H509=$G$5,H509=$G$6,H509=$G$7,H509=$G$8,H509=$G$9,H509=$G$10,H509=$G$11,H509=$G$12,H509=$G$13,H509=$G$14),SottocategorieUscite[[#Headers],[Utenze]],IF(OR(H509=$H$5,H509=$H$6,H509=$H$7,H509=$H$8,H509=$H$9,H509=$H$10,H509=$H$11,H509=$H$12,H509=$H$13,H509=$H$14),SottocategorieUscite[[#Headers],[Business Uscite]],IF(OR(H509=$I$5,H509=$I$6,H509=$I$7,H509=$I$8,H509=$I$9,H509=$I$10,H509=$I$11,H509=$I$12,H509=$I$13,H509=$I$14),SottocategorieUscite[[#Headers],[Banca]],IF(OR(H509=K$5,H509=K$6,H509=K$7,H509=K$8,H509=K$9,H509=K$10,H509=K$11,H509=K$12,H509=K$13,H509=K$14),SottocategorieEntrate[[#Headers],[Business Entrate]],IF(OR(H509=L$5,H509=L$6,H509=L$7,H509=L$8,H509=L$9,H509=L$10,H509=L$11,H509=L$12,H509=L$13,H509=L$14),SottocategorieEntrate[[#Headers],[Varie Entrate]],IF(OR(H509=M$5,H509=M$6,H509=M$7,H509=M$8,H509=M$9,H509=M$10,H509=M$11,H509=M$12,H509=M$13,H509=M$14),SottocategorieEntrate[[#Headers],[Real Estate]],IF(OR(H509=N$5,H509=N$6,H509=N$7,H509=N$8,H509=N$9,H509=N$10,H509=N$11,H509=N$12,H509=N$13,H509=N$14),SottocategorieEntrate[[#Headers],[Other]],""))))))))))))</f>
        <v/>
      </c>
      <c r="J509" t="str">
        <f>IF(OR(Dati[[#This Row],[Categoria]]="Bollette",Dati[[#This Row],[Categoria]]="Conto &amp; Carte BNL",Dati[[#This Row],[Categoria]]="Prelievo",Dati[[#This Row],[Categoria]]="Affitto",Dati[[#This Row],[Categoria]]="BNL(Interessi Creditori)"),"Carta",IF(Dati[[#This Row],[Categoria]]&lt;&gt;0,"Cash",""))</f>
        <v/>
      </c>
      <c r="K509" s="59" t="str">
        <f>IF(OR(Data!$I509=SottocategorieUscite[[#Headers],[Fuori Casa]],Data!$I509=SottocategorieUscite[[#Headers],[Varie Uscite]],Data!$I509=SottocategorieUscite[[#Headers],[Personali]],Data!$I509=SottocategorieUscite[[#Headers],[Lavoro]]),"$ -","")</f>
        <v/>
      </c>
      <c r="L509" s="59" t="str">
        <f>IF(OR(Data!$I509=SottocategorieUscite[[#Headers],[Casa]],Data!$I509=SottocategorieUscite[[#Headers],[Utenze]],Data!$I509=SottocategorieUscite[[#Headers],[Business Uscite]],Data!$I509=SottocategorieUscite[[#Headers],[Banca]]),"$ -","")</f>
        <v/>
      </c>
      <c r="M509" s="59" t="str">
        <f>IF(OR($I509&lt;&gt;SottocategorieUscite[[#Headers],[Fuori Casa]],$I509&lt;&gt;SottocategorieUscite[[#Headers],[Varie Uscite]],$I509&lt;&gt;SottocategorieUscite[[#Headers],[Personali]],$I509&lt;&gt;SottocategorieUscite[[#Headers],[Lavoro]],$I509&lt;&gt;SottocategorieUscite[[#Headers],[Casa]],$I509&lt;&gt;SottocategorieUscite[[#Headers],[Utenze]],$I509&lt;&gt;SottocategorieUscite[[#Headers],[Business Uscite]],$I509&lt;&gt;SottocategorieUscite[[#Headers],[Banca]]),"","$ -")</f>
        <v/>
      </c>
      <c r="N509" s="59" t="str">
        <f>IF(OR(Data!$I509=SottocategorieEntrate[[#Headers],[Business Entrate]],Data!$I509=SottocategorieEntrate[[#Headers],[Varie Entrate]]),"$ -","")</f>
        <v/>
      </c>
      <c r="O509" s="59" t="str">
        <f>IF(OR(Data!$I509=SottocategorieEntrate[[#Headers],[Real Estate]],SottocategorieEntrate[[#Headers],[Other]]),"$ -","")</f>
        <v/>
      </c>
      <c r="P509" s="59" t="str">
        <f>IF(OR($I509&lt;&gt;SottocategorieEntrate[[#Headers],[Business Entrate]],$I509&lt;&gt;SottocategorieEntrate[[#Headers],[Varie Entrate]],$I509&lt;&gt;SottocategorieEntrate[[#Headers],[Real Estate]],$I509&lt;&gt;SottocategorieEntrate[[#Headers],[Other]]),"","$ -")</f>
        <v/>
      </c>
      <c r="Q509" s="59" t="str">
        <f>IF(Dati[[#This Row],[Categoria]]="Prelievo","€ -","")</f>
        <v/>
      </c>
      <c r="R509" s="244"/>
      <c r="S509" s="59" t="str">
        <f>IF(Dati[[#This Row],[Categoria]]="Savings",0,"")</f>
        <v/>
      </c>
      <c r="T509" s="59"/>
      <c r="U509" s="59"/>
      <c r="V509" s="59"/>
      <c r="W509" s="59"/>
      <c r="X509" s="59"/>
      <c r="Y509" s="59"/>
      <c r="Z509" s="59"/>
      <c r="AA509" s="59"/>
      <c r="AB509" s="59"/>
      <c r="AC509" s="59"/>
      <c r="AD509" s="59"/>
      <c r="AE509" s="59"/>
      <c r="AF509" s="59"/>
      <c r="AG509" s="59"/>
      <c r="AH509" s="59"/>
      <c r="AI509" s="59" t="str">
        <f>IF(SUM(Dati[[#This Row],[Inv. Business]:[Inv. Cryptocurrency]])=0," ",SUM(Dati[[#This Row],[Inv. Business]:[Inv. Cryptocurrency]]))</f>
        <v xml:space="preserve"> </v>
      </c>
      <c r="AJ509" s="59"/>
      <c r="AK509" s="59" t="str">
        <f>IF(SUM(Dati[[#This Row],[Inv. Gold]:[Mutuo]])=0," ",SUM(Dati[[#This Row],[Inv. Gold]:[Mutuo]]))</f>
        <v xml:space="preserve"> </v>
      </c>
      <c r="AL509" s="59"/>
      <c r="AM509" s="59"/>
    </row>
    <row r="510" spans="2:39" x14ac:dyDescent="0.35">
      <c r="B510">
        <f t="shared" si="21"/>
        <v>490</v>
      </c>
      <c r="C510" s="49">
        <f t="shared" si="20"/>
        <v>45317</v>
      </c>
      <c r="D510" s="29">
        <f>DAY(Dati[[#This Row],[Data]])</f>
        <v>26</v>
      </c>
      <c r="E510" s="29" t="str">
        <f>IF(DAY(Data!$C$21:$C$1327)&gt;0,TEXT(Data!$C$21:$C$1327, "mmmm"),"")</f>
        <v>gennaio</v>
      </c>
      <c r="F510" s="29" t="str">
        <f>IF(DAY(Data!$C$21:$C$1327)&gt;0,TEXT(Data!$C$21:$C$1327, "aaaa"),"")</f>
        <v>2024</v>
      </c>
      <c r="I510" t="str">
        <f>IF(OR(H510=$B$5,H510=$B$6,H510=$B$7,H510=$B$8,H510=$B$9,H510=$B$10,H510=$B$11,H510=$B$12,H510=$B$13,H510=$B$14),SottocategorieUscite[[#Headers],[Fuori Casa]],IF(OR(H510=$C$5,H510=$C$6,H510=$C$7,H510=$C$8,H510=$C$9,H510=$C$10,H510=$C$11,H510=$C$12,H510=$C$13,H510=$C$14),SottocategorieUscite[[#Headers],[Varie Uscite]],IF(OR(H510=$D$5,H510=$D$6,H510=$D$7,H510=$D$8,H510=$D$9,H510=$D$10,H510=$D$11,H510=$D$12,H510=$D$13,H510=$D$14),SottocategorieUscite[[#Headers],[Personali]],IF(OR(H510=$E$5,H510=$E$6,H510=$E$7,H510=$E$8,H510=$E$9,H510=$E$10,H510=$E$11,H510=$E$12,H510=$E$13,H510=$E$14),SottocategorieUscite[[#Headers],[Lavoro]],IF(OR(H510=$F$5,H510=$F$6,H510=$F$7,H510=$F$8,H510=$F$9,H510=$F$10,H510=$F$11,H510=$F$12,H510=$F$13,H510=$F$14),SottocategorieUscite[[#Headers],[Casa]],IF(OR(H510=$G$5,H510=$G$6,H510=$G$7,H510=$G$8,H510=$G$9,H510=$G$10,H510=$G$11,H510=$G$12,H510=$G$13,H510=$G$14),SottocategorieUscite[[#Headers],[Utenze]],IF(OR(H510=$H$5,H510=$H$6,H510=$H$7,H510=$H$8,H510=$H$9,H510=$H$10,H510=$H$11,H510=$H$12,H510=$H$13,H510=$H$14),SottocategorieUscite[[#Headers],[Business Uscite]],IF(OR(H510=$I$5,H510=$I$6,H510=$I$7,H510=$I$8,H510=$I$9,H510=$I$10,H510=$I$11,H510=$I$12,H510=$I$13,H510=$I$14),SottocategorieUscite[[#Headers],[Banca]],IF(OR(H510=K$5,H510=K$6,H510=K$7,H510=K$8,H510=K$9,H510=K$10,H510=K$11,H510=K$12,H510=K$13,H510=K$14),SottocategorieEntrate[[#Headers],[Business Entrate]],IF(OR(H510=L$5,H510=L$6,H510=L$7,H510=L$8,H510=L$9,H510=L$10,H510=L$11,H510=L$12,H510=L$13,H510=L$14),SottocategorieEntrate[[#Headers],[Varie Entrate]],IF(OR(H510=M$5,H510=M$6,H510=M$7,H510=M$8,H510=M$9,H510=M$10,H510=M$11,H510=M$12,H510=M$13,H510=M$14),SottocategorieEntrate[[#Headers],[Real Estate]],IF(OR(H510=N$5,H510=N$6,H510=N$7,H510=N$8,H510=N$9,H510=N$10,H510=N$11,H510=N$12,H510=N$13,H510=N$14),SottocategorieEntrate[[#Headers],[Other]],""))))))))))))</f>
        <v/>
      </c>
      <c r="J510" t="str">
        <f>IF(OR(Dati[[#This Row],[Categoria]]="Bollette",Dati[[#This Row],[Categoria]]="Conto &amp; Carte BNL",Dati[[#This Row],[Categoria]]="Prelievo",Dati[[#This Row],[Categoria]]="Affitto",Dati[[#This Row],[Categoria]]="BNL(Interessi Creditori)"),"Carta",IF(Dati[[#This Row],[Categoria]]&lt;&gt;0,"Cash",""))</f>
        <v/>
      </c>
      <c r="K510" s="59" t="str">
        <f>IF(OR(Data!$I510=SottocategorieUscite[[#Headers],[Fuori Casa]],Data!$I510=SottocategorieUscite[[#Headers],[Varie Uscite]],Data!$I510=SottocategorieUscite[[#Headers],[Personali]],Data!$I510=SottocategorieUscite[[#Headers],[Lavoro]]),"$ -","")</f>
        <v/>
      </c>
      <c r="L510" s="59" t="str">
        <f>IF(OR(Data!$I510=SottocategorieUscite[[#Headers],[Casa]],Data!$I510=SottocategorieUscite[[#Headers],[Utenze]],Data!$I510=SottocategorieUscite[[#Headers],[Business Uscite]],Data!$I510=SottocategorieUscite[[#Headers],[Banca]]),"$ -","")</f>
        <v/>
      </c>
      <c r="M510" s="59" t="str">
        <f>IF(OR($I510&lt;&gt;SottocategorieUscite[[#Headers],[Fuori Casa]],$I510&lt;&gt;SottocategorieUscite[[#Headers],[Varie Uscite]],$I510&lt;&gt;SottocategorieUscite[[#Headers],[Personali]],$I510&lt;&gt;SottocategorieUscite[[#Headers],[Lavoro]],$I510&lt;&gt;SottocategorieUscite[[#Headers],[Casa]],$I510&lt;&gt;SottocategorieUscite[[#Headers],[Utenze]],$I510&lt;&gt;SottocategorieUscite[[#Headers],[Business Uscite]],$I510&lt;&gt;SottocategorieUscite[[#Headers],[Banca]]),"","$ -")</f>
        <v/>
      </c>
      <c r="N510" s="59" t="str">
        <f>IF(OR(Data!$I510=SottocategorieEntrate[[#Headers],[Business Entrate]],Data!$I510=SottocategorieEntrate[[#Headers],[Varie Entrate]]),"$ -","")</f>
        <v/>
      </c>
      <c r="O510" s="59" t="str">
        <f>IF(OR(Data!$I510=SottocategorieEntrate[[#Headers],[Real Estate]],SottocategorieEntrate[[#Headers],[Other]]),"$ -","")</f>
        <v/>
      </c>
      <c r="P510" s="59" t="str">
        <f>IF(OR($I510&lt;&gt;SottocategorieEntrate[[#Headers],[Business Entrate]],$I510&lt;&gt;SottocategorieEntrate[[#Headers],[Varie Entrate]],$I510&lt;&gt;SottocategorieEntrate[[#Headers],[Real Estate]],$I510&lt;&gt;SottocategorieEntrate[[#Headers],[Other]]),"","$ -")</f>
        <v/>
      </c>
      <c r="Q510" s="59" t="str">
        <f>IF(Dati[[#This Row],[Categoria]]="Prelievo","€ -","")</f>
        <v/>
      </c>
      <c r="R510" s="244"/>
      <c r="S510" s="59" t="str">
        <f>IF(Dati[[#This Row],[Categoria]]="Savings",0,"")</f>
        <v/>
      </c>
      <c r="T510" s="59"/>
      <c r="U510" s="59"/>
      <c r="V510" s="59"/>
      <c r="W510" s="59"/>
      <c r="X510" s="59"/>
      <c r="Y510" s="59"/>
      <c r="Z510" s="59"/>
      <c r="AA510" s="59"/>
      <c r="AB510" s="59"/>
      <c r="AC510" s="59"/>
      <c r="AD510" s="59"/>
      <c r="AE510" s="59"/>
      <c r="AF510" s="59"/>
      <c r="AG510" s="59"/>
      <c r="AH510" s="59"/>
      <c r="AI510" s="59" t="str">
        <f>IF(SUM(Dati[[#This Row],[Inv. Business]:[Inv. Cryptocurrency]])=0," ",SUM(Dati[[#This Row],[Inv. Business]:[Inv. Cryptocurrency]]))</f>
        <v xml:space="preserve"> </v>
      </c>
      <c r="AJ510" s="59"/>
      <c r="AK510" s="59" t="str">
        <f>IF(SUM(Dati[[#This Row],[Inv. Gold]:[Mutuo]])=0," ",SUM(Dati[[#This Row],[Inv. Gold]:[Mutuo]]))</f>
        <v xml:space="preserve"> </v>
      </c>
      <c r="AL510" s="59"/>
      <c r="AM510" s="59"/>
    </row>
    <row r="511" spans="2:39" x14ac:dyDescent="0.35">
      <c r="B511">
        <f t="shared" si="21"/>
        <v>491</v>
      </c>
      <c r="C511" s="49">
        <f t="shared" si="20"/>
        <v>45318</v>
      </c>
      <c r="D511" s="29">
        <f>DAY(Dati[[#This Row],[Data]])</f>
        <v>27</v>
      </c>
      <c r="E511" s="29" t="str">
        <f>IF(DAY(Data!$C$21:$C$1327)&gt;0,TEXT(Data!$C$21:$C$1327, "mmmm"),"")</f>
        <v>gennaio</v>
      </c>
      <c r="F511" s="29" t="str">
        <f>IF(DAY(Data!$C$21:$C$1327)&gt;0,TEXT(Data!$C$21:$C$1327, "aaaa"),"")</f>
        <v>2024</v>
      </c>
      <c r="I511" t="str">
        <f>IF(OR(H511=$B$5,H511=$B$6,H511=$B$7,H511=$B$8,H511=$B$9,H511=$B$10,H511=$B$11,H511=$B$12,H511=$B$13,H511=$B$14),SottocategorieUscite[[#Headers],[Fuori Casa]],IF(OR(H511=$C$5,H511=$C$6,H511=$C$7,H511=$C$8,H511=$C$9,H511=$C$10,H511=$C$11,H511=$C$12,H511=$C$13,H511=$C$14),SottocategorieUscite[[#Headers],[Varie Uscite]],IF(OR(H511=$D$5,H511=$D$6,H511=$D$7,H511=$D$8,H511=$D$9,H511=$D$10,H511=$D$11,H511=$D$12,H511=$D$13,H511=$D$14),SottocategorieUscite[[#Headers],[Personali]],IF(OR(H511=$E$5,H511=$E$6,H511=$E$7,H511=$E$8,H511=$E$9,H511=$E$10,H511=$E$11,H511=$E$12,H511=$E$13,H511=$E$14),SottocategorieUscite[[#Headers],[Lavoro]],IF(OR(H511=$F$5,H511=$F$6,H511=$F$7,H511=$F$8,H511=$F$9,H511=$F$10,H511=$F$11,H511=$F$12,H511=$F$13,H511=$F$14),SottocategorieUscite[[#Headers],[Casa]],IF(OR(H511=$G$5,H511=$G$6,H511=$G$7,H511=$G$8,H511=$G$9,H511=$G$10,H511=$G$11,H511=$G$12,H511=$G$13,H511=$G$14),SottocategorieUscite[[#Headers],[Utenze]],IF(OR(H511=$H$5,H511=$H$6,H511=$H$7,H511=$H$8,H511=$H$9,H511=$H$10,H511=$H$11,H511=$H$12,H511=$H$13,H511=$H$14),SottocategorieUscite[[#Headers],[Business Uscite]],IF(OR(H511=$I$5,H511=$I$6,H511=$I$7,H511=$I$8,H511=$I$9,H511=$I$10,H511=$I$11,H511=$I$12,H511=$I$13,H511=$I$14),SottocategorieUscite[[#Headers],[Banca]],IF(OR(H511=K$5,H511=K$6,H511=K$7,H511=K$8,H511=K$9,H511=K$10,H511=K$11,H511=K$12,H511=K$13,H511=K$14),SottocategorieEntrate[[#Headers],[Business Entrate]],IF(OR(H511=L$5,H511=L$6,H511=L$7,H511=L$8,H511=L$9,H511=L$10,H511=L$11,H511=L$12,H511=L$13,H511=L$14),SottocategorieEntrate[[#Headers],[Varie Entrate]],IF(OR(H511=M$5,H511=M$6,H511=M$7,H511=M$8,H511=M$9,H511=M$10,H511=M$11,H511=M$12,H511=M$13,H511=M$14),SottocategorieEntrate[[#Headers],[Real Estate]],IF(OR(H511=N$5,H511=N$6,H511=N$7,H511=N$8,H511=N$9,H511=N$10,H511=N$11,H511=N$12,H511=N$13,H511=N$14),SottocategorieEntrate[[#Headers],[Other]],""))))))))))))</f>
        <v/>
      </c>
      <c r="J511" t="str">
        <f>IF(OR(Dati[[#This Row],[Categoria]]="Bollette",Dati[[#This Row],[Categoria]]="Conto &amp; Carte BNL",Dati[[#This Row],[Categoria]]="Prelievo",Dati[[#This Row],[Categoria]]="Affitto",Dati[[#This Row],[Categoria]]="BNL(Interessi Creditori)"),"Carta",IF(Dati[[#This Row],[Categoria]]&lt;&gt;0,"Cash",""))</f>
        <v/>
      </c>
      <c r="K511" s="59" t="str">
        <f>IF(OR(Data!$I511=SottocategorieUscite[[#Headers],[Fuori Casa]],Data!$I511=SottocategorieUscite[[#Headers],[Varie Uscite]],Data!$I511=SottocategorieUscite[[#Headers],[Personali]],Data!$I511=SottocategorieUscite[[#Headers],[Lavoro]]),"$ -","")</f>
        <v/>
      </c>
      <c r="L511" s="59" t="str">
        <f>IF(OR(Data!$I511=SottocategorieUscite[[#Headers],[Casa]],Data!$I511=SottocategorieUscite[[#Headers],[Utenze]],Data!$I511=SottocategorieUscite[[#Headers],[Business Uscite]],Data!$I511=SottocategorieUscite[[#Headers],[Banca]]),"$ -","")</f>
        <v/>
      </c>
      <c r="M511" s="59" t="str">
        <f>IF(OR($I511&lt;&gt;SottocategorieUscite[[#Headers],[Fuori Casa]],$I511&lt;&gt;SottocategorieUscite[[#Headers],[Varie Uscite]],$I511&lt;&gt;SottocategorieUscite[[#Headers],[Personali]],$I511&lt;&gt;SottocategorieUscite[[#Headers],[Lavoro]],$I511&lt;&gt;SottocategorieUscite[[#Headers],[Casa]],$I511&lt;&gt;SottocategorieUscite[[#Headers],[Utenze]],$I511&lt;&gt;SottocategorieUscite[[#Headers],[Business Uscite]],$I511&lt;&gt;SottocategorieUscite[[#Headers],[Banca]]),"","$ -")</f>
        <v/>
      </c>
      <c r="N511" s="59" t="str">
        <f>IF(OR(Data!$I511=SottocategorieEntrate[[#Headers],[Business Entrate]],Data!$I511=SottocategorieEntrate[[#Headers],[Varie Entrate]]),"$ -","")</f>
        <v/>
      </c>
      <c r="O511" s="59" t="str">
        <f>IF(OR(Data!$I511=SottocategorieEntrate[[#Headers],[Real Estate]],SottocategorieEntrate[[#Headers],[Other]]),"$ -","")</f>
        <v/>
      </c>
      <c r="P511" s="59" t="str">
        <f>IF(OR($I511&lt;&gt;SottocategorieEntrate[[#Headers],[Business Entrate]],$I511&lt;&gt;SottocategorieEntrate[[#Headers],[Varie Entrate]],$I511&lt;&gt;SottocategorieEntrate[[#Headers],[Real Estate]],$I511&lt;&gt;SottocategorieEntrate[[#Headers],[Other]]),"","$ -")</f>
        <v/>
      </c>
      <c r="Q511" s="59" t="str">
        <f>IF(Dati[[#This Row],[Categoria]]="Prelievo","€ -","")</f>
        <v/>
      </c>
      <c r="R511" s="244"/>
      <c r="S511" s="59" t="str">
        <f>IF(Dati[[#This Row],[Categoria]]="Savings",0,"")</f>
        <v/>
      </c>
      <c r="T511" s="59"/>
      <c r="U511" s="59"/>
      <c r="V511" s="59"/>
      <c r="W511" s="59"/>
      <c r="X511" s="59"/>
      <c r="Y511" s="59"/>
      <c r="Z511" s="59"/>
      <c r="AA511" s="59"/>
      <c r="AB511" s="59"/>
      <c r="AC511" s="59"/>
      <c r="AD511" s="59"/>
      <c r="AE511" s="59"/>
      <c r="AF511" s="59"/>
      <c r="AG511" s="59"/>
      <c r="AH511" s="59"/>
      <c r="AI511" s="59" t="str">
        <f>IF(SUM(Dati[[#This Row],[Inv. Business]:[Inv. Cryptocurrency]])=0," ",SUM(Dati[[#This Row],[Inv. Business]:[Inv. Cryptocurrency]]))</f>
        <v xml:space="preserve"> </v>
      </c>
      <c r="AJ511" s="59"/>
      <c r="AK511" s="59" t="str">
        <f>IF(SUM(Dati[[#This Row],[Inv. Gold]:[Mutuo]])=0," ",SUM(Dati[[#This Row],[Inv. Gold]:[Mutuo]]))</f>
        <v xml:space="preserve"> </v>
      </c>
      <c r="AL511" s="59"/>
      <c r="AM511" s="59"/>
    </row>
    <row r="512" spans="2:39" x14ac:dyDescent="0.35">
      <c r="B512">
        <f t="shared" si="21"/>
        <v>492</v>
      </c>
      <c r="C512" s="49">
        <f>C510+1</f>
        <v>45318</v>
      </c>
      <c r="D512" s="29">
        <f>DAY(Dati[[#This Row],[Data]])</f>
        <v>27</v>
      </c>
      <c r="E512" s="29" t="str">
        <f>IF(DAY(Data!$C$21:$C$1327)&gt;0,TEXT(Data!$C$21:$C$1327, "mmmm"),"")</f>
        <v>gennaio</v>
      </c>
      <c r="F512" s="29" t="str">
        <f>IF(DAY(Data!$C$21:$C$1327)&gt;0,TEXT(Data!$C$21:$C$1327, "aaaa"),"")</f>
        <v>2024</v>
      </c>
      <c r="I512" t="str">
        <f>IF(OR(H512=$B$5,H512=$B$6,H512=$B$7,H512=$B$8,H512=$B$9,H512=$B$10,H512=$B$11,H512=$B$12,H512=$B$13,H512=$B$14),SottocategorieUscite[[#Headers],[Fuori Casa]],IF(OR(H512=$C$5,H512=$C$6,H512=$C$7,H512=$C$8,H512=$C$9,H512=$C$10,H512=$C$11,H512=$C$12,H512=$C$13,H512=$C$14),SottocategorieUscite[[#Headers],[Varie Uscite]],IF(OR(H512=$D$5,H512=$D$6,H512=$D$7,H512=$D$8,H512=$D$9,H512=$D$10,H512=$D$11,H512=$D$12,H512=$D$13,H512=$D$14),SottocategorieUscite[[#Headers],[Personali]],IF(OR(H512=$E$5,H512=$E$6,H512=$E$7,H512=$E$8,H512=$E$9,H512=$E$10,H512=$E$11,H512=$E$12,H512=$E$13,H512=$E$14),SottocategorieUscite[[#Headers],[Lavoro]],IF(OR(H512=$F$5,H512=$F$6,H512=$F$7,H512=$F$8,H512=$F$9,H512=$F$10,H512=$F$11,H512=$F$12,H512=$F$13,H512=$F$14),SottocategorieUscite[[#Headers],[Casa]],IF(OR(H512=$G$5,H512=$G$6,H512=$G$7,H512=$G$8,H512=$G$9,H512=$G$10,H512=$G$11,H512=$G$12,H512=$G$13,H512=$G$14),SottocategorieUscite[[#Headers],[Utenze]],IF(OR(H512=$H$5,H512=$H$6,H512=$H$7,H512=$H$8,H512=$H$9,H512=$H$10,H512=$H$11,H512=$H$12,H512=$H$13,H512=$H$14),SottocategorieUscite[[#Headers],[Business Uscite]],IF(OR(H512=$I$5,H512=$I$6,H512=$I$7,H512=$I$8,H512=$I$9,H512=$I$10,H512=$I$11,H512=$I$12,H512=$I$13,H512=$I$14),SottocategorieUscite[[#Headers],[Banca]],IF(OR(H512=K$5,H512=K$6,H512=K$7,H512=K$8,H512=K$9,H512=K$10,H512=K$11,H512=K$12,H512=K$13,H512=K$14),SottocategorieEntrate[[#Headers],[Business Entrate]],IF(OR(H512=L$5,H512=L$6,H512=L$7,H512=L$8,H512=L$9,H512=L$10,H512=L$11,H512=L$12,H512=L$13,H512=L$14),SottocategorieEntrate[[#Headers],[Varie Entrate]],IF(OR(H512=M$5,H512=M$6,H512=M$7,H512=M$8,H512=M$9,H512=M$10,H512=M$11,H512=M$12,H512=M$13,H512=M$14),SottocategorieEntrate[[#Headers],[Real Estate]],IF(OR(H512=N$5,H512=N$6,H512=N$7,H512=N$8,H512=N$9,H512=N$10,H512=N$11,H512=N$12,H512=N$13,H512=N$14),SottocategorieEntrate[[#Headers],[Other]],""))))))))))))</f>
        <v/>
      </c>
      <c r="J512" t="str">
        <f>IF(OR(Dati[[#This Row],[Categoria]]="Bollette",Dati[[#This Row],[Categoria]]="Conto &amp; Carte BNL",Dati[[#This Row],[Categoria]]="Prelievo",Dati[[#This Row],[Categoria]]="Affitto",Dati[[#This Row],[Categoria]]="BNL(Interessi Creditori)"),"Carta",IF(Dati[[#This Row],[Categoria]]&lt;&gt;0,"Cash",""))</f>
        <v/>
      </c>
      <c r="K512" s="59" t="str">
        <f>IF(OR(Data!$I512=SottocategorieUscite[[#Headers],[Fuori Casa]],Data!$I512=SottocategorieUscite[[#Headers],[Varie Uscite]],Data!$I512=SottocategorieUscite[[#Headers],[Personali]],Data!$I512=SottocategorieUscite[[#Headers],[Lavoro]]),"$ -","")</f>
        <v/>
      </c>
      <c r="L512" s="59" t="str">
        <f>IF(OR(Data!$I512=SottocategorieUscite[[#Headers],[Casa]],Data!$I512=SottocategorieUscite[[#Headers],[Utenze]],Data!$I512=SottocategorieUscite[[#Headers],[Business Uscite]],Data!$I512=SottocategorieUscite[[#Headers],[Banca]]),"$ -","")</f>
        <v/>
      </c>
      <c r="M512" s="59" t="str">
        <f>IF(OR($I512&lt;&gt;SottocategorieUscite[[#Headers],[Fuori Casa]],$I512&lt;&gt;SottocategorieUscite[[#Headers],[Varie Uscite]],$I512&lt;&gt;SottocategorieUscite[[#Headers],[Personali]],$I512&lt;&gt;SottocategorieUscite[[#Headers],[Lavoro]],$I512&lt;&gt;SottocategorieUscite[[#Headers],[Casa]],$I512&lt;&gt;SottocategorieUscite[[#Headers],[Utenze]],$I512&lt;&gt;SottocategorieUscite[[#Headers],[Business Uscite]],$I512&lt;&gt;SottocategorieUscite[[#Headers],[Banca]]),"","$ -")</f>
        <v/>
      </c>
      <c r="N512" s="59" t="str">
        <f>IF(OR(Data!$I512=SottocategorieEntrate[[#Headers],[Business Entrate]],Data!$I512=SottocategorieEntrate[[#Headers],[Varie Entrate]]),"$ -","")</f>
        <v/>
      </c>
      <c r="O512" s="59" t="str">
        <f>IF(OR(Data!$I512=SottocategorieEntrate[[#Headers],[Real Estate]],SottocategorieEntrate[[#Headers],[Other]]),"$ -","")</f>
        <v/>
      </c>
      <c r="P512" s="59" t="str">
        <f>IF(OR($I512&lt;&gt;SottocategorieEntrate[[#Headers],[Business Entrate]],$I512&lt;&gt;SottocategorieEntrate[[#Headers],[Varie Entrate]],$I512&lt;&gt;SottocategorieEntrate[[#Headers],[Real Estate]],$I512&lt;&gt;SottocategorieEntrate[[#Headers],[Other]]),"","$ -")</f>
        <v/>
      </c>
      <c r="Q512" s="59" t="str">
        <f>IF(Dati[[#This Row],[Categoria]]="Prelievo","€ -","")</f>
        <v/>
      </c>
      <c r="R512" s="244"/>
      <c r="S512" s="59" t="str">
        <f>IF(Dati[[#This Row],[Categoria]]="Savings",0,"")</f>
        <v/>
      </c>
      <c r="T512" s="59"/>
      <c r="U512" s="59"/>
      <c r="V512" s="59"/>
      <c r="W512" s="59"/>
      <c r="X512" s="59"/>
      <c r="Y512" s="59"/>
      <c r="Z512" s="59"/>
      <c r="AA512" s="59"/>
      <c r="AB512" s="59"/>
      <c r="AC512" s="59"/>
      <c r="AD512" s="59"/>
      <c r="AE512" s="59"/>
      <c r="AF512" s="59"/>
      <c r="AG512" s="59"/>
      <c r="AH512" s="59"/>
      <c r="AI512" s="59" t="str">
        <f>IF(SUM(Dati[[#This Row],[Inv. Business]:[Inv. Cryptocurrency]])=0," ",SUM(Dati[[#This Row],[Inv. Business]:[Inv. Cryptocurrency]]))</f>
        <v xml:space="preserve"> </v>
      </c>
      <c r="AJ512" s="59"/>
      <c r="AK512" s="59" t="str">
        <f>IF(SUM(Dati[[#This Row],[Inv. Gold]:[Mutuo]])=0," ",SUM(Dati[[#This Row],[Inv. Gold]:[Mutuo]]))</f>
        <v xml:space="preserve"> </v>
      </c>
      <c r="AL512" s="59"/>
      <c r="AM512" s="59"/>
    </row>
    <row r="513" spans="2:39" x14ac:dyDescent="0.35">
      <c r="B513">
        <f t="shared" si="21"/>
        <v>493</v>
      </c>
      <c r="C513" s="49">
        <f>C511+1</f>
        <v>45319</v>
      </c>
      <c r="D513" s="29">
        <f>DAY(Dati[[#This Row],[Data]])</f>
        <v>28</v>
      </c>
      <c r="E513" s="29" t="str">
        <f>IF(DAY(Data!$C$21:$C$1327)&gt;0,TEXT(Data!$C$21:$C$1327, "mmmm"),"")</f>
        <v>gennaio</v>
      </c>
      <c r="F513" s="29" t="str">
        <f>IF(DAY(Data!$C$21:$C$1327)&gt;0,TEXT(Data!$C$21:$C$1327, "aaaa"),"")</f>
        <v>2024</v>
      </c>
      <c r="I513" t="str">
        <f>IF(OR(H513=$B$5,H513=$B$6,H513=$B$7,H513=$B$8,H513=$B$9,H513=$B$10,H513=$B$11,H513=$B$12,H513=$B$13,H513=$B$14),SottocategorieUscite[[#Headers],[Fuori Casa]],IF(OR(H513=$C$5,H513=$C$6,H513=$C$7,H513=$C$8,H513=$C$9,H513=$C$10,H513=$C$11,H513=$C$12,H513=$C$13,H513=$C$14),SottocategorieUscite[[#Headers],[Varie Uscite]],IF(OR(H513=$D$5,H513=$D$6,H513=$D$7,H513=$D$8,H513=$D$9,H513=$D$10,H513=$D$11,H513=$D$12,H513=$D$13,H513=$D$14),SottocategorieUscite[[#Headers],[Personali]],IF(OR(H513=$E$5,H513=$E$6,H513=$E$7,H513=$E$8,H513=$E$9,H513=$E$10,H513=$E$11,H513=$E$12,H513=$E$13,H513=$E$14),SottocategorieUscite[[#Headers],[Lavoro]],IF(OR(H513=$F$5,H513=$F$6,H513=$F$7,H513=$F$8,H513=$F$9,H513=$F$10,H513=$F$11,H513=$F$12,H513=$F$13,H513=$F$14),SottocategorieUscite[[#Headers],[Casa]],IF(OR(H513=$G$5,H513=$G$6,H513=$G$7,H513=$G$8,H513=$G$9,H513=$G$10,H513=$G$11,H513=$G$12,H513=$G$13,H513=$G$14),SottocategorieUscite[[#Headers],[Utenze]],IF(OR(H513=$H$5,H513=$H$6,H513=$H$7,H513=$H$8,H513=$H$9,H513=$H$10,H513=$H$11,H513=$H$12,H513=$H$13,H513=$H$14),SottocategorieUscite[[#Headers],[Business Uscite]],IF(OR(H513=$I$5,H513=$I$6,H513=$I$7,H513=$I$8,H513=$I$9,H513=$I$10,H513=$I$11,H513=$I$12,H513=$I$13,H513=$I$14),SottocategorieUscite[[#Headers],[Banca]],IF(OR(H513=K$5,H513=K$6,H513=K$7,H513=K$8,H513=K$9,H513=K$10,H513=K$11,H513=K$12,H513=K$13,H513=K$14),SottocategorieEntrate[[#Headers],[Business Entrate]],IF(OR(H513=L$5,H513=L$6,H513=L$7,H513=L$8,H513=L$9,H513=L$10,H513=L$11,H513=L$12,H513=L$13,H513=L$14),SottocategorieEntrate[[#Headers],[Varie Entrate]],IF(OR(H513=M$5,H513=M$6,H513=M$7,H513=M$8,H513=M$9,H513=M$10,H513=M$11,H513=M$12,H513=M$13,H513=M$14),SottocategorieEntrate[[#Headers],[Real Estate]],IF(OR(H513=N$5,H513=N$6,H513=N$7,H513=N$8,H513=N$9,H513=N$10,H513=N$11,H513=N$12,H513=N$13,H513=N$14),SottocategorieEntrate[[#Headers],[Other]],""))))))))))))</f>
        <v/>
      </c>
      <c r="J513" t="str">
        <f>IF(OR(Dati[[#This Row],[Categoria]]="Bollette",Dati[[#This Row],[Categoria]]="Conto &amp; Carte BNL",Dati[[#This Row],[Categoria]]="Prelievo",Dati[[#This Row],[Categoria]]="Affitto",Dati[[#This Row],[Categoria]]="BNL(Interessi Creditori)"),"Carta",IF(Dati[[#This Row],[Categoria]]&lt;&gt;0,"Cash",""))</f>
        <v/>
      </c>
      <c r="K513" s="59" t="str">
        <f>IF(OR(Data!$I513=SottocategorieUscite[[#Headers],[Fuori Casa]],Data!$I513=SottocategorieUscite[[#Headers],[Varie Uscite]],Data!$I513=SottocategorieUscite[[#Headers],[Personali]],Data!$I513=SottocategorieUscite[[#Headers],[Lavoro]]),"$ -","")</f>
        <v/>
      </c>
      <c r="L513" s="59" t="str">
        <f>IF(OR(Data!$I513=SottocategorieUscite[[#Headers],[Casa]],Data!$I513=SottocategorieUscite[[#Headers],[Utenze]],Data!$I513=SottocategorieUscite[[#Headers],[Business Uscite]],Data!$I513=SottocategorieUscite[[#Headers],[Banca]]),"$ -","")</f>
        <v/>
      </c>
      <c r="M513" s="59" t="str">
        <f>IF(OR($I513&lt;&gt;SottocategorieUscite[[#Headers],[Fuori Casa]],$I513&lt;&gt;SottocategorieUscite[[#Headers],[Varie Uscite]],$I513&lt;&gt;SottocategorieUscite[[#Headers],[Personali]],$I513&lt;&gt;SottocategorieUscite[[#Headers],[Lavoro]],$I513&lt;&gt;SottocategorieUscite[[#Headers],[Casa]],$I513&lt;&gt;SottocategorieUscite[[#Headers],[Utenze]],$I513&lt;&gt;SottocategorieUscite[[#Headers],[Business Uscite]],$I513&lt;&gt;SottocategorieUscite[[#Headers],[Banca]]),"","$ -")</f>
        <v/>
      </c>
      <c r="N513" s="59" t="str">
        <f>IF(OR(Data!$I513=SottocategorieEntrate[[#Headers],[Business Entrate]],Data!$I513=SottocategorieEntrate[[#Headers],[Varie Entrate]]),"$ -","")</f>
        <v/>
      </c>
      <c r="O513" s="59" t="str">
        <f>IF(OR(Data!$I513=SottocategorieEntrate[[#Headers],[Real Estate]],SottocategorieEntrate[[#Headers],[Other]]),"$ -","")</f>
        <v/>
      </c>
      <c r="P513" s="59" t="str">
        <f>IF(OR($I513&lt;&gt;SottocategorieEntrate[[#Headers],[Business Entrate]],$I513&lt;&gt;SottocategorieEntrate[[#Headers],[Varie Entrate]],$I513&lt;&gt;SottocategorieEntrate[[#Headers],[Real Estate]],$I513&lt;&gt;SottocategorieEntrate[[#Headers],[Other]]),"","$ -")</f>
        <v/>
      </c>
      <c r="Q513" s="59" t="str">
        <f>IF(Dati[[#This Row],[Categoria]]="Prelievo","€ -","")</f>
        <v/>
      </c>
      <c r="R513" s="244"/>
      <c r="S513" s="59" t="str">
        <f>IF(Dati[[#This Row],[Categoria]]="Savings",0,"")</f>
        <v/>
      </c>
      <c r="T513" s="59"/>
      <c r="U513" s="59"/>
      <c r="V513" s="59"/>
      <c r="W513" s="59"/>
      <c r="X513" s="59"/>
      <c r="Y513" s="59"/>
      <c r="Z513" s="59"/>
      <c r="AA513" s="59"/>
      <c r="AB513" s="59"/>
      <c r="AC513" s="59"/>
      <c r="AD513" s="59"/>
      <c r="AE513" s="59"/>
      <c r="AF513" s="59"/>
      <c r="AG513" s="59"/>
      <c r="AH513" s="59"/>
      <c r="AI513" s="59" t="str">
        <f>IF(SUM(Dati[[#This Row],[Inv. Business]:[Inv. Cryptocurrency]])=0," ",SUM(Dati[[#This Row],[Inv. Business]:[Inv. Cryptocurrency]]))</f>
        <v xml:space="preserve"> </v>
      </c>
      <c r="AJ513" s="59"/>
      <c r="AK513" s="59" t="str">
        <f>IF(SUM(Dati[[#This Row],[Inv. Gold]:[Mutuo]])=0," ",SUM(Dati[[#This Row],[Inv. Gold]:[Mutuo]]))</f>
        <v xml:space="preserve"> </v>
      </c>
      <c r="AL513" s="59"/>
      <c r="AM513" s="59"/>
    </row>
    <row r="514" spans="2:39" x14ac:dyDescent="0.35">
      <c r="B514">
        <f t="shared" si="21"/>
        <v>494</v>
      </c>
      <c r="C514" s="49">
        <f t="shared" si="20"/>
        <v>45320</v>
      </c>
      <c r="D514" s="29">
        <f>DAY(Dati[[#This Row],[Data]])</f>
        <v>29</v>
      </c>
      <c r="E514" s="29" t="str">
        <f>IF(DAY(Data!$C$21:$C$1327)&gt;0,TEXT(Data!$C$21:$C$1327, "mmmm"),"")</f>
        <v>gennaio</v>
      </c>
      <c r="F514" s="29" t="str">
        <f>IF(DAY(Data!$C$21:$C$1327)&gt;0,TEXT(Data!$C$21:$C$1327, "aaaa"),"")</f>
        <v>2024</v>
      </c>
      <c r="I514" t="str">
        <f>IF(OR(H514=$B$5,H514=$B$6,H514=$B$7,H514=$B$8,H514=$B$9,H514=$B$10,H514=$B$11,H514=$B$12,H514=$B$13,H514=$B$14),SottocategorieUscite[[#Headers],[Fuori Casa]],IF(OR(H514=$C$5,H514=$C$6,H514=$C$7,H514=$C$8,H514=$C$9,H514=$C$10,H514=$C$11,H514=$C$12,H514=$C$13,H514=$C$14),SottocategorieUscite[[#Headers],[Varie Uscite]],IF(OR(H514=$D$5,H514=$D$6,H514=$D$7,H514=$D$8,H514=$D$9,H514=$D$10,H514=$D$11,H514=$D$12,H514=$D$13,H514=$D$14),SottocategorieUscite[[#Headers],[Personali]],IF(OR(H514=$E$5,H514=$E$6,H514=$E$7,H514=$E$8,H514=$E$9,H514=$E$10,H514=$E$11,H514=$E$12,H514=$E$13,H514=$E$14),SottocategorieUscite[[#Headers],[Lavoro]],IF(OR(H514=$F$5,H514=$F$6,H514=$F$7,H514=$F$8,H514=$F$9,H514=$F$10,H514=$F$11,H514=$F$12,H514=$F$13,H514=$F$14),SottocategorieUscite[[#Headers],[Casa]],IF(OR(H514=$G$5,H514=$G$6,H514=$G$7,H514=$G$8,H514=$G$9,H514=$G$10,H514=$G$11,H514=$G$12,H514=$G$13,H514=$G$14),SottocategorieUscite[[#Headers],[Utenze]],IF(OR(H514=$H$5,H514=$H$6,H514=$H$7,H514=$H$8,H514=$H$9,H514=$H$10,H514=$H$11,H514=$H$12,H514=$H$13,H514=$H$14),SottocategorieUscite[[#Headers],[Business Uscite]],IF(OR(H514=$I$5,H514=$I$6,H514=$I$7,H514=$I$8,H514=$I$9,H514=$I$10,H514=$I$11,H514=$I$12,H514=$I$13,H514=$I$14),SottocategorieUscite[[#Headers],[Banca]],IF(OR(H514=K$5,H514=K$6,H514=K$7,H514=K$8,H514=K$9,H514=K$10,H514=K$11,H514=K$12,H514=K$13,H514=K$14),SottocategorieEntrate[[#Headers],[Business Entrate]],IF(OR(H514=L$5,H514=L$6,H514=L$7,H514=L$8,H514=L$9,H514=L$10,H514=L$11,H514=L$12,H514=L$13,H514=L$14),SottocategorieEntrate[[#Headers],[Varie Entrate]],IF(OR(H514=M$5,H514=M$6,H514=M$7,H514=M$8,H514=M$9,H514=M$10,H514=M$11,H514=M$12,H514=M$13,H514=M$14),SottocategorieEntrate[[#Headers],[Real Estate]],IF(OR(H514=N$5,H514=N$6,H514=N$7,H514=N$8,H514=N$9,H514=N$10,H514=N$11,H514=N$12,H514=N$13,H514=N$14),SottocategorieEntrate[[#Headers],[Other]],""))))))))))))</f>
        <v/>
      </c>
      <c r="J514" t="str">
        <f>IF(OR(Dati[[#This Row],[Categoria]]="Bollette",Dati[[#This Row],[Categoria]]="Conto &amp; Carte BNL",Dati[[#This Row],[Categoria]]="Prelievo",Dati[[#This Row],[Categoria]]="Affitto",Dati[[#This Row],[Categoria]]="BNL(Interessi Creditori)"),"Carta",IF(Dati[[#This Row],[Categoria]]&lt;&gt;0,"Cash",""))</f>
        <v/>
      </c>
      <c r="K514" s="59" t="str">
        <f>IF(OR(Data!$I514=SottocategorieUscite[[#Headers],[Fuori Casa]],Data!$I514=SottocategorieUscite[[#Headers],[Varie Uscite]],Data!$I514=SottocategorieUscite[[#Headers],[Personali]],Data!$I514=SottocategorieUscite[[#Headers],[Lavoro]]),"$ -","")</f>
        <v/>
      </c>
      <c r="L514" s="59" t="str">
        <f>IF(OR(Data!$I514=SottocategorieUscite[[#Headers],[Casa]],Data!$I514=SottocategorieUscite[[#Headers],[Utenze]],Data!$I514=SottocategorieUscite[[#Headers],[Business Uscite]],Data!$I514=SottocategorieUscite[[#Headers],[Banca]]),"$ -","")</f>
        <v/>
      </c>
      <c r="M514" s="59" t="str">
        <f>IF(OR($I514&lt;&gt;SottocategorieUscite[[#Headers],[Fuori Casa]],$I514&lt;&gt;SottocategorieUscite[[#Headers],[Varie Uscite]],$I514&lt;&gt;SottocategorieUscite[[#Headers],[Personali]],$I514&lt;&gt;SottocategorieUscite[[#Headers],[Lavoro]],$I514&lt;&gt;SottocategorieUscite[[#Headers],[Casa]],$I514&lt;&gt;SottocategorieUscite[[#Headers],[Utenze]],$I514&lt;&gt;SottocategorieUscite[[#Headers],[Business Uscite]],$I514&lt;&gt;SottocategorieUscite[[#Headers],[Banca]]),"","$ -")</f>
        <v/>
      </c>
      <c r="N514" s="59" t="str">
        <f>IF(OR(Data!$I514=SottocategorieEntrate[[#Headers],[Business Entrate]],Data!$I514=SottocategorieEntrate[[#Headers],[Varie Entrate]]),"$ -","")</f>
        <v/>
      </c>
      <c r="O514" s="59" t="str">
        <f>IF(OR(Data!$I514=SottocategorieEntrate[[#Headers],[Real Estate]],SottocategorieEntrate[[#Headers],[Other]]),"$ -","")</f>
        <v/>
      </c>
      <c r="P514" s="59" t="str">
        <f>IF(OR($I514&lt;&gt;SottocategorieEntrate[[#Headers],[Business Entrate]],$I514&lt;&gt;SottocategorieEntrate[[#Headers],[Varie Entrate]],$I514&lt;&gt;SottocategorieEntrate[[#Headers],[Real Estate]],$I514&lt;&gt;SottocategorieEntrate[[#Headers],[Other]]),"","$ -")</f>
        <v/>
      </c>
      <c r="Q514" s="59" t="str">
        <f>IF(Dati[[#This Row],[Categoria]]="Prelievo","€ -","")</f>
        <v/>
      </c>
      <c r="R514" s="244"/>
      <c r="S514" s="59" t="str">
        <f>IF(Dati[[#This Row],[Categoria]]="Savings",0,"")</f>
        <v/>
      </c>
      <c r="T514" s="59"/>
      <c r="U514" s="59"/>
      <c r="V514" s="59"/>
      <c r="W514" s="59"/>
      <c r="X514" s="59"/>
      <c r="Y514" s="59"/>
      <c r="Z514" s="59"/>
      <c r="AA514" s="59"/>
      <c r="AB514" s="59"/>
      <c r="AC514" s="59"/>
      <c r="AD514" s="59"/>
      <c r="AE514" s="59"/>
      <c r="AF514" s="59"/>
      <c r="AG514" s="59"/>
      <c r="AH514" s="59"/>
      <c r="AI514" s="59" t="str">
        <f>IF(SUM(Dati[[#This Row],[Inv. Business]:[Inv. Cryptocurrency]])=0," ",SUM(Dati[[#This Row],[Inv. Business]:[Inv. Cryptocurrency]]))</f>
        <v xml:space="preserve"> </v>
      </c>
      <c r="AJ514" s="59"/>
      <c r="AK514" s="59" t="str">
        <f>IF(SUM(Dati[[#This Row],[Inv. Gold]:[Mutuo]])=0," ",SUM(Dati[[#This Row],[Inv. Gold]:[Mutuo]]))</f>
        <v xml:space="preserve"> </v>
      </c>
      <c r="AL514" s="59"/>
      <c r="AM514" s="59"/>
    </row>
    <row r="515" spans="2:39" x14ac:dyDescent="0.35">
      <c r="B515">
        <f t="shared" si="21"/>
        <v>495</v>
      </c>
      <c r="C515" s="49">
        <f t="shared" si="20"/>
        <v>45321</v>
      </c>
      <c r="D515" s="29">
        <f>DAY(Dati[[#This Row],[Data]])</f>
        <v>30</v>
      </c>
      <c r="E515" s="29" t="str">
        <f>IF(DAY(Data!$C$21:$C$1327)&gt;0,TEXT(Data!$C$21:$C$1327, "mmmm"),"")</f>
        <v>gennaio</v>
      </c>
      <c r="F515" s="29" t="str">
        <f>IF(DAY(Data!$C$21:$C$1327)&gt;0,TEXT(Data!$C$21:$C$1327, "aaaa"),"")</f>
        <v>2024</v>
      </c>
      <c r="I515" t="str">
        <f>IF(OR(H515=$B$5,H515=$B$6,H515=$B$7,H515=$B$8,H515=$B$9,H515=$B$10,H515=$B$11,H515=$B$12,H515=$B$13,H515=$B$14),SottocategorieUscite[[#Headers],[Fuori Casa]],IF(OR(H515=$C$5,H515=$C$6,H515=$C$7,H515=$C$8,H515=$C$9,H515=$C$10,H515=$C$11,H515=$C$12,H515=$C$13,H515=$C$14),SottocategorieUscite[[#Headers],[Varie Uscite]],IF(OR(H515=$D$5,H515=$D$6,H515=$D$7,H515=$D$8,H515=$D$9,H515=$D$10,H515=$D$11,H515=$D$12,H515=$D$13,H515=$D$14),SottocategorieUscite[[#Headers],[Personali]],IF(OR(H515=$E$5,H515=$E$6,H515=$E$7,H515=$E$8,H515=$E$9,H515=$E$10,H515=$E$11,H515=$E$12,H515=$E$13,H515=$E$14),SottocategorieUscite[[#Headers],[Lavoro]],IF(OR(H515=$F$5,H515=$F$6,H515=$F$7,H515=$F$8,H515=$F$9,H515=$F$10,H515=$F$11,H515=$F$12,H515=$F$13,H515=$F$14),SottocategorieUscite[[#Headers],[Casa]],IF(OR(H515=$G$5,H515=$G$6,H515=$G$7,H515=$G$8,H515=$G$9,H515=$G$10,H515=$G$11,H515=$G$12,H515=$G$13,H515=$G$14),SottocategorieUscite[[#Headers],[Utenze]],IF(OR(H515=$H$5,H515=$H$6,H515=$H$7,H515=$H$8,H515=$H$9,H515=$H$10,H515=$H$11,H515=$H$12,H515=$H$13,H515=$H$14),SottocategorieUscite[[#Headers],[Business Uscite]],IF(OR(H515=$I$5,H515=$I$6,H515=$I$7,H515=$I$8,H515=$I$9,H515=$I$10,H515=$I$11,H515=$I$12,H515=$I$13,H515=$I$14),SottocategorieUscite[[#Headers],[Banca]],IF(OR(H515=K$5,H515=K$6,H515=K$7,H515=K$8,H515=K$9,H515=K$10,H515=K$11,H515=K$12,H515=K$13,H515=K$14),SottocategorieEntrate[[#Headers],[Business Entrate]],IF(OR(H515=L$5,H515=L$6,H515=L$7,H515=L$8,H515=L$9,H515=L$10,H515=L$11,H515=L$12,H515=L$13,H515=L$14),SottocategorieEntrate[[#Headers],[Varie Entrate]],IF(OR(H515=M$5,H515=M$6,H515=M$7,H515=M$8,H515=M$9,H515=M$10,H515=M$11,H515=M$12,H515=M$13,H515=M$14),SottocategorieEntrate[[#Headers],[Real Estate]],IF(OR(H515=N$5,H515=N$6,H515=N$7,H515=N$8,H515=N$9,H515=N$10,H515=N$11,H515=N$12,H515=N$13,H515=N$14),SottocategorieEntrate[[#Headers],[Other]],""))))))))))))</f>
        <v/>
      </c>
      <c r="J515" t="str">
        <f>IF(OR(Dati[[#This Row],[Categoria]]="Bollette",Dati[[#This Row],[Categoria]]="Conto &amp; Carte BNL",Dati[[#This Row],[Categoria]]="Prelievo",Dati[[#This Row],[Categoria]]="Affitto",Dati[[#This Row],[Categoria]]="BNL(Interessi Creditori)"),"Carta",IF(Dati[[#This Row],[Categoria]]&lt;&gt;0,"Cash",""))</f>
        <v/>
      </c>
      <c r="K515" s="59" t="str">
        <f>IF(OR(Data!$I515=SottocategorieUscite[[#Headers],[Fuori Casa]],Data!$I515=SottocategorieUscite[[#Headers],[Varie Uscite]],Data!$I515=SottocategorieUscite[[#Headers],[Personali]],Data!$I515=SottocategorieUscite[[#Headers],[Lavoro]]),"$ -","")</f>
        <v/>
      </c>
      <c r="L515" s="59" t="str">
        <f>IF(OR(Data!$I515=SottocategorieUscite[[#Headers],[Casa]],Data!$I515=SottocategorieUscite[[#Headers],[Utenze]],Data!$I515=SottocategorieUscite[[#Headers],[Business Uscite]],Data!$I515=SottocategorieUscite[[#Headers],[Banca]]),"$ -","")</f>
        <v/>
      </c>
      <c r="M515" s="59" t="str">
        <f>IF(OR($I515&lt;&gt;SottocategorieUscite[[#Headers],[Fuori Casa]],$I515&lt;&gt;SottocategorieUscite[[#Headers],[Varie Uscite]],$I515&lt;&gt;SottocategorieUscite[[#Headers],[Personali]],$I515&lt;&gt;SottocategorieUscite[[#Headers],[Lavoro]],$I515&lt;&gt;SottocategorieUscite[[#Headers],[Casa]],$I515&lt;&gt;SottocategorieUscite[[#Headers],[Utenze]],$I515&lt;&gt;SottocategorieUscite[[#Headers],[Business Uscite]],$I515&lt;&gt;SottocategorieUscite[[#Headers],[Banca]]),"","$ -")</f>
        <v/>
      </c>
      <c r="N515" s="59" t="str">
        <f>IF(OR(Data!$I515=SottocategorieEntrate[[#Headers],[Business Entrate]],Data!$I515=SottocategorieEntrate[[#Headers],[Varie Entrate]]),"$ -","")</f>
        <v/>
      </c>
      <c r="O515" s="59" t="str">
        <f>IF(OR(Data!$I515=SottocategorieEntrate[[#Headers],[Real Estate]],SottocategorieEntrate[[#Headers],[Other]]),"$ -","")</f>
        <v/>
      </c>
      <c r="P515" s="59" t="str">
        <f>IF(OR($I515&lt;&gt;SottocategorieEntrate[[#Headers],[Business Entrate]],$I515&lt;&gt;SottocategorieEntrate[[#Headers],[Varie Entrate]],$I515&lt;&gt;SottocategorieEntrate[[#Headers],[Real Estate]],$I515&lt;&gt;SottocategorieEntrate[[#Headers],[Other]]),"","$ -")</f>
        <v/>
      </c>
      <c r="Q515" s="59" t="str">
        <f>IF(Dati[[#This Row],[Categoria]]="Prelievo","€ -","")</f>
        <v/>
      </c>
      <c r="R515" s="244"/>
      <c r="S515" s="59" t="str">
        <f>IF(Dati[[#This Row],[Categoria]]="Savings",0,"")</f>
        <v/>
      </c>
      <c r="T515" s="59"/>
      <c r="U515" s="59"/>
      <c r="V515" s="59"/>
      <c r="W515" s="59"/>
      <c r="X515" s="59"/>
      <c r="Y515" s="59"/>
      <c r="Z515" s="59"/>
      <c r="AA515" s="59"/>
      <c r="AB515" s="59"/>
      <c r="AC515" s="59"/>
      <c r="AD515" s="59"/>
      <c r="AE515" s="59"/>
      <c r="AF515" s="59"/>
      <c r="AG515" s="59"/>
      <c r="AH515" s="59"/>
      <c r="AI515" s="59" t="str">
        <f>IF(SUM(Dati[[#This Row],[Inv. Business]:[Inv. Cryptocurrency]])=0," ",SUM(Dati[[#This Row],[Inv. Business]:[Inv. Cryptocurrency]]))</f>
        <v xml:space="preserve"> </v>
      </c>
      <c r="AJ515" s="59"/>
      <c r="AK515" s="59" t="str">
        <f>IF(SUM(Dati[[#This Row],[Inv. Gold]:[Mutuo]])=0," ",SUM(Dati[[#This Row],[Inv. Gold]:[Mutuo]]))</f>
        <v xml:space="preserve"> </v>
      </c>
      <c r="AL515" s="59"/>
      <c r="AM515" s="59"/>
    </row>
    <row r="516" spans="2:39" x14ac:dyDescent="0.35">
      <c r="B516">
        <f t="shared" si="21"/>
        <v>496</v>
      </c>
      <c r="C516" s="49">
        <f t="shared" si="20"/>
        <v>45322</v>
      </c>
      <c r="D516" s="29">
        <f>DAY(Dati[[#This Row],[Data]])</f>
        <v>31</v>
      </c>
      <c r="E516" s="29" t="str">
        <f>IF(DAY(Data!$C$21:$C$1327)&gt;0,TEXT(Data!$C$21:$C$1327, "mmmm"),"")</f>
        <v>gennaio</v>
      </c>
      <c r="F516" s="29" t="str">
        <f>IF(DAY(Data!$C$21:$C$1327)&gt;0,TEXT(Data!$C$21:$C$1327, "aaaa"),"")</f>
        <v>2024</v>
      </c>
      <c r="I516" t="str">
        <f>IF(OR(H516=$B$5,H516=$B$6,H516=$B$7,H516=$B$8,H516=$B$9,H516=$B$10,H516=$B$11,H516=$B$12,H516=$B$13,H516=$B$14),SottocategorieUscite[[#Headers],[Fuori Casa]],IF(OR(H516=$C$5,H516=$C$6,H516=$C$7,H516=$C$8,H516=$C$9,H516=$C$10,H516=$C$11,H516=$C$12,H516=$C$13,H516=$C$14),SottocategorieUscite[[#Headers],[Varie Uscite]],IF(OR(H516=$D$5,H516=$D$6,H516=$D$7,H516=$D$8,H516=$D$9,H516=$D$10,H516=$D$11,H516=$D$12,H516=$D$13,H516=$D$14),SottocategorieUscite[[#Headers],[Personali]],IF(OR(H516=$E$5,H516=$E$6,H516=$E$7,H516=$E$8,H516=$E$9,H516=$E$10,H516=$E$11,H516=$E$12,H516=$E$13,H516=$E$14),SottocategorieUscite[[#Headers],[Lavoro]],IF(OR(H516=$F$5,H516=$F$6,H516=$F$7,H516=$F$8,H516=$F$9,H516=$F$10,H516=$F$11,H516=$F$12,H516=$F$13,H516=$F$14),SottocategorieUscite[[#Headers],[Casa]],IF(OR(H516=$G$5,H516=$G$6,H516=$G$7,H516=$G$8,H516=$G$9,H516=$G$10,H516=$G$11,H516=$G$12,H516=$G$13,H516=$G$14),SottocategorieUscite[[#Headers],[Utenze]],IF(OR(H516=$H$5,H516=$H$6,H516=$H$7,H516=$H$8,H516=$H$9,H516=$H$10,H516=$H$11,H516=$H$12,H516=$H$13,H516=$H$14),SottocategorieUscite[[#Headers],[Business Uscite]],IF(OR(H516=$I$5,H516=$I$6,H516=$I$7,H516=$I$8,H516=$I$9,H516=$I$10,H516=$I$11,H516=$I$12,H516=$I$13,H516=$I$14),SottocategorieUscite[[#Headers],[Banca]],IF(OR(H516=K$5,H516=K$6,H516=K$7,H516=K$8,H516=K$9,H516=K$10,H516=K$11,H516=K$12,H516=K$13,H516=K$14),SottocategorieEntrate[[#Headers],[Business Entrate]],IF(OR(H516=L$5,H516=L$6,H516=L$7,H516=L$8,H516=L$9,H516=L$10,H516=L$11,H516=L$12,H516=L$13,H516=L$14),SottocategorieEntrate[[#Headers],[Varie Entrate]],IF(OR(H516=M$5,H516=M$6,H516=M$7,H516=M$8,H516=M$9,H516=M$10,H516=M$11,H516=M$12,H516=M$13,H516=M$14),SottocategorieEntrate[[#Headers],[Real Estate]],IF(OR(H516=N$5,H516=N$6,H516=N$7,H516=N$8,H516=N$9,H516=N$10,H516=N$11,H516=N$12,H516=N$13,H516=N$14),SottocategorieEntrate[[#Headers],[Other]],""))))))))))))</f>
        <v/>
      </c>
      <c r="J516" t="str">
        <f>IF(OR(Dati[[#This Row],[Categoria]]="Bollette",Dati[[#This Row],[Categoria]]="Conto &amp; Carte BNL",Dati[[#This Row],[Categoria]]="Prelievo",Dati[[#This Row],[Categoria]]="Affitto",Dati[[#This Row],[Categoria]]="BNL(Interessi Creditori)"),"Carta",IF(Dati[[#This Row],[Categoria]]&lt;&gt;0,"Cash",""))</f>
        <v/>
      </c>
      <c r="K516" s="59" t="str">
        <f>IF(OR(Data!$I516=SottocategorieUscite[[#Headers],[Fuori Casa]],Data!$I516=SottocategorieUscite[[#Headers],[Varie Uscite]],Data!$I516=SottocategorieUscite[[#Headers],[Personali]],Data!$I516=SottocategorieUscite[[#Headers],[Lavoro]]),"$ -","")</f>
        <v/>
      </c>
      <c r="L516" s="59" t="str">
        <f>IF(OR(Data!$I516=SottocategorieUscite[[#Headers],[Casa]],Data!$I516=SottocategorieUscite[[#Headers],[Utenze]],Data!$I516=SottocategorieUscite[[#Headers],[Business Uscite]],Data!$I516=SottocategorieUscite[[#Headers],[Banca]]),"$ -","")</f>
        <v/>
      </c>
      <c r="M516" s="59" t="str">
        <f>IF(OR($I516&lt;&gt;SottocategorieUscite[[#Headers],[Fuori Casa]],$I516&lt;&gt;SottocategorieUscite[[#Headers],[Varie Uscite]],$I516&lt;&gt;SottocategorieUscite[[#Headers],[Personali]],$I516&lt;&gt;SottocategorieUscite[[#Headers],[Lavoro]],$I516&lt;&gt;SottocategorieUscite[[#Headers],[Casa]],$I516&lt;&gt;SottocategorieUscite[[#Headers],[Utenze]],$I516&lt;&gt;SottocategorieUscite[[#Headers],[Business Uscite]],$I516&lt;&gt;SottocategorieUscite[[#Headers],[Banca]]),"","$ -")</f>
        <v/>
      </c>
      <c r="N516" s="59" t="str">
        <f>IF(OR(Data!$I516=SottocategorieEntrate[[#Headers],[Business Entrate]],Data!$I516=SottocategorieEntrate[[#Headers],[Varie Entrate]]),"$ -","")</f>
        <v/>
      </c>
      <c r="O516" s="59" t="str">
        <f>IF(OR(Data!$I516=SottocategorieEntrate[[#Headers],[Real Estate]],SottocategorieEntrate[[#Headers],[Other]]),"$ -","")</f>
        <v/>
      </c>
      <c r="P516" s="59" t="str">
        <f>IF(OR($I516&lt;&gt;SottocategorieEntrate[[#Headers],[Business Entrate]],$I516&lt;&gt;SottocategorieEntrate[[#Headers],[Varie Entrate]],$I516&lt;&gt;SottocategorieEntrate[[#Headers],[Real Estate]],$I516&lt;&gt;SottocategorieEntrate[[#Headers],[Other]]),"","$ -")</f>
        <v/>
      </c>
      <c r="Q516" s="59" t="str">
        <f>IF(Dati[[#This Row],[Categoria]]="Prelievo","€ -","")</f>
        <v/>
      </c>
      <c r="R516" s="244"/>
      <c r="S516" s="59" t="str">
        <f>IF(Dati[[#This Row],[Categoria]]="Savings",0,"")</f>
        <v/>
      </c>
      <c r="T516" s="59"/>
      <c r="U516" s="59"/>
      <c r="V516" s="59"/>
      <c r="W516" s="59"/>
      <c r="X516" s="59"/>
      <c r="Y516" s="59"/>
      <c r="Z516" s="59"/>
      <c r="AA516" s="59"/>
      <c r="AB516" s="59"/>
      <c r="AC516" s="59"/>
      <c r="AD516" s="59"/>
      <c r="AE516" s="59"/>
      <c r="AF516" s="59"/>
      <c r="AG516" s="59"/>
      <c r="AH516" s="59"/>
      <c r="AI516" s="59" t="str">
        <f>IF(SUM(Dati[[#This Row],[Inv. Business]:[Inv. Cryptocurrency]])=0," ",SUM(Dati[[#This Row],[Inv. Business]:[Inv. Cryptocurrency]]))</f>
        <v xml:space="preserve"> </v>
      </c>
      <c r="AJ516" s="59"/>
      <c r="AK516" s="59" t="str">
        <f>IF(SUM(Dati[[#This Row],[Inv. Gold]:[Mutuo]])=0," ",SUM(Dati[[#This Row],[Inv. Gold]:[Mutuo]]))</f>
        <v xml:space="preserve"> </v>
      </c>
      <c r="AL516" s="59"/>
      <c r="AM516" s="59"/>
    </row>
    <row r="517" spans="2:39" x14ac:dyDescent="0.35">
      <c r="B517">
        <f t="shared" si="21"/>
        <v>497</v>
      </c>
      <c r="C517" s="49">
        <f>C516+1</f>
        <v>45323</v>
      </c>
      <c r="D517" s="29">
        <f>DAY(Dati[[#This Row],[Data]])</f>
        <v>1</v>
      </c>
      <c r="E517" s="29" t="str">
        <f>IF(DAY(Data!$C$21:$C$1327)&gt;0,TEXT(Data!$C$21:$C$1327, "mmmm"),"")</f>
        <v>febbraio</v>
      </c>
      <c r="F517" s="29" t="str">
        <f>IF(DAY(Data!$C$21:$C$1327)&gt;0,TEXT(Data!$C$21:$C$1327, "aaaa"),"")</f>
        <v>2024</v>
      </c>
      <c r="I517" t="str">
        <f>IF(OR(H517=$B$5,H517=$B$6,H517=$B$7,H517=$B$8,H517=$B$9,H517=$B$10,H517=$B$11,H517=$B$12,H517=$B$13,H517=$B$14),SottocategorieUscite[[#Headers],[Fuori Casa]],IF(OR(H517=$C$5,H517=$C$6,H517=$C$7,H517=$C$8,H517=$C$9,H517=$C$10,H517=$C$11,H517=$C$12,H517=$C$13,H517=$C$14),SottocategorieUscite[[#Headers],[Varie Uscite]],IF(OR(H517=$D$5,H517=$D$6,H517=$D$7,H517=$D$8,H517=$D$9,H517=$D$10,H517=$D$11,H517=$D$12,H517=$D$13,H517=$D$14),SottocategorieUscite[[#Headers],[Personali]],IF(OR(H517=$E$5,H517=$E$6,H517=$E$7,H517=$E$8,H517=$E$9,H517=$E$10,H517=$E$11,H517=$E$12,H517=$E$13,H517=$E$14),SottocategorieUscite[[#Headers],[Lavoro]],IF(OR(H517=$F$5,H517=$F$6,H517=$F$7,H517=$F$8,H517=$F$9,H517=$F$10,H517=$F$11,H517=$F$12,H517=$F$13,H517=$F$14),SottocategorieUscite[[#Headers],[Casa]],IF(OR(H517=$G$5,H517=$G$6,H517=$G$7,H517=$G$8,H517=$G$9,H517=$G$10,H517=$G$11,H517=$G$12,H517=$G$13,H517=$G$14),SottocategorieUscite[[#Headers],[Utenze]],IF(OR(H517=$H$5,H517=$H$6,H517=$H$7,H517=$H$8,H517=$H$9,H517=$H$10,H517=$H$11,H517=$H$12,H517=$H$13,H517=$H$14),SottocategorieUscite[[#Headers],[Business Uscite]],IF(OR(H517=$I$5,H517=$I$6,H517=$I$7,H517=$I$8,H517=$I$9,H517=$I$10,H517=$I$11,H517=$I$12,H517=$I$13,H517=$I$14),SottocategorieUscite[[#Headers],[Banca]],IF(OR(H517=K$5,H517=K$6,H517=K$7,H517=K$8,H517=K$9,H517=K$10,H517=K$11,H517=K$12,H517=K$13,H517=K$14),SottocategorieEntrate[[#Headers],[Business Entrate]],IF(OR(H517=L$5,H517=L$6,H517=L$7,H517=L$8,H517=L$9,H517=L$10,H517=L$11,H517=L$12,H517=L$13,H517=L$14),SottocategorieEntrate[[#Headers],[Varie Entrate]],IF(OR(H517=M$5,H517=M$6,H517=M$7,H517=M$8,H517=M$9,H517=M$10,H517=M$11,H517=M$12,H517=M$13,H517=M$14),SottocategorieEntrate[[#Headers],[Real Estate]],IF(OR(H517=N$5,H517=N$6,H517=N$7,H517=N$8,H517=N$9,H517=N$10,H517=N$11,H517=N$12,H517=N$13,H517=N$14),SottocategorieEntrate[[#Headers],[Other]],""))))))))))))</f>
        <v/>
      </c>
      <c r="J517" t="str">
        <f>IF(OR(Dati[[#This Row],[Categoria]]="Bollette",Dati[[#This Row],[Categoria]]="Conto &amp; Carte BNL",Dati[[#This Row],[Categoria]]="Prelievo",Dati[[#This Row],[Categoria]]="Affitto",Dati[[#This Row],[Categoria]]="BNL(Interessi Creditori)"),"Carta",IF(Dati[[#This Row],[Categoria]]&lt;&gt;0,"Cash",""))</f>
        <v/>
      </c>
      <c r="K517" s="59" t="str">
        <f>IF(OR(Data!$I517=SottocategorieUscite[[#Headers],[Fuori Casa]],Data!$I517=SottocategorieUscite[[#Headers],[Varie Uscite]],Data!$I517=SottocategorieUscite[[#Headers],[Personali]],Data!$I517=SottocategorieUscite[[#Headers],[Lavoro]]),"$ -","")</f>
        <v/>
      </c>
      <c r="L517" s="59" t="str">
        <f>IF(OR(Data!$I517=SottocategorieUscite[[#Headers],[Casa]],Data!$I517=SottocategorieUscite[[#Headers],[Utenze]],Data!$I517=SottocategorieUscite[[#Headers],[Business Uscite]],Data!$I517=SottocategorieUscite[[#Headers],[Banca]]),"$ -","")</f>
        <v/>
      </c>
      <c r="M517" s="59" t="str">
        <f>IF(OR($I517&lt;&gt;SottocategorieUscite[[#Headers],[Fuori Casa]],$I517&lt;&gt;SottocategorieUscite[[#Headers],[Varie Uscite]],$I517&lt;&gt;SottocategorieUscite[[#Headers],[Personali]],$I517&lt;&gt;SottocategorieUscite[[#Headers],[Lavoro]],$I517&lt;&gt;SottocategorieUscite[[#Headers],[Casa]],$I517&lt;&gt;SottocategorieUscite[[#Headers],[Utenze]],$I517&lt;&gt;SottocategorieUscite[[#Headers],[Business Uscite]],$I517&lt;&gt;SottocategorieUscite[[#Headers],[Banca]]),"","$ -")</f>
        <v/>
      </c>
      <c r="N517" s="59" t="str">
        <f>IF(OR(Data!$I517=SottocategorieEntrate[[#Headers],[Business Entrate]],Data!$I517=SottocategorieEntrate[[#Headers],[Varie Entrate]]),"$ -","")</f>
        <v/>
      </c>
      <c r="O517" s="59" t="str">
        <f>IF(OR(Data!$I517=SottocategorieEntrate[[#Headers],[Real Estate]],SottocategorieEntrate[[#Headers],[Other]]),"$ -","")</f>
        <v/>
      </c>
      <c r="P517" s="59" t="str">
        <f>IF(OR($I517&lt;&gt;SottocategorieEntrate[[#Headers],[Business Entrate]],$I517&lt;&gt;SottocategorieEntrate[[#Headers],[Varie Entrate]],$I517&lt;&gt;SottocategorieEntrate[[#Headers],[Real Estate]],$I517&lt;&gt;SottocategorieEntrate[[#Headers],[Other]]),"","$ -")</f>
        <v/>
      </c>
      <c r="Q517" s="59" t="str">
        <f>IF(Dati[[#This Row],[Categoria]]="Prelievo","€ -","")</f>
        <v/>
      </c>
      <c r="R517" s="244"/>
      <c r="S517" s="59" t="str">
        <f>IF(Dati[[#This Row],[Categoria]]="Savings",0,"")</f>
        <v/>
      </c>
      <c r="T517" s="59"/>
      <c r="U517" s="59"/>
      <c r="V517" s="59"/>
      <c r="W517" s="59"/>
      <c r="X517" s="59"/>
      <c r="Y517" s="59"/>
      <c r="Z517" s="59"/>
      <c r="AA517" s="59"/>
      <c r="AB517" s="59"/>
      <c r="AC517" s="59"/>
      <c r="AD517" s="59"/>
      <c r="AE517" s="59"/>
      <c r="AF517" s="59"/>
      <c r="AG517" s="59"/>
      <c r="AH517" s="59"/>
      <c r="AI517" s="59" t="str">
        <f>IF(SUM(Dati[[#This Row],[Inv. Business]:[Inv. Cryptocurrency]])=0," ",SUM(Dati[[#This Row],[Inv. Business]:[Inv. Cryptocurrency]]))</f>
        <v xml:space="preserve"> </v>
      </c>
      <c r="AJ517" s="59"/>
      <c r="AK517" s="59" t="str">
        <f>IF(SUM(Dati[[#This Row],[Inv. Gold]:[Mutuo]])=0," ",SUM(Dati[[#This Row],[Inv. Gold]:[Mutuo]]))</f>
        <v xml:space="preserve"> </v>
      </c>
      <c r="AL517" s="59"/>
      <c r="AM517" s="59"/>
    </row>
    <row r="518" spans="2:39" x14ac:dyDescent="0.35">
      <c r="B518">
        <f t="shared" si="21"/>
        <v>498</v>
      </c>
      <c r="C518" s="49">
        <f>C516+1</f>
        <v>45323</v>
      </c>
      <c r="D518" s="29">
        <f>DAY(Dati[[#This Row],[Data]])</f>
        <v>1</v>
      </c>
      <c r="E518" s="29" t="str">
        <f>IF(DAY(Data!$C$21:$C$1327)&gt;0,TEXT(Data!$C$21:$C$1327, "mmmm"),"")</f>
        <v>febbraio</v>
      </c>
      <c r="F518" s="29" t="str">
        <f>IF(DAY(Data!$C$21:$C$1327)&gt;0,TEXT(Data!$C$21:$C$1327, "aaaa"),"")</f>
        <v>2024</v>
      </c>
      <c r="I518" t="str">
        <f>IF(OR(H518=$B$5,H518=$B$6,H518=$B$7,H518=$B$8,H518=$B$9,H518=$B$10,H518=$B$11,H518=$B$12,H518=$B$13,H518=$B$14),SottocategorieUscite[[#Headers],[Fuori Casa]],IF(OR(H518=$C$5,H518=$C$6,H518=$C$7,H518=$C$8,H518=$C$9,H518=$C$10,H518=$C$11,H518=$C$12,H518=$C$13,H518=$C$14),SottocategorieUscite[[#Headers],[Varie Uscite]],IF(OR(H518=$D$5,H518=$D$6,H518=$D$7,H518=$D$8,H518=$D$9,H518=$D$10,H518=$D$11,H518=$D$12,H518=$D$13,H518=$D$14),SottocategorieUscite[[#Headers],[Personali]],IF(OR(H518=$E$5,H518=$E$6,H518=$E$7,H518=$E$8,H518=$E$9,H518=$E$10,H518=$E$11,H518=$E$12,H518=$E$13,H518=$E$14),SottocategorieUscite[[#Headers],[Lavoro]],IF(OR(H518=$F$5,H518=$F$6,H518=$F$7,H518=$F$8,H518=$F$9,H518=$F$10,H518=$F$11,H518=$F$12,H518=$F$13,H518=$F$14),SottocategorieUscite[[#Headers],[Casa]],IF(OR(H518=$G$5,H518=$G$6,H518=$G$7,H518=$G$8,H518=$G$9,H518=$G$10,H518=$G$11,H518=$G$12,H518=$G$13,H518=$G$14),SottocategorieUscite[[#Headers],[Utenze]],IF(OR(H518=$H$5,H518=$H$6,H518=$H$7,H518=$H$8,H518=$H$9,H518=$H$10,H518=$H$11,H518=$H$12,H518=$H$13,H518=$H$14),SottocategorieUscite[[#Headers],[Business Uscite]],IF(OR(H518=$I$5,H518=$I$6,H518=$I$7,H518=$I$8,H518=$I$9,H518=$I$10,H518=$I$11,H518=$I$12,H518=$I$13,H518=$I$14),SottocategorieUscite[[#Headers],[Banca]],IF(OR(H518=K$5,H518=K$6,H518=K$7,H518=K$8,H518=K$9,H518=K$10,H518=K$11,H518=K$12,H518=K$13,H518=K$14),SottocategorieEntrate[[#Headers],[Business Entrate]],IF(OR(H518=L$5,H518=L$6,H518=L$7,H518=L$8,H518=L$9,H518=L$10,H518=L$11,H518=L$12,H518=L$13,H518=L$14),SottocategorieEntrate[[#Headers],[Varie Entrate]],IF(OR(H518=M$5,H518=M$6,H518=M$7,H518=M$8,H518=M$9,H518=M$10,H518=M$11,H518=M$12,H518=M$13,H518=M$14),SottocategorieEntrate[[#Headers],[Real Estate]],IF(OR(H518=N$5,H518=N$6,H518=N$7,H518=N$8,H518=N$9,H518=N$10,H518=N$11,H518=N$12,H518=N$13,H518=N$14),SottocategorieEntrate[[#Headers],[Other]],""))))))))))))</f>
        <v/>
      </c>
      <c r="J518" t="str">
        <f>IF(OR(Dati[[#This Row],[Categoria]]="Bollette",Dati[[#This Row],[Categoria]]="Conto &amp; Carte BNL",Dati[[#This Row],[Categoria]]="Prelievo",Dati[[#This Row],[Categoria]]="Affitto",Dati[[#This Row],[Categoria]]="BNL(Interessi Creditori)"),"Carta",IF(Dati[[#This Row],[Categoria]]&lt;&gt;0,"Cash",""))</f>
        <v/>
      </c>
      <c r="K518" s="59" t="str">
        <f>IF(OR(Data!$I518=SottocategorieUscite[[#Headers],[Fuori Casa]],Data!$I518=SottocategorieUscite[[#Headers],[Varie Uscite]],Data!$I518=SottocategorieUscite[[#Headers],[Personali]],Data!$I518=SottocategorieUscite[[#Headers],[Lavoro]]),"$ -","")</f>
        <v/>
      </c>
      <c r="L518" s="59" t="str">
        <f>IF(OR(Data!$I518=SottocategorieUscite[[#Headers],[Casa]],Data!$I518=SottocategorieUscite[[#Headers],[Utenze]],Data!$I518=SottocategorieUscite[[#Headers],[Business Uscite]],Data!$I518=SottocategorieUscite[[#Headers],[Banca]]),"$ -","")</f>
        <v/>
      </c>
      <c r="M518" s="59" t="str">
        <f>IF(OR($I518&lt;&gt;SottocategorieUscite[[#Headers],[Fuori Casa]],$I518&lt;&gt;SottocategorieUscite[[#Headers],[Varie Uscite]],$I518&lt;&gt;SottocategorieUscite[[#Headers],[Personali]],$I518&lt;&gt;SottocategorieUscite[[#Headers],[Lavoro]],$I518&lt;&gt;SottocategorieUscite[[#Headers],[Casa]],$I518&lt;&gt;SottocategorieUscite[[#Headers],[Utenze]],$I518&lt;&gt;SottocategorieUscite[[#Headers],[Business Uscite]],$I518&lt;&gt;SottocategorieUscite[[#Headers],[Banca]]),"","$ -")</f>
        <v/>
      </c>
      <c r="N518" s="59" t="str">
        <f>IF(OR(Data!$I518=SottocategorieEntrate[[#Headers],[Business Entrate]],Data!$I518=SottocategorieEntrate[[#Headers],[Varie Entrate]]),"$ -","")</f>
        <v/>
      </c>
      <c r="O518" s="59" t="str">
        <f>IF(OR(Data!$I518=SottocategorieEntrate[[#Headers],[Real Estate]],SottocategorieEntrate[[#Headers],[Other]]),"$ -","")</f>
        <v/>
      </c>
      <c r="P518" s="59" t="str">
        <f>IF(OR($I518&lt;&gt;SottocategorieEntrate[[#Headers],[Business Entrate]],$I518&lt;&gt;SottocategorieEntrate[[#Headers],[Varie Entrate]],$I518&lt;&gt;SottocategorieEntrate[[#Headers],[Real Estate]],$I518&lt;&gt;SottocategorieEntrate[[#Headers],[Other]]),"","$ -")</f>
        <v/>
      </c>
      <c r="Q518" s="59" t="str">
        <f>IF(Dati[[#This Row],[Categoria]]="Prelievo","€ -","")</f>
        <v/>
      </c>
      <c r="R518" s="244"/>
      <c r="S518" s="59" t="str">
        <f>IF(Dati[[#This Row],[Categoria]]="Savings",0,"")</f>
        <v/>
      </c>
      <c r="T518" s="59"/>
      <c r="U518" s="59"/>
      <c r="V518" s="59"/>
      <c r="W518" s="59"/>
      <c r="X518" s="59"/>
      <c r="Y518" s="59"/>
      <c r="Z518" s="59"/>
      <c r="AA518" s="59"/>
      <c r="AB518" s="59"/>
      <c r="AC518" s="59"/>
      <c r="AD518" s="59"/>
      <c r="AE518" s="59"/>
      <c r="AF518" s="59"/>
      <c r="AG518" s="59"/>
      <c r="AH518" s="59"/>
      <c r="AI518" s="59" t="str">
        <f>IF(SUM(Dati[[#This Row],[Inv. Business]:[Inv. Cryptocurrency]])=0," ",SUM(Dati[[#This Row],[Inv. Business]:[Inv. Cryptocurrency]]))</f>
        <v xml:space="preserve"> </v>
      </c>
      <c r="AJ518" s="59"/>
      <c r="AK518" s="59" t="str">
        <f>IF(SUM(Dati[[#This Row],[Inv. Gold]:[Mutuo]])=0," ",SUM(Dati[[#This Row],[Inv. Gold]:[Mutuo]]))</f>
        <v xml:space="preserve"> </v>
      </c>
      <c r="AL518" s="59"/>
      <c r="AM518" s="59"/>
    </row>
    <row r="519" spans="2:39" x14ac:dyDescent="0.35">
      <c r="B519">
        <f t="shared" si="21"/>
        <v>499</v>
      </c>
      <c r="C519" s="49">
        <f>C517+1</f>
        <v>45324</v>
      </c>
      <c r="D519" s="29">
        <f>DAY(Dati[[#This Row],[Data]])</f>
        <v>2</v>
      </c>
      <c r="E519" s="29" t="str">
        <f>IF(DAY(Data!$C$21:$C$1327)&gt;0,TEXT(Data!$C$21:$C$1327, "mmmm"),"")</f>
        <v>febbraio</v>
      </c>
      <c r="F519" s="29" t="str">
        <f>IF(DAY(Data!$C$21:$C$1327)&gt;0,TEXT(Data!$C$21:$C$1327, "aaaa"),"")</f>
        <v>2024</v>
      </c>
      <c r="I519" t="str">
        <f>IF(OR(H519=$B$5,H519=$B$6,H519=$B$7,H519=$B$8,H519=$B$9,H519=$B$10,H519=$B$11,H519=$B$12,H519=$B$13,H519=$B$14),SottocategorieUscite[[#Headers],[Fuori Casa]],IF(OR(H519=$C$5,H519=$C$6,H519=$C$7,H519=$C$8,H519=$C$9,H519=$C$10,H519=$C$11,H519=$C$12,H519=$C$13,H519=$C$14),SottocategorieUscite[[#Headers],[Varie Uscite]],IF(OR(H519=$D$5,H519=$D$6,H519=$D$7,H519=$D$8,H519=$D$9,H519=$D$10,H519=$D$11,H519=$D$12,H519=$D$13,H519=$D$14),SottocategorieUscite[[#Headers],[Personali]],IF(OR(H519=$E$5,H519=$E$6,H519=$E$7,H519=$E$8,H519=$E$9,H519=$E$10,H519=$E$11,H519=$E$12,H519=$E$13,H519=$E$14),SottocategorieUscite[[#Headers],[Lavoro]],IF(OR(H519=$F$5,H519=$F$6,H519=$F$7,H519=$F$8,H519=$F$9,H519=$F$10,H519=$F$11,H519=$F$12,H519=$F$13,H519=$F$14),SottocategorieUscite[[#Headers],[Casa]],IF(OR(H519=$G$5,H519=$G$6,H519=$G$7,H519=$G$8,H519=$G$9,H519=$G$10,H519=$G$11,H519=$G$12,H519=$G$13,H519=$G$14),SottocategorieUscite[[#Headers],[Utenze]],IF(OR(H519=$H$5,H519=$H$6,H519=$H$7,H519=$H$8,H519=$H$9,H519=$H$10,H519=$H$11,H519=$H$12,H519=$H$13,H519=$H$14),SottocategorieUscite[[#Headers],[Business Uscite]],IF(OR(H519=$I$5,H519=$I$6,H519=$I$7,H519=$I$8,H519=$I$9,H519=$I$10,H519=$I$11,H519=$I$12,H519=$I$13,H519=$I$14),SottocategorieUscite[[#Headers],[Banca]],IF(OR(H519=K$5,H519=K$6,H519=K$7,H519=K$8,H519=K$9,H519=K$10,H519=K$11,H519=K$12,H519=K$13,H519=K$14),SottocategorieEntrate[[#Headers],[Business Entrate]],IF(OR(H519=L$5,H519=L$6,H519=L$7,H519=L$8,H519=L$9,H519=L$10,H519=L$11,H519=L$12,H519=L$13,H519=L$14),SottocategorieEntrate[[#Headers],[Varie Entrate]],IF(OR(H519=M$5,H519=M$6,H519=M$7,H519=M$8,H519=M$9,H519=M$10,H519=M$11,H519=M$12,H519=M$13,H519=M$14),SottocategorieEntrate[[#Headers],[Real Estate]],IF(OR(H519=N$5,H519=N$6,H519=N$7,H519=N$8,H519=N$9,H519=N$10,H519=N$11,H519=N$12,H519=N$13,H519=N$14),SottocategorieEntrate[[#Headers],[Other]],""))))))))))))</f>
        <v/>
      </c>
      <c r="J519" t="str">
        <f>IF(OR(Dati[[#This Row],[Categoria]]="Bollette",Dati[[#This Row],[Categoria]]="Conto &amp; Carte BNL",Dati[[#This Row],[Categoria]]="Prelievo",Dati[[#This Row],[Categoria]]="Affitto",Dati[[#This Row],[Categoria]]="BNL(Interessi Creditori)"),"Carta",IF(Dati[[#This Row],[Categoria]]&lt;&gt;0,"Cash",""))</f>
        <v/>
      </c>
      <c r="K519" s="59" t="str">
        <f>IF(OR(Data!$I519=SottocategorieUscite[[#Headers],[Fuori Casa]],Data!$I519=SottocategorieUscite[[#Headers],[Varie Uscite]],Data!$I519=SottocategorieUscite[[#Headers],[Personali]],Data!$I519=SottocategorieUscite[[#Headers],[Lavoro]]),"$ -","")</f>
        <v/>
      </c>
      <c r="L519" s="59" t="str">
        <f>IF(OR(Data!$I519=SottocategorieUscite[[#Headers],[Casa]],Data!$I519=SottocategorieUscite[[#Headers],[Utenze]],Data!$I519=SottocategorieUscite[[#Headers],[Business Uscite]],Data!$I519=SottocategorieUscite[[#Headers],[Banca]]),"$ -","")</f>
        <v/>
      </c>
      <c r="M519" s="59" t="str">
        <f>IF(OR($I519&lt;&gt;SottocategorieUscite[[#Headers],[Fuori Casa]],$I519&lt;&gt;SottocategorieUscite[[#Headers],[Varie Uscite]],$I519&lt;&gt;SottocategorieUscite[[#Headers],[Personali]],$I519&lt;&gt;SottocategorieUscite[[#Headers],[Lavoro]],$I519&lt;&gt;SottocategorieUscite[[#Headers],[Casa]],$I519&lt;&gt;SottocategorieUscite[[#Headers],[Utenze]],$I519&lt;&gt;SottocategorieUscite[[#Headers],[Business Uscite]],$I519&lt;&gt;SottocategorieUscite[[#Headers],[Banca]]),"","$ -")</f>
        <v/>
      </c>
      <c r="N519" s="59" t="str">
        <f>IF(OR(Data!$I519=SottocategorieEntrate[[#Headers],[Business Entrate]],Data!$I519=SottocategorieEntrate[[#Headers],[Varie Entrate]]),"$ -","")</f>
        <v/>
      </c>
      <c r="O519" s="59" t="str">
        <f>IF(OR(Data!$I519=SottocategorieEntrate[[#Headers],[Real Estate]],SottocategorieEntrate[[#Headers],[Other]]),"$ -","")</f>
        <v/>
      </c>
      <c r="P519" s="59" t="str">
        <f>IF(OR($I519&lt;&gt;SottocategorieEntrate[[#Headers],[Business Entrate]],$I519&lt;&gt;SottocategorieEntrate[[#Headers],[Varie Entrate]],$I519&lt;&gt;SottocategorieEntrate[[#Headers],[Real Estate]],$I519&lt;&gt;SottocategorieEntrate[[#Headers],[Other]]),"","$ -")</f>
        <v/>
      </c>
      <c r="Q519" s="59" t="str">
        <f>IF(Dati[[#This Row],[Categoria]]="Prelievo","€ -","")</f>
        <v/>
      </c>
      <c r="R519" s="244"/>
      <c r="S519" s="59" t="str">
        <f>IF(Dati[[#This Row],[Categoria]]="Savings",0,"")</f>
        <v/>
      </c>
      <c r="T519" s="59"/>
      <c r="U519" s="59"/>
      <c r="V519" s="59"/>
      <c r="W519" s="59"/>
      <c r="X519" s="59"/>
      <c r="Y519" s="59"/>
      <c r="Z519" s="59"/>
      <c r="AA519" s="59"/>
      <c r="AB519" s="59"/>
      <c r="AC519" s="59"/>
      <c r="AD519" s="59"/>
      <c r="AE519" s="59"/>
      <c r="AF519" s="59"/>
      <c r="AG519" s="59"/>
      <c r="AH519" s="59"/>
      <c r="AI519" s="59" t="str">
        <f>IF(SUM(Dati[[#This Row],[Inv. Business]:[Inv. Cryptocurrency]])=0," ",SUM(Dati[[#This Row],[Inv. Business]:[Inv. Cryptocurrency]]))</f>
        <v xml:space="preserve"> </v>
      </c>
      <c r="AJ519" s="59"/>
      <c r="AK519" s="59" t="str">
        <f>IF(SUM(Dati[[#This Row],[Inv. Gold]:[Mutuo]])=0," ",SUM(Dati[[#This Row],[Inv. Gold]:[Mutuo]]))</f>
        <v xml:space="preserve"> </v>
      </c>
      <c r="AL519" s="59"/>
      <c r="AM519" s="59"/>
    </row>
    <row r="520" spans="2:39" x14ac:dyDescent="0.35">
      <c r="B520">
        <f t="shared" si="21"/>
        <v>500</v>
      </c>
      <c r="C520" s="49">
        <f t="shared" si="20"/>
        <v>45325</v>
      </c>
      <c r="D520" s="29">
        <f>DAY(Dati[[#This Row],[Data]])</f>
        <v>3</v>
      </c>
      <c r="E520" s="29" t="str">
        <f>IF(DAY(Data!$C$21:$C$1327)&gt;0,TEXT(Data!$C$21:$C$1327, "mmmm"),"")</f>
        <v>febbraio</v>
      </c>
      <c r="F520" s="29" t="str">
        <f>IF(DAY(Data!$C$21:$C$1327)&gt;0,TEXT(Data!$C$21:$C$1327, "aaaa"),"")</f>
        <v>2024</v>
      </c>
      <c r="I520" t="str">
        <f>IF(OR(H520=$B$5,H520=$B$6,H520=$B$7,H520=$B$8,H520=$B$9,H520=$B$10,H520=$B$11,H520=$B$12,H520=$B$13,H520=$B$14),SottocategorieUscite[[#Headers],[Fuori Casa]],IF(OR(H520=$C$5,H520=$C$6,H520=$C$7,H520=$C$8,H520=$C$9,H520=$C$10,H520=$C$11,H520=$C$12,H520=$C$13,H520=$C$14),SottocategorieUscite[[#Headers],[Varie Uscite]],IF(OR(H520=$D$5,H520=$D$6,H520=$D$7,H520=$D$8,H520=$D$9,H520=$D$10,H520=$D$11,H520=$D$12,H520=$D$13,H520=$D$14),SottocategorieUscite[[#Headers],[Personali]],IF(OR(H520=$E$5,H520=$E$6,H520=$E$7,H520=$E$8,H520=$E$9,H520=$E$10,H520=$E$11,H520=$E$12,H520=$E$13,H520=$E$14),SottocategorieUscite[[#Headers],[Lavoro]],IF(OR(H520=$F$5,H520=$F$6,H520=$F$7,H520=$F$8,H520=$F$9,H520=$F$10,H520=$F$11,H520=$F$12,H520=$F$13,H520=$F$14),SottocategorieUscite[[#Headers],[Casa]],IF(OR(H520=$G$5,H520=$G$6,H520=$G$7,H520=$G$8,H520=$G$9,H520=$G$10,H520=$G$11,H520=$G$12,H520=$G$13,H520=$G$14),SottocategorieUscite[[#Headers],[Utenze]],IF(OR(H520=$H$5,H520=$H$6,H520=$H$7,H520=$H$8,H520=$H$9,H520=$H$10,H520=$H$11,H520=$H$12,H520=$H$13,H520=$H$14),SottocategorieUscite[[#Headers],[Business Uscite]],IF(OR(H520=$I$5,H520=$I$6,H520=$I$7,H520=$I$8,H520=$I$9,H520=$I$10,H520=$I$11,H520=$I$12,H520=$I$13,H520=$I$14),SottocategorieUscite[[#Headers],[Banca]],IF(OR(H520=K$5,H520=K$6,H520=K$7,H520=K$8,H520=K$9,H520=K$10,H520=K$11,H520=K$12,H520=K$13,H520=K$14),SottocategorieEntrate[[#Headers],[Business Entrate]],IF(OR(H520=L$5,H520=L$6,H520=L$7,H520=L$8,H520=L$9,H520=L$10,H520=L$11,H520=L$12,H520=L$13,H520=L$14),SottocategorieEntrate[[#Headers],[Varie Entrate]],IF(OR(H520=M$5,H520=M$6,H520=M$7,H520=M$8,H520=M$9,H520=M$10,H520=M$11,H520=M$12,H520=M$13,H520=M$14),SottocategorieEntrate[[#Headers],[Real Estate]],IF(OR(H520=N$5,H520=N$6,H520=N$7,H520=N$8,H520=N$9,H520=N$10,H520=N$11,H520=N$12,H520=N$13,H520=N$14),SottocategorieEntrate[[#Headers],[Other]],""))))))))))))</f>
        <v/>
      </c>
      <c r="J520" t="str">
        <f>IF(OR(Dati[[#This Row],[Categoria]]="Bollette",Dati[[#This Row],[Categoria]]="Conto &amp; Carte BNL",Dati[[#This Row],[Categoria]]="Prelievo",Dati[[#This Row],[Categoria]]="Affitto",Dati[[#This Row],[Categoria]]="BNL(Interessi Creditori)"),"Carta",IF(Dati[[#This Row],[Categoria]]&lt;&gt;0,"Cash",""))</f>
        <v/>
      </c>
      <c r="K520" s="59" t="str">
        <f>IF(OR(Data!$I520=SottocategorieUscite[[#Headers],[Fuori Casa]],Data!$I520=SottocategorieUscite[[#Headers],[Varie Uscite]],Data!$I520=SottocategorieUscite[[#Headers],[Personali]],Data!$I520=SottocategorieUscite[[#Headers],[Lavoro]]),"$ -","")</f>
        <v/>
      </c>
      <c r="L520" s="59" t="str">
        <f>IF(OR(Data!$I520=SottocategorieUscite[[#Headers],[Casa]],Data!$I520=SottocategorieUscite[[#Headers],[Utenze]],Data!$I520=SottocategorieUscite[[#Headers],[Business Uscite]],Data!$I520=SottocategorieUscite[[#Headers],[Banca]]),"$ -","")</f>
        <v/>
      </c>
      <c r="M520" s="59" t="str">
        <f>IF(OR($I520&lt;&gt;SottocategorieUscite[[#Headers],[Fuori Casa]],$I520&lt;&gt;SottocategorieUscite[[#Headers],[Varie Uscite]],$I520&lt;&gt;SottocategorieUscite[[#Headers],[Personali]],$I520&lt;&gt;SottocategorieUscite[[#Headers],[Lavoro]],$I520&lt;&gt;SottocategorieUscite[[#Headers],[Casa]],$I520&lt;&gt;SottocategorieUscite[[#Headers],[Utenze]],$I520&lt;&gt;SottocategorieUscite[[#Headers],[Business Uscite]],$I520&lt;&gt;SottocategorieUscite[[#Headers],[Banca]]),"","$ -")</f>
        <v/>
      </c>
      <c r="N520" s="59" t="str">
        <f>IF(OR(Data!$I520=SottocategorieEntrate[[#Headers],[Business Entrate]],Data!$I520=SottocategorieEntrate[[#Headers],[Varie Entrate]]),"$ -","")</f>
        <v/>
      </c>
      <c r="O520" s="59" t="str">
        <f>IF(OR(Data!$I520=SottocategorieEntrate[[#Headers],[Real Estate]],SottocategorieEntrate[[#Headers],[Other]]),"$ -","")</f>
        <v/>
      </c>
      <c r="P520" s="59" t="str">
        <f>IF(OR($I520&lt;&gt;SottocategorieEntrate[[#Headers],[Business Entrate]],$I520&lt;&gt;SottocategorieEntrate[[#Headers],[Varie Entrate]],$I520&lt;&gt;SottocategorieEntrate[[#Headers],[Real Estate]],$I520&lt;&gt;SottocategorieEntrate[[#Headers],[Other]]),"","$ -")</f>
        <v/>
      </c>
      <c r="Q520" s="59" t="str">
        <f>IF(Dati[[#This Row],[Categoria]]="Prelievo","€ -","")</f>
        <v/>
      </c>
      <c r="R520" s="244"/>
      <c r="S520" s="59" t="str">
        <f>IF(Dati[[#This Row],[Categoria]]="Savings",0,"")</f>
        <v/>
      </c>
      <c r="T520" s="59"/>
      <c r="U520" s="59"/>
      <c r="V520" s="59"/>
      <c r="W520" s="59"/>
      <c r="X520" s="59"/>
      <c r="Y520" s="59"/>
      <c r="Z520" s="59"/>
      <c r="AA520" s="59"/>
      <c r="AB520" s="59"/>
      <c r="AC520" s="59"/>
      <c r="AD520" s="59"/>
      <c r="AE520" s="59"/>
      <c r="AF520" s="59"/>
      <c r="AG520" s="59"/>
      <c r="AH520" s="59"/>
      <c r="AI520" s="59" t="str">
        <f>IF(SUM(Dati[[#This Row],[Inv. Business]:[Inv. Cryptocurrency]])=0," ",SUM(Dati[[#This Row],[Inv. Business]:[Inv. Cryptocurrency]]))</f>
        <v xml:space="preserve"> </v>
      </c>
      <c r="AJ520" s="59"/>
      <c r="AK520" s="59" t="str">
        <f>IF(SUM(Dati[[#This Row],[Inv. Gold]:[Mutuo]])=0," ",SUM(Dati[[#This Row],[Inv. Gold]:[Mutuo]]))</f>
        <v xml:space="preserve"> </v>
      </c>
      <c r="AL520" s="59"/>
      <c r="AM520" s="59"/>
    </row>
    <row r="521" spans="2:39" x14ac:dyDescent="0.35">
      <c r="B521">
        <f t="shared" si="21"/>
        <v>501</v>
      </c>
      <c r="C521" s="49">
        <f>C519+1</f>
        <v>45325</v>
      </c>
      <c r="D521" s="29">
        <f>DAY(Dati[[#This Row],[Data]])</f>
        <v>3</v>
      </c>
      <c r="E521" s="29" t="str">
        <f>IF(DAY(Data!$C$21:$C$1327)&gt;0,TEXT(Data!$C$21:$C$1327, "mmmm"),"")</f>
        <v>febbraio</v>
      </c>
      <c r="F521" s="29" t="str">
        <f>IF(DAY(Data!$C$21:$C$1327)&gt;0,TEXT(Data!$C$21:$C$1327, "aaaa"),"")</f>
        <v>2024</v>
      </c>
      <c r="I521" t="str">
        <f>IF(OR(H521=$B$5,H521=$B$6,H521=$B$7,H521=$B$8,H521=$B$9,H521=$B$10,H521=$B$11,H521=$B$12,H521=$B$13,H521=$B$14),SottocategorieUscite[[#Headers],[Fuori Casa]],IF(OR(H521=$C$5,H521=$C$6,H521=$C$7,H521=$C$8,H521=$C$9,H521=$C$10,H521=$C$11,H521=$C$12,H521=$C$13,H521=$C$14),SottocategorieUscite[[#Headers],[Varie Uscite]],IF(OR(H521=$D$5,H521=$D$6,H521=$D$7,H521=$D$8,H521=$D$9,H521=$D$10,H521=$D$11,H521=$D$12,H521=$D$13,H521=$D$14),SottocategorieUscite[[#Headers],[Personali]],IF(OR(H521=$E$5,H521=$E$6,H521=$E$7,H521=$E$8,H521=$E$9,H521=$E$10,H521=$E$11,H521=$E$12,H521=$E$13,H521=$E$14),SottocategorieUscite[[#Headers],[Lavoro]],IF(OR(H521=$F$5,H521=$F$6,H521=$F$7,H521=$F$8,H521=$F$9,H521=$F$10,H521=$F$11,H521=$F$12,H521=$F$13,H521=$F$14),SottocategorieUscite[[#Headers],[Casa]],IF(OR(H521=$G$5,H521=$G$6,H521=$G$7,H521=$G$8,H521=$G$9,H521=$G$10,H521=$G$11,H521=$G$12,H521=$G$13,H521=$G$14),SottocategorieUscite[[#Headers],[Utenze]],IF(OR(H521=$H$5,H521=$H$6,H521=$H$7,H521=$H$8,H521=$H$9,H521=$H$10,H521=$H$11,H521=$H$12,H521=$H$13,H521=$H$14),SottocategorieUscite[[#Headers],[Business Uscite]],IF(OR(H521=$I$5,H521=$I$6,H521=$I$7,H521=$I$8,H521=$I$9,H521=$I$10,H521=$I$11,H521=$I$12,H521=$I$13,H521=$I$14),SottocategorieUscite[[#Headers],[Banca]],IF(OR(H521=K$5,H521=K$6,H521=K$7,H521=K$8,H521=K$9,H521=K$10,H521=K$11,H521=K$12,H521=K$13,H521=K$14),SottocategorieEntrate[[#Headers],[Business Entrate]],IF(OR(H521=L$5,H521=L$6,H521=L$7,H521=L$8,H521=L$9,H521=L$10,H521=L$11,H521=L$12,H521=L$13,H521=L$14),SottocategorieEntrate[[#Headers],[Varie Entrate]],IF(OR(H521=M$5,H521=M$6,H521=M$7,H521=M$8,H521=M$9,H521=M$10,H521=M$11,H521=M$12,H521=M$13,H521=M$14),SottocategorieEntrate[[#Headers],[Real Estate]],IF(OR(H521=N$5,H521=N$6,H521=N$7,H521=N$8,H521=N$9,H521=N$10,H521=N$11,H521=N$12,H521=N$13,H521=N$14),SottocategorieEntrate[[#Headers],[Other]],""))))))))))))</f>
        <v/>
      </c>
      <c r="J521" t="str">
        <f>IF(OR(Dati[[#This Row],[Categoria]]="Bollette",Dati[[#This Row],[Categoria]]="Conto &amp; Carte BNL",Dati[[#This Row],[Categoria]]="Prelievo",Dati[[#This Row],[Categoria]]="Affitto",Dati[[#This Row],[Categoria]]="BNL(Interessi Creditori)"),"Carta",IF(Dati[[#This Row],[Categoria]]&lt;&gt;0,"Cash",""))</f>
        <v/>
      </c>
      <c r="K521" s="59" t="str">
        <f>IF(OR(Data!$I521=SottocategorieUscite[[#Headers],[Fuori Casa]],Data!$I521=SottocategorieUscite[[#Headers],[Varie Uscite]],Data!$I521=SottocategorieUscite[[#Headers],[Personali]],Data!$I521=SottocategorieUscite[[#Headers],[Lavoro]]),"$ -","")</f>
        <v/>
      </c>
      <c r="L521" s="59" t="str">
        <f>IF(OR(Data!$I521=SottocategorieUscite[[#Headers],[Casa]],Data!$I521=SottocategorieUscite[[#Headers],[Utenze]],Data!$I521=SottocategorieUscite[[#Headers],[Business Uscite]],Data!$I521=SottocategorieUscite[[#Headers],[Banca]]),"$ -","")</f>
        <v/>
      </c>
      <c r="M521" s="59" t="str">
        <f>IF(OR($I521&lt;&gt;SottocategorieUscite[[#Headers],[Fuori Casa]],$I521&lt;&gt;SottocategorieUscite[[#Headers],[Varie Uscite]],$I521&lt;&gt;SottocategorieUscite[[#Headers],[Personali]],$I521&lt;&gt;SottocategorieUscite[[#Headers],[Lavoro]],$I521&lt;&gt;SottocategorieUscite[[#Headers],[Casa]],$I521&lt;&gt;SottocategorieUscite[[#Headers],[Utenze]],$I521&lt;&gt;SottocategorieUscite[[#Headers],[Business Uscite]],$I521&lt;&gt;SottocategorieUscite[[#Headers],[Banca]]),"","$ -")</f>
        <v/>
      </c>
      <c r="N521" s="59" t="str">
        <f>IF(OR(Data!$I521=SottocategorieEntrate[[#Headers],[Business Entrate]],Data!$I521=SottocategorieEntrate[[#Headers],[Varie Entrate]]),"$ -","")</f>
        <v/>
      </c>
      <c r="O521" s="59" t="str">
        <f>IF(OR(Data!$I521=SottocategorieEntrate[[#Headers],[Real Estate]],SottocategorieEntrate[[#Headers],[Other]]),"$ -","")</f>
        <v/>
      </c>
      <c r="P521" s="59" t="str">
        <f>IF(OR($I521&lt;&gt;SottocategorieEntrate[[#Headers],[Business Entrate]],$I521&lt;&gt;SottocategorieEntrate[[#Headers],[Varie Entrate]],$I521&lt;&gt;SottocategorieEntrate[[#Headers],[Real Estate]],$I521&lt;&gt;SottocategorieEntrate[[#Headers],[Other]]),"","$ -")</f>
        <v/>
      </c>
      <c r="Q521" s="59" t="str">
        <f>IF(Dati[[#This Row],[Categoria]]="Prelievo","€ -","")</f>
        <v/>
      </c>
      <c r="R521" s="244"/>
      <c r="S521" s="59" t="str">
        <f>IF(Dati[[#This Row],[Categoria]]="Savings",0,"")</f>
        <v/>
      </c>
      <c r="T521" s="59"/>
      <c r="U521" s="59"/>
      <c r="V521" s="59"/>
      <c r="W521" s="59"/>
      <c r="X521" s="59"/>
      <c r="Y521" s="59"/>
      <c r="Z521" s="59"/>
      <c r="AA521" s="59"/>
      <c r="AB521" s="59"/>
      <c r="AC521" s="59"/>
      <c r="AD521" s="59"/>
      <c r="AE521" s="59"/>
      <c r="AF521" s="59"/>
      <c r="AG521" s="59"/>
      <c r="AH521" s="59"/>
      <c r="AI521" s="59" t="str">
        <f>IF(SUM(Dati[[#This Row],[Inv. Business]:[Inv. Cryptocurrency]])=0," ",SUM(Dati[[#This Row],[Inv. Business]:[Inv. Cryptocurrency]]))</f>
        <v xml:space="preserve"> </v>
      </c>
      <c r="AJ521" s="59"/>
      <c r="AK521" s="59" t="str">
        <f>IF(SUM(Dati[[#This Row],[Inv. Gold]:[Mutuo]])=0," ",SUM(Dati[[#This Row],[Inv. Gold]:[Mutuo]]))</f>
        <v xml:space="preserve"> </v>
      </c>
      <c r="AL521" s="59"/>
      <c r="AM521" s="59"/>
    </row>
    <row r="522" spans="2:39" x14ac:dyDescent="0.35">
      <c r="B522">
        <f t="shared" si="21"/>
        <v>502</v>
      </c>
      <c r="C522" s="49">
        <f>C519+1</f>
        <v>45325</v>
      </c>
      <c r="D522" s="29">
        <f>DAY(Dati[[#This Row],[Data]])</f>
        <v>3</v>
      </c>
      <c r="E522" s="29" t="str">
        <f>IF(DAY(Data!$C$21:$C$1327)&gt;0,TEXT(Data!$C$21:$C$1327, "mmmm"),"")</f>
        <v>febbraio</v>
      </c>
      <c r="F522" s="29" t="str">
        <f>IF(DAY(Data!$C$21:$C$1327)&gt;0,TEXT(Data!$C$21:$C$1327, "aaaa"),"")</f>
        <v>2024</v>
      </c>
      <c r="I522" t="str">
        <f>IF(OR(H522=$B$5,H522=$B$6,H522=$B$7,H522=$B$8,H522=$B$9,H522=$B$10,H522=$B$11,H522=$B$12,H522=$B$13,H522=$B$14),SottocategorieUscite[[#Headers],[Fuori Casa]],IF(OR(H522=$C$5,H522=$C$6,H522=$C$7,H522=$C$8,H522=$C$9,H522=$C$10,H522=$C$11,H522=$C$12,H522=$C$13,H522=$C$14),SottocategorieUscite[[#Headers],[Varie Uscite]],IF(OR(H522=$D$5,H522=$D$6,H522=$D$7,H522=$D$8,H522=$D$9,H522=$D$10,H522=$D$11,H522=$D$12,H522=$D$13,H522=$D$14),SottocategorieUscite[[#Headers],[Personali]],IF(OR(H522=$E$5,H522=$E$6,H522=$E$7,H522=$E$8,H522=$E$9,H522=$E$10,H522=$E$11,H522=$E$12,H522=$E$13,H522=$E$14),SottocategorieUscite[[#Headers],[Lavoro]],IF(OR(H522=$F$5,H522=$F$6,H522=$F$7,H522=$F$8,H522=$F$9,H522=$F$10,H522=$F$11,H522=$F$12,H522=$F$13,H522=$F$14),SottocategorieUscite[[#Headers],[Casa]],IF(OR(H522=$G$5,H522=$G$6,H522=$G$7,H522=$G$8,H522=$G$9,H522=$G$10,H522=$G$11,H522=$G$12,H522=$G$13,H522=$G$14),SottocategorieUscite[[#Headers],[Utenze]],IF(OR(H522=$H$5,H522=$H$6,H522=$H$7,H522=$H$8,H522=$H$9,H522=$H$10,H522=$H$11,H522=$H$12,H522=$H$13,H522=$H$14),SottocategorieUscite[[#Headers],[Business Uscite]],IF(OR(H522=$I$5,H522=$I$6,H522=$I$7,H522=$I$8,H522=$I$9,H522=$I$10,H522=$I$11,H522=$I$12,H522=$I$13,H522=$I$14),SottocategorieUscite[[#Headers],[Banca]],IF(OR(H522=K$5,H522=K$6,H522=K$7,H522=K$8,H522=K$9,H522=K$10,H522=K$11,H522=K$12,H522=K$13,H522=K$14),SottocategorieEntrate[[#Headers],[Business Entrate]],IF(OR(H522=L$5,H522=L$6,H522=L$7,H522=L$8,H522=L$9,H522=L$10,H522=L$11,H522=L$12,H522=L$13,H522=L$14),SottocategorieEntrate[[#Headers],[Varie Entrate]],IF(OR(H522=M$5,H522=M$6,H522=M$7,H522=M$8,H522=M$9,H522=M$10,H522=M$11,H522=M$12,H522=M$13,H522=M$14),SottocategorieEntrate[[#Headers],[Real Estate]],IF(OR(H522=N$5,H522=N$6,H522=N$7,H522=N$8,H522=N$9,H522=N$10,H522=N$11,H522=N$12,H522=N$13,H522=N$14),SottocategorieEntrate[[#Headers],[Other]],""))))))))))))</f>
        <v/>
      </c>
      <c r="J522" t="str">
        <f>IF(OR(Dati[[#This Row],[Categoria]]="Bollette",Dati[[#This Row],[Categoria]]="Conto &amp; Carte BNL",Dati[[#This Row],[Categoria]]="Prelievo",Dati[[#This Row],[Categoria]]="Affitto",Dati[[#This Row],[Categoria]]="BNL(Interessi Creditori)"),"Carta",IF(Dati[[#This Row],[Categoria]]&lt;&gt;0,"Cash",""))</f>
        <v/>
      </c>
      <c r="K522" s="59" t="str">
        <f>IF(OR(Data!$I522=SottocategorieUscite[[#Headers],[Fuori Casa]],Data!$I522=SottocategorieUscite[[#Headers],[Varie Uscite]],Data!$I522=SottocategorieUscite[[#Headers],[Personali]],Data!$I522=SottocategorieUscite[[#Headers],[Lavoro]]),"$ -","")</f>
        <v/>
      </c>
      <c r="L522" s="59" t="str">
        <f>IF(OR(Data!$I522=SottocategorieUscite[[#Headers],[Casa]],Data!$I522=SottocategorieUscite[[#Headers],[Utenze]],Data!$I522=SottocategorieUscite[[#Headers],[Business Uscite]],Data!$I522=SottocategorieUscite[[#Headers],[Banca]]),"$ -","")</f>
        <v/>
      </c>
      <c r="M522" s="59" t="str">
        <f>IF(OR($I522&lt;&gt;SottocategorieUscite[[#Headers],[Fuori Casa]],$I522&lt;&gt;SottocategorieUscite[[#Headers],[Varie Uscite]],$I522&lt;&gt;SottocategorieUscite[[#Headers],[Personali]],$I522&lt;&gt;SottocategorieUscite[[#Headers],[Lavoro]],$I522&lt;&gt;SottocategorieUscite[[#Headers],[Casa]],$I522&lt;&gt;SottocategorieUscite[[#Headers],[Utenze]],$I522&lt;&gt;SottocategorieUscite[[#Headers],[Business Uscite]],$I522&lt;&gt;SottocategorieUscite[[#Headers],[Banca]]),"","$ -")</f>
        <v/>
      </c>
      <c r="N522" s="59" t="str">
        <f>IF(OR(Data!$I522=SottocategorieEntrate[[#Headers],[Business Entrate]],Data!$I522=SottocategorieEntrate[[#Headers],[Varie Entrate]]),"$ -","")</f>
        <v/>
      </c>
      <c r="O522" s="59" t="str">
        <f>IF(OR(Data!$I522=SottocategorieEntrate[[#Headers],[Real Estate]],SottocategorieEntrate[[#Headers],[Other]]),"$ -","")</f>
        <v/>
      </c>
      <c r="P522" s="59" t="str">
        <f>IF(OR($I522&lt;&gt;SottocategorieEntrate[[#Headers],[Business Entrate]],$I522&lt;&gt;SottocategorieEntrate[[#Headers],[Varie Entrate]],$I522&lt;&gt;SottocategorieEntrate[[#Headers],[Real Estate]],$I522&lt;&gt;SottocategorieEntrate[[#Headers],[Other]]),"","$ -")</f>
        <v/>
      </c>
      <c r="Q522" s="59" t="str">
        <f>IF(Dati[[#This Row],[Categoria]]="Prelievo","€ -","")</f>
        <v/>
      </c>
      <c r="R522" s="244"/>
      <c r="S522" s="59" t="str">
        <f>IF(Dati[[#This Row],[Categoria]]="Savings",0,"")</f>
        <v/>
      </c>
      <c r="T522" s="59"/>
      <c r="U522" s="59"/>
      <c r="V522" s="59"/>
      <c r="W522" s="59"/>
      <c r="X522" s="59"/>
      <c r="Y522" s="59"/>
      <c r="Z522" s="59"/>
      <c r="AA522" s="59"/>
      <c r="AB522" s="59"/>
      <c r="AC522" s="59"/>
      <c r="AD522" s="59"/>
      <c r="AE522" s="59"/>
      <c r="AF522" s="59"/>
      <c r="AG522" s="59"/>
      <c r="AH522" s="59"/>
      <c r="AI522" s="59" t="str">
        <f>IF(SUM(Dati[[#This Row],[Inv. Business]:[Inv. Cryptocurrency]])=0," ",SUM(Dati[[#This Row],[Inv. Business]:[Inv. Cryptocurrency]]))</f>
        <v xml:space="preserve"> </v>
      </c>
      <c r="AJ522" s="59"/>
      <c r="AK522" s="59" t="str">
        <f>IF(SUM(Dati[[#This Row],[Inv. Gold]:[Mutuo]])=0," ",SUM(Dati[[#This Row],[Inv. Gold]:[Mutuo]]))</f>
        <v xml:space="preserve"> </v>
      </c>
      <c r="AL522" s="59"/>
      <c r="AM522" s="59"/>
    </row>
    <row r="523" spans="2:39" x14ac:dyDescent="0.35">
      <c r="B523">
        <f t="shared" si="21"/>
        <v>503</v>
      </c>
      <c r="C523" s="49">
        <f>C519+1</f>
        <v>45325</v>
      </c>
      <c r="D523" s="29">
        <f>DAY(Dati[[#This Row],[Data]])</f>
        <v>3</v>
      </c>
      <c r="E523" s="29" t="str">
        <f>IF(DAY(Data!$C$21:$C$1327)&gt;0,TEXT(Data!$C$21:$C$1327, "mmmm"),"")</f>
        <v>febbraio</v>
      </c>
      <c r="F523" s="29" t="str">
        <f>IF(DAY(Data!$C$21:$C$1327)&gt;0,TEXT(Data!$C$21:$C$1327, "aaaa"),"")</f>
        <v>2024</v>
      </c>
      <c r="I523" t="str">
        <f>IF(OR(H523=$B$5,H523=$B$6,H523=$B$7,H523=$B$8,H523=$B$9,H523=$B$10,H523=$B$11,H523=$B$12,H523=$B$13,H523=$B$14),SottocategorieUscite[[#Headers],[Fuori Casa]],IF(OR(H523=$C$5,H523=$C$6,H523=$C$7,H523=$C$8,H523=$C$9,H523=$C$10,H523=$C$11,H523=$C$12,H523=$C$13,H523=$C$14),SottocategorieUscite[[#Headers],[Varie Uscite]],IF(OR(H523=$D$5,H523=$D$6,H523=$D$7,H523=$D$8,H523=$D$9,H523=$D$10,H523=$D$11,H523=$D$12,H523=$D$13,H523=$D$14),SottocategorieUscite[[#Headers],[Personali]],IF(OR(H523=$E$5,H523=$E$6,H523=$E$7,H523=$E$8,H523=$E$9,H523=$E$10,H523=$E$11,H523=$E$12,H523=$E$13,H523=$E$14),SottocategorieUscite[[#Headers],[Lavoro]],IF(OR(H523=$F$5,H523=$F$6,H523=$F$7,H523=$F$8,H523=$F$9,H523=$F$10,H523=$F$11,H523=$F$12,H523=$F$13,H523=$F$14),SottocategorieUscite[[#Headers],[Casa]],IF(OR(H523=$G$5,H523=$G$6,H523=$G$7,H523=$G$8,H523=$G$9,H523=$G$10,H523=$G$11,H523=$G$12,H523=$G$13,H523=$G$14),SottocategorieUscite[[#Headers],[Utenze]],IF(OR(H523=$H$5,H523=$H$6,H523=$H$7,H523=$H$8,H523=$H$9,H523=$H$10,H523=$H$11,H523=$H$12,H523=$H$13,H523=$H$14),SottocategorieUscite[[#Headers],[Business Uscite]],IF(OR(H523=$I$5,H523=$I$6,H523=$I$7,H523=$I$8,H523=$I$9,H523=$I$10,H523=$I$11,H523=$I$12,H523=$I$13,H523=$I$14),SottocategorieUscite[[#Headers],[Banca]],IF(OR(H523=K$5,H523=K$6,H523=K$7,H523=K$8,H523=K$9,H523=K$10,H523=K$11,H523=K$12,H523=K$13,H523=K$14),SottocategorieEntrate[[#Headers],[Business Entrate]],IF(OR(H523=L$5,H523=L$6,H523=L$7,H523=L$8,H523=L$9,H523=L$10,H523=L$11,H523=L$12,H523=L$13,H523=L$14),SottocategorieEntrate[[#Headers],[Varie Entrate]],IF(OR(H523=M$5,H523=M$6,H523=M$7,H523=M$8,H523=M$9,H523=M$10,H523=M$11,H523=M$12,H523=M$13,H523=M$14),SottocategorieEntrate[[#Headers],[Real Estate]],IF(OR(H523=N$5,H523=N$6,H523=N$7,H523=N$8,H523=N$9,H523=N$10,H523=N$11,H523=N$12,H523=N$13,H523=N$14),SottocategorieEntrate[[#Headers],[Other]],""))))))))))))</f>
        <v/>
      </c>
      <c r="J523" t="str">
        <f>IF(OR(Dati[[#This Row],[Categoria]]="Bollette",Dati[[#This Row],[Categoria]]="Conto &amp; Carte BNL",Dati[[#This Row],[Categoria]]="Prelievo",Dati[[#This Row],[Categoria]]="Affitto",Dati[[#This Row],[Categoria]]="BNL(Interessi Creditori)"),"Carta",IF(Dati[[#This Row],[Categoria]]&lt;&gt;0,"Cash",""))</f>
        <v/>
      </c>
      <c r="K523" s="59" t="str">
        <f>IF(OR(Data!$I523=SottocategorieUscite[[#Headers],[Fuori Casa]],Data!$I523=SottocategorieUscite[[#Headers],[Varie Uscite]],Data!$I523=SottocategorieUscite[[#Headers],[Personali]],Data!$I523=SottocategorieUscite[[#Headers],[Lavoro]]),"$ -","")</f>
        <v/>
      </c>
      <c r="L523" s="59" t="str">
        <f>IF(OR(Data!$I523=SottocategorieUscite[[#Headers],[Casa]],Data!$I523=SottocategorieUscite[[#Headers],[Utenze]],Data!$I523=SottocategorieUscite[[#Headers],[Business Uscite]],Data!$I523=SottocategorieUscite[[#Headers],[Banca]]),"$ -","")</f>
        <v/>
      </c>
      <c r="M523" s="59" t="str">
        <f>IF(OR($I523&lt;&gt;SottocategorieUscite[[#Headers],[Fuori Casa]],$I523&lt;&gt;SottocategorieUscite[[#Headers],[Varie Uscite]],$I523&lt;&gt;SottocategorieUscite[[#Headers],[Personali]],$I523&lt;&gt;SottocategorieUscite[[#Headers],[Lavoro]],$I523&lt;&gt;SottocategorieUscite[[#Headers],[Casa]],$I523&lt;&gt;SottocategorieUscite[[#Headers],[Utenze]],$I523&lt;&gt;SottocategorieUscite[[#Headers],[Business Uscite]],$I523&lt;&gt;SottocategorieUscite[[#Headers],[Banca]]),"","$ -")</f>
        <v/>
      </c>
      <c r="N523" s="59" t="str">
        <f>IF(OR(Data!$I523=SottocategorieEntrate[[#Headers],[Business Entrate]],Data!$I523=SottocategorieEntrate[[#Headers],[Varie Entrate]]),"$ -","")</f>
        <v/>
      </c>
      <c r="O523" s="59" t="str">
        <f>IF(OR(Data!$I523=SottocategorieEntrate[[#Headers],[Real Estate]],SottocategorieEntrate[[#Headers],[Other]]),"$ -","")</f>
        <v/>
      </c>
      <c r="P523" s="59" t="str">
        <f>IF(OR($I523&lt;&gt;SottocategorieEntrate[[#Headers],[Business Entrate]],$I523&lt;&gt;SottocategorieEntrate[[#Headers],[Varie Entrate]],$I523&lt;&gt;SottocategorieEntrate[[#Headers],[Real Estate]],$I523&lt;&gt;SottocategorieEntrate[[#Headers],[Other]]),"","$ -")</f>
        <v/>
      </c>
      <c r="Q523" s="59" t="str">
        <f>IF(Dati[[#This Row],[Categoria]]="Prelievo","€ -","")</f>
        <v/>
      </c>
      <c r="R523" s="244"/>
      <c r="S523" s="59" t="str">
        <f>IF(Dati[[#This Row],[Categoria]]="Savings",0,"")</f>
        <v/>
      </c>
      <c r="T523" s="59"/>
      <c r="U523" s="59"/>
      <c r="V523" s="59"/>
      <c r="W523" s="59"/>
      <c r="X523" s="59"/>
      <c r="Y523" s="59"/>
      <c r="Z523" s="59"/>
      <c r="AA523" s="59"/>
      <c r="AB523" s="59"/>
      <c r="AC523" s="59"/>
      <c r="AD523" s="59"/>
      <c r="AE523" s="59"/>
      <c r="AF523" s="59"/>
      <c r="AG523" s="59"/>
      <c r="AH523" s="59"/>
      <c r="AI523" s="59" t="str">
        <f>IF(SUM(Dati[[#This Row],[Inv. Business]:[Inv. Cryptocurrency]])=0," ",SUM(Dati[[#This Row],[Inv. Business]:[Inv. Cryptocurrency]]))</f>
        <v xml:space="preserve"> </v>
      </c>
      <c r="AJ523" s="59"/>
      <c r="AK523" s="59" t="str">
        <f>IF(SUM(Dati[[#This Row],[Inv. Gold]:[Mutuo]])=0," ",SUM(Dati[[#This Row],[Inv. Gold]:[Mutuo]]))</f>
        <v xml:space="preserve"> </v>
      </c>
      <c r="AL523" s="59"/>
      <c r="AM523" s="59"/>
    </row>
    <row r="524" spans="2:39" x14ac:dyDescent="0.35">
      <c r="B524">
        <f t="shared" si="21"/>
        <v>504</v>
      </c>
      <c r="C524" s="49">
        <f>C520+1</f>
        <v>45326</v>
      </c>
      <c r="D524" s="29">
        <f>DAY(Dati[[#This Row],[Data]])</f>
        <v>4</v>
      </c>
      <c r="E524" s="29" t="str">
        <f>IF(DAY(Data!$C$21:$C$1327)&gt;0,TEXT(Data!$C$21:$C$1327, "mmmm"),"")</f>
        <v>febbraio</v>
      </c>
      <c r="F524" s="29" t="str">
        <f>IF(DAY(Data!$C$21:$C$1327)&gt;0,TEXT(Data!$C$21:$C$1327, "aaaa"),"")</f>
        <v>2024</v>
      </c>
      <c r="I524" t="str">
        <f>IF(OR(H524=$B$5,H524=$B$6,H524=$B$7,H524=$B$8,H524=$B$9,H524=$B$10,H524=$B$11,H524=$B$12,H524=$B$13,H524=$B$14),SottocategorieUscite[[#Headers],[Fuori Casa]],IF(OR(H524=$C$5,H524=$C$6,H524=$C$7,H524=$C$8,H524=$C$9,H524=$C$10,H524=$C$11,H524=$C$12,H524=$C$13,H524=$C$14),SottocategorieUscite[[#Headers],[Varie Uscite]],IF(OR(H524=$D$5,H524=$D$6,H524=$D$7,H524=$D$8,H524=$D$9,H524=$D$10,H524=$D$11,H524=$D$12,H524=$D$13,H524=$D$14),SottocategorieUscite[[#Headers],[Personali]],IF(OR(H524=$E$5,H524=$E$6,H524=$E$7,H524=$E$8,H524=$E$9,H524=$E$10,H524=$E$11,H524=$E$12,H524=$E$13,H524=$E$14),SottocategorieUscite[[#Headers],[Lavoro]],IF(OR(H524=$F$5,H524=$F$6,H524=$F$7,H524=$F$8,H524=$F$9,H524=$F$10,H524=$F$11,H524=$F$12,H524=$F$13,H524=$F$14),SottocategorieUscite[[#Headers],[Casa]],IF(OR(H524=$G$5,H524=$G$6,H524=$G$7,H524=$G$8,H524=$G$9,H524=$G$10,H524=$G$11,H524=$G$12,H524=$G$13,H524=$G$14),SottocategorieUscite[[#Headers],[Utenze]],IF(OR(H524=$H$5,H524=$H$6,H524=$H$7,H524=$H$8,H524=$H$9,H524=$H$10,H524=$H$11,H524=$H$12,H524=$H$13,H524=$H$14),SottocategorieUscite[[#Headers],[Business Uscite]],IF(OR(H524=$I$5,H524=$I$6,H524=$I$7,H524=$I$8,H524=$I$9,H524=$I$10,H524=$I$11,H524=$I$12,H524=$I$13,H524=$I$14),SottocategorieUscite[[#Headers],[Banca]],IF(OR(H524=K$5,H524=K$6,H524=K$7,H524=K$8,H524=K$9,H524=K$10,H524=K$11,H524=K$12,H524=K$13,H524=K$14),SottocategorieEntrate[[#Headers],[Business Entrate]],IF(OR(H524=L$5,H524=L$6,H524=L$7,H524=L$8,H524=L$9,H524=L$10,H524=L$11,H524=L$12,H524=L$13,H524=L$14),SottocategorieEntrate[[#Headers],[Varie Entrate]],IF(OR(H524=M$5,H524=M$6,H524=M$7,H524=M$8,H524=M$9,H524=M$10,H524=M$11,H524=M$12,H524=M$13,H524=M$14),SottocategorieEntrate[[#Headers],[Real Estate]],IF(OR(H524=N$5,H524=N$6,H524=N$7,H524=N$8,H524=N$9,H524=N$10,H524=N$11,H524=N$12,H524=N$13,H524=N$14),SottocategorieEntrate[[#Headers],[Other]],""))))))))))))</f>
        <v/>
      </c>
      <c r="J524" t="str">
        <f>IF(OR(Dati[[#This Row],[Categoria]]="Bollette",Dati[[#This Row],[Categoria]]="Conto &amp; Carte BNL",Dati[[#This Row],[Categoria]]="Prelievo",Dati[[#This Row],[Categoria]]="Affitto",Dati[[#This Row],[Categoria]]="BNL(Interessi Creditori)"),"Carta",IF(Dati[[#This Row],[Categoria]]&lt;&gt;0,"Cash",""))</f>
        <v/>
      </c>
      <c r="K524" s="59" t="str">
        <f>IF(OR(Data!$I524=SottocategorieUscite[[#Headers],[Fuori Casa]],Data!$I524=SottocategorieUscite[[#Headers],[Varie Uscite]],Data!$I524=SottocategorieUscite[[#Headers],[Personali]],Data!$I524=SottocategorieUscite[[#Headers],[Lavoro]]),"$ -","")</f>
        <v/>
      </c>
      <c r="L524" s="59" t="str">
        <f>IF(OR(Data!$I524=SottocategorieUscite[[#Headers],[Casa]],Data!$I524=SottocategorieUscite[[#Headers],[Utenze]],Data!$I524=SottocategorieUscite[[#Headers],[Business Uscite]],Data!$I524=SottocategorieUscite[[#Headers],[Banca]]),"$ -","")</f>
        <v/>
      </c>
      <c r="M524" s="59" t="str">
        <f>IF(OR($I524&lt;&gt;SottocategorieUscite[[#Headers],[Fuori Casa]],$I524&lt;&gt;SottocategorieUscite[[#Headers],[Varie Uscite]],$I524&lt;&gt;SottocategorieUscite[[#Headers],[Personali]],$I524&lt;&gt;SottocategorieUscite[[#Headers],[Lavoro]],$I524&lt;&gt;SottocategorieUscite[[#Headers],[Casa]],$I524&lt;&gt;SottocategorieUscite[[#Headers],[Utenze]],$I524&lt;&gt;SottocategorieUscite[[#Headers],[Business Uscite]],$I524&lt;&gt;SottocategorieUscite[[#Headers],[Banca]]),"","$ -")</f>
        <v/>
      </c>
      <c r="N524" s="59" t="str">
        <f>IF(OR(Data!$I524=SottocategorieEntrate[[#Headers],[Business Entrate]],Data!$I524=SottocategorieEntrate[[#Headers],[Varie Entrate]]),"$ -","")</f>
        <v/>
      </c>
      <c r="O524" s="59" t="str">
        <f>IF(OR(Data!$I524=SottocategorieEntrate[[#Headers],[Real Estate]],SottocategorieEntrate[[#Headers],[Other]]),"$ -","")</f>
        <v/>
      </c>
      <c r="P524" s="59" t="str">
        <f>IF(OR($I524&lt;&gt;SottocategorieEntrate[[#Headers],[Business Entrate]],$I524&lt;&gt;SottocategorieEntrate[[#Headers],[Varie Entrate]],$I524&lt;&gt;SottocategorieEntrate[[#Headers],[Real Estate]],$I524&lt;&gt;SottocategorieEntrate[[#Headers],[Other]]),"","$ -")</f>
        <v/>
      </c>
      <c r="Q524" s="59" t="str">
        <f>IF(Dati[[#This Row],[Categoria]]="Prelievo","€ -","")</f>
        <v/>
      </c>
      <c r="R524" s="244"/>
      <c r="S524" s="59" t="str">
        <f>IF(Dati[[#This Row],[Categoria]]="Savings",0,"")</f>
        <v/>
      </c>
      <c r="T524" s="59"/>
      <c r="U524" s="59"/>
      <c r="V524" s="59"/>
      <c r="W524" s="59"/>
      <c r="X524" s="59"/>
      <c r="Y524" s="59"/>
      <c r="Z524" s="59"/>
      <c r="AA524" s="59"/>
      <c r="AB524" s="59"/>
      <c r="AC524" s="59"/>
      <c r="AD524" s="59"/>
      <c r="AE524" s="59"/>
      <c r="AF524" s="59"/>
      <c r="AG524" s="59"/>
      <c r="AH524" s="59"/>
      <c r="AI524" s="59" t="str">
        <f>IF(SUM(Dati[[#This Row],[Inv. Business]:[Inv. Cryptocurrency]])=0," ",SUM(Dati[[#This Row],[Inv. Business]:[Inv. Cryptocurrency]]))</f>
        <v xml:space="preserve"> </v>
      </c>
      <c r="AJ524" s="59"/>
      <c r="AK524" s="59" t="str">
        <f>IF(SUM(Dati[[#This Row],[Inv. Gold]:[Mutuo]])=0," ",SUM(Dati[[#This Row],[Inv. Gold]:[Mutuo]]))</f>
        <v xml:space="preserve"> </v>
      </c>
      <c r="AL524" s="59"/>
      <c r="AM524" s="59"/>
    </row>
    <row r="525" spans="2:39" x14ac:dyDescent="0.35">
      <c r="B525">
        <f t="shared" si="21"/>
        <v>505</v>
      </c>
      <c r="C525" s="49">
        <f t="shared" ref="C525:C558" si="22">C524+1</f>
        <v>45327</v>
      </c>
      <c r="D525" s="29">
        <f>DAY(Dati[[#This Row],[Data]])</f>
        <v>5</v>
      </c>
      <c r="E525" s="29" t="str">
        <f>IF(DAY(Data!$C$21:$C$1327)&gt;0,TEXT(Data!$C$21:$C$1327, "mmmm"),"")</f>
        <v>febbraio</v>
      </c>
      <c r="F525" s="29" t="str">
        <f>IF(DAY(Data!$C$21:$C$1327)&gt;0,TEXT(Data!$C$21:$C$1327, "aaaa"),"")</f>
        <v>2024</v>
      </c>
      <c r="I525" t="str">
        <f>IF(OR(H525=$B$5,H525=$B$6,H525=$B$7,H525=$B$8,H525=$B$9,H525=$B$10,H525=$B$11,H525=$B$12,H525=$B$13,H525=$B$14),SottocategorieUscite[[#Headers],[Fuori Casa]],IF(OR(H525=$C$5,H525=$C$6,H525=$C$7,H525=$C$8,H525=$C$9,H525=$C$10,H525=$C$11,H525=$C$12,H525=$C$13,H525=$C$14),SottocategorieUscite[[#Headers],[Varie Uscite]],IF(OR(H525=$D$5,H525=$D$6,H525=$D$7,H525=$D$8,H525=$D$9,H525=$D$10,H525=$D$11,H525=$D$12,H525=$D$13,H525=$D$14),SottocategorieUscite[[#Headers],[Personali]],IF(OR(H525=$E$5,H525=$E$6,H525=$E$7,H525=$E$8,H525=$E$9,H525=$E$10,H525=$E$11,H525=$E$12,H525=$E$13,H525=$E$14),SottocategorieUscite[[#Headers],[Lavoro]],IF(OR(H525=$F$5,H525=$F$6,H525=$F$7,H525=$F$8,H525=$F$9,H525=$F$10,H525=$F$11,H525=$F$12,H525=$F$13,H525=$F$14),SottocategorieUscite[[#Headers],[Casa]],IF(OR(H525=$G$5,H525=$G$6,H525=$G$7,H525=$G$8,H525=$G$9,H525=$G$10,H525=$G$11,H525=$G$12,H525=$G$13,H525=$G$14),SottocategorieUscite[[#Headers],[Utenze]],IF(OR(H525=$H$5,H525=$H$6,H525=$H$7,H525=$H$8,H525=$H$9,H525=$H$10,H525=$H$11,H525=$H$12,H525=$H$13,H525=$H$14),SottocategorieUscite[[#Headers],[Business Uscite]],IF(OR(H525=$I$5,H525=$I$6,H525=$I$7,H525=$I$8,H525=$I$9,H525=$I$10,H525=$I$11,H525=$I$12,H525=$I$13,H525=$I$14),SottocategorieUscite[[#Headers],[Banca]],IF(OR(H525=K$5,H525=K$6,H525=K$7,H525=K$8,H525=K$9,H525=K$10,H525=K$11,H525=K$12,H525=K$13,H525=K$14),SottocategorieEntrate[[#Headers],[Business Entrate]],IF(OR(H525=L$5,H525=L$6,H525=L$7,H525=L$8,H525=L$9,H525=L$10,H525=L$11,H525=L$12,H525=L$13,H525=L$14),SottocategorieEntrate[[#Headers],[Varie Entrate]],IF(OR(H525=M$5,H525=M$6,H525=M$7,H525=M$8,H525=M$9,H525=M$10,H525=M$11,H525=M$12,H525=M$13,H525=M$14),SottocategorieEntrate[[#Headers],[Real Estate]],IF(OR(H525=N$5,H525=N$6,H525=N$7,H525=N$8,H525=N$9,H525=N$10,H525=N$11,H525=N$12,H525=N$13,H525=N$14),SottocategorieEntrate[[#Headers],[Other]],""))))))))))))</f>
        <v/>
      </c>
      <c r="J525" t="str">
        <f>IF(OR(Dati[[#This Row],[Categoria]]="Bollette",Dati[[#This Row],[Categoria]]="Conto &amp; Carte BNL",Dati[[#This Row],[Categoria]]="Prelievo",Dati[[#This Row],[Categoria]]="Affitto",Dati[[#This Row],[Categoria]]="BNL(Interessi Creditori)"),"Carta",IF(Dati[[#This Row],[Categoria]]&lt;&gt;0,"Cash",""))</f>
        <v/>
      </c>
      <c r="K525" s="59" t="str">
        <f>IF(OR(Data!$I525=SottocategorieUscite[[#Headers],[Fuori Casa]],Data!$I525=SottocategorieUscite[[#Headers],[Varie Uscite]],Data!$I525=SottocategorieUscite[[#Headers],[Personali]],Data!$I525=SottocategorieUscite[[#Headers],[Lavoro]]),"$ -","")</f>
        <v/>
      </c>
      <c r="L525" s="59" t="str">
        <f>IF(OR(Data!$I525=SottocategorieUscite[[#Headers],[Casa]],Data!$I525=SottocategorieUscite[[#Headers],[Utenze]],Data!$I525=SottocategorieUscite[[#Headers],[Business Uscite]],Data!$I525=SottocategorieUscite[[#Headers],[Banca]]),"$ -","")</f>
        <v/>
      </c>
      <c r="M525" s="59" t="str">
        <f>IF(OR($I525&lt;&gt;SottocategorieUscite[[#Headers],[Fuori Casa]],$I525&lt;&gt;SottocategorieUscite[[#Headers],[Varie Uscite]],$I525&lt;&gt;SottocategorieUscite[[#Headers],[Personali]],$I525&lt;&gt;SottocategorieUscite[[#Headers],[Lavoro]],$I525&lt;&gt;SottocategorieUscite[[#Headers],[Casa]],$I525&lt;&gt;SottocategorieUscite[[#Headers],[Utenze]],$I525&lt;&gt;SottocategorieUscite[[#Headers],[Business Uscite]],$I525&lt;&gt;SottocategorieUscite[[#Headers],[Banca]]),"","$ -")</f>
        <v/>
      </c>
      <c r="N525" s="59" t="str">
        <f>IF(OR(Data!$I525=SottocategorieEntrate[[#Headers],[Business Entrate]],Data!$I525=SottocategorieEntrate[[#Headers],[Varie Entrate]]),"$ -","")</f>
        <v/>
      </c>
      <c r="O525" s="59" t="str">
        <f>IF(OR(Data!$I525=SottocategorieEntrate[[#Headers],[Real Estate]],SottocategorieEntrate[[#Headers],[Other]]),"$ -","")</f>
        <v/>
      </c>
      <c r="P525" s="59" t="str">
        <f>IF(OR($I525&lt;&gt;SottocategorieEntrate[[#Headers],[Business Entrate]],$I525&lt;&gt;SottocategorieEntrate[[#Headers],[Varie Entrate]],$I525&lt;&gt;SottocategorieEntrate[[#Headers],[Real Estate]],$I525&lt;&gt;SottocategorieEntrate[[#Headers],[Other]]),"","$ -")</f>
        <v/>
      </c>
      <c r="Q525" s="59" t="str">
        <f>IF(Dati[[#This Row],[Categoria]]="Prelievo","€ -","")</f>
        <v/>
      </c>
      <c r="R525" s="244"/>
      <c r="S525" s="59" t="str">
        <f>IF(Dati[[#This Row],[Categoria]]="Savings",0,"")</f>
        <v/>
      </c>
      <c r="T525" s="59"/>
      <c r="U525" s="59"/>
      <c r="V525" s="59"/>
      <c r="W525" s="59"/>
      <c r="X525" s="59"/>
      <c r="Y525" s="59"/>
      <c r="Z525" s="59"/>
      <c r="AA525" s="59"/>
      <c r="AB525" s="59"/>
      <c r="AC525" s="59"/>
      <c r="AD525" s="59"/>
      <c r="AE525" s="59"/>
      <c r="AF525" s="59"/>
      <c r="AG525" s="59"/>
      <c r="AH525" s="59"/>
      <c r="AI525" s="59" t="str">
        <f>IF(SUM(Dati[[#This Row],[Inv. Business]:[Inv. Cryptocurrency]])=0," ",SUM(Dati[[#This Row],[Inv. Business]:[Inv. Cryptocurrency]]))</f>
        <v xml:space="preserve"> </v>
      </c>
      <c r="AJ525" s="59"/>
      <c r="AK525" s="59" t="str">
        <f>IF(SUM(Dati[[#This Row],[Inv. Gold]:[Mutuo]])=0," ",SUM(Dati[[#This Row],[Inv. Gold]:[Mutuo]]))</f>
        <v xml:space="preserve"> </v>
      </c>
      <c r="AL525" s="59"/>
      <c r="AM525" s="59"/>
    </row>
    <row r="526" spans="2:39" x14ac:dyDescent="0.35">
      <c r="B526">
        <f t="shared" si="21"/>
        <v>506</v>
      </c>
      <c r="C526" s="49">
        <f>C524+1</f>
        <v>45327</v>
      </c>
      <c r="D526" s="29">
        <f>DAY(Dati[[#This Row],[Data]])</f>
        <v>5</v>
      </c>
      <c r="E526" s="29" t="str">
        <f>IF(DAY(Data!$C$21:$C$1327)&gt;0,TEXT(Data!$C$21:$C$1327, "mmmm"),"")</f>
        <v>febbraio</v>
      </c>
      <c r="F526" s="29" t="str">
        <f>IF(DAY(Data!$C$21:$C$1327)&gt;0,TEXT(Data!$C$21:$C$1327, "aaaa"),"")</f>
        <v>2024</v>
      </c>
      <c r="I526" t="str">
        <f>IF(OR(H526=$B$5,H526=$B$6,H526=$B$7,H526=$B$8,H526=$B$9,H526=$B$10,H526=$B$11,H526=$B$12,H526=$B$13,H526=$B$14),SottocategorieUscite[[#Headers],[Fuori Casa]],IF(OR(H526=$C$5,H526=$C$6,H526=$C$7,H526=$C$8,H526=$C$9,H526=$C$10,H526=$C$11,H526=$C$12,H526=$C$13,H526=$C$14),SottocategorieUscite[[#Headers],[Varie Uscite]],IF(OR(H526=$D$5,H526=$D$6,H526=$D$7,H526=$D$8,H526=$D$9,H526=$D$10,H526=$D$11,H526=$D$12,H526=$D$13,H526=$D$14),SottocategorieUscite[[#Headers],[Personali]],IF(OR(H526=$E$5,H526=$E$6,H526=$E$7,H526=$E$8,H526=$E$9,H526=$E$10,H526=$E$11,H526=$E$12,H526=$E$13,H526=$E$14),SottocategorieUscite[[#Headers],[Lavoro]],IF(OR(H526=$F$5,H526=$F$6,H526=$F$7,H526=$F$8,H526=$F$9,H526=$F$10,H526=$F$11,H526=$F$12,H526=$F$13,H526=$F$14),SottocategorieUscite[[#Headers],[Casa]],IF(OR(H526=$G$5,H526=$G$6,H526=$G$7,H526=$G$8,H526=$G$9,H526=$G$10,H526=$G$11,H526=$G$12,H526=$G$13,H526=$G$14),SottocategorieUscite[[#Headers],[Utenze]],IF(OR(H526=$H$5,H526=$H$6,H526=$H$7,H526=$H$8,H526=$H$9,H526=$H$10,H526=$H$11,H526=$H$12,H526=$H$13,H526=$H$14),SottocategorieUscite[[#Headers],[Business Uscite]],IF(OR(H526=$I$5,H526=$I$6,H526=$I$7,H526=$I$8,H526=$I$9,H526=$I$10,H526=$I$11,H526=$I$12,H526=$I$13,H526=$I$14),SottocategorieUscite[[#Headers],[Banca]],IF(OR(H526=K$5,H526=K$6,H526=K$7,H526=K$8,H526=K$9,H526=K$10,H526=K$11,H526=K$12,H526=K$13,H526=K$14),SottocategorieEntrate[[#Headers],[Business Entrate]],IF(OR(H526=L$5,H526=L$6,H526=L$7,H526=L$8,H526=L$9,H526=L$10,H526=L$11,H526=L$12,H526=L$13,H526=L$14),SottocategorieEntrate[[#Headers],[Varie Entrate]],IF(OR(H526=M$5,H526=M$6,H526=M$7,H526=M$8,H526=M$9,H526=M$10,H526=M$11,H526=M$12,H526=M$13,H526=M$14),SottocategorieEntrate[[#Headers],[Real Estate]],IF(OR(H526=N$5,H526=N$6,H526=N$7,H526=N$8,H526=N$9,H526=N$10,H526=N$11,H526=N$12,H526=N$13,H526=N$14),SottocategorieEntrate[[#Headers],[Other]],""))))))))))))</f>
        <v/>
      </c>
      <c r="J526" t="str">
        <f>IF(OR(Dati[[#This Row],[Categoria]]="Bollette",Dati[[#This Row],[Categoria]]="Conto &amp; Carte BNL",Dati[[#This Row],[Categoria]]="Prelievo",Dati[[#This Row],[Categoria]]="Affitto",Dati[[#This Row],[Categoria]]="BNL(Interessi Creditori)"),"Carta",IF(Dati[[#This Row],[Categoria]]&lt;&gt;0,"Cash",""))</f>
        <v/>
      </c>
      <c r="K526" s="59" t="str">
        <f>IF(OR(Data!$I526=SottocategorieUscite[[#Headers],[Fuori Casa]],Data!$I526=SottocategorieUscite[[#Headers],[Varie Uscite]],Data!$I526=SottocategorieUscite[[#Headers],[Personali]],Data!$I526=SottocategorieUscite[[#Headers],[Lavoro]]),"$ -","")</f>
        <v/>
      </c>
      <c r="L526" s="59" t="str">
        <f>IF(OR(Data!$I526=SottocategorieUscite[[#Headers],[Casa]],Data!$I526=SottocategorieUscite[[#Headers],[Utenze]],Data!$I526=SottocategorieUscite[[#Headers],[Business Uscite]],Data!$I526=SottocategorieUscite[[#Headers],[Banca]]),"$ -","")</f>
        <v/>
      </c>
      <c r="M526" s="59" t="str">
        <f>IF(OR($I526&lt;&gt;SottocategorieUscite[[#Headers],[Fuori Casa]],$I526&lt;&gt;SottocategorieUscite[[#Headers],[Varie Uscite]],$I526&lt;&gt;SottocategorieUscite[[#Headers],[Personali]],$I526&lt;&gt;SottocategorieUscite[[#Headers],[Lavoro]],$I526&lt;&gt;SottocategorieUscite[[#Headers],[Casa]],$I526&lt;&gt;SottocategorieUscite[[#Headers],[Utenze]],$I526&lt;&gt;SottocategorieUscite[[#Headers],[Business Uscite]],$I526&lt;&gt;SottocategorieUscite[[#Headers],[Banca]]),"","$ -")</f>
        <v/>
      </c>
      <c r="N526" s="59" t="str">
        <f>IF(OR(Data!$I526=SottocategorieEntrate[[#Headers],[Business Entrate]],Data!$I526=SottocategorieEntrate[[#Headers],[Varie Entrate]]),"$ -","")</f>
        <v/>
      </c>
      <c r="O526" s="59" t="str">
        <f>IF(OR(Data!$I526=SottocategorieEntrate[[#Headers],[Real Estate]],SottocategorieEntrate[[#Headers],[Other]]),"$ -","")</f>
        <v/>
      </c>
      <c r="P526" s="59" t="str">
        <f>IF(OR($I526&lt;&gt;SottocategorieEntrate[[#Headers],[Business Entrate]],$I526&lt;&gt;SottocategorieEntrate[[#Headers],[Varie Entrate]],$I526&lt;&gt;SottocategorieEntrate[[#Headers],[Real Estate]],$I526&lt;&gt;SottocategorieEntrate[[#Headers],[Other]]),"","$ -")</f>
        <v/>
      </c>
      <c r="Q526" s="59" t="str">
        <f>IF(Dati[[#This Row],[Categoria]]="Prelievo","€ -","")</f>
        <v/>
      </c>
      <c r="R526" s="244"/>
      <c r="S526" s="59" t="str">
        <f>IF(Dati[[#This Row],[Categoria]]="Savings",0,"")</f>
        <v/>
      </c>
      <c r="T526" s="59"/>
      <c r="U526" s="59"/>
      <c r="V526" s="59"/>
      <c r="W526" s="59"/>
      <c r="X526" s="59"/>
      <c r="Y526" s="59"/>
      <c r="Z526" s="59"/>
      <c r="AA526" s="59"/>
      <c r="AB526" s="59"/>
      <c r="AC526" s="59"/>
      <c r="AD526" s="59"/>
      <c r="AE526" s="59"/>
      <c r="AF526" s="59"/>
      <c r="AG526" s="59"/>
      <c r="AH526" s="59"/>
      <c r="AI526" s="59" t="str">
        <f>IF(SUM(Dati[[#This Row],[Inv. Business]:[Inv. Cryptocurrency]])=0," ",SUM(Dati[[#This Row],[Inv. Business]:[Inv. Cryptocurrency]]))</f>
        <v xml:space="preserve"> </v>
      </c>
      <c r="AJ526" s="59"/>
      <c r="AK526" s="59" t="str">
        <f>IF(SUM(Dati[[#This Row],[Inv. Gold]:[Mutuo]])=0," ",SUM(Dati[[#This Row],[Inv. Gold]:[Mutuo]]))</f>
        <v xml:space="preserve"> </v>
      </c>
      <c r="AL526" s="59"/>
      <c r="AM526" s="59"/>
    </row>
    <row r="527" spans="2:39" x14ac:dyDescent="0.35">
      <c r="B527">
        <f t="shared" si="21"/>
        <v>507</v>
      </c>
      <c r="C527" s="49">
        <f>C524+1</f>
        <v>45327</v>
      </c>
      <c r="D527" s="29">
        <f>DAY(Dati[[#This Row],[Data]])</f>
        <v>5</v>
      </c>
      <c r="E527" s="29" t="str">
        <f>IF(DAY(Data!$C$21:$C$1327)&gt;0,TEXT(Data!$C$21:$C$1327, "mmmm"),"")</f>
        <v>febbraio</v>
      </c>
      <c r="F527" s="29" t="str">
        <f>IF(DAY(Data!$C$21:$C$1327)&gt;0,TEXT(Data!$C$21:$C$1327, "aaaa"),"")</f>
        <v>2024</v>
      </c>
      <c r="I527" t="str">
        <f>IF(OR(H527=$B$5,H527=$B$6,H527=$B$7,H527=$B$8,H527=$B$9,H527=$B$10,H527=$B$11,H527=$B$12,H527=$B$13,H527=$B$14),SottocategorieUscite[[#Headers],[Fuori Casa]],IF(OR(H527=$C$5,H527=$C$6,H527=$C$7,H527=$C$8,H527=$C$9,H527=$C$10,H527=$C$11,H527=$C$12,H527=$C$13,H527=$C$14),SottocategorieUscite[[#Headers],[Varie Uscite]],IF(OR(H527=$D$5,H527=$D$6,H527=$D$7,H527=$D$8,H527=$D$9,H527=$D$10,H527=$D$11,H527=$D$12,H527=$D$13,H527=$D$14),SottocategorieUscite[[#Headers],[Personali]],IF(OR(H527=$E$5,H527=$E$6,H527=$E$7,H527=$E$8,H527=$E$9,H527=$E$10,H527=$E$11,H527=$E$12,H527=$E$13,H527=$E$14),SottocategorieUscite[[#Headers],[Lavoro]],IF(OR(H527=$F$5,H527=$F$6,H527=$F$7,H527=$F$8,H527=$F$9,H527=$F$10,H527=$F$11,H527=$F$12,H527=$F$13,H527=$F$14),SottocategorieUscite[[#Headers],[Casa]],IF(OR(H527=$G$5,H527=$G$6,H527=$G$7,H527=$G$8,H527=$G$9,H527=$G$10,H527=$G$11,H527=$G$12,H527=$G$13,H527=$G$14),SottocategorieUscite[[#Headers],[Utenze]],IF(OR(H527=$H$5,H527=$H$6,H527=$H$7,H527=$H$8,H527=$H$9,H527=$H$10,H527=$H$11,H527=$H$12,H527=$H$13,H527=$H$14),SottocategorieUscite[[#Headers],[Business Uscite]],IF(OR(H527=$I$5,H527=$I$6,H527=$I$7,H527=$I$8,H527=$I$9,H527=$I$10,H527=$I$11,H527=$I$12,H527=$I$13,H527=$I$14),SottocategorieUscite[[#Headers],[Banca]],IF(OR(H527=K$5,H527=K$6,H527=K$7,H527=K$8,H527=K$9,H527=K$10,H527=K$11,H527=K$12,H527=K$13,H527=K$14),SottocategorieEntrate[[#Headers],[Business Entrate]],IF(OR(H527=L$5,H527=L$6,H527=L$7,H527=L$8,H527=L$9,H527=L$10,H527=L$11,H527=L$12,H527=L$13,H527=L$14),SottocategorieEntrate[[#Headers],[Varie Entrate]],IF(OR(H527=M$5,H527=M$6,H527=M$7,H527=M$8,H527=M$9,H527=M$10,H527=M$11,H527=M$12,H527=M$13,H527=M$14),SottocategorieEntrate[[#Headers],[Real Estate]],IF(OR(H527=N$5,H527=N$6,H527=N$7,H527=N$8,H527=N$9,H527=N$10,H527=N$11,H527=N$12,H527=N$13,H527=N$14),SottocategorieEntrate[[#Headers],[Other]],""))))))))))))</f>
        <v/>
      </c>
      <c r="J527" t="str">
        <f>IF(OR(Dati[[#This Row],[Categoria]]="Bollette",Dati[[#This Row],[Categoria]]="Conto &amp; Carte BNL",Dati[[#This Row],[Categoria]]="Prelievo",Dati[[#This Row],[Categoria]]="Affitto",Dati[[#This Row],[Categoria]]="BNL(Interessi Creditori)"),"Carta",IF(Dati[[#This Row],[Categoria]]&lt;&gt;0,"Cash",""))</f>
        <v/>
      </c>
      <c r="K527" s="59" t="str">
        <f>IF(OR(Data!$I527=SottocategorieUscite[[#Headers],[Fuori Casa]],Data!$I527=SottocategorieUscite[[#Headers],[Varie Uscite]],Data!$I527=SottocategorieUscite[[#Headers],[Personali]],Data!$I527=SottocategorieUscite[[#Headers],[Lavoro]]),"$ -","")</f>
        <v/>
      </c>
      <c r="L527" s="59" t="str">
        <f>IF(OR(Data!$I527=SottocategorieUscite[[#Headers],[Casa]],Data!$I527=SottocategorieUscite[[#Headers],[Utenze]],Data!$I527=SottocategorieUscite[[#Headers],[Business Uscite]],Data!$I527=SottocategorieUscite[[#Headers],[Banca]]),"$ -","")</f>
        <v/>
      </c>
      <c r="M527" s="59" t="str">
        <f>IF(OR($I527&lt;&gt;SottocategorieUscite[[#Headers],[Fuori Casa]],$I527&lt;&gt;SottocategorieUscite[[#Headers],[Varie Uscite]],$I527&lt;&gt;SottocategorieUscite[[#Headers],[Personali]],$I527&lt;&gt;SottocategorieUscite[[#Headers],[Lavoro]],$I527&lt;&gt;SottocategorieUscite[[#Headers],[Casa]],$I527&lt;&gt;SottocategorieUscite[[#Headers],[Utenze]],$I527&lt;&gt;SottocategorieUscite[[#Headers],[Business Uscite]],$I527&lt;&gt;SottocategorieUscite[[#Headers],[Banca]]),"","$ -")</f>
        <v/>
      </c>
      <c r="N527" s="59" t="str">
        <f>IF(OR(Data!$I527=SottocategorieEntrate[[#Headers],[Business Entrate]],Data!$I527=SottocategorieEntrate[[#Headers],[Varie Entrate]]),"$ -","")</f>
        <v/>
      </c>
      <c r="O527" s="59" t="str">
        <f>IF(OR(Data!$I527=SottocategorieEntrate[[#Headers],[Real Estate]],SottocategorieEntrate[[#Headers],[Other]]),"$ -","")</f>
        <v/>
      </c>
      <c r="P527" s="59" t="str">
        <f>IF(OR($I527&lt;&gt;SottocategorieEntrate[[#Headers],[Business Entrate]],$I527&lt;&gt;SottocategorieEntrate[[#Headers],[Varie Entrate]],$I527&lt;&gt;SottocategorieEntrate[[#Headers],[Real Estate]],$I527&lt;&gt;SottocategorieEntrate[[#Headers],[Other]]),"","$ -")</f>
        <v/>
      </c>
      <c r="Q527" s="59" t="str">
        <f>IF(Dati[[#This Row],[Categoria]]="Prelievo","€ -","")</f>
        <v/>
      </c>
      <c r="R527" s="244"/>
      <c r="S527" s="59" t="str">
        <f>IF(Dati[[#This Row],[Categoria]]="Savings",0,"")</f>
        <v/>
      </c>
      <c r="T527" s="59"/>
      <c r="U527" s="59"/>
      <c r="V527" s="59"/>
      <c r="W527" s="59"/>
      <c r="X527" s="59"/>
      <c r="Y527" s="59"/>
      <c r="Z527" s="59"/>
      <c r="AA527" s="59"/>
      <c r="AB527" s="59"/>
      <c r="AC527" s="59"/>
      <c r="AD527" s="59"/>
      <c r="AE527" s="59"/>
      <c r="AF527" s="59"/>
      <c r="AG527" s="59"/>
      <c r="AH527" s="59"/>
      <c r="AI527" s="59" t="str">
        <f>IF(SUM(Dati[[#This Row],[Inv. Business]:[Inv. Cryptocurrency]])=0," ",SUM(Dati[[#This Row],[Inv. Business]:[Inv. Cryptocurrency]]))</f>
        <v xml:space="preserve"> </v>
      </c>
      <c r="AJ527" s="59"/>
      <c r="AK527" s="59" t="str">
        <f>IF(SUM(Dati[[#This Row],[Inv. Gold]:[Mutuo]])=0," ",SUM(Dati[[#This Row],[Inv. Gold]:[Mutuo]]))</f>
        <v xml:space="preserve"> </v>
      </c>
      <c r="AL527" s="59"/>
      <c r="AM527" s="59"/>
    </row>
    <row r="528" spans="2:39" x14ac:dyDescent="0.35">
      <c r="B528">
        <f t="shared" si="21"/>
        <v>508</v>
      </c>
      <c r="C528" s="49">
        <f>C524+1</f>
        <v>45327</v>
      </c>
      <c r="D528" s="29">
        <f>DAY(Dati[[#This Row],[Data]])</f>
        <v>5</v>
      </c>
      <c r="E528" s="29" t="str">
        <f>IF(DAY(Data!$C$21:$C$1327)&gt;0,TEXT(Data!$C$21:$C$1327, "mmmm"),"")</f>
        <v>febbraio</v>
      </c>
      <c r="F528" s="29" t="str">
        <f>IF(DAY(Data!$C$21:$C$1327)&gt;0,TEXT(Data!$C$21:$C$1327, "aaaa"),"")</f>
        <v>2024</v>
      </c>
      <c r="I528" t="str">
        <f>IF(OR(H528=$B$5,H528=$B$6,H528=$B$7,H528=$B$8,H528=$B$9,H528=$B$10,H528=$B$11,H528=$B$12,H528=$B$13,H528=$B$14),SottocategorieUscite[[#Headers],[Fuori Casa]],IF(OR(H528=$C$5,H528=$C$6,H528=$C$7,H528=$C$8,H528=$C$9,H528=$C$10,H528=$C$11,H528=$C$12,H528=$C$13,H528=$C$14),SottocategorieUscite[[#Headers],[Varie Uscite]],IF(OR(H528=$D$5,H528=$D$6,H528=$D$7,H528=$D$8,H528=$D$9,H528=$D$10,H528=$D$11,H528=$D$12,H528=$D$13,H528=$D$14),SottocategorieUscite[[#Headers],[Personali]],IF(OR(H528=$E$5,H528=$E$6,H528=$E$7,H528=$E$8,H528=$E$9,H528=$E$10,H528=$E$11,H528=$E$12,H528=$E$13,H528=$E$14),SottocategorieUscite[[#Headers],[Lavoro]],IF(OR(H528=$F$5,H528=$F$6,H528=$F$7,H528=$F$8,H528=$F$9,H528=$F$10,H528=$F$11,H528=$F$12,H528=$F$13,H528=$F$14),SottocategorieUscite[[#Headers],[Casa]],IF(OR(H528=$G$5,H528=$G$6,H528=$G$7,H528=$G$8,H528=$G$9,H528=$G$10,H528=$G$11,H528=$G$12,H528=$G$13,H528=$G$14),SottocategorieUscite[[#Headers],[Utenze]],IF(OR(H528=$H$5,H528=$H$6,H528=$H$7,H528=$H$8,H528=$H$9,H528=$H$10,H528=$H$11,H528=$H$12,H528=$H$13,H528=$H$14),SottocategorieUscite[[#Headers],[Business Uscite]],IF(OR(H528=$I$5,H528=$I$6,H528=$I$7,H528=$I$8,H528=$I$9,H528=$I$10,H528=$I$11,H528=$I$12,H528=$I$13,H528=$I$14),SottocategorieUscite[[#Headers],[Banca]],IF(OR(H528=K$5,H528=K$6,H528=K$7,H528=K$8,H528=K$9,H528=K$10,H528=K$11,H528=K$12,H528=K$13,H528=K$14),SottocategorieEntrate[[#Headers],[Business Entrate]],IF(OR(H528=L$5,H528=L$6,H528=L$7,H528=L$8,H528=L$9,H528=L$10,H528=L$11,H528=L$12,H528=L$13,H528=L$14),SottocategorieEntrate[[#Headers],[Varie Entrate]],IF(OR(H528=M$5,H528=M$6,H528=M$7,H528=M$8,H528=M$9,H528=M$10,H528=M$11,H528=M$12,H528=M$13,H528=M$14),SottocategorieEntrate[[#Headers],[Real Estate]],IF(OR(H528=N$5,H528=N$6,H528=N$7,H528=N$8,H528=N$9,H528=N$10,H528=N$11,H528=N$12,H528=N$13,H528=N$14),SottocategorieEntrate[[#Headers],[Other]],""))))))))))))</f>
        <v/>
      </c>
      <c r="J528" t="str">
        <f>IF(OR(Dati[[#This Row],[Categoria]]="Bollette",Dati[[#This Row],[Categoria]]="Conto &amp; Carte BNL",Dati[[#This Row],[Categoria]]="Prelievo",Dati[[#This Row],[Categoria]]="Affitto",Dati[[#This Row],[Categoria]]="BNL(Interessi Creditori)"),"Carta",IF(Dati[[#This Row],[Categoria]]&lt;&gt;0,"Cash",""))</f>
        <v/>
      </c>
      <c r="K528" s="59" t="str">
        <f>IF(OR(Data!$I528=SottocategorieUscite[[#Headers],[Fuori Casa]],Data!$I528=SottocategorieUscite[[#Headers],[Varie Uscite]],Data!$I528=SottocategorieUscite[[#Headers],[Personali]],Data!$I528=SottocategorieUscite[[#Headers],[Lavoro]]),"$ -","")</f>
        <v/>
      </c>
      <c r="L528" s="59" t="str">
        <f>IF(OR(Data!$I528=SottocategorieUscite[[#Headers],[Casa]],Data!$I528=SottocategorieUscite[[#Headers],[Utenze]],Data!$I528=SottocategorieUscite[[#Headers],[Business Uscite]],Data!$I528=SottocategorieUscite[[#Headers],[Banca]]),"$ -","")</f>
        <v/>
      </c>
      <c r="M528" s="59" t="str">
        <f>IF(OR($I528&lt;&gt;SottocategorieUscite[[#Headers],[Fuori Casa]],$I528&lt;&gt;SottocategorieUscite[[#Headers],[Varie Uscite]],$I528&lt;&gt;SottocategorieUscite[[#Headers],[Personali]],$I528&lt;&gt;SottocategorieUscite[[#Headers],[Lavoro]],$I528&lt;&gt;SottocategorieUscite[[#Headers],[Casa]],$I528&lt;&gt;SottocategorieUscite[[#Headers],[Utenze]],$I528&lt;&gt;SottocategorieUscite[[#Headers],[Business Uscite]],$I528&lt;&gt;SottocategorieUscite[[#Headers],[Banca]]),"","$ -")</f>
        <v/>
      </c>
      <c r="N528" s="59" t="str">
        <f>IF(OR(Data!$I528=SottocategorieEntrate[[#Headers],[Business Entrate]],Data!$I528=SottocategorieEntrate[[#Headers],[Varie Entrate]]),"$ -","")</f>
        <v/>
      </c>
      <c r="O528" s="59" t="str">
        <f>IF(OR(Data!$I528=SottocategorieEntrate[[#Headers],[Real Estate]],SottocategorieEntrate[[#Headers],[Other]]),"$ -","")</f>
        <v/>
      </c>
      <c r="P528" s="59" t="str">
        <f>IF(OR($I528&lt;&gt;SottocategorieEntrate[[#Headers],[Business Entrate]],$I528&lt;&gt;SottocategorieEntrate[[#Headers],[Varie Entrate]],$I528&lt;&gt;SottocategorieEntrate[[#Headers],[Real Estate]],$I528&lt;&gt;SottocategorieEntrate[[#Headers],[Other]]),"","$ -")</f>
        <v/>
      </c>
      <c r="Q528" s="59" t="str">
        <f>IF(Dati[[#This Row],[Categoria]]="Prelievo","€ -","")</f>
        <v/>
      </c>
      <c r="R528" s="244"/>
      <c r="S528" s="59" t="str">
        <f>IF(Dati[[#This Row],[Categoria]]="Savings",0,"")</f>
        <v/>
      </c>
      <c r="T528" s="59"/>
      <c r="U528" s="59"/>
      <c r="V528" s="59"/>
      <c r="W528" s="59"/>
      <c r="X528" s="59"/>
      <c r="Y528" s="59"/>
      <c r="Z528" s="59"/>
      <c r="AA528" s="59"/>
      <c r="AB528" s="59"/>
      <c r="AC528" s="59"/>
      <c r="AD528" s="59"/>
      <c r="AE528" s="59"/>
      <c r="AF528" s="59"/>
      <c r="AG528" s="59"/>
      <c r="AH528" s="59"/>
      <c r="AI528" s="59" t="str">
        <f>IF(SUM(Dati[[#This Row],[Inv. Business]:[Inv. Cryptocurrency]])=0," ",SUM(Dati[[#This Row],[Inv. Business]:[Inv. Cryptocurrency]]))</f>
        <v xml:space="preserve"> </v>
      </c>
      <c r="AJ528" s="59"/>
      <c r="AK528" s="59" t="str">
        <f>IF(SUM(Dati[[#This Row],[Inv. Gold]:[Mutuo]])=0," ",SUM(Dati[[#This Row],[Inv. Gold]:[Mutuo]]))</f>
        <v xml:space="preserve"> </v>
      </c>
      <c r="AL528" s="59"/>
      <c r="AM528" s="59"/>
    </row>
    <row r="529" spans="2:39" x14ac:dyDescent="0.35">
      <c r="B529">
        <f t="shared" si="21"/>
        <v>509</v>
      </c>
      <c r="C529" s="49">
        <f>C525+1</f>
        <v>45328</v>
      </c>
      <c r="D529" s="29">
        <f>DAY(Dati[[#This Row],[Data]])</f>
        <v>6</v>
      </c>
      <c r="E529" s="29" t="str">
        <f>IF(DAY(Data!$C$21:$C$1327)&gt;0,TEXT(Data!$C$21:$C$1327, "mmmm"),"")</f>
        <v>febbraio</v>
      </c>
      <c r="F529" s="29" t="str">
        <f>IF(DAY(Data!$C$21:$C$1327)&gt;0,TEXT(Data!$C$21:$C$1327, "aaaa"),"")</f>
        <v>2024</v>
      </c>
      <c r="I529" t="str">
        <f>IF(OR(H529=$B$5,H529=$B$6,H529=$B$7,H529=$B$8,H529=$B$9,H529=$B$10,H529=$B$11,H529=$B$12,H529=$B$13,H529=$B$14),SottocategorieUscite[[#Headers],[Fuori Casa]],IF(OR(H529=$C$5,H529=$C$6,H529=$C$7,H529=$C$8,H529=$C$9,H529=$C$10,H529=$C$11,H529=$C$12,H529=$C$13,H529=$C$14),SottocategorieUscite[[#Headers],[Varie Uscite]],IF(OR(H529=$D$5,H529=$D$6,H529=$D$7,H529=$D$8,H529=$D$9,H529=$D$10,H529=$D$11,H529=$D$12,H529=$D$13,H529=$D$14),SottocategorieUscite[[#Headers],[Personali]],IF(OR(H529=$E$5,H529=$E$6,H529=$E$7,H529=$E$8,H529=$E$9,H529=$E$10,H529=$E$11,H529=$E$12,H529=$E$13,H529=$E$14),SottocategorieUscite[[#Headers],[Lavoro]],IF(OR(H529=$F$5,H529=$F$6,H529=$F$7,H529=$F$8,H529=$F$9,H529=$F$10,H529=$F$11,H529=$F$12,H529=$F$13,H529=$F$14),SottocategorieUscite[[#Headers],[Casa]],IF(OR(H529=$G$5,H529=$G$6,H529=$G$7,H529=$G$8,H529=$G$9,H529=$G$10,H529=$G$11,H529=$G$12,H529=$G$13,H529=$G$14),SottocategorieUscite[[#Headers],[Utenze]],IF(OR(H529=$H$5,H529=$H$6,H529=$H$7,H529=$H$8,H529=$H$9,H529=$H$10,H529=$H$11,H529=$H$12,H529=$H$13,H529=$H$14),SottocategorieUscite[[#Headers],[Business Uscite]],IF(OR(H529=$I$5,H529=$I$6,H529=$I$7,H529=$I$8,H529=$I$9,H529=$I$10,H529=$I$11,H529=$I$12,H529=$I$13,H529=$I$14),SottocategorieUscite[[#Headers],[Banca]],IF(OR(H529=K$5,H529=K$6,H529=K$7,H529=K$8,H529=K$9,H529=K$10,H529=K$11,H529=K$12,H529=K$13,H529=K$14),SottocategorieEntrate[[#Headers],[Business Entrate]],IF(OR(H529=L$5,H529=L$6,H529=L$7,H529=L$8,H529=L$9,H529=L$10,H529=L$11,H529=L$12,H529=L$13,H529=L$14),SottocategorieEntrate[[#Headers],[Varie Entrate]],IF(OR(H529=M$5,H529=M$6,H529=M$7,H529=M$8,H529=M$9,H529=M$10,H529=M$11,H529=M$12,H529=M$13,H529=M$14),SottocategorieEntrate[[#Headers],[Real Estate]],IF(OR(H529=N$5,H529=N$6,H529=N$7,H529=N$8,H529=N$9,H529=N$10,H529=N$11,H529=N$12,H529=N$13,H529=N$14),SottocategorieEntrate[[#Headers],[Other]],""))))))))))))</f>
        <v/>
      </c>
      <c r="J529" t="str">
        <f>IF(OR(Dati[[#This Row],[Categoria]]="Bollette",Dati[[#This Row],[Categoria]]="Conto &amp; Carte BNL",Dati[[#This Row],[Categoria]]="Prelievo",Dati[[#This Row],[Categoria]]="Affitto",Dati[[#This Row],[Categoria]]="BNL(Interessi Creditori)"),"Carta",IF(Dati[[#This Row],[Categoria]]&lt;&gt;0,"Cash",""))</f>
        <v/>
      </c>
      <c r="K529" s="59" t="str">
        <f>IF(OR(Data!$I529=SottocategorieUscite[[#Headers],[Fuori Casa]],Data!$I529=SottocategorieUscite[[#Headers],[Varie Uscite]],Data!$I529=SottocategorieUscite[[#Headers],[Personali]],Data!$I529=SottocategorieUscite[[#Headers],[Lavoro]]),"$ -","")</f>
        <v/>
      </c>
      <c r="L529" s="59" t="str">
        <f>IF(OR(Data!$I529=SottocategorieUscite[[#Headers],[Casa]],Data!$I529=SottocategorieUscite[[#Headers],[Utenze]],Data!$I529=SottocategorieUscite[[#Headers],[Business Uscite]],Data!$I529=SottocategorieUscite[[#Headers],[Banca]]),"$ -","")</f>
        <v/>
      </c>
      <c r="M529" s="59" t="str">
        <f>IF(OR($I529&lt;&gt;SottocategorieUscite[[#Headers],[Fuori Casa]],$I529&lt;&gt;SottocategorieUscite[[#Headers],[Varie Uscite]],$I529&lt;&gt;SottocategorieUscite[[#Headers],[Personali]],$I529&lt;&gt;SottocategorieUscite[[#Headers],[Lavoro]],$I529&lt;&gt;SottocategorieUscite[[#Headers],[Casa]],$I529&lt;&gt;SottocategorieUscite[[#Headers],[Utenze]],$I529&lt;&gt;SottocategorieUscite[[#Headers],[Business Uscite]],$I529&lt;&gt;SottocategorieUscite[[#Headers],[Banca]]),"","$ -")</f>
        <v/>
      </c>
      <c r="N529" s="59" t="str">
        <f>IF(OR(Data!$I529=SottocategorieEntrate[[#Headers],[Business Entrate]],Data!$I529=SottocategorieEntrate[[#Headers],[Varie Entrate]]),"$ -","")</f>
        <v/>
      </c>
      <c r="O529" s="59" t="str">
        <f>IF(OR(Data!$I529=SottocategorieEntrate[[#Headers],[Real Estate]],SottocategorieEntrate[[#Headers],[Other]]),"$ -","")</f>
        <v/>
      </c>
      <c r="P529" s="59" t="str">
        <f>IF(OR($I529&lt;&gt;SottocategorieEntrate[[#Headers],[Business Entrate]],$I529&lt;&gt;SottocategorieEntrate[[#Headers],[Varie Entrate]],$I529&lt;&gt;SottocategorieEntrate[[#Headers],[Real Estate]],$I529&lt;&gt;SottocategorieEntrate[[#Headers],[Other]]),"","$ -")</f>
        <v/>
      </c>
      <c r="Q529" s="59" t="str">
        <f>IF(Dati[[#This Row],[Categoria]]="Prelievo","€ -","")</f>
        <v/>
      </c>
      <c r="R529" s="244"/>
      <c r="S529" s="59" t="str">
        <f>IF(Dati[[#This Row],[Categoria]]="Savings",0,"")</f>
        <v/>
      </c>
      <c r="T529" s="59"/>
      <c r="U529" s="59"/>
      <c r="V529" s="59"/>
      <c r="W529" s="59"/>
      <c r="X529" s="59"/>
      <c r="Y529" s="59"/>
      <c r="Z529" s="59"/>
      <c r="AA529" s="59"/>
      <c r="AB529" s="59"/>
      <c r="AC529" s="59"/>
      <c r="AD529" s="59"/>
      <c r="AE529" s="59"/>
      <c r="AF529" s="59"/>
      <c r="AG529" s="59"/>
      <c r="AH529" s="59"/>
      <c r="AI529" s="59" t="str">
        <f>IF(SUM(Dati[[#This Row],[Inv. Business]:[Inv. Cryptocurrency]])=0," ",SUM(Dati[[#This Row],[Inv. Business]:[Inv. Cryptocurrency]]))</f>
        <v xml:space="preserve"> </v>
      </c>
      <c r="AJ529" s="59"/>
      <c r="AK529" s="59" t="str">
        <f>IF(SUM(Dati[[#This Row],[Inv. Gold]:[Mutuo]])=0," ",SUM(Dati[[#This Row],[Inv. Gold]:[Mutuo]]))</f>
        <v xml:space="preserve"> </v>
      </c>
      <c r="AL529" s="59"/>
      <c r="AM529" s="59"/>
    </row>
    <row r="530" spans="2:39" x14ac:dyDescent="0.35">
      <c r="B530">
        <f t="shared" si="21"/>
        <v>510</v>
      </c>
      <c r="C530" s="49">
        <f t="shared" si="22"/>
        <v>45329</v>
      </c>
      <c r="D530" s="29">
        <f>DAY(Dati[[#This Row],[Data]])</f>
        <v>7</v>
      </c>
      <c r="E530" s="29" t="str">
        <f>IF(DAY(Data!$C$21:$C$1327)&gt;0,TEXT(Data!$C$21:$C$1327, "mmmm"),"")</f>
        <v>febbraio</v>
      </c>
      <c r="F530" s="29" t="str">
        <f>IF(DAY(Data!$C$21:$C$1327)&gt;0,TEXT(Data!$C$21:$C$1327, "aaaa"),"")</f>
        <v>2024</v>
      </c>
      <c r="I530" t="str">
        <f>IF(OR(H530=$B$5,H530=$B$6,H530=$B$7,H530=$B$8,H530=$B$9,H530=$B$10,H530=$B$11,H530=$B$12,H530=$B$13,H530=$B$14),SottocategorieUscite[[#Headers],[Fuori Casa]],IF(OR(H530=$C$5,H530=$C$6,H530=$C$7,H530=$C$8,H530=$C$9,H530=$C$10,H530=$C$11,H530=$C$12,H530=$C$13,H530=$C$14),SottocategorieUscite[[#Headers],[Varie Uscite]],IF(OR(H530=$D$5,H530=$D$6,H530=$D$7,H530=$D$8,H530=$D$9,H530=$D$10,H530=$D$11,H530=$D$12,H530=$D$13,H530=$D$14),SottocategorieUscite[[#Headers],[Personali]],IF(OR(H530=$E$5,H530=$E$6,H530=$E$7,H530=$E$8,H530=$E$9,H530=$E$10,H530=$E$11,H530=$E$12,H530=$E$13,H530=$E$14),SottocategorieUscite[[#Headers],[Lavoro]],IF(OR(H530=$F$5,H530=$F$6,H530=$F$7,H530=$F$8,H530=$F$9,H530=$F$10,H530=$F$11,H530=$F$12,H530=$F$13,H530=$F$14),SottocategorieUscite[[#Headers],[Casa]],IF(OR(H530=$G$5,H530=$G$6,H530=$G$7,H530=$G$8,H530=$G$9,H530=$G$10,H530=$G$11,H530=$G$12,H530=$G$13,H530=$G$14),SottocategorieUscite[[#Headers],[Utenze]],IF(OR(H530=$H$5,H530=$H$6,H530=$H$7,H530=$H$8,H530=$H$9,H530=$H$10,H530=$H$11,H530=$H$12,H530=$H$13,H530=$H$14),SottocategorieUscite[[#Headers],[Business Uscite]],IF(OR(H530=$I$5,H530=$I$6,H530=$I$7,H530=$I$8,H530=$I$9,H530=$I$10,H530=$I$11,H530=$I$12,H530=$I$13,H530=$I$14),SottocategorieUscite[[#Headers],[Banca]],IF(OR(H530=K$5,H530=K$6,H530=K$7,H530=K$8,H530=K$9,H530=K$10,H530=K$11,H530=K$12,H530=K$13,H530=K$14),SottocategorieEntrate[[#Headers],[Business Entrate]],IF(OR(H530=L$5,H530=L$6,H530=L$7,H530=L$8,H530=L$9,H530=L$10,H530=L$11,H530=L$12,H530=L$13,H530=L$14),SottocategorieEntrate[[#Headers],[Varie Entrate]],IF(OR(H530=M$5,H530=M$6,H530=M$7,H530=M$8,H530=M$9,H530=M$10,H530=M$11,H530=M$12,H530=M$13,H530=M$14),SottocategorieEntrate[[#Headers],[Real Estate]],IF(OR(H530=N$5,H530=N$6,H530=N$7,H530=N$8,H530=N$9,H530=N$10,H530=N$11,H530=N$12,H530=N$13,H530=N$14),SottocategorieEntrate[[#Headers],[Other]],""))))))))))))</f>
        <v/>
      </c>
      <c r="J530" t="str">
        <f>IF(OR(Dati[[#This Row],[Categoria]]="Bollette",Dati[[#This Row],[Categoria]]="Conto &amp; Carte BNL",Dati[[#This Row],[Categoria]]="Prelievo",Dati[[#This Row],[Categoria]]="Affitto",Dati[[#This Row],[Categoria]]="BNL(Interessi Creditori)"),"Carta",IF(Dati[[#This Row],[Categoria]]&lt;&gt;0,"Cash",""))</f>
        <v/>
      </c>
      <c r="K530" s="59" t="str">
        <f>IF(OR(Data!$I530=SottocategorieUscite[[#Headers],[Fuori Casa]],Data!$I530=SottocategorieUscite[[#Headers],[Varie Uscite]],Data!$I530=SottocategorieUscite[[#Headers],[Personali]],Data!$I530=SottocategorieUscite[[#Headers],[Lavoro]]),"$ -","")</f>
        <v/>
      </c>
      <c r="L530" s="59" t="str">
        <f>IF(OR(Data!$I530=SottocategorieUscite[[#Headers],[Casa]],Data!$I530=SottocategorieUscite[[#Headers],[Utenze]],Data!$I530=SottocategorieUscite[[#Headers],[Business Uscite]],Data!$I530=SottocategorieUscite[[#Headers],[Banca]]),"$ -","")</f>
        <v/>
      </c>
      <c r="M530" s="59" t="str">
        <f>IF(OR($I530&lt;&gt;SottocategorieUscite[[#Headers],[Fuori Casa]],$I530&lt;&gt;SottocategorieUscite[[#Headers],[Varie Uscite]],$I530&lt;&gt;SottocategorieUscite[[#Headers],[Personali]],$I530&lt;&gt;SottocategorieUscite[[#Headers],[Lavoro]],$I530&lt;&gt;SottocategorieUscite[[#Headers],[Casa]],$I530&lt;&gt;SottocategorieUscite[[#Headers],[Utenze]],$I530&lt;&gt;SottocategorieUscite[[#Headers],[Business Uscite]],$I530&lt;&gt;SottocategorieUscite[[#Headers],[Banca]]),"","$ -")</f>
        <v/>
      </c>
      <c r="N530" s="59" t="str">
        <f>IF(OR(Data!$I530=SottocategorieEntrate[[#Headers],[Business Entrate]],Data!$I530=SottocategorieEntrate[[#Headers],[Varie Entrate]]),"$ -","")</f>
        <v/>
      </c>
      <c r="O530" s="59" t="str">
        <f>IF(OR(Data!$I530=SottocategorieEntrate[[#Headers],[Real Estate]],SottocategorieEntrate[[#Headers],[Other]]),"$ -","")</f>
        <v/>
      </c>
      <c r="P530" s="59" t="str">
        <f>IF(OR($I530&lt;&gt;SottocategorieEntrate[[#Headers],[Business Entrate]],$I530&lt;&gt;SottocategorieEntrate[[#Headers],[Varie Entrate]],$I530&lt;&gt;SottocategorieEntrate[[#Headers],[Real Estate]],$I530&lt;&gt;SottocategorieEntrate[[#Headers],[Other]]),"","$ -")</f>
        <v/>
      </c>
      <c r="Q530" s="59" t="str">
        <f>IF(Dati[[#This Row],[Categoria]]="Prelievo","€ -","")</f>
        <v/>
      </c>
      <c r="R530" s="244"/>
      <c r="S530" s="59" t="str">
        <f>IF(Dati[[#This Row],[Categoria]]="Savings",0,"")</f>
        <v/>
      </c>
      <c r="T530" s="59"/>
      <c r="U530" s="59"/>
      <c r="V530" s="59"/>
      <c r="W530" s="59"/>
      <c r="X530" s="59"/>
      <c r="Y530" s="59"/>
      <c r="Z530" s="59"/>
      <c r="AA530" s="59"/>
      <c r="AB530" s="59"/>
      <c r="AC530" s="59"/>
      <c r="AD530" s="59"/>
      <c r="AE530" s="59"/>
      <c r="AF530" s="59"/>
      <c r="AG530" s="59"/>
      <c r="AH530" s="59"/>
      <c r="AI530" s="59" t="str">
        <f>IF(SUM(Dati[[#This Row],[Inv. Business]:[Inv. Cryptocurrency]])=0," ",SUM(Dati[[#This Row],[Inv. Business]:[Inv. Cryptocurrency]]))</f>
        <v xml:space="preserve"> </v>
      </c>
      <c r="AJ530" s="59"/>
      <c r="AK530" s="59" t="str">
        <f>IF(SUM(Dati[[#This Row],[Inv. Gold]:[Mutuo]])=0," ",SUM(Dati[[#This Row],[Inv. Gold]:[Mutuo]]))</f>
        <v xml:space="preserve"> </v>
      </c>
      <c r="AL530" s="59"/>
      <c r="AM530" s="59"/>
    </row>
    <row r="531" spans="2:39" x14ac:dyDescent="0.35">
      <c r="B531">
        <f t="shared" si="21"/>
        <v>511</v>
      </c>
      <c r="C531" s="49">
        <f t="shared" si="22"/>
        <v>45330</v>
      </c>
      <c r="D531" s="29">
        <f>DAY(Dati[[#This Row],[Data]])</f>
        <v>8</v>
      </c>
      <c r="E531" s="29" t="str">
        <f>IF(DAY(Data!$C$21:$C$1327)&gt;0,TEXT(Data!$C$21:$C$1327, "mmmm"),"")</f>
        <v>febbraio</v>
      </c>
      <c r="F531" s="29" t="str">
        <f>IF(DAY(Data!$C$21:$C$1327)&gt;0,TEXT(Data!$C$21:$C$1327, "aaaa"),"")</f>
        <v>2024</v>
      </c>
      <c r="I531" t="str">
        <f>IF(OR(H531=$B$5,H531=$B$6,H531=$B$7,H531=$B$8,H531=$B$9,H531=$B$10,H531=$B$11,H531=$B$12,H531=$B$13,H531=$B$14),SottocategorieUscite[[#Headers],[Fuori Casa]],IF(OR(H531=$C$5,H531=$C$6,H531=$C$7,H531=$C$8,H531=$C$9,H531=$C$10,H531=$C$11,H531=$C$12,H531=$C$13,H531=$C$14),SottocategorieUscite[[#Headers],[Varie Uscite]],IF(OR(H531=$D$5,H531=$D$6,H531=$D$7,H531=$D$8,H531=$D$9,H531=$D$10,H531=$D$11,H531=$D$12,H531=$D$13,H531=$D$14),SottocategorieUscite[[#Headers],[Personali]],IF(OR(H531=$E$5,H531=$E$6,H531=$E$7,H531=$E$8,H531=$E$9,H531=$E$10,H531=$E$11,H531=$E$12,H531=$E$13,H531=$E$14),SottocategorieUscite[[#Headers],[Lavoro]],IF(OR(H531=$F$5,H531=$F$6,H531=$F$7,H531=$F$8,H531=$F$9,H531=$F$10,H531=$F$11,H531=$F$12,H531=$F$13,H531=$F$14),SottocategorieUscite[[#Headers],[Casa]],IF(OR(H531=$G$5,H531=$G$6,H531=$G$7,H531=$G$8,H531=$G$9,H531=$G$10,H531=$G$11,H531=$G$12,H531=$G$13,H531=$G$14),SottocategorieUscite[[#Headers],[Utenze]],IF(OR(H531=$H$5,H531=$H$6,H531=$H$7,H531=$H$8,H531=$H$9,H531=$H$10,H531=$H$11,H531=$H$12,H531=$H$13,H531=$H$14),SottocategorieUscite[[#Headers],[Business Uscite]],IF(OR(H531=$I$5,H531=$I$6,H531=$I$7,H531=$I$8,H531=$I$9,H531=$I$10,H531=$I$11,H531=$I$12,H531=$I$13,H531=$I$14),SottocategorieUscite[[#Headers],[Banca]],IF(OR(H531=K$5,H531=K$6,H531=K$7,H531=K$8,H531=K$9,H531=K$10,H531=K$11,H531=K$12,H531=K$13,H531=K$14),SottocategorieEntrate[[#Headers],[Business Entrate]],IF(OR(H531=L$5,H531=L$6,H531=L$7,H531=L$8,H531=L$9,H531=L$10,H531=L$11,H531=L$12,H531=L$13,H531=L$14),SottocategorieEntrate[[#Headers],[Varie Entrate]],IF(OR(H531=M$5,H531=M$6,H531=M$7,H531=M$8,H531=M$9,H531=M$10,H531=M$11,H531=M$12,H531=M$13,H531=M$14),SottocategorieEntrate[[#Headers],[Real Estate]],IF(OR(H531=N$5,H531=N$6,H531=N$7,H531=N$8,H531=N$9,H531=N$10,H531=N$11,H531=N$12,H531=N$13,H531=N$14),SottocategorieEntrate[[#Headers],[Other]],""))))))))))))</f>
        <v/>
      </c>
      <c r="J531" t="str">
        <f>IF(OR(Dati[[#This Row],[Categoria]]="Bollette",Dati[[#This Row],[Categoria]]="Conto &amp; Carte BNL",Dati[[#This Row],[Categoria]]="Prelievo",Dati[[#This Row],[Categoria]]="Affitto",Dati[[#This Row],[Categoria]]="BNL(Interessi Creditori)"),"Carta",IF(Dati[[#This Row],[Categoria]]&lt;&gt;0,"Cash",""))</f>
        <v/>
      </c>
      <c r="K531" s="59" t="str">
        <f>IF(OR(Data!$I531=SottocategorieUscite[[#Headers],[Fuori Casa]],Data!$I531=SottocategorieUscite[[#Headers],[Varie Uscite]],Data!$I531=SottocategorieUscite[[#Headers],[Personali]],Data!$I531=SottocategorieUscite[[#Headers],[Lavoro]]),"$ -","")</f>
        <v/>
      </c>
      <c r="L531" s="59" t="str">
        <f>IF(OR(Data!$I531=SottocategorieUscite[[#Headers],[Casa]],Data!$I531=SottocategorieUscite[[#Headers],[Utenze]],Data!$I531=SottocategorieUscite[[#Headers],[Business Uscite]],Data!$I531=SottocategorieUscite[[#Headers],[Banca]]),"$ -","")</f>
        <v/>
      </c>
      <c r="M531" s="59" t="str">
        <f>IF(OR($I531&lt;&gt;SottocategorieUscite[[#Headers],[Fuori Casa]],$I531&lt;&gt;SottocategorieUscite[[#Headers],[Varie Uscite]],$I531&lt;&gt;SottocategorieUscite[[#Headers],[Personali]],$I531&lt;&gt;SottocategorieUscite[[#Headers],[Lavoro]],$I531&lt;&gt;SottocategorieUscite[[#Headers],[Casa]],$I531&lt;&gt;SottocategorieUscite[[#Headers],[Utenze]],$I531&lt;&gt;SottocategorieUscite[[#Headers],[Business Uscite]],$I531&lt;&gt;SottocategorieUscite[[#Headers],[Banca]]),"","$ -")</f>
        <v/>
      </c>
      <c r="N531" s="59" t="str">
        <f>IF(OR(Data!$I531=SottocategorieEntrate[[#Headers],[Business Entrate]],Data!$I531=SottocategorieEntrate[[#Headers],[Varie Entrate]]),"$ -","")</f>
        <v/>
      </c>
      <c r="O531" s="59" t="str">
        <f>IF(OR(Data!$I531=SottocategorieEntrate[[#Headers],[Real Estate]],SottocategorieEntrate[[#Headers],[Other]]),"$ -","")</f>
        <v/>
      </c>
      <c r="P531" s="59" t="str">
        <f>IF(OR($I531&lt;&gt;SottocategorieEntrate[[#Headers],[Business Entrate]],$I531&lt;&gt;SottocategorieEntrate[[#Headers],[Varie Entrate]],$I531&lt;&gt;SottocategorieEntrate[[#Headers],[Real Estate]],$I531&lt;&gt;SottocategorieEntrate[[#Headers],[Other]]),"","$ -")</f>
        <v/>
      </c>
      <c r="Q531" s="59" t="str">
        <f>IF(Dati[[#This Row],[Categoria]]="Prelievo","€ -","")</f>
        <v/>
      </c>
      <c r="R531" s="244"/>
      <c r="S531" s="59" t="str">
        <f>IF(Dati[[#This Row],[Categoria]]="Savings",0,"")</f>
        <v/>
      </c>
      <c r="T531" s="59"/>
      <c r="U531" s="59"/>
      <c r="V531" s="59"/>
      <c r="W531" s="59"/>
      <c r="X531" s="59"/>
      <c r="Y531" s="59"/>
      <c r="Z531" s="59"/>
      <c r="AA531" s="59"/>
      <c r="AB531" s="59"/>
      <c r="AC531" s="59"/>
      <c r="AD531" s="59"/>
      <c r="AE531" s="59"/>
      <c r="AF531" s="59"/>
      <c r="AG531" s="59"/>
      <c r="AH531" s="59"/>
      <c r="AI531" s="59" t="str">
        <f>IF(SUM(Dati[[#This Row],[Inv. Business]:[Inv. Cryptocurrency]])=0," ",SUM(Dati[[#This Row],[Inv. Business]:[Inv. Cryptocurrency]]))</f>
        <v xml:space="preserve"> </v>
      </c>
      <c r="AJ531" s="59"/>
      <c r="AK531" s="59" t="str">
        <f>IF(SUM(Dati[[#This Row],[Inv. Gold]:[Mutuo]])=0," ",SUM(Dati[[#This Row],[Inv. Gold]:[Mutuo]]))</f>
        <v xml:space="preserve"> </v>
      </c>
      <c r="AL531" s="59"/>
      <c r="AM531" s="59"/>
    </row>
    <row r="532" spans="2:39" x14ac:dyDescent="0.35">
      <c r="B532">
        <f t="shared" si="21"/>
        <v>512</v>
      </c>
      <c r="C532" s="49">
        <f t="shared" si="22"/>
        <v>45331</v>
      </c>
      <c r="D532" s="29">
        <f>DAY(Dati[[#This Row],[Data]])</f>
        <v>9</v>
      </c>
      <c r="E532" s="29" t="str">
        <f>IF(DAY(Data!$C$21:$C$1327)&gt;0,TEXT(Data!$C$21:$C$1327, "mmmm"),"")</f>
        <v>febbraio</v>
      </c>
      <c r="F532" s="29" t="str">
        <f>IF(DAY(Data!$C$21:$C$1327)&gt;0,TEXT(Data!$C$21:$C$1327, "aaaa"),"")</f>
        <v>2024</v>
      </c>
      <c r="I532" t="str">
        <f>IF(OR(H532=$B$5,H532=$B$6,H532=$B$7,H532=$B$8,H532=$B$9,H532=$B$10,H532=$B$11,H532=$B$12,H532=$B$13,H532=$B$14),SottocategorieUscite[[#Headers],[Fuori Casa]],IF(OR(H532=$C$5,H532=$C$6,H532=$C$7,H532=$C$8,H532=$C$9,H532=$C$10,H532=$C$11,H532=$C$12,H532=$C$13,H532=$C$14),SottocategorieUscite[[#Headers],[Varie Uscite]],IF(OR(H532=$D$5,H532=$D$6,H532=$D$7,H532=$D$8,H532=$D$9,H532=$D$10,H532=$D$11,H532=$D$12,H532=$D$13,H532=$D$14),SottocategorieUscite[[#Headers],[Personali]],IF(OR(H532=$E$5,H532=$E$6,H532=$E$7,H532=$E$8,H532=$E$9,H532=$E$10,H532=$E$11,H532=$E$12,H532=$E$13,H532=$E$14),SottocategorieUscite[[#Headers],[Lavoro]],IF(OR(H532=$F$5,H532=$F$6,H532=$F$7,H532=$F$8,H532=$F$9,H532=$F$10,H532=$F$11,H532=$F$12,H532=$F$13,H532=$F$14),SottocategorieUscite[[#Headers],[Casa]],IF(OR(H532=$G$5,H532=$G$6,H532=$G$7,H532=$G$8,H532=$G$9,H532=$G$10,H532=$G$11,H532=$G$12,H532=$G$13,H532=$G$14),SottocategorieUscite[[#Headers],[Utenze]],IF(OR(H532=$H$5,H532=$H$6,H532=$H$7,H532=$H$8,H532=$H$9,H532=$H$10,H532=$H$11,H532=$H$12,H532=$H$13,H532=$H$14),SottocategorieUscite[[#Headers],[Business Uscite]],IF(OR(H532=$I$5,H532=$I$6,H532=$I$7,H532=$I$8,H532=$I$9,H532=$I$10,H532=$I$11,H532=$I$12,H532=$I$13,H532=$I$14),SottocategorieUscite[[#Headers],[Banca]],IF(OR(H532=K$5,H532=K$6,H532=K$7,H532=K$8,H532=K$9,H532=K$10,H532=K$11,H532=K$12,H532=K$13,H532=K$14),SottocategorieEntrate[[#Headers],[Business Entrate]],IF(OR(H532=L$5,H532=L$6,H532=L$7,H532=L$8,H532=L$9,H532=L$10,H532=L$11,H532=L$12,H532=L$13,H532=L$14),SottocategorieEntrate[[#Headers],[Varie Entrate]],IF(OR(H532=M$5,H532=M$6,H532=M$7,H532=M$8,H532=M$9,H532=M$10,H532=M$11,H532=M$12,H532=M$13,H532=M$14),SottocategorieEntrate[[#Headers],[Real Estate]],IF(OR(H532=N$5,H532=N$6,H532=N$7,H532=N$8,H532=N$9,H532=N$10,H532=N$11,H532=N$12,H532=N$13,H532=N$14),SottocategorieEntrate[[#Headers],[Other]],""))))))))))))</f>
        <v/>
      </c>
      <c r="J532" t="str">
        <f>IF(OR(Dati[[#This Row],[Categoria]]="Bollette",Dati[[#This Row],[Categoria]]="Conto &amp; Carte BNL",Dati[[#This Row],[Categoria]]="Prelievo",Dati[[#This Row],[Categoria]]="Affitto",Dati[[#This Row],[Categoria]]="BNL(Interessi Creditori)"),"Carta",IF(Dati[[#This Row],[Categoria]]&lt;&gt;0,"Cash",""))</f>
        <v/>
      </c>
      <c r="K532" s="59" t="str">
        <f>IF(OR(Data!$I532=SottocategorieUscite[[#Headers],[Fuori Casa]],Data!$I532=SottocategorieUscite[[#Headers],[Varie Uscite]],Data!$I532=SottocategorieUscite[[#Headers],[Personali]],Data!$I532=SottocategorieUscite[[#Headers],[Lavoro]]),"$ -","")</f>
        <v/>
      </c>
      <c r="L532" s="59" t="str">
        <f>IF(OR(Data!$I532=SottocategorieUscite[[#Headers],[Casa]],Data!$I532=SottocategorieUscite[[#Headers],[Utenze]],Data!$I532=SottocategorieUscite[[#Headers],[Business Uscite]],Data!$I532=SottocategorieUscite[[#Headers],[Banca]]),"$ -","")</f>
        <v/>
      </c>
      <c r="M532" s="59" t="str">
        <f>IF(OR($I532&lt;&gt;SottocategorieUscite[[#Headers],[Fuori Casa]],$I532&lt;&gt;SottocategorieUscite[[#Headers],[Varie Uscite]],$I532&lt;&gt;SottocategorieUscite[[#Headers],[Personali]],$I532&lt;&gt;SottocategorieUscite[[#Headers],[Lavoro]],$I532&lt;&gt;SottocategorieUscite[[#Headers],[Casa]],$I532&lt;&gt;SottocategorieUscite[[#Headers],[Utenze]],$I532&lt;&gt;SottocategorieUscite[[#Headers],[Business Uscite]],$I532&lt;&gt;SottocategorieUscite[[#Headers],[Banca]]),"","$ -")</f>
        <v/>
      </c>
      <c r="N532" s="59" t="str">
        <f>IF(OR(Data!$I532=SottocategorieEntrate[[#Headers],[Business Entrate]],Data!$I532=SottocategorieEntrate[[#Headers],[Varie Entrate]]),"$ -","")</f>
        <v/>
      </c>
      <c r="O532" s="59" t="str">
        <f>IF(OR(Data!$I532=SottocategorieEntrate[[#Headers],[Real Estate]],SottocategorieEntrate[[#Headers],[Other]]),"$ -","")</f>
        <v/>
      </c>
      <c r="P532" s="59" t="str">
        <f>IF(OR($I532&lt;&gt;SottocategorieEntrate[[#Headers],[Business Entrate]],$I532&lt;&gt;SottocategorieEntrate[[#Headers],[Varie Entrate]],$I532&lt;&gt;SottocategorieEntrate[[#Headers],[Real Estate]],$I532&lt;&gt;SottocategorieEntrate[[#Headers],[Other]]),"","$ -")</f>
        <v/>
      </c>
      <c r="Q532" s="59" t="str">
        <f>IF(Dati[[#This Row],[Categoria]]="Prelievo","€ -","")</f>
        <v/>
      </c>
      <c r="R532" s="244"/>
      <c r="S532" s="59" t="str">
        <f>IF(Dati[[#This Row],[Categoria]]="Savings",0,"")</f>
        <v/>
      </c>
      <c r="T532" s="59"/>
      <c r="U532" s="59"/>
      <c r="V532" s="59"/>
      <c r="W532" s="59"/>
      <c r="X532" s="59"/>
      <c r="Y532" s="59"/>
      <c r="Z532" s="59"/>
      <c r="AA532" s="59"/>
      <c r="AB532" s="59"/>
      <c r="AC532" s="59"/>
      <c r="AD532" s="59"/>
      <c r="AE532" s="59"/>
      <c r="AF532" s="59"/>
      <c r="AG532" s="59"/>
      <c r="AH532" s="59"/>
      <c r="AI532" s="59" t="str">
        <f>IF(SUM(Dati[[#This Row],[Inv. Business]:[Inv. Cryptocurrency]])=0," ",SUM(Dati[[#This Row],[Inv. Business]:[Inv. Cryptocurrency]]))</f>
        <v xml:space="preserve"> </v>
      </c>
      <c r="AJ532" s="59"/>
      <c r="AK532" s="59" t="str">
        <f>IF(SUM(Dati[[#This Row],[Inv. Gold]:[Mutuo]])=0," ",SUM(Dati[[#This Row],[Inv. Gold]:[Mutuo]]))</f>
        <v xml:space="preserve"> </v>
      </c>
      <c r="AL532" s="59"/>
      <c r="AM532" s="59"/>
    </row>
    <row r="533" spans="2:39" x14ac:dyDescent="0.35">
      <c r="B533">
        <f t="shared" ref="B533:B596" si="23">ROW(513:513)</f>
        <v>513</v>
      </c>
      <c r="C533" s="49">
        <f>C531+1</f>
        <v>45331</v>
      </c>
      <c r="D533" s="29">
        <f>DAY(Dati[[#This Row],[Data]])</f>
        <v>9</v>
      </c>
      <c r="E533" s="29" t="str">
        <f>IF(DAY(Data!$C$21:$C$1327)&gt;0,TEXT(Data!$C$21:$C$1327, "mmmm"),"")</f>
        <v>febbraio</v>
      </c>
      <c r="F533" s="29" t="str">
        <f>IF(DAY(Data!$C$21:$C$1327)&gt;0,TEXT(Data!$C$21:$C$1327, "aaaa"),"")</f>
        <v>2024</v>
      </c>
      <c r="I533" t="str">
        <f>IF(OR(H533=$B$5,H533=$B$6,H533=$B$7,H533=$B$8,H533=$B$9,H533=$B$10,H533=$B$11,H533=$B$12,H533=$B$13,H533=$B$14),SottocategorieUscite[[#Headers],[Fuori Casa]],IF(OR(H533=$C$5,H533=$C$6,H533=$C$7,H533=$C$8,H533=$C$9,H533=$C$10,H533=$C$11,H533=$C$12,H533=$C$13,H533=$C$14),SottocategorieUscite[[#Headers],[Varie Uscite]],IF(OR(H533=$D$5,H533=$D$6,H533=$D$7,H533=$D$8,H533=$D$9,H533=$D$10,H533=$D$11,H533=$D$12,H533=$D$13,H533=$D$14),SottocategorieUscite[[#Headers],[Personali]],IF(OR(H533=$E$5,H533=$E$6,H533=$E$7,H533=$E$8,H533=$E$9,H533=$E$10,H533=$E$11,H533=$E$12,H533=$E$13,H533=$E$14),SottocategorieUscite[[#Headers],[Lavoro]],IF(OR(H533=$F$5,H533=$F$6,H533=$F$7,H533=$F$8,H533=$F$9,H533=$F$10,H533=$F$11,H533=$F$12,H533=$F$13,H533=$F$14),SottocategorieUscite[[#Headers],[Casa]],IF(OR(H533=$G$5,H533=$G$6,H533=$G$7,H533=$G$8,H533=$G$9,H533=$G$10,H533=$G$11,H533=$G$12,H533=$G$13,H533=$G$14),SottocategorieUscite[[#Headers],[Utenze]],IF(OR(H533=$H$5,H533=$H$6,H533=$H$7,H533=$H$8,H533=$H$9,H533=$H$10,H533=$H$11,H533=$H$12,H533=$H$13,H533=$H$14),SottocategorieUscite[[#Headers],[Business Uscite]],IF(OR(H533=$I$5,H533=$I$6,H533=$I$7,H533=$I$8,H533=$I$9,H533=$I$10,H533=$I$11,H533=$I$12,H533=$I$13,H533=$I$14),SottocategorieUscite[[#Headers],[Banca]],IF(OR(H533=K$5,H533=K$6,H533=K$7,H533=K$8,H533=K$9,H533=K$10,H533=K$11,H533=K$12,H533=K$13,H533=K$14),SottocategorieEntrate[[#Headers],[Business Entrate]],IF(OR(H533=L$5,H533=L$6,H533=L$7,H533=L$8,H533=L$9,H533=L$10,H533=L$11,H533=L$12,H533=L$13,H533=L$14),SottocategorieEntrate[[#Headers],[Varie Entrate]],IF(OR(H533=M$5,H533=M$6,H533=M$7,H533=M$8,H533=M$9,H533=M$10,H533=M$11,H533=M$12,H533=M$13,H533=M$14),SottocategorieEntrate[[#Headers],[Real Estate]],IF(OR(H533=N$5,H533=N$6,H533=N$7,H533=N$8,H533=N$9,H533=N$10,H533=N$11,H533=N$12,H533=N$13,H533=N$14),SottocategorieEntrate[[#Headers],[Other]],""))))))))))))</f>
        <v/>
      </c>
      <c r="J533" t="str">
        <f>IF(OR(Dati[[#This Row],[Categoria]]="Bollette",Dati[[#This Row],[Categoria]]="Conto &amp; Carte BNL",Dati[[#This Row],[Categoria]]="Prelievo",Dati[[#This Row],[Categoria]]="Affitto",Dati[[#This Row],[Categoria]]="BNL(Interessi Creditori)"),"Carta",IF(Dati[[#This Row],[Categoria]]&lt;&gt;0,"Cash",""))</f>
        <v/>
      </c>
      <c r="K533" s="59" t="str">
        <f>IF(OR(Data!$I533=SottocategorieUscite[[#Headers],[Fuori Casa]],Data!$I533=SottocategorieUscite[[#Headers],[Varie Uscite]],Data!$I533=SottocategorieUscite[[#Headers],[Personali]],Data!$I533=SottocategorieUscite[[#Headers],[Lavoro]]),"$ -","")</f>
        <v/>
      </c>
      <c r="L533" s="59" t="str">
        <f>IF(OR(Data!$I533=SottocategorieUscite[[#Headers],[Casa]],Data!$I533=SottocategorieUscite[[#Headers],[Utenze]],Data!$I533=SottocategorieUscite[[#Headers],[Business Uscite]],Data!$I533=SottocategorieUscite[[#Headers],[Banca]]),"$ -","")</f>
        <v/>
      </c>
      <c r="M533" s="59" t="str">
        <f>IF(OR($I533&lt;&gt;SottocategorieUscite[[#Headers],[Fuori Casa]],$I533&lt;&gt;SottocategorieUscite[[#Headers],[Varie Uscite]],$I533&lt;&gt;SottocategorieUscite[[#Headers],[Personali]],$I533&lt;&gt;SottocategorieUscite[[#Headers],[Lavoro]],$I533&lt;&gt;SottocategorieUscite[[#Headers],[Casa]],$I533&lt;&gt;SottocategorieUscite[[#Headers],[Utenze]],$I533&lt;&gt;SottocategorieUscite[[#Headers],[Business Uscite]],$I533&lt;&gt;SottocategorieUscite[[#Headers],[Banca]]),"","$ -")</f>
        <v/>
      </c>
      <c r="N533" s="59" t="str">
        <f>IF(OR(Data!$I533=SottocategorieEntrate[[#Headers],[Business Entrate]],Data!$I533=SottocategorieEntrate[[#Headers],[Varie Entrate]]),"$ -","")</f>
        <v/>
      </c>
      <c r="O533" s="59" t="str">
        <f>IF(OR(Data!$I533=SottocategorieEntrate[[#Headers],[Real Estate]],SottocategorieEntrate[[#Headers],[Other]]),"$ -","")</f>
        <v/>
      </c>
      <c r="P533" s="59" t="str">
        <f>IF(OR($I533&lt;&gt;SottocategorieEntrate[[#Headers],[Business Entrate]],$I533&lt;&gt;SottocategorieEntrate[[#Headers],[Varie Entrate]],$I533&lt;&gt;SottocategorieEntrate[[#Headers],[Real Estate]],$I533&lt;&gt;SottocategorieEntrate[[#Headers],[Other]]),"","$ -")</f>
        <v/>
      </c>
      <c r="Q533" s="59" t="str">
        <f>IF(Dati[[#This Row],[Categoria]]="Prelievo","€ -","")</f>
        <v/>
      </c>
      <c r="R533" s="244"/>
      <c r="S533" s="59" t="str">
        <f>IF(Dati[[#This Row],[Categoria]]="Savings",0,"")</f>
        <v/>
      </c>
      <c r="T533" s="59"/>
      <c r="U533" s="59"/>
      <c r="V533" s="59"/>
      <c r="W533" s="59"/>
      <c r="X533" s="59"/>
      <c r="Y533" s="59"/>
      <c r="Z533" s="59"/>
      <c r="AA533" s="59"/>
      <c r="AB533" s="59"/>
      <c r="AC533" s="59"/>
      <c r="AD533" s="59"/>
      <c r="AE533" s="59"/>
      <c r="AF533" s="59"/>
      <c r="AG533" s="59"/>
      <c r="AH533" s="59"/>
      <c r="AI533" s="59" t="str">
        <f>IF(SUM(Dati[[#This Row],[Inv. Business]:[Inv. Cryptocurrency]])=0," ",SUM(Dati[[#This Row],[Inv. Business]:[Inv. Cryptocurrency]]))</f>
        <v xml:space="preserve"> </v>
      </c>
      <c r="AJ533" s="59"/>
      <c r="AK533" s="59" t="str">
        <f>IF(SUM(Dati[[#This Row],[Inv. Gold]:[Mutuo]])=0," ",SUM(Dati[[#This Row],[Inv. Gold]:[Mutuo]]))</f>
        <v xml:space="preserve"> </v>
      </c>
      <c r="AL533" s="59"/>
      <c r="AM533" s="59"/>
    </row>
    <row r="534" spans="2:39" x14ac:dyDescent="0.35">
      <c r="B534">
        <f t="shared" si="23"/>
        <v>514</v>
      </c>
      <c r="C534" s="49">
        <f>C531+1</f>
        <v>45331</v>
      </c>
      <c r="D534" s="29">
        <f>DAY(Dati[[#This Row],[Data]])</f>
        <v>9</v>
      </c>
      <c r="E534" s="29" t="str">
        <f>IF(DAY(Data!$C$21:$C$1327)&gt;0,TEXT(Data!$C$21:$C$1327, "mmmm"),"")</f>
        <v>febbraio</v>
      </c>
      <c r="F534" s="29" t="str">
        <f>IF(DAY(Data!$C$21:$C$1327)&gt;0,TEXT(Data!$C$21:$C$1327, "aaaa"),"")</f>
        <v>2024</v>
      </c>
      <c r="I534" t="str">
        <f>IF(OR(H534=$B$5,H534=$B$6,H534=$B$7,H534=$B$8,H534=$B$9,H534=$B$10,H534=$B$11,H534=$B$12,H534=$B$13,H534=$B$14),SottocategorieUscite[[#Headers],[Fuori Casa]],IF(OR(H534=$C$5,H534=$C$6,H534=$C$7,H534=$C$8,H534=$C$9,H534=$C$10,H534=$C$11,H534=$C$12,H534=$C$13,H534=$C$14),SottocategorieUscite[[#Headers],[Varie Uscite]],IF(OR(H534=$D$5,H534=$D$6,H534=$D$7,H534=$D$8,H534=$D$9,H534=$D$10,H534=$D$11,H534=$D$12,H534=$D$13,H534=$D$14),SottocategorieUscite[[#Headers],[Personali]],IF(OR(H534=$E$5,H534=$E$6,H534=$E$7,H534=$E$8,H534=$E$9,H534=$E$10,H534=$E$11,H534=$E$12,H534=$E$13,H534=$E$14),SottocategorieUscite[[#Headers],[Lavoro]],IF(OR(H534=$F$5,H534=$F$6,H534=$F$7,H534=$F$8,H534=$F$9,H534=$F$10,H534=$F$11,H534=$F$12,H534=$F$13,H534=$F$14),SottocategorieUscite[[#Headers],[Casa]],IF(OR(H534=$G$5,H534=$G$6,H534=$G$7,H534=$G$8,H534=$G$9,H534=$G$10,H534=$G$11,H534=$G$12,H534=$G$13,H534=$G$14),SottocategorieUscite[[#Headers],[Utenze]],IF(OR(H534=$H$5,H534=$H$6,H534=$H$7,H534=$H$8,H534=$H$9,H534=$H$10,H534=$H$11,H534=$H$12,H534=$H$13,H534=$H$14),SottocategorieUscite[[#Headers],[Business Uscite]],IF(OR(H534=$I$5,H534=$I$6,H534=$I$7,H534=$I$8,H534=$I$9,H534=$I$10,H534=$I$11,H534=$I$12,H534=$I$13,H534=$I$14),SottocategorieUscite[[#Headers],[Banca]],IF(OR(H534=K$5,H534=K$6,H534=K$7,H534=K$8,H534=K$9,H534=K$10,H534=K$11,H534=K$12,H534=K$13,H534=K$14),SottocategorieEntrate[[#Headers],[Business Entrate]],IF(OR(H534=L$5,H534=L$6,H534=L$7,H534=L$8,H534=L$9,H534=L$10,H534=L$11,H534=L$12,H534=L$13,H534=L$14),SottocategorieEntrate[[#Headers],[Varie Entrate]],IF(OR(H534=M$5,H534=M$6,H534=M$7,H534=M$8,H534=M$9,H534=M$10,H534=M$11,H534=M$12,H534=M$13,H534=M$14),SottocategorieEntrate[[#Headers],[Real Estate]],IF(OR(H534=N$5,H534=N$6,H534=N$7,H534=N$8,H534=N$9,H534=N$10,H534=N$11,H534=N$12,H534=N$13,H534=N$14),SottocategorieEntrate[[#Headers],[Other]],""))))))))))))</f>
        <v/>
      </c>
      <c r="J534" t="str">
        <f>IF(OR(Dati[[#This Row],[Categoria]]="Bollette",Dati[[#This Row],[Categoria]]="Conto &amp; Carte BNL",Dati[[#This Row],[Categoria]]="Prelievo",Dati[[#This Row],[Categoria]]="Affitto",Dati[[#This Row],[Categoria]]="BNL(Interessi Creditori)"),"Carta",IF(Dati[[#This Row],[Categoria]]&lt;&gt;0,"Cash",""))</f>
        <v/>
      </c>
      <c r="K534" s="59" t="str">
        <f>IF(OR(Data!$I534=SottocategorieUscite[[#Headers],[Fuori Casa]],Data!$I534=SottocategorieUscite[[#Headers],[Varie Uscite]],Data!$I534=SottocategorieUscite[[#Headers],[Personali]],Data!$I534=SottocategorieUscite[[#Headers],[Lavoro]]),"$ -","")</f>
        <v/>
      </c>
      <c r="L534" s="59" t="str">
        <f>IF(OR(Data!$I534=SottocategorieUscite[[#Headers],[Casa]],Data!$I534=SottocategorieUscite[[#Headers],[Utenze]],Data!$I534=SottocategorieUscite[[#Headers],[Business Uscite]],Data!$I534=SottocategorieUscite[[#Headers],[Banca]]),"$ -","")</f>
        <v/>
      </c>
      <c r="M534" s="59" t="str">
        <f>IF(OR($I534&lt;&gt;SottocategorieUscite[[#Headers],[Fuori Casa]],$I534&lt;&gt;SottocategorieUscite[[#Headers],[Varie Uscite]],$I534&lt;&gt;SottocategorieUscite[[#Headers],[Personali]],$I534&lt;&gt;SottocategorieUscite[[#Headers],[Lavoro]],$I534&lt;&gt;SottocategorieUscite[[#Headers],[Casa]],$I534&lt;&gt;SottocategorieUscite[[#Headers],[Utenze]],$I534&lt;&gt;SottocategorieUscite[[#Headers],[Business Uscite]],$I534&lt;&gt;SottocategorieUscite[[#Headers],[Banca]]),"","$ -")</f>
        <v/>
      </c>
      <c r="N534" s="59" t="str">
        <f>IF(OR(Data!$I534=SottocategorieEntrate[[#Headers],[Business Entrate]],Data!$I534=SottocategorieEntrate[[#Headers],[Varie Entrate]]),"$ -","")</f>
        <v/>
      </c>
      <c r="O534" s="59" t="str">
        <f>IF(OR(Data!$I534=SottocategorieEntrate[[#Headers],[Real Estate]],SottocategorieEntrate[[#Headers],[Other]]),"$ -","")</f>
        <v/>
      </c>
      <c r="P534" s="59" t="str">
        <f>IF(OR($I534&lt;&gt;SottocategorieEntrate[[#Headers],[Business Entrate]],$I534&lt;&gt;SottocategorieEntrate[[#Headers],[Varie Entrate]],$I534&lt;&gt;SottocategorieEntrate[[#Headers],[Real Estate]],$I534&lt;&gt;SottocategorieEntrate[[#Headers],[Other]]),"","$ -")</f>
        <v/>
      </c>
      <c r="Q534" s="59" t="str">
        <f>IF(Dati[[#This Row],[Categoria]]="Prelievo","€ -","")</f>
        <v/>
      </c>
      <c r="R534" s="244"/>
      <c r="S534" s="59" t="str">
        <f>IF(Dati[[#This Row],[Categoria]]="Savings",0,"")</f>
        <v/>
      </c>
      <c r="T534" s="59"/>
      <c r="U534" s="59"/>
      <c r="V534" s="59"/>
      <c r="W534" s="59"/>
      <c r="X534" s="59"/>
      <c r="Y534" s="59"/>
      <c r="Z534" s="59"/>
      <c r="AA534" s="59"/>
      <c r="AB534" s="59"/>
      <c r="AC534" s="59"/>
      <c r="AD534" s="59"/>
      <c r="AE534" s="59"/>
      <c r="AF534" s="59"/>
      <c r="AG534" s="59"/>
      <c r="AH534" s="59"/>
      <c r="AI534" s="59" t="str">
        <f>IF(SUM(Dati[[#This Row],[Inv. Business]:[Inv. Cryptocurrency]])=0," ",SUM(Dati[[#This Row],[Inv. Business]:[Inv. Cryptocurrency]]))</f>
        <v xml:space="preserve"> </v>
      </c>
      <c r="AJ534" s="59"/>
      <c r="AK534" s="59" t="str">
        <f>IF(SUM(Dati[[#This Row],[Inv. Gold]:[Mutuo]])=0," ",SUM(Dati[[#This Row],[Inv. Gold]:[Mutuo]]))</f>
        <v xml:space="preserve"> </v>
      </c>
      <c r="AL534" s="59"/>
      <c r="AM534" s="59"/>
    </row>
    <row r="535" spans="2:39" x14ac:dyDescent="0.35">
      <c r="B535">
        <f t="shared" si="23"/>
        <v>515</v>
      </c>
      <c r="C535" s="49">
        <f>C532+1</f>
        <v>45332</v>
      </c>
      <c r="D535" s="29">
        <f>DAY(Dati[[#This Row],[Data]])</f>
        <v>10</v>
      </c>
      <c r="E535" s="29" t="str">
        <f>IF(DAY(Data!$C$21:$C$1327)&gt;0,TEXT(Data!$C$21:$C$1327, "mmmm"),"")</f>
        <v>febbraio</v>
      </c>
      <c r="F535" s="29" t="str">
        <f>IF(DAY(Data!$C$21:$C$1327)&gt;0,TEXT(Data!$C$21:$C$1327, "aaaa"),"")</f>
        <v>2024</v>
      </c>
      <c r="I535" t="str">
        <f>IF(OR(H535=$B$5,H535=$B$6,H535=$B$7,H535=$B$8,H535=$B$9,H535=$B$10,H535=$B$11,H535=$B$12,H535=$B$13,H535=$B$14),SottocategorieUscite[[#Headers],[Fuori Casa]],IF(OR(H535=$C$5,H535=$C$6,H535=$C$7,H535=$C$8,H535=$C$9,H535=$C$10,H535=$C$11,H535=$C$12,H535=$C$13,H535=$C$14),SottocategorieUscite[[#Headers],[Varie Uscite]],IF(OR(H535=$D$5,H535=$D$6,H535=$D$7,H535=$D$8,H535=$D$9,H535=$D$10,H535=$D$11,H535=$D$12,H535=$D$13,H535=$D$14),SottocategorieUscite[[#Headers],[Personali]],IF(OR(H535=$E$5,H535=$E$6,H535=$E$7,H535=$E$8,H535=$E$9,H535=$E$10,H535=$E$11,H535=$E$12,H535=$E$13,H535=$E$14),SottocategorieUscite[[#Headers],[Lavoro]],IF(OR(H535=$F$5,H535=$F$6,H535=$F$7,H535=$F$8,H535=$F$9,H535=$F$10,H535=$F$11,H535=$F$12,H535=$F$13,H535=$F$14),SottocategorieUscite[[#Headers],[Casa]],IF(OR(H535=$G$5,H535=$G$6,H535=$G$7,H535=$G$8,H535=$G$9,H535=$G$10,H535=$G$11,H535=$G$12,H535=$G$13,H535=$G$14),SottocategorieUscite[[#Headers],[Utenze]],IF(OR(H535=$H$5,H535=$H$6,H535=$H$7,H535=$H$8,H535=$H$9,H535=$H$10,H535=$H$11,H535=$H$12,H535=$H$13,H535=$H$14),SottocategorieUscite[[#Headers],[Business Uscite]],IF(OR(H535=$I$5,H535=$I$6,H535=$I$7,H535=$I$8,H535=$I$9,H535=$I$10,H535=$I$11,H535=$I$12,H535=$I$13,H535=$I$14),SottocategorieUscite[[#Headers],[Banca]],IF(OR(H535=K$5,H535=K$6,H535=K$7,H535=K$8,H535=K$9,H535=K$10,H535=K$11,H535=K$12,H535=K$13,H535=K$14),SottocategorieEntrate[[#Headers],[Business Entrate]],IF(OR(H535=L$5,H535=L$6,H535=L$7,H535=L$8,H535=L$9,H535=L$10,H535=L$11,H535=L$12,H535=L$13,H535=L$14),SottocategorieEntrate[[#Headers],[Varie Entrate]],IF(OR(H535=M$5,H535=M$6,H535=M$7,H535=M$8,H535=M$9,H535=M$10,H535=M$11,H535=M$12,H535=M$13,H535=M$14),SottocategorieEntrate[[#Headers],[Real Estate]],IF(OR(H535=N$5,H535=N$6,H535=N$7,H535=N$8,H535=N$9,H535=N$10,H535=N$11,H535=N$12,H535=N$13,H535=N$14),SottocategorieEntrate[[#Headers],[Other]],""))))))))))))</f>
        <v/>
      </c>
      <c r="J535" t="str">
        <f>IF(OR(Dati[[#This Row],[Categoria]]="Bollette",Dati[[#This Row],[Categoria]]="Conto &amp; Carte BNL",Dati[[#This Row],[Categoria]]="Prelievo",Dati[[#This Row],[Categoria]]="Affitto",Dati[[#This Row],[Categoria]]="BNL(Interessi Creditori)"),"Carta",IF(Dati[[#This Row],[Categoria]]&lt;&gt;0,"Cash",""))</f>
        <v/>
      </c>
      <c r="K535" s="59" t="str">
        <f>IF(OR(Data!$I535=SottocategorieUscite[[#Headers],[Fuori Casa]],Data!$I535=SottocategorieUscite[[#Headers],[Varie Uscite]],Data!$I535=SottocategorieUscite[[#Headers],[Personali]],Data!$I535=SottocategorieUscite[[#Headers],[Lavoro]]),"$ -","")</f>
        <v/>
      </c>
      <c r="L535" s="59" t="str">
        <f>IF(OR(Data!$I535=SottocategorieUscite[[#Headers],[Casa]],Data!$I535=SottocategorieUscite[[#Headers],[Utenze]],Data!$I535=SottocategorieUscite[[#Headers],[Business Uscite]],Data!$I535=SottocategorieUscite[[#Headers],[Banca]]),"$ -","")</f>
        <v/>
      </c>
      <c r="M535" s="59" t="str">
        <f>IF(OR($I535&lt;&gt;SottocategorieUscite[[#Headers],[Fuori Casa]],$I535&lt;&gt;SottocategorieUscite[[#Headers],[Varie Uscite]],$I535&lt;&gt;SottocategorieUscite[[#Headers],[Personali]],$I535&lt;&gt;SottocategorieUscite[[#Headers],[Lavoro]],$I535&lt;&gt;SottocategorieUscite[[#Headers],[Casa]],$I535&lt;&gt;SottocategorieUscite[[#Headers],[Utenze]],$I535&lt;&gt;SottocategorieUscite[[#Headers],[Business Uscite]],$I535&lt;&gt;SottocategorieUscite[[#Headers],[Banca]]),"","$ -")</f>
        <v/>
      </c>
      <c r="N535" s="59" t="str">
        <f>IF(OR(Data!$I535=SottocategorieEntrate[[#Headers],[Business Entrate]],Data!$I535=SottocategorieEntrate[[#Headers],[Varie Entrate]]),"$ -","")</f>
        <v/>
      </c>
      <c r="O535" s="59" t="str">
        <f>IF(OR(Data!$I535=SottocategorieEntrate[[#Headers],[Real Estate]],SottocategorieEntrate[[#Headers],[Other]]),"$ -","")</f>
        <v/>
      </c>
      <c r="P535" s="59" t="str">
        <f>IF(OR($I535&lt;&gt;SottocategorieEntrate[[#Headers],[Business Entrate]],$I535&lt;&gt;SottocategorieEntrate[[#Headers],[Varie Entrate]],$I535&lt;&gt;SottocategorieEntrate[[#Headers],[Real Estate]],$I535&lt;&gt;SottocategorieEntrate[[#Headers],[Other]]),"","$ -")</f>
        <v/>
      </c>
      <c r="Q535" s="59" t="str">
        <f>IF(Dati[[#This Row],[Categoria]]="Prelievo","€ -","")</f>
        <v/>
      </c>
      <c r="R535" s="244"/>
      <c r="S535" s="59" t="str">
        <f>IF(Dati[[#This Row],[Categoria]]="Savings",0,"")</f>
        <v/>
      </c>
      <c r="T535" s="59"/>
      <c r="U535" s="59"/>
      <c r="V535" s="59"/>
      <c r="W535" s="59"/>
      <c r="X535" s="59"/>
      <c r="Y535" s="59"/>
      <c r="Z535" s="59"/>
      <c r="AA535" s="59"/>
      <c r="AB535" s="59"/>
      <c r="AC535" s="59"/>
      <c r="AD535" s="59"/>
      <c r="AE535" s="59"/>
      <c r="AF535" s="59"/>
      <c r="AG535" s="59"/>
      <c r="AH535" s="59"/>
      <c r="AI535" s="59" t="str">
        <f>IF(SUM(Dati[[#This Row],[Inv. Business]:[Inv. Cryptocurrency]])=0," ",SUM(Dati[[#This Row],[Inv. Business]:[Inv. Cryptocurrency]]))</f>
        <v xml:space="preserve"> </v>
      </c>
      <c r="AJ535" s="59"/>
      <c r="AK535" s="59" t="str">
        <f>IF(SUM(Dati[[#This Row],[Inv. Gold]:[Mutuo]])=0," ",SUM(Dati[[#This Row],[Inv. Gold]:[Mutuo]]))</f>
        <v xml:space="preserve"> </v>
      </c>
      <c r="AL535" s="59"/>
      <c r="AM535" s="59"/>
    </row>
    <row r="536" spans="2:39" x14ac:dyDescent="0.35">
      <c r="B536">
        <f t="shared" si="23"/>
        <v>516</v>
      </c>
      <c r="C536" s="49">
        <f t="shared" si="22"/>
        <v>45333</v>
      </c>
      <c r="D536" s="29">
        <f>DAY(Dati[[#This Row],[Data]])</f>
        <v>11</v>
      </c>
      <c r="E536" s="29" t="str">
        <f>IF(DAY(Data!$C$21:$C$1327)&gt;0,TEXT(Data!$C$21:$C$1327, "mmmm"),"")</f>
        <v>febbraio</v>
      </c>
      <c r="F536" s="29" t="str">
        <f>IF(DAY(Data!$C$21:$C$1327)&gt;0,TEXT(Data!$C$21:$C$1327, "aaaa"),"")</f>
        <v>2024</v>
      </c>
      <c r="I536" t="str">
        <f>IF(OR(H536=$B$5,H536=$B$6,H536=$B$7,H536=$B$8,H536=$B$9,H536=$B$10,H536=$B$11,H536=$B$12,H536=$B$13,H536=$B$14),SottocategorieUscite[[#Headers],[Fuori Casa]],IF(OR(H536=$C$5,H536=$C$6,H536=$C$7,H536=$C$8,H536=$C$9,H536=$C$10,H536=$C$11,H536=$C$12,H536=$C$13,H536=$C$14),SottocategorieUscite[[#Headers],[Varie Uscite]],IF(OR(H536=$D$5,H536=$D$6,H536=$D$7,H536=$D$8,H536=$D$9,H536=$D$10,H536=$D$11,H536=$D$12,H536=$D$13,H536=$D$14),SottocategorieUscite[[#Headers],[Personali]],IF(OR(H536=$E$5,H536=$E$6,H536=$E$7,H536=$E$8,H536=$E$9,H536=$E$10,H536=$E$11,H536=$E$12,H536=$E$13,H536=$E$14),SottocategorieUscite[[#Headers],[Lavoro]],IF(OR(H536=$F$5,H536=$F$6,H536=$F$7,H536=$F$8,H536=$F$9,H536=$F$10,H536=$F$11,H536=$F$12,H536=$F$13,H536=$F$14),SottocategorieUscite[[#Headers],[Casa]],IF(OR(H536=$G$5,H536=$G$6,H536=$G$7,H536=$G$8,H536=$G$9,H536=$G$10,H536=$G$11,H536=$G$12,H536=$G$13,H536=$G$14),SottocategorieUscite[[#Headers],[Utenze]],IF(OR(H536=$H$5,H536=$H$6,H536=$H$7,H536=$H$8,H536=$H$9,H536=$H$10,H536=$H$11,H536=$H$12,H536=$H$13,H536=$H$14),SottocategorieUscite[[#Headers],[Business Uscite]],IF(OR(H536=$I$5,H536=$I$6,H536=$I$7,H536=$I$8,H536=$I$9,H536=$I$10,H536=$I$11,H536=$I$12,H536=$I$13,H536=$I$14),SottocategorieUscite[[#Headers],[Banca]],IF(OR(H536=K$5,H536=K$6,H536=K$7,H536=K$8,H536=K$9,H536=K$10,H536=K$11,H536=K$12,H536=K$13,H536=K$14),SottocategorieEntrate[[#Headers],[Business Entrate]],IF(OR(H536=L$5,H536=L$6,H536=L$7,H536=L$8,H536=L$9,H536=L$10,H536=L$11,H536=L$12,H536=L$13,H536=L$14),SottocategorieEntrate[[#Headers],[Varie Entrate]],IF(OR(H536=M$5,H536=M$6,H536=M$7,H536=M$8,H536=M$9,H536=M$10,H536=M$11,H536=M$12,H536=M$13,H536=M$14),SottocategorieEntrate[[#Headers],[Real Estate]],IF(OR(H536=N$5,H536=N$6,H536=N$7,H536=N$8,H536=N$9,H536=N$10,H536=N$11,H536=N$12,H536=N$13,H536=N$14),SottocategorieEntrate[[#Headers],[Other]],""))))))))))))</f>
        <v/>
      </c>
      <c r="J536" t="str">
        <f>IF(OR(Dati[[#This Row],[Categoria]]="Bollette",Dati[[#This Row],[Categoria]]="Conto &amp; Carte BNL",Dati[[#This Row],[Categoria]]="Prelievo",Dati[[#This Row],[Categoria]]="Affitto",Dati[[#This Row],[Categoria]]="BNL(Interessi Creditori)"),"Carta",IF(Dati[[#This Row],[Categoria]]&lt;&gt;0,"Cash",""))</f>
        <v/>
      </c>
      <c r="K536" s="59" t="str">
        <f>IF(OR(Data!$I536=SottocategorieUscite[[#Headers],[Fuori Casa]],Data!$I536=SottocategorieUscite[[#Headers],[Varie Uscite]],Data!$I536=SottocategorieUscite[[#Headers],[Personali]],Data!$I536=SottocategorieUscite[[#Headers],[Lavoro]]),"$ -","")</f>
        <v/>
      </c>
      <c r="L536" s="59" t="str">
        <f>IF(OR(Data!$I536=SottocategorieUscite[[#Headers],[Casa]],Data!$I536=SottocategorieUscite[[#Headers],[Utenze]],Data!$I536=SottocategorieUscite[[#Headers],[Business Uscite]],Data!$I536=SottocategorieUscite[[#Headers],[Banca]]),"$ -","")</f>
        <v/>
      </c>
      <c r="M536" s="59" t="str">
        <f>IF(OR($I536&lt;&gt;SottocategorieUscite[[#Headers],[Fuori Casa]],$I536&lt;&gt;SottocategorieUscite[[#Headers],[Varie Uscite]],$I536&lt;&gt;SottocategorieUscite[[#Headers],[Personali]],$I536&lt;&gt;SottocategorieUscite[[#Headers],[Lavoro]],$I536&lt;&gt;SottocategorieUscite[[#Headers],[Casa]],$I536&lt;&gt;SottocategorieUscite[[#Headers],[Utenze]],$I536&lt;&gt;SottocategorieUscite[[#Headers],[Business Uscite]],$I536&lt;&gt;SottocategorieUscite[[#Headers],[Banca]]),"","$ -")</f>
        <v/>
      </c>
      <c r="N536" s="59" t="str">
        <f>IF(OR(Data!$I536=SottocategorieEntrate[[#Headers],[Business Entrate]],Data!$I536=SottocategorieEntrate[[#Headers],[Varie Entrate]]),"$ -","")</f>
        <v/>
      </c>
      <c r="O536" s="59" t="str">
        <f>IF(OR(Data!$I536=SottocategorieEntrate[[#Headers],[Real Estate]],SottocategorieEntrate[[#Headers],[Other]]),"$ -","")</f>
        <v/>
      </c>
      <c r="P536" s="59" t="str">
        <f>IF(OR($I536&lt;&gt;SottocategorieEntrate[[#Headers],[Business Entrate]],$I536&lt;&gt;SottocategorieEntrate[[#Headers],[Varie Entrate]],$I536&lt;&gt;SottocategorieEntrate[[#Headers],[Real Estate]],$I536&lt;&gt;SottocategorieEntrate[[#Headers],[Other]]),"","$ -")</f>
        <v/>
      </c>
      <c r="Q536" s="59" t="str">
        <f>IF(Dati[[#This Row],[Categoria]]="Prelievo","€ -","")</f>
        <v/>
      </c>
      <c r="R536" s="244"/>
      <c r="S536" s="59" t="str">
        <f>IF(Dati[[#This Row],[Categoria]]="Savings",0,"")</f>
        <v/>
      </c>
      <c r="T536" s="59"/>
      <c r="U536" s="59"/>
      <c r="V536" s="59"/>
      <c r="W536" s="59"/>
      <c r="X536" s="59"/>
      <c r="Y536" s="59"/>
      <c r="Z536" s="59"/>
      <c r="AA536" s="59"/>
      <c r="AB536" s="59"/>
      <c r="AC536" s="59"/>
      <c r="AD536" s="59"/>
      <c r="AE536" s="59"/>
      <c r="AF536" s="59"/>
      <c r="AG536" s="59"/>
      <c r="AH536" s="59"/>
      <c r="AI536" s="59" t="str">
        <f>IF(SUM(Dati[[#This Row],[Inv. Business]:[Inv. Cryptocurrency]])=0," ",SUM(Dati[[#This Row],[Inv. Business]:[Inv. Cryptocurrency]]))</f>
        <v xml:space="preserve"> </v>
      </c>
      <c r="AJ536" s="59"/>
      <c r="AK536" s="59" t="str">
        <f>IF(SUM(Dati[[#This Row],[Inv. Gold]:[Mutuo]])=0," ",SUM(Dati[[#This Row],[Inv. Gold]:[Mutuo]]))</f>
        <v xml:space="preserve"> </v>
      </c>
      <c r="AL536" s="59"/>
      <c r="AM536" s="59"/>
    </row>
    <row r="537" spans="2:39" x14ac:dyDescent="0.35">
      <c r="B537">
        <f t="shared" si="23"/>
        <v>517</v>
      </c>
      <c r="C537" s="49">
        <f t="shared" si="22"/>
        <v>45334</v>
      </c>
      <c r="D537" s="29">
        <f>DAY(Dati[[#This Row],[Data]])</f>
        <v>12</v>
      </c>
      <c r="E537" s="29" t="str">
        <f>IF(DAY(Data!$C$21:$C$1327)&gt;0,TEXT(Data!$C$21:$C$1327, "mmmm"),"")</f>
        <v>febbraio</v>
      </c>
      <c r="F537" s="29" t="str">
        <f>IF(DAY(Data!$C$21:$C$1327)&gt;0,TEXT(Data!$C$21:$C$1327, "aaaa"),"")</f>
        <v>2024</v>
      </c>
      <c r="I537" t="str">
        <f>IF(OR(H537=$B$5,H537=$B$6,H537=$B$7,H537=$B$8,H537=$B$9,H537=$B$10,H537=$B$11,H537=$B$12,H537=$B$13,H537=$B$14),SottocategorieUscite[[#Headers],[Fuori Casa]],IF(OR(H537=$C$5,H537=$C$6,H537=$C$7,H537=$C$8,H537=$C$9,H537=$C$10,H537=$C$11,H537=$C$12,H537=$C$13,H537=$C$14),SottocategorieUscite[[#Headers],[Varie Uscite]],IF(OR(H537=$D$5,H537=$D$6,H537=$D$7,H537=$D$8,H537=$D$9,H537=$D$10,H537=$D$11,H537=$D$12,H537=$D$13,H537=$D$14),SottocategorieUscite[[#Headers],[Personali]],IF(OR(H537=$E$5,H537=$E$6,H537=$E$7,H537=$E$8,H537=$E$9,H537=$E$10,H537=$E$11,H537=$E$12,H537=$E$13,H537=$E$14),SottocategorieUscite[[#Headers],[Lavoro]],IF(OR(H537=$F$5,H537=$F$6,H537=$F$7,H537=$F$8,H537=$F$9,H537=$F$10,H537=$F$11,H537=$F$12,H537=$F$13,H537=$F$14),SottocategorieUscite[[#Headers],[Casa]],IF(OR(H537=$G$5,H537=$G$6,H537=$G$7,H537=$G$8,H537=$G$9,H537=$G$10,H537=$G$11,H537=$G$12,H537=$G$13,H537=$G$14),SottocategorieUscite[[#Headers],[Utenze]],IF(OR(H537=$H$5,H537=$H$6,H537=$H$7,H537=$H$8,H537=$H$9,H537=$H$10,H537=$H$11,H537=$H$12,H537=$H$13,H537=$H$14),SottocategorieUscite[[#Headers],[Business Uscite]],IF(OR(H537=$I$5,H537=$I$6,H537=$I$7,H537=$I$8,H537=$I$9,H537=$I$10,H537=$I$11,H537=$I$12,H537=$I$13,H537=$I$14),SottocategorieUscite[[#Headers],[Banca]],IF(OR(H537=K$5,H537=K$6,H537=K$7,H537=K$8,H537=K$9,H537=K$10,H537=K$11,H537=K$12,H537=K$13,H537=K$14),SottocategorieEntrate[[#Headers],[Business Entrate]],IF(OR(H537=L$5,H537=L$6,H537=L$7,H537=L$8,H537=L$9,H537=L$10,H537=L$11,H537=L$12,H537=L$13,H537=L$14),SottocategorieEntrate[[#Headers],[Varie Entrate]],IF(OR(H537=M$5,H537=M$6,H537=M$7,H537=M$8,H537=M$9,H537=M$10,H537=M$11,H537=M$12,H537=M$13,H537=M$14),SottocategorieEntrate[[#Headers],[Real Estate]],IF(OR(H537=N$5,H537=N$6,H537=N$7,H537=N$8,H537=N$9,H537=N$10,H537=N$11,H537=N$12,H537=N$13,H537=N$14),SottocategorieEntrate[[#Headers],[Other]],""))))))))))))</f>
        <v/>
      </c>
      <c r="J537" t="str">
        <f>IF(OR(Dati[[#This Row],[Categoria]]="Bollette",Dati[[#This Row],[Categoria]]="Conto &amp; Carte BNL",Dati[[#This Row],[Categoria]]="Prelievo",Dati[[#This Row],[Categoria]]="Affitto",Dati[[#This Row],[Categoria]]="BNL(Interessi Creditori)"),"Carta",IF(Dati[[#This Row],[Categoria]]&lt;&gt;0,"Cash",""))</f>
        <v/>
      </c>
      <c r="K537" s="59" t="str">
        <f>IF(OR(Data!$I537=SottocategorieUscite[[#Headers],[Fuori Casa]],Data!$I537=SottocategorieUscite[[#Headers],[Varie Uscite]],Data!$I537=SottocategorieUscite[[#Headers],[Personali]],Data!$I537=SottocategorieUscite[[#Headers],[Lavoro]]),"$ -","")</f>
        <v/>
      </c>
      <c r="L537" s="59" t="str">
        <f>IF(OR(Data!$I537=SottocategorieUscite[[#Headers],[Casa]],Data!$I537=SottocategorieUscite[[#Headers],[Utenze]],Data!$I537=SottocategorieUscite[[#Headers],[Business Uscite]],Data!$I537=SottocategorieUscite[[#Headers],[Banca]]),"$ -","")</f>
        <v/>
      </c>
      <c r="M537" s="59" t="str">
        <f>IF(OR($I537&lt;&gt;SottocategorieUscite[[#Headers],[Fuori Casa]],$I537&lt;&gt;SottocategorieUscite[[#Headers],[Varie Uscite]],$I537&lt;&gt;SottocategorieUscite[[#Headers],[Personali]],$I537&lt;&gt;SottocategorieUscite[[#Headers],[Lavoro]],$I537&lt;&gt;SottocategorieUscite[[#Headers],[Casa]],$I537&lt;&gt;SottocategorieUscite[[#Headers],[Utenze]],$I537&lt;&gt;SottocategorieUscite[[#Headers],[Business Uscite]],$I537&lt;&gt;SottocategorieUscite[[#Headers],[Banca]]),"","$ -")</f>
        <v/>
      </c>
      <c r="N537" s="59" t="str">
        <f>IF(OR(Data!$I537=SottocategorieEntrate[[#Headers],[Business Entrate]],Data!$I537=SottocategorieEntrate[[#Headers],[Varie Entrate]]),"$ -","")</f>
        <v/>
      </c>
      <c r="O537" s="59" t="str">
        <f>IF(OR(Data!$I537=SottocategorieEntrate[[#Headers],[Real Estate]],SottocategorieEntrate[[#Headers],[Other]]),"$ -","")</f>
        <v/>
      </c>
      <c r="P537" s="59" t="str">
        <f>IF(OR($I537&lt;&gt;SottocategorieEntrate[[#Headers],[Business Entrate]],$I537&lt;&gt;SottocategorieEntrate[[#Headers],[Varie Entrate]],$I537&lt;&gt;SottocategorieEntrate[[#Headers],[Real Estate]],$I537&lt;&gt;SottocategorieEntrate[[#Headers],[Other]]),"","$ -")</f>
        <v/>
      </c>
      <c r="Q537" s="59" t="str">
        <f>IF(Dati[[#This Row],[Categoria]]="Prelievo","€ -","")</f>
        <v/>
      </c>
      <c r="R537" s="244"/>
      <c r="S537" s="59" t="str">
        <f>IF(Dati[[#This Row],[Categoria]]="Savings",0,"")</f>
        <v/>
      </c>
      <c r="T537" s="59"/>
      <c r="U537" s="59"/>
      <c r="V537" s="59"/>
      <c r="W537" s="59"/>
      <c r="X537" s="59"/>
      <c r="Y537" s="59"/>
      <c r="Z537" s="59"/>
      <c r="AA537" s="59"/>
      <c r="AB537" s="59"/>
      <c r="AC537" s="59"/>
      <c r="AD537" s="59"/>
      <c r="AE537" s="59"/>
      <c r="AF537" s="59"/>
      <c r="AG537" s="59"/>
      <c r="AH537" s="59"/>
      <c r="AI537" s="59" t="str">
        <f>IF(SUM(Dati[[#This Row],[Inv. Business]:[Inv. Cryptocurrency]])=0," ",SUM(Dati[[#This Row],[Inv. Business]:[Inv. Cryptocurrency]]))</f>
        <v xml:space="preserve"> </v>
      </c>
      <c r="AJ537" s="59"/>
      <c r="AK537" s="59" t="str">
        <f>IF(SUM(Dati[[#This Row],[Inv. Gold]:[Mutuo]])=0," ",SUM(Dati[[#This Row],[Inv. Gold]:[Mutuo]]))</f>
        <v xml:space="preserve"> </v>
      </c>
      <c r="AL537" s="59"/>
      <c r="AM537" s="59"/>
    </row>
    <row r="538" spans="2:39" x14ac:dyDescent="0.35">
      <c r="B538">
        <f t="shared" si="23"/>
        <v>518</v>
      </c>
      <c r="C538" s="49">
        <f t="shared" si="22"/>
        <v>45335</v>
      </c>
      <c r="D538" s="29">
        <f>DAY(Dati[[#This Row],[Data]])</f>
        <v>13</v>
      </c>
      <c r="E538" s="29" t="str">
        <f>IF(DAY(Data!$C$21:$C$1327)&gt;0,TEXT(Data!$C$21:$C$1327, "mmmm"),"")</f>
        <v>febbraio</v>
      </c>
      <c r="F538" s="29" t="str">
        <f>IF(DAY(Data!$C$21:$C$1327)&gt;0,TEXT(Data!$C$21:$C$1327, "aaaa"),"")</f>
        <v>2024</v>
      </c>
      <c r="I538" t="str">
        <f>IF(OR(H538=$B$5,H538=$B$6,H538=$B$7,H538=$B$8,H538=$B$9,H538=$B$10,H538=$B$11,H538=$B$12,H538=$B$13,H538=$B$14),SottocategorieUscite[[#Headers],[Fuori Casa]],IF(OR(H538=$C$5,H538=$C$6,H538=$C$7,H538=$C$8,H538=$C$9,H538=$C$10,H538=$C$11,H538=$C$12,H538=$C$13,H538=$C$14),SottocategorieUscite[[#Headers],[Varie Uscite]],IF(OR(H538=$D$5,H538=$D$6,H538=$D$7,H538=$D$8,H538=$D$9,H538=$D$10,H538=$D$11,H538=$D$12,H538=$D$13,H538=$D$14),SottocategorieUscite[[#Headers],[Personali]],IF(OR(H538=$E$5,H538=$E$6,H538=$E$7,H538=$E$8,H538=$E$9,H538=$E$10,H538=$E$11,H538=$E$12,H538=$E$13,H538=$E$14),SottocategorieUscite[[#Headers],[Lavoro]],IF(OR(H538=$F$5,H538=$F$6,H538=$F$7,H538=$F$8,H538=$F$9,H538=$F$10,H538=$F$11,H538=$F$12,H538=$F$13,H538=$F$14),SottocategorieUscite[[#Headers],[Casa]],IF(OR(H538=$G$5,H538=$G$6,H538=$G$7,H538=$G$8,H538=$G$9,H538=$G$10,H538=$G$11,H538=$G$12,H538=$G$13,H538=$G$14),SottocategorieUscite[[#Headers],[Utenze]],IF(OR(H538=$H$5,H538=$H$6,H538=$H$7,H538=$H$8,H538=$H$9,H538=$H$10,H538=$H$11,H538=$H$12,H538=$H$13,H538=$H$14),SottocategorieUscite[[#Headers],[Business Uscite]],IF(OR(H538=$I$5,H538=$I$6,H538=$I$7,H538=$I$8,H538=$I$9,H538=$I$10,H538=$I$11,H538=$I$12,H538=$I$13,H538=$I$14),SottocategorieUscite[[#Headers],[Banca]],IF(OR(H538=K$5,H538=K$6,H538=K$7,H538=K$8,H538=K$9,H538=K$10,H538=K$11,H538=K$12,H538=K$13,H538=K$14),SottocategorieEntrate[[#Headers],[Business Entrate]],IF(OR(H538=L$5,H538=L$6,H538=L$7,H538=L$8,H538=L$9,H538=L$10,H538=L$11,H538=L$12,H538=L$13,H538=L$14),SottocategorieEntrate[[#Headers],[Varie Entrate]],IF(OR(H538=M$5,H538=M$6,H538=M$7,H538=M$8,H538=M$9,H538=M$10,H538=M$11,H538=M$12,H538=M$13,H538=M$14),SottocategorieEntrate[[#Headers],[Real Estate]],IF(OR(H538=N$5,H538=N$6,H538=N$7,H538=N$8,H538=N$9,H538=N$10,H538=N$11,H538=N$12,H538=N$13,H538=N$14),SottocategorieEntrate[[#Headers],[Other]],""))))))))))))</f>
        <v/>
      </c>
      <c r="J538" t="str">
        <f>IF(OR(Dati[[#This Row],[Categoria]]="Bollette",Dati[[#This Row],[Categoria]]="Conto &amp; Carte BNL",Dati[[#This Row],[Categoria]]="Prelievo",Dati[[#This Row],[Categoria]]="Affitto",Dati[[#This Row],[Categoria]]="BNL(Interessi Creditori)"),"Carta",IF(Dati[[#This Row],[Categoria]]&lt;&gt;0,"Cash",""))</f>
        <v/>
      </c>
      <c r="K538" s="59" t="str">
        <f>IF(OR(Data!$I538=SottocategorieUscite[[#Headers],[Fuori Casa]],Data!$I538=SottocategorieUscite[[#Headers],[Varie Uscite]],Data!$I538=SottocategorieUscite[[#Headers],[Personali]],Data!$I538=SottocategorieUscite[[#Headers],[Lavoro]]),"$ -","")</f>
        <v/>
      </c>
      <c r="L538" s="59" t="str">
        <f>IF(OR(Data!$I538=SottocategorieUscite[[#Headers],[Casa]],Data!$I538=SottocategorieUscite[[#Headers],[Utenze]],Data!$I538=SottocategorieUscite[[#Headers],[Business Uscite]],Data!$I538=SottocategorieUscite[[#Headers],[Banca]]),"$ -","")</f>
        <v/>
      </c>
      <c r="M538" s="59" t="str">
        <f>IF(OR($I538&lt;&gt;SottocategorieUscite[[#Headers],[Fuori Casa]],$I538&lt;&gt;SottocategorieUscite[[#Headers],[Varie Uscite]],$I538&lt;&gt;SottocategorieUscite[[#Headers],[Personali]],$I538&lt;&gt;SottocategorieUscite[[#Headers],[Lavoro]],$I538&lt;&gt;SottocategorieUscite[[#Headers],[Casa]],$I538&lt;&gt;SottocategorieUscite[[#Headers],[Utenze]],$I538&lt;&gt;SottocategorieUscite[[#Headers],[Business Uscite]],$I538&lt;&gt;SottocategorieUscite[[#Headers],[Banca]]),"","$ -")</f>
        <v/>
      </c>
      <c r="N538" s="59" t="str">
        <f>IF(OR(Data!$I538=SottocategorieEntrate[[#Headers],[Business Entrate]],Data!$I538=SottocategorieEntrate[[#Headers],[Varie Entrate]]),"$ -","")</f>
        <v/>
      </c>
      <c r="O538" s="59" t="str">
        <f>IF(OR(Data!$I538=SottocategorieEntrate[[#Headers],[Real Estate]],SottocategorieEntrate[[#Headers],[Other]]),"$ -","")</f>
        <v/>
      </c>
      <c r="P538" s="59" t="str">
        <f>IF(OR($I538&lt;&gt;SottocategorieEntrate[[#Headers],[Business Entrate]],$I538&lt;&gt;SottocategorieEntrate[[#Headers],[Varie Entrate]],$I538&lt;&gt;SottocategorieEntrate[[#Headers],[Real Estate]],$I538&lt;&gt;SottocategorieEntrate[[#Headers],[Other]]),"","$ -")</f>
        <v/>
      </c>
      <c r="Q538" s="59" t="str">
        <f>IF(Dati[[#This Row],[Categoria]]="Prelievo","€ -","")</f>
        <v/>
      </c>
      <c r="R538" s="244"/>
      <c r="S538" s="59" t="str">
        <f>IF(Dati[[#This Row],[Categoria]]="Savings",0,"")</f>
        <v/>
      </c>
      <c r="T538" s="59"/>
      <c r="U538" s="59"/>
      <c r="V538" s="59"/>
      <c r="W538" s="59"/>
      <c r="X538" s="59"/>
      <c r="Y538" s="59"/>
      <c r="Z538" s="59"/>
      <c r="AA538" s="59"/>
      <c r="AB538" s="59"/>
      <c r="AC538" s="59"/>
      <c r="AD538" s="59"/>
      <c r="AE538" s="59"/>
      <c r="AF538" s="59"/>
      <c r="AG538" s="59"/>
      <c r="AH538" s="59"/>
      <c r="AI538" s="59" t="str">
        <f>IF(SUM(Dati[[#This Row],[Inv. Business]:[Inv. Cryptocurrency]])=0," ",SUM(Dati[[#This Row],[Inv. Business]:[Inv. Cryptocurrency]]))</f>
        <v xml:space="preserve"> </v>
      </c>
      <c r="AJ538" s="59"/>
      <c r="AK538" s="59" t="str">
        <f>IF(SUM(Dati[[#This Row],[Inv. Gold]:[Mutuo]])=0," ",SUM(Dati[[#This Row],[Inv. Gold]:[Mutuo]]))</f>
        <v xml:space="preserve"> </v>
      </c>
      <c r="AL538" s="59"/>
      <c r="AM538" s="59"/>
    </row>
    <row r="539" spans="2:39" x14ac:dyDescent="0.35">
      <c r="B539">
        <f t="shared" si="23"/>
        <v>519</v>
      </c>
      <c r="C539" s="49">
        <f t="shared" si="22"/>
        <v>45336</v>
      </c>
      <c r="D539" s="29">
        <f>DAY(Dati[[#This Row],[Data]])</f>
        <v>14</v>
      </c>
      <c r="E539" s="29" t="str">
        <f>IF(DAY(Data!$C$21:$C$1327)&gt;0,TEXT(Data!$C$21:$C$1327, "mmmm"),"")</f>
        <v>febbraio</v>
      </c>
      <c r="F539" s="29" t="str">
        <f>IF(DAY(Data!$C$21:$C$1327)&gt;0,TEXT(Data!$C$21:$C$1327, "aaaa"),"")</f>
        <v>2024</v>
      </c>
      <c r="I539" t="str">
        <f>IF(OR(H539=$B$5,H539=$B$6,H539=$B$7,H539=$B$8,H539=$B$9,H539=$B$10,H539=$B$11,H539=$B$12,H539=$B$13,H539=$B$14),SottocategorieUscite[[#Headers],[Fuori Casa]],IF(OR(H539=$C$5,H539=$C$6,H539=$C$7,H539=$C$8,H539=$C$9,H539=$C$10,H539=$C$11,H539=$C$12,H539=$C$13,H539=$C$14),SottocategorieUscite[[#Headers],[Varie Uscite]],IF(OR(H539=$D$5,H539=$D$6,H539=$D$7,H539=$D$8,H539=$D$9,H539=$D$10,H539=$D$11,H539=$D$12,H539=$D$13,H539=$D$14),SottocategorieUscite[[#Headers],[Personali]],IF(OR(H539=$E$5,H539=$E$6,H539=$E$7,H539=$E$8,H539=$E$9,H539=$E$10,H539=$E$11,H539=$E$12,H539=$E$13,H539=$E$14),SottocategorieUscite[[#Headers],[Lavoro]],IF(OR(H539=$F$5,H539=$F$6,H539=$F$7,H539=$F$8,H539=$F$9,H539=$F$10,H539=$F$11,H539=$F$12,H539=$F$13,H539=$F$14),SottocategorieUscite[[#Headers],[Casa]],IF(OR(H539=$G$5,H539=$G$6,H539=$G$7,H539=$G$8,H539=$G$9,H539=$G$10,H539=$G$11,H539=$G$12,H539=$G$13,H539=$G$14),SottocategorieUscite[[#Headers],[Utenze]],IF(OR(H539=$H$5,H539=$H$6,H539=$H$7,H539=$H$8,H539=$H$9,H539=$H$10,H539=$H$11,H539=$H$12,H539=$H$13,H539=$H$14),SottocategorieUscite[[#Headers],[Business Uscite]],IF(OR(H539=$I$5,H539=$I$6,H539=$I$7,H539=$I$8,H539=$I$9,H539=$I$10,H539=$I$11,H539=$I$12,H539=$I$13,H539=$I$14),SottocategorieUscite[[#Headers],[Banca]],IF(OR(H539=K$5,H539=K$6,H539=K$7,H539=K$8,H539=K$9,H539=K$10,H539=K$11,H539=K$12,H539=K$13,H539=K$14),SottocategorieEntrate[[#Headers],[Business Entrate]],IF(OR(H539=L$5,H539=L$6,H539=L$7,H539=L$8,H539=L$9,H539=L$10,H539=L$11,H539=L$12,H539=L$13,H539=L$14),SottocategorieEntrate[[#Headers],[Varie Entrate]],IF(OR(H539=M$5,H539=M$6,H539=M$7,H539=M$8,H539=M$9,H539=M$10,H539=M$11,H539=M$12,H539=M$13,H539=M$14),SottocategorieEntrate[[#Headers],[Real Estate]],IF(OR(H539=N$5,H539=N$6,H539=N$7,H539=N$8,H539=N$9,H539=N$10,H539=N$11,H539=N$12,H539=N$13,H539=N$14),SottocategorieEntrate[[#Headers],[Other]],""))))))))))))</f>
        <v/>
      </c>
      <c r="J539" t="str">
        <f>IF(OR(Dati[[#This Row],[Categoria]]="Bollette",Dati[[#This Row],[Categoria]]="Conto &amp; Carte BNL",Dati[[#This Row],[Categoria]]="Prelievo",Dati[[#This Row],[Categoria]]="Affitto",Dati[[#This Row],[Categoria]]="BNL(Interessi Creditori)"),"Carta",IF(Dati[[#This Row],[Categoria]]&lt;&gt;0,"Cash",""))</f>
        <v/>
      </c>
      <c r="K539" s="59" t="str">
        <f>IF(OR(Data!$I539=SottocategorieUscite[[#Headers],[Fuori Casa]],Data!$I539=SottocategorieUscite[[#Headers],[Varie Uscite]],Data!$I539=SottocategorieUscite[[#Headers],[Personali]],Data!$I539=SottocategorieUscite[[#Headers],[Lavoro]]),"$ -","")</f>
        <v/>
      </c>
      <c r="L539" s="59" t="str">
        <f>IF(OR(Data!$I539=SottocategorieUscite[[#Headers],[Casa]],Data!$I539=SottocategorieUscite[[#Headers],[Utenze]],Data!$I539=SottocategorieUscite[[#Headers],[Business Uscite]],Data!$I539=SottocategorieUscite[[#Headers],[Banca]]),"$ -","")</f>
        <v/>
      </c>
      <c r="M539" s="59" t="str">
        <f>IF(OR($I539&lt;&gt;SottocategorieUscite[[#Headers],[Fuori Casa]],$I539&lt;&gt;SottocategorieUscite[[#Headers],[Varie Uscite]],$I539&lt;&gt;SottocategorieUscite[[#Headers],[Personali]],$I539&lt;&gt;SottocategorieUscite[[#Headers],[Lavoro]],$I539&lt;&gt;SottocategorieUscite[[#Headers],[Casa]],$I539&lt;&gt;SottocategorieUscite[[#Headers],[Utenze]],$I539&lt;&gt;SottocategorieUscite[[#Headers],[Business Uscite]],$I539&lt;&gt;SottocategorieUscite[[#Headers],[Banca]]),"","$ -")</f>
        <v/>
      </c>
      <c r="N539" s="59" t="str">
        <f>IF(OR(Data!$I539=SottocategorieEntrate[[#Headers],[Business Entrate]],Data!$I539=SottocategorieEntrate[[#Headers],[Varie Entrate]]),"$ -","")</f>
        <v/>
      </c>
      <c r="O539" s="59" t="str">
        <f>IF(OR(Data!$I539=SottocategorieEntrate[[#Headers],[Real Estate]],SottocategorieEntrate[[#Headers],[Other]]),"$ -","")</f>
        <v/>
      </c>
      <c r="P539" s="59" t="str">
        <f>IF(OR($I539&lt;&gt;SottocategorieEntrate[[#Headers],[Business Entrate]],$I539&lt;&gt;SottocategorieEntrate[[#Headers],[Varie Entrate]],$I539&lt;&gt;SottocategorieEntrate[[#Headers],[Real Estate]],$I539&lt;&gt;SottocategorieEntrate[[#Headers],[Other]]),"","$ -")</f>
        <v/>
      </c>
      <c r="Q539" s="59" t="str">
        <f>IF(Dati[[#This Row],[Categoria]]="Prelievo","€ -","")</f>
        <v/>
      </c>
      <c r="R539" s="244"/>
      <c r="S539" s="59" t="str">
        <f>IF(Dati[[#This Row],[Categoria]]="Savings",0,"")</f>
        <v/>
      </c>
      <c r="T539" s="59"/>
      <c r="U539" s="59"/>
      <c r="V539" s="59"/>
      <c r="W539" s="59"/>
      <c r="X539" s="59"/>
      <c r="Y539" s="59"/>
      <c r="Z539" s="59"/>
      <c r="AA539" s="59"/>
      <c r="AB539" s="59"/>
      <c r="AC539" s="59"/>
      <c r="AD539" s="59"/>
      <c r="AE539" s="59"/>
      <c r="AF539" s="59"/>
      <c r="AG539" s="59"/>
      <c r="AH539" s="59"/>
      <c r="AI539" s="59" t="str">
        <f>IF(SUM(Dati[[#This Row],[Inv. Business]:[Inv. Cryptocurrency]])=0," ",SUM(Dati[[#This Row],[Inv. Business]:[Inv. Cryptocurrency]]))</f>
        <v xml:space="preserve"> </v>
      </c>
      <c r="AJ539" s="59"/>
      <c r="AK539" s="59" t="str">
        <f>IF(SUM(Dati[[#This Row],[Inv. Gold]:[Mutuo]])=0," ",SUM(Dati[[#This Row],[Inv. Gold]:[Mutuo]]))</f>
        <v xml:space="preserve"> </v>
      </c>
      <c r="AL539" s="59"/>
      <c r="AM539" s="59"/>
    </row>
    <row r="540" spans="2:39" x14ac:dyDescent="0.35">
      <c r="B540">
        <f t="shared" si="23"/>
        <v>520</v>
      </c>
      <c r="C540" s="49">
        <f t="shared" si="22"/>
        <v>45337</v>
      </c>
      <c r="D540" s="29">
        <f>DAY(Dati[[#This Row],[Data]])</f>
        <v>15</v>
      </c>
      <c r="E540" s="29" t="str">
        <f>IF(DAY(Data!$C$21:$C$1327)&gt;0,TEXT(Data!$C$21:$C$1327, "mmmm"),"")</f>
        <v>febbraio</v>
      </c>
      <c r="F540" s="29" t="str">
        <f>IF(DAY(Data!$C$21:$C$1327)&gt;0,TEXT(Data!$C$21:$C$1327, "aaaa"),"")</f>
        <v>2024</v>
      </c>
      <c r="I540" t="str">
        <f>IF(OR(H540=$B$5,H540=$B$6,H540=$B$7,H540=$B$8,H540=$B$9,H540=$B$10,H540=$B$11,H540=$B$12,H540=$B$13,H540=$B$14),SottocategorieUscite[[#Headers],[Fuori Casa]],IF(OR(H540=$C$5,H540=$C$6,H540=$C$7,H540=$C$8,H540=$C$9,H540=$C$10,H540=$C$11,H540=$C$12,H540=$C$13,H540=$C$14),SottocategorieUscite[[#Headers],[Varie Uscite]],IF(OR(H540=$D$5,H540=$D$6,H540=$D$7,H540=$D$8,H540=$D$9,H540=$D$10,H540=$D$11,H540=$D$12,H540=$D$13,H540=$D$14),SottocategorieUscite[[#Headers],[Personali]],IF(OR(H540=$E$5,H540=$E$6,H540=$E$7,H540=$E$8,H540=$E$9,H540=$E$10,H540=$E$11,H540=$E$12,H540=$E$13,H540=$E$14),SottocategorieUscite[[#Headers],[Lavoro]],IF(OR(H540=$F$5,H540=$F$6,H540=$F$7,H540=$F$8,H540=$F$9,H540=$F$10,H540=$F$11,H540=$F$12,H540=$F$13,H540=$F$14),SottocategorieUscite[[#Headers],[Casa]],IF(OR(H540=$G$5,H540=$G$6,H540=$G$7,H540=$G$8,H540=$G$9,H540=$G$10,H540=$G$11,H540=$G$12,H540=$G$13,H540=$G$14),SottocategorieUscite[[#Headers],[Utenze]],IF(OR(H540=$H$5,H540=$H$6,H540=$H$7,H540=$H$8,H540=$H$9,H540=$H$10,H540=$H$11,H540=$H$12,H540=$H$13,H540=$H$14),SottocategorieUscite[[#Headers],[Business Uscite]],IF(OR(H540=$I$5,H540=$I$6,H540=$I$7,H540=$I$8,H540=$I$9,H540=$I$10,H540=$I$11,H540=$I$12,H540=$I$13,H540=$I$14),SottocategorieUscite[[#Headers],[Banca]],IF(OR(H540=K$5,H540=K$6,H540=K$7,H540=K$8,H540=K$9,H540=K$10,H540=K$11,H540=K$12,H540=K$13,H540=K$14),SottocategorieEntrate[[#Headers],[Business Entrate]],IF(OR(H540=L$5,H540=L$6,H540=L$7,H540=L$8,H540=L$9,H540=L$10,H540=L$11,H540=L$12,H540=L$13,H540=L$14),SottocategorieEntrate[[#Headers],[Varie Entrate]],IF(OR(H540=M$5,H540=M$6,H540=M$7,H540=M$8,H540=M$9,H540=M$10,H540=M$11,H540=M$12,H540=M$13,H540=M$14),SottocategorieEntrate[[#Headers],[Real Estate]],IF(OR(H540=N$5,H540=N$6,H540=N$7,H540=N$8,H540=N$9,H540=N$10,H540=N$11,H540=N$12,H540=N$13,H540=N$14),SottocategorieEntrate[[#Headers],[Other]],""))))))))))))</f>
        <v/>
      </c>
      <c r="J540" t="str">
        <f>IF(OR(Dati[[#This Row],[Categoria]]="Bollette",Dati[[#This Row],[Categoria]]="Conto &amp; Carte BNL",Dati[[#This Row],[Categoria]]="Prelievo",Dati[[#This Row],[Categoria]]="Affitto",Dati[[#This Row],[Categoria]]="BNL(Interessi Creditori)"),"Carta",IF(Dati[[#This Row],[Categoria]]&lt;&gt;0,"Cash",""))</f>
        <v/>
      </c>
      <c r="K540" s="59" t="str">
        <f>IF(OR(Data!$I540=SottocategorieUscite[[#Headers],[Fuori Casa]],Data!$I540=SottocategorieUscite[[#Headers],[Varie Uscite]],Data!$I540=SottocategorieUscite[[#Headers],[Personali]],Data!$I540=SottocategorieUscite[[#Headers],[Lavoro]]),"$ -","")</f>
        <v/>
      </c>
      <c r="L540" s="59" t="str">
        <f>IF(OR(Data!$I540=SottocategorieUscite[[#Headers],[Casa]],Data!$I540=SottocategorieUscite[[#Headers],[Utenze]],Data!$I540=SottocategorieUscite[[#Headers],[Business Uscite]],Data!$I540=SottocategorieUscite[[#Headers],[Banca]]),"$ -","")</f>
        <v/>
      </c>
      <c r="M540" s="59" t="str">
        <f>IF(OR($I540&lt;&gt;SottocategorieUscite[[#Headers],[Fuori Casa]],$I540&lt;&gt;SottocategorieUscite[[#Headers],[Varie Uscite]],$I540&lt;&gt;SottocategorieUscite[[#Headers],[Personali]],$I540&lt;&gt;SottocategorieUscite[[#Headers],[Lavoro]],$I540&lt;&gt;SottocategorieUscite[[#Headers],[Casa]],$I540&lt;&gt;SottocategorieUscite[[#Headers],[Utenze]],$I540&lt;&gt;SottocategorieUscite[[#Headers],[Business Uscite]],$I540&lt;&gt;SottocategorieUscite[[#Headers],[Banca]]),"","$ -")</f>
        <v/>
      </c>
      <c r="N540" s="59" t="str">
        <f>IF(OR(Data!$I540=SottocategorieEntrate[[#Headers],[Business Entrate]],Data!$I540=SottocategorieEntrate[[#Headers],[Varie Entrate]]),"$ -","")</f>
        <v/>
      </c>
      <c r="O540" s="59" t="str">
        <f>IF(OR(Data!$I540=SottocategorieEntrate[[#Headers],[Real Estate]],SottocategorieEntrate[[#Headers],[Other]]),"$ -","")</f>
        <v/>
      </c>
      <c r="P540" s="59" t="str">
        <f>IF(OR($I540&lt;&gt;SottocategorieEntrate[[#Headers],[Business Entrate]],$I540&lt;&gt;SottocategorieEntrate[[#Headers],[Varie Entrate]],$I540&lt;&gt;SottocategorieEntrate[[#Headers],[Real Estate]],$I540&lt;&gt;SottocategorieEntrate[[#Headers],[Other]]),"","$ -")</f>
        <v/>
      </c>
      <c r="Q540" s="59" t="str">
        <f>IF(Dati[[#This Row],[Categoria]]="Prelievo","€ -","")</f>
        <v/>
      </c>
      <c r="R540" s="244"/>
      <c r="S540" s="59" t="str">
        <f>IF(Dati[[#This Row],[Categoria]]="Savings",0,"")</f>
        <v/>
      </c>
      <c r="T540" s="59"/>
      <c r="U540" s="59"/>
      <c r="V540" s="59"/>
      <c r="W540" s="59"/>
      <c r="X540" s="59"/>
      <c r="Y540" s="59"/>
      <c r="Z540" s="59"/>
      <c r="AA540" s="59"/>
      <c r="AB540" s="59"/>
      <c r="AC540" s="59"/>
      <c r="AD540" s="59"/>
      <c r="AE540" s="59"/>
      <c r="AF540" s="59"/>
      <c r="AG540" s="59"/>
      <c r="AH540" s="59"/>
      <c r="AI540" s="59" t="str">
        <f>IF(SUM(Dati[[#This Row],[Inv. Business]:[Inv. Cryptocurrency]])=0," ",SUM(Dati[[#This Row],[Inv. Business]:[Inv. Cryptocurrency]]))</f>
        <v xml:space="preserve"> </v>
      </c>
      <c r="AJ540" s="59"/>
      <c r="AK540" s="59" t="str">
        <f>IF(SUM(Dati[[#This Row],[Inv. Gold]:[Mutuo]])=0," ",SUM(Dati[[#This Row],[Inv. Gold]:[Mutuo]]))</f>
        <v xml:space="preserve"> </v>
      </c>
      <c r="AL540" s="59"/>
      <c r="AM540" s="59"/>
    </row>
    <row r="541" spans="2:39" x14ac:dyDescent="0.35">
      <c r="B541">
        <f t="shared" si="23"/>
        <v>521</v>
      </c>
      <c r="C541" s="49">
        <f t="shared" si="22"/>
        <v>45338</v>
      </c>
      <c r="D541" s="29">
        <f>DAY(Dati[[#This Row],[Data]])</f>
        <v>16</v>
      </c>
      <c r="E541" s="29" t="str">
        <f>IF(DAY(Data!$C$21:$C$1327)&gt;0,TEXT(Data!$C$21:$C$1327, "mmmm"),"")</f>
        <v>febbraio</v>
      </c>
      <c r="F541" s="29" t="str">
        <f>IF(DAY(Data!$C$21:$C$1327)&gt;0,TEXT(Data!$C$21:$C$1327, "aaaa"),"")</f>
        <v>2024</v>
      </c>
      <c r="I541" t="str">
        <f>IF(OR(H541=$B$5,H541=$B$6,H541=$B$7,H541=$B$8,H541=$B$9,H541=$B$10,H541=$B$11,H541=$B$12,H541=$B$13,H541=$B$14),SottocategorieUscite[[#Headers],[Fuori Casa]],IF(OR(H541=$C$5,H541=$C$6,H541=$C$7,H541=$C$8,H541=$C$9,H541=$C$10,H541=$C$11,H541=$C$12,H541=$C$13,H541=$C$14),SottocategorieUscite[[#Headers],[Varie Uscite]],IF(OR(H541=$D$5,H541=$D$6,H541=$D$7,H541=$D$8,H541=$D$9,H541=$D$10,H541=$D$11,H541=$D$12,H541=$D$13,H541=$D$14),SottocategorieUscite[[#Headers],[Personali]],IF(OR(H541=$E$5,H541=$E$6,H541=$E$7,H541=$E$8,H541=$E$9,H541=$E$10,H541=$E$11,H541=$E$12,H541=$E$13,H541=$E$14),SottocategorieUscite[[#Headers],[Lavoro]],IF(OR(H541=$F$5,H541=$F$6,H541=$F$7,H541=$F$8,H541=$F$9,H541=$F$10,H541=$F$11,H541=$F$12,H541=$F$13,H541=$F$14),SottocategorieUscite[[#Headers],[Casa]],IF(OR(H541=$G$5,H541=$G$6,H541=$G$7,H541=$G$8,H541=$G$9,H541=$G$10,H541=$G$11,H541=$G$12,H541=$G$13,H541=$G$14),SottocategorieUscite[[#Headers],[Utenze]],IF(OR(H541=$H$5,H541=$H$6,H541=$H$7,H541=$H$8,H541=$H$9,H541=$H$10,H541=$H$11,H541=$H$12,H541=$H$13,H541=$H$14),SottocategorieUscite[[#Headers],[Business Uscite]],IF(OR(H541=$I$5,H541=$I$6,H541=$I$7,H541=$I$8,H541=$I$9,H541=$I$10,H541=$I$11,H541=$I$12,H541=$I$13,H541=$I$14),SottocategorieUscite[[#Headers],[Banca]],IF(OR(H541=K$5,H541=K$6,H541=K$7,H541=K$8,H541=K$9,H541=K$10,H541=K$11,H541=K$12,H541=K$13,H541=K$14),SottocategorieEntrate[[#Headers],[Business Entrate]],IF(OR(H541=L$5,H541=L$6,H541=L$7,H541=L$8,H541=L$9,H541=L$10,H541=L$11,H541=L$12,H541=L$13,H541=L$14),SottocategorieEntrate[[#Headers],[Varie Entrate]],IF(OR(H541=M$5,H541=M$6,H541=M$7,H541=M$8,H541=M$9,H541=M$10,H541=M$11,H541=M$12,H541=M$13,H541=M$14),SottocategorieEntrate[[#Headers],[Real Estate]],IF(OR(H541=N$5,H541=N$6,H541=N$7,H541=N$8,H541=N$9,H541=N$10,H541=N$11,H541=N$12,H541=N$13,H541=N$14),SottocategorieEntrate[[#Headers],[Other]],""))))))))))))</f>
        <v/>
      </c>
      <c r="J541" t="str">
        <f>IF(OR(Dati[[#This Row],[Categoria]]="Bollette",Dati[[#This Row],[Categoria]]="Conto &amp; Carte BNL",Dati[[#This Row],[Categoria]]="Prelievo",Dati[[#This Row],[Categoria]]="Affitto",Dati[[#This Row],[Categoria]]="BNL(Interessi Creditori)"),"Carta",IF(Dati[[#This Row],[Categoria]]&lt;&gt;0,"Cash",""))</f>
        <v/>
      </c>
      <c r="K541" s="59" t="str">
        <f>IF(OR(Data!$I541=SottocategorieUscite[[#Headers],[Fuori Casa]],Data!$I541=SottocategorieUscite[[#Headers],[Varie Uscite]],Data!$I541=SottocategorieUscite[[#Headers],[Personali]],Data!$I541=SottocategorieUscite[[#Headers],[Lavoro]]),"$ -","")</f>
        <v/>
      </c>
      <c r="L541" s="59" t="str">
        <f>IF(OR(Data!$I541=SottocategorieUscite[[#Headers],[Casa]],Data!$I541=SottocategorieUscite[[#Headers],[Utenze]],Data!$I541=SottocategorieUscite[[#Headers],[Business Uscite]],Data!$I541=SottocategorieUscite[[#Headers],[Banca]]),"$ -","")</f>
        <v/>
      </c>
      <c r="M541" s="59" t="str">
        <f>IF(OR($I541&lt;&gt;SottocategorieUscite[[#Headers],[Fuori Casa]],$I541&lt;&gt;SottocategorieUscite[[#Headers],[Varie Uscite]],$I541&lt;&gt;SottocategorieUscite[[#Headers],[Personali]],$I541&lt;&gt;SottocategorieUscite[[#Headers],[Lavoro]],$I541&lt;&gt;SottocategorieUscite[[#Headers],[Casa]],$I541&lt;&gt;SottocategorieUscite[[#Headers],[Utenze]],$I541&lt;&gt;SottocategorieUscite[[#Headers],[Business Uscite]],$I541&lt;&gt;SottocategorieUscite[[#Headers],[Banca]]),"","$ -")</f>
        <v/>
      </c>
      <c r="N541" s="59" t="str">
        <f>IF(OR(Data!$I541=SottocategorieEntrate[[#Headers],[Business Entrate]],Data!$I541=SottocategorieEntrate[[#Headers],[Varie Entrate]]),"$ -","")</f>
        <v/>
      </c>
      <c r="O541" s="59" t="str">
        <f>IF(OR(Data!$I541=SottocategorieEntrate[[#Headers],[Real Estate]],SottocategorieEntrate[[#Headers],[Other]]),"$ -","")</f>
        <v/>
      </c>
      <c r="P541" s="59" t="str">
        <f>IF(OR($I541&lt;&gt;SottocategorieEntrate[[#Headers],[Business Entrate]],$I541&lt;&gt;SottocategorieEntrate[[#Headers],[Varie Entrate]],$I541&lt;&gt;SottocategorieEntrate[[#Headers],[Real Estate]],$I541&lt;&gt;SottocategorieEntrate[[#Headers],[Other]]),"","$ -")</f>
        <v/>
      </c>
      <c r="Q541" s="59" t="str">
        <f>IF(Dati[[#This Row],[Categoria]]="Prelievo","€ -","")</f>
        <v/>
      </c>
      <c r="R541" s="244"/>
      <c r="S541" s="59" t="str">
        <f>IF(Dati[[#This Row],[Categoria]]="Savings",0,"")</f>
        <v/>
      </c>
      <c r="T541" s="59"/>
      <c r="U541" s="59"/>
      <c r="V541" s="59"/>
      <c r="W541" s="59"/>
      <c r="X541" s="59"/>
      <c r="Y541" s="59"/>
      <c r="Z541" s="59"/>
      <c r="AA541" s="59"/>
      <c r="AB541" s="59"/>
      <c r="AC541" s="59"/>
      <c r="AD541" s="59"/>
      <c r="AE541" s="59"/>
      <c r="AF541" s="59"/>
      <c r="AG541" s="59"/>
      <c r="AH541" s="59"/>
      <c r="AI541" s="59" t="str">
        <f>IF(SUM(Dati[[#This Row],[Inv. Business]:[Inv. Cryptocurrency]])=0," ",SUM(Dati[[#This Row],[Inv. Business]:[Inv. Cryptocurrency]]))</f>
        <v xml:space="preserve"> </v>
      </c>
      <c r="AJ541" s="59"/>
      <c r="AK541" s="59" t="str">
        <f>IF(SUM(Dati[[#This Row],[Inv. Gold]:[Mutuo]])=0," ",SUM(Dati[[#This Row],[Inv. Gold]:[Mutuo]]))</f>
        <v xml:space="preserve"> </v>
      </c>
      <c r="AL541" s="59"/>
      <c r="AM541" s="59"/>
    </row>
    <row r="542" spans="2:39" x14ac:dyDescent="0.35">
      <c r="B542">
        <f t="shared" si="23"/>
        <v>522</v>
      </c>
      <c r="C542" s="49">
        <f t="shared" si="22"/>
        <v>45339</v>
      </c>
      <c r="D542" s="29">
        <f>DAY(Dati[[#This Row],[Data]])</f>
        <v>17</v>
      </c>
      <c r="E542" s="29" t="str">
        <f>IF(DAY(Data!$C$21:$C$1327)&gt;0,TEXT(Data!$C$21:$C$1327, "mmmm"),"")</f>
        <v>febbraio</v>
      </c>
      <c r="F542" s="29" t="str">
        <f>IF(DAY(Data!$C$21:$C$1327)&gt;0,TEXT(Data!$C$21:$C$1327, "aaaa"),"")</f>
        <v>2024</v>
      </c>
      <c r="I542" t="str">
        <f>IF(OR(H542=$B$5,H542=$B$6,H542=$B$7,H542=$B$8,H542=$B$9,H542=$B$10,H542=$B$11,H542=$B$12,H542=$B$13,H542=$B$14),SottocategorieUscite[[#Headers],[Fuori Casa]],IF(OR(H542=$C$5,H542=$C$6,H542=$C$7,H542=$C$8,H542=$C$9,H542=$C$10,H542=$C$11,H542=$C$12,H542=$C$13,H542=$C$14),SottocategorieUscite[[#Headers],[Varie Uscite]],IF(OR(H542=$D$5,H542=$D$6,H542=$D$7,H542=$D$8,H542=$D$9,H542=$D$10,H542=$D$11,H542=$D$12,H542=$D$13,H542=$D$14),SottocategorieUscite[[#Headers],[Personali]],IF(OR(H542=$E$5,H542=$E$6,H542=$E$7,H542=$E$8,H542=$E$9,H542=$E$10,H542=$E$11,H542=$E$12,H542=$E$13,H542=$E$14),SottocategorieUscite[[#Headers],[Lavoro]],IF(OR(H542=$F$5,H542=$F$6,H542=$F$7,H542=$F$8,H542=$F$9,H542=$F$10,H542=$F$11,H542=$F$12,H542=$F$13,H542=$F$14),SottocategorieUscite[[#Headers],[Casa]],IF(OR(H542=$G$5,H542=$G$6,H542=$G$7,H542=$G$8,H542=$G$9,H542=$G$10,H542=$G$11,H542=$G$12,H542=$G$13,H542=$G$14),SottocategorieUscite[[#Headers],[Utenze]],IF(OR(H542=$H$5,H542=$H$6,H542=$H$7,H542=$H$8,H542=$H$9,H542=$H$10,H542=$H$11,H542=$H$12,H542=$H$13,H542=$H$14),SottocategorieUscite[[#Headers],[Business Uscite]],IF(OR(H542=$I$5,H542=$I$6,H542=$I$7,H542=$I$8,H542=$I$9,H542=$I$10,H542=$I$11,H542=$I$12,H542=$I$13,H542=$I$14),SottocategorieUscite[[#Headers],[Banca]],IF(OR(H542=K$5,H542=K$6,H542=K$7,H542=K$8,H542=K$9,H542=K$10,H542=K$11,H542=K$12,H542=K$13,H542=K$14),SottocategorieEntrate[[#Headers],[Business Entrate]],IF(OR(H542=L$5,H542=L$6,H542=L$7,H542=L$8,H542=L$9,H542=L$10,H542=L$11,H542=L$12,H542=L$13,H542=L$14),SottocategorieEntrate[[#Headers],[Varie Entrate]],IF(OR(H542=M$5,H542=M$6,H542=M$7,H542=M$8,H542=M$9,H542=M$10,H542=M$11,H542=M$12,H542=M$13,H542=M$14),SottocategorieEntrate[[#Headers],[Real Estate]],IF(OR(H542=N$5,H542=N$6,H542=N$7,H542=N$8,H542=N$9,H542=N$10,H542=N$11,H542=N$12,H542=N$13,H542=N$14),SottocategorieEntrate[[#Headers],[Other]],""))))))))))))</f>
        <v/>
      </c>
      <c r="J542" t="str">
        <f>IF(OR(Dati[[#This Row],[Categoria]]="Bollette",Dati[[#This Row],[Categoria]]="Conto &amp; Carte BNL",Dati[[#This Row],[Categoria]]="Prelievo",Dati[[#This Row],[Categoria]]="Affitto",Dati[[#This Row],[Categoria]]="BNL(Interessi Creditori)"),"Carta",IF(Dati[[#This Row],[Categoria]]&lt;&gt;0,"Cash",""))</f>
        <v/>
      </c>
      <c r="K542" s="59" t="str">
        <f>IF(OR(Data!$I542=SottocategorieUscite[[#Headers],[Fuori Casa]],Data!$I542=SottocategorieUscite[[#Headers],[Varie Uscite]],Data!$I542=SottocategorieUscite[[#Headers],[Personali]],Data!$I542=SottocategorieUscite[[#Headers],[Lavoro]]),"$ -","")</f>
        <v/>
      </c>
      <c r="L542" s="59" t="str">
        <f>IF(OR(Data!$I542=SottocategorieUscite[[#Headers],[Casa]],Data!$I542=SottocategorieUscite[[#Headers],[Utenze]],Data!$I542=SottocategorieUscite[[#Headers],[Business Uscite]],Data!$I542=SottocategorieUscite[[#Headers],[Banca]]),"$ -","")</f>
        <v/>
      </c>
      <c r="M542" s="59" t="str">
        <f>IF(OR($I542&lt;&gt;SottocategorieUscite[[#Headers],[Fuori Casa]],$I542&lt;&gt;SottocategorieUscite[[#Headers],[Varie Uscite]],$I542&lt;&gt;SottocategorieUscite[[#Headers],[Personali]],$I542&lt;&gt;SottocategorieUscite[[#Headers],[Lavoro]],$I542&lt;&gt;SottocategorieUscite[[#Headers],[Casa]],$I542&lt;&gt;SottocategorieUscite[[#Headers],[Utenze]],$I542&lt;&gt;SottocategorieUscite[[#Headers],[Business Uscite]],$I542&lt;&gt;SottocategorieUscite[[#Headers],[Banca]]),"","$ -")</f>
        <v/>
      </c>
      <c r="N542" s="59" t="str">
        <f>IF(OR(Data!$I542=SottocategorieEntrate[[#Headers],[Business Entrate]],Data!$I542=SottocategorieEntrate[[#Headers],[Varie Entrate]]),"$ -","")</f>
        <v/>
      </c>
      <c r="O542" s="59" t="str">
        <f>IF(OR(Data!$I542=SottocategorieEntrate[[#Headers],[Real Estate]],SottocategorieEntrate[[#Headers],[Other]]),"$ -","")</f>
        <v/>
      </c>
      <c r="P542" s="59" t="str">
        <f>IF(OR($I542&lt;&gt;SottocategorieEntrate[[#Headers],[Business Entrate]],$I542&lt;&gt;SottocategorieEntrate[[#Headers],[Varie Entrate]],$I542&lt;&gt;SottocategorieEntrate[[#Headers],[Real Estate]],$I542&lt;&gt;SottocategorieEntrate[[#Headers],[Other]]),"","$ -")</f>
        <v/>
      </c>
      <c r="Q542" s="59" t="str">
        <f>IF(Dati[[#This Row],[Categoria]]="Prelievo","€ -","")</f>
        <v/>
      </c>
      <c r="R542" s="244"/>
      <c r="S542" s="59" t="str">
        <f>IF(Dati[[#This Row],[Categoria]]="Savings",0,"")</f>
        <v/>
      </c>
      <c r="T542" s="59"/>
      <c r="U542" s="59"/>
      <c r="V542" s="59"/>
      <c r="W542" s="59"/>
      <c r="X542" s="59"/>
      <c r="Y542" s="59"/>
      <c r="Z542" s="59"/>
      <c r="AA542" s="59"/>
      <c r="AB542" s="59"/>
      <c r="AC542" s="59"/>
      <c r="AD542" s="59"/>
      <c r="AE542" s="59"/>
      <c r="AF542" s="59"/>
      <c r="AG542" s="59"/>
      <c r="AH542" s="59"/>
      <c r="AI542" s="59" t="str">
        <f>IF(SUM(Dati[[#This Row],[Inv. Business]:[Inv. Cryptocurrency]])=0," ",SUM(Dati[[#This Row],[Inv. Business]:[Inv. Cryptocurrency]]))</f>
        <v xml:space="preserve"> </v>
      </c>
      <c r="AJ542" s="59"/>
      <c r="AK542" s="59" t="str">
        <f>IF(SUM(Dati[[#This Row],[Inv. Gold]:[Mutuo]])=0," ",SUM(Dati[[#This Row],[Inv. Gold]:[Mutuo]]))</f>
        <v xml:space="preserve"> </v>
      </c>
      <c r="AL542" s="59"/>
      <c r="AM542" s="59"/>
    </row>
    <row r="543" spans="2:39" x14ac:dyDescent="0.35">
      <c r="B543">
        <f t="shared" si="23"/>
        <v>523</v>
      </c>
      <c r="C543" s="49">
        <f t="shared" si="22"/>
        <v>45340</v>
      </c>
      <c r="D543" s="29">
        <f>DAY(Dati[[#This Row],[Data]])</f>
        <v>18</v>
      </c>
      <c r="E543" s="29" t="str">
        <f>IF(DAY(Data!$C$21:$C$1327)&gt;0,TEXT(Data!$C$21:$C$1327, "mmmm"),"")</f>
        <v>febbraio</v>
      </c>
      <c r="F543" s="29" t="str">
        <f>IF(DAY(Data!$C$21:$C$1327)&gt;0,TEXT(Data!$C$21:$C$1327, "aaaa"),"")</f>
        <v>2024</v>
      </c>
      <c r="I543" t="str">
        <f>IF(OR(H543=$B$5,H543=$B$6,H543=$B$7,H543=$B$8,H543=$B$9,H543=$B$10,H543=$B$11,H543=$B$12,H543=$B$13,H543=$B$14),SottocategorieUscite[[#Headers],[Fuori Casa]],IF(OR(H543=$C$5,H543=$C$6,H543=$C$7,H543=$C$8,H543=$C$9,H543=$C$10,H543=$C$11,H543=$C$12,H543=$C$13,H543=$C$14),SottocategorieUscite[[#Headers],[Varie Uscite]],IF(OR(H543=$D$5,H543=$D$6,H543=$D$7,H543=$D$8,H543=$D$9,H543=$D$10,H543=$D$11,H543=$D$12,H543=$D$13,H543=$D$14),SottocategorieUscite[[#Headers],[Personali]],IF(OR(H543=$E$5,H543=$E$6,H543=$E$7,H543=$E$8,H543=$E$9,H543=$E$10,H543=$E$11,H543=$E$12,H543=$E$13,H543=$E$14),SottocategorieUscite[[#Headers],[Lavoro]],IF(OR(H543=$F$5,H543=$F$6,H543=$F$7,H543=$F$8,H543=$F$9,H543=$F$10,H543=$F$11,H543=$F$12,H543=$F$13,H543=$F$14),SottocategorieUscite[[#Headers],[Casa]],IF(OR(H543=$G$5,H543=$G$6,H543=$G$7,H543=$G$8,H543=$G$9,H543=$G$10,H543=$G$11,H543=$G$12,H543=$G$13,H543=$G$14),SottocategorieUscite[[#Headers],[Utenze]],IF(OR(H543=$H$5,H543=$H$6,H543=$H$7,H543=$H$8,H543=$H$9,H543=$H$10,H543=$H$11,H543=$H$12,H543=$H$13,H543=$H$14),SottocategorieUscite[[#Headers],[Business Uscite]],IF(OR(H543=$I$5,H543=$I$6,H543=$I$7,H543=$I$8,H543=$I$9,H543=$I$10,H543=$I$11,H543=$I$12,H543=$I$13,H543=$I$14),SottocategorieUscite[[#Headers],[Banca]],IF(OR(H543=K$5,H543=K$6,H543=K$7,H543=K$8,H543=K$9,H543=K$10,H543=K$11,H543=K$12,H543=K$13,H543=K$14),SottocategorieEntrate[[#Headers],[Business Entrate]],IF(OR(H543=L$5,H543=L$6,H543=L$7,H543=L$8,H543=L$9,H543=L$10,H543=L$11,H543=L$12,H543=L$13,H543=L$14),SottocategorieEntrate[[#Headers],[Varie Entrate]],IF(OR(H543=M$5,H543=M$6,H543=M$7,H543=M$8,H543=M$9,H543=M$10,H543=M$11,H543=M$12,H543=M$13,H543=M$14),SottocategorieEntrate[[#Headers],[Real Estate]],IF(OR(H543=N$5,H543=N$6,H543=N$7,H543=N$8,H543=N$9,H543=N$10,H543=N$11,H543=N$12,H543=N$13,H543=N$14),SottocategorieEntrate[[#Headers],[Other]],""))))))))))))</f>
        <v/>
      </c>
      <c r="J543" t="str">
        <f>IF(OR(Dati[[#This Row],[Categoria]]="Bollette",Dati[[#This Row],[Categoria]]="Conto &amp; Carte BNL",Dati[[#This Row],[Categoria]]="Prelievo",Dati[[#This Row],[Categoria]]="Affitto",Dati[[#This Row],[Categoria]]="BNL(Interessi Creditori)"),"Carta",IF(Dati[[#This Row],[Categoria]]&lt;&gt;0,"Cash",""))</f>
        <v/>
      </c>
      <c r="K543" s="59" t="str">
        <f>IF(OR(Data!$I543=SottocategorieUscite[[#Headers],[Fuori Casa]],Data!$I543=SottocategorieUscite[[#Headers],[Varie Uscite]],Data!$I543=SottocategorieUscite[[#Headers],[Personali]],Data!$I543=SottocategorieUscite[[#Headers],[Lavoro]]),"$ -","")</f>
        <v/>
      </c>
      <c r="L543" s="59" t="str">
        <f>IF(OR(Data!$I543=SottocategorieUscite[[#Headers],[Casa]],Data!$I543=SottocategorieUscite[[#Headers],[Utenze]],Data!$I543=SottocategorieUscite[[#Headers],[Business Uscite]],Data!$I543=SottocategorieUscite[[#Headers],[Banca]]),"$ -","")</f>
        <v/>
      </c>
      <c r="M543" s="59" t="str">
        <f>IF(OR($I543&lt;&gt;SottocategorieUscite[[#Headers],[Fuori Casa]],$I543&lt;&gt;SottocategorieUscite[[#Headers],[Varie Uscite]],$I543&lt;&gt;SottocategorieUscite[[#Headers],[Personali]],$I543&lt;&gt;SottocategorieUscite[[#Headers],[Lavoro]],$I543&lt;&gt;SottocategorieUscite[[#Headers],[Casa]],$I543&lt;&gt;SottocategorieUscite[[#Headers],[Utenze]],$I543&lt;&gt;SottocategorieUscite[[#Headers],[Business Uscite]],$I543&lt;&gt;SottocategorieUscite[[#Headers],[Banca]]),"","$ -")</f>
        <v/>
      </c>
      <c r="N543" s="59" t="str">
        <f>IF(OR(Data!$I543=SottocategorieEntrate[[#Headers],[Business Entrate]],Data!$I543=SottocategorieEntrate[[#Headers],[Varie Entrate]]),"$ -","")</f>
        <v/>
      </c>
      <c r="O543" s="59" t="str">
        <f>IF(OR(Data!$I543=SottocategorieEntrate[[#Headers],[Real Estate]],SottocategorieEntrate[[#Headers],[Other]]),"$ -","")</f>
        <v/>
      </c>
      <c r="P543" s="59" t="str">
        <f>IF(OR($I543&lt;&gt;SottocategorieEntrate[[#Headers],[Business Entrate]],$I543&lt;&gt;SottocategorieEntrate[[#Headers],[Varie Entrate]],$I543&lt;&gt;SottocategorieEntrate[[#Headers],[Real Estate]],$I543&lt;&gt;SottocategorieEntrate[[#Headers],[Other]]),"","$ -")</f>
        <v/>
      </c>
      <c r="Q543" s="59" t="str">
        <f>IF(Dati[[#This Row],[Categoria]]="Prelievo","€ -","")</f>
        <v/>
      </c>
      <c r="R543" s="244"/>
      <c r="S543" s="59" t="str">
        <f>IF(Dati[[#This Row],[Categoria]]="Savings",0,"")</f>
        <v/>
      </c>
      <c r="T543" s="59"/>
      <c r="U543" s="59"/>
      <c r="V543" s="59"/>
      <c r="W543" s="59"/>
      <c r="X543" s="59"/>
      <c r="Y543" s="59"/>
      <c r="Z543" s="59"/>
      <c r="AA543" s="59"/>
      <c r="AB543" s="59"/>
      <c r="AC543" s="59"/>
      <c r="AD543" s="59"/>
      <c r="AE543" s="59"/>
      <c r="AF543" s="59"/>
      <c r="AG543" s="59"/>
      <c r="AH543" s="59"/>
      <c r="AI543" s="59" t="str">
        <f>IF(SUM(Dati[[#This Row],[Inv. Business]:[Inv. Cryptocurrency]])=0," ",SUM(Dati[[#This Row],[Inv. Business]:[Inv. Cryptocurrency]]))</f>
        <v xml:space="preserve"> </v>
      </c>
      <c r="AJ543" s="59"/>
      <c r="AK543" s="59" t="str">
        <f>IF(SUM(Dati[[#This Row],[Inv. Gold]:[Mutuo]])=0," ",SUM(Dati[[#This Row],[Inv. Gold]:[Mutuo]]))</f>
        <v xml:space="preserve"> </v>
      </c>
      <c r="AL543" s="59"/>
      <c r="AM543" s="59"/>
    </row>
    <row r="544" spans="2:39" x14ac:dyDescent="0.35">
      <c r="B544">
        <f t="shared" si="23"/>
        <v>524</v>
      </c>
      <c r="C544" s="49">
        <f t="shared" si="22"/>
        <v>45341</v>
      </c>
      <c r="D544" s="29">
        <f>DAY(Dati[[#This Row],[Data]])</f>
        <v>19</v>
      </c>
      <c r="E544" s="29" t="str">
        <f>IF(DAY(Data!$C$21:$C$1327)&gt;0,TEXT(Data!$C$21:$C$1327, "mmmm"),"")</f>
        <v>febbraio</v>
      </c>
      <c r="F544" s="29" t="str">
        <f>IF(DAY(Data!$C$21:$C$1327)&gt;0,TEXT(Data!$C$21:$C$1327, "aaaa"),"")</f>
        <v>2024</v>
      </c>
      <c r="I544" t="str">
        <f>IF(OR(H544=$B$5,H544=$B$6,H544=$B$7,H544=$B$8,H544=$B$9,H544=$B$10,H544=$B$11,H544=$B$12,H544=$B$13,H544=$B$14),SottocategorieUscite[[#Headers],[Fuori Casa]],IF(OR(H544=$C$5,H544=$C$6,H544=$C$7,H544=$C$8,H544=$C$9,H544=$C$10,H544=$C$11,H544=$C$12,H544=$C$13,H544=$C$14),SottocategorieUscite[[#Headers],[Varie Uscite]],IF(OR(H544=$D$5,H544=$D$6,H544=$D$7,H544=$D$8,H544=$D$9,H544=$D$10,H544=$D$11,H544=$D$12,H544=$D$13,H544=$D$14),SottocategorieUscite[[#Headers],[Personali]],IF(OR(H544=$E$5,H544=$E$6,H544=$E$7,H544=$E$8,H544=$E$9,H544=$E$10,H544=$E$11,H544=$E$12,H544=$E$13,H544=$E$14),SottocategorieUscite[[#Headers],[Lavoro]],IF(OR(H544=$F$5,H544=$F$6,H544=$F$7,H544=$F$8,H544=$F$9,H544=$F$10,H544=$F$11,H544=$F$12,H544=$F$13,H544=$F$14),SottocategorieUscite[[#Headers],[Casa]],IF(OR(H544=$G$5,H544=$G$6,H544=$G$7,H544=$G$8,H544=$G$9,H544=$G$10,H544=$G$11,H544=$G$12,H544=$G$13,H544=$G$14),SottocategorieUscite[[#Headers],[Utenze]],IF(OR(H544=$H$5,H544=$H$6,H544=$H$7,H544=$H$8,H544=$H$9,H544=$H$10,H544=$H$11,H544=$H$12,H544=$H$13,H544=$H$14),SottocategorieUscite[[#Headers],[Business Uscite]],IF(OR(H544=$I$5,H544=$I$6,H544=$I$7,H544=$I$8,H544=$I$9,H544=$I$10,H544=$I$11,H544=$I$12,H544=$I$13,H544=$I$14),SottocategorieUscite[[#Headers],[Banca]],IF(OR(H544=K$5,H544=K$6,H544=K$7,H544=K$8,H544=K$9,H544=K$10,H544=K$11,H544=K$12,H544=K$13,H544=K$14),SottocategorieEntrate[[#Headers],[Business Entrate]],IF(OR(H544=L$5,H544=L$6,H544=L$7,H544=L$8,H544=L$9,H544=L$10,H544=L$11,H544=L$12,H544=L$13,H544=L$14),SottocategorieEntrate[[#Headers],[Varie Entrate]],IF(OR(H544=M$5,H544=M$6,H544=M$7,H544=M$8,H544=M$9,H544=M$10,H544=M$11,H544=M$12,H544=M$13,H544=M$14),SottocategorieEntrate[[#Headers],[Real Estate]],IF(OR(H544=N$5,H544=N$6,H544=N$7,H544=N$8,H544=N$9,H544=N$10,H544=N$11,H544=N$12,H544=N$13,H544=N$14),SottocategorieEntrate[[#Headers],[Other]],""))))))))))))</f>
        <v/>
      </c>
      <c r="J544" t="str">
        <f>IF(OR(Dati[[#This Row],[Categoria]]="Bollette",Dati[[#This Row],[Categoria]]="Conto &amp; Carte BNL",Dati[[#This Row],[Categoria]]="Prelievo",Dati[[#This Row],[Categoria]]="Affitto",Dati[[#This Row],[Categoria]]="BNL(Interessi Creditori)"),"Carta",IF(Dati[[#This Row],[Categoria]]&lt;&gt;0,"Cash",""))</f>
        <v/>
      </c>
      <c r="K544" s="59" t="str">
        <f>IF(OR(Data!$I544=SottocategorieUscite[[#Headers],[Fuori Casa]],Data!$I544=SottocategorieUscite[[#Headers],[Varie Uscite]],Data!$I544=SottocategorieUscite[[#Headers],[Personali]],Data!$I544=SottocategorieUscite[[#Headers],[Lavoro]]),"$ -","")</f>
        <v/>
      </c>
      <c r="L544" s="59" t="str">
        <f>IF(OR(Data!$I544=SottocategorieUscite[[#Headers],[Casa]],Data!$I544=SottocategorieUscite[[#Headers],[Utenze]],Data!$I544=SottocategorieUscite[[#Headers],[Business Uscite]],Data!$I544=SottocategorieUscite[[#Headers],[Banca]]),"$ -","")</f>
        <v/>
      </c>
      <c r="M544" s="59" t="str">
        <f>IF(OR($I544&lt;&gt;SottocategorieUscite[[#Headers],[Fuori Casa]],$I544&lt;&gt;SottocategorieUscite[[#Headers],[Varie Uscite]],$I544&lt;&gt;SottocategorieUscite[[#Headers],[Personali]],$I544&lt;&gt;SottocategorieUscite[[#Headers],[Lavoro]],$I544&lt;&gt;SottocategorieUscite[[#Headers],[Casa]],$I544&lt;&gt;SottocategorieUscite[[#Headers],[Utenze]],$I544&lt;&gt;SottocategorieUscite[[#Headers],[Business Uscite]],$I544&lt;&gt;SottocategorieUscite[[#Headers],[Banca]]),"","$ -")</f>
        <v/>
      </c>
      <c r="N544" s="59" t="str">
        <f>IF(OR(Data!$I544=SottocategorieEntrate[[#Headers],[Business Entrate]],Data!$I544=SottocategorieEntrate[[#Headers],[Varie Entrate]]),"$ -","")</f>
        <v/>
      </c>
      <c r="O544" s="59" t="str">
        <f>IF(OR(Data!$I544=SottocategorieEntrate[[#Headers],[Real Estate]],SottocategorieEntrate[[#Headers],[Other]]),"$ -","")</f>
        <v/>
      </c>
      <c r="P544" s="59" t="str">
        <f>IF(OR($I544&lt;&gt;SottocategorieEntrate[[#Headers],[Business Entrate]],$I544&lt;&gt;SottocategorieEntrate[[#Headers],[Varie Entrate]],$I544&lt;&gt;SottocategorieEntrate[[#Headers],[Real Estate]],$I544&lt;&gt;SottocategorieEntrate[[#Headers],[Other]]),"","$ -")</f>
        <v/>
      </c>
      <c r="Q544" s="59" t="str">
        <f>IF(Dati[[#This Row],[Categoria]]="Prelievo","€ -","")</f>
        <v/>
      </c>
      <c r="R544" s="244"/>
      <c r="S544" s="59" t="str">
        <f>IF(Dati[[#This Row],[Categoria]]="Savings",0,"")</f>
        <v/>
      </c>
      <c r="T544" s="59"/>
      <c r="U544" s="59"/>
      <c r="V544" s="59"/>
      <c r="W544" s="59"/>
      <c r="X544" s="59"/>
      <c r="Y544" s="59"/>
      <c r="Z544" s="59"/>
      <c r="AA544" s="59"/>
      <c r="AB544" s="59"/>
      <c r="AC544" s="59"/>
      <c r="AD544" s="59"/>
      <c r="AE544" s="59"/>
      <c r="AF544" s="59"/>
      <c r="AG544" s="59"/>
      <c r="AH544" s="59"/>
      <c r="AI544" s="59" t="str">
        <f>IF(SUM(Dati[[#This Row],[Inv. Business]:[Inv. Cryptocurrency]])=0," ",SUM(Dati[[#This Row],[Inv. Business]:[Inv. Cryptocurrency]]))</f>
        <v xml:space="preserve"> </v>
      </c>
      <c r="AJ544" s="59"/>
      <c r="AK544" s="59" t="str">
        <f>IF(SUM(Dati[[#This Row],[Inv. Gold]:[Mutuo]])=0," ",SUM(Dati[[#This Row],[Inv. Gold]:[Mutuo]]))</f>
        <v xml:space="preserve"> </v>
      </c>
      <c r="AL544" s="59"/>
      <c r="AM544" s="59"/>
    </row>
    <row r="545" spans="2:39" x14ac:dyDescent="0.35">
      <c r="B545">
        <f t="shared" si="23"/>
        <v>525</v>
      </c>
      <c r="C545" s="49">
        <f t="shared" si="22"/>
        <v>45342</v>
      </c>
      <c r="D545" s="29">
        <f>DAY(Dati[[#This Row],[Data]])</f>
        <v>20</v>
      </c>
      <c r="E545" s="29" t="str">
        <f>IF(DAY(Data!$C$21:$C$1327)&gt;0,TEXT(Data!$C$21:$C$1327, "mmmm"),"")</f>
        <v>febbraio</v>
      </c>
      <c r="F545" s="29" t="str">
        <f>IF(DAY(Data!$C$21:$C$1327)&gt;0,TEXT(Data!$C$21:$C$1327, "aaaa"),"")</f>
        <v>2024</v>
      </c>
      <c r="I545" t="str">
        <f>IF(OR(H545=$B$5,H545=$B$6,H545=$B$7,H545=$B$8,H545=$B$9,H545=$B$10,H545=$B$11,H545=$B$12,H545=$B$13,H545=$B$14),SottocategorieUscite[[#Headers],[Fuori Casa]],IF(OR(H545=$C$5,H545=$C$6,H545=$C$7,H545=$C$8,H545=$C$9,H545=$C$10,H545=$C$11,H545=$C$12,H545=$C$13,H545=$C$14),SottocategorieUscite[[#Headers],[Varie Uscite]],IF(OR(H545=$D$5,H545=$D$6,H545=$D$7,H545=$D$8,H545=$D$9,H545=$D$10,H545=$D$11,H545=$D$12,H545=$D$13,H545=$D$14),SottocategorieUscite[[#Headers],[Personali]],IF(OR(H545=$E$5,H545=$E$6,H545=$E$7,H545=$E$8,H545=$E$9,H545=$E$10,H545=$E$11,H545=$E$12,H545=$E$13,H545=$E$14),SottocategorieUscite[[#Headers],[Lavoro]],IF(OR(H545=$F$5,H545=$F$6,H545=$F$7,H545=$F$8,H545=$F$9,H545=$F$10,H545=$F$11,H545=$F$12,H545=$F$13,H545=$F$14),SottocategorieUscite[[#Headers],[Casa]],IF(OR(H545=$G$5,H545=$G$6,H545=$G$7,H545=$G$8,H545=$G$9,H545=$G$10,H545=$G$11,H545=$G$12,H545=$G$13,H545=$G$14),SottocategorieUscite[[#Headers],[Utenze]],IF(OR(H545=$H$5,H545=$H$6,H545=$H$7,H545=$H$8,H545=$H$9,H545=$H$10,H545=$H$11,H545=$H$12,H545=$H$13,H545=$H$14),SottocategorieUscite[[#Headers],[Business Uscite]],IF(OR(H545=$I$5,H545=$I$6,H545=$I$7,H545=$I$8,H545=$I$9,H545=$I$10,H545=$I$11,H545=$I$12,H545=$I$13,H545=$I$14),SottocategorieUscite[[#Headers],[Banca]],IF(OR(H545=K$5,H545=K$6,H545=K$7,H545=K$8,H545=K$9,H545=K$10,H545=K$11,H545=K$12,H545=K$13,H545=K$14),SottocategorieEntrate[[#Headers],[Business Entrate]],IF(OR(H545=L$5,H545=L$6,H545=L$7,H545=L$8,H545=L$9,H545=L$10,H545=L$11,H545=L$12,H545=L$13,H545=L$14),SottocategorieEntrate[[#Headers],[Varie Entrate]],IF(OR(H545=M$5,H545=M$6,H545=M$7,H545=M$8,H545=M$9,H545=M$10,H545=M$11,H545=M$12,H545=M$13,H545=M$14),SottocategorieEntrate[[#Headers],[Real Estate]],IF(OR(H545=N$5,H545=N$6,H545=N$7,H545=N$8,H545=N$9,H545=N$10,H545=N$11,H545=N$12,H545=N$13,H545=N$14),SottocategorieEntrate[[#Headers],[Other]],""))))))))))))</f>
        <v/>
      </c>
      <c r="J545" t="str">
        <f>IF(OR(Dati[[#This Row],[Categoria]]="Bollette",Dati[[#This Row],[Categoria]]="Conto &amp; Carte BNL",Dati[[#This Row],[Categoria]]="Prelievo",Dati[[#This Row],[Categoria]]="Affitto",Dati[[#This Row],[Categoria]]="BNL(Interessi Creditori)"),"Carta",IF(Dati[[#This Row],[Categoria]]&lt;&gt;0,"Cash",""))</f>
        <v/>
      </c>
      <c r="K545" s="59" t="str">
        <f>IF(OR(Data!$I545=SottocategorieUscite[[#Headers],[Fuori Casa]],Data!$I545=SottocategorieUscite[[#Headers],[Varie Uscite]],Data!$I545=SottocategorieUscite[[#Headers],[Personali]],Data!$I545=SottocategorieUscite[[#Headers],[Lavoro]]),"$ -","")</f>
        <v/>
      </c>
      <c r="L545" s="59" t="str">
        <f>IF(OR(Data!$I545=SottocategorieUscite[[#Headers],[Casa]],Data!$I545=SottocategorieUscite[[#Headers],[Utenze]],Data!$I545=SottocategorieUscite[[#Headers],[Business Uscite]],Data!$I545=SottocategorieUscite[[#Headers],[Banca]]),"$ -","")</f>
        <v/>
      </c>
      <c r="M545" s="59" t="str">
        <f>IF(OR($I545&lt;&gt;SottocategorieUscite[[#Headers],[Fuori Casa]],$I545&lt;&gt;SottocategorieUscite[[#Headers],[Varie Uscite]],$I545&lt;&gt;SottocategorieUscite[[#Headers],[Personali]],$I545&lt;&gt;SottocategorieUscite[[#Headers],[Lavoro]],$I545&lt;&gt;SottocategorieUscite[[#Headers],[Casa]],$I545&lt;&gt;SottocategorieUscite[[#Headers],[Utenze]],$I545&lt;&gt;SottocategorieUscite[[#Headers],[Business Uscite]],$I545&lt;&gt;SottocategorieUscite[[#Headers],[Banca]]),"","$ -")</f>
        <v/>
      </c>
      <c r="N545" s="59" t="str">
        <f>IF(OR(Data!$I545=SottocategorieEntrate[[#Headers],[Business Entrate]],Data!$I545=SottocategorieEntrate[[#Headers],[Varie Entrate]]),"$ -","")</f>
        <v/>
      </c>
      <c r="O545" s="59" t="str">
        <f>IF(OR(Data!$I545=SottocategorieEntrate[[#Headers],[Real Estate]],SottocategorieEntrate[[#Headers],[Other]]),"$ -","")</f>
        <v/>
      </c>
      <c r="P545" s="59" t="str">
        <f>IF(OR($I545&lt;&gt;SottocategorieEntrate[[#Headers],[Business Entrate]],$I545&lt;&gt;SottocategorieEntrate[[#Headers],[Varie Entrate]],$I545&lt;&gt;SottocategorieEntrate[[#Headers],[Real Estate]],$I545&lt;&gt;SottocategorieEntrate[[#Headers],[Other]]),"","$ -")</f>
        <v/>
      </c>
      <c r="Q545" s="59" t="str">
        <f>IF(Dati[[#This Row],[Categoria]]="Prelievo","€ -","")</f>
        <v/>
      </c>
      <c r="R545" s="244"/>
      <c r="S545" s="59" t="str">
        <f>IF(Dati[[#This Row],[Categoria]]="Savings",0,"")</f>
        <v/>
      </c>
      <c r="T545" s="59"/>
      <c r="U545" s="59"/>
      <c r="V545" s="59"/>
      <c r="W545" s="59"/>
      <c r="X545" s="59"/>
      <c r="Y545" s="59"/>
      <c r="Z545" s="59"/>
      <c r="AA545" s="59"/>
      <c r="AB545" s="59"/>
      <c r="AC545" s="59"/>
      <c r="AD545" s="59"/>
      <c r="AE545" s="59"/>
      <c r="AF545" s="59"/>
      <c r="AG545" s="59"/>
      <c r="AH545" s="59"/>
      <c r="AI545" s="59" t="str">
        <f>IF(SUM(Dati[[#This Row],[Inv. Business]:[Inv. Cryptocurrency]])=0," ",SUM(Dati[[#This Row],[Inv. Business]:[Inv. Cryptocurrency]]))</f>
        <v xml:space="preserve"> </v>
      </c>
      <c r="AJ545" s="59"/>
      <c r="AK545" s="59" t="str">
        <f>IF(SUM(Dati[[#This Row],[Inv. Gold]:[Mutuo]])=0," ",SUM(Dati[[#This Row],[Inv. Gold]:[Mutuo]]))</f>
        <v xml:space="preserve"> </v>
      </c>
      <c r="AL545" s="59"/>
      <c r="AM545" s="59"/>
    </row>
    <row r="546" spans="2:39" x14ac:dyDescent="0.35">
      <c r="B546">
        <f t="shared" si="23"/>
        <v>526</v>
      </c>
      <c r="C546" s="49">
        <f t="shared" si="22"/>
        <v>45343</v>
      </c>
      <c r="D546" s="29">
        <f>DAY(Dati[[#This Row],[Data]])</f>
        <v>21</v>
      </c>
      <c r="E546" s="29" t="str">
        <f>IF(DAY(Data!$C$21:$C$1327)&gt;0,TEXT(Data!$C$21:$C$1327, "mmmm"),"")</f>
        <v>febbraio</v>
      </c>
      <c r="F546" s="29" t="str">
        <f>IF(DAY(Data!$C$21:$C$1327)&gt;0,TEXT(Data!$C$21:$C$1327, "aaaa"),"")</f>
        <v>2024</v>
      </c>
      <c r="I546" t="str">
        <f>IF(OR(H546=$B$5,H546=$B$6,H546=$B$7,H546=$B$8,H546=$B$9,H546=$B$10,H546=$B$11,H546=$B$12,H546=$B$13,H546=$B$14),SottocategorieUscite[[#Headers],[Fuori Casa]],IF(OR(H546=$C$5,H546=$C$6,H546=$C$7,H546=$C$8,H546=$C$9,H546=$C$10,H546=$C$11,H546=$C$12,H546=$C$13,H546=$C$14),SottocategorieUscite[[#Headers],[Varie Uscite]],IF(OR(H546=$D$5,H546=$D$6,H546=$D$7,H546=$D$8,H546=$D$9,H546=$D$10,H546=$D$11,H546=$D$12,H546=$D$13,H546=$D$14),SottocategorieUscite[[#Headers],[Personali]],IF(OR(H546=$E$5,H546=$E$6,H546=$E$7,H546=$E$8,H546=$E$9,H546=$E$10,H546=$E$11,H546=$E$12,H546=$E$13,H546=$E$14),SottocategorieUscite[[#Headers],[Lavoro]],IF(OR(H546=$F$5,H546=$F$6,H546=$F$7,H546=$F$8,H546=$F$9,H546=$F$10,H546=$F$11,H546=$F$12,H546=$F$13,H546=$F$14),SottocategorieUscite[[#Headers],[Casa]],IF(OR(H546=$G$5,H546=$G$6,H546=$G$7,H546=$G$8,H546=$G$9,H546=$G$10,H546=$G$11,H546=$G$12,H546=$G$13,H546=$G$14),SottocategorieUscite[[#Headers],[Utenze]],IF(OR(H546=$H$5,H546=$H$6,H546=$H$7,H546=$H$8,H546=$H$9,H546=$H$10,H546=$H$11,H546=$H$12,H546=$H$13,H546=$H$14),SottocategorieUscite[[#Headers],[Business Uscite]],IF(OR(H546=$I$5,H546=$I$6,H546=$I$7,H546=$I$8,H546=$I$9,H546=$I$10,H546=$I$11,H546=$I$12,H546=$I$13,H546=$I$14),SottocategorieUscite[[#Headers],[Banca]],IF(OR(H546=K$5,H546=K$6,H546=K$7,H546=K$8,H546=K$9,H546=K$10,H546=K$11,H546=K$12,H546=K$13,H546=K$14),SottocategorieEntrate[[#Headers],[Business Entrate]],IF(OR(H546=L$5,H546=L$6,H546=L$7,H546=L$8,H546=L$9,H546=L$10,H546=L$11,H546=L$12,H546=L$13,H546=L$14),SottocategorieEntrate[[#Headers],[Varie Entrate]],IF(OR(H546=M$5,H546=M$6,H546=M$7,H546=M$8,H546=M$9,H546=M$10,H546=M$11,H546=M$12,H546=M$13,H546=M$14),SottocategorieEntrate[[#Headers],[Real Estate]],IF(OR(H546=N$5,H546=N$6,H546=N$7,H546=N$8,H546=N$9,H546=N$10,H546=N$11,H546=N$12,H546=N$13,H546=N$14),SottocategorieEntrate[[#Headers],[Other]],""))))))))))))</f>
        <v/>
      </c>
      <c r="J546" t="str">
        <f>IF(OR(Dati[[#This Row],[Categoria]]="Bollette",Dati[[#This Row],[Categoria]]="Conto &amp; Carte BNL",Dati[[#This Row],[Categoria]]="Prelievo",Dati[[#This Row],[Categoria]]="Affitto",Dati[[#This Row],[Categoria]]="BNL(Interessi Creditori)"),"Carta",IF(Dati[[#This Row],[Categoria]]&lt;&gt;0,"Cash",""))</f>
        <v/>
      </c>
      <c r="K546" s="59" t="str">
        <f>IF(OR(Data!$I546=SottocategorieUscite[[#Headers],[Fuori Casa]],Data!$I546=SottocategorieUscite[[#Headers],[Varie Uscite]],Data!$I546=SottocategorieUscite[[#Headers],[Personali]],Data!$I546=SottocategorieUscite[[#Headers],[Lavoro]]),"$ -","")</f>
        <v/>
      </c>
      <c r="L546" s="59" t="str">
        <f>IF(OR(Data!$I546=SottocategorieUscite[[#Headers],[Casa]],Data!$I546=SottocategorieUscite[[#Headers],[Utenze]],Data!$I546=SottocategorieUscite[[#Headers],[Business Uscite]],Data!$I546=SottocategorieUscite[[#Headers],[Banca]]),"$ -","")</f>
        <v/>
      </c>
      <c r="M546" s="59" t="str">
        <f>IF(OR($I546&lt;&gt;SottocategorieUscite[[#Headers],[Fuori Casa]],$I546&lt;&gt;SottocategorieUscite[[#Headers],[Varie Uscite]],$I546&lt;&gt;SottocategorieUscite[[#Headers],[Personali]],$I546&lt;&gt;SottocategorieUscite[[#Headers],[Lavoro]],$I546&lt;&gt;SottocategorieUscite[[#Headers],[Casa]],$I546&lt;&gt;SottocategorieUscite[[#Headers],[Utenze]],$I546&lt;&gt;SottocategorieUscite[[#Headers],[Business Uscite]],$I546&lt;&gt;SottocategorieUscite[[#Headers],[Banca]]),"","$ -")</f>
        <v/>
      </c>
      <c r="N546" s="59" t="str">
        <f>IF(OR(Data!$I546=SottocategorieEntrate[[#Headers],[Business Entrate]],Data!$I546=SottocategorieEntrate[[#Headers],[Varie Entrate]]),"$ -","")</f>
        <v/>
      </c>
      <c r="O546" s="59" t="str">
        <f>IF(OR(Data!$I546=SottocategorieEntrate[[#Headers],[Real Estate]],SottocategorieEntrate[[#Headers],[Other]]),"$ -","")</f>
        <v/>
      </c>
      <c r="P546" s="59" t="str">
        <f>IF(OR($I546&lt;&gt;SottocategorieEntrate[[#Headers],[Business Entrate]],$I546&lt;&gt;SottocategorieEntrate[[#Headers],[Varie Entrate]],$I546&lt;&gt;SottocategorieEntrate[[#Headers],[Real Estate]],$I546&lt;&gt;SottocategorieEntrate[[#Headers],[Other]]),"","$ -")</f>
        <v/>
      </c>
      <c r="Q546" s="59" t="str">
        <f>IF(Dati[[#This Row],[Categoria]]="Prelievo","€ -","")</f>
        <v/>
      </c>
      <c r="R546" s="244"/>
      <c r="S546" s="59" t="str">
        <f>IF(Dati[[#This Row],[Categoria]]="Savings",0,"")</f>
        <v/>
      </c>
      <c r="T546" s="59"/>
      <c r="U546" s="59"/>
      <c r="V546" s="59"/>
      <c r="W546" s="59"/>
      <c r="X546" s="59"/>
      <c r="Y546" s="59"/>
      <c r="Z546" s="59"/>
      <c r="AA546" s="59"/>
      <c r="AB546" s="59"/>
      <c r="AC546" s="59"/>
      <c r="AD546" s="59"/>
      <c r="AE546" s="59"/>
      <c r="AF546" s="59"/>
      <c r="AG546" s="59"/>
      <c r="AH546" s="59"/>
      <c r="AI546" s="59" t="str">
        <f>IF(SUM(Dati[[#This Row],[Inv. Business]:[Inv. Cryptocurrency]])=0," ",SUM(Dati[[#This Row],[Inv. Business]:[Inv. Cryptocurrency]]))</f>
        <v xml:space="preserve"> </v>
      </c>
      <c r="AJ546" s="59"/>
      <c r="AK546" s="59" t="str">
        <f>IF(SUM(Dati[[#This Row],[Inv. Gold]:[Mutuo]])=0," ",SUM(Dati[[#This Row],[Inv. Gold]:[Mutuo]]))</f>
        <v xml:space="preserve"> </v>
      </c>
      <c r="AL546" s="59"/>
      <c r="AM546" s="59"/>
    </row>
    <row r="547" spans="2:39" x14ac:dyDescent="0.35">
      <c r="B547">
        <f t="shared" si="23"/>
        <v>527</v>
      </c>
      <c r="C547" s="49">
        <f t="shared" si="22"/>
        <v>45344</v>
      </c>
      <c r="D547" s="29">
        <f>DAY(Dati[[#This Row],[Data]])</f>
        <v>22</v>
      </c>
      <c r="E547" s="29" t="str">
        <f>IF(DAY(Data!$C$21:$C$1327)&gt;0,TEXT(Data!$C$21:$C$1327, "mmmm"),"")</f>
        <v>febbraio</v>
      </c>
      <c r="F547" s="29" t="str">
        <f>IF(DAY(Data!$C$21:$C$1327)&gt;0,TEXT(Data!$C$21:$C$1327, "aaaa"),"")</f>
        <v>2024</v>
      </c>
      <c r="I547" t="str">
        <f>IF(OR(H547=$B$5,H547=$B$6,H547=$B$7,H547=$B$8,H547=$B$9,H547=$B$10,H547=$B$11,H547=$B$12,H547=$B$13,H547=$B$14),SottocategorieUscite[[#Headers],[Fuori Casa]],IF(OR(H547=$C$5,H547=$C$6,H547=$C$7,H547=$C$8,H547=$C$9,H547=$C$10,H547=$C$11,H547=$C$12,H547=$C$13,H547=$C$14),SottocategorieUscite[[#Headers],[Varie Uscite]],IF(OR(H547=$D$5,H547=$D$6,H547=$D$7,H547=$D$8,H547=$D$9,H547=$D$10,H547=$D$11,H547=$D$12,H547=$D$13,H547=$D$14),SottocategorieUscite[[#Headers],[Personali]],IF(OR(H547=$E$5,H547=$E$6,H547=$E$7,H547=$E$8,H547=$E$9,H547=$E$10,H547=$E$11,H547=$E$12,H547=$E$13,H547=$E$14),SottocategorieUscite[[#Headers],[Lavoro]],IF(OR(H547=$F$5,H547=$F$6,H547=$F$7,H547=$F$8,H547=$F$9,H547=$F$10,H547=$F$11,H547=$F$12,H547=$F$13,H547=$F$14),SottocategorieUscite[[#Headers],[Casa]],IF(OR(H547=$G$5,H547=$G$6,H547=$G$7,H547=$G$8,H547=$G$9,H547=$G$10,H547=$G$11,H547=$G$12,H547=$G$13,H547=$G$14),SottocategorieUscite[[#Headers],[Utenze]],IF(OR(H547=$H$5,H547=$H$6,H547=$H$7,H547=$H$8,H547=$H$9,H547=$H$10,H547=$H$11,H547=$H$12,H547=$H$13,H547=$H$14),SottocategorieUscite[[#Headers],[Business Uscite]],IF(OR(H547=$I$5,H547=$I$6,H547=$I$7,H547=$I$8,H547=$I$9,H547=$I$10,H547=$I$11,H547=$I$12,H547=$I$13,H547=$I$14),SottocategorieUscite[[#Headers],[Banca]],IF(OR(H547=K$5,H547=K$6,H547=K$7,H547=K$8,H547=K$9,H547=K$10,H547=K$11,H547=K$12,H547=K$13,H547=K$14),SottocategorieEntrate[[#Headers],[Business Entrate]],IF(OR(H547=L$5,H547=L$6,H547=L$7,H547=L$8,H547=L$9,H547=L$10,H547=L$11,H547=L$12,H547=L$13,H547=L$14),SottocategorieEntrate[[#Headers],[Varie Entrate]],IF(OR(H547=M$5,H547=M$6,H547=M$7,H547=M$8,H547=M$9,H547=M$10,H547=M$11,H547=M$12,H547=M$13,H547=M$14),SottocategorieEntrate[[#Headers],[Real Estate]],IF(OR(H547=N$5,H547=N$6,H547=N$7,H547=N$8,H547=N$9,H547=N$10,H547=N$11,H547=N$12,H547=N$13,H547=N$14),SottocategorieEntrate[[#Headers],[Other]],""))))))))))))</f>
        <v/>
      </c>
      <c r="J547" t="str">
        <f>IF(OR(Dati[[#This Row],[Categoria]]="Bollette",Dati[[#This Row],[Categoria]]="Conto &amp; Carte BNL",Dati[[#This Row],[Categoria]]="Prelievo",Dati[[#This Row],[Categoria]]="Affitto",Dati[[#This Row],[Categoria]]="BNL(Interessi Creditori)"),"Carta",IF(Dati[[#This Row],[Categoria]]&lt;&gt;0,"Cash",""))</f>
        <v/>
      </c>
      <c r="K547" s="59" t="str">
        <f>IF(OR(Data!$I547=SottocategorieUscite[[#Headers],[Fuori Casa]],Data!$I547=SottocategorieUscite[[#Headers],[Varie Uscite]],Data!$I547=SottocategorieUscite[[#Headers],[Personali]],Data!$I547=SottocategorieUscite[[#Headers],[Lavoro]]),"$ -","")</f>
        <v/>
      </c>
      <c r="L547" s="59" t="str">
        <f>IF(OR(Data!$I547=SottocategorieUscite[[#Headers],[Casa]],Data!$I547=SottocategorieUscite[[#Headers],[Utenze]],Data!$I547=SottocategorieUscite[[#Headers],[Business Uscite]],Data!$I547=SottocategorieUscite[[#Headers],[Banca]]),"$ -","")</f>
        <v/>
      </c>
      <c r="M547" s="59" t="str">
        <f>IF(OR($I547&lt;&gt;SottocategorieUscite[[#Headers],[Fuori Casa]],$I547&lt;&gt;SottocategorieUscite[[#Headers],[Varie Uscite]],$I547&lt;&gt;SottocategorieUscite[[#Headers],[Personali]],$I547&lt;&gt;SottocategorieUscite[[#Headers],[Lavoro]],$I547&lt;&gt;SottocategorieUscite[[#Headers],[Casa]],$I547&lt;&gt;SottocategorieUscite[[#Headers],[Utenze]],$I547&lt;&gt;SottocategorieUscite[[#Headers],[Business Uscite]],$I547&lt;&gt;SottocategorieUscite[[#Headers],[Banca]]),"","$ -")</f>
        <v/>
      </c>
      <c r="N547" s="59" t="str">
        <f>IF(OR(Data!$I547=SottocategorieEntrate[[#Headers],[Business Entrate]],Data!$I547=SottocategorieEntrate[[#Headers],[Varie Entrate]]),"$ -","")</f>
        <v/>
      </c>
      <c r="O547" s="59" t="str">
        <f>IF(OR(Data!$I547=SottocategorieEntrate[[#Headers],[Real Estate]],SottocategorieEntrate[[#Headers],[Other]]),"$ -","")</f>
        <v/>
      </c>
      <c r="P547" s="59" t="str">
        <f>IF(OR($I547&lt;&gt;SottocategorieEntrate[[#Headers],[Business Entrate]],$I547&lt;&gt;SottocategorieEntrate[[#Headers],[Varie Entrate]],$I547&lt;&gt;SottocategorieEntrate[[#Headers],[Real Estate]],$I547&lt;&gt;SottocategorieEntrate[[#Headers],[Other]]),"","$ -")</f>
        <v/>
      </c>
      <c r="Q547" s="59" t="str">
        <f>IF(Dati[[#This Row],[Categoria]]="Prelievo","€ -","")</f>
        <v/>
      </c>
      <c r="R547" s="244"/>
      <c r="S547" s="59" t="str">
        <f>IF(Dati[[#This Row],[Categoria]]="Savings",0,"")</f>
        <v/>
      </c>
      <c r="T547" s="59"/>
      <c r="U547" s="59"/>
      <c r="V547" s="59"/>
      <c r="W547" s="59"/>
      <c r="X547" s="59"/>
      <c r="Y547" s="59"/>
      <c r="Z547" s="59"/>
      <c r="AA547" s="59"/>
      <c r="AB547" s="59"/>
      <c r="AC547" s="59"/>
      <c r="AD547" s="59"/>
      <c r="AE547" s="59"/>
      <c r="AF547" s="59"/>
      <c r="AG547" s="59"/>
      <c r="AH547" s="59"/>
      <c r="AI547" s="59" t="str">
        <f>IF(SUM(Dati[[#This Row],[Inv. Business]:[Inv. Cryptocurrency]])=0," ",SUM(Dati[[#This Row],[Inv. Business]:[Inv. Cryptocurrency]]))</f>
        <v xml:space="preserve"> </v>
      </c>
      <c r="AJ547" s="59"/>
      <c r="AK547" s="59" t="str">
        <f>IF(SUM(Dati[[#This Row],[Inv. Gold]:[Mutuo]])=0," ",SUM(Dati[[#This Row],[Inv. Gold]:[Mutuo]]))</f>
        <v xml:space="preserve"> </v>
      </c>
      <c r="AL547" s="59"/>
      <c r="AM547" s="59"/>
    </row>
    <row r="548" spans="2:39" x14ac:dyDescent="0.35">
      <c r="B548">
        <f t="shared" si="23"/>
        <v>528</v>
      </c>
      <c r="C548" s="49">
        <f t="shared" si="22"/>
        <v>45345</v>
      </c>
      <c r="D548" s="29">
        <f>DAY(Dati[[#This Row],[Data]])</f>
        <v>23</v>
      </c>
      <c r="E548" s="29" t="str">
        <f>IF(DAY(Data!$C$21:$C$1327)&gt;0,TEXT(Data!$C$21:$C$1327, "mmmm"),"")</f>
        <v>febbraio</v>
      </c>
      <c r="F548" s="29" t="str">
        <f>IF(DAY(Data!$C$21:$C$1327)&gt;0,TEXT(Data!$C$21:$C$1327, "aaaa"),"")</f>
        <v>2024</v>
      </c>
      <c r="I548" t="str">
        <f>IF(OR(H548=$B$5,H548=$B$6,H548=$B$7,H548=$B$8,H548=$B$9,H548=$B$10,H548=$B$11,H548=$B$12,H548=$B$13,H548=$B$14),SottocategorieUscite[[#Headers],[Fuori Casa]],IF(OR(H548=$C$5,H548=$C$6,H548=$C$7,H548=$C$8,H548=$C$9,H548=$C$10,H548=$C$11,H548=$C$12,H548=$C$13,H548=$C$14),SottocategorieUscite[[#Headers],[Varie Uscite]],IF(OR(H548=$D$5,H548=$D$6,H548=$D$7,H548=$D$8,H548=$D$9,H548=$D$10,H548=$D$11,H548=$D$12,H548=$D$13,H548=$D$14),SottocategorieUscite[[#Headers],[Personali]],IF(OR(H548=$E$5,H548=$E$6,H548=$E$7,H548=$E$8,H548=$E$9,H548=$E$10,H548=$E$11,H548=$E$12,H548=$E$13,H548=$E$14),SottocategorieUscite[[#Headers],[Lavoro]],IF(OR(H548=$F$5,H548=$F$6,H548=$F$7,H548=$F$8,H548=$F$9,H548=$F$10,H548=$F$11,H548=$F$12,H548=$F$13,H548=$F$14),SottocategorieUscite[[#Headers],[Casa]],IF(OR(H548=$G$5,H548=$G$6,H548=$G$7,H548=$G$8,H548=$G$9,H548=$G$10,H548=$G$11,H548=$G$12,H548=$G$13,H548=$G$14),SottocategorieUscite[[#Headers],[Utenze]],IF(OR(H548=$H$5,H548=$H$6,H548=$H$7,H548=$H$8,H548=$H$9,H548=$H$10,H548=$H$11,H548=$H$12,H548=$H$13,H548=$H$14),SottocategorieUscite[[#Headers],[Business Uscite]],IF(OR(H548=$I$5,H548=$I$6,H548=$I$7,H548=$I$8,H548=$I$9,H548=$I$10,H548=$I$11,H548=$I$12,H548=$I$13,H548=$I$14),SottocategorieUscite[[#Headers],[Banca]],IF(OR(H548=K$5,H548=K$6,H548=K$7,H548=K$8,H548=K$9,H548=K$10,H548=K$11,H548=K$12,H548=K$13,H548=K$14),SottocategorieEntrate[[#Headers],[Business Entrate]],IF(OR(H548=L$5,H548=L$6,H548=L$7,H548=L$8,H548=L$9,H548=L$10,H548=L$11,H548=L$12,H548=L$13,H548=L$14),SottocategorieEntrate[[#Headers],[Varie Entrate]],IF(OR(H548=M$5,H548=M$6,H548=M$7,H548=M$8,H548=M$9,H548=M$10,H548=M$11,H548=M$12,H548=M$13,H548=M$14),SottocategorieEntrate[[#Headers],[Real Estate]],IF(OR(H548=N$5,H548=N$6,H548=N$7,H548=N$8,H548=N$9,H548=N$10,H548=N$11,H548=N$12,H548=N$13,H548=N$14),SottocategorieEntrate[[#Headers],[Other]],""))))))))))))</f>
        <v/>
      </c>
      <c r="J548" t="str">
        <f>IF(OR(Dati[[#This Row],[Categoria]]="Bollette",Dati[[#This Row],[Categoria]]="Conto &amp; Carte BNL",Dati[[#This Row],[Categoria]]="Prelievo",Dati[[#This Row],[Categoria]]="Affitto",Dati[[#This Row],[Categoria]]="BNL(Interessi Creditori)"),"Carta",IF(Dati[[#This Row],[Categoria]]&lt;&gt;0,"Cash",""))</f>
        <v/>
      </c>
      <c r="K548" s="59" t="str">
        <f>IF(OR(Data!$I548=SottocategorieUscite[[#Headers],[Fuori Casa]],Data!$I548=SottocategorieUscite[[#Headers],[Varie Uscite]],Data!$I548=SottocategorieUscite[[#Headers],[Personali]],Data!$I548=SottocategorieUscite[[#Headers],[Lavoro]]),"$ -","")</f>
        <v/>
      </c>
      <c r="L548" s="59" t="str">
        <f>IF(OR(Data!$I548=SottocategorieUscite[[#Headers],[Casa]],Data!$I548=SottocategorieUscite[[#Headers],[Utenze]],Data!$I548=SottocategorieUscite[[#Headers],[Business Uscite]],Data!$I548=SottocategorieUscite[[#Headers],[Banca]]),"$ -","")</f>
        <v/>
      </c>
      <c r="M548" s="59" t="str">
        <f>IF(OR($I548&lt;&gt;SottocategorieUscite[[#Headers],[Fuori Casa]],$I548&lt;&gt;SottocategorieUscite[[#Headers],[Varie Uscite]],$I548&lt;&gt;SottocategorieUscite[[#Headers],[Personali]],$I548&lt;&gt;SottocategorieUscite[[#Headers],[Lavoro]],$I548&lt;&gt;SottocategorieUscite[[#Headers],[Casa]],$I548&lt;&gt;SottocategorieUscite[[#Headers],[Utenze]],$I548&lt;&gt;SottocategorieUscite[[#Headers],[Business Uscite]],$I548&lt;&gt;SottocategorieUscite[[#Headers],[Banca]]),"","$ -")</f>
        <v/>
      </c>
      <c r="N548" s="59" t="str">
        <f>IF(OR(Data!$I548=SottocategorieEntrate[[#Headers],[Business Entrate]],Data!$I548=SottocategorieEntrate[[#Headers],[Varie Entrate]]),"$ -","")</f>
        <v/>
      </c>
      <c r="O548" s="59" t="str">
        <f>IF(OR(Data!$I548=SottocategorieEntrate[[#Headers],[Real Estate]],SottocategorieEntrate[[#Headers],[Other]]),"$ -","")</f>
        <v/>
      </c>
      <c r="P548" s="59" t="str">
        <f>IF(OR($I548&lt;&gt;SottocategorieEntrate[[#Headers],[Business Entrate]],$I548&lt;&gt;SottocategorieEntrate[[#Headers],[Varie Entrate]],$I548&lt;&gt;SottocategorieEntrate[[#Headers],[Real Estate]],$I548&lt;&gt;SottocategorieEntrate[[#Headers],[Other]]),"","$ -")</f>
        <v/>
      </c>
      <c r="Q548" s="59" t="str">
        <f>IF(Dati[[#This Row],[Categoria]]="Prelievo","€ -","")</f>
        <v/>
      </c>
      <c r="R548" s="244"/>
      <c r="S548" s="59" t="str">
        <f>IF(Dati[[#This Row],[Categoria]]="Savings",0,"")</f>
        <v/>
      </c>
      <c r="T548" s="59"/>
      <c r="U548" s="59"/>
      <c r="V548" s="59"/>
      <c r="W548" s="59"/>
      <c r="X548" s="59"/>
      <c r="Y548" s="59"/>
      <c r="Z548" s="59"/>
      <c r="AA548" s="59"/>
      <c r="AB548" s="59"/>
      <c r="AC548" s="59"/>
      <c r="AD548" s="59"/>
      <c r="AE548" s="59"/>
      <c r="AF548" s="59"/>
      <c r="AG548" s="59"/>
      <c r="AH548" s="59"/>
      <c r="AI548" s="59" t="str">
        <f>IF(SUM(Dati[[#This Row],[Inv. Business]:[Inv. Cryptocurrency]])=0," ",SUM(Dati[[#This Row],[Inv. Business]:[Inv. Cryptocurrency]]))</f>
        <v xml:space="preserve"> </v>
      </c>
      <c r="AJ548" s="59"/>
      <c r="AK548" s="59" t="str">
        <f>IF(SUM(Dati[[#This Row],[Inv. Gold]:[Mutuo]])=0," ",SUM(Dati[[#This Row],[Inv. Gold]:[Mutuo]]))</f>
        <v xml:space="preserve"> </v>
      </c>
      <c r="AL548" s="59"/>
      <c r="AM548" s="59"/>
    </row>
    <row r="549" spans="2:39" x14ac:dyDescent="0.35">
      <c r="B549">
        <f t="shared" si="23"/>
        <v>529</v>
      </c>
      <c r="C549" s="49">
        <f t="shared" si="22"/>
        <v>45346</v>
      </c>
      <c r="D549" s="29">
        <f>DAY(Dati[[#This Row],[Data]])</f>
        <v>24</v>
      </c>
      <c r="E549" s="29" t="str">
        <f>IF(DAY(Data!$C$21:$C$1327)&gt;0,TEXT(Data!$C$21:$C$1327, "mmmm"),"")</f>
        <v>febbraio</v>
      </c>
      <c r="F549" s="29" t="str">
        <f>IF(DAY(Data!$C$21:$C$1327)&gt;0,TEXT(Data!$C$21:$C$1327, "aaaa"),"")</f>
        <v>2024</v>
      </c>
      <c r="I549" t="str">
        <f>IF(OR(H549=$B$5,H549=$B$6,H549=$B$7,H549=$B$8,H549=$B$9,H549=$B$10,H549=$B$11,H549=$B$12,H549=$B$13,H549=$B$14),SottocategorieUscite[[#Headers],[Fuori Casa]],IF(OR(H549=$C$5,H549=$C$6,H549=$C$7,H549=$C$8,H549=$C$9,H549=$C$10,H549=$C$11,H549=$C$12,H549=$C$13,H549=$C$14),SottocategorieUscite[[#Headers],[Varie Uscite]],IF(OR(H549=$D$5,H549=$D$6,H549=$D$7,H549=$D$8,H549=$D$9,H549=$D$10,H549=$D$11,H549=$D$12,H549=$D$13,H549=$D$14),SottocategorieUscite[[#Headers],[Personali]],IF(OR(H549=$E$5,H549=$E$6,H549=$E$7,H549=$E$8,H549=$E$9,H549=$E$10,H549=$E$11,H549=$E$12,H549=$E$13,H549=$E$14),SottocategorieUscite[[#Headers],[Lavoro]],IF(OR(H549=$F$5,H549=$F$6,H549=$F$7,H549=$F$8,H549=$F$9,H549=$F$10,H549=$F$11,H549=$F$12,H549=$F$13,H549=$F$14),SottocategorieUscite[[#Headers],[Casa]],IF(OR(H549=$G$5,H549=$G$6,H549=$G$7,H549=$G$8,H549=$G$9,H549=$G$10,H549=$G$11,H549=$G$12,H549=$G$13,H549=$G$14),SottocategorieUscite[[#Headers],[Utenze]],IF(OR(H549=$H$5,H549=$H$6,H549=$H$7,H549=$H$8,H549=$H$9,H549=$H$10,H549=$H$11,H549=$H$12,H549=$H$13,H549=$H$14),SottocategorieUscite[[#Headers],[Business Uscite]],IF(OR(H549=$I$5,H549=$I$6,H549=$I$7,H549=$I$8,H549=$I$9,H549=$I$10,H549=$I$11,H549=$I$12,H549=$I$13,H549=$I$14),SottocategorieUscite[[#Headers],[Banca]],IF(OR(H549=K$5,H549=K$6,H549=K$7,H549=K$8,H549=K$9,H549=K$10,H549=K$11,H549=K$12,H549=K$13,H549=K$14),SottocategorieEntrate[[#Headers],[Business Entrate]],IF(OR(H549=L$5,H549=L$6,H549=L$7,H549=L$8,H549=L$9,H549=L$10,H549=L$11,H549=L$12,H549=L$13,H549=L$14),SottocategorieEntrate[[#Headers],[Varie Entrate]],IF(OR(H549=M$5,H549=M$6,H549=M$7,H549=M$8,H549=M$9,H549=M$10,H549=M$11,H549=M$12,H549=M$13,H549=M$14),SottocategorieEntrate[[#Headers],[Real Estate]],IF(OR(H549=N$5,H549=N$6,H549=N$7,H549=N$8,H549=N$9,H549=N$10,H549=N$11,H549=N$12,H549=N$13,H549=N$14),SottocategorieEntrate[[#Headers],[Other]],""))))))))))))</f>
        <v/>
      </c>
      <c r="J549" t="str">
        <f>IF(OR(Dati[[#This Row],[Categoria]]="Bollette",Dati[[#This Row],[Categoria]]="Conto &amp; Carte BNL",Dati[[#This Row],[Categoria]]="Prelievo",Dati[[#This Row],[Categoria]]="Affitto",Dati[[#This Row],[Categoria]]="BNL(Interessi Creditori)"),"Carta",IF(Dati[[#This Row],[Categoria]]&lt;&gt;0,"Cash",""))</f>
        <v/>
      </c>
      <c r="K549" s="59" t="str">
        <f>IF(OR(Data!$I549=SottocategorieUscite[[#Headers],[Fuori Casa]],Data!$I549=SottocategorieUscite[[#Headers],[Varie Uscite]],Data!$I549=SottocategorieUscite[[#Headers],[Personali]],Data!$I549=SottocategorieUscite[[#Headers],[Lavoro]]),"$ -","")</f>
        <v/>
      </c>
      <c r="L549" s="59" t="str">
        <f>IF(OR(Data!$I549=SottocategorieUscite[[#Headers],[Casa]],Data!$I549=SottocategorieUscite[[#Headers],[Utenze]],Data!$I549=SottocategorieUscite[[#Headers],[Business Uscite]],Data!$I549=SottocategorieUscite[[#Headers],[Banca]]),"$ -","")</f>
        <v/>
      </c>
      <c r="M549" s="59" t="str">
        <f>IF(OR($I549&lt;&gt;SottocategorieUscite[[#Headers],[Fuori Casa]],$I549&lt;&gt;SottocategorieUscite[[#Headers],[Varie Uscite]],$I549&lt;&gt;SottocategorieUscite[[#Headers],[Personali]],$I549&lt;&gt;SottocategorieUscite[[#Headers],[Lavoro]],$I549&lt;&gt;SottocategorieUscite[[#Headers],[Casa]],$I549&lt;&gt;SottocategorieUscite[[#Headers],[Utenze]],$I549&lt;&gt;SottocategorieUscite[[#Headers],[Business Uscite]],$I549&lt;&gt;SottocategorieUscite[[#Headers],[Banca]]),"","$ -")</f>
        <v/>
      </c>
      <c r="N549" s="59" t="str">
        <f>IF(OR(Data!$I549=SottocategorieEntrate[[#Headers],[Business Entrate]],Data!$I549=SottocategorieEntrate[[#Headers],[Varie Entrate]]),"$ -","")</f>
        <v/>
      </c>
      <c r="O549" s="59" t="str">
        <f>IF(OR(Data!$I549=SottocategorieEntrate[[#Headers],[Real Estate]],SottocategorieEntrate[[#Headers],[Other]]),"$ -","")</f>
        <v/>
      </c>
      <c r="P549" s="59" t="str">
        <f>IF(OR($I549&lt;&gt;SottocategorieEntrate[[#Headers],[Business Entrate]],$I549&lt;&gt;SottocategorieEntrate[[#Headers],[Varie Entrate]],$I549&lt;&gt;SottocategorieEntrate[[#Headers],[Real Estate]],$I549&lt;&gt;SottocategorieEntrate[[#Headers],[Other]]),"","$ -")</f>
        <v/>
      </c>
      <c r="Q549" s="59" t="str">
        <f>IF(Dati[[#This Row],[Categoria]]="Prelievo","€ -","")</f>
        <v/>
      </c>
      <c r="R549" s="244"/>
      <c r="S549" s="59" t="str">
        <f>IF(Dati[[#This Row],[Categoria]]="Savings",0,"")</f>
        <v/>
      </c>
      <c r="T549" s="59"/>
      <c r="U549" s="59"/>
      <c r="V549" s="59"/>
      <c r="W549" s="59"/>
      <c r="X549" s="59"/>
      <c r="Y549" s="59"/>
      <c r="Z549" s="59"/>
      <c r="AA549" s="59"/>
      <c r="AB549" s="59"/>
      <c r="AC549" s="59"/>
      <c r="AD549" s="59"/>
      <c r="AE549" s="59"/>
      <c r="AF549" s="59"/>
      <c r="AG549" s="59"/>
      <c r="AH549" s="59"/>
      <c r="AI549" s="59" t="str">
        <f>IF(SUM(Dati[[#This Row],[Inv. Business]:[Inv. Cryptocurrency]])=0," ",SUM(Dati[[#This Row],[Inv. Business]:[Inv. Cryptocurrency]]))</f>
        <v xml:space="preserve"> </v>
      </c>
      <c r="AJ549" s="59"/>
      <c r="AK549" s="59" t="str">
        <f>IF(SUM(Dati[[#This Row],[Inv. Gold]:[Mutuo]])=0," ",SUM(Dati[[#This Row],[Inv. Gold]:[Mutuo]]))</f>
        <v xml:space="preserve"> </v>
      </c>
      <c r="AL549" s="59"/>
      <c r="AM549" s="59"/>
    </row>
    <row r="550" spans="2:39" x14ac:dyDescent="0.35">
      <c r="B550">
        <f t="shared" si="23"/>
        <v>530</v>
      </c>
      <c r="C550" s="49">
        <f>C548+1</f>
        <v>45346</v>
      </c>
      <c r="D550" s="29">
        <f>DAY(Dati[[#This Row],[Data]])</f>
        <v>24</v>
      </c>
      <c r="E550" s="29" t="str">
        <f>IF(DAY(Data!$C$21:$C$1327)&gt;0,TEXT(Data!$C$21:$C$1327, "mmmm"),"")</f>
        <v>febbraio</v>
      </c>
      <c r="F550" s="29" t="str">
        <f>IF(DAY(Data!$C$21:$C$1327)&gt;0,TEXT(Data!$C$21:$C$1327, "aaaa"),"")</f>
        <v>2024</v>
      </c>
      <c r="I550" t="str">
        <f>IF(OR(H550=$B$5,H550=$B$6,H550=$B$7,H550=$B$8,H550=$B$9,H550=$B$10,H550=$B$11,H550=$B$12,H550=$B$13,H550=$B$14),SottocategorieUscite[[#Headers],[Fuori Casa]],IF(OR(H550=$C$5,H550=$C$6,H550=$C$7,H550=$C$8,H550=$C$9,H550=$C$10,H550=$C$11,H550=$C$12,H550=$C$13,H550=$C$14),SottocategorieUscite[[#Headers],[Varie Uscite]],IF(OR(H550=$D$5,H550=$D$6,H550=$D$7,H550=$D$8,H550=$D$9,H550=$D$10,H550=$D$11,H550=$D$12,H550=$D$13,H550=$D$14),SottocategorieUscite[[#Headers],[Personali]],IF(OR(H550=$E$5,H550=$E$6,H550=$E$7,H550=$E$8,H550=$E$9,H550=$E$10,H550=$E$11,H550=$E$12,H550=$E$13,H550=$E$14),SottocategorieUscite[[#Headers],[Lavoro]],IF(OR(H550=$F$5,H550=$F$6,H550=$F$7,H550=$F$8,H550=$F$9,H550=$F$10,H550=$F$11,H550=$F$12,H550=$F$13,H550=$F$14),SottocategorieUscite[[#Headers],[Casa]],IF(OR(H550=$G$5,H550=$G$6,H550=$G$7,H550=$G$8,H550=$G$9,H550=$G$10,H550=$G$11,H550=$G$12,H550=$G$13,H550=$G$14),SottocategorieUscite[[#Headers],[Utenze]],IF(OR(H550=$H$5,H550=$H$6,H550=$H$7,H550=$H$8,H550=$H$9,H550=$H$10,H550=$H$11,H550=$H$12,H550=$H$13,H550=$H$14),SottocategorieUscite[[#Headers],[Business Uscite]],IF(OR(H550=$I$5,H550=$I$6,H550=$I$7,H550=$I$8,H550=$I$9,H550=$I$10,H550=$I$11,H550=$I$12,H550=$I$13,H550=$I$14),SottocategorieUscite[[#Headers],[Banca]],IF(OR(H550=K$5,H550=K$6,H550=K$7,H550=K$8,H550=K$9,H550=K$10,H550=K$11,H550=K$12,H550=K$13,H550=K$14),SottocategorieEntrate[[#Headers],[Business Entrate]],IF(OR(H550=L$5,H550=L$6,H550=L$7,H550=L$8,H550=L$9,H550=L$10,H550=L$11,H550=L$12,H550=L$13,H550=L$14),SottocategorieEntrate[[#Headers],[Varie Entrate]],IF(OR(H550=M$5,H550=M$6,H550=M$7,H550=M$8,H550=M$9,H550=M$10,H550=M$11,H550=M$12,H550=M$13,H550=M$14),SottocategorieEntrate[[#Headers],[Real Estate]],IF(OR(H550=N$5,H550=N$6,H550=N$7,H550=N$8,H550=N$9,H550=N$10,H550=N$11,H550=N$12,H550=N$13,H550=N$14),SottocategorieEntrate[[#Headers],[Other]],""))))))))))))</f>
        <v/>
      </c>
      <c r="J550" t="str">
        <f>IF(OR(Dati[[#This Row],[Categoria]]="Bollette",Dati[[#This Row],[Categoria]]="Conto &amp; Carte BNL",Dati[[#This Row],[Categoria]]="Prelievo",Dati[[#This Row],[Categoria]]="Affitto",Dati[[#This Row],[Categoria]]="BNL(Interessi Creditori)"),"Carta",IF(Dati[[#This Row],[Categoria]]&lt;&gt;0,"Cash",""))</f>
        <v/>
      </c>
      <c r="K550" s="59" t="str">
        <f>IF(OR(Data!$I550=SottocategorieUscite[[#Headers],[Fuori Casa]],Data!$I550=SottocategorieUscite[[#Headers],[Varie Uscite]],Data!$I550=SottocategorieUscite[[#Headers],[Personali]],Data!$I550=SottocategorieUscite[[#Headers],[Lavoro]]),"$ -","")</f>
        <v/>
      </c>
      <c r="L550" s="59" t="str">
        <f>IF(OR(Data!$I550=SottocategorieUscite[[#Headers],[Casa]],Data!$I550=SottocategorieUscite[[#Headers],[Utenze]],Data!$I550=SottocategorieUscite[[#Headers],[Business Uscite]],Data!$I550=SottocategorieUscite[[#Headers],[Banca]]),"$ -","")</f>
        <v/>
      </c>
      <c r="M550" s="59" t="str">
        <f>IF(OR($I550&lt;&gt;SottocategorieUscite[[#Headers],[Fuori Casa]],$I550&lt;&gt;SottocategorieUscite[[#Headers],[Varie Uscite]],$I550&lt;&gt;SottocategorieUscite[[#Headers],[Personali]],$I550&lt;&gt;SottocategorieUscite[[#Headers],[Lavoro]],$I550&lt;&gt;SottocategorieUscite[[#Headers],[Casa]],$I550&lt;&gt;SottocategorieUscite[[#Headers],[Utenze]],$I550&lt;&gt;SottocategorieUscite[[#Headers],[Business Uscite]],$I550&lt;&gt;SottocategorieUscite[[#Headers],[Banca]]),"","$ -")</f>
        <v/>
      </c>
      <c r="N550" s="59" t="str">
        <f>IF(OR(Data!$I550=SottocategorieEntrate[[#Headers],[Business Entrate]],Data!$I550=SottocategorieEntrate[[#Headers],[Varie Entrate]]),"$ -","")</f>
        <v/>
      </c>
      <c r="O550" s="59" t="str">
        <f>IF(OR(Data!$I550=SottocategorieEntrate[[#Headers],[Real Estate]],SottocategorieEntrate[[#Headers],[Other]]),"$ -","")</f>
        <v/>
      </c>
      <c r="P550" s="59" t="str">
        <f>IF(OR($I550&lt;&gt;SottocategorieEntrate[[#Headers],[Business Entrate]],$I550&lt;&gt;SottocategorieEntrate[[#Headers],[Varie Entrate]],$I550&lt;&gt;SottocategorieEntrate[[#Headers],[Real Estate]],$I550&lt;&gt;SottocategorieEntrate[[#Headers],[Other]]),"","$ -")</f>
        <v/>
      </c>
      <c r="Q550" s="59" t="str">
        <f>IF(Dati[[#This Row],[Categoria]]="Prelievo","€ -","")</f>
        <v/>
      </c>
      <c r="R550" s="244"/>
      <c r="S550" s="59" t="str">
        <f>IF(Dati[[#This Row],[Categoria]]="Savings",0,"")</f>
        <v/>
      </c>
      <c r="T550" s="59"/>
      <c r="U550" s="59"/>
      <c r="V550" s="59"/>
      <c r="W550" s="59"/>
      <c r="X550" s="59"/>
      <c r="Y550" s="59"/>
      <c r="Z550" s="59"/>
      <c r="AA550" s="59"/>
      <c r="AB550" s="59"/>
      <c r="AC550" s="59"/>
      <c r="AD550" s="59"/>
      <c r="AE550" s="59"/>
      <c r="AF550" s="59"/>
      <c r="AG550" s="59"/>
      <c r="AH550" s="59"/>
      <c r="AI550" s="59" t="str">
        <f>IF(SUM(Dati[[#This Row],[Inv. Business]:[Inv. Cryptocurrency]])=0," ",SUM(Dati[[#This Row],[Inv. Business]:[Inv. Cryptocurrency]]))</f>
        <v xml:space="preserve"> </v>
      </c>
      <c r="AJ550" s="59"/>
      <c r="AK550" s="59" t="str">
        <f>IF(SUM(Dati[[#This Row],[Inv. Gold]:[Mutuo]])=0," ",SUM(Dati[[#This Row],[Inv. Gold]:[Mutuo]]))</f>
        <v xml:space="preserve"> </v>
      </c>
      <c r="AL550" s="59"/>
      <c r="AM550" s="59"/>
    </row>
    <row r="551" spans="2:39" x14ac:dyDescent="0.35">
      <c r="B551">
        <f t="shared" si="23"/>
        <v>531</v>
      </c>
      <c r="C551" s="49">
        <f>C548+1</f>
        <v>45346</v>
      </c>
      <c r="D551" s="29">
        <f>DAY(Dati[[#This Row],[Data]])</f>
        <v>24</v>
      </c>
      <c r="E551" s="29" t="str">
        <f>IF(DAY(Data!$C$21:$C$1327)&gt;0,TEXT(Data!$C$21:$C$1327, "mmmm"),"")</f>
        <v>febbraio</v>
      </c>
      <c r="F551" s="29" t="str">
        <f>IF(DAY(Data!$C$21:$C$1327)&gt;0,TEXT(Data!$C$21:$C$1327, "aaaa"),"")</f>
        <v>2024</v>
      </c>
      <c r="I551" t="str">
        <f>IF(OR(H551=$B$5,H551=$B$6,H551=$B$7,H551=$B$8,H551=$B$9,H551=$B$10,H551=$B$11,H551=$B$12,H551=$B$13,H551=$B$14),SottocategorieUscite[[#Headers],[Fuori Casa]],IF(OR(H551=$C$5,H551=$C$6,H551=$C$7,H551=$C$8,H551=$C$9,H551=$C$10,H551=$C$11,H551=$C$12,H551=$C$13,H551=$C$14),SottocategorieUscite[[#Headers],[Varie Uscite]],IF(OR(H551=$D$5,H551=$D$6,H551=$D$7,H551=$D$8,H551=$D$9,H551=$D$10,H551=$D$11,H551=$D$12,H551=$D$13,H551=$D$14),SottocategorieUscite[[#Headers],[Personali]],IF(OR(H551=$E$5,H551=$E$6,H551=$E$7,H551=$E$8,H551=$E$9,H551=$E$10,H551=$E$11,H551=$E$12,H551=$E$13,H551=$E$14),SottocategorieUscite[[#Headers],[Lavoro]],IF(OR(H551=$F$5,H551=$F$6,H551=$F$7,H551=$F$8,H551=$F$9,H551=$F$10,H551=$F$11,H551=$F$12,H551=$F$13,H551=$F$14),SottocategorieUscite[[#Headers],[Casa]],IF(OR(H551=$G$5,H551=$G$6,H551=$G$7,H551=$G$8,H551=$G$9,H551=$G$10,H551=$G$11,H551=$G$12,H551=$G$13,H551=$G$14),SottocategorieUscite[[#Headers],[Utenze]],IF(OR(H551=$H$5,H551=$H$6,H551=$H$7,H551=$H$8,H551=$H$9,H551=$H$10,H551=$H$11,H551=$H$12,H551=$H$13,H551=$H$14),SottocategorieUscite[[#Headers],[Business Uscite]],IF(OR(H551=$I$5,H551=$I$6,H551=$I$7,H551=$I$8,H551=$I$9,H551=$I$10,H551=$I$11,H551=$I$12,H551=$I$13,H551=$I$14),SottocategorieUscite[[#Headers],[Banca]],IF(OR(H551=K$5,H551=K$6,H551=K$7,H551=K$8,H551=K$9,H551=K$10,H551=K$11,H551=K$12,H551=K$13,H551=K$14),SottocategorieEntrate[[#Headers],[Business Entrate]],IF(OR(H551=L$5,H551=L$6,H551=L$7,H551=L$8,H551=L$9,H551=L$10,H551=L$11,H551=L$12,H551=L$13,H551=L$14),SottocategorieEntrate[[#Headers],[Varie Entrate]],IF(OR(H551=M$5,H551=M$6,H551=M$7,H551=M$8,H551=M$9,H551=M$10,H551=M$11,H551=M$12,H551=M$13,H551=M$14),SottocategorieEntrate[[#Headers],[Real Estate]],IF(OR(H551=N$5,H551=N$6,H551=N$7,H551=N$8,H551=N$9,H551=N$10,H551=N$11,H551=N$12,H551=N$13,H551=N$14),SottocategorieEntrate[[#Headers],[Other]],""))))))))))))</f>
        <v/>
      </c>
      <c r="J551" t="str">
        <f>IF(OR(Dati[[#This Row],[Categoria]]="Bollette",Dati[[#This Row],[Categoria]]="Conto &amp; Carte BNL",Dati[[#This Row],[Categoria]]="Prelievo",Dati[[#This Row],[Categoria]]="Affitto",Dati[[#This Row],[Categoria]]="BNL(Interessi Creditori)"),"Carta",IF(Dati[[#This Row],[Categoria]]&lt;&gt;0,"Cash",""))</f>
        <v/>
      </c>
      <c r="K551" s="59" t="str">
        <f>IF(OR(Data!$I551=SottocategorieUscite[[#Headers],[Fuori Casa]],Data!$I551=SottocategorieUscite[[#Headers],[Varie Uscite]],Data!$I551=SottocategorieUscite[[#Headers],[Personali]],Data!$I551=SottocategorieUscite[[#Headers],[Lavoro]]),"$ -","")</f>
        <v/>
      </c>
      <c r="L551" s="59" t="str">
        <f>IF(OR(Data!$I551=SottocategorieUscite[[#Headers],[Casa]],Data!$I551=SottocategorieUscite[[#Headers],[Utenze]],Data!$I551=SottocategorieUscite[[#Headers],[Business Uscite]],Data!$I551=SottocategorieUscite[[#Headers],[Banca]]),"$ -","")</f>
        <v/>
      </c>
      <c r="M551" s="59" t="str">
        <f>IF(OR($I551&lt;&gt;SottocategorieUscite[[#Headers],[Fuori Casa]],$I551&lt;&gt;SottocategorieUscite[[#Headers],[Varie Uscite]],$I551&lt;&gt;SottocategorieUscite[[#Headers],[Personali]],$I551&lt;&gt;SottocategorieUscite[[#Headers],[Lavoro]],$I551&lt;&gt;SottocategorieUscite[[#Headers],[Casa]],$I551&lt;&gt;SottocategorieUscite[[#Headers],[Utenze]],$I551&lt;&gt;SottocategorieUscite[[#Headers],[Business Uscite]],$I551&lt;&gt;SottocategorieUscite[[#Headers],[Banca]]),"","$ -")</f>
        <v/>
      </c>
      <c r="N551" s="59" t="str">
        <f>IF(OR(Data!$I551=SottocategorieEntrate[[#Headers],[Business Entrate]],Data!$I551=SottocategorieEntrate[[#Headers],[Varie Entrate]]),"$ -","")</f>
        <v/>
      </c>
      <c r="O551" s="59" t="str">
        <f>IF(OR(Data!$I551=SottocategorieEntrate[[#Headers],[Real Estate]],SottocategorieEntrate[[#Headers],[Other]]),"$ -","")</f>
        <v/>
      </c>
      <c r="P551" s="59" t="str">
        <f>IF(OR($I551&lt;&gt;SottocategorieEntrate[[#Headers],[Business Entrate]],$I551&lt;&gt;SottocategorieEntrate[[#Headers],[Varie Entrate]],$I551&lt;&gt;SottocategorieEntrate[[#Headers],[Real Estate]],$I551&lt;&gt;SottocategorieEntrate[[#Headers],[Other]]),"","$ -")</f>
        <v/>
      </c>
      <c r="Q551" s="59" t="str">
        <f>IF(Dati[[#This Row],[Categoria]]="Prelievo","€ -","")</f>
        <v/>
      </c>
      <c r="R551" s="244"/>
      <c r="S551" s="59" t="str">
        <f>IF(Dati[[#This Row],[Categoria]]="Savings",0,"")</f>
        <v/>
      </c>
      <c r="T551" s="59"/>
      <c r="U551" s="59"/>
      <c r="V551" s="59"/>
      <c r="W551" s="59"/>
      <c r="X551" s="59"/>
      <c r="Y551" s="59"/>
      <c r="Z551" s="59"/>
      <c r="AA551" s="59"/>
      <c r="AB551" s="59"/>
      <c r="AC551" s="59"/>
      <c r="AD551" s="59"/>
      <c r="AE551" s="59"/>
      <c r="AF551" s="59"/>
      <c r="AG551" s="59"/>
      <c r="AH551" s="59"/>
      <c r="AI551" s="59" t="str">
        <f>IF(SUM(Dati[[#This Row],[Inv. Business]:[Inv. Cryptocurrency]])=0," ",SUM(Dati[[#This Row],[Inv. Business]:[Inv. Cryptocurrency]]))</f>
        <v xml:space="preserve"> </v>
      </c>
      <c r="AJ551" s="59"/>
      <c r="AK551" s="59" t="str">
        <f>IF(SUM(Dati[[#This Row],[Inv. Gold]:[Mutuo]])=0," ",SUM(Dati[[#This Row],[Inv. Gold]:[Mutuo]]))</f>
        <v xml:space="preserve"> </v>
      </c>
      <c r="AL551" s="59"/>
      <c r="AM551" s="59"/>
    </row>
    <row r="552" spans="2:39" x14ac:dyDescent="0.35">
      <c r="B552">
        <f t="shared" si="23"/>
        <v>532</v>
      </c>
      <c r="C552" s="49">
        <f>C549+1</f>
        <v>45347</v>
      </c>
      <c r="D552" s="29">
        <f>DAY(Dati[[#This Row],[Data]])</f>
        <v>25</v>
      </c>
      <c r="E552" s="29" t="str">
        <f>IF(DAY(Data!$C$21:$C$1327)&gt;0,TEXT(Data!$C$21:$C$1327, "mmmm"),"")</f>
        <v>febbraio</v>
      </c>
      <c r="F552" s="29" t="str">
        <f>IF(DAY(Data!$C$21:$C$1327)&gt;0,TEXT(Data!$C$21:$C$1327, "aaaa"),"")</f>
        <v>2024</v>
      </c>
      <c r="I552" t="str">
        <f>IF(OR(H552=$B$5,H552=$B$6,H552=$B$7,H552=$B$8,H552=$B$9,H552=$B$10,H552=$B$11,H552=$B$12,H552=$B$13,H552=$B$14),SottocategorieUscite[[#Headers],[Fuori Casa]],IF(OR(H552=$C$5,H552=$C$6,H552=$C$7,H552=$C$8,H552=$C$9,H552=$C$10,H552=$C$11,H552=$C$12,H552=$C$13,H552=$C$14),SottocategorieUscite[[#Headers],[Varie Uscite]],IF(OR(H552=$D$5,H552=$D$6,H552=$D$7,H552=$D$8,H552=$D$9,H552=$D$10,H552=$D$11,H552=$D$12,H552=$D$13,H552=$D$14),SottocategorieUscite[[#Headers],[Personali]],IF(OR(H552=$E$5,H552=$E$6,H552=$E$7,H552=$E$8,H552=$E$9,H552=$E$10,H552=$E$11,H552=$E$12,H552=$E$13,H552=$E$14),SottocategorieUscite[[#Headers],[Lavoro]],IF(OR(H552=$F$5,H552=$F$6,H552=$F$7,H552=$F$8,H552=$F$9,H552=$F$10,H552=$F$11,H552=$F$12,H552=$F$13,H552=$F$14),SottocategorieUscite[[#Headers],[Casa]],IF(OR(H552=$G$5,H552=$G$6,H552=$G$7,H552=$G$8,H552=$G$9,H552=$G$10,H552=$G$11,H552=$G$12,H552=$G$13,H552=$G$14),SottocategorieUscite[[#Headers],[Utenze]],IF(OR(H552=$H$5,H552=$H$6,H552=$H$7,H552=$H$8,H552=$H$9,H552=$H$10,H552=$H$11,H552=$H$12,H552=$H$13,H552=$H$14),SottocategorieUscite[[#Headers],[Business Uscite]],IF(OR(H552=$I$5,H552=$I$6,H552=$I$7,H552=$I$8,H552=$I$9,H552=$I$10,H552=$I$11,H552=$I$12,H552=$I$13,H552=$I$14),SottocategorieUscite[[#Headers],[Banca]],IF(OR(H552=K$5,H552=K$6,H552=K$7,H552=K$8,H552=K$9,H552=K$10,H552=K$11,H552=K$12,H552=K$13,H552=K$14),SottocategorieEntrate[[#Headers],[Business Entrate]],IF(OR(H552=L$5,H552=L$6,H552=L$7,H552=L$8,H552=L$9,H552=L$10,H552=L$11,H552=L$12,H552=L$13,H552=L$14),SottocategorieEntrate[[#Headers],[Varie Entrate]],IF(OR(H552=M$5,H552=M$6,H552=M$7,H552=M$8,H552=M$9,H552=M$10,H552=M$11,H552=M$12,H552=M$13,H552=M$14),SottocategorieEntrate[[#Headers],[Real Estate]],IF(OR(H552=N$5,H552=N$6,H552=N$7,H552=N$8,H552=N$9,H552=N$10,H552=N$11,H552=N$12,H552=N$13,H552=N$14),SottocategorieEntrate[[#Headers],[Other]],""))))))))))))</f>
        <v/>
      </c>
      <c r="J552" t="str">
        <f>IF(OR(Dati[[#This Row],[Categoria]]="Bollette",Dati[[#This Row],[Categoria]]="Conto &amp; Carte BNL",Dati[[#This Row],[Categoria]]="Prelievo",Dati[[#This Row],[Categoria]]="Affitto",Dati[[#This Row],[Categoria]]="BNL(Interessi Creditori)"),"Carta",IF(Dati[[#This Row],[Categoria]]&lt;&gt;0,"Cash",""))</f>
        <v/>
      </c>
      <c r="K552" s="59" t="str">
        <f>IF(OR(Data!$I552=SottocategorieUscite[[#Headers],[Fuori Casa]],Data!$I552=SottocategorieUscite[[#Headers],[Varie Uscite]],Data!$I552=SottocategorieUscite[[#Headers],[Personali]],Data!$I552=SottocategorieUscite[[#Headers],[Lavoro]]),"$ -","")</f>
        <v/>
      </c>
      <c r="L552" s="59" t="str">
        <f>IF(OR(Data!$I552=SottocategorieUscite[[#Headers],[Casa]],Data!$I552=SottocategorieUscite[[#Headers],[Utenze]],Data!$I552=SottocategorieUscite[[#Headers],[Business Uscite]],Data!$I552=SottocategorieUscite[[#Headers],[Banca]]),"$ -","")</f>
        <v/>
      </c>
      <c r="M552" s="59" t="str">
        <f>IF(OR($I552&lt;&gt;SottocategorieUscite[[#Headers],[Fuori Casa]],$I552&lt;&gt;SottocategorieUscite[[#Headers],[Varie Uscite]],$I552&lt;&gt;SottocategorieUscite[[#Headers],[Personali]],$I552&lt;&gt;SottocategorieUscite[[#Headers],[Lavoro]],$I552&lt;&gt;SottocategorieUscite[[#Headers],[Casa]],$I552&lt;&gt;SottocategorieUscite[[#Headers],[Utenze]],$I552&lt;&gt;SottocategorieUscite[[#Headers],[Business Uscite]],$I552&lt;&gt;SottocategorieUscite[[#Headers],[Banca]]),"","$ -")</f>
        <v/>
      </c>
      <c r="N552" s="59" t="str">
        <f>IF(OR(Data!$I552=SottocategorieEntrate[[#Headers],[Business Entrate]],Data!$I552=SottocategorieEntrate[[#Headers],[Varie Entrate]]),"$ -","")</f>
        <v/>
      </c>
      <c r="O552" s="59" t="str">
        <f>IF(OR(Data!$I552=SottocategorieEntrate[[#Headers],[Real Estate]],SottocategorieEntrate[[#Headers],[Other]]),"$ -","")</f>
        <v/>
      </c>
      <c r="P552" s="59" t="str">
        <f>IF(OR($I552&lt;&gt;SottocategorieEntrate[[#Headers],[Business Entrate]],$I552&lt;&gt;SottocategorieEntrate[[#Headers],[Varie Entrate]],$I552&lt;&gt;SottocategorieEntrate[[#Headers],[Real Estate]],$I552&lt;&gt;SottocategorieEntrate[[#Headers],[Other]]),"","$ -")</f>
        <v/>
      </c>
      <c r="Q552" s="59" t="str">
        <f>IF(Dati[[#This Row],[Categoria]]="Prelievo","€ -","")</f>
        <v/>
      </c>
      <c r="R552" s="244"/>
      <c r="S552" s="59" t="str">
        <f>IF(Dati[[#This Row],[Categoria]]="Savings",0,"")</f>
        <v/>
      </c>
      <c r="T552" s="59"/>
      <c r="U552" s="59"/>
      <c r="V552" s="59"/>
      <c r="W552" s="59"/>
      <c r="X552" s="59"/>
      <c r="Y552" s="59"/>
      <c r="Z552" s="59"/>
      <c r="AA552" s="59"/>
      <c r="AB552" s="59"/>
      <c r="AC552" s="59"/>
      <c r="AD552" s="59"/>
      <c r="AE552" s="59"/>
      <c r="AF552" s="59"/>
      <c r="AG552" s="59"/>
      <c r="AH552" s="59"/>
      <c r="AI552" s="59" t="str">
        <f>IF(SUM(Dati[[#This Row],[Inv. Business]:[Inv. Cryptocurrency]])=0," ",SUM(Dati[[#This Row],[Inv. Business]:[Inv. Cryptocurrency]]))</f>
        <v xml:space="preserve"> </v>
      </c>
      <c r="AJ552" s="59"/>
      <c r="AK552" s="59" t="str">
        <f>IF(SUM(Dati[[#This Row],[Inv. Gold]:[Mutuo]])=0," ",SUM(Dati[[#This Row],[Inv. Gold]:[Mutuo]]))</f>
        <v xml:space="preserve"> </v>
      </c>
      <c r="AL552" s="59"/>
      <c r="AM552" s="59"/>
    </row>
    <row r="553" spans="2:39" x14ac:dyDescent="0.35">
      <c r="B553">
        <f t="shared" si="23"/>
        <v>533</v>
      </c>
      <c r="C553" s="49">
        <f t="shared" si="22"/>
        <v>45348</v>
      </c>
      <c r="D553" s="29">
        <f>DAY(Dati[[#This Row],[Data]])</f>
        <v>26</v>
      </c>
      <c r="E553" s="29" t="str">
        <f>IF(DAY(Data!$C$21:$C$1327)&gt;0,TEXT(Data!$C$21:$C$1327, "mmmm"),"")</f>
        <v>febbraio</v>
      </c>
      <c r="F553" s="29" t="str">
        <f>IF(DAY(Data!$C$21:$C$1327)&gt;0,TEXT(Data!$C$21:$C$1327, "aaaa"),"")</f>
        <v>2024</v>
      </c>
      <c r="I553" t="str">
        <f>IF(OR(H553=$B$5,H553=$B$6,H553=$B$7,H553=$B$8,H553=$B$9,H553=$B$10,H553=$B$11,H553=$B$12,H553=$B$13,H553=$B$14),SottocategorieUscite[[#Headers],[Fuori Casa]],IF(OR(H553=$C$5,H553=$C$6,H553=$C$7,H553=$C$8,H553=$C$9,H553=$C$10,H553=$C$11,H553=$C$12,H553=$C$13,H553=$C$14),SottocategorieUscite[[#Headers],[Varie Uscite]],IF(OR(H553=$D$5,H553=$D$6,H553=$D$7,H553=$D$8,H553=$D$9,H553=$D$10,H553=$D$11,H553=$D$12,H553=$D$13,H553=$D$14),SottocategorieUscite[[#Headers],[Personali]],IF(OR(H553=$E$5,H553=$E$6,H553=$E$7,H553=$E$8,H553=$E$9,H553=$E$10,H553=$E$11,H553=$E$12,H553=$E$13,H553=$E$14),SottocategorieUscite[[#Headers],[Lavoro]],IF(OR(H553=$F$5,H553=$F$6,H553=$F$7,H553=$F$8,H553=$F$9,H553=$F$10,H553=$F$11,H553=$F$12,H553=$F$13,H553=$F$14),SottocategorieUscite[[#Headers],[Casa]],IF(OR(H553=$G$5,H553=$G$6,H553=$G$7,H553=$G$8,H553=$G$9,H553=$G$10,H553=$G$11,H553=$G$12,H553=$G$13,H553=$G$14),SottocategorieUscite[[#Headers],[Utenze]],IF(OR(H553=$H$5,H553=$H$6,H553=$H$7,H553=$H$8,H553=$H$9,H553=$H$10,H553=$H$11,H553=$H$12,H553=$H$13,H553=$H$14),SottocategorieUscite[[#Headers],[Business Uscite]],IF(OR(H553=$I$5,H553=$I$6,H553=$I$7,H553=$I$8,H553=$I$9,H553=$I$10,H553=$I$11,H553=$I$12,H553=$I$13,H553=$I$14),SottocategorieUscite[[#Headers],[Banca]],IF(OR(H553=K$5,H553=K$6,H553=K$7,H553=K$8,H553=K$9,H553=K$10,H553=K$11,H553=K$12,H553=K$13,H553=K$14),SottocategorieEntrate[[#Headers],[Business Entrate]],IF(OR(H553=L$5,H553=L$6,H553=L$7,H553=L$8,H553=L$9,H553=L$10,H553=L$11,H553=L$12,H553=L$13,H553=L$14),SottocategorieEntrate[[#Headers],[Varie Entrate]],IF(OR(H553=M$5,H553=M$6,H553=M$7,H553=M$8,H553=M$9,H553=M$10,H553=M$11,H553=M$12,H553=M$13,H553=M$14),SottocategorieEntrate[[#Headers],[Real Estate]],IF(OR(H553=N$5,H553=N$6,H553=N$7,H553=N$8,H553=N$9,H553=N$10,H553=N$11,H553=N$12,H553=N$13,H553=N$14),SottocategorieEntrate[[#Headers],[Other]],""))))))))))))</f>
        <v/>
      </c>
      <c r="J553" t="str">
        <f>IF(OR(Dati[[#This Row],[Categoria]]="Bollette",Dati[[#This Row],[Categoria]]="Conto &amp; Carte BNL",Dati[[#This Row],[Categoria]]="Prelievo",Dati[[#This Row],[Categoria]]="Affitto",Dati[[#This Row],[Categoria]]="BNL(Interessi Creditori)"),"Carta",IF(Dati[[#This Row],[Categoria]]&lt;&gt;0,"Cash",""))</f>
        <v/>
      </c>
      <c r="K553" s="59" t="str">
        <f>IF(OR(Data!$I553=SottocategorieUscite[[#Headers],[Fuori Casa]],Data!$I553=SottocategorieUscite[[#Headers],[Varie Uscite]],Data!$I553=SottocategorieUscite[[#Headers],[Personali]],Data!$I553=SottocategorieUscite[[#Headers],[Lavoro]]),"$ -","")</f>
        <v/>
      </c>
      <c r="L553" s="59" t="str">
        <f>IF(OR(Data!$I553=SottocategorieUscite[[#Headers],[Casa]],Data!$I553=SottocategorieUscite[[#Headers],[Utenze]],Data!$I553=SottocategorieUscite[[#Headers],[Business Uscite]],Data!$I553=SottocategorieUscite[[#Headers],[Banca]]),"$ -","")</f>
        <v/>
      </c>
      <c r="M553" s="59" t="str">
        <f>IF(OR($I553&lt;&gt;SottocategorieUscite[[#Headers],[Fuori Casa]],$I553&lt;&gt;SottocategorieUscite[[#Headers],[Varie Uscite]],$I553&lt;&gt;SottocategorieUscite[[#Headers],[Personali]],$I553&lt;&gt;SottocategorieUscite[[#Headers],[Lavoro]],$I553&lt;&gt;SottocategorieUscite[[#Headers],[Casa]],$I553&lt;&gt;SottocategorieUscite[[#Headers],[Utenze]],$I553&lt;&gt;SottocategorieUscite[[#Headers],[Business Uscite]],$I553&lt;&gt;SottocategorieUscite[[#Headers],[Banca]]),"","$ -")</f>
        <v/>
      </c>
      <c r="N553" s="59" t="str">
        <f>IF(OR(Data!$I553=SottocategorieEntrate[[#Headers],[Business Entrate]],Data!$I553=SottocategorieEntrate[[#Headers],[Varie Entrate]]),"$ -","")</f>
        <v/>
      </c>
      <c r="O553" s="59" t="str">
        <f>IF(OR(Data!$I553=SottocategorieEntrate[[#Headers],[Real Estate]],SottocategorieEntrate[[#Headers],[Other]]),"$ -","")</f>
        <v/>
      </c>
      <c r="P553" s="59" t="str">
        <f>IF(OR($I553&lt;&gt;SottocategorieEntrate[[#Headers],[Business Entrate]],$I553&lt;&gt;SottocategorieEntrate[[#Headers],[Varie Entrate]],$I553&lt;&gt;SottocategorieEntrate[[#Headers],[Real Estate]],$I553&lt;&gt;SottocategorieEntrate[[#Headers],[Other]]),"","$ -")</f>
        <v/>
      </c>
      <c r="Q553" s="59" t="str">
        <f>IF(Dati[[#This Row],[Categoria]]="Prelievo","€ -","")</f>
        <v/>
      </c>
      <c r="R553" s="244"/>
      <c r="S553" s="59" t="str">
        <f>IF(Dati[[#This Row],[Categoria]]="Savings",0,"")</f>
        <v/>
      </c>
      <c r="T553" s="59"/>
      <c r="U553" s="59"/>
      <c r="V553" s="59"/>
      <c r="W553" s="59"/>
      <c r="X553" s="59"/>
      <c r="Y553" s="59"/>
      <c r="Z553" s="59"/>
      <c r="AA553" s="59"/>
      <c r="AB553" s="59"/>
      <c r="AC553" s="59"/>
      <c r="AD553" s="59"/>
      <c r="AE553" s="59"/>
      <c r="AF553" s="59"/>
      <c r="AG553" s="59"/>
      <c r="AH553" s="59"/>
      <c r="AI553" s="59" t="str">
        <f>IF(SUM(Dati[[#This Row],[Inv. Business]:[Inv. Cryptocurrency]])=0," ",SUM(Dati[[#This Row],[Inv. Business]:[Inv. Cryptocurrency]]))</f>
        <v xml:space="preserve"> </v>
      </c>
      <c r="AJ553" s="59"/>
      <c r="AK553" s="59" t="str">
        <f>IF(SUM(Dati[[#This Row],[Inv. Gold]:[Mutuo]])=0," ",SUM(Dati[[#This Row],[Inv. Gold]:[Mutuo]]))</f>
        <v xml:space="preserve"> </v>
      </c>
      <c r="AL553" s="59"/>
      <c r="AM553" s="59"/>
    </row>
    <row r="554" spans="2:39" x14ac:dyDescent="0.35">
      <c r="B554">
        <f t="shared" si="23"/>
        <v>534</v>
      </c>
      <c r="C554" s="49">
        <f t="shared" si="22"/>
        <v>45349</v>
      </c>
      <c r="D554" s="29">
        <f>DAY(Dati[[#This Row],[Data]])</f>
        <v>27</v>
      </c>
      <c r="E554" s="29" t="str">
        <f>IF(DAY(Data!$C$21:$C$1327)&gt;0,TEXT(Data!$C$21:$C$1327, "mmmm"),"")</f>
        <v>febbraio</v>
      </c>
      <c r="F554" s="29" t="str">
        <f>IF(DAY(Data!$C$21:$C$1327)&gt;0,TEXT(Data!$C$21:$C$1327, "aaaa"),"")</f>
        <v>2024</v>
      </c>
      <c r="I554" t="str">
        <f>IF(OR(H554=$B$5,H554=$B$6,H554=$B$7,H554=$B$8,H554=$B$9,H554=$B$10,H554=$B$11,H554=$B$12,H554=$B$13,H554=$B$14),SottocategorieUscite[[#Headers],[Fuori Casa]],IF(OR(H554=$C$5,H554=$C$6,H554=$C$7,H554=$C$8,H554=$C$9,H554=$C$10,H554=$C$11,H554=$C$12,H554=$C$13,H554=$C$14),SottocategorieUscite[[#Headers],[Varie Uscite]],IF(OR(H554=$D$5,H554=$D$6,H554=$D$7,H554=$D$8,H554=$D$9,H554=$D$10,H554=$D$11,H554=$D$12,H554=$D$13,H554=$D$14),SottocategorieUscite[[#Headers],[Personali]],IF(OR(H554=$E$5,H554=$E$6,H554=$E$7,H554=$E$8,H554=$E$9,H554=$E$10,H554=$E$11,H554=$E$12,H554=$E$13,H554=$E$14),SottocategorieUscite[[#Headers],[Lavoro]],IF(OR(H554=$F$5,H554=$F$6,H554=$F$7,H554=$F$8,H554=$F$9,H554=$F$10,H554=$F$11,H554=$F$12,H554=$F$13,H554=$F$14),SottocategorieUscite[[#Headers],[Casa]],IF(OR(H554=$G$5,H554=$G$6,H554=$G$7,H554=$G$8,H554=$G$9,H554=$G$10,H554=$G$11,H554=$G$12,H554=$G$13,H554=$G$14),SottocategorieUscite[[#Headers],[Utenze]],IF(OR(H554=$H$5,H554=$H$6,H554=$H$7,H554=$H$8,H554=$H$9,H554=$H$10,H554=$H$11,H554=$H$12,H554=$H$13,H554=$H$14),SottocategorieUscite[[#Headers],[Business Uscite]],IF(OR(H554=$I$5,H554=$I$6,H554=$I$7,H554=$I$8,H554=$I$9,H554=$I$10,H554=$I$11,H554=$I$12,H554=$I$13,H554=$I$14),SottocategorieUscite[[#Headers],[Banca]],IF(OR(H554=K$5,H554=K$6,H554=K$7,H554=K$8,H554=K$9,H554=K$10,H554=K$11,H554=K$12,H554=K$13,H554=K$14),SottocategorieEntrate[[#Headers],[Business Entrate]],IF(OR(H554=L$5,H554=L$6,H554=L$7,H554=L$8,H554=L$9,H554=L$10,H554=L$11,H554=L$12,H554=L$13,H554=L$14),SottocategorieEntrate[[#Headers],[Varie Entrate]],IF(OR(H554=M$5,H554=M$6,H554=M$7,H554=M$8,H554=M$9,H554=M$10,H554=M$11,H554=M$12,H554=M$13,H554=M$14),SottocategorieEntrate[[#Headers],[Real Estate]],IF(OR(H554=N$5,H554=N$6,H554=N$7,H554=N$8,H554=N$9,H554=N$10,H554=N$11,H554=N$12,H554=N$13,H554=N$14),SottocategorieEntrate[[#Headers],[Other]],""))))))))))))</f>
        <v/>
      </c>
      <c r="J554" t="str">
        <f>IF(OR(Dati[[#This Row],[Categoria]]="Bollette",Dati[[#This Row],[Categoria]]="Conto &amp; Carte BNL",Dati[[#This Row],[Categoria]]="Prelievo",Dati[[#This Row],[Categoria]]="Affitto",Dati[[#This Row],[Categoria]]="BNL(Interessi Creditori)"),"Carta",IF(Dati[[#This Row],[Categoria]]&lt;&gt;0,"Cash",""))</f>
        <v/>
      </c>
      <c r="K554" s="59" t="str">
        <f>IF(OR(Data!$I554=SottocategorieUscite[[#Headers],[Fuori Casa]],Data!$I554=SottocategorieUscite[[#Headers],[Varie Uscite]],Data!$I554=SottocategorieUscite[[#Headers],[Personali]],Data!$I554=SottocategorieUscite[[#Headers],[Lavoro]]),"$ -","")</f>
        <v/>
      </c>
      <c r="L554" s="59" t="str">
        <f>IF(OR(Data!$I554=SottocategorieUscite[[#Headers],[Casa]],Data!$I554=SottocategorieUscite[[#Headers],[Utenze]],Data!$I554=SottocategorieUscite[[#Headers],[Business Uscite]],Data!$I554=SottocategorieUscite[[#Headers],[Banca]]),"$ -","")</f>
        <v/>
      </c>
      <c r="M554" s="59" t="str">
        <f>IF(OR($I554&lt;&gt;SottocategorieUscite[[#Headers],[Fuori Casa]],$I554&lt;&gt;SottocategorieUscite[[#Headers],[Varie Uscite]],$I554&lt;&gt;SottocategorieUscite[[#Headers],[Personali]],$I554&lt;&gt;SottocategorieUscite[[#Headers],[Lavoro]],$I554&lt;&gt;SottocategorieUscite[[#Headers],[Casa]],$I554&lt;&gt;SottocategorieUscite[[#Headers],[Utenze]],$I554&lt;&gt;SottocategorieUscite[[#Headers],[Business Uscite]],$I554&lt;&gt;SottocategorieUscite[[#Headers],[Banca]]),"","$ -")</f>
        <v/>
      </c>
      <c r="N554" s="59" t="str">
        <f>IF(OR(Data!$I554=SottocategorieEntrate[[#Headers],[Business Entrate]],Data!$I554=SottocategorieEntrate[[#Headers],[Varie Entrate]]),"$ -","")</f>
        <v/>
      </c>
      <c r="O554" s="59" t="str">
        <f>IF(OR(Data!$I554=SottocategorieEntrate[[#Headers],[Real Estate]],SottocategorieEntrate[[#Headers],[Other]]),"$ -","")</f>
        <v/>
      </c>
      <c r="P554" s="59" t="str">
        <f>IF(OR($I554&lt;&gt;SottocategorieEntrate[[#Headers],[Business Entrate]],$I554&lt;&gt;SottocategorieEntrate[[#Headers],[Varie Entrate]],$I554&lt;&gt;SottocategorieEntrate[[#Headers],[Real Estate]],$I554&lt;&gt;SottocategorieEntrate[[#Headers],[Other]]),"","$ -")</f>
        <v/>
      </c>
      <c r="Q554" s="59" t="str">
        <f>IF(Dati[[#This Row],[Categoria]]="Prelievo","€ -","")</f>
        <v/>
      </c>
      <c r="R554" s="244"/>
      <c r="S554" s="59" t="str">
        <f>IF(Dati[[#This Row],[Categoria]]="Savings",0,"")</f>
        <v/>
      </c>
      <c r="T554" s="59"/>
      <c r="U554" s="59"/>
      <c r="V554" s="59"/>
      <c r="W554" s="59"/>
      <c r="X554" s="59"/>
      <c r="Y554" s="59"/>
      <c r="Z554" s="59"/>
      <c r="AA554" s="59"/>
      <c r="AB554" s="59"/>
      <c r="AC554" s="59"/>
      <c r="AD554" s="59"/>
      <c r="AE554" s="59"/>
      <c r="AF554" s="59"/>
      <c r="AG554" s="59"/>
      <c r="AH554" s="59"/>
      <c r="AI554" s="59" t="str">
        <f>IF(SUM(Dati[[#This Row],[Inv. Business]:[Inv. Cryptocurrency]])=0," ",SUM(Dati[[#This Row],[Inv. Business]:[Inv. Cryptocurrency]]))</f>
        <v xml:space="preserve"> </v>
      </c>
      <c r="AJ554" s="59"/>
      <c r="AK554" s="59" t="str">
        <f>IF(SUM(Dati[[#This Row],[Inv. Gold]:[Mutuo]])=0," ",SUM(Dati[[#This Row],[Inv. Gold]:[Mutuo]]))</f>
        <v xml:space="preserve"> </v>
      </c>
      <c r="AL554" s="59"/>
      <c r="AM554" s="59"/>
    </row>
    <row r="555" spans="2:39" x14ac:dyDescent="0.35">
      <c r="B555">
        <f t="shared" si="23"/>
        <v>535</v>
      </c>
      <c r="C555" s="49">
        <f t="shared" si="22"/>
        <v>45350</v>
      </c>
      <c r="D555" s="29">
        <f>DAY(Dati[[#This Row],[Data]])</f>
        <v>28</v>
      </c>
      <c r="E555" s="29" t="str">
        <f>IF(DAY(Data!$C$21:$C$1327)&gt;0,TEXT(Data!$C$21:$C$1327, "mmmm"),"")</f>
        <v>febbraio</v>
      </c>
      <c r="F555" s="29" t="str">
        <f>IF(DAY(Data!$C$21:$C$1327)&gt;0,TEXT(Data!$C$21:$C$1327, "aaaa"),"")</f>
        <v>2024</v>
      </c>
      <c r="I555" t="str">
        <f>IF(OR(H555=$B$5,H555=$B$6,H555=$B$7,H555=$B$8,H555=$B$9,H555=$B$10,H555=$B$11,H555=$B$12,H555=$B$13,H555=$B$14),SottocategorieUscite[[#Headers],[Fuori Casa]],IF(OR(H555=$C$5,H555=$C$6,H555=$C$7,H555=$C$8,H555=$C$9,H555=$C$10,H555=$C$11,H555=$C$12,H555=$C$13,H555=$C$14),SottocategorieUscite[[#Headers],[Varie Uscite]],IF(OR(H555=$D$5,H555=$D$6,H555=$D$7,H555=$D$8,H555=$D$9,H555=$D$10,H555=$D$11,H555=$D$12,H555=$D$13,H555=$D$14),SottocategorieUscite[[#Headers],[Personali]],IF(OR(H555=$E$5,H555=$E$6,H555=$E$7,H555=$E$8,H555=$E$9,H555=$E$10,H555=$E$11,H555=$E$12,H555=$E$13,H555=$E$14),SottocategorieUscite[[#Headers],[Lavoro]],IF(OR(H555=$F$5,H555=$F$6,H555=$F$7,H555=$F$8,H555=$F$9,H555=$F$10,H555=$F$11,H555=$F$12,H555=$F$13,H555=$F$14),SottocategorieUscite[[#Headers],[Casa]],IF(OR(H555=$G$5,H555=$G$6,H555=$G$7,H555=$G$8,H555=$G$9,H555=$G$10,H555=$G$11,H555=$G$12,H555=$G$13,H555=$G$14),SottocategorieUscite[[#Headers],[Utenze]],IF(OR(H555=$H$5,H555=$H$6,H555=$H$7,H555=$H$8,H555=$H$9,H555=$H$10,H555=$H$11,H555=$H$12,H555=$H$13,H555=$H$14),SottocategorieUscite[[#Headers],[Business Uscite]],IF(OR(H555=$I$5,H555=$I$6,H555=$I$7,H555=$I$8,H555=$I$9,H555=$I$10,H555=$I$11,H555=$I$12,H555=$I$13,H555=$I$14),SottocategorieUscite[[#Headers],[Banca]],IF(OR(H555=K$5,H555=K$6,H555=K$7,H555=K$8,H555=K$9,H555=K$10,H555=K$11,H555=K$12,H555=K$13,H555=K$14),SottocategorieEntrate[[#Headers],[Business Entrate]],IF(OR(H555=L$5,H555=L$6,H555=L$7,H555=L$8,H555=L$9,H555=L$10,H555=L$11,H555=L$12,H555=L$13,H555=L$14),SottocategorieEntrate[[#Headers],[Varie Entrate]],IF(OR(H555=M$5,H555=M$6,H555=M$7,H555=M$8,H555=M$9,H555=M$10,H555=M$11,H555=M$12,H555=M$13,H555=M$14),SottocategorieEntrate[[#Headers],[Real Estate]],IF(OR(H555=N$5,H555=N$6,H555=N$7,H555=N$8,H555=N$9,H555=N$10,H555=N$11,H555=N$12,H555=N$13,H555=N$14),SottocategorieEntrate[[#Headers],[Other]],""))))))))))))</f>
        <v/>
      </c>
      <c r="J555" t="str">
        <f>IF(OR(Dati[[#This Row],[Categoria]]="Bollette",Dati[[#This Row],[Categoria]]="Conto &amp; Carte BNL",Dati[[#This Row],[Categoria]]="Prelievo",Dati[[#This Row],[Categoria]]="Affitto",Dati[[#This Row],[Categoria]]="BNL(Interessi Creditori)"),"Carta",IF(Dati[[#This Row],[Categoria]]&lt;&gt;0,"Cash",""))</f>
        <v/>
      </c>
      <c r="K555" s="59" t="str">
        <f>IF(OR(Data!$I555=SottocategorieUscite[[#Headers],[Fuori Casa]],Data!$I555=SottocategorieUscite[[#Headers],[Varie Uscite]],Data!$I555=SottocategorieUscite[[#Headers],[Personali]],Data!$I555=SottocategorieUscite[[#Headers],[Lavoro]]),"$ -","")</f>
        <v/>
      </c>
      <c r="L555" s="59" t="str">
        <f>IF(OR(Data!$I555=SottocategorieUscite[[#Headers],[Casa]],Data!$I555=SottocategorieUscite[[#Headers],[Utenze]],Data!$I555=SottocategorieUscite[[#Headers],[Business Uscite]],Data!$I555=SottocategorieUscite[[#Headers],[Banca]]),"$ -","")</f>
        <v/>
      </c>
      <c r="M555" s="59" t="str">
        <f>IF(OR($I555&lt;&gt;SottocategorieUscite[[#Headers],[Fuori Casa]],$I555&lt;&gt;SottocategorieUscite[[#Headers],[Varie Uscite]],$I555&lt;&gt;SottocategorieUscite[[#Headers],[Personali]],$I555&lt;&gt;SottocategorieUscite[[#Headers],[Lavoro]],$I555&lt;&gt;SottocategorieUscite[[#Headers],[Casa]],$I555&lt;&gt;SottocategorieUscite[[#Headers],[Utenze]],$I555&lt;&gt;SottocategorieUscite[[#Headers],[Business Uscite]],$I555&lt;&gt;SottocategorieUscite[[#Headers],[Banca]]),"","$ -")</f>
        <v/>
      </c>
      <c r="N555" s="59" t="str">
        <f>IF(OR(Data!$I555=SottocategorieEntrate[[#Headers],[Business Entrate]],Data!$I555=SottocategorieEntrate[[#Headers],[Varie Entrate]]),"$ -","")</f>
        <v/>
      </c>
      <c r="O555" s="59" t="str">
        <f>IF(OR(Data!$I555=SottocategorieEntrate[[#Headers],[Real Estate]],SottocategorieEntrate[[#Headers],[Other]]),"$ -","")</f>
        <v/>
      </c>
      <c r="P555" s="59" t="str">
        <f>IF(OR($I555&lt;&gt;SottocategorieEntrate[[#Headers],[Business Entrate]],$I555&lt;&gt;SottocategorieEntrate[[#Headers],[Varie Entrate]],$I555&lt;&gt;SottocategorieEntrate[[#Headers],[Real Estate]],$I555&lt;&gt;SottocategorieEntrate[[#Headers],[Other]]),"","$ -")</f>
        <v/>
      </c>
      <c r="Q555" s="59" t="str">
        <f>IF(Dati[[#This Row],[Categoria]]="Prelievo","€ -","")</f>
        <v/>
      </c>
      <c r="R555" s="244"/>
      <c r="S555" s="59" t="str">
        <f>IF(Dati[[#This Row],[Categoria]]="Savings",0,"")</f>
        <v/>
      </c>
      <c r="T555" s="59"/>
      <c r="U555" s="59"/>
      <c r="V555" s="59"/>
      <c r="W555" s="59"/>
      <c r="X555" s="59"/>
      <c r="Y555" s="59"/>
      <c r="Z555" s="59"/>
      <c r="AA555" s="59"/>
      <c r="AB555" s="59"/>
      <c r="AC555" s="59"/>
      <c r="AD555" s="59"/>
      <c r="AE555" s="59"/>
      <c r="AF555" s="59"/>
      <c r="AG555" s="59"/>
      <c r="AH555" s="59"/>
      <c r="AI555" s="59" t="str">
        <f>IF(SUM(Dati[[#This Row],[Inv. Business]:[Inv. Cryptocurrency]])=0," ",SUM(Dati[[#This Row],[Inv. Business]:[Inv. Cryptocurrency]]))</f>
        <v xml:space="preserve"> </v>
      </c>
      <c r="AJ555" s="59"/>
      <c r="AK555" s="59" t="str">
        <f>IF(SUM(Dati[[#This Row],[Inv. Gold]:[Mutuo]])=0," ",SUM(Dati[[#This Row],[Inv. Gold]:[Mutuo]]))</f>
        <v xml:space="preserve"> </v>
      </c>
      <c r="AL555" s="59"/>
      <c r="AM555" s="59"/>
    </row>
    <row r="556" spans="2:39" x14ac:dyDescent="0.35">
      <c r="B556">
        <f t="shared" si="23"/>
        <v>536</v>
      </c>
      <c r="C556" s="49">
        <f t="shared" si="22"/>
        <v>45351</v>
      </c>
      <c r="D556" s="29">
        <f>DAY(Dati[[#This Row],[Data]])</f>
        <v>29</v>
      </c>
      <c r="E556" s="29" t="str">
        <f>IF(DAY(Data!$C$21:$C$1327)&gt;0,TEXT(Data!$C$21:$C$1327, "mmmm"),"")</f>
        <v>febbraio</v>
      </c>
      <c r="F556" s="29" t="str">
        <f>IF(DAY(Data!$C$21:$C$1327)&gt;0,TEXT(Data!$C$21:$C$1327, "aaaa"),"")</f>
        <v>2024</v>
      </c>
      <c r="I556" t="str">
        <f>IF(OR(H556=$B$5,H556=$B$6,H556=$B$7,H556=$B$8,H556=$B$9,H556=$B$10,H556=$B$11,H556=$B$12,H556=$B$13,H556=$B$14),SottocategorieUscite[[#Headers],[Fuori Casa]],IF(OR(H556=$C$5,H556=$C$6,H556=$C$7,H556=$C$8,H556=$C$9,H556=$C$10,H556=$C$11,H556=$C$12,H556=$C$13,H556=$C$14),SottocategorieUscite[[#Headers],[Varie Uscite]],IF(OR(H556=$D$5,H556=$D$6,H556=$D$7,H556=$D$8,H556=$D$9,H556=$D$10,H556=$D$11,H556=$D$12,H556=$D$13,H556=$D$14),SottocategorieUscite[[#Headers],[Personali]],IF(OR(H556=$E$5,H556=$E$6,H556=$E$7,H556=$E$8,H556=$E$9,H556=$E$10,H556=$E$11,H556=$E$12,H556=$E$13,H556=$E$14),SottocategorieUscite[[#Headers],[Lavoro]],IF(OR(H556=$F$5,H556=$F$6,H556=$F$7,H556=$F$8,H556=$F$9,H556=$F$10,H556=$F$11,H556=$F$12,H556=$F$13,H556=$F$14),SottocategorieUscite[[#Headers],[Casa]],IF(OR(H556=$G$5,H556=$G$6,H556=$G$7,H556=$G$8,H556=$G$9,H556=$G$10,H556=$G$11,H556=$G$12,H556=$G$13,H556=$G$14),SottocategorieUscite[[#Headers],[Utenze]],IF(OR(H556=$H$5,H556=$H$6,H556=$H$7,H556=$H$8,H556=$H$9,H556=$H$10,H556=$H$11,H556=$H$12,H556=$H$13,H556=$H$14),SottocategorieUscite[[#Headers],[Business Uscite]],IF(OR(H556=$I$5,H556=$I$6,H556=$I$7,H556=$I$8,H556=$I$9,H556=$I$10,H556=$I$11,H556=$I$12,H556=$I$13,H556=$I$14),SottocategorieUscite[[#Headers],[Banca]],IF(OR(H556=K$5,H556=K$6,H556=K$7,H556=K$8,H556=K$9,H556=K$10,H556=K$11,H556=K$12,H556=K$13,H556=K$14),SottocategorieEntrate[[#Headers],[Business Entrate]],IF(OR(H556=L$5,H556=L$6,H556=L$7,H556=L$8,H556=L$9,H556=L$10,H556=L$11,H556=L$12,H556=L$13,H556=L$14),SottocategorieEntrate[[#Headers],[Varie Entrate]],IF(OR(H556=M$5,H556=M$6,H556=M$7,H556=M$8,H556=M$9,H556=M$10,H556=M$11,H556=M$12,H556=M$13,H556=M$14),SottocategorieEntrate[[#Headers],[Real Estate]],IF(OR(H556=N$5,H556=N$6,H556=N$7,H556=N$8,H556=N$9,H556=N$10,H556=N$11,H556=N$12,H556=N$13,H556=N$14),SottocategorieEntrate[[#Headers],[Other]],""))))))))))))</f>
        <v/>
      </c>
      <c r="J556" t="str">
        <f>IF(OR(Dati[[#This Row],[Categoria]]="Bollette",Dati[[#This Row],[Categoria]]="Conto &amp; Carte BNL",Dati[[#This Row],[Categoria]]="Prelievo",Dati[[#This Row],[Categoria]]="Affitto",Dati[[#This Row],[Categoria]]="BNL(Interessi Creditori)"),"Carta",IF(Dati[[#This Row],[Categoria]]&lt;&gt;0,"Cash",""))</f>
        <v/>
      </c>
      <c r="K556" s="59" t="str">
        <f>IF(OR(Data!$I556=SottocategorieUscite[[#Headers],[Fuori Casa]],Data!$I556=SottocategorieUscite[[#Headers],[Varie Uscite]],Data!$I556=SottocategorieUscite[[#Headers],[Personali]],Data!$I556=SottocategorieUscite[[#Headers],[Lavoro]]),"$ -","")</f>
        <v/>
      </c>
      <c r="L556" s="59" t="str">
        <f>IF(OR(Data!$I556=SottocategorieUscite[[#Headers],[Casa]],Data!$I556=SottocategorieUscite[[#Headers],[Utenze]],Data!$I556=SottocategorieUscite[[#Headers],[Business Uscite]],Data!$I556=SottocategorieUscite[[#Headers],[Banca]]),"$ -","")</f>
        <v/>
      </c>
      <c r="M556" s="59" t="str">
        <f>IF(OR($I556&lt;&gt;SottocategorieUscite[[#Headers],[Fuori Casa]],$I556&lt;&gt;SottocategorieUscite[[#Headers],[Varie Uscite]],$I556&lt;&gt;SottocategorieUscite[[#Headers],[Personali]],$I556&lt;&gt;SottocategorieUscite[[#Headers],[Lavoro]],$I556&lt;&gt;SottocategorieUscite[[#Headers],[Casa]],$I556&lt;&gt;SottocategorieUscite[[#Headers],[Utenze]],$I556&lt;&gt;SottocategorieUscite[[#Headers],[Business Uscite]],$I556&lt;&gt;SottocategorieUscite[[#Headers],[Banca]]),"","$ -")</f>
        <v/>
      </c>
      <c r="N556" s="59" t="str">
        <f>IF(OR(Data!$I556=SottocategorieEntrate[[#Headers],[Business Entrate]],Data!$I556=SottocategorieEntrate[[#Headers],[Varie Entrate]]),"$ -","")</f>
        <v/>
      </c>
      <c r="O556" s="59" t="str">
        <f>IF(OR(Data!$I556=SottocategorieEntrate[[#Headers],[Real Estate]],SottocategorieEntrate[[#Headers],[Other]]),"$ -","")</f>
        <v/>
      </c>
      <c r="P556" s="59" t="str">
        <f>IF(OR($I556&lt;&gt;SottocategorieEntrate[[#Headers],[Business Entrate]],$I556&lt;&gt;SottocategorieEntrate[[#Headers],[Varie Entrate]],$I556&lt;&gt;SottocategorieEntrate[[#Headers],[Real Estate]],$I556&lt;&gt;SottocategorieEntrate[[#Headers],[Other]]),"","$ -")</f>
        <v/>
      </c>
      <c r="Q556" s="59" t="str">
        <f>IF(Dati[[#This Row],[Categoria]]="Prelievo","€ -","")</f>
        <v/>
      </c>
      <c r="R556" s="244"/>
      <c r="S556" s="59" t="str">
        <f>IF(Dati[[#This Row],[Categoria]]="Savings",0,"")</f>
        <v/>
      </c>
      <c r="T556" s="59"/>
      <c r="U556" s="59"/>
      <c r="V556" s="59"/>
      <c r="W556" s="59"/>
      <c r="X556" s="59"/>
      <c r="Y556" s="59"/>
      <c r="Z556" s="59"/>
      <c r="AA556" s="59"/>
      <c r="AB556" s="59"/>
      <c r="AC556" s="59"/>
      <c r="AD556" s="59"/>
      <c r="AE556" s="59"/>
      <c r="AF556" s="59"/>
      <c r="AG556" s="59"/>
      <c r="AH556" s="59"/>
      <c r="AI556" s="59" t="str">
        <f>IF(SUM(Dati[[#This Row],[Inv. Business]:[Inv. Cryptocurrency]])=0," ",SUM(Dati[[#This Row],[Inv. Business]:[Inv. Cryptocurrency]]))</f>
        <v xml:space="preserve"> </v>
      </c>
      <c r="AJ556" s="59"/>
      <c r="AK556" s="59" t="str">
        <f>IF(SUM(Dati[[#This Row],[Inv. Gold]:[Mutuo]])=0," ",SUM(Dati[[#This Row],[Inv. Gold]:[Mutuo]]))</f>
        <v xml:space="preserve"> </v>
      </c>
      <c r="AL556" s="59"/>
      <c r="AM556" s="59"/>
    </row>
    <row r="557" spans="2:39" x14ac:dyDescent="0.35">
      <c r="B557">
        <f t="shared" si="23"/>
        <v>537</v>
      </c>
      <c r="C557" s="49">
        <f t="shared" si="22"/>
        <v>45352</v>
      </c>
      <c r="D557" s="29">
        <f>DAY(Dati[[#This Row],[Data]])</f>
        <v>1</v>
      </c>
      <c r="E557" s="29" t="str">
        <f>IF(DAY(Data!$C$21:$C$1327)&gt;0,TEXT(Data!$C$21:$C$1327, "mmmm"),"")</f>
        <v>marzo</v>
      </c>
      <c r="F557" s="29" t="str">
        <f>IF(DAY(Data!$C$21:$C$1327)&gt;0,TEXT(Data!$C$21:$C$1327, "aaaa"),"")</f>
        <v>2024</v>
      </c>
      <c r="I557" t="str">
        <f>IF(OR(H557=$B$5,H557=$B$6,H557=$B$7,H557=$B$8,H557=$B$9,H557=$B$10,H557=$B$11,H557=$B$12,H557=$B$13,H557=$B$14),SottocategorieUscite[[#Headers],[Fuori Casa]],IF(OR(H557=$C$5,H557=$C$6,H557=$C$7,H557=$C$8,H557=$C$9,H557=$C$10,H557=$C$11,H557=$C$12,H557=$C$13,H557=$C$14),SottocategorieUscite[[#Headers],[Varie Uscite]],IF(OR(H557=$D$5,H557=$D$6,H557=$D$7,H557=$D$8,H557=$D$9,H557=$D$10,H557=$D$11,H557=$D$12,H557=$D$13,H557=$D$14),SottocategorieUscite[[#Headers],[Personali]],IF(OR(H557=$E$5,H557=$E$6,H557=$E$7,H557=$E$8,H557=$E$9,H557=$E$10,H557=$E$11,H557=$E$12,H557=$E$13,H557=$E$14),SottocategorieUscite[[#Headers],[Lavoro]],IF(OR(H557=$F$5,H557=$F$6,H557=$F$7,H557=$F$8,H557=$F$9,H557=$F$10,H557=$F$11,H557=$F$12,H557=$F$13,H557=$F$14),SottocategorieUscite[[#Headers],[Casa]],IF(OR(H557=$G$5,H557=$G$6,H557=$G$7,H557=$G$8,H557=$G$9,H557=$G$10,H557=$G$11,H557=$G$12,H557=$G$13,H557=$G$14),SottocategorieUscite[[#Headers],[Utenze]],IF(OR(H557=$H$5,H557=$H$6,H557=$H$7,H557=$H$8,H557=$H$9,H557=$H$10,H557=$H$11,H557=$H$12,H557=$H$13,H557=$H$14),SottocategorieUscite[[#Headers],[Business Uscite]],IF(OR(H557=$I$5,H557=$I$6,H557=$I$7,H557=$I$8,H557=$I$9,H557=$I$10,H557=$I$11,H557=$I$12,H557=$I$13,H557=$I$14),SottocategorieUscite[[#Headers],[Banca]],IF(OR(H557=K$5,H557=K$6,H557=K$7,H557=K$8,H557=K$9,H557=K$10,H557=K$11,H557=K$12,H557=K$13,H557=K$14),SottocategorieEntrate[[#Headers],[Business Entrate]],IF(OR(H557=L$5,H557=L$6,H557=L$7,H557=L$8,H557=L$9,H557=L$10,H557=L$11,H557=L$12,H557=L$13,H557=L$14),SottocategorieEntrate[[#Headers],[Varie Entrate]],IF(OR(H557=M$5,H557=M$6,H557=M$7,H557=M$8,H557=M$9,H557=M$10,H557=M$11,H557=M$12,H557=M$13,H557=M$14),SottocategorieEntrate[[#Headers],[Real Estate]],IF(OR(H557=N$5,H557=N$6,H557=N$7,H557=N$8,H557=N$9,H557=N$10,H557=N$11,H557=N$12,H557=N$13,H557=N$14),SottocategorieEntrate[[#Headers],[Other]],""))))))))))))</f>
        <v/>
      </c>
      <c r="J557" t="str">
        <f>IF(OR(Dati[[#This Row],[Categoria]]="Bollette",Dati[[#This Row],[Categoria]]="Conto &amp; Carte BNL",Dati[[#This Row],[Categoria]]="Prelievo",Dati[[#This Row],[Categoria]]="Affitto",Dati[[#This Row],[Categoria]]="BNL(Interessi Creditori)"),"Carta",IF(Dati[[#This Row],[Categoria]]&lt;&gt;0,"Cash",""))</f>
        <v/>
      </c>
      <c r="K557" s="59" t="str">
        <f>IF(OR(Data!$I557=SottocategorieUscite[[#Headers],[Fuori Casa]],Data!$I557=SottocategorieUscite[[#Headers],[Varie Uscite]],Data!$I557=SottocategorieUscite[[#Headers],[Personali]],Data!$I557=SottocategorieUscite[[#Headers],[Lavoro]]),"$ -","")</f>
        <v/>
      </c>
      <c r="L557" s="59" t="str">
        <f>IF(OR(Data!$I557=SottocategorieUscite[[#Headers],[Casa]],Data!$I557=SottocategorieUscite[[#Headers],[Utenze]],Data!$I557=SottocategorieUscite[[#Headers],[Business Uscite]],Data!$I557=SottocategorieUscite[[#Headers],[Banca]]),"$ -","")</f>
        <v/>
      </c>
      <c r="M557" s="59" t="str">
        <f>IF(OR($I557&lt;&gt;SottocategorieUscite[[#Headers],[Fuori Casa]],$I557&lt;&gt;SottocategorieUscite[[#Headers],[Varie Uscite]],$I557&lt;&gt;SottocategorieUscite[[#Headers],[Personali]],$I557&lt;&gt;SottocategorieUscite[[#Headers],[Lavoro]],$I557&lt;&gt;SottocategorieUscite[[#Headers],[Casa]],$I557&lt;&gt;SottocategorieUscite[[#Headers],[Utenze]],$I557&lt;&gt;SottocategorieUscite[[#Headers],[Business Uscite]],$I557&lt;&gt;SottocategorieUscite[[#Headers],[Banca]]),"","$ -")</f>
        <v/>
      </c>
      <c r="N557" s="59" t="str">
        <f>IF(OR(Data!$I557=SottocategorieEntrate[[#Headers],[Business Entrate]],Data!$I557=SottocategorieEntrate[[#Headers],[Varie Entrate]]),"$ -","")</f>
        <v/>
      </c>
      <c r="O557" s="59" t="str">
        <f>IF(OR(Data!$I557=SottocategorieEntrate[[#Headers],[Real Estate]],SottocategorieEntrate[[#Headers],[Other]]),"$ -","")</f>
        <v/>
      </c>
      <c r="P557" s="59" t="str">
        <f>IF(OR($I557&lt;&gt;SottocategorieEntrate[[#Headers],[Business Entrate]],$I557&lt;&gt;SottocategorieEntrate[[#Headers],[Varie Entrate]],$I557&lt;&gt;SottocategorieEntrate[[#Headers],[Real Estate]],$I557&lt;&gt;SottocategorieEntrate[[#Headers],[Other]]),"","$ -")</f>
        <v/>
      </c>
      <c r="Q557" s="59" t="str">
        <f>IF(Dati[[#This Row],[Categoria]]="Prelievo","€ -","")</f>
        <v/>
      </c>
      <c r="R557" s="244"/>
      <c r="S557" s="59" t="str">
        <f>IF(Dati[[#This Row],[Categoria]]="Savings",0,"")</f>
        <v/>
      </c>
      <c r="T557" s="59"/>
      <c r="U557" s="59"/>
      <c r="V557" s="59"/>
      <c r="W557" s="59"/>
      <c r="X557" s="59"/>
      <c r="Y557" s="59"/>
      <c r="Z557" s="59"/>
      <c r="AA557" s="59"/>
      <c r="AB557" s="59"/>
      <c r="AC557" s="59"/>
      <c r="AD557" s="59"/>
      <c r="AE557" s="59"/>
      <c r="AF557" s="59"/>
      <c r="AG557" s="59"/>
      <c r="AH557" s="59"/>
      <c r="AI557" s="59" t="str">
        <f>IF(SUM(Dati[[#This Row],[Inv. Business]:[Inv. Cryptocurrency]])=0," ",SUM(Dati[[#This Row],[Inv. Business]:[Inv. Cryptocurrency]]))</f>
        <v xml:space="preserve"> </v>
      </c>
      <c r="AJ557" s="59"/>
      <c r="AK557" s="59" t="str">
        <f>IF(SUM(Dati[[#This Row],[Inv. Gold]:[Mutuo]])=0," ",SUM(Dati[[#This Row],[Inv. Gold]:[Mutuo]]))</f>
        <v xml:space="preserve"> </v>
      </c>
      <c r="AL557" s="59"/>
      <c r="AM557" s="59"/>
    </row>
    <row r="558" spans="2:39" x14ac:dyDescent="0.35">
      <c r="B558">
        <f t="shared" si="23"/>
        <v>538</v>
      </c>
      <c r="C558" s="49">
        <f t="shared" si="22"/>
        <v>45353</v>
      </c>
      <c r="D558" s="29">
        <f>DAY(Dati[[#This Row],[Data]])</f>
        <v>2</v>
      </c>
      <c r="E558" s="29" t="str">
        <f>IF(DAY(Data!$C$21:$C$1327)&gt;0,TEXT(Data!$C$21:$C$1327, "mmmm"),"")</f>
        <v>marzo</v>
      </c>
      <c r="F558" s="29" t="str">
        <f>IF(DAY(Data!$C$21:$C$1327)&gt;0,TEXT(Data!$C$21:$C$1327, "aaaa"),"")</f>
        <v>2024</v>
      </c>
      <c r="I558" t="str">
        <f>IF(OR(H558=$B$5,H558=$B$6,H558=$B$7,H558=$B$8,H558=$B$9,H558=$B$10,H558=$B$11,H558=$B$12,H558=$B$13,H558=$B$14),SottocategorieUscite[[#Headers],[Fuori Casa]],IF(OR(H558=$C$5,H558=$C$6,H558=$C$7,H558=$C$8,H558=$C$9,H558=$C$10,H558=$C$11,H558=$C$12,H558=$C$13,H558=$C$14),SottocategorieUscite[[#Headers],[Varie Uscite]],IF(OR(H558=$D$5,H558=$D$6,H558=$D$7,H558=$D$8,H558=$D$9,H558=$D$10,H558=$D$11,H558=$D$12,H558=$D$13,H558=$D$14),SottocategorieUscite[[#Headers],[Personali]],IF(OR(H558=$E$5,H558=$E$6,H558=$E$7,H558=$E$8,H558=$E$9,H558=$E$10,H558=$E$11,H558=$E$12,H558=$E$13,H558=$E$14),SottocategorieUscite[[#Headers],[Lavoro]],IF(OR(H558=$F$5,H558=$F$6,H558=$F$7,H558=$F$8,H558=$F$9,H558=$F$10,H558=$F$11,H558=$F$12,H558=$F$13,H558=$F$14),SottocategorieUscite[[#Headers],[Casa]],IF(OR(H558=$G$5,H558=$G$6,H558=$G$7,H558=$G$8,H558=$G$9,H558=$G$10,H558=$G$11,H558=$G$12,H558=$G$13,H558=$G$14),SottocategorieUscite[[#Headers],[Utenze]],IF(OR(H558=$H$5,H558=$H$6,H558=$H$7,H558=$H$8,H558=$H$9,H558=$H$10,H558=$H$11,H558=$H$12,H558=$H$13,H558=$H$14),SottocategorieUscite[[#Headers],[Business Uscite]],IF(OR(H558=$I$5,H558=$I$6,H558=$I$7,H558=$I$8,H558=$I$9,H558=$I$10,H558=$I$11,H558=$I$12,H558=$I$13,H558=$I$14),SottocategorieUscite[[#Headers],[Banca]],IF(OR(H558=K$5,H558=K$6,H558=K$7,H558=K$8,H558=K$9,H558=K$10,H558=K$11,H558=K$12,H558=K$13,H558=K$14),SottocategorieEntrate[[#Headers],[Business Entrate]],IF(OR(H558=L$5,H558=L$6,H558=L$7,H558=L$8,H558=L$9,H558=L$10,H558=L$11,H558=L$12,H558=L$13,H558=L$14),SottocategorieEntrate[[#Headers],[Varie Entrate]],IF(OR(H558=M$5,H558=M$6,H558=M$7,H558=M$8,H558=M$9,H558=M$10,H558=M$11,H558=M$12,H558=M$13,H558=M$14),SottocategorieEntrate[[#Headers],[Real Estate]],IF(OR(H558=N$5,H558=N$6,H558=N$7,H558=N$8,H558=N$9,H558=N$10,H558=N$11,H558=N$12,H558=N$13,H558=N$14),SottocategorieEntrate[[#Headers],[Other]],""))))))))))))</f>
        <v/>
      </c>
      <c r="J558" t="str">
        <f>IF(OR(Dati[[#This Row],[Categoria]]="Bollette",Dati[[#This Row],[Categoria]]="Conto &amp; Carte BNL",Dati[[#This Row],[Categoria]]="Prelievo",Dati[[#This Row],[Categoria]]="Affitto",Dati[[#This Row],[Categoria]]="BNL(Interessi Creditori)"),"Carta",IF(Dati[[#This Row],[Categoria]]&lt;&gt;0,"Cash",""))</f>
        <v/>
      </c>
      <c r="K558" s="59" t="str">
        <f>IF(OR(Data!$I558=SottocategorieUscite[[#Headers],[Fuori Casa]],Data!$I558=SottocategorieUscite[[#Headers],[Varie Uscite]],Data!$I558=SottocategorieUscite[[#Headers],[Personali]],Data!$I558=SottocategorieUscite[[#Headers],[Lavoro]]),"$ -","")</f>
        <v/>
      </c>
      <c r="L558" s="59" t="str">
        <f>IF(OR(Data!$I558=SottocategorieUscite[[#Headers],[Casa]],Data!$I558=SottocategorieUscite[[#Headers],[Utenze]],Data!$I558=SottocategorieUscite[[#Headers],[Business Uscite]],Data!$I558=SottocategorieUscite[[#Headers],[Banca]]),"$ -","")</f>
        <v/>
      </c>
      <c r="M558" s="59" t="str">
        <f>IF(OR($I558&lt;&gt;SottocategorieUscite[[#Headers],[Fuori Casa]],$I558&lt;&gt;SottocategorieUscite[[#Headers],[Varie Uscite]],$I558&lt;&gt;SottocategorieUscite[[#Headers],[Personali]],$I558&lt;&gt;SottocategorieUscite[[#Headers],[Lavoro]],$I558&lt;&gt;SottocategorieUscite[[#Headers],[Casa]],$I558&lt;&gt;SottocategorieUscite[[#Headers],[Utenze]],$I558&lt;&gt;SottocategorieUscite[[#Headers],[Business Uscite]],$I558&lt;&gt;SottocategorieUscite[[#Headers],[Banca]]),"","$ -")</f>
        <v/>
      </c>
      <c r="N558" s="59" t="str">
        <f>IF(OR(Data!$I558=SottocategorieEntrate[[#Headers],[Business Entrate]],Data!$I558=SottocategorieEntrate[[#Headers],[Varie Entrate]]),"$ -","")</f>
        <v/>
      </c>
      <c r="O558" s="59" t="str">
        <f>IF(OR(Data!$I558=SottocategorieEntrate[[#Headers],[Real Estate]],SottocategorieEntrate[[#Headers],[Other]]),"$ -","")</f>
        <v/>
      </c>
      <c r="P558" s="59" t="str">
        <f>IF(OR($I558&lt;&gt;SottocategorieEntrate[[#Headers],[Business Entrate]],$I558&lt;&gt;SottocategorieEntrate[[#Headers],[Varie Entrate]],$I558&lt;&gt;SottocategorieEntrate[[#Headers],[Real Estate]],$I558&lt;&gt;SottocategorieEntrate[[#Headers],[Other]]),"","$ -")</f>
        <v/>
      </c>
      <c r="Q558" s="59" t="str">
        <f>IF(Dati[[#This Row],[Categoria]]="Prelievo","€ -","")</f>
        <v/>
      </c>
      <c r="R558" s="244"/>
      <c r="S558" s="59" t="str">
        <f>IF(Dati[[#This Row],[Categoria]]="Savings",0,"")</f>
        <v/>
      </c>
      <c r="T558" s="59"/>
      <c r="U558" s="59"/>
      <c r="V558" s="59"/>
      <c r="W558" s="59"/>
      <c r="X558" s="59"/>
      <c r="Y558" s="59"/>
      <c r="Z558" s="59"/>
      <c r="AA558" s="59"/>
      <c r="AB558" s="59"/>
      <c r="AC558" s="59"/>
      <c r="AD558" s="59"/>
      <c r="AE558" s="59"/>
      <c r="AF558" s="59"/>
      <c r="AG558" s="59"/>
      <c r="AH558" s="59"/>
      <c r="AI558" s="59" t="str">
        <f>IF(SUM(Dati[[#This Row],[Inv. Business]:[Inv. Cryptocurrency]])=0," ",SUM(Dati[[#This Row],[Inv. Business]:[Inv. Cryptocurrency]]))</f>
        <v xml:space="preserve"> </v>
      </c>
      <c r="AJ558" s="59"/>
      <c r="AK558" s="59" t="str">
        <f>IF(SUM(Dati[[#This Row],[Inv. Gold]:[Mutuo]])=0," ",SUM(Dati[[#This Row],[Inv. Gold]:[Mutuo]]))</f>
        <v xml:space="preserve"> </v>
      </c>
      <c r="AL558" s="59"/>
      <c r="AM558" s="59"/>
    </row>
    <row r="559" spans="2:39" x14ac:dyDescent="0.35">
      <c r="B559">
        <f t="shared" si="23"/>
        <v>539</v>
      </c>
      <c r="C559" s="49">
        <f>C557+1</f>
        <v>45353</v>
      </c>
      <c r="D559" s="29">
        <f>DAY(Dati[[#This Row],[Data]])</f>
        <v>2</v>
      </c>
      <c r="E559" s="29" t="str">
        <f>IF(DAY(Data!$C$21:$C$1327)&gt;0,TEXT(Data!$C$21:$C$1327, "mmmm"),"")</f>
        <v>marzo</v>
      </c>
      <c r="F559" s="29" t="str">
        <f>IF(DAY(Data!$C$21:$C$1327)&gt;0,TEXT(Data!$C$21:$C$1327, "aaaa"),"")</f>
        <v>2024</v>
      </c>
      <c r="I559" t="str">
        <f>IF(OR(H559=$B$5,H559=$B$6,H559=$B$7,H559=$B$8,H559=$B$9,H559=$B$10,H559=$B$11,H559=$B$12,H559=$B$13,H559=$B$14),SottocategorieUscite[[#Headers],[Fuori Casa]],IF(OR(H559=$C$5,H559=$C$6,H559=$C$7,H559=$C$8,H559=$C$9,H559=$C$10,H559=$C$11,H559=$C$12,H559=$C$13,H559=$C$14),SottocategorieUscite[[#Headers],[Varie Uscite]],IF(OR(H559=$D$5,H559=$D$6,H559=$D$7,H559=$D$8,H559=$D$9,H559=$D$10,H559=$D$11,H559=$D$12,H559=$D$13,H559=$D$14),SottocategorieUscite[[#Headers],[Personali]],IF(OR(H559=$E$5,H559=$E$6,H559=$E$7,H559=$E$8,H559=$E$9,H559=$E$10,H559=$E$11,H559=$E$12,H559=$E$13,H559=$E$14),SottocategorieUscite[[#Headers],[Lavoro]],IF(OR(H559=$F$5,H559=$F$6,H559=$F$7,H559=$F$8,H559=$F$9,H559=$F$10,H559=$F$11,H559=$F$12,H559=$F$13,H559=$F$14),SottocategorieUscite[[#Headers],[Casa]],IF(OR(H559=$G$5,H559=$G$6,H559=$G$7,H559=$G$8,H559=$G$9,H559=$G$10,H559=$G$11,H559=$G$12,H559=$G$13,H559=$G$14),SottocategorieUscite[[#Headers],[Utenze]],IF(OR(H559=$H$5,H559=$H$6,H559=$H$7,H559=$H$8,H559=$H$9,H559=$H$10,H559=$H$11,H559=$H$12,H559=$H$13,H559=$H$14),SottocategorieUscite[[#Headers],[Business Uscite]],IF(OR(H559=$I$5,H559=$I$6,H559=$I$7,H559=$I$8,H559=$I$9,H559=$I$10,H559=$I$11,H559=$I$12,H559=$I$13,H559=$I$14),SottocategorieUscite[[#Headers],[Banca]],IF(OR(H559=K$5,H559=K$6,H559=K$7,H559=K$8,H559=K$9,H559=K$10,H559=K$11,H559=K$12,H559=K$13,H559=K$14),SottocategorieEntrate[[#Headers],[Business Entrate]],IF(OR(H559=L$5,H559=L$6,H559=L$7,H559=L$8,H559=L$9,H559=L$10,H559=L$11,H559=L$12,H559=L$13,H559=L$14),SottocategorieEntrate[[#Headers],[Varie Entrate]],IF(OR(H559=M$5,H559=M$6,H559=M$7,H559=M$8,H559=M$9,H559=M$10,H559=M$11,H559=M$12,H559=M$13,H559=M$14),SottocategorieEntrate[[#Headers],[Real Estate]],IF(OR(H559=N$5,H559=N$6,H559=N$7,H559=N$8,H559=N$9,H559=N$10,H559=N$11,H559=N$12,H559=N$13,H559=N$14),SottocategorieEntrate[[#Headers],[Other]],""))))))))))))</f>
        <v/>
      </c>
      <c r="J559" t="str">
        <f>IF(OR(Dati[[#This Row],[Categoria]]="Bollette",Dati[[#This Row],[Categoria]]="Conto &amp; Carte BNL",Dati[[#This Row],[Categoria]]="Prelievo",Dati[[#This Row],[Categoria]]="Affitto",Dati[[#This Row],[Categoria]]="BNL(Interessi Creditori)"),"Carta",IF(Dati[[#This Row],[Categoria]]&lt;&gt;0,"Cash",""))</f>
        <v/>
      </c>
      <c r="K559" s="59" t="str">
        <f>IF(OR(Data!$I559=SottocategorieUscite[[#Headers],[Fuori Casa]],Data!$I559=SottocategorieUscite[[#Headers],[Varie Uscite]],Data!$I559=SottocategorieUscite[[#Headers],[Personali]],Data!$I559=SottocategorieUscite[[#Headers],[Lavoro]]),"$ -","")</f>
        <v/>
      </c>
      <c r="L559" s="59" t="str">
        <f>IF(OR(Data!$I559=SottocategorieUscite[[#Headers],[Casa]],Data!$I559=SottocategorieUscite[[#Headers],[Utenze]],Data!$I559=SottocategorieUscite[[#Headers],[Business Uscite]],Data!$I559=SottocategorieUscite[[#Headers],[Banca]]),"$ -","")</f>
        <v/>
      </c>
      <c r="M559" s="59" t="str">
        <f>IF(OR($I559&lt;&gt;SottocategorieUscite[[#Headers],[Fuori Casa]],$I559&lt;&gt;SottocategorieUscite[[#Headers],[Varie Uscite]],$I559&lt;&gt;SottocategorieUscite[[#Headers],[Personali]],$I559&lt;&gt;SottocategorieUscite[[#Headers],[Lavoro]],$I559&lt;&gt;SottocategorieUscite[[#Headers],[Casa]],$I559&lt;&gt;SottocategorieUscite[[#Headers],[Utenze]],$I559&lt;&gt;SottocategorieUscite[[#Headers],[Business Uscite]],$I559&lt;&gt;SottocategorieUscite[[#Headers],[Banca]]),"","$ -")</f>
        <v/>
      </c>
      <c r="N559" s="59" t="str">
        <f>IF(OR(Data!$I559=SottocategorieEntrate[[#Headers],[Business Entrate]],Data!$I559=SottocategorieEntrate[[#Headers],[Varie Entrate]]),"$ -","")</f>
        <v/>
      </c>
      <c r="O559" s="59" t="str">
        <f>IF(OR(Data!$I559=SottocategorieEntrate[[#Headers],[Real Estate]],SottocategorieEntrate[[#Headers],[Other]]),"$ -","")</f>
        <v/>
      </c>
      <c r="P559" s="59" t="str">
        <f>IF(OR($I559&lt;&gt;SottocategorieEntrate[[#Headers],[Business Entrate]],$I559&lt;&gt;SottocategorieEntrate[[#Headers],[Varie Entrate]],$I559&lt;&gt;SottocategorieEntrate[[#Headers],[Real Estate]],$I559&lt;&gt;SottocategorieEntrate[[#Headers],[Other]]),"","$ -")</f>
        <v/>
      </c>
      <c r="Q559" s="59" t="str">
        <f>IF(Dati[[#This Row],[Categoria]]="Prelievo","€ -","")</f>
        <v/>
      </c>
      <c r="R559" s="244"/>
      <c r="S559" s="59" t="str">
        <f>IF(Dati[[#This Row],[Categoria]]="Savings",0,"")</f>
        <v/>
      </c>
      <c r="T559" s="59"/>
      <c r="U559" s="59"/>
      <c r="V559" s="59"/>
      <c r="W559" s="59"/>
      <c r="X559" s="59"/>
      <c r="Y559" s="59"/>
      <c r="Z559" s="59"/>
      <c r="AA559" s="59"/>
      <c r="AB559" s="59"/>
      <c r="AC559" s="59"/>
      <c r="AD559" s="59"/>
      <c r="AE559" s="59"/>
      <c r="AF559" s="59"/>
      <c r="AG559" s="59"/>
      <c r="AH559" s="59"/>
      <c r="AI559" s="59" t="str">
        <f>IF(SUM(Dati[[#This Row],[Inv. Business]:[Inv. Cryptocurrency]])=0," ",SUM(Dati[[#This Row],[Inv. Business]:[Inv. Cryptocurrency]]))</f>
        <v xml:space="preserve"> </v>
      </c>
      <c r="AJ559" s="59"/>
      <c r="AK559" s="59" t="str">
        <f>IF(SUM(Dati[[#This Row],[Inv. Gold]:[Mutuo]])=0," ",SUM(Dati[[#This Row],[Inv. Gold]:[Mutuo]]))</f>
        <v xml:space="preserve"> </v>
      </c>
      <c r="AL559" s="59"/>
      <c r="AM559" s="59"/>
    </row>
    <row r="560" spans="2:39" x14ac:dyDescent="0.35">
      <c r="B560">
        <f t="shared" si="23"/>
        <v>540</v>
      </c>
      <c r="C560" s="49">
        <f>C558+1</f>
        <v>45354</v>
      </c>
      <c r="D560" s="29">
        <f>DAY(Dati[[#This Row],[Data]])</f>
        <v>3</v>
      </c>
      <c r="E560" s="29" t="str">
        <f>IF(DAY(Data!$C$21:$C$1327)&gt;0,TEXT(Data!$C$21:$C$1327, "mmmm"),"")</f>
        <v>marzo</v>
      </c>
      <c r="F560" s="29" t="str">
        <f>IF(DAY(Data!$C$21:$C$1327)&gt;0,TEXT(Data!$C$21:$C$1327, "aaaa"),"")</f>
        <v>2024</v>
      </c>
      <c r="I560" t="str">
        <f>IF(OR(H560=$B$5,H560=$B$6,H560=$B$7,H560=$B$8,H560=$B$9,H560=$B$10,H560=$B$11,H560=$B$12,H560=$B$13,H560=$B$14),SottocategorieUscite[[#Headers],[Fuori Casa]],IF(OR(H560=$C$5,H560=$C$6,H560=$C$7,H560=$C$8,H560=$C$9,H560=$C$10,H560=$C$11,H560=$C$12,H560=$C$13,H560=$C$14),SottocategorieUscite[[#Headers],[Varie Uscite]],IF(OR(H560=$D$5,H560=$D$6,H560=$D$7,H560=$D$8,H560=$D$9,H560=$D$10,H560=$D$11,H560=$D$12,H560=$D$13,H560=$D$14),SottocategorieUscite[[#Headers],[Personali]],IF(OR(H560=$E$5,H560=$E$6,H560=$E$7,H560=$E$8,H560=$E$9,H560=$E$10,H560=$E$11,H560=$E$12,H560=$E$13,H560=$E$14),SottocategorieUscite[[#Headers],[Lavoro]],IF(OR(H560=$F$5,H560=$F$6,H560=$F$7,H560=$F$8,H560=$F$9,H560=$F$10,H560=$F$11,H560=$F$12,H560=$F$13,H560=$F$14),SottocategorieUscite[[#Headers],[Casa]],IF(OR(H560=$G$5,H560=$G$6,H560=$G$7,H560=$G$8,H560=$G$9,H560=$G$10,H560=$G$11,H560=$G$12,H560=$G$13,H560=$G$14),SottocategorieUscite[[#Headers],[Utenze]],IF(OR(H560=$H$5,H560=$H$6,H560=$H$7,H560=$H$8,H560=$H$9,H560=$H$10,H560=$H$11,H560=$H$12,H560=$H$13,H560=$H$14),SottocategorieUscite[[#Headers],[Business Uscite]],IF(OR(H560=$I$5,H560=$I$6,H560=$I$7,H560=$I$8,H560=$I$9,H560=$I$10,H560=$I$11,H560=$I$12,H560=$I$13,H560=$I$14),SottocategorieUscite[[#Headers],[Banca]],IF(OR(H560=K$5,H560=K$6,H560=K$7,H560=K$8,H560=K$9,H560=K$10,H560=K$11,H560=K$12,H560=K$13,H560=K$14),SottocategorieEntrate[[#Headers],[Business Entrate]],IF(OR(H560=L$5,H560=L$6,H560=L$7,H560=L$8,H560=L$9,H560=L$10,H560=L$11,H560=L$12,H560=L$13,H560=L$14),SottocategorieEntrate[[#Headers],[Varie Entrate]],IF(OR(H560=M$5,H560=M$6,H560=M$7,H560=M$8,H560=M$9,H560=M$10,H560=M$11,H560=M$12,H560=M$13,H560=M$14),SottocategorieEntrate[[#Headers],[Real Estate]],IF(OR(H560=N$5,H560=N$6,H560=N$7,H560=N$8,H560=N$9,H560=N$10,H560=N$11,H560=N$12,H560=N$13,H560=N$14),SottocategorieEntrate[[#Headers],[Other]],""))))))))))))</f>
        <v/>
      </c>
      <c r="J560" t="str">
        <f>IF(OR(Dati[[#This Row],[Categoria]]="Bollette",Dati[[#This Row],[Categoria]]="Conto &amp; Carte BNL",Dati[[#This Row],[Categoria]]="Prelievo",Dati[[#This Row],[Categoria]]="Affitto",Dati[[#This Row],[Categoria]]="BNL(Interessi Creditori)"),"Carta",IF(Dati[[#This Row],[Categoria]]&lt;&gt;0,"Cash",""))</f>
        <v/>
      </c>
      <c r="K560" s="59" t="str">
        <f>IF(OR(Data!$I560=SottocategorieUscite[[#Headers],[Fuori Casa]],Data!$I560=SottocategorieUscite[[#Headers],[Varie Uscite]],Data!$I560=SottocategorieUscite[[#Headers],[Personali]],Data!$I560=SottocategorieUscite[[#Headers],[Lavoro]]),"$ -","")</f>
        <v/>
      </c>
      <c r="L560" s="59" t="str">
        <f>IF(OR(Data!$I560=SottocategorieUscite[[#Headers],[Casa]],Data!$I560=SottocategorieUscite[[#Headers],[Utenze]],Data!$I560=SottocategorieUscite[[#Headers],[Business Uscite]],Data!$I560=SottocategorieUscite[[#Headers],[Banca]]),"$ -","")</f>
        <v/>
      </c>
      <c r="M560" s="59" t="str">
        <f>IF(OR($I560&lt;&gt;SottocategorieUscite[[#Headers],[Fuori Casa]],$I560&lt;&gt;SottocategorieUscite[[#Headers],[Varie Uscite]],$I560&lt;&gt;SottocategorieUscite[[#Headers],[Personali]],$I560&lt;&gt;SottocategorieUscite[[#Headers],[Lavoro]],$I560&lt;&gt;SottocategorieUscite[[#Headers],[Casa]],$I560&lt;&gt;SottocategorieUscite[[#Headers],[Utenze]],$I560&lt;&gt;SottocategorieUscite[[#Headers],[Business Uscite]],$I560&lt;&gt;SottocategorieUscite[[#Headers],[Banca]]),"","$ -")</f>
        <v/>
      </c>
      <c r="N560" s="59" t="str">
        <f>IF(OR(Data!$I560=SottocategorieEntrate[[#Headers],[Business Entrate]],Data!$I560=SottocategorieEntrate[[#Headers],[Varie Entrate]]),"$ -","")</f>
        <v/>
      </c>
      <c r="O560" s="59" t="str">
        <f>IF(OR(Data!$I560=SottocategorieEntrate[[#Headers],[Real Estate]],SottocategorieEntrate[[#Headers],[Other]]),"$ -","")</f>
        <v/>
      </c>
      <c r="P560" s="59" t="str">
        <f>IF(OR($I560&lt;&gt;SottocategorieEntrate[[#Headers],[Business Entrate]],$I560&lt;&gt;SottocategorieEntrate[[#Headers],[Varie Entrate]],$I560&lt;&gt;SottocategorieEntrate[[#Headers],[Real Estate]],$I560&lt;&gt;SottocategorieEntrate[[#Headers],[Other]]),"","$ -")</f>
        <v/>
      </c>
      <c r="Q560" s="59" t="str">
        <f>IF(Dati[[#This Row],[Categoria]]="Prelievo","€ -","")</f>
        <v/>
      </c>
      <c r="R560" s="244"/>
      <c r="S560" s="59" t="str">
        <f>IF(Dati[[#This Row],[Categoria]]="Savings",0,"")</f>
        <v/>
      </c>
      <c r="T560" s="59"/>
      <c r="U560" s="59"/>
      <c r="V560" s="59"/>
      <c r="W560" s="59"/>
      <c r="X560" s="59"/>
      <c r="Y560" s="59"/>
      <c r="Z560" s="59"/>
      <c r="AA560" s="59"/>
      <c r="AB560" s="59"/>
      <c r="AC560" s="59"/>
      <c r="AD560" s="59"/>
      <c r="AE560" s="59"/>
      <c r="AF560" s="59"/>
      <c r="AG560" s="59"/>
      <c r="AH560" s="59"/>
      <c r="AI560" s="59" t="str">
        <f>IF(SUM(Dati[[#This Row],[Inv. Business]:[Inv. Cryptocurrency]])=0," ",SUM(Dati[[#This Row],[Inv. Business]:[Inv. Cryptocurrency]]))</f>
        <v xml:space="preserve"> </v>
      </c>
      <c r="AJ560" s="59"/>
      <c r="AK560" s="59" t="str">
        <f>IF(SUM(Dati[[#This Row],[Inv. Gold]:[Mutuo]])=0," ",SUM(Dati[[#This Row],[Inv. Gold]:[Mutuo]]))</f>
        <v xml:space="preserve"> </v>
      </c>
      <c r="AL560" s="59"/>
      <c r="AM560" s="59"/>
    </row>
    <row r="561" spans="2:39" x14ac:dyDescent="0.35">
      <c r="B561">
        <f t="shared" si="23"/>
        <v>541</v>
      </c>
      <c r="C561" s="49">
        <f t="shared" ref="C561:C624" si="24">C560+1</f>
        <v>45355</v>
      </c>
      <c r="D561" s="29">
        <f>DAY(Dati[[#This Row],[Data]])</f>
        <v>4</v>
      </c>
      <c r="E561" s="29" t="str">
        <f>IF(DAY(Data!$C$21:$C$1327)&gt;0,TEXT(Data!$C$21:$C$1327, "mmmm"),"")</f>
        <v>marzo</v>
      </c>
      <c r="F561" s="29" t="str">
        <f>IF(DAY(Data!$C$21:$C$1327)&gt;0,TEXT(Data!$C$21:$C$1327, "aaaa"),"")</f>
        <v>2024</v>
      </c>
      <c r="I561" t="str">
        <f>IF(OR(H561=$B$5,H561=$B$6,H561=$B$7,H561=$B$8,H561=$B$9,H561=$B$10,H561=$B$11,H561=$B$12,H561=$B$13,H561=$B$14),SottocategorieUscite[[#Headers],[Fuori Casa]],IF(OR(H561=$C$5,H561=$C$6,H561=$C$7,H561=$C$8,H561=$C$9,H561=$C$10,H561=$C$11,H561=$C$12,H561=$C$13,H561=$C$14),SottocategorieUscite[[#Headers],[Varie Uscite]],IF(OR(H561=$D$5,H561=$D$6,H561=$D$7,H561=$D$8,H561=$D$9,H561=$D$10,H561=$D$11,H561=$D$12,H561=$D$13,H561=$D$14),SottocategorieUscite[[#Headers],[Personali]],IF(OR(H561=$E$5,H561=$E$6,H561=$E$7,H561=$E$8,H561=$E$9,H561=$E$10,H561=$E$11,H561=$E$12,H561=$E$13,H561=$E$14),SottocategorieUscite[[#Headers],[Lavoro]],IF(OR(H561=$F$5,H561=$F$6,H561=$F$7,H561=$F$8,H561=$F$9,H561=$F$10,H561=$F$11,H561=$F$12,H561=$F$13,H561=$F$14),SottocategorieUscite[[#Headers],[Casa]],IF(OR(H561=$G$5,H561=$G$6,H561=$G$7,H561=$G$8,H561=$G$9,H561=$G$10,H561=$G$11,H561=$G$12,H561=$G$13,H561=$G$14),SottocategorieUscite[[#Headers],[Utenze]],IF(OR(H561=$H$5,H561=$H$6,H561=$H$7,H561=$H$8,H561=$H$9,H561=$H$10,H561=$H$11,H561=$H$12,H561=$H$13,H561=$H$14),SottocategorieUscite[[#Headers],[Business Uscite]],IF(OR(H561=$I$5,H561=$I$6,H561=$I$7,H561=$I$8,H561=$I$9,H561=$I$10,H561=$I$11,H561=$I$12,H561=$I$13,H561=$I$14),SottocategorieUscite[[#Headers],[Banca]],IF(OR(H561=K$5,H561=K$6,H561=K$7,H561=K$8,H561=K$9,H561=K$10,H561=K$11,H561=K$12,H561=K$13,H561=K$14),SottocategorieEntrate[[#Headers],[Business Entrate]],IF(OR(H561=L$5,H561=L$6,H561=L$7,H561=L$8,H561=L$9,H561=L$10,H561=L$11,H561=L$12,H561=L$13,H561=L$14),SottocategorieEntrate[[#Headers],[Varie Entrate]],IF(OR(H561=M$5,H561=M$6,H561=M$7,H561=M$8,H561=M$9,H561=M$10,H561=M$11,H561=M$12,H561=M$13,H561=M$14),SottocategorieEntrate[[#Headers],[Real Estate]],IF(OR(H561=N$5,H561=N$6,H561=N$7,H561=N$8,H561=N$9,H561=N$10,H561=N$11,H561=N$12,H561=N$13,H561=N$14),SottocategorieEntrate[[#Headers],[Other]],""))))))))))))</f>
        <v/>
      </c>
      <c r="J561" t="str">
        <f>IF(OR(Dati[[#This Row],[Categoria]]="Bollette",Dati[[#This Row],[Categoria]]="Conto &amp; Carte BNL",Dati[[#This Row],[Categoria]]="Prelievo",Dati[[#This Row],[Categoria]]="Affitto",Dati[[#This Row],[Categoria]]="BNL(Interessi Creditori)"),"Carta",IF(Dati[[#This Row],[Categoria]]&lt;&gt;0,"Cash",""))</f>
        <v/>
      </c>
      <c r="K561" s="59" t="str">
        <f>IF(OR(Data!$I561=SottocategorieUscite[[#Headers],[Fuori Casa]],Data!$I561=SottocategorieUscite[[#Headers],[Varie Uscite]],Data!$I561=SottocategorieUscite[[#Headers],[Personali]],Data!$I561=SottocategorieUscite[[#Headers],[Lavoro]]),"$ -","")</f>
        <v/>
      </c>
      <c r="L561" s="59" t="str">
        <f>IF(OR(Data!$I561=SottocategorieUscite[[#Headers],[Casa]],Data!$I561=SottocategorieUscite[[#Headers],[Utenze]],Data!$I561=SottocategorieUscite[[#Headers],[Business Uscite]],Data!$I561=SottocategorieUscite[[#Headers],[Banca]]),"$ -","")</f>
        <v/>
      </c>
      <c r="M561" s="59" t="str">
        <f>IF(OR($I561&lt;&gt;SottocategorieUscite[[#Headers],[Fuori Casa]],$I561&lt;&gt;SottocategorieUscite[[#Headers],[Varie Uscite]],$I561&lt;&gt;SottocategorieUscite[[#Headers],[Personali]],$I561&lt;&gt;SottocategorieUscite[[#Headers],[Lavoro]],$I561&lt;&gt;SottocategorieUscite[[#Headers],[Casa]],$I561&lt;&gt;SottocategorieUscite[[#Headers],[Utenze]],$I561&lt;&gt;SottocategorieUscite[[#Headers],[Business Uscite]],$I561&lt;&gt;SottocategorieUscite[[#Headers],[Banca]]),"","$ -")</f>
        <v/>
      </c>
      <c r="N561" s="59" t="str">
        <f>IF(OR(Data!$I561=SottocategorieEntrate[[#Headers],[Business Entrate]],Data!$I561=SottocategorieEntrate[[#Headers],[Varie Entrate]]),"$ -","")</f>
        <v/>
      </c>
      <c r="O561" s="59" t="str">
        <f>IF(OR(Data!$I561=SottocategorieEntrate[[#Headers],[Real Estate]],SottocategorieEntrate[[#Headers],[Other]]),"$ -","")</f>
        <v/>
      </c>
      <c r="P561" s="59" t="str">
        <f>IF(OR($I561&lt;&gt;SottocategorieEntrate[[#Headers],[Business Entrate]],$I561&lt;&gt;SottocategorieEntrate[[#Headers],[Varie Entrate]],$I561&lt;&gt;SottocategorieEntrate[[#Headers],[Real Estate]],$I561&lt;&gt;SottocategorieEntrate[[#Headers],[Other]]),"","$ -")</f>
        <v/>
      </c>
      <c r="Q561" s="59" t="str">
        <f>IF(Dati[[#This Row],[Categoria]]="Prelievo","€ -","")</f>
        <v/>
      </c>
      <c r="R561" s="244"/>
      <c r="S561" s="59" t="str">
        <f>IF(Dati[[#This Row],[Categoria]]="Savings",0,"")</f>
        <v/>
      </c>
      <c r="T561" s="59"/>
      <c r="U561" s="59"/>
      <c r="V561" s="59"/>
      <c r="W561" s="59"/>
      <c r="X561" s="59"/>
      <c r="Y561" s="59"/>
      <c r="Z561" s="59"/>
      <c r="AA561" s="59"/>
      <c r="AB561" s="59"/>
      <c r="AC561" s="59"/>
      <c r="AD561" s="59"/>
      <c r="AE561" s="59"/>
      <c r="AF561" s="59"/>
      <c r="AG561" s="59"/>
      <c r="AH561" s="59"/>
      <c r="AI561" s="59" t="str">
        <f>IF(SUM(Dati[[#This Row],[Inv. Business]:[Inv. Cryptocurrency]])=0," ",SUM(Dati[[#This Row],[Inv. Business]:[Inv. Cryptocurrency]]))</f>
        <v xml:space="preserve"> </v>
      </c>
      <c r="AJ561" s="59"/>
      <c r="AK561" s="59" t="str">
        <f>IF(SUM(Dati[[#This Row],[Inv. Gold]:[Mutuo]])=0," ",SUM(Dati[[#This Row],[Inv. Gold]:[Mutuo]]))</f>
        <v xml:space="preserve"> </v>
      </c>
      <c r="AL561" s="59"/>
      <c r="AM561" s="59"/>
    </row>
    <row r="562" spans="2:39" x14ac:dyDescent="0.35">
      <c r="B562">
        <f t="shared" si="23"/>
        <v>542</v>
      </c>
      <c r="C562" s="49">
        <f t="shared" si="24"/>
        <v>45356</v>
      </c>
      <c r="D562" s="29">
        <f>DAY(Dati[[#This Row],[Data]])</f>
        <v>5</v>
      </c>
      <c r="E562" s="29" t="str">
        <f>IF(DAY(Data!$C$21:$C$1327)&gt;0,TEXT(Data!$C$21:$C$1327, "mmmm"),"")</f>
        <v>marzo</v>
      </c>
      <c r="F562" s="29" t="str">
        <f>IF(DAY(Data!$C$21:$C$1327)&gt;0,TEXT(Data!$C$21:$C$1327, "aaaa"),"")</f>
        <v>2024</v>
      </c>
      <c r="I562" t="str">
        <f>IF(OR(H562=$B$5,H562=$B$6,H562=$B$7,H562=$B$8,H562=$B$9,H562=$B$10,H562=$B$11,H562=$B$12,H562=$B$13,H562=$B$14),SottocategorieUscite[[#Headers],[Fuori Casa]],IF(OR(H562=$C$5,H562=$C$6,H562=$C$7,H562=$C$8,H562=$C$9,H562=$C$10,H562=$C$11,H562=$C$12,H562=$C$13,H562=$C$14),SottocategorieUscite[[#Headers],[Varie Uscite]],IF(OR(H562=$D$5,H562=$D$6,H562=$D$7,H562=$D$8,H562=$D$9,H562=$D$10,H562=$D$11,H562=$D$12,H562=$D$13,H562=$D$14),SottocategorieUscite[[#Headers],[Personali]],IF(OR(H562=$E$5,H562=$E$6,H562=$E$7,H562=$E$8,H562=$E$9,H562=$E$10,H562=$E$11,H562=$E$12,H562=$E$13,H562=$E$14),SottocategorieUscite[[#Headers],[Lavoro]],IF(OR(H562=$F$5,H562=$F$6,H562=$F$7,H562=$F$8,H562=$F$9,H562=$F$10,H562=$F$11,H562=$F$12,H562=$F$13,H562=$F$14),SottocategorieUscite[[#Headers],[Casa]],IF(OR(H562=$G$5,H562=$G$6,H562=$G$7,H562=$G$8,H562=$G$9,H562=$G$10,H562=$G$11,H562=$G$12,H562=$G$13,H562=$G$14),SottocategorieUscite[[#Headers],[Utenze]],IF(OR(H562=$H$5,H562=$H$6,H562=$H$7,H562=$H$8,H562=$H$9,H562=$H$10,H562=$H$11,H562=$H$12,H562=$H$13,H562=$H$14),SottocategorieUscite[[#Headers],[Business Uscite]],IF(OR(H562=$I$5,H562=$I$6,H562=$I$7,H562=$I$8,H562=$I$9,H562=$I$10,H562=$I$11,H562=$I$12,H562=$I$13,H562=$I$14),SottocategorieUscite[[#Headers],[Banca]],IF(OR(H562=K$5,H562=K$6,H562=K$7,H562=K$8,H562=K$9,H562=K$10,H562=K$11,H562=K$12,H562=K$13,H562=K$14),SottocategorieEntrate[[#Headers],[Business Entrate]],IF(OR(H562=L$5,H562=L$6,H562=L$7,H562=L$8,H562=L$9,H562=L$10,H562=L$11,H562=L$12,H562=L$13,H562=L$14),SottocategorieEntrate[[#Headers],[Varie Entrate]],IF(OR(H562=M$5,H562=M$6,H562=M$7,H562=M$8,H562=M$9,H562=M$10,H562=M$11,H562=M$12,H562=M$13,H562=M$14),SottocategorieEntrate[[#Headers],[Real Estate]],IF(OR(H562=N$5,H562=N$6,H562=N$7,H562=N$8,H562=N$9,H562=N$10,H562=N$11,H562=N$12,H562=N$13,H562=N$14),SottocategorieEntrate[[#Headers],[Other]],""))))))))))))</f>
        <v/>
      </c>
      <c r="J562" t="str">
        <f>IF(OR(Dati[[#This Row],[Categoria]]="Bollette",Dati[[#This Row],[Categoria]]="Conto &amp; Carte BNL",Dati[[#This Row],[Categoria]]="Prelievo",Dati[[#This Row],[Categoria]]="Affitto",Dati[[#This Row],[Categoria]]="BNL(Interessi Creditori)"),"Carta",IF(Dati[[#This Row],[Categoria]]&lt;&gt;0,"Cash",""))</f>
        <v/>
      </c>
      <c r="K562" s="59" t="str">
        <f>IF(OR(Data!$I562=SottocategorieUscite[[#Headers],[Fuori Casa]],Data!$I562=SottocategorieUscite[[#Headers],[Varie Uscite]],Data!$I562=SottocategorieUscite[[#Headers],[Personali]],Data!$I562=SottocategorieUscite[[#Headers],[Lavoro]]),"$ -","")</f>
        <v/>
      </c>
      <c r="L562" s="59" t="str">
        <f>IF(OR(Data!$I562=SottocategorieUscite[[#Headers],[Casa]],Data!$I562=SottocategorieUscite[[#Headers],[Utenze]],Data!$I562=SottocategorieUscite[[#Headers],[Business Uscite]],Data!$I562=SottocategorieUscite[[#Headers],[Banca]]),"$ -","")</f>
        <v/>
      </c>
      <c r="M562" s="59" t="str">
        <f>IF(OR($I562&lt;&gt;SottocategorieUscite[[#Headers],[Fuori Casa]],$I562&lt;&gt;SottocategorieUscite[[#Headers],[Varie Uscite]],$I562&lt;&gt;SottocategorieUscite[[#Headers],[Personali]],$I562&lt;&gt;SottocategorieUscite[[#Headers],[Lavoro]],$I562&lt;&gt;SottocategorieUscite[[#Headers],[Casa]],$I562&lt;&gt;SottocategorieUscite[[#Headers],[Utenze]],$I562&lt;&gt;SottocategorieUscite[[#Headers],[Business Uscite]],$I562&lt;&gt;SottocategorieUscite[[#Headers],[Banca]]),"","$ -")</f>
        <v/>
      </c>
      <c r="N562" s="59" t="str">
        <f>IF(OR(Data!$I562=SottocategorieEntrate[[#Headers],[Business Entrate]],Data!$I562=SottocategorieEntrate[[#Headers],[Varie Entrate]]),"$ -","")</f>
        <v/>
      </c>
      <c r="O562" s="59" t="str">
        <f>IF(OR(Data!$I562=SottocategorieEntrate[[#Headers],[Real Estate]],SottocategorieEntrate[[#Headers],[Other]]),"$ -","")</f>
        <v/>
      </c>
      <c r="P562" s="59" t="str">
        <f>IF(OR($I562&lt;&gt;SottocategorieEntrate[[#Headers],[Business Entrate]],$I562&lt;&gt;SottocategorieEntrate[[#Headers],[Varie Entrate]],$I562&lt;&gt;SottocategorieEntrate[[#Headers],[Real Estate]],$I562&lt;&gt;SottocategorieEntrate[[#Headers],[Other]]),"","$ -")</f>
        <v/>
      </c>
      <c r="Q562" s="59" t="str">
        <f>IF(Dati[[#This Row],[Categoria]]="Prelievo","€ -","")</f>
        <v/>
      </c>
      <c r="R562" s="244"/>
      <c r="S562" s="59" t="str">
        <f>IF(Dati[[#This Row],[Categoria]]="Savings",0,"")</f>
        <v/>
      </c>
      <c r="T562" s="59"/>
      <c r="U562" s="59"/>
      <c r="V562" s="59"/>
      <c r="W562" s="59"/>
      <c r="X562" s="59"/>
      <c r="Y562" s="59"/>
      <c r="Z562" s="59"/>
      <c r="AA562" s="59"/>
      <c r="AB562" s="59"/>
      <c r="AC562" s="59"/>
      <c r="AD562" s="59"/>
      <c r="AE562" s="59"/>
      <c r="AF562" s="59"/>
      <c r="AG562" s="59"/>
      <c r="AH562" s="59"/>
      <c r="AI562" s="59" t="str">
        <f>IF(SUM(Dati[[#This Row],[Inv. Business]:[Inv. Cryptocurrency]])=0," ",SUM(Dati[[#This Row],[Inv. Business]:[Inv. Cryptocurrency]]))</f>
        <v xml:space="preserve"> </v>
      </c>
      <c r="AJ562" s="59"/>
      <c r="AK562" s="59" t="str">
        <f>IF(SUM(Dati[[#This Row],[Inv. Gold]:[Mutuo]])=0," ",SUM(Dati[[#This Row],[Inv. Gold]:[Mutuo]]))</f>
        <v xml:space="preserve"> </v>
      </c>
      <c r="AL562" s="59"/>
      <c r="AM562" s="59"/>
    </row>
    <row r="563" spans="2:39" x14ac:dyDescent="0.35">
      <c r="B563">
        <f t="shared" si="23"/>
        <v>543</v>
      </c>
      <c r="C563" s="49">
        <f t="shared" si="24"/>
        <v>45357</v>
      </c>
      <c r="D563" s="29">
        <f>DAY(Dati[[#This Row],[Data]])</f>
        <v>6</v>
      </c>
      <c r="E563" s="29" t="str">
        <f>IF(DAY(Data!$C$21:$C$1327)&gt;0,TEXT(Data!$C$21:$C$1327, "mmmm"),"")</f>
        <v>marzo</v>
      </c>
      <c r="F563" s="29" t="str">
        <f>IF(DAY(Data!$C$21:$C$1327)&gt;0,TEXT(Data!$C$21:$C$1327, "aaaa"),"")</f>
        <v>2024</v>
      </c>
      <c r="I563" t="str">
        <f>IF(OR(H563=$B$5,H563=$B$6,H563=$B$7,H563=$B$8,H563=$B$9,H563=$B$10,H563=$B$11,H563=$B$12,H563=$B$13,H563=$B$14),SottocategorieUscite[[#Headers],[Fuori Casa]],IF(OR(H563=$C$5,H563=$C$6,H563=$C$7,H563=$C$8,H563=$C$9,H563=$C$10,H563=$C$11,H563=$C$12,H563=$C$13,H563=$C$14),SottocategorieUscite[[#Headers],[Varie Uscite]],IF(OR(H563=$D$5,H563=$D$6,H563=$D$7,H563=$D$8,H563=$D$9,H563=$D$10,H563=$D$11,H563=$D$12,H563=$D$13,H563=$D$14),SottocategorieUscite[[#Headers],[Personali]],IF(OR(H563=$E$5,H563=$E$6,H563=$E$7,H563=$E$8,H563=$E$9,H563=$E$10,H563=$E$11,H563=$E$12,H563=$E$13,H563=$E$14),SottocategorieUscite[[#Headers],[Lavoro]],IF(OR(H563=$F$5,H563=$F$6,H563=$F$7,H563=$F$8,H563=$F$9,H563=$F$10,H563=$F$11,H563=$F$12,H563=$F$13,H563=$F$14),SottocategorieUscite[[#Headers],[Casa]],IF(OR(H563=$G$5,H563=$G$6,H563=$G$7,H563=$G$8,H563=$G$9,H563=$G$10,H563=$G$11,H563=$G$12,H563=$G$13,H563=$G$14),SottocategorieUscite[[#Headers],[Utenze]],IF(OR(H563=$H$5,H563=$H$6,H563=$H$7,H563=$H$8,H563=$H$9,H563=$H$10,H563=$H$11,H563=$H$12,H563=$H$13,H563=$H$14),SottocategorieUscite[[#Headers],[Business Uscite]],IF(OR(H563=$I$5,H563=$I$6,H563=$I$7,H563=$I$8,H563=$I$9,H563=$I$10,H563=$I$11,H563=$I$12,H563=$I$13,H563=$I$14),SottocategorieUscite[[#Headers],[Banca]],IF(OR(H563=K$5,H563=K$6,H563=K$7,H563=K$8,H563=K$9,H563=K$10,H563=K$11,H563=K$12,H563=K$13,H563=K$14),SottocategorieEntrate[[#Headers],[Business Entrate]],IF(OR(H563=L$5,H563=L$6,H563=L$7,H563=L$8,H563=L$9,H563=L$10,H563=L$11,H563=L$12,H563=L$13,H563=L$14),SottocategorieEntrate[[#Headers],[Varie Entrate]],IF(OR(H563=M$5,H563=M$6,H563=M$7,H563=M$8,H563=M$9,H563=M$10,H563=M$11,H563=M$12,H563=M$13,H563=M$14),SottocategorieEntrate[[#Headers],[Real Estate]],IF(OR(H563=N$5,H563=N$6,H563=N$7,H563=N$8,H563=N$9,H563=N$10,H563=N$11,H563=N$12,H563=N$13,H563=N$14),SottocategorieEntrate[[#Headers],[Other]],""))))))))))))</f>
        <v/>
      </c>
      <c r="J563" t="str">
        <f>IF(OR(Dati[[#This Row],[Categoria]]="Bollette",Dati[[#This Row],[Categoria]]="Conto &amp; Carte BNL",Dati[[#This Row],[Categoria]]="Prelievo",Dati[[#This Row],[Categoria]]="Affitto",Dati[[#This Row],[Categoria]]="BNL(Interessi Creditori)"),"Carta",IF(Dati[[#This Row],[Categoria]]&lt;&gt;0,"Cash",""))</f>
        <v/>
      </c>
      <c r="K563" s="59" t="str">
        <f>IF(OR(Data!$I563=SottocategorieUscite[[#Headers],[Fuori Casa]],Data!$I563=SottocategorieUscite[[#Headers],[Varie Uscite]],Data!$I563=SottocategorieUscite[[#Headers],[Personali]],Data!$I563=SottocategorieUscite[[#Headers],[Lavoro]]),"$ -","")</f>
        <v/>
      </c>
      <c r="L563" s="59" t="str">
        <f>IF(OR(Data!$I563=SottocategorieUscite[[#Headers],[Casa]],Data!$I563=SottocategorieUscite[[#Headers],[Utenze]],Data!$I563=SottocategorieUscite[[#Headers],[Business Uscite]],Data!$I563=SottocategorieUscite[[#Headers],[Banca]]),"$ -","")</f>
        <v/>
      </c>
      <c r="M563" s="59" t="str">
        <f>IF(OR($I563&lt;&gt;SottocategorieUscite[[#Headers],[Fuori Casa]],$I563&lt;&gt;SottocategorieUscite[[#Headers],[Varie Uscite]],$I563&lt;&gt;SottocategorieUscite[[#Headers],[Personali]],$I563&lt;&gt;SottocategorieUscite[[#Headers],[Lavoro]],$I563&lt;&gt;SottocategorieUscite[[#Headers],[Casa]],$I563&lt;&gt;SottocategorieUscite[[#Headers],[Utenze]],$I563&lt;&gt;SottocategorieUscite[[#Headers],[Business Uscite]],$I563&lt;&gt;SottocategorieUscite[[#Headers],[Banca]]),"","$ -")</f>
        <v/>
      </c>
      <c r="N563" s="59" t="str">
        <f>IF(OR(Data!$I563=SottocategorieEntrate[[#Headers],[Business Entrate]],Data!$I563=SottocategorieEntrate[[#Headers],[Varie Entrate]]),"$ -","")</f>
        <v/>
      </c>
      <c r="O563" s="59" t="str">
        <f>IF(OR(Data!$I563=SottocategorieEntrate[[#Headers],[Real Estate]],SottocategorieEntrate[[#Headers],[Other]]),"$ -","")</f>
        <v/>
      </c>
      <c r="P563" s="59" t="str">
        <f>IF(OR($I563&lt;&gt;SottocategorieEntrate[[#Headers],[Business Entrate]],$I563&lt;&gt;SottocategorieEntrate[[#Headers],[Varie Entrate]],$I563&lt;&gt;SottocategorieEntrate[[#Headers],[Real Estate]],$I563&lt;&gt;SottocategorieEntrate[[#Headers],[Other]]),"","$ -")</f>
        <v/>
      </c>
      <c r="Q563" s="59" t="str">
        <f>IF(Dati[[#This Row],[Categoria]]="Prelievo","€ -","")</f>
        <v/>
      </c>
      <c r="R563" s="244"/>
      <c r="S563" s="59" t="str">
        <f>IF(Dati[[#This Row],[Categoria]]="Savings",0,"")</f>
        <v/>
      </c>
      <c r="T563" s="59"/>
      <c r="U563" s="59"/>
      <c r="V563" s="59"/>
      <c r="W563" s="59"/>
      <c r="X563" s="59"/>
      <c r="Y563" s="59"/>
      <c r="Z563" s="59"/>
      <c r="AA563" s="59"/>
      <c r="AB563" s="59"/>
      <c r="AC563" s="59"/>
      <c r="AD563" s="59"/>
      <c r="AE563" s="59"/>
      <c r="AF563" s="59"/>
      <c r="AG563" s="59"/>
      <c r="AH563" s="59"/>
      <c r="AI563" s="59" t="str">
        <f>IF(SUM(Dati[[#This Row],[Inv. Business]:[Inv. Cryptocurrency]])=0," ",SUM(Dati[[#This Row],[Inv. Business]:[Inv. Cryptocurrency]]))</f>
        <v xml:space="preserve"> </v>
      </c>
      <c r="AJ563" s="59"/>
      <c r="AK563" s="59" t="str">
        <f>IF(SUM(Dati[[#This Row],[Inv. Gold]:[Mutuo]])=0," ",SUM(Dati[[#This Row],[Inv. Gold]:[Mutuo]]))</f>
        <v xml:space="preserve"> </v>
      </c>
      <c r="AL563" s="59"/>
      <c r="AM563" s="59"/>
    </row>
    <row r="564" spans="2:39" x14ac:dyDescent="0.35">
      <c r="B564">
        <f t="shared" si="23"/>
        <v>544</v>
      </c>
      <c r="C564" s="49">
        <f t="shared" si="24"/>
        <v>45358</v>
      </c>
      <c r="D564" s="29">
        <f>DAY(Dati[[#This Row],[Data]])</f>
        <v>7</v>
      </c>
      <c r="E564" s="29" t="str">
        <f>IF(DAY(Data!$C$21:$C$1327)&gt;0,TEXT(Data!$C$21:$C$1327, "mmmm"),"")</f>
        <v>marzo</v>
      </c>
      <c r="F564" s="29" t="str">
        <f>IF(DAY(Data!$C$21:$C$1327)&gt;0,TEXT(Data!$C$21:$C$1327, "aaaa"),"")</f>
        <v>2024</v>
      </c>
      <c r="I564" t="str">
        <f>IF(OR(H564=$B$5,H564=$B$6,H564=$B$7,H564=$B$8,H564=$B$9,H564=$B$10,H564=$B$11,H564=$B$12,H564=$B$13,H564=$B$14),SottocategorieUscite[[#Headers],[Fuori Casa]],IF(OR(H564=$C$5,H564=$C$6,H564=$C$7,H564=$C$8,H564=$C$9,H564=$C$10,H564=$C$11,H564=$C$12,H564=$C$13,H564=$C$14),SottocategorieUscite[[#Headers],[Varie Uscite]],IF(OR(H564=$D$5,H564=$D$6,H564=$D$7,H564=$D$8,H564=$D$9,H564=$D$10,H564=$D$11,H564=$D$12,H564=$D$13,H564=$D$14),SottocategorieUscite[[#Headers],[Personali]],IF(OR(H564=$E$5,H564=$E$6,H564=$E$7,H564=$E$8,H564=$E$9,H564=$E$10,H564=$E$11,H564=$E$12,H564=$E$13,H564=$E$14),SottocategorieUscite[[#Headers],[Lavoro]],IF(OR(H564=$F$5,H564=$F$6,H564=$F$7,H564=$F$8,H564=$F$9,H564=$F$10,H564=$F$11,H564=$F$12,H564=$F$13,H564=$F$14),SottocategorieUscite[[#Headers],[Casa]],IF(OR(H564=$G$5,H564=$G$6,H564=$G$7,H564=$G$8,H564=$G$9,H564=$G$10,H564=$G$11,H564=$G$12,H564=$G$13,H564=$G$14),SottocategorieUscite[[#Headers],[Utenze]],IF(OR(H564=$H$5,H564=$H$6,H564=$H$7,H564=$H$8,H564=$H$9,H564=$H$10,H564=$H$11,H564=$H$12,H564=$H$13,H564=$H$14),SottocategorieUscite[[#Headers],[Business Uscite]],IF(OR(H564=$I$5,H564=$I$6,H564=$I$7,H564=$I$8,H564=$I$9,H564=$I$10,H564=$I$11,H564=$I$12,H564=$I$13,H564=$I$14),SottocategorieUscite[[#Headers],[Banca]],IF(OR(H564=K$5,H564=K$6,H564=K$7,H564=K$8,H564=K$9,H564=K$10,H564=K$11,H564=K$12,H564=K$13,H564=K$14),SottocategorieEntrate[[#Headers],[Business Entrate]],IF(OR(H564=L$5,H564=L$6,H564=L$7,H564=L$8,H564=L$9,H564=L$10,H564=L$11,H564=L$12,H564=L$13,H564=L$14),SottocategorieEntrate[[#Headers],[Varie Entrate]],IF(OR(H564=M$5,H564=M$6,H564=M$7,H564=M$8,H564=M$9,H564=M$10,H564=M$11,H564=M$12,H564=M$13,H564=M$14),SottocategorieEntrate[[#Headers],[Real Estate]],IF(OR(H564=N$5,H564=N$6,H564=N$7,H564=N$8,H564=N$9,H564=N$10,H564=N$11,H564=N$12,H564=N$13,H564=N$14),SottocategorieEntrate[[#Headers],[Other]],""))))))))))))</f>
        <v/>
      </c>
      <c r="J564" t="str">
        <f>IF(OR(Dati[[#This Row],[Categoria]]="Bollette",Dati[[#This Row],[Categoria]]="Conto &amp; Carte BNL",Dati[[#This Row],[Categoria]]="Prelievo",Dati[[#This Row],[Categoria]]="Affitto",Dati[[#This Row],[Categoria]]="BNL(Interessi Creditori)"),"Carta",IF(Dati[[#This Row],[Categoria]]&lt;&gt;0,"Cash",""))</f>
        <v/>
      </c>
      <c r="K564" s="59" t="str">
        <f>IF(OR(Data!$I564=SottocategorieUscite[[#Headers],[Fuori Casa]],Data!$I564=SottocategorieUscite[[#Headers],[Varie Uscite]],Data!$I564=SottocategorieUscite[[#Headers],[Personali]],Data!$I564=SottocategorieUscite[[#Headers],[Lavoro]]),"$ -","")</f>
        <v/>
      </c>
      <c r="L564" s="59" t="str">
        <f>IF(OR(Data!$I564=SottocategorieUscite[[#Headers],[Casa]],Data!$I564=SottocategorieUscite[[#Headers],[Utenze]],Data!$I564=SottocategorieUscite[[#Headers],[Business Uscite]],Data!$I564=SottocategorieUscite[[#Headers],[Banca]]),"$ -","")</f>
        <v/>
      </c>
      <c r="M564" s="59" t="str">
        <f>IF(OR($I564&lt;&gt;SottocategorieUscite[[#Headers],[Fuori Casa]],$I564&lt;&gt;SottocategorieUscite[[#Headers],[Varie Uscite]],$I564&lt;&gt;SottocategorieUscite[[#Headers],[Personali]],$I564&lt;&gt;SottocategorieUscite[[#Headers],[Lavoro]],$I564&lt;&gt;SottocategorieUscite[[#Headers],[Casa]],$I564&lt;&gt;SottocategorieUscite[[#Headers],[Utenze]],$I564&lt;&gt;SottocategorieUscite[[#Headers],[Business Uscite]],$I564&lt;&gt;SottocategorieUscite[[#Headers],[Banca]]),"","$ -")</f>
        <v/>
      </c>
      <c r="N564" s="59" t="str">
        <f>IF(OR(Data!$I564=SottocategorieEntrate[[#Headers],[Business Entrate]],Data!$I564=SottocategorieEntrate[[#Headers],[Varie Entrate]]),"$ -","")</f>
        <v/>
      </c>
      <c r="O564" s="59" t="str">
        <f>IF(OR(Data!$I564=SottocategorieEntrate[[#Headers],[Real Estate]],SottocategorieEntrate[[#Headers],[Other]]),"$ -","")</f>
        <v/>
      </c>
      <c r="P564" s="59" t="str">
        <f>IF(OR($I564&lt;&gt;SottocategorieEntrate[[#Headers],[Business Entrate]],$I564&lt;&gt;SottocategorieEntrate[[#Headers],[Varie Entrate]],$I564&lt;&gt;SottocategorieEntrate[[#Headers],[Real Estate]],$I564&lt;&gt;SottocategorieEntrate[[#Headers],[Other]]),"","$ -")</f>
        <v/>
      </c>
      <c r="Q564" s="59" t="str">
        <f>IF(Dati[[#This Row],[Categoria]]="Prelievo","€ -","")</f>
        <v/>
      </c>
      <c r="R564" s="244"/>
      <c r="S564" s="59" t="str">
        <f>IF(Dati[[#This Row],[Categoria]]="Savings",0,"")</f>
        <v/>
      </c>
      <c r="T564" s="59"/>
      <c r="U564" s="59"/>
      <c r="V564" s="59"/>
      <c r="W564" s="59"/>
      <c r="X564" s="59"/>
      <c r="Y564" s="59"/>
      <c r="Z564" s="59"/>
      <c r="AA564" s="59"/>
      <c r="AB564" s="59"/>
      <c r="AC564" s="59"/>
      <c r="AD564" s="59"/>
      <c r="AE564" s="59"/>
      <c r="AF564" s="59"/>
      <c r="AG564" s="59"/>
      <c r="AH564" s="59"/>
      <c r="AI564" s="59" t="str">
        <f>IF(SUM(Dati[[#This Row],[Inv. Business]:[Inv. Cryptocurrency]])=0," ",SUM(Dati[[#This Row],[Inv. Business]:[Inv. Cryptocurrency]]))</f>
        <v xml:space="preserve"> </v>
      </c>
      <c r="AJ564" s="59"/>
      <c r="AK564" s="59" t="str">
        <f>IF(SUM(Dati[[#This Row],[Inv. Gold]:[Mutuo]])=0," ",SUM(Dati[[#This Row],[Inv. Gold]:[Mutuo]]))</f>
        <v xml:space="preserve"> </v>
      </c>
      <c r="AL564" s="59"/>
      <c r="AM564" s="59"/>
    </row>
    <row r="565" spans="2:39" x14ac:dyDescent="0.35">
      <c r="B565">
        <f t="shared" si="23"/>
        <v>545</v>
      </c>
      <c r="C565" s="49">
        <f>C563+1</f>
        <v>45358</v>
      </c>
      <c r="D565" s="29">
        <f>DAY(Dati[[#This Row],[Data]])</f>
        <v>7</v>
      </c>
      <c r="E565" s="29" t="str">
        <f>IF(DAY(Data!$C$21:$C$1327)&gt;0,TEXT(Data!$C$21:$C$1327, "mmmm"),"")</f>
        <v>marzo</v>
      </c>
      <c r="F565" s="29" t="str">
        <f>IF(DAY(Data!$C$21:$C$1327)&gt;0,TEXT(Data!$C$21:$C$1327, "aaaa"),"")</f>
        <v>2024</v>
      </c>
      <c r="I565" t="str">
        <f>IF(OR(H565=$B$5,H565=$B$6,H565=$B$7,H565=$B$8,H565=$B$9,H565=$B$10,H565=$B$11,H565=$B$12,H565=$B$13,H565=$B$14),SottocategorieUscite[[#Headers],[Fuori Casa]],IF(OR(H565=$C$5,H565=$C$6,H565=$C$7,H565=$C$8,H565=$C$9,H565=$C$10,H565=$C$11,H565=$C$12,H565=$C$13,H565=$C$14),SottocategorieUscite[[#Headers],[Varie Uscite]],IF(OR(H565=$D$5,H565=$D$6,H565=$D$7,H565=$D$8,H565=$D$9,H565=$D$10,H565=$D$11,H565=$D$12,H565=$D$13,H565=$D$14),SottocategorieUscite[[#Headers],[Personali]],IF(OR(H565=$E$5,H565=$E$6,H565=$E$7,H565=$E$8,H565=$E$9,H565=$E$10,H565=$E$11,H565=$E$12,H565=$E$13,H565=$E$14),SottocategorieUscite[[#Headers],[Lavoro]],IF(OR(H565=$F$5,H565=$F$6,H565=$F$7,H565=$F$8,H565=$F$9,H565=$F$10,H565=$F$11,H565=$F$12,H565=$F$13,H565=$F$14),SottocategorieUscite[[#Headers],[Casa]],IF(OR(H565=$G$5,H565=$G$6,H565=$G$7,H565=$G$8,H565=$G$9,H565=$G$10,H565=$G$11,H565=$G$12,H565=$G$13,H565=$G$14),SottocategorieUscite[[#Headers],[Utenze]],IF(OR(H565=$H$5,H565=$H$6,H565=$H$7,H565=$H$8,H565=$H$9,H565=$H$10,H565=$H$11,H565=$H$12,H565=$H$13,H565=$H$14),SottocategorieUscite[[#Headers],[Business Uscite]],IF(OR(H565=$I$5,H565=$I$6,H565=$I$7,H565=$I$8,H565=$I$9,H565=$I$10,H565=$I$11,H565=$I$12,H565=$I$13,H565=$I$14),SottocategorieUscite[[#Headers],[Banca]],IF(OR(H565=K$5,H565=K$6,H565=K$7,H565=K$8,H565=K$9,H565=K$10,H565=K$11,H565=K$12,H565=K$13,H565=K$14),SottocategorieEntrate[[#Headers],[Business Entrate]],IF(OR(H565=L$5,H565=L$6,H565=L$7,H565=L$8,H565=L$9,H565=L$10,H565=L$11,H565=L$12,H565=L$13,H565=L$14),SottocategorieEntrate[[#Headers],[Varie Entrate]],IF(OR(H565=M$5,H565=M$6,H565=M$7,H565=M$8,H565=M$9,H565=M$10,H565=M$11,H565=M$12,H565=M$13,H565=M$14),SottocategorieEntrate[[#Headers],[Real Estate]],IF(OR(H565=N$5,H565=N$6,H565=N$7,H565=N$8,H565=N$9,H565=N$10,H565=N$11,H565=N$12,H565=N$13,H565=N$14),SottocategorieEntrate[[#Headers],[Other]],""))))))))))))</f>
        <v/>
      </c>
      <c r="J565" t="str">
        <f>IF(OR(Dati[[#This Row],[Categoria]]="Bollette",Dati[[#This Row],[Categoria]]="Conto &amp; Carte BNL",Dati[[#This Row],[Categoria]]="Prelievo",Dati[[#This Row],[Categoria]]="Affitto",Dati[[#This Row],[Categoria]]="BNL(Interessi Creditori)"),"Carta",IF(Dati[[#This Row],[Categoria]]&lt;&gt;0,"Cash",""))</f>
        <v/>
      </c>
      <c r="K565" s="59" t="str">
        <f>IF(OR(Data!$I565=SottocategorieUscite[[#Headers],[Fuori Casa]],Data!$I565=SottocategorieUscite[[#Headers],[Varie Uscite]],Data!$I565=SottocategorieUscite[[#Headers],[Personali]],Data!$I565=SottocategorieUscite[[#Headers],[Lavoro]]),"$ -","")</f>
        <v/>
      </c>
      <c r="L565" s="59" t="str">
        <f>IF(OR(Data!$I565=SottocategorieUscite[[#Headers],[Casa]],Data!$I565=SottocategorieUscite[[#Headers],[Utenze]],Data!$I565=SottocategorieUscite[[#Headers],[Business Uscite]],Data!$I565=SottocategorieUscite[[#Headers],[Banca]]),"$ -","")</f>
        <v/>
      </c>
      <c r="M565" s="59" t="str">
        <f>IF(OR($I565&lt;&gt;SottocategorieUscite[[#Headers],[Fuori Casa]],$I565&lt;&gt;SottocategorieUscite[[#Headers],[Varie Uscite]],$I565&lt;&gt;SottocategorieUscite[[#Headers],[Personali]],$I565&lt;&gt;SottocategorieUscite[[#Headers],[Lavoro]],$I565&lt;&gt;SottocategorieUscite[[#Headers],[Casa]],$I565&lt;&gt;SottocategorieUscite[[#Headers],[Utenze]],$I565&lt;&gt;SottocategorieUscite[[#Headers],[Business Uscite]],$I565&lt;&gt;SottocategorieUscite[[#Headers],[Banca]]),"","$ -")</f>
        <v/>
      </c>
      <c r="N565" s="59" t="str">
        <f>IF(OR(Data!$I565=SottocategorieEntrate[[#Headers],[Business Entrate]],Data!$I565=SottocategorieEntrate[[#Headers],[Varie Entrate]]),"$ -","")</f>
        <v/>
      </c>
      <c r="O565" s="59" t="str">
        <f>IF(OR(Data!$I565=SottocategorieEntrate[[#Headers],[Real Estate]],SottocategorieEntrate[[#Headers],[Other]]),"$ -","")</f>
        <v/>
      </c>
      <c r="P565" s="59" t="str">
        <f>IF(OR($I565&lt;&gt;SottocategorieEntrate[[#Headers],[Business Entrate]],$I565&lt;&gt;SottocategorieEntrate[[#Headers],[Varie Entrate]],$I565&lt;&gt;SottocategorieEntrate[[#Headers],[Real Estate]],$I565&lt;&gt;SottocategorieEntrate[[#Headers],[Other]]),"","$ -")</f>
        <v/>
      </c>
      <c r="Q565" s="59" t="str">
        <f>IF(Dati[[#This Row],[Categoria]]="Prelievo","€ -","")</f>
        <v/>
      </c>
      <c r="R565" s="244"/>
      <c r="S565" s="59" t="str">
        <f>IF(Dati[[#This Row],[Categoria]]="Savings",0,"")</f>
        <v/>
      </c>
      <c r="T565" s="59"/>
      <c r="U565" s="59"/>
      <c r="V565" s="59"/>
      <c r="W565" s="59"/>
      <c r="X565" s="59"/>
      <c r="Y565" s="59"/>
      <c r="Z565" s="59"/>
      <c r="AA565" s="59"/>
      <c r="AB565" s="59"/>
      <c r="AC565" s="59"/>
      <c r="AD565" s="59"/>
      <c r="AE565" s="59"/>
      <c r="AF565" s="59"/>
      <c r="AG565" s="59"/>
      <c r="AH565" s="59"/>
      <c r="AI565" s="59" t="str">
        <f>IF(SUM(Dati[[#This Row],[Inv. Business]:[Inv. Cryptocurrency]])=0," ",SUM(Dati[[#This Row],[Inv. Business]:[Inv. Cryptocurrency]]))</f>
        <v xml:space="preserve"> </v>
      </c>
      <c r="AJ565" s="59"/>
      <c r="AK565" s="59" t="str">
        <f>IF(SUM(Dati[[#This Row],[Inv. Gold]:[Mutuo]])=0," ",SUM(Dati[[#This Row],[Inv. Gold]:[Mutuo]]))</f>
        <v xml:space="preserve"> </v>
      </c>
      <c r="AL565" s="59"/>
      <c r="AM565" s="59"/>
    </row>
    <row r="566" spans="2:39" x14ac:dyDescent="0.35">
      <c r="B566">
        <f t="shared" si="23"/>
        <v>546</v>
      </c>
      <c r="C566" s="49">
        <f>C563+1</f>
        <v>45358</v>
      </c>
      <c r="D566" s="29">
        <f>DAY(Dati[[#This Row],[Data]])</f>
        <v>7</v>
      </c>
      <c r="E566" s="29" t="str">
        <f>IF(DAY(Data!$C$21:$C$1327)&gt;0,TEXT(Data!$C$21:$C$1327, "mmmm"),"")</f>
        <v>marzo</v>
      </c>
      <c r="F566" s="29" t="str">
        <f>IF(DAY(Data!$C$21:$C$1327)&gt;0,TEXT(Data!$C$21:$C$1327, "aaaa"),"")</f>
        <v>2024</v>
      </c>
      <c r="I566" t="str">
        <f>IF(OR(H566=$B$5,H566=$B$6,H566=$B$7,H566=$B$8,H566=$B$9,H566=$B$10,H566=$B$11,H566=$B$12,H566=$B$13,H566=$B$14),SottocategorieUscite[[#Headers],[Fuori Casa]],IF(OR(H566=$C$5,H566=$C$6,H566=$C$7,H566=$C$8,H566=$C$9,H566=$C$10,H566=$C$11,H566=$C$12,H566=$C$13,H566=$C$14),SottocategorieUscite[[#Headers],[Varie Uscite]],IF(OR(H566=$D$5,H566=$D$6,H566=$D$7,H566=$D$8,H566=$D$9,H566=$D$10,H566=$D$11,H566=$D$12,H566=$D$13,H566=$D$14),SottocategorieUscite[[#Headers],[Personali]],IF(OR(H566=$E$5,H566=$E$6,H566=$E$7,H566=$E$8,H566=$E$9,H566=$E$10,H566=$E$11,H566=$E$12,H566=$E$13,H566=$E$14),SottocategorieUscite[[#Headers],[Lavoro]],IF(OR(H566=$F$5,H566=$F$6,H566=$F$7,H566=$F$8,H566=$F$9,H566=$F$10,H566=$F$11,H566=$F$12,H566=$F$13,H566=$F$14),SottocategorieUscite[[#Headers],[Casa]],IF(OR(H566=$G$5,H566=$G$6,H566=$G$7,H566=$G$8,H566=$G$9,H566=$G$10,H566=$G$11,H566=$G$12,H566=$G$13,H566=$G$14),SottocategorieUscite[[#Headers],[Utenze]],IF(OR(H566=$H$5,H566=$H$6,H566=$H$7,H566=$H$8,H566=$H$9,H566=$H$10,H566=$H$11,H566=$H$12,H566=$H$13,H566=$H$14),SottocategorieUscite[[#Headers],[Business Uscite]],IF(OR(H566=$I$5,H566=$I$6,H566=$I$7,H566=$I$8,H566=$I$9,H566=$I$10,H566=$I$11,H566=$I$12,H566=$I$13,H566=$I$14),SottocategorieUscite[[#Headers],[Banca]],IF(OR(H566=K$5,H566=K$6,H566=K$7,H566=K$8,H566=K$9,H566=K$10,H566=K$11,H566=K$12,H566=K$13,H566=K$14),SottocategorieEntrate[[#Headers],[Business Entrate]],IF(OR(H566=L$5,H566=L$6,H566=L$7,H566=L$8,H566=L$9,H566=L$10,H566=L$11,H566=L$12,H566=L$13,H566=L$14),SottocategorieEntrate[[#Headers],[Varie Entrate]],IF(OR(H566=M$5,H566=M$6,H566=M$7,H566=M$8,H566=M$9,H566=M$10,H566=M$11,H566=M$12,H566=M$13,H566=M$14),SottocategorieEntrate[[#Headers],[Real Estate]],IF(OR(H566=N$5,H566=N$6,H566=N$7,H566=N$8,H566=N$9,H566=N$10,H566=N$11,H566=N$12,H566=N$13,H566=N$14),SottocategorieEntrate[[#Headers],[Other]],""))))))))))))</f>
        <v/>
      </c>
      <c r="J566" t="str">
        <f>IF(OR(Dati[[#This Row],[Categoria]]="Bollette",Dati[[#This Row],[Categoria]]="Conto &amp; Carte BNL",Dati[[#This Row],[Categoria]]="Prelievo",Dati[[#This Row],[Categoria]]="Affitto",Dati[[#This Row],[Categoria]]="BNL(Interessi Creditori)"),"Carta",IF(Dati[[#This Row],[Categoria]]&lt;&gt;0,"Cash",""))</f>
        <v/>
      </c>
      <c r="K566" s="59" t="str">
        <f>IF(OR(Data!$I566=SottocategorieUscite[[#Headers],[Fuori Casa]],Data!$I566=SottocategorieUscite[[#Headers],[Varie Uscite]],Data!$I566=SottocategorieUscite[[#Headers],[Personali]],Data!$I566=SottocategorieUscite[[#Headers],[Lavoro]]),"$ -","")</f>
        <v/>
      </c>
      <c r="L566" s="59" t="str">
        <f>IF(OR(Data!$I566=SottocategorieUscite[[#Headers],[Casa]],Data!$I566=SottocategorieUscite[[#Headers],[Utenze]],Data!$I566=SottocategorieUscite[[#Headers],[Business Uscite]],Data!$I566=SottocategorieUscite[[#Headers],[Banca]]),"$ -","")</f>
        <v/>
      </c>
      <c r="M566" s="59" t="str">
        <f>IF(OR($I566&lt;&gt;SottocategorieUscite[[#Headers],[Fuori Casa]],$I566&lt;&gt;SottocategorieUscite[[#Headers],[Varie Uscite]],$I566&lt;&gt;SottocategorieUscite[[#Headers],[Personali]],$I566&lt;&gt;SottocategorieUscite[[#Headers],[Lavoro]],$I566&lt;&gt;SottocategorieUscite[[#Headers],[Casa]],$I566&lt;&gt;SottocategorieUscite[[#Headers],[Utenze]],$I566&lt;&gt;SottocategorieUscite[[#Headers],[Business Uscite]],$I566&lt;&gt;SottocategorieUscite[[#Headers],[Banca]]),"","$ -")</f>
        <v/>
      </c>
      <c r="N566" s="59" t="str">
        <f>IF(OR(Data!$I566=SottocategorieEntrate[[#Headers],[Business Entrate]],Data!$I566=SottocategorieEntrate[[#Headers],[Varie Entrate]]),"$ -","")</f>
        <v/>
      </c>
      <c r="O566" s="59" t="str">
        <f>IF(OR(Data!$I566=SottocategorieEntrate[[#Headers],[Real Estate]],SottocategorieEntrate[[#Headers],[Other]]),"$ -","")</f>
        <v/>
      </c>
      <c r="P566" s="59" t="str">
        <f>IF(OR($I566&lt;&gt;SottocategorieEntrate[[#Headers],[Business Entrate]],$I566&lt;&gt;SottocategorieEntrate[[#Headers],[Varie Entrate]],$I566&lt;&gt;SottocategorieEntrate[[#Headers],[Real Estate]],$I566&lt;&gt;SottocategorieEntrate[[#Headers],[Other]]),"","$ -")</f>
        <v/>
      </c>
      <c r="Q566" s="59" t="str">
        <f>IF(Dati[[#This Row],[Categoria]]="Prelievo","€ -","")</f>
        <v/>
      </c>
      <c r="R566" s="244"/>
      <c r="S566" s="59" t="str">
        <f>IF(Dati[[#This Row],[Categoria]]="Savings",0,"")</f>
        <v/>
      </c>
      <c r="T566" s="59"/>
      <c r="U566" s="59"/>
      <c r="V566" s="59"/>
      <c r="W566" s="59"/>
      <c r="X566" s="59"/>
      <c r="Y566" s="59"/>
      <c r="Z566" s="59"/>
      <c r="AA566" s="59"/>
      <c r="AB566" s="59"/>
      <c r="AC566" s="59"/>
      <c r="AD566" s="59"/>
      <c r="AE566" s="59"/>
      <c r="AF566" s="59"/>
      <c r="AG566" s="59"/>
      <c r="AH566" s="59"/>
      <c r="AI566" s="59" t="str">
        <f>IF(SUM(Dati[[#This Row],[Inv. Business]:[Inv. Cryptocurrency]])=0," ",SUM(Dati[[#This Row],[Inv. Business]:[Inv. Cryptocurrency]]))</f>
        <v xml:space="preserve"> </v>
      </c>
      <c r="AJ566" s="59"/>
      <c r="AK566" s="59" t="str">
        <f>IF(SUM(Dati[[#This Row],[Inv. Gold]:[Mutuo]])=0," ",SUM(Dati[[#This Row],[Inv. Gold]:[Mutuo]]))</f>
        <v xml:space="preserve"> </v>
      </c>
      <c r="AL566" s="59"/>
      <c r="AM566" s="59"/>
    </row>
    <row r="567" spans="2:39" x14ac:dyDescent="0.35">
      <c r="B567">
        <f t="shared" si="23"/>
        <v>547</v>
      </c>
      <c r="C567" s="49">
        <f>C564+1</f>
        <v>45359</v>
      </c>
      <c r="D567" s="29">
        <f>DAY(Dati[[#This Row],[Data]])</f>
        <v>8</v>
      </c>
      <c r="E567" s="29" t="str">
        <f>IF(DAY(Data!$C$21:$C$1327)&gt;0,TEXT(Data!$C$21:$C$1327, "mmmm"),"")</f>
        <v>marzo</v>
      </c>
      <c r="F567" s="29" t="str">
        <f>IF(DAY(Data!$C$21:$C$1327)&gt;0,TEXT(Data!$C$21:$C$1327, "aaaa"),"")</f>
        <v>2024</v>
      </c>
      <c r="I567" t="str">
        <f>IF(OR(H567=$B$5,H567=$B$6,H567=$B$7,H567=$B$8,H567=$B$9,H567=$B$10,H567=$B$11,H567=$B$12,H567=$B$13,H567=$B$14),SottocategorieUscite[[#Headers],[Fuori Casa]],IF(OR(H567=$C$5,H567=$C$6,H567=$C$7,H567=$C$8,H567=$C$9,H567=$C$10,H567=$C$11,H567=$C$12,H567=$C$13,H567=$C$14),SottocategorieUscite[[#Headers],[Varie Uscite]],IF(OR(H567=$D$5,H567=$D$6,H567=$D$7,H567=$D$8,H567=$D$9,H567=$D$10,H567=$D$11,H567=$D$12,H567=$D$13,H567=$D$14),SottocategorieUscite[[#Headers],[Personali]],IF(OR(H567=$E$5,H567=$E$6,H567=$E$7,H567=$E$8,H567=$E$9,H567=$E$10,H567=$E$11,H567=$E$12,H567=$E$13,H567=$E$14),SottocategorieUscite[[#Headers],[Lavoro]],IF(OR(H567=$F$5,H567=$F$6,H567=$F$7,H567=$F$8,H567=$F$9,H567=$F$10,H567=$F$11,H567=$F$12,H567=$F$13,H567=$F$14),SottocategorieUscite[[#Headers],[Casa]],IF(OR(H567=$G$5,H567=$G$6,H567=$G$7,H567=$G$8,H567=$G$9,H567=$G$10,H567=$G$11,H567=$G$12,H567=$G$13,H567=$G$14),SottocategorieUscite[[#Headers],[Utenze]],IF(OR(H567=$H$5,H567=$H$6,H567=$H$7,H567=$H$8,H567=$H$9,H567=$H$10,H567=$H$11,H567=$H$12,H567=$H$13,H567=$H$14),SottocategorieUscite[[#Headers],[Business Uscite]],IF(OR(H567=$I$5,H567=$I$6,H567=$I$7,H567=$I$8,H567=$I$9,H567=$I$10,H567=$I$11,H567=$I$12,H567=$I$13,H567=$I$14),SottocategorieUscite[[#Headers],[Banca]],IF(OR(H567=K$5,H567=K$6,H567=K$7,H567=K$8,H567=K$9,H567=K$10,H567=K$11,H567=K$12,H567=K$13,H567=K$14),SottocategorieEntrate[[#Headers],[Business Entrate]],IF(OR(H567=L$5,H567=L$6,H567=L$7,H567=L$8,H567=L$9,H567=L$10,H567=L$11,H567=L$12,H567=L$13,H567=L$14),SottocategorieEntrate[[#Headers],[Varie Entrate]],IF(OR(H567=M$5,H567=M$6,H567=M$7,H567=M$8,H567=M$9,H567=M$10,H567=M$11,H567=M$12,H567=M$13,H567=M$14),SottocategorieEntrate[[#Headers],[Real Estate]],IF(OR(H567=N$5,H567=N$6,H567=N$7,H567=N$8,H567=N$9,H567=N$10,H567=N$11,H567=N$12,H567=N$13,H567=N$14),SottocategorieEntrate[[#Headers],[Other]],""))))))))))))</f>
        <v/>
      </c>
      <c r="J567" t="str">
        <f>IF(OR(Dati[[#This Row],[Categoria]]="Bollette",Dati[[#This Row],[Categoria]]="Conto &amp; Carte BNL",Dati[[#This Row],[Categoria]]="Prelievo",Dati[[#This Row],[Categoria]]="Affitto",Dati[[#This Row],[Categoria]]="BNL(Interessi Creditori)"),"Carta",IF(Dati[[#This Row],[Categoria]]&lt;&gt;0,"Cash",""))</f>
        <v/>
      </c>
      <c r="K567" s="59" t="str">
        <f>IF(OR(Data!$I567=SottocategorieUscite[[#Headers],[Fuori Casa]],Data!$I567=SottocategorieUscite[[#Headers],[Varie Uscite]],Data!$I567=SottocategorieUscite[[#Headers],[Personali]],Data!$I567=SottocategorieUscite[[#Headers],[Lavoro]]),"$ -","")</f>
        <v/>
      </c>
      <c r="L567" s="59" t="str">
        <f>IF(OR(Data!$I567=SottocategorieUscite[[#Headers],[Casa]],Data!$I567=SottocategorieUscite[[#Headers],[Utenze]],Data!$I567=SottocategorieUscite[[#Headers],[Business Uscite]],Data!$I567=SottocategorieUscite[[#Headers],[Banca]]),"$ -","")</f>
        <v/>
      </c>
      <c r="M567" s="59" t="str">
        <f>IF(OR($I567&lt;&gt;SottocategorieUscite[[#Headers],[Fuori Casa]],$I567&lt;&gt;SottocategorieUscite[[#Headers],[Varie Uscite]],$I567&lt;&gt;SottocategorieUscite[[#Headers],[Personali]],$I567&lt;&gt;SottocategorieUscite[[#Headers],[Lavoro]],$I567&lt;&gt;SottocategorieUscite[[#Headers],[Casa]],$I567&lt;&gt;SottocategorieUscite[[#Headers],[Utenze]],$I567&lt;&gt;SottocategorieUscite[[#Headers],[Business Uscite]],$I567&lt;&gt;SottocategorieUscite[[#Headers],[Banca]]),"","$ -")</f>
        <v/>
      </c>
      <c r="N567" s="59" t="str">
        <f>IF(OR(Data!$I567=SottocategorieEntrate[[#Headers],[Business Entrate]],Data!$I567=SottocategorieEntrate[[#Headers],[Varie Entrate]]),"$ -","")</f>
        <v/>
      </c>
      <c r="O567" s="59" t="str">
        <f>IF(OR(Data!$I567=SottocategorieEntrate[[#Headers],[Real Estate]],SottocategorieEntrate[[#Headers],[Other]]),"$ -","")</f>
        <v/>
      </c>
      <c r="P567" s="59" t="str">
        <f>IF(OR($I567&lt;&gt;SottocategorieEntrate[[#Headers],[Business Entrate]],$I567&lt;&gt;SottocategorieEntrate[[#Headers],[Varie Entrate]],$I567&lt;&gt;SottocategorieEntrate[[#Headers],[Real Estate]],$I567&lt;&gt;SottocategorieEntrate[[#Headers],[Other]]),"","$ -")</f>
        <v/>
      </c>
      <c r="Q567" s="59" t="str">
        <f>IF(Dati[[#This Row],[Categoria]]="Prelievo","€ -","")</f>
        <v/>
      </c>
      <c r="R567" s="244"/>
      <c r="S567" s="59" t="str">
        <f>IF(Dati[[#This Row],[Categoria]]="Savings",0,"")</f>
        <v/>
      </c>
      <c r="T567" s="59"/>
      <c r="U567" s="59"/>
      <c r="V567" s="59"/>
      <c r="W567" s="59"/>
      <c r="X567" s="59"/>
      <c r="Y567" s="59"/>
      <c r="Z567" s="59"/>
      <c r="AA567" s="59"/>
      <c r="AB567" s="59"/>
      <c r="AC567" s="59"/>
      <c r="AD567" s="59"/>
      <c r="AE567" s="59"/>
      <c r="AF567" s="59"/>
      <c r="AG567" s="59"/>
      <c r="AH567" s="59"/>
      <c r="AI567" s="59" t="str">
        <f>IF(SUM(Dati[[#This Row],[Inv. Business]:[Inv. Cryptocurrency]])=0," ",SUM(Dati[[#This Row],[Inv. Business]:[Inv. Cryptocurrency]]))</f>
        <v xml:space="preserve"> </v>
      </c>
      <c r="AJ567" s="59"/>
      <c r="AK567" s="59" t="str">
        <f>IF(SUM(Dati[[#This Row],[Inv. Gold]:[Mutuo]])=0," ",SUM(Dati[[#This Row],[Inv. Gold]:[Mutuo]]))</f>
        <v xml:space="preserve"> </v>
      </c>
      <c r="AL567" s="59"/>
      <c r="AM567" s="59"/>
    </row>
    <row r="568" spans="2:39" x14ac:dyDescent="0.35">
      <c r="B568">
        <f t="shared" si="23"/>
        <v>548</v>
      </c>
      <c r="C568" s="49">
        <f t="shared" si="24"/>
        <v>45360</v>
      </c>
      <c r="D568" s="29">
        <f>DAY(Dati[[#This Row],[Data]])</f>
        <v>9</v>
      </c>
      <c r="E568" s="29" t="str">
        <f>IF(DAY(Data!$C$21:$C$1327)&gt;0,TEXT(Data!$C$21:$C$1327, "mmmm"),"")</f>
        <v>marzo</v>
      </c>
      <c r="F568" s="29" t="str">
        <f>IF(DAY(Data!$C$21:$C$1327)&gt;0,TEXT(Data!$C$21:$C$1327, "aaaa"),"")</f>
        <v>2024</v>
      </c>
      <c r="I568" t="str">
        <f>IF(OR(H568=$B$5,H568=$B$6,H568=$B$7,H568=$B$8,H568=$B$9,H568=$B$10,H568=$B$11,H568=$B$12,H568=$B$13,H568=$B$14),SottocategorieUscite[[#Headers],[Fuori Casa]],IF(OR(H568=$C$5,H568=$C$6,H568=$C$7,H568=$C$8,H568=$C$9,H568=$C$10,H568=$C$11,H568=$C$12,H568=$C$13,H568=$C$14),SottocategorieUscite[[#Headers],[Varie Uscite]],IF(OR(H568=$D$5,H568=$D$6,H568=$D$7,H568=$D$8,H568=$D$9,H568=$D$10,H568=$D$11,H568=$D$12,H568=$D$13,H568=$D$14),SottocategorieUscite[[#Headers],[Personali]],IF(OR(H568=$E$5,H568=$E$6,H568=$E$7,H568=$E$8,H568=$E$9,H568=$E$10,H568=$E$11,H568=$E$12,H568=$E$13,H568=$E$14),SottocategorieUscite[[#Headers],[Lavoro]],IF(OR(H568=$F$5,H568=$F$6,H568=$F$7,H568=$F$8,H568=$F$9,H568=$F$10,H568=$F$11,H568=$F$12,H568=$F$13,H568=$F$14),SottocategorieUscite[[#Headers],[Casa]],IF(OR(H568=$G$5,H568=$G$6,H568=$G$7,H568=$G$8,H568=$G$9,H568=$G$10,H568=$G$11,H568=$G$12,H568=$G$13,H568=$G$14),SottocategorieUscite[[#Headers],[Utenze]],IF(OR(H568=$H$5,H568=$H$6,H568=$H$7,H568=$H$8,H568=$H$9,H568=$H$10,H568=$H$11,H568=$H$12,H568=$H$13,H568=$H$14),SottocategorieUscite[[#Headers],[Business Uscite]],IF(OR(H568=$I$5,H568=$I$6,H568=$I$7,H568=$I$8,H568=$I$9,H568=$I$10,H568=$I$11,H568=$I$12,H568=$I$13,H568=$I$14),SottocategorieUscite[[#Headers],[Banca]],IF(OR(H568=K$5,H568=K$6,H568=K$7,H568=K$8,H568=K$9,H568=K$10,H568=K$11,H568=K$12,H568=K$13,H568=K$14),SottocategorieEntrate[[#Headers],[Business Entrate]],IF(OR(H568=L$5,H568=L$6,H568=L$7,H568=L$8,H568=L$9,H568=L$10,H568=L$11,H568=L$12,H568=L$13,H568=L$14),SottocategorieEntrate[[#Headers],[Varie Entrate]],IF(OR(H568=M$5,H568=M$6,H568=M$7,H568=M$8,H568=M$9,H568=M$10,H568=M$11,H568=M$12,H568=M$13,H568=M$14),SottocategorieEntrate[[#Headers],[Real Estate]],IF(OR(H568=N$5,H568=N$6,H568=N$7,H568=N$8,H568=N$9,H568=N$10,H568=N$11,H568=N$12,H568=N$13,H568=N$14),SottocategorieEntrate[[#Headers],[Other]],""))))))))))))</f>
        <v/>
      </c>
      <c r="J568" t="str">
        <f>IF(OR(Dati[[#This Row],[Categoria]]="Bollette",Dati[[#This Row],[Categoria]]="Conto &amp; Carte BNL",Dati[[#This Row],[Categoria]]="Prelievo",Dati[[#This Row],[Categoria]]="Affitto",Dati[[#This Row],[Categoria]]="BNL(Interessi Creditori)"),"Carta",IF(Dati[[#This Row],[Categoria]]&lt;&gt;0,"Cash",""))</f>
        <v/>
      </c>
      <c r="K568" s="59" t="str">
        <f>IF(OR(Data!$I568=SottocategorieUscite[[#Headers],[Fuori Casa]],Data!$I568=SottocategorieUscite[[#Headers],[Varie Uscite]],Data!$I568=SottocategorieUscite[[#Headers],[Personali]],Data!$I568=SottocategorieUscite[[#Headers],[Lavoro]]),"$ -","")</f>
        <v/>
      </c>
      <c r="L568" s="59" t="str">
        <f>IF(OR(Data!$I568=SottocategorieUscite[[#Headers],[Casa]],Data!$I568=SottocategorieUscite[[#Headers],[Utenze]],Data!$I568=SottocategorieUscite[[#Headers],[Business Uscite]],Data!$I568=SottocategorieUscite[[#Headers],[Banca]]),"$ -","")</f>
        <v/>
      </c>
      <c r="M568" s="59" t="str">
        <f>IF(OR($I568&lt;&gt;SottocategorieUscite[[#Headers],[Fuori Casa]],$I568&lt;&gt;SottocategorieUscite[[#Headers],[Varie Uscite]],$I568&lt;&gt;SottocategorieUscite[[#Headers],[Personali]],$I568&lt;&gt;SottocategorieUscite[[#Headers],[Lavoro]],$I568&lt;&gt;SottocategorieUscite[[#Headers],[Casa]],$I568&lt;&gt;SottocategorieUscite[[#Headers],[Utenze]],$I568&lt;&gt;SottocategorieUscite[[#Headers],[Business Uscite]],$I568&lt;&gt;SottocategorieUscite[[#Headers],[Banca]]),"","$ -")</f>
        <v/>
      </c>
      <c r="N568" s="59" t="str">
        <f>IF(OR(Data!$I568=SottocategorieEntrate[[#Headers],[Business Entrate]],Data!$I568=SottocategorieEntrate[[#Headers],[Varie Entrate]]),"$ -","")</f>
        <v/>
      </c>
      <c r="O568" s="59" t="str">
        <f>IF(OR(Data!$I568=SottocategorieEntrate[[#Headers],[Real Estate]],SottocategorieEntrate[[#Headers],[Other]]),"$ -","")</f>
        <v/>
      </c>
      <c r="P568" s="59" t="str">
        <f>IF(OR($I568&lt;&gt;SottocategorieEntrate[[#Headers],[Business Entrate]],$I568&lt;&gt;SottocategorieEntrate[[#Headers],[Varie Entrate]],$I568&lt;&gt;SottocategorieEntrate[[#Headers],[Real Estate]],$I568&lt;&gt;SottocategorieEntrate[[#Headers],[Other]]),"","$ -")</f>
        <v/>
      </c>
      <c r="Q568" s="59" t="str">
        <f>IF(Dati[[#This Row],[Categoria]]="Prelievo","€ -","")</f>
        <v/>
      </c>
      <c r="R568" s="244"/>
      <c r="S568" s="59" t="str">
        <f>IF(Dati[[#This Row],[Categoria]]="Savings",0,"")</f>
        <v/>
      </c>
      <c r="T568" s="59"/>
      <c r="U568" s="59"/>
      <c r="V568" s="59"/>
      <c r="W568" s="59"/>
      <c r="X568" s="59"/>
      <c r="Y568" s="59"/>
      <c r="Z568" s="59"/>
      <c r="AA568" s="59"/>
      <c r="AB568" s="59"/>
      <c r="AC568" s="59"/>
      <c r="AD568" s="59"/>
      <c r="AE568" s="59"/>
      <c r="AF568" s="59"/>
      <c r="AG568" s="59"/>
      <c r="AH568" s="59"/>
      <c r="AI568" s="59" t="str">
        <f>IF(SUM(Dati[[#This Row],[Inv. Business]:[Inv. Cryptocurrency]])=0," ",SUM(Dati[[#This Row],[Inv. Business]:[Inv. Cryptocurrency]]))</f>
        <v xml:space="preserve"> </v>
      </c>
      <c r="AJ568" s="59"/>
      <c r="AK568" s="59" t="str">
        <f>IF(SUM(Dati[[#This Row],[Inv. Gold]:[Mutuo]])=0," ",SUM(Dati[[#This Row],[Inv. Gold]:[Mutuo]]))</f>
        <v xml:space="preserve"> </v>
      </c>
      <c r="AL568" s="59"/>
      <c r="AM568" s="59"/>
    </row>
    <row r="569" spans="2:39" x14ac:dyDescent="0.35">
      <c r="B569">
        <f t="shared" si="23"/>
        <v>549</v>
      </c>
      <c r="C569" s="49">
        <f t="shared" si="24"/>
        <v>45361</v>
      </c>
      <c r="D569" s="29">
        <f>DAY(Dati[[#This Row],[Data]])</f>
        <v>10</v>
      </c>
      <c r="E569" s="29" t="str">
        <f>IF(DAY(Data!$C$21:$C$1327)&gt;0,TEXT(Data!$C$21:$C$1327, "mmmm"),"")</f>
        <v>marzo</v>
      </c>
      <c r="F569" s="29" t="str">
        <f>IF(DAY(Data!$C$21:$C$1327)&gt;0,TEXT(Data!$C$21:$C$1327, "aaaa"),"")</f>
        <v>2024</v>
      </c>
      <c r="I569" t="str">
        <f>IF(OR(H569=$B$5,H569=$B$6,H569=$B$7,H569=$B$8,H569=$B$9,H569=$B$10,H569=$B$11,H569=$B$12,H569=$B$13,H569=$B$14),SottocategorieUscite[[#Headers],[Fuori Casa]],IF(OR(H569=$C$5,H569=$C$6,H569=$C$7,H569=$C$8,H569=$C$9,H569=$C$10,H569=$C$11,H569=$C$12,H569=$C$13,H569=$C$14),SottocategorieUscite[[#Headers],[Varie Uscite]],IF(OR(H569=$D$5,H569=$D$6,H569=$D$7,H569=$D$8,H569=$D$9,H569=$D$10,H569=$D$11,H569=$D$12,H569=$D$13,H569=$D$14),SottocategorieUscite[[#Headers],[Personali]],IF(OR(H569=$E$5,H569=$E$6,H569=$E$7,H569=$E$8,H569=$E$9,H569=$E$10,H569=$E$11,H569=$E$12,H569=$E$13,H569=$E$14),SottocategorieUscite[[#Headers],[Lavoro]],IF(OR(H569=$F$5,H569=$F$6,H569=$F$7,H569=$F$8,H569=$F$9,H569=$F$10,H569=$F$11,H569=$F$12,H569=$F$13,H569=$F$14),SottocategorieUscite[[#Headers],[Casa]],IF(OR(H569=$G$5,H569=$G$6,H569=$G$7,H569=$G$8,H569=$G$9,H569=$G$10,H569=$G$11,H569=$G$12,H569=$G$13,H569=$G$14),SottocategorieUscite[[#Headers],[Utenze]],IF(OR(H569=$H$5,H569=$H$6,H569=$H$7,H569=$H$8,H569=$H$9,H569=$H$10,H569=$H$11,H569=$H$12,H569=$H$13,H569=$H$14),SottocategorieUscite[[#Headers],[Business Uscite]],IF(OR(H569=$I$5,H569=$I$6,H569=$I$7,H569=$I$8,H569=$I$9,H569=$I$10,H569=$I$11,H569=$I$12,H569=$I$13,H569=$I$14),SottocategorieUscite[[#Headers],[Banca]],IF(OR(H569=K$5,H569=K$6,H569=K$7,H569=K$8,H569=K$9,H569=K$10,H569=K$11,H569=K$12,H569=K$13,H569=K$14),SottocategorieEntrate[[#Headers],[Business Entrate]],IF(OR(H569=L$5,H569=L$6,H569=L$7,H569=L$8,H569=L$9,H569=L$10,H569=L$11,H569=L$12,H569=L$13,H569=L$14),SottocategorieEntrate[[#Headers],[Varie Entrate]],IF(OR(H569=M$5,H569=M$6,H569=M$7,H569=M$8,H569=M$9,H569=M$10,H569=M$11,H569=M$12,H569=M$13,H569=M$14),SottocategorieEntrate[[#Headers],[Real Estate]],IF(OR(H569=N$5,H569=N$6,H569=N$7,H569=N$8,H569=N$9,H569=N$10,H569=N$11,H569=N$12,H569=N$13,H569=N$14),SottocategorieEntrate[[#Headers],[Other]],""))))))))))))</f>
        <v/>
      </c>
      <c r="J569" t="str">
        <f>IF(OR(Dati[[#This Row],[Categoria]]="Bollette",Dati[[#This Row],[Categoria]]="Conto &amp; Carte BNL",Dati[[#This Row],[Categoria]]="Prelievo",Dati[[#This Row],[Categoria]]="Affitto",Dati[[#This Row],[Categoria]]="BNL(Interessi Creditori)"),"Carta",IF(Dati[[#This Row],[Categoria]]&lt;&gt;0,"Cash",""))</f>
        <v/>
      </c>
      <c r="K569" s="59" t="str">
        <f>IF(OR(Data!$I569=SottocategorieUscite[[#Headers],[Fuori Casa]],Data!$I569=SottocategorieUscite[[#Headers],[Varie Uscite]],Data!$I569=SottocategorieUscite[[#Headers],[Personali]],Data!$I569=SottocategorieUscite[[#Headers],[Lavoro]]),"$ -","")</f>
        <v/>
      </c>
      <c r="L569" s="59" t="str">
        <f>IF(OR(Data!$I569=SottocategorieUscite[[#Headers],[Casa]],Data!$I569=SottocategorieUscite[[#Headers],[Utenze]],Data!$I569=SottocategorieUscite[[#Headers],[Business Uscite]],Data!$I569=SottocategorieUscite[[#Headers],[Banca]]),"$ -","")</f>
        <v/>
      </c>
      <c r="M569" s="59" t="str">
        <f>IF(OR($I569&lt;&gt;SottocategorieUscite[[#Headers],[Fuori Casa]],$I569&lt;&gt;SottocategorieUscite[[#Headers],[Varie Uscite]],$I569&lt;&gt;SottocategorieUscite[[#Headers],[Personali]],$I569&lt;&gt;SottocategorieUscite[[#Headers],[Lavoro]],$I569&lt;&gt;SottocategorieUscite[[#Headers],[Casa]],$I569&lt;&gt;SottocategorieUscite[[#Headers],[Utenze]],$I569&lt;&gt;SottocategorieUscite[[#Headers],[Business Uscite]],$I569&lt;&gt;SottocategorieUscite[[#Headers],[Banca]]),"","$ -")</f>
        <v/>
      </c>
      <c r="N569" s="59" t="str">
        <f>IF(OR(Data!$I569=SottocategorieEntrate[[#Headers],[Business Entrate]],Data!$I569=SottocategorieEntrate[[#Headers],[Varie Entrate]]),"$ -","")</f>
        <v/>
      </c>
      <c r="O569" s="59" t="str">
        <f>IF(OR(Data!$I569=SottocategorieEntrate[[#Headers],[Real Estate]],SottocategorieEntrate[[#Headers],[Other]]),"$ -","")</f>
        <v/>
      </c>
      <c r="P569" s="59" t="str">
        <f>IF(OR($I569&lt;&gt;SottocategorieEntrate[[#Headers],[Business Entrate]],$I569&lt;&gt;SottocategorieEntrate[[#Headers],[Varie Entrate]],$I569&lt;&gt;SottocategorieEntrate[[#Headers],[Real Estate]],$I569&lt;&gt;SottocategorieEntrate[[#Headers],[Other]]),"","$ -")</f>
        <v/>
      </c>
      <c r="Q569" s="59" t="str">
        <f>IF(Dati[[#This Row],[Categoria]]="Prelievo","€ -","")</f>
        <v/>
      </c>
      <c r="R569" s="244"/>
      <c r="S569" s="59" t="str">
        <f>IF(Dati[[#This Row],[Categoria]]="Savings",0,"")</f>
        <v/>
      </c>
      <c r="T569" s="59"/>
      <c r="U569" s="59"/>
      <c r="V569" s="59"/>
      <c r="W569" s="59"/>
      <c r="X569" s="59"/>
      <c r="Y569" s="59"/>
      <c r="Z569" s="59"/>
      <c r="AA569" s="59"/>
      <c r="AB569" s="59"/>
      <c r="AC569" s="59"/>
      <c r="AD569" s="59"/>
      <c r="AE569" s="59"/>
      <c r="AF569" s="59"/>
      <c r="AG569" s="59"/>
      <c r="AH569" s="59"/>
      <c r="AI569" s="59" t="str">
        <f>IF(SUM(Dati[[#This Row],[Inv. Business]:[Inv. Cryptocurrency]])=0," ",SUM(Dati[[#This Row],[Inv. Business]:[Inv. Cryptocurrency]]))</f>
        <v xml:space="preserve"> </v>
      </c>
      <c r="AJ569" s="59"/>
      <c r="AK569" s="59" t="str">
        <f>IF(SUM(Dati[[#This Row],[Inv. Gold]:[Mutuo]])=0," ",SUM(Dati[[#This Row],[Inv. Gold]:[Mutuo]]))</f>
        <v xml:space="preserve"> </v>
      </c>
      <c r="AL569" s="59"/>
      <c r="AM569" s="59"/>
    </row>
    <row r="570" spans="2:39" x14ac:dyDescent="0.35">
      <c r="B570">
        <f t="shared" si="23"/>
        <v>550</v>
      </c>
      <c r="C570" s="49">
        <f t="shared" si="24"/>
        <v>45362</v>
      </c>
      <c r="D570" s="29">
        <f>DAY(Dati[[#This Row],[Data]])</f>
        <v>11</v>
      </c>
      <c r="E570" s="29" t="str">
        <f>IF(DAY(Data!$C$21:$C$1327)&gt;0,TEXT(Data!$C$21:$C$1327, "mmmm"),"")</f>
        <v>marzo</v>
      </c>
      <c r="F570" s="29" t="str">
        <f>IF(DAY(Data!$C$21:$C$1327)&gt;0,TEXT(Data!$C$21:$C$1327, "aaaa"),"")</f>
        <v>2024</v>
      </c>
      <c r="I570" t="str">
        <f>IF(OR(H570=$B$5,H570=$B$6,H570=$B$7,H570=$B$8,H570=$B$9,H570=$B$10,H570=$B$11,H570=$B$12,H570=$B$13,H570=$B$14),SottocategorieUscite[[#Headers],[Fuori Casa]],IF(OR(H570=$C$5,H570=$C$6,H570=$C$7,H570=$C$8,H570=$C$9,H570=$C$10,H570=$C$11,H570=$C$12,H570=$C$13,H570=$C$14),SottocategorieUscite[[#Headers],[Varie Uscite]],IF(OR(H570=$D$5,H570=$D$6,H570=$D$7,H570=$D$8,H570=$D$9,H570=$D$10,H570=$D$11,H570=$D$12,H570=$D$13,H570=$D$14),SottocategorieUscite[[#Headers],[Personali]],IF(OR(H570=$E$5,H570=$E$6,H570=$E$7,H570=$E$8,H570=$E$9,H570=$E$10,H570=$E$11,H570=$E$12,H570=$E$13,H570=$E$14),SottocategorieUscite[[#Headers],[Lavoro]],IF(OR(H570=$F$5,H570=$F$6,H570=$F$7,H570=$F$8,H570=$F$9,H570=$F$10,H570=$F$11,H570=$F$12,H570=$F$13,H570=$F$14),SottocategorieUscite[[#Headers],[Casa]],IF(OR(H570=$G$5,H570=$G$6,H570=$G$7,H570=$G$8,H570=$G$9,H570=$G$10,H570=$G$11,H570=$G$12,H570=$G$13,H570=$G$14),SottocategorieUscite[[#Headers],[Utenze]],IF(OR(H570=$H$5,H570=$H$6,H570=$H$7,H570=$H$8,H570=$H$9,H570=$H$10,H570=$H$11,H570=$H$12,H570=$H$13,H570=$H$14),SottocategorieUscite[[#Headers],[Business Uscite]],IF(OR(H570=$I$5,H570=$I$6,H570=$I$7,H570=$I$8,H570=$I$9,H570=$I$10,H570=$I$11,H570=$I$12,H570=$I$13,H570=$I$14),SottocategorieUscite[[#Headers],[Banca]],IF(OR(H570=K$5,H570=K$6,H570=K$7,H570=K$8,H570=K$9,H570=K$10,H570=K$11,H570=K$12,H570=K$13,H570=K$14),SottocategorieEntrate[[#Headers],[Business Entrate]],IF(OR(H570=L$5,H570=L$6,H570=L$7,H570=L$8,H570=L$9,H570=L$10,H570=L$11,H570=L$12,H570=L$13,H570=L$14),SottocategorieEntrate[[#Headers],[Varie Entrate]],IF(OR(H570=M$5,H570=M$6,H570=M$7,H570=M$8,H570=M$9,H570=M$10,H570=M$11,H570=M$12,H570=M$13,H570=M$14),SottocategorieEntrate[[#Headers],[Real Estate]],IF(OR(H570=N$5,H570=N$6,H570=N$7,H570=N$8,H570=N$9,H570=N$10,H570=N$11,H570=N$12,H570=N$13,H570=N$14),SottocategorieEntrate[[#Headers],[Other]],""))))))))))))</f>
        <v/>
      </c>
      <c r="J570" t="str">
        <f>IF(OR(Dati[[#This Row],[Categoria]]="Bollette",Dati[[#This Row],[Categoria]]="Conto &amp; Carte BNL",Dati[[#This Row],[Categoria]]="Prelievo",Dati[[#This Row],[Categoria]]="Affitto",Dati[[#This Row],[Categoria]]="BNL(Interessi Creditori)"),"Carta",IF(Dati[[#This Row],[Categoria]]&lt;&gt;0,"Cash",""))</f>
        <v/>
      </c>
      <c r="K570" s="59" t="str">
        <f>IF(OR(Data!$I570=SottocategorieUscite[[#Headers],[Fuori Casa]],Data!$I570=SottocategorieUscite[[#Headers],[Varie Uscite]],Data!$I570=SottocategorieUscite[[#Headers],[Personali]],Data!$I570=SottocategorieUscite[[#Headers],[Lavoro]]),"$ -","")</f>
        <v/>
      </c>
      <c r="L570" s="59" t="str">
        <f>IF(OR(Data!$I570=SottocategorieUscite[[#Headers],[Casa]],Data!$I570=SottocategorieUscite[[#Headers],[Utenze]],Data!$I570=SottocategorieUscite[[#Headers],[Business Uscite]],Data!$I570=SottocategorieUscite[[#Headers],[Banca]]),"$ -","")</f>
        <v/>
      </c>
      <c r="M570" s="59" t="str">
        <f>IF(OR($I570&lt;&gt;SottocategorieUscite[[#Headers],[Fuori Casa]],$I570&lt;&gt;SottocategorieUscite[[#Headers],[Varie Uscite]],$I570&lt;&gt;SottocategorieUscite[[#Headers],[Personali]],$I570&lt;&gt;SottocategorieUscite[[#Headers],[Lavoro]],$I570&lt;&gt;SottocategorieUscite[[#Headers],[Casa]],$I570&lt;&gt;SottocategorieUscite[[#Headers],[Utenze]],$I570&lt;&gt;SottocategorieUscite[[#Headers],[Business Uscite]],$I570&lt;&gt;SottocategorieUscite[[#Headers],[Banca]]),"","$ -")</f>
        <v/>
      </c>
      <c r="N570" s="59" t="str">
        <f>IF(OR(Data!$I570=SottocategorieEntrate[[#Headers],[Business Entrate]],Data!$I570=SottocategorieEntrate[[#Headers],[Varie Entrate]]),"$ -","")</f>
        <v/>
      </c>
      <c r="O570" s="59" t="str">
        <f>IF(OR(Data!$I570=SottocategorieEntrate[[#Headers],[Real Estate]],SottocategorieEntrate[[#Headers],[Other]]),"$ -","")</f>
        <v/>
      </c>
      <c r="P570" s="59" t="str">
        <f>IF(OR($I570&lt;&gt;SottocategorieEntrate[[#Headers],[Business Entrate]],$I570&lt;&gt;SottocategorieEntrate[[#Headers],[Varie Entrate]],$I570&lt;&gt;SottocategorieEntrate[[#Headers],[Real Estate]],$I570&lt;&gt;SottocategorieEntrate[[#Headers],[Other]]),"","$ -")</f>
        <v/>
      </c>
      <c r="Q570" s="59" t="str">
        <f>IF(Dati[[#This Row],[Categoria]]="Prelievo","€ -","")</f>
        <v/>
      </c>
      <c r="R570" s="244"/>
      <c r="S570" s="59" t="str">
        <f>IF(Dati[[#This Row],[Categoria]]="Savings",0,"")</f>
        <v/>
      </c>
      <c r="T570" s="59"/>
      <c r="U570" s="59"/>
      <c r="V570" s="59"/>
      <c r="W570" s="59"/>
      <c r="X570" s="59"/>
      <c r="Y570" s="59"/>
      <c r="Z570" s="59"/>
      <c r="AA570" s="59"/>
      <c r="AB570" s="59"/>
      <c r="AC570" s="59"/>
      <c r="AD570" s="59"/>
      <c r="AE570" s="59"/>
      <c r="AF570" s="59"/>
      <c r="AG570" s="59"/>
      <c r="AH570" s="59"/>
      <c r="AI570" s="59" t="str">
        <f>IF(SUM(Dati[[#This Row],[Inv. Business]:[Inv. Cryptocurrency]])=0," ",SUM(Dati[[#This Row],[Inv. Business]:[Inv. Cryptocurrency]]))</f>
        <v xml:space="preserve"> </v>
      </c>
      <c r="AJ570" s="59"/>
      <c r="AK570" s="59" t="str">
        <f>IF(SUM(Dati[[#This Row],[Inv. Gold]:[Mutuo]])=0," ",SUM(Dati[[#This Row],[Inv. Gold]:[Mutuo]]))</f>
        <v xml:space="preserve"> </v>
      </c>
      <c r="AL570" s="59"/>
      <c r="AM570" s="59"/>
    </row>
    <row r="571" spans="2:39" x14ac:dyDescent="0.35">
      <c r="B571">
        <f t="shared" si="23"/>
        <v>551</v>
      </c>
      <c r="C571" s="49">
        <f t="shared" si="24"/>
        <v>45363</v>
      </c>
      <c r="D571" s="29">
        <f>DAY(Dati[[#This Row],[Data]])</f>
        <v>12</v>
      </c>
      <c r="E571" s="29" t="str">
        <f>IF(DAY(Data!$C$21:$C$1327)&gt;0,TEXT(Data!$C$21:$C$1327, "mmmm"),"")</f>
        <v>marzo</v>
      </c>
      <c r="F571" s="29" t="str">
        <f>IF(DAY(Data!$C$21:$C$1327)&gt;0,TEXT(Data!$C$21:$C$1327, "aaaa"),"")</f>
        <v>2024</v>
      </c>
      <c r="I571" t="str">
        <f>IF(OR(H571=$B$5,H571=$B$6,H571=$B$7,H571=$B$8,H571=$B$9,H571=$B$10,H571=$B$11,H571=$B$12,H571=$B$13,H571=$B$14),SottocategorieUscite[[#Headers],[Fuori Casa]],IF(OR(H571=$C$5,H571=$C$6,H571=$C$7,H571=$C$8,H571=$C$9,H571=$C$10,H571=$C$11,H571=$C$12,H571=$C$13,H571=$C$14),SottocategorieUscite[[#Headers],[Varie Uscite]],IF(OR(H571=$D$5,H571=$D$6,H571=$D$7,H571=$D$8,H571=$D$9,H571=$D$10,H571=$D$11,H571=$D$12,H571=$D$13,H571=$D$14),SottocategorieUscite[[#Headers],[Personali]],IF(OR(H571=$E$5,H571=$E$6,H571=$E$7,H571=$E$8,H571=$E$9,H571=$E$10,H571=$E$11,H571=$E$12,H571=$E$13,H571=$E$14),SottocategorieUscite[[#Headers],[Lavoro]],IF(OR(H571=$F$5,H571=$F$6,H571=$F$7,H571=$F$8,H571=$F$9,H571=$F$10,H571=$F$11,H571=$F$12,H571=$F$13,H571=$F$14),SottocategorieUscite[[#Headers],[Casa]],IF(OR(H571=$G$5,H571=$G$6,H571=$G$7,H571=$G$8,H571=$G$9,H571=$G$10,H571=$G$11,H571=$G$12,H571=$G$13,H571=$G$14),SottocategorieUscite[[#Headers],[Utenze]],IF(OR(H571=$H$5,H571=$H$6,H571=$H$7,H571=$H$8,H571=$H$9,H571=$H$10,H571=$H$11,H571=$H$12,H571=$H$13,H571=$H$14),SottocategorieUscite[[#Headers],[Business Uscite]],IF(OR(H571=$I$5,H571=$I$6,H571=$I$7,H571=$I$8,H571=$I$9,H571=$I$10,H571=$I$11,H571=$I$12,H571=$I$13,H571=$I$14),SottocategorieUscite[[#Headers],[Banca]],IF(OR(H571=K$5,H571=K$6,H571=K$7,H571=K$8,H571=K$9,H571=K$10,H571=K$11,H571=K$12,H571=K$13,H571=K$14),SottocategorieEntrate[[#Headers],[Business Entrate]],IF(OR(H571=L$5,H571=L$6,H571=L$7,H571=L$8,H571=L$9,H571=L$10,H571=L$11,H571=L$12,H571=L$13,H571=L$14),SottocategorieEntrate[[#Headers],[Varie Entrate]],IF(OR(H571=M$5,H571=M$6,H571=M$7,H571=M$8,H571=M$9,H571=M$10,H571=M$11,H571=M$12,H571=M$13,H571=M$14),SottocategorieEntrate[[#Headers],[Real Estate]],IF(OR(H571=N$5,H571=N$6,H571=N$7,H571=N$8,H571=N$9,H571=N$10,H571=N$11,H571=N$12,H571=N$13,H571=N$14),SottocategorieEntrate[[#Headers],[Other]],""))))))))))))</f>
        <v/>
      </c>
      <c r="J571" t="str">
        <f>IF(OR(Dati[[#This Row],[Categoria]]="Bollette",Dati[[#This Row],[Categoria]]="Conto &amp; Carte BNL",Dati[[#This Row],[Categoria]]="Prelievo",Dati[[#This Row],[Categoria]]="Affitto",Dati[[#This Row],[Categoria]]="BNL(Interessi Creditori)"),"Carta",IF(Dati[[#This Row],[Categoria]]&lt;&gt;0,"Cash",""))</f>
        <v/>
      </c>
      <c r="K571" s="59" t="str">
        <f>IF(OR(Data!$I571=SottocategorieUscite[[#Headers],[Fuori Casa]],Data!$I571=SottocategorieUscite[[#Headers],[Varie Uscite]],Data!$I571=SottocategorieUscite[[#Headers],[Personali]],Data!$I571=SottocategorieUscite[[#Headers],[Lavoro]]),"$ -","")</f>
        <v/>
      </c>
      <c r="L571" s="59" t="str">
        <f>IF(OR(Data!$I571=SottocategorieUscite[[#Headers],[Casa]],Data!$I571=SottocategorieUscite[[#Headers],[Utenze]],Data!$I571=SottocategorieUscite[[#Headers],[Business Uscite]],Data!$I571=SottocategorieUscite[[#Headers],[Banca]]),"$ -","")</f>
        <v/>
      </c>
      <c r="M571" s="59" t="str">
        <f>IF(OR($I571&lt;&gt;SottocategorieUscite[[#Headers],[Fuori Casa]],$I571&lt;&gt;SottocategorieUscite[[#Headers],[Varie Uscite]],$I571&lt;&gt;SottocategorieUscite[[#Headers],[Personali]],$I571&lt;&gt;SottocategorieUscite[[#Headers],[Lavoro]],$I571&lt;&gt;SottocategorieUscite[[#Headers],[Casa]],$I571&lt;&gt;SottocategorieUscite[[#Headers],[Utenze]],$I571&lt;&gt;SottocategorieUscite[[#Headers],[Business Uscite]],$I571&lt;&gt;SottocategorieUscite[[#Headers],[Banca]]),"","$ -")</f>
        <v/>
      </c>
      <c r="N571" s="59" t="str">
        <f>IF(OR(Data!$I571=SottocategorieEntrate[[#Headers],[Business Entrate]],Data!$I571=SottocategorieEntrate[[#Headers],[Varie Entrate]]),"$ -","")</f>
        <v/>
      </c>
      <c r="O571" s="59" t="str">
        <f>IF(OR(Data!$I571=SottocategorieEntrate[[#Headers],[Real Estate]],SottocategorieEntrate[[#Headers],[Other]]),"$ -","")</f>
        <v/>
      </c>
      <c r="P571" s="59" t="str">
        <f>IF(OR($I571&lt;&gt;SottocategorieEntrate[[#Headers],[Business Entrate]],$I571&lt;&gt;SottocategorieEntrate[[#Headers],[Varie Entrate]],$I571&lt;&gt;SottocategorieEntrate[[#Headers],[Real Estate]],$I571&lt;&gt;SottocategorieEntrate[[#Headers],[Other]]),"","$ -")</f>
        <v/>
      </c>
      <c r="Q571" s="59" t="str">
        <f>IF(Dati[[#This Row],[Categoria]]="Prelievo","€ -","")</f>
        <v/>
      </c>
      <c r="R571" s="244"/>
      <c r="S571" s="59" t="str">
        <f>IF(Dati[[#This Row],[Categoria]]="Savings",0,"")</f>
        <v/>
      </c>
      <c r="T571" s="59"/>
      <c r="U571" s="59"/>
      <c r="V571" s="59"/>
      <c r="W571" s="59"/>
      <c r="X571" s="59"/>
      <c r="Y571" s="59"/>
      <c r="Z571" s="59"/>
      <c r="AA571" s="59"/>
      <c r="AB571" s="59"/>
      <c r="AC571" s="59"/>
      <c r="AD571" s="59"/>
      <c r="AE571" s="59"/>
      <c r="AF571" s="59"/>
      <c r="AG571" s="59"/>
      <c r="AH571" s="59"/>
      <c r="AI571" s="59" t="str">
        <f>IF(SUM(Dati[[#This Row],[Inv. Business]:[Inv. Cryptocurrency]])=0," ",SUM(Dati[[#This Row],[Inv. Business]:[Inv. Cryptocurrency]]))</f>
        <v xml:space="preserve"> </v>
      </c>
      <c r="AJ571" s="59"/>
      <c r="AK571" s="59" t="str">
        <f>IF(SUM(Dati[[#This Row],[Inv. Gold]:[Mutuo]])=0," ",SUM(Dati[[#This Row],[Inv. Gold]:[Mutuo]]))</f>
        <v xml:space="preserve"> </v>
      </c>
      <c r="AL571" s="59"/>
      <c r="AM571" s="59"/>
    </row>
    <row r="572" spans="2:39" x14ac:dyDescent="0.35">
      <c r="B572">
        <f t="shared" si="23"/>
        <v>552</v>
      </c>
      <c r="C572" s="49">
        <f>C570+1</f>
        <v>45363</v>
      </c>
      <c r="D572" s="29">
        <f>DAY(Dati[[#This Row],[Data]])</f>
        <v>12</v>
      </c>
      <c r="E572" s="29" t="str">
        <f>IF(DAY(Data!$C$21:$C$1327)&gt;0,TEXT(Data!$C$21:$C$1327, "mmmm"),"")</f>
        <v>marzo</v>
      </c>
      <c r="F572" s="29" t="str">
        <f>IF(DAY(Data!$C$21:$C$1327)&gt;0,TEXT(Data!$C$21:$C$1327, "aaaa"),"")</f>
        <v>2024</v>
      </c>
      <c r="I572" t="str">
        <f>IF(OR(H572=$B$5,H572=$B$6,H572=$B$7,H572=$B$8,H572=$B$9,H572=$B$10,H572=$B$11,H572=$B$12,H572=$B$13,H572=$B$14),SottocategorieUscite[[#Headers],[Fuori Casa]],IF(OR(H572=$C$5,H572=$C$6,H572=$C$7,H572=$C$8,H572=$C$9,H572=$C$10,H572=$C$11,H572=$C$12,H572=$C$13,H572=$C$14),SottocategorieUscite[[#Headers],[Varie Uscite]],IF(OR(H572=$D$5,H572=$D$6,H572=$D$7,H572=$D$8,H572=$D$9,H572=$D$10,H572=$D$11,H572=$D$12,H572=$D$13,H572=$D$14),SottocategorieUscite[[#Headers],[Personali]],IF(OR(H572=$E$5,H572=$E$6,H572=$E$7,H572=$E$8,H572=$E$9,H572=$E$10,H572=$E$11,H572=$E$12,H572=$E$13,H572=$E$14),SottocategorieUscite[[#Headers],[Lavoro]],IF(OR(H572=$F$5,H572=$F$6,H572=$F$7,H572=$F$8,H572=$F$9,H572=$F$10,H572=$F$11,H572=$F$12,H572=$F$13,H572=$F$14),SottocategorieUscite[[#Headers],[Casa]],IF(OR(H572=$G$5,H572=$G$6,H572=$G$7,H572=$G$8,H572=$G$9,H572=$G$10,H572=$G$11,H572=$G$12,H572=$G$13,H572=$G$14),SottocategorieUscite[[#Headers],[Utenze]],IF(OR(H572=$H$5,H572=$H$6,H572=$H$7,H572=$H$8,H572=$H$9,H572=$H$10,H572=$H$11,H572=$H$12,H572=$H$13,H572=$H$14),SottocategorieUscite[[#Headers],[Business Uscite]],IF(OR(H572=$I$5,H572=$I$6,H572=$I$7,H572=$I$8,H572=$I$9,H572=$I$10,H572=$I$11,H572=$I$12,H572=$I$13,H572=$I$14),SottocategorieUscite[[#Headers],[Banca]],IF(OR(H572=K$5,H572=K$6,H572=K$7,H572=K$8,H572=K$9,H572=K$10,H572=K$11,H572=K$12,H572=K$13,H572=K$14),SottocategorieEntrate[[#Headers],[Business Entrate]],IF(OR(H572=L$5,H572=L$6,H572=L$7,H572=L$8,H572=L$9,H572=L$10,H572=L$11,H572=L$12,H572=L$13,H572=L$14),SottocategorieEntrate[[#Headers],[Varie Entrate]],IF(OR(H572=M$5,H572=M$6,H572=M$7,H572=M$8,H572=M$9,H572=M$10,H572=M$11,H572=M$12,H572=M$13,H572=M$14),SottocategorieEntrate[[#Headers],[Real Estate]],IF(OR(H572=N$5,H572=N$6,H572=N$7,H572=N$8,H572=N$9,H572=N$10,H572=N$11,H572=N$12,H572=N$13,H572=N$14),SottocategorieEntrate[[#Headers],[Other]],""))))))))))))</f>
        <v/>
      </c>
      <c r="J572" t="str">
        <f>IF(OR(Dati[[#This Row],[Categoria]]="Bollette",Dati[[#This Row],[Categoria]]="Conto &amp; Carte BNL",Dati[[#This Row],[Categoria]]="Prelievo",Dati[[#This Row],[Categoria]]="Affitto",Dati[[#This Row],[Categoria]]="BNL(Interessi Creditori)"),"Carta",IF(Dati[[#This Row],[Categoria]]&lt;&gt;0,"Cash",""))</f>
        <v/>
      </c>
      <c r="K572" s="59" t="str">
        <f>IF(OR(Data!$I572=SottocategorieUscite[[#Headers],[Fuori Casa]],Data!$I572=SottocategorieUscite[[#Headers],[Varie Uscite]],Data!$I572=SottocategorieUscite[[#Headers],[Personali]],Data!$I572=SottocategorieUscite[[#Headers],[Lavoro]]),"$ -","")</f>
        <v/>
      </c>
      <c r="L572" s="59" t="str">
        <f>IF(OR(Data!$I572=SottocategorieUscite[[#Headers],[Casa]],Data!$I572=SottocategorieUscite[[#Headers],[Utenze]],Data!$I572=SottocategorieUscite[[#Headers],[Business Uscite]],Data!$I572=SottocategorieUscite[[#Headers],[Banca]]),"$ -","")</f>
        <v/>
      </c>
      <c r="M572" s="59" t="str">
        <f>IF(OR($I572&lt;&gt;SottocategorieUscite[[#Headers],[Fuori Casa]],$I572&lt;&gt;SottocategorieUscite[[#Headers],[Varie Uscite]],$I572&lt;&gt;SottocategorieUscite[[#Headers],[Personali]],$I572&lt;&gt;SottocategorieUscite[[#Headers],[Lavoro]],$I572&lt;&gt;SottocategorieUscite[[#Headers],[Casa]],$I572&lt;&gt;SottocategorieUscite[[#Headers],[Utenze]],$I572&lt;&gt;SottocategorieUscite[[#Headers],[Business Uscite]],$I572&lt;&gt;SottocategorieUscite[[#Headers],[Banca]]),"","$ -")</f>
        <v/>
      </c>
      <c r="N572" s="59" t="str">
        <f>IF(OR(Data!$I572=SottocategorieEntrate[[#Headers],[Business Entrate]],Data!$I572=SottocategorieEntrate[[#Headers],[Varie Entrate]]),"$ -","")</f>
        <v/>
      </c>
      <c r="O572" s="59" t="str">
        <f>IF(OR(Data!$I572=SottocategorieEntrate[[#Headers],[Real Estate]],SottocategorieEntrate[[#Headers],[Other]]),"$ -","")</f>
        <v/>
      </c>
      <c r="P572" s="59" t="str">
        <f>IF(OR($I572&lt;&gt;SottocategorieEntrate[[#Headers],[Business Entrate]],$I572&lt;&gt;SottocategorieEntrate[[#Headers],[Varie Entrate]],$I572&lt;&gt;SottocategorieEntrate[[#Headers],[Real Estate]],$I572&lt;&gt;SottocategorieEntrate[[#Headers],[Other]]),"","$ -")</f>
        <v/>
      </c>
      <c r="Q572" s="59" t="str">
        <f>IF(Dati[[#This Row],[Categoria]]="Prelievo","€ -","")</f>
        <v/>
      </c>
      <c r="R572" s="244"/>
      <c r="S572" s="59" t="str">
        <f>IF(Dati[[#This Row],[Categoria]]="Savings",0,"")</f>
        <v/>
      </c>
      <c r="T572" s="59"/>
      <c r="U572" s="59"/>
      <c r="V572" s="59"/>
      <c r="W572" s="59"/>
      <c r="X572" s="59"/>
      <c r="Y572" s="59"/>
      <c r="Z572" s="59"/>
      <c r="AA572" s="59"/>
      <c r="AB572" s="59"/>
      <c r="AC572" s="59"/>
      <c r="AD572" s="59"/>
      <c r="AE572" s="59"/>
      <c r="AF572" s="59"/>
      <c r="AG572" s="59"/>
      <c r="AH572" s="59"/>
      <c r="AI572" s="59" t="str">
        <f>IF(SUM(Dati[[#This Row],[Inv. Business]:[Inv. Cryptocurrency]])=0," ",SUM(Dati[[#This Row],[Inv. Business]:[Inv. Cryptocurrency]]))</f>
        <v xml:space="preserve"> </v>
      </c>
      <c r="AJ572" s="59"/>
      <c r="AK572" s="59" t="str">
        <f>IF(SUM(Dati[[#This Row],[Inv. Gold]:[Mutuo]])=0," ",SUM(Dati[[#This Row],[Inv. Gold]:[Mutuo]]))</f>
        <v xml:space="preserve"> </v>
      </c>
      <c r="AL572" s="59"/>
      <c r="AM572" s="59"/>
    </row>
    <row r="573" spans="2:39" x14ac:dyDescent="0.35">
      <c r="B573">
        <f t="shared" si="23"/>
        <v>553</v>
      </c>
      <c r="C573" s="49">
        <f>C570+1</f>
        <v>45363</v>
      </c>
      <c r="D573" s="29">
        <f>DAY(Dati[[#This Row],[Data]])</f>
        <v>12</v>
      </c>
      <c r="E573" s="29" t="str">
        <f>IF(DAY(Data!$C$21:$C$1327)&gt;0,TEXT(Data!$C$21:$C$1327, "mmmm"),"")</f>
        <v>marzo</v>
      </c>
      <c r="F573" s="29" t="str">
        <f>IF(DAY(Data!$C$21:$C$1327)&gt;0,TEXT(Data!$C$21:$C$1327, "aaaa"),"")</f>
        <v>2024</v>
      </c>
      <c r="I573" t="str">
        <f>IF(OR(H573=$B$5,H573=$B$6,H573=$B$7,H573=$B$8,H573=$B$9,H573=$B$10,H573=$B$11,H573=$B$12,H573=$B$13,H573=$B$14),SottocategorieUscite[[#Headers],[Fuori Casa]],IF(OR(H573=$C$5,H573=$C$6,H573=$C$7,H573=$C$8,H573=$C$9,H573=$C$10,H573=$C$11,H573=$C$12,H573=$C$13,H573=$C$14),SottocategorieUscite[[#Headers],[Varie Uscite]],IF(OR(H573=$D$5,H573=$D$6,H573=$D$7,H573=$D$8,H573=$D$9,H573=$D$10,H573=$D$11,H573=$D$12,H573=$D$13,H573=$D$14),SottocategorieUscite[[#Headers],[Personali]],IF(OR(H573=$E$5,H573=$E$6,H573=$E$7,H573=$E$8,H573=$E$9,H573=$E$10,H573=$E$11,H573=$E$12,H573=$E$13,H573=$E$14),SottocategorieUscite[[#Headers],[Lavoro]],IF(OR(H573=$F$5,H573=$F$6,H573=$F$7,H573=$F$8,H573=$F$9,H573=$F$10,H573=$F$11,H573=$F$12,H573=$F$13,H573=$F$14),SottocategorieUscite[[#Headers],[Casa]],IF(OR(H573=$G$5,H573=$G$6,H573=$G$7,H573=$G$8,H573=$G$9,H573=$G$10,H573=$G$11,H573=$G$12,H573=$G$13,H573=$G$14),SottocategorieUscite[[#Headers],[Utenze]],IF(OR(H573=$H$5,H573=$H$6,H573=$H$7,H573=$H$8,H573=$H$9,H573=$H$10,H573=$H$11,H573=$H$12,H573=$H$13,H573=$H$14),SottocategorieUscite[[#Headers],[Business Uscite]],IF(OR(H573=$I$5,H573=$I$6,H573=$I$7,H573=$I$8,H573=$I$9,H573=$I$10,H573=$I$11,H573=$I$12,H573=$I$13,H573=$I$14),SottocategorieUscite[[#Headers],[Banca]],IF(OR(H573=K$5,H573=K$6,H573=K$7,H573=K$8,H573=K$9,H573=K$10,H573=K$11,H573=K$12,H573=K$13,H573=K$14),SottocategorieEntrate[[#Headers],[Business Entrate]],IF(OR(H573=L$5,H573=L$6,H573=L$7,H573=L$8,H573=L$9,H573=L$10,H573=L$11,H573=L$12,H573=L$13,H573=L$14),SottocategorieEntrate[[#Headers],[Varie Entrate]],IF(OR(H573=M$5,H573=M$6,H573=M$7,H573=M$8,H573=M$9,H573=M$10,H573=M$11,H573=M$12,H573=M$13,H573=M$14),SottocategorieEntrate[[#Headers],[Real Estate]],IF(OR(H573=N$5,H573=N$6,H573=N$7,H573=N$8,H573=N$9,H573=N$10,H573=N$11,H573=N$12,H573=N$13,H573=N$14),SottocategorieEntrate[[#Headers],[Other]],""))))))))))))</f>
        <v/>
      </c>
      <c r="J573" t="str">
        <f>IF(OR(Dati[[#This Row],[Categoria]]="Bollette",Dati[[#This Row],[Categoria]]="Conto &amp; Carte BNL",Dati[[#This Row],[Categoria]]="Prelievo",Dati[[#This Row],[Categoria]]="Affitto",Dati[[#This Row],[Categoria]]="BNL(Interessi Creditori)"),"Carta",IF(Dati[[#This Row],[Categoria]]&lt;&gt;0,"Cash",""))</f>
        <v/>
      </c>
      <c r="K573" s="59" t="str">
        <f>IF(OR(Data!$I573=SottocategorieUscite[[#Headers],[Fuori Casa]],Data!$I573=SottocategorieUscite[[#Headers],[Varie Uscite]],Data!$I573=SottocategorieUscite[[#Headers],[Personali]],Data!$I573=SottocategorieUscite[[#Headers],[Lavoro]]),"$ -","")</f>
        <v/>
      </c>
      <c r="L573" s="59" t="str">
        <f>IF(OR(Data!$I573=SottocategorieUscite[[#Headers],[Casa]],Data!$I573=SottocategorieUscite[[#Headers],[Utenze]],Data!$I573=SottocategorieUscite[[#Headers],[Business Uscite]],Data!$I573=SottocategorieUscite[[#Headers],[Banca]]),"$ -","")</f>
        <v/>
      </c>
      <c r="M573" s="59" t="str">
        <f>IF(OR($I573&lt;&gt;SottocategorieUscite[[#Headers],[Fuori Casa]],$I573&lt;&gt;SottocategorieUscite[[#Headers],[Varie Uscite]],$I573&lt;&gt;SottocategorieUscite[[#Headers],[Personali]],$I573&lt;&gt;SottocategorieUscite[[#Headers],[Lavoro]],$I573&lt;&gt;SottocategorieUscite[[#Headers],[Casa]],$I573&lt;&gt;SottocategorieUscite[[#Headers],[Utenze]],$I573&lt;&gt;SottocategorieUscite[[#Headers],[Business Uscite]],$I573&lt;&gt;SottocategorieUscite[[#Headers],[Banca]]),"","$ -")</f>
        <v/>
      </c>
      <c r="N573" s="59" t="str">
        <f>IF(OR(Data!$I573=SottocategorieEntrate[[#Headers],[Business Entrate]],Data!$I573=SottocategorieEntrate[[#Headers],[Varie Entrate]]),"$ -","")</f>
        <v/>
      </c>
      <c r="O573" s="59" t="str">
        <f>IF(OR(Data!$I573=SottocategorieEntrate[[#Headers],[Real Estate]],SottocategorieEntrate[[#Headers],[Other]]),"$ -","")</f>
        <v/>
      </c>
      <c r="P573" s="59" t="str">
        <f>IF(OR($I573&lt;&gt;SottocategorieEntrate[[#Headers],[Business Entrate]],$I573&lt;&gt;SottocategorieEntrate[[#Headers],[Varie Entrate]],$I573&lt;&gt;SottocategorieEntrate[[#Headers],[Real Estate]],$I573&lt;&gt;SottocategorieEntrate[[#Headers],[Other]]),"","$ -")</f>
        <v/>
      </c>
      <c r="Q573" s="59" t="str">
        <f>IF(Dati[[#This Row],[Categoria]]="Prelievo","€ -","")</f>
        <v/>
      </c>
      <c r="R573" s="244"/>
      <c r="S573" s="59" t="str">
        <f>IF(Dati[[#This Row],[Categoria]]="Savings",0,"")</f>
        <v/>
      </c>
      <c r="T573" s="59"/>
      <c r="U573" s="59"/>
      <c r="V573" s="59"/>
      <c r="W573" s="59"/>
      <c r="X573" s="59"/>
      <c r="Y573" s="59"/>
      <c r="Z573" s="59"/>
      <c r="AA573" s="59"/>
      <c r="AB573" s="59"/>
      <c r="AC573" s="59"/>
      <c r="AD573" s="59"/>
      <c r="AE573" s="59"/>
      <c r="AF573" s="59"/>
      <c r="AG573" s="59"/>
      <c r="AH573" s="59"/>
      <c r="AI573" s="59" t="str">
        <f>IF(SUM(Dati[[#This Row],[Inv. Business]:[Inv. Cryptocurrency]])=0," ",SUM(Dati[[#This Row],[Inv. Business]:[Inv. Cryptocurrency]]))</f>
        <v xml:space="preserve"> </v>
      </c>
      <c r="AJ573" s="59"/>
      <c r="AK573" s="59" t="str">
        <f>IF(SUM(Dati[[#This Row],[Inv. Gold]:[Mutuo]])=0," ",SUM(Dati[[#This Row],[Inv. Gold]:[Mutuo]]))</f>
        <v xml:space="preserve"> </v>
      </c>
      <c r="AL573" s="59"/>
      <c r="AM573" s="59"/>
    </row>
    <row r="574" spans="2:39" x14ac:dyDescent="0.35">
      <c r="B574">
        <f t="shared" si="23"/>
        <v>554</v>
      </c>
      <c r="C574" s="49">
        <f>C570+1</f>
        <v>45363</v>
      </c>
      <c r="D574" s="29">
        <f>DAY(Dati[[#This Row],[Data]])</f>
        <v>12</v>
      </c>
      <c r="E574" s="29" t="str">
        <f>IF(DAY(Data!$C$21:$C$1327)&gt;0,TEXT(Data!$C$21:$C$1327, "mmmm"),"")</f>
        <v>marzo</v>
      </c>
      <c r="F574" s="29" t="str">
        <f>IF(DAY(Data!$C$21:$C$1327)&gt;0,TEXT(Data!$C$21:$C$1327, "aaaa"),"")</f>
        <v>2024</v>
      </c>
      <c r="I574" t="str">
        <f>IF(OR(H574=$B$5,H574=$B$6,H574=$B$7,H574=$B$8,H574=$B$9,H574=$B$10,H574=$B$11,H574=$B$12,H574=$B$13,H574=$B$14),SottocategorieUscite[[#Headers],[Fuori Casa]],IF(OR(H574=$C$5,H574=$C$6,H574=$C$7,H574=$C$8,H574=$C$9,H574=$C$10,H574=$C$11,H574=$C$12,H574=$C$13,H574=$C$14),SottocategorieUscite[[#Headers],[Varie Uscite]],IF(OR(H574=$D$5,H574=$D$6,H574=$D$7,H574=$D$8,H574=$D$9,H574=$D$10,H574=$D$11,H574=$D$12,H574=$D$13,H574=$D$14),SottocategorieUscite[[#Headers],[Personali]],IF(OR(H574=$E$5,H574=$E$6,H574=$E$7,H574=$E$8,H574=$E$9,H574=$E$10,H574=$E$11,H574=$E$12,H574=$E$13,H574=$E$14),SottocategorieUscite[[#Headers],[Lavoro]],IF(OR(H574=$F$5,H574=$F$6,H574=$F$7,H574=$F$8,H574=$F$9,H574=$F$10,H574=$F$11,H574=$F$12,H574=$F$13,H574=$F$14),SottocategorieUscite[[#Headers],[Casa]],IF(OR(H574=$G$5,H574=$G$6,H574=$G$7,H574=$G$8,H574=$G$9,H574=$G$10,H574=$G$11,H574=$G$12,H574=$G$13,H574=$G$14),SottocategorieUscite[[#Headers],[Utenze]],IF(OR(H574=$H$5,H574=$H$6,H574=$H$7,H574=$H$8,H574=$H$9,H574=$H$10,H574=$H$11,H574=$H$12,H574=$H$13,H574=$H$14),SottocategorieUscite[[#Headers],[Business Uscite]],IF(OR(H574=$I$5,H574=$I$6,H574=$I$7,H574=$I$8,H574=$I$9,H574=$I$10,H574=$I$11,H574=$I$12,H574=$I$13,H574=$I$14),SottocategorieUscite[[#Headers],[Banca]],IF(OR(H574=K$5,H574=K$6,H574=K$7,H574=K$8,H574=K$9,H574=K$10,H574=K$11,H574=K$12,H574=K$13,H574=K$14),SottocategorieEntrate[[#Headers],[Business Entrate]],IF(OR(H574=L$5,H574=L$6,H574=L$7,H574=L$8,H574=L$9,H574=L$10,H574=L$11,H574=L$12,H574=L$13,H574=L$14),SottocategorieEntrate[[#Headers],[Varie Entrate]],IF(OR(H574=M$5,H574=M$6,H574=M$7,H574=M$8,H574=M$9,H574=M$10,H574=M$11,H574=M$12,H574=M$13,H574=M$14),SottocategorieEntrate[[#Headers],[Real Estate]],IF(OR(H574=N$5,H574=N$6,H574=N$7,H574=N$8,H574=N$9,H574=N$10,H574=N$11,H574=N$12,H574=N$13,H574=N$14),SottocategorieEntrate[[#Headers],[Other]],""))))))))))))</f>
        <v/>
      </c>
      <c r="J574" t="str">
        <f>IF(OR(Dati[[#This Row],[Categoria]]="Bollette",Dati[[#This Row],[Categoria]]="Conto &amp; Carte BNL",Dati[[#This Row],[Categoria]]="Prelievo",Dati[[#This Row],[Categoria]]="Affitto",Dati[[#This Row],[Categoria]]="BNL(Interessi Creditori)"),"Carta",IF(Dati[[#This Row],[Categoria]]&lt;&gt;0,"Cash",""))</f>
        <v/>
      </c>
      <c r="K574" s="59" t="str">
        <f>IF(OR(Data!$I574=SottocategorieUscite[[#Headers],[Fuori Casa]],Data!$I574=SottocategorieUscite[[#Headers],[Varie Uscite]],Data!$I574=SottocategorieUscite[[#Headers],[Personali]],Data!$I574=SottocategorieUscite[[#Headers],[Lavoro]]),"$ -","")</f>
        <v/>
      </c>
      <c r="L574" s="59" t="str">
        <f>IF(OR(Data!$I574=SottocategorieUscite[[#Headers],[Casa]],Data!$I574=SottocategorieUscite[[#Headers],[Utenze]],Data!$I574=SottocategorieUscite[[#Headers],[Business Uscite]],Data!$I574=SottocategorieUscite[[#Headers],[Banca]]),"$ -","")</f>
        <v/>
      </c>
      <c r="M574" s="59" t="str">
        <f>IF(OR($I574&lt;&gt;SottocategorieUscite[[#Headers],[Fuori Casa]],$I574&lt;&gt;SottocategorieUscite[[#Headers],[Varie Uscite]],$I574&lt;&gt;SottocategorieUscite[[#Headers],[Personali]],$I574&lt;&gt;SottocategorieUscite[[#Headers],[Lavoro]],$I574&lt;&gt;SottocategorieUscite[[#Headers],[Casa]],$I574&lt;&gt;SottocategorieUscite[[#Headers],[Utenze]],$I574&lt;&gt;SottocategorieUscite[[#Headers],[Business Uscite]],$I574&lt;&gt;SottocategorieUscite[[#Headers],[Banca]]),"","$ -")</f>
        <v/>
      </c>
      <c r="N574" s="59" t="str">
        <f>IF(OR(Data!$I574=SottocategorieEntrate[[#Headers],[Business Entrate]],Data!$I574=SottocategorieEntrate[[#Headers],[Varie Entrate]]),"$ -","")</f>
        <v/>
      </c>
      <c r="O574" s="59" t="str">
        <f>IF(OR(Data!$I574=SottocategorieEntrate[[#Headers],[Real Estate]],SottocategorieEntrate[[#Headers],[Other]]),"$ -","")</f>
        <v/>
      </c>
      <c r="P574" s="59" t="str">
        <f>IF(OR($I574&lt;&gt;SottocategorieEntrate[[#Headers],[Business Entrate]],$I574&lt;&gt;SottocategorieEntrate[[#Headers],[Varie Entrate]],$I574&lt;&gt;SottocategorieEntrate[[#Headers],[Real Estate]],$I574&lt;&gt;SottocategorieEntrate[[#Headers],[Other]]),"","$ -")</f>
        <v/>
      </c>
      <c r="Q574" s="59" t="str">
        <f>IF(Dati[[#This Row],[Categoria]]="Prelievo","€ -","")</f>
        <v/>
      </c>
      <c r="R574" s="244"/>
      <c r="S574" s="59" t="str">
        <f>IF(Dati[[#This Row],[Categoria]]="Savings",0,"")</f>
        <v/>
      </c>
      <c r="T574" s="59"/>
      <c r="U574" s="59"/>
      <c r="V574" s="59"/>
      <c r="W574" s="59"/>
      <c r="X574" s="59"/>
      <c r="Y574" s="59"/>
      <c r="Z574" s="59"/>
      <c r="AA574" s="59"/>
      <c r="AB574" s="59"/>
      <c r="AC574" s="59"/>
      <c r="AD574" s="59"/>
      <c r="AE574" s="59"/>
      <c r="AF574" s="59"/>
      <c r="AG574" s="59"/>
      <c r="AH574" s="59"/>
      <c r="AI574" s="59" t="str">
        <f>IF(SUM(Dati[[#This Row],[Inv. Business]:[Inv. Cryptocurrency]])=0," ",SUM(Dati[[#This Row],[Inv. Business]:[Inv. Cryptocurrency]]))</f>
        <v xml:space="preserve"> </v>
      </c>
      <c r="AJ574" s="59"/>
      <c r="AK574" s="59" t="str">
        <f>IF(SUM(Dati[[#This Row],[Inv. Gold]:[Mutuo]])=0," ",SUM(Dati[[#This Row],[Inv. Gold]:[Mutuo]]))</f>
        <v xml:space="preserve"> </v>
      </c>
      <c r="AL574" s="59"/>
      <c r="AM574" s="59"/>
    </row>
    <row r="575" spans="2:39" x14ac:dyDescent="0.35">
      <c r="B575">
        <f t="shared" si="23"/>
        <v>555</v>
      </c>
      <c r="C575" s="49">
        <f>C571+1</f>
        <v>45364</v>
      </c>
      <c r="D575" s="29">
        <f>DAY(Dati[[#This Row],[Data]])</f>
        <v>13</v>
      </c>
      <c r="E575" s="29" t="str">
        <f>IF(DAY(Data!$C$21:$C$1327)&gt;0,TEXT(Data!$C$21:$C$1327, "mmmm"),"")</f>
        <v>marzo</v>
      </c>
      <c r="F575" s="29" t="str">
        <f>IF(DAY(Data!$C$21:$C$1327)&gt;0,TEXT(Data!$C$21:$C$1327, "aaaa"),"")</f>
        <v>2024</v>
      </c>
      <c r="I575" t="str">
        <f>IF(OR(H575=$B$5,H575=$B$6,H575=$B$7,H575=$B$8,H575=$B$9,H575=$B$10,H575=$B$11,H575=$B$12,H575=$B$13,H575=$B$14),SottocategorieUscite[[#Headers],[Fuori Casa]],IF(OR(H575=$C$5,H575=$C$6,H575=$C$7,H575=$C$8,H575=$C$9,H575=$C$10,H575=$C$11,H575=$C$12,H575=$C$13,H575=$C$14),SottocategorieUscite[[#Headers],[Varie Uscite]],IF(OR(H575=$D$5,H575=$D$6,H575=$D$7,H575=$D$8,H575=$D$9,H575=$D$10,H575=$D$11,H575=$D$12,H575=$D$13,H575=$D$14),SottocategorieUscite[[#Headers],[Personali]],IF(OR(H575=$E$5,H575=$E$6,H575=$E$7,H575=$E$8,H575=$E$9,H575=$E$10,H575=$E$11,H575=$E$12,H575=$E$13,H575=$E$14),SottocategorieUscite[[#Headers],[Lavoro]],IF(OR(H575=$F$5,H575=$F$6,H575=$F$7,H575=$F$8,H575=$F$9,H575=$F$10,H575=$F$11,H575=$F$12,H575=$F$13,H575=$F$14),SottocategorieUscite[[#Headers],[Casa]],IF(OR(H575=$G$5,H575=$G$6,H575=$G$7,H575=$G$8,H575=$G$9,H575=$G$10,H575=$G$11,H575=$G$12,H575=$G$13,H575=$G$14),SottocategorieUscite[[#Headers],[Utenze]],IF(OR(H575=$H$5,H575=$H$6,H575=$H$7,H575=$H$8,H575=$H$9,H575=$H$10,H575=$H$11,H575=$H$12,H575=$H$13,H575=$H$14),SottocategorieUscite[[#Headers],[Business Uscite]],IF(OR(H575=$I$5,H575=$I$6,H575=$I$7,H575=$I$8,H575=$I$9,H575=$I$10,H575=$I$11,H575=$I$12,H575=$I$13,H575=$I$14),SottocategorieUscite[[#Headers],[Banca]],IF(OR(H575=K$5,H575=K$6,H575=K$7,H575=K$8,H575=K$9,H575=K$10,H575=K$11,H575=K$12,H575=K$13,H575=K$14),SottocategorieEntrate[[#Headers],[Business Entrate]],IF(OR(H575=L$5,H575=L$6,H575=L$7,H575=L$8,H575=L$9,H575=L$10,H575=L$11,H575=L$12,H575=L$13,H575=L$14),SottocategorieEntrate[[#Headers],[Varie Entrate]],IF(OR(H575=M$5,H575=M$6,H575=M$7,H575=M$8,H575=M$9,H575=M$10,H575=M$11,H575=M$12,H575=M$13,H575=M$14),SottocategorieEntrate[[#Headers],[Real Estate]],IF(OR(H575=N$5,H575=N$6,H575=N$7,H575=N$8,H575=N$9,H575=N$10,H575=N$11,H575=N$12,H575=N$13,H575=N$14),SottocategorieEntrate[[#Headers],[Other]],""))))))))))))</f>
        <v/>
      </c>
      <c r="J575" t="str">
        <f>IF(OR(Dati[[#This Row],[Categoria]]="Bollette",Dati[[#This Row],[Categoria]]="Conto &amp; Carte BNL",Dati[[#This Row],[Categoria]]="Prelievo",Dati[[#This Row],[Categoria]]="Affitto",Dati[[#This Row],[Categoria]]="BNL(Interessi Creditori)"),"Carta",IF(Dati[[#This Row],[Categoria]]&lt;&gt;0,"Cash",""))</f>
        <v/>
      </c>
      <c r="K575" s="59" t="str">
        <f>IF(OR(Data!$I575=SottocategorieUscite[[#Headers],[Fuori Casa]],Data!$I575=SottocategorieUscite[[#Headers],[Varie Uscite]],Data!$I575=SottocategorieUscite[[#Headers],[Personali]],Data!$I575=SottocategorieUscite[[#Headers],[Lavoro]]),"$ -","")</f>
        <v/>
      </c>
      <c r="L575" s="59" t="str">
        <f>IF(OR(Data!$I575=SottocategorieUscite[[#Headers],[Casa]],Data!$I575=SottocategorieUscite[[#Headers],[Utenze]],Data!$I575=SottocategorieUscite[[#Headers],[Business Uscite]],Data!$I575=SottocategorieUscite[[#Headers],[Banca]]),"$ -","")</f>
        <v/>
      </c>
      <c r="M575" s="59" t="str">
        <f>IF(OR($I575&lt;&gt;SottocategorieUscite[[#Headers],[Fuori Casa]],$I575&lt;&gt;SottocategorieUscite[[#Headers],[Varie Uscite]],$I575&lt;&gt;SottocategorieUscite[[#Headers],[Personali]],$I575&lt;&gt;SottocategorieUscite[[#Headers],[Lavoro]],$I575&lt;&gt;SottocategorieUscite[[#Headers],[Casa]],$I575&lt;&gt;SottocategorieUscite[[#Headers],[Utenze]],$I575&lt;&gt;SottocategorieUscite[[#Headers],[Business Uscite]],$I575&lt;&gt;SottocategorieUscite[[#Headers],[Banca]]),"","$ -")</f>
        <v/>
      </c>
      <c r="N575" s="59" t="str">
        <f>IF(OR(Data!$I575=SottocategorieEntrate[[#Headers],[Business Entrate]],Data!$I575=SottocategorieEntrate[[#Headers],[Varie Entrate]]),"$ -","")</f>
        <v/>
      </c>
      <c r="O575" s="59" t="str">
        <f>IF(OR(Data!$I575=SottocategorieEntrate[[#Headers],[Real Estate]],SottocategorieEntrate[[#Headers],[Other]]),"$ -","")</f>
        <v/>
      </c>
      <c r="P575" s="59" t="str">
        <f>IF(OR($I575&lt;&gt;SottocategorieEntrate[[#Headers],[Business Entrate]],$I575&lt;&gt;SottocategorieEntrate[[#Headers],[Varie Entrate]],$I575&lt;&gt;SottocategorieEntrate[[#Headers],[Real Estate]],$I575&lt;&gt;SottocategorieEntrate[[#Headers],[Other]]),"","$ -")</f>
        <v/>
      </c>
      <c r="Q575" s="59" t="str">
        <f>IF(Dati[[#This Row],[Categoria]]="Prelievo","€ -","")</f>
        <v/>
      </c>
      <c r="R575" s="244"/>
      <c r="S575" s="59" t="str">
        <f>IF(Dati[[#This Row],[Categoria]]="Savings",0,"")</f>
        <v/>
      </c>
      <c r="T575" s="59"/>
      <c r="U575" s="59"/>
      <c r="V575" s="59"/>
      <c r="W575" s="59"/>
      <c r="X575" s="59"/>
      <c r="Y575" s="59"/>
      <c r="Z575" s="59"/>
      <c r="AA575" s="59"/>
      <c r="AB575" s="59"/>
      <c r="AC575" s="59"/>
      <c r="AD575" s="59"/>
      <c r="AE575" s="59"/>
      <c r="AF575" s="59"/>
      <c r="AG575" s="59"/>
      <c r="AH575" s="59"/>
      <c r="AI575" s="59" t="str">
        <f>IF(SUM(Dati[[#This Row],[Inv. Business]:[Inv. Cryptocurrency]])=0," ",SUM(Dati[[#This Row],[Inv. Business]:[Inv. Cryptocurrency]]))</f>
        <v xml:space="preserve"> </v>
      </c>
      <c r="AJ575" s="59"/>
      <c r="AK575" s="59" t="str">
        <f>IF(SUM(Dati[[#This Row],[Inv. Gold]:[Mutuo]])=0," ",SUM(Dati[[#This Row],[Inv. Gold]:[Mutuo]]))</f>
        <v xml:space="preserve"> </v>
      </c>
      <c r="AL575" s="59"/>
      <c r="AM575" s="59"/>
    </row>
    <row r="576" spans="2:39" x14ac:dyDescent="0.35">
      <c r="B576">
        <f t="shared" si="23"/>
        <v>556</v>
      </c>
      <c r="C576" s="49">
        <f>C574+1</f>
        <v>45364</v>
      </c>
      <c r="D576" s="29">
        <f>DAY(Dati[[#This Row],[Data]])</f>
        <v>13</v>
      </c>
      <c r="E576" s="29" t="str">
        <f>IF(DAY(Data!$C$21:$C$1327)&gt;0,TEXT(Data!$C$21:$C$1327, "mmmm"),"")</f>
        <v>marzo</v>
      </c>
      <c r="F576" s="29" t="str">
        <f>IF(DAY(Data!$C$21:$C$1327)&gt;0,TEXT(Data!$C$21:$C$1327, "aaaa"),"")</f>
        <v>2024</v>
      </c>
      <c r="I576" t="str">
        <f>IF(OR(H576=$B$5,H576=$B$6,H576=$B$7,H576=$B$8,H576=$B$9,H576=$B$10,H576=$B$11,H576=$B$12,H576=$B$13,H576=$B$14),SottocategorieUscite[[#Headers],[Fuori Casa]],IF(OR(H576=$C$5,H576=$C$6,H576=$C$7,H576=$C$8,H576=$C$9,H576=$C$10,H576=$C$11,H576=$C$12,H576=$C$13,H576=$C$14),SottocategorieUscite[[#Headers],[Varie Uscite]],IF(OR(H576=$D$5,H576=$D$6,H576=$D$7,H576=$D$8,H576=$D$9,H576=$D$10,H576=$D$11,H576=$D$12,H576=$D$13,H576=$D$14),SottocategorieUscite[[#Headers],[Personali]],IF(OR(H576=$E$5,H576=$E$6,H576=$E$7,H576=$E$8,H576=$E$9,H576=$E$10,H576=$E$11,H576=$E$12,H576=$E$13,H576=$E$14),SottocategorieUscite[[#Headers],[Lavoro]],IF(OR(H576=$F$5,H576=$F$6,H576=$F$7,H576=$F$8,H576=$F$9,H576=$F$10,H576=$F$11,H576=$F$12,H576=$F$13,H576=$F$14),SottocategorieUscite[[#Headers],[Casa]],IF(OR(H576=$G$5,H576=$G$6,H576=$G$7,H576=$G$8,H576=$G$9,H576=$G$10,H576=$G$11,H576=$G$12,H576=$G$13,H576=$G$14),SottocategorieUscite[[#Headers],[Utenze]],IF(OR(H576=$H$5,H576=$H$6,H576=$H$7,H576=$H$8,H576=$H$9,H576=$H$10,H576=$H$11,H576=$H$12,H576=$H$13,H576=$H$14),SottocategorieUscite[[#Headers],[Business Uscite]],IF(OR(H576=$I$5,H576=$I$6,H576=$I$7,H576=$I$8,H576=$I$9,H576=$I$10,H576=$I$11,H576=$I$12,H576=$I$13,H576=$I$14),SottocategorieUscite[[#Headers],[Banca]],IF(OR(H576=K$5,H576=K$6,H576=K$7,H576=K$8,H576=K$9,H576=K$10,H576=K$11,H576=K$12,H576=K$13,H576=K$14),SottocategorieEntrate[[#Headers],[Business Entrate]],IF(OR(H576=L$5,H576=L$6,H576=L$7,H576=L$8,H576=L$9,H576=L$10,H576=L$11,H576=L$12,H576=L$13,H576=L$14),SottocategorieEntrate[[#Headers],[Varie Entrate]],IF(OR(H576=M$5,H576=M$6,H576=M$7,H576=M$8,H576=M$9,H576=M$10,H576=M$11,H576=M$12,H576=M$13,H576=M$14),SottocategorieEntrate[[#Headers],[Real Estate]],IF(OR(H576=N$5,H576=N$6,H576=N$7,H576=N$8,H576=N$9,H576=N$10,H576=N$11,H576=N$12,H576=N$13,H576=N$14),SottocategorieEntrate[[#Headers],[Other]],""))))))))))))</f>
        <v/>
      </c>
      <c r="J576" t="str">
        <f>IF(OR(Dati[[#This Row],[Categoria]]="Bollette",Dati[[#This Row],[Categoria]]="Conto &amp; Carte BNL",Dati[[#This Row],[Categoria]]="Prelievo",Dati[[#This Row],[Categoria]]="Affitto",Dati[[#This Row],[Categoria]]="BNL(Interessi Creditori)"),"Carta",IF(Dati[[#This Row],[Categoria]]&lt;&gt;0,"Cash",""))</f>
        <v/>
      </c>
      <c r="K576" s="59" t="str">
        <f>IF(OR(Data!$I576=SottocategorieUscite[[#Headers],[Fuori Casa]],Data!$I576=SottocategorieUscite[[#Headers],[Varie Uscite]],Data!$I576=SottocategorieUscite[[#Headers],[Personali]],Data!$I576=SottocategorieUscite[[#Headers],[Lavoro]]),"$ -","")</f>
        <v/>
      </c>
      <c r="L576" s="59" t="str">
        <f>IF(OR(Data!$I576=SottocategorieUscite[[#Headers],[Casa]],Data!$I576=SottocategorieUscite[[#Headers],[Utenze]],Data!$I576=SottocategorieUscite[[#Headers],[Business Uscite]],Data!$I576=SottocategorieUscite[[#Headers],[Banca]]),"$ -","")</f>
        <v/>
      </c>
      <c r="M576" s="59" t="str">
        <f>IF(OR($I576&lt;&gt;SottocategorieUscite[[#Headers],[Fuori Casa]],$I576&lt;&gt;SottocategorieUscite[[#Headers],[Varie Uscite]],$I576&lt;&gt;SottocategorieUscite[[#Headers],[Personali]],$I576&lt;&gt;SottocategorieUscite[[#Headers],[Lavoro]],$I576&lt;&gt;SottocategorieUscite[[#Headers],[Casa]],$I576&lt;&gt;SottocategorieUscite[[#Headers],[Utenze]],$I576&lt;&gt;SottocategorieUscite[[#Headers],[Business Uscite]],$I576&lt;&gt;SottocategorieUscite[[#Headers],[Banca]]),"","$ -")</f>
        <v/>
      </c>
      <c r="N576" s="59" t="str">
        <f>IF(OR(Data!$I576=SottocategorieEntrate[[#Headers],[Business Entrate]],Data!$I576=SottocategorieEntrate[[#Headers],[Varie Entrate]]),"$ -","")</f>
        <v/>
      </c>
      <c r="O576" s="59" t="str">
        <f>IF(OR(Data!$I576=SottocategorieEntrate[[#Headers],[Real Estate]],SottocategorieEntrate[[#Headers],[Other]]),"$ -","")</f>
        <v/>
      </c>
      <c r="P576" s="59" t="str">
        <f>IF(OR($I576&lt;&gt;SottocategorieEntrate[[#Headers],[Business Entrate]],$I576&lt;&gt;SottocategorieEntrate[[#Headers],[Varie Entrate]],$I576&lt;&gt;SottocategorieEntrate[[#Headers],[Real Estate]],$I576&lt;&gt;SottocategorieEntrate[[#Headers],[Other]]),"","$ -")</f>
        <v/>
      </c>
      <c r="Q576" s="59" t="str">
        <f>IF(Dati[[#This Row],[Categoria]]="Prelievo","€ -","")</f>
        <v/>
      </c>
      <c r="R576" s="244"/>
      <c r="S576" s="59" t="str">
        <f>IF(Dati[[#This Row],[Categoria]]="Savings",0,"")</f>
        <v/>
      </c>
      <c r="T576" s="59"/>
      <c r="U576" s="59"/>
      <c r="V576" s="59"/>
      <c r="W576" s="59"/>
      <c r="X576" s="59"/>
      <c r="Y576" s="59"/>
      <c r="Z576" s="59"/>
      <c r="AA576" s="59"/>
      <c r="AB576" s="59"/>
      <c r="AC576" s="59"/>
      <c r="AD576" s="59"/>
      <c r="AE576" s="59"/>
      <c r="AF576" s="59"/>
      <c r="AG576" s="59"/>
      <c r="AH576" s="59"/>
      <c r="AI576" s="59" t="str">
        <f>IF(SUM(Dati[[#This Row],[Inv. Business]:[Inv. Cryptocurrency]])=0," ",SUM(Dati[[#This Row],[Inv. Business]:[Inv. Cryptocurrency]]))</f>
        <v xml:space="preserve"> </v>
      </c>
      <c r="AJ576" s="59"/>
      <c r="AK576" s="59" t="str">
        <f>IF(SUM(Dati[[#This Row],[Inv. Gold]:[Mutuo]])=0," ",SUM(Dati[[#This Row],[Inv. Gold]:[Mutuo]]))</f>
        <v xml:space="preserve"> </v>
      </c>
      <c r="AL576" s="59"/>
      <c r="AM576" s="59"/>
    </row>
    <row r="577" spans="2:39" x14ac:dyDescent="0.35">
      <c r="B577">
        <f t="shared" si="23"/>
        <v>557</v>
      </c>
      <c r="C577" s="49">
        <f>C574+1</f>
        <v>45364</v>
      </c>
      <c r="D577" s="29">
        <f>DAY(Dati[[#This Row],[Data]])</f>
        <v>13</v>
      </c>
      <c r="E577" s="29" t="str">
        <f>IF(DAY(Data!$C$21:$C$1327)&gt;0,TEXT(Data!$C$21:$C$1327, "mmmm"),"")</f>
        <v>marzo</v>
      </c>
      <c r="F577" s="29" t="str">
        <f>IF(DAY(Data!$C$21:$C$1327)&gt;0,TEXT(Data!$C$21:$C$1327, "aaaa"),"")</f>
        <v>2024</v>
      </c>
      <c r="I577" t="str">
        <f>IF(OR(H577=$B$5,H577=$B$6,H577=$B$7,H577=$B$8,H577=$B$9,H577=$B$10,H577=$B$11,H577=$B$12,H577=$B$13,H577=$B$14),SottocategorieUscite[[#Headers],[Fuori Casa]],IF(OR(H577=$C$5,H577=$C$6,H577=$C$7,H577=$C$8,H577=$C$9,H577=$C$10,H577=$C$11,H577=$C$12,H577=$C$13,H577=$C$14),SottocategorieUscite[[#Headers],[Varie Uscite]],IF(OR(H577=$D$5,H577=$D$6,H577=$D$7,H577=$D$8,H577=$D$9,H577=$D$10,H577=$D$11,H577=$D$12,H577=$D$13,H577=$D$14),SottocategorieUscite[[#Headers],[Personali]],IF(OR(H577=$E$5,H577=$E$6,H577=$E$7,H577=$E$8,H577=$E$9,H577=$E$10,H577=$E$11,H577=$E$12,H577=$E$13,H577=$E$14),SottocategorieUscite[[#Headers],[Lavoro]],IF(OR(H577=$F$5,H577=$F$6,H577=$F$7,H577=$F$8,H577=$F$9,H577=$F$10,H577=$F$11,H577=$F$12,H577=$F$13,H577=$F$14),SottocategorieUscite[[#Headers],[Casa]],IF(OR(H577=$G$5,H577=$G$6,H577=$G$7,H577=$G$8,H577=$G$9,H577=$G$10,H577=$G$11,H577=$G$12,H577=$G$13,H577=$G$14),SottocategorieUscite[[#Headers],[Utenze]],IF(OR(H577=$H$5,H577=$H$6,H577=$H$7,H577=$H$8,H577=$H$9,H577=$H$10,H577=$H$11,H577=$H$12,H577=$H$13,H577=$H$14),SottocategorieUscite[[#Headers],[Business Uscite]],IF(OR(H577=$I$5,H577=$I$6,H577=$I$7,H577=$I$8,H577=$I$9,H577=$I$10,H577=$I$11,H577=$I$12,H577=$I$13,H577=$I$14),SottocategorieUscite[[#Headers],[Banca]],IF(OR(H577=K$5,H577=K$6,H577=K$7,H577=K$8,H577=K$9,H577=K$10,H577=K$11,H577=K$12,H577=K$13,H577=K$14),SottocategorieEntrate[[#Headers],[Business Entrate]],IF(OR(H577=L$5,H577=L$6,H577=L$7,H577=L$8,H577=L$9,H577=L$10,H577=L$11,H577=L$12,H577=L$13,H577=L$14),SottocategorieEntrate[[#Headers],[Varie Entrate]],IF(OR(H577=M$5,H577=M$6,H577=M$7,H577=M$8,H577=M$9,H577=M$10,H577=M$11,H577=M$12,H577=M$13,H577=M$14),SottocategorieEntrate[[#Headers],[Real Estate]],IF(OR(H577=N$5,H577=N$6,H577=N$7,H577=N$8,H577=N$9,H577=N$10,H577=N$11,H577=N$12,H577=N$13,H577=N$14),SottocategorieEntrate[[#Headers],[Other]],""))))))))))))</f>
        <v/>
      </c>
      <c r="J577" t="str">
        <f>IF(OR(Dati[[#This Row],[Categoria]]="Bollette",Dati[[#This Row],[Categoria]]="Conto &amp; Carte BNL",Dati[[#This Row],[Categoria]]="Prelievo",Dati[[#This Row],[Categoria]]="Affitto",Dati[[#This Row],[Categoria]]="BNL(Interessi Creditori)"),"Carta",IF(Dati[[#This Row],[Categoria]]&lt;&gt;0,"Cash",""))</f>
        <v/>
      </c>
      <c r="K577" s="59" t="str">
        <f>IF(OR(Data!$I577=SottocategorieUscite[[#Headers],[Fuori Casa]],Data!$I577=SottocategorieUscite[[#Headers],[Varie Uscite]],Data!$I577=SottocategorieUscite[[#Headers],[Personali]],Data!$I577=SottocategorieUscite[[#Headers],[Lavoro]]),"$ -","")</f>
        <v/>
      </c>
      <c r="L577" s="59" t="str">
        <f>IF(OR(Data!$I577=SottocategorieUscite[[#Headers],[Casa]],Data!$I577=SottocategorieUscite[[#Headers],[Utenze]],Data!$I577=SottocategorieUscite[[#Headers],[Business Uscite]],Data!$I577=SottocategorieUscite[[#Headers],[Banca]]),"$ -","")</f>
        <v/>
      </c>
      <c r="M577" s="59" t="str">
        <f>IF(OR($I577&lt;&gt;SottocategorieUscite[[#Headers],[Fuori Casa]],$I577&lt;&gt;SottocategorieUscite[[#Headers],[Varie Uscite]],$I577&lt;&gt;SottocategorieUscite[[#Headers],[Personali]],$I577&lt;&gt;SottocategorieUscite[[#Headers],[Lavoro]],$I577&lt;&gt;SottocategorieUscite[[#Headers],[Casa]],$I577&lt;&gt;SottocategorieUscite[[#Headers],[Utenze]],$I577&lt;&gt;SottocategorieUscite[[#Headers],[Business Uscite]],$I577&lt;&gt;SottocategorieUscite[[#Headers],[Banca]]),"","$ -")</f>
        <v/>
      </c>
      <c r="N577" s="59" t="str">
        <f>IF(OR(Data!$I577=SottocategorieEntrate[[#Headers],[Business Entrate]],Data!$I577=SottocategorieEntrate[[#Headers],[Varie Entrate]]),"$ -","")</f>
        <v/>
      </c>
      <c r="O577" s="59" t="str">
        <f>IF(OR(Data!$I577=SottocategorieEntrate[[#Headers],[Real Estate]],SottocategorieEntrate[[#Headers],[Other]]),"$ -","")</f>
        <v/>
      </c>
      <c r="P577" s="59" t="str">
        <f>IF(OR($I577&lt;&gt;SottocategorieEntrate[[#Headers],[Business Entrate]],$I577&lt;&gt;SottocategorieEntrate[[#Headers],[Varie Entrate]],$I577&lt;&gt;SottocategorieEntrate[[#Headers],[Real Estate]],$I577&lt;&gt;SottocategorieEntrate[[#Headers],[Other]]),"","$ -")</f>
        <v/>
      </c>
      <c r="Q577" s="59" t="str">
        <f>IF(Dati[[#This Row],[Categoria]]="Prelievo","€ -","")</f>
        <v/>
      </c>
      <c r="R577" s="244"/>
      <c r="S577" s="59" t="str">
        <f>IF(Dati[[#This Row],[Categoria]]="Savings",0,"")</f>
        <v/>
      </c>
      <c r="T577" s="59"/>
      <c r="U577" s="59"/>
      <c r="V577" s="59"/>
      <c r="W577" s="59"/>
      <c r="X577" s="59"/>
      <c r="Y577" s="59"/>
      <c r="Z577" s="59"/>
      <c r="AA577" s="59"/>
      <c r="AB577" s="59"/>
      <c r="AC577" s="59"/>
      <c r="AD577" s="59"/>
      <c r="AE577" s="59"/>
      <c r="AF577" s="59"/>
      <c r="AG577" s="59"/>
      <c r="AH577" s="59"/>
      <c r="AI577" s="59" t="str">
        <f>IF(SUM(Dati[[#This Row],[Inv. Business]:[Inv. Cryptocurrency]])=0," ",SUM(Dati[[#This Row],[Inv. Business]:[Inv. Cryptocurrency]]))</f>
        <v xml:space="preserve"> </v>
      </c>
      <c r="AJ577" s="59"/>
      <c r="AK577" s="59" t="str">
        <f>IF(SUM(Dati[[#This Row],[Inv. Gold]:[Mutuo]])=0," ",SUM(Dati[[#This Row],[Inv. Gold]:[Mutuo]]))</f>
        <v xml:space="preserve"> </v>
      </c>
      <c r="AL577" s="59"/>
      <c r="AM577" s="59"/>
    </row>
    <row r="578" spans="2:39" x14ac:dyDescent="0.35">
      <c r="B578">
        <f t="shared" si="23"/>
        <v>558</v>
      </c>
      <c r="C578" s="49">
        <f>C575+1</f>
        <v>45365</v>
      </c>
      <c r="D578" s="29">
        <f>DAY(Dati[[#This Row],[Data]])</f>
        <v>14</v>
      </c>
      <c r="E578" s="29" t="str">
        <f>IF(DAY(Data!$C$21:$C$1327)&gt;0,TEXT(Data!$C$21:$C$1327, "mmmm"),"")</f>
        <v>marzo</v>
      </c>
      <c r="F578" s="29" t="str">
        <f>IF(DAY(Data!$C$21:$C$1327)&gt;0,TEXT(Data!$C$21:$C$1327, "aaaa"),"")</f>
        <v>2024</v>
      </c>
      <c r="I578" t="str">
        <f>IF(OR(H578=$B$5,H578=$B$6,H578=$B$7,H578=$B$8,H578=$B$9,H578=$B$10,H578=$B$11,H578=$B$12,H578=$B$13,H578=$B$14),SottocategorieUscite[[#Headers],[Fuori Casa]],IF(OR(H578=$C$5,H578=$C$6,H578=$C$7,H578=$C$8,H578=$C$9,H578=$C$10,H578=$C$11,H578=$C$12,H578=$C$13,H578=$C$14),SottocategorieUscite[[#Headers],[Varie Uscite]],IF(OR(H578=$D$5,H578=$D$6,H578=$D$7,H578=$D$8,H578=$D$9,H578=$D$10,H578=$D$11,H578=$D$12,H578=$D$13,H578=$D$14),SottocategorieUscite[[#Headers],[Personali]],IF(OR(H578=$E$5,H578=$E$6,H578=$E$7,H578=$E$8,H578=$E$9,H578=$E$10,H578=$E$11,H578=$E$12,H578=$E$13,H578=$E$14),SottocategorieUscite[[#Headers],[Lavoro]],IF(OR(H578=$F$5,H578=$F$6,H578=$F$7,H578=$F$8,H578=$F$9,H578=$F$10,H578=$F$11,H578=$F$12,H578=$F$13,H578=$F$14),SottocategorieUscite[[#Headers],[Casa]],IF(OR(H578=$G$5,H578=$G$6,H578=$G$7,H578=$G$8,H578=$G$9,H578=$G$10,H578=$G$11,H578=$G$12,H578=$G$13,H578=$G$14),SottocategorieUscite[[#Headers],[Utenze]],IF(OR(H578=$H$5,H578=$H$6,H578=$H$7,H578=$H$8,H578=$H$9,H578=$H$10,H578=$H$11,H578=$H$12,H578=$H$13,H578=$H$14),SottocategorieUscite[[#Headers],[Business Uscite]],IF(OR(H578=$I$5,H578=$I$6,H578=$I$7,H578=$I$8,H578=$I$9,H578=$I$10,H578=$I$11,H578=$I$12,H578=$I$13,H578=$I$14),SottocategorieUscite[[#Headers],[Banca]],IF(OR(H578=K$5,H578=K$6,H578=K$7,H578=K$8,H578=K$9,H578=K$10,H578=K$11,H578=K$12,H578=K$13,H578=K$14),SottocategorieEntrate[[#Headers],[Business Entrate]],IF(OR(H578=L$5,H578=L$6,H578=L$7,H578=L$8,H578=L$9,H578=L$10,H578=L$11,H578=L$12,H578=L$13,H578=L$14),SottocategorieEntrate[[#Headers],[Varie Entrate]],IF(OR(H578=M$5,H578=M$6,H578=M$7,H578=M$8,H578=M$9,H578=M$10,H578=M$11,H578=M$12,H578=M$13,H578=M$14),SottocategorieEntrate[[#Headers],[Real Estate]],IF(OR(H578=N$5,H578=N$6,H578=N$7,H578=N$8,H578=N$9,H578=N$10,H578=N$11,H578=N$12,H578=N$13,H578=N$14),SottocategorieEntrate[[#Headers],[Other]],""))))))))))))</f>
        <v/>
      </c>
      <c r="J578" t="str">
        <f>IF(OR(Dati[[#This Row],[Categoria]]="Bollette",Dati[[#This Row],[Categoria]]="Conto &amp; Carte BNL",Dati[[#This Row],[Categoria]]="Prelievo",Dati[[#This Row],[Categoria]]="Affitto",Dati[[#This Row],[Categoria]]="BNL(Interessi Creditori)"),"Carta",IF(Dati[[#This Row],[Categoria]]&lt;&gt;0,"Cash",""))</f>
        <v/>
      </c>
      <c r="K578" s="59" t="str">
        <f>IF(OR(Data!$I578=SottocategorieUscite[[#Headers],[Fuori Casa]],Data!$I578=SottocategorieUscite[[#Headers],[Varie Uscite]],Data!$I578=SottocategorieUscite[[#Headers],[Personali]],Data!$I578=SottocategorieUscite[[#Headers],[Lavoro]]),"$ -","")</f>
        <v/>
      </c>
      <c r="L578" s="59" t="str">
        <f>IF(OR(Data!$I578=SottocategorieUscite[[#Headers],[Casa]],Data!$I578=SottocategorieUscite[[#Headers],[Utenze]],Data!$I578=SottocategorieUscite[[#Headers],[Business Uscite]],Data!$I578=SottocategorieUscite[[#Headers],[Banca]]),"$ -","")</f>
        <v/>
      </c>
      <c r="M578" s="59" t="str">
        <f>IF(OR($I578&lt;&gt;SottocategorieUscite[[#Headers],[Fuori Casa]],$I578&lt;&gt;SottocategorieUscite[[#Headers],[Varie Uscite]],$I578&lt;&gt;SottocategorieUscite[[#Headers],[Personali]],$I578&lt;&gt;SottocategorieUscite[[#Headers],[Lavoro]],$I578&lt;&gt;SottocategorieUscite[[#Headers],[Casa]],$I578&lt;&gt;SottocategorieUscite[[#Headers],[Utenze]],$I578&lt;&gt;SottocategorieUscite[[#Headers],[Business Uscite]],$I578&lt;&gt;SottocategorieUscite[[#Headers],[Banca]]),"","$ -")</f>
        <v/>
      </c>
      <c r="N578" s="59" t="str">
        <f>IF(OR(Data!$I578=SottocategorieEntrate[[#Headers],[Business Entrate]],Data!$I578=SottocategorieEntrate[[#Headers],[Varie Entrate]]),"$ -","")</f>
        <v/>
      </c>
      <c r="O578" s="59" t="str">
        <f>IF(OR(Data!$I578=SottocategorieEntrate[[#Headers],[Real Estate]],SottocategorieEntrate[[#Headers],[Other]]),"$ -","")</f>
        <v/>
      </c>
      <c r="P578" s="59" t="str">
        <f>IF(OR($I578&lt;&gt;SottocategorieEntrate[[#Headers],[Business Entrate]],$I578&lt;&gt;SottocategorieEntrate[[#Headers],[Varie Entrate]],$I578&lt;&gt;SottocategorieEntrate[[#Headers],[Real Estate]],$I578&lt;&gt;SottocategorieEntrate[[#Headers],[Other]]),"","$ -")</f>
        <v/>
      </c>
      <c r="Q578" s="59" t="str">
        <f>IF(Dati[[#This Row],[Categoria]]="Prelievo","€ -","")</f>
        <v/>
      </c>
      <c r="R578" s="244"/>
      <c r="S578" s="59" t="str">
        <f>IF(Dati[[#This Row],[Categoria]]="Savings",0,"")</f>
        <v/>
      </c>
      <c r="T578" s="59"/>
      <c r="U578" s="59"/>
      <c r="V578" s="59"/>
      <c r="W578" s="59"/>
      <c r="X578" s="59"/>
      <c r="Y578" s="59"/>
      <c r="Z578" s="59"/>
      <c r="AA578" s="59"/>
      <c r="AB578" s="59"/>
      <c r="AC578" s="59"/>
      <c r="AD578" s="59"/>
      <c r="AE578" s="59"/>
      <c r="AF578" s="59"/>
      <c r="AG578" s="59"/>
      <c r="AH578" s="59"/>
      <c r="AI578" s="59" t="str">
        <f>IF(SUM(Dati[[#This Row],[Inv. Business]:[Inv. Cryptocurrency]])=0," ",SUM(Dati[[#This Row],[Inv. Business]:[Inv. Cryptocurrency]]))</f>
        <v xml:space="preserve"> </v>
      </c>
      <c r="AJ578" s="59"/>
      <c r="AK578" s="59" t="str">
        <f>IF(SUM(Dati[[#This Row],[Inv. Gold]:[Mutuo]])=0," ",SUM(Dati[[#This Row],[Inv. Gold]:[Mutuo]]))</f>
        <v xml:space="preserve"> </v>
      </c>
      <c r="AL578" s="59"/>
      <c r="AM578" s="59"/>
    </row>
    <row r="579" spans="2:39" x14ac:dyDescent="0.35">
      <c r="B579">
        <f t="shared" si="23"/>
        <v>559</v>
      </c>
      <c r="C579" s="49">
        <f>C577+1</f>
        <v>45365</v>
      </c>
      <c r="D579" s="29">
        <f>DAY(Dati[[#This Row],[Data]])</f>
        <v>14</v>
      </c>
      <c r="E579" s="29" t="str">
        <f>IF(DAY(Data!$C$21:$C$1327)&gt;0,TEXT(Data!$C$21:$C$1327, "mmmm"),"")</f>
        <v>marzo</v>
      </c>
      <c r="F579" s="29" t="str">
        <f>IF(DAY(Data!$C$21:$C$1327)&gt;0,TEXT(Data!$C$21:$C$1327, "aaaa"),"")</f>
        <v>2024</v>
      </c>
      <c r="I579" t="str">
        <f>IF(OR(H579=$B$5,H579=$B$6,H579=$B$7,H579=$B$8,H579=$B$9,H579=$B$10,H579=$B$11,H579=$B$12,H579=$B$13,H579=$B$14),SottocategorieUscite[[#Headers],[Fuori Casa]],IF(OR(H579=$C$5,H579=$C$6,H579=$C$7,H579=$C$8,H579=$C$9,H579=$C$10,H579=$C$11,H579=$C$12,H579=$C$13,H579=$C$14),SottocategorieUscite[[#Headers],[Varie Uscite]],IF(OR(H579=$D$5,H579=$D$6,H579=$D$7,H579=$D$8,H579=$D$9,H579=$D$10,H579=$D$11,H579=$D$12,H579=$D$13,H579=$D$14),SottocategorieUscite[[#Headers],[Personali]],IF(OR(H579=$E$5,H579=$E$6,H579=$E$7,H579=$E$8,H579=$E$9,H579=$E$10,H579=$E$11,H579=$E$12,H579=$E$13,H579=$E$14),SottocategorieUscite[[#Headers],[Lavoro]],IF(OR(H579=$F$5,H579=$F$6,H579=$F$7,H579=$F$8,H579=$F$9,H579=$F$10,H579=$F$11,H579=$F$12,H579=$F$13,H579=$F$14),SottocategorieUscite[[#Headers],[Casa]],IF(OR(H579=$G$5,H579=$G$6,H579=$G$7,H579=$G$8,H579=$G$9,H579=$G$10,H579=$G$11,H579=$G$12,H579=$G$13,H579=$G$14),SottocategorieUscite[[#Headers],[Utenze]],IF(OR(H579=$H$5,H579=$H$6,H579=$H$7,H579=$H$8,H579=$H$9,H579=$H$10,H579=$H$11,H579=$H$12,H579=$H$13,H579=$H$14),SottocategorieUscite[[#Headers],[Business Uscite]],IF(OR(H579=$I$5,H579=$I$6,H579=$I$7,H579=$I$8,H579=$I$9,H579=$I$10,H579=$I$11,H579=$I$12,H579=$I$13,H579=$I$14),SottocategorieUscite[[#Headers],[Banca]],IF(OR(H579=K$5,H579=K$6,H579=K$7,H579=K$8,H579=K$9,H579=K$10,H579=K$11,H579=K$12,H579=K$13,H579=K$14),SottocategorieEntrate[[#Headers],[Business Entrate]],IF(OR(H579=L$5,H579=L$6,H579=L$7,H579=L$8,H579=L$9,H579=L$10,H579=L$11,H579=L$12,H579=L$13,H579=L$14),SottocategorieEntrate[[#Headers],[Varie Entrate]],IF(OR(H579=M$5,H579=M$6,H579=M$7,H579=M$8,H579=M$9,H579=M$10,H579=M$11,H579=M$12,H579=M$13,H579=M$14),SottocategorieEntrate[[#Headers],[Real Estate]],IF(OR(H579=N$5,H579=N$6,H579=N$7,H579=N$8,H579=N$9,H579=N$10,H579=N$11,H579=N$12,H579=N$13,H579=N$14),SottocategorieEntrate[[#Headers],[Other]],""))))))))))))</f>
        <v/>
      </c>
      <c r="J579" t="str">
        <f>IF(OR(Dati[[#This Row],[Categoria]]="Bollette",Dati[[#This Row],[Categoria]]="Conto &amp; Carte BNL",Dati[[#This Row],[Categoria]]="Prelievo",Dati[[#This Row],[Categoria]]="Affitto",Dati[[#This Row],[Categoria]]="BNL(Interessi Creditori)"),"Carta",IF(Dati[[#This Row],[Categoria]]&lt;&gt;0,"Cash",""))</f>
        <v/>
      </c>
      <c r="K579" s="59" t="str">
        <f>IF(OR(Data!$I579=SottocategorieUscite[[#Headers],[Fuori Casa]],Data!$I579=SottocategorieUscite[[#Headers],[Varie Uscite]],Data!$I579=SottocategorieUscite[[#Headers],[Personali]],Data!$I579=SottocategorieUscite[[#Headers],[Lavoro]]),"$ -","")</f>
        <v/>
      </c>
      <c r="L579" s="59" t="str">
        <f>IF(OR(Data!$I579=SottocategorieUscite[[#Headers],[Casa]],Data!$I579=SottocategorieUscite[[#Headers],[Utenze]],Data!$I579=SottocategorieUscite[[#Headers],[Business Uscite]],Data!$I579=SottocategorieUscite[[#Headers],[Banca]]),"$ -","")</f>
        <v/>
      </c>
      <c r="M579" s="59" t="str">
        <f>IF(OR($I579&lt;&gt;SottocategorieUscite[[#Headers],[Fuori Casa]],$I579&lt;&gt;SottocategorieUscite[[#Headers],[Varie Uscite]],$I579&lt;&gt;SottocategorieUscite[[#Headers],[Personali]],$I579&lt;&gt;SottocategorieUscite[[#Headers],[Lavoro]],$I579&lt;&gt;SottocategorieUscite[[#Headers],[Casa]],$I579&lt;&gt;SottocategorieUscite[[#Headers],[Utenze]],$I579&lt;&gt;SottocategorieUscite[[#Headers],[Business Uscite]],$I579&lt;&gt;SottocategorieUscite[[#Headers],[Banca]]),"","$ -")</f>
        <v/>
      </c>
      <c r="N579" s="59" t="str">
        <f>IF(OR(Data!$I579=SottocategorieEntrate[[#Headers],[Business Entrate]],Data!$I579=SottocategorieEntrate[[#Headers],[Varie Entrate]]),"$ -","")</f>
        <v/>
      </c>
      <c r="O579" s="59" t="str">
        <f>IF(OR(Data!$I579=SottocategorieEntrate[[#Headers],[Real Estate]],SottocategorieEntrate[[#Headers],[Other]]),"$ -","")</f>
        <v/>
      </c>
      <c r="P579" s="59" t="str">
        <f>IF(OR($I579&lt;&gt;SottocategorieEntrate[[#Headers],[Business Entrate]],$I579&lt;&gt;SottocategorieEntrate[[#Headers],[Varie Entrate]],$I579&lt;&gt;SottocategorieEntrate[[#Headers],[Real Estate]],$I579&lt;&gt;SottocategorieEntrate[[#Headers],[Other]]),"","$ -")</f>
        <v/>
      </c>
      <c r="Q579" s="59" t="str">
        <f>IF(Dati[[#This Row],[Categoria]]="Prelievo","€ -","")</f>
        <v/>
      </c>
      <c r="R579" s="244"/>
      <c r="S579" s="59" t="str">
        <f>IF(Dati[[#This Row],[Categoria]]="Savings",0,"")</f>
        <v/>
      </c>
      <c r="T579" s="59"/>
      <c r="U579" s="59"/>
      <c r="V579" s="59"/>
      <c r="W579" s="59"/>
      <c r="X579" s="59"/>
      <c r="Y579" s="59"/>
      <c r="Z579" s="59"/>
      <c r="AA579" s="59"/>
      <c r="AB579" s="59"/>
      <c r="AC579" s="59"/>
      <c r="AD579" s="59"/>
      <c r="AE579" s="59"/>
      <c r="AF579" s="59"/>
      <c r="AG579" s="59"/>
      <c r="AH579" s="59"/>
      <c r="AI579" s="59" t="str">
        <f>IF(SUM(Dati[[#This Row],[Inv. Business]:[Inv. Cryptocurrency]])=0," ",SUM(Dati[[#This Row],[Inv. Business]:[Inv. Cryptocurrency]]))</f>
        <v xml:space="preserve"> </v>
      </c>
      <c r="AJ579" s="59"/>
      <c r="AK579" s="59" t="str">
        <f>IF(SUM(Dati[[#This Row],[Inv. Gold]:[Mutuo]])=0," ",SUM(Dati[[#This Row],[Inv. Gold]:[Mutuo]]))</f>
        <v xml:space="preserve"> </v>
      </c>
      <c r="AL579" s="59"/>
      <c r="AM579" s="59"/>
    </row>
    <row r="580" spans="2:39" x14ac:dyDescent="0.35">
      <c r="B580">
        <f t="shared" si="23"/>
        <v>560</v>
      </c>
      <c r="C580" s="49">
        <f>C577+1</f>
        <v>45365</v>
      </c>
      <c r="D580" s="29">
        <f>DAY(Dati[[#This Row],[Data]])</f>
        <v>14</v>
      </c>
      <c r="E580" s="29" t="str">
        <f>IF(DAY(Data!$C$21:$C$1327)&gt;0,TEXT(Data!$C$21:$C$1327, "mmmm"),"")</f>
        <v>marzo</v>
      </c>
      <c r="F580" s="29" t="str">
        <f>IF(DAY(Data!$C$21:$C$1327)&gt;0,TEXT(Data!$C$21:$C$1327, "aaaa"),"")</f>
        <v>2024</v>
      </c>
      <c r="I580" t="str">
        <f>IF(OR(H580=$B$5,H580=$B$6,H580=$B$7,H580=$B$8,H580=$B$9,H580=$B$10,H580=$B$11,H580=$B$12,H580=$B$13,H580=$B$14),SottocategorieUscite[[#Headers],[Fuori Casa]],IF(OR(H580=$C$5,H580=$C$6,H580=$C$7,H580=$C$8,H580=$C$9,H580=$C$10,H580=$C$11,H580=$C$12,H580=$C$13,H580=$C$14),SottocategorieUscite[[#Headers],[Varie Uscite]],IF(OR(H580=$D$5,H580=$D$6,H580=$D$7,H580=$D$8,H580=$D$9,H580=$D$10,H580=$D$11,H580=$D$12,H580=$D$13,H580=$D$14),SottocategorieUscite[[#Headers],[Personali]],IF(OR(H580=$E$5,H580=$E$6,H580=$E$7,H580=$E$8,H580=$E$9,H580=$E$10,H580=$E$11,H580=$E$12,H580=$E$13,H580=$E$14),SottocategorieUscite[[#Headers],[Lavoro]],IF(OR(H580=$F$5,H580=$F$6,H580=$F$7,H580=$F$8,H580=$F$9,H580=$F$10,H580=$F$11,H580=$F$12,H580=$F$13,H580=$F$14),SottocategorieUscite[[#Headers],[Casa]],IF(OR(H580=$G$5,H580=$G$6,H580=$G$7,H580=$G$8,H580=$G$9,H580=$G$10,H580=$G$11,H580=$G$12,H580=$G$13,H580=$G$14),SottocategorieUscite[[#Headers],[Utenze]],IF(OR(H580=$H$5,H580=$H$6,H580=$H$7,H580=$H$8,H580=$H$9,H580=$H$10,H580=$H$11,H580=$H$12,H580=$H$13,H580=$H$14),SottocategorieUscite[[#Headers],[Business Uscite]],IF(OR(H580=$I$5,H580=$I$6,H580=$I$7,H580=$I$8,H580=$I$9,H580=$I$10,H580=$I$11,H580=$I$12,H580=$I$13,H580=$I$14),SottocategorieUscite[[#Headers],[Banca]],IF(OR(H580=K$5,H580=K$6,H580=K$7,H580=K$8,H580=K$9,H580=K$10,H580=K$11,H580=K$12,H580=K$13,H580=K$14),SottocategorieEntrate[[#Headers],[Business Entrate]],IF(OR(H580=L$5,H580=L$6,H580=L$7,H580=L$8,H580=L$9,H580=L$10,H580=L$11,H580=L$12,H580=L$13,H580=L$14),SottocategorieEntrate[[#Headers],[Varie Entrate]],IF(OR(H580=M$5,H580=M$6,H580=M$7,H580=M$8,H580=M$9,H580=M$10,H580=M$11,H580=M$12,H580=M$13,H580=M$14),SottocategorieEntrate[[#Headers],[Real Estate]],IF(OR(H580=N$5,H580=N$6,H580=N$7,H580=N$8,H580=N$9,H580=N$10,H580=N$11,H580=N$12,H580=N$13,H580=N$14),SottocategorieEntrate[[#Headers],[Other]],""))))))))))))</f>
        <v/>
      </c>
      <c r="J580" t="str">
        <f>IF(OR(Dati[[#This Row],[Categoria]]="Bollette",Dati[[#This Row],[Categoria]]="Conto &amp; Carte BNL",Dati[[#This Row],[Categoria]]="Prelievo",Dati[[#This Row],[Categoria]]="Affitto",Dati[[#This Row],[Categoria]]="BNL(Interessi Creditori)"),"Carta",IF(Dati[[#This Row],[Categoria]]&lt;&gt;0,"Cash",""))</f>
        <v/>
      </c>
      <c r="K580" s="59" t="str">
        <f>IF(OR(Data!$I580=SottocategorieUscite[[#Headers],[Fuori Casa]],Data!$I580=SottocategorieUscite[[#Headers],[Varie Uscite]],Data!$I580=SottocategorieUscite[[#Headers],[Personali]],Data!$I580=SottocategorieUscite[[#Headers],[Lavoro]]),"$ -","")</f>
        <v/>
      </c>
      <c r="L580" s="59" t="str">
        <f>IF(OR(Data!$I580=SottocategorieUscite[[#Headers],[Casa]],Data!$I580=SottocategorieUscite[[#Headers],[Utenze]],Data!$I580=SottocategorieUscite[[#Headers],[Business Uscite]],Data!$I580=SottocategorieUscite[[#Headers],[Banca]]),"$ -","")</f>
        <v/>
      </c>
      <c r="M580" s="59" t="str">
        <f>IF(OR($I580&lt;&gt;SottocategorieUscite[[#Headers],[Fuori Casa]],$I580&lt;&gt;SottocategorieUscite[[#Headers],[Varie Uscite]],$I580&lt;&gt;SottocategorieUscite[[#Headers],[Personali]],$I580&lt;&gt;SottocategorieUscite[[#Headers],[Lavoro]],$I580&lt;&gt;SottocategorieUscite[[#Headers],[Casa]],$I580&lt;&gt;SottocategorieUscite[[#Headers],[Utenze]],$I580&lt;&gt;SottocategorieUscite[[#Headers],[Business Uscite]],$I580&lt;&gt;SottocategorieUscite[[#Headers],[Banca]]),"","$ -")</f>
        <v/>
      </c>
      <c r="N580" s="59" t="str">
        <f>IF(OR(Data!$I580=SottocategorieEntrate[[#Headers],[Business Entrate]],Data!$I580=SottocategorieEntrate[[#Headers],[Varie Entrate]]),"$ -","")</f>
        <v/>
      </c>
      <c r="O580" s="59" t="str">
        <f>IF(OR(Data!$I580=SottocategorieEntrate[[#Headers],[Real Estate]],SottocategorieEntrate[[#Headers],[Other]]),"$ -","")</f>
        <v/>
      </c>
      <c r="P580" s="59" t="str">
        <f>IF(OR($I580&lt;&gt;SottocategorieEntrate[[#Headers],[Business Entrate]],$I580&lt;&gt;SottocategorieEntrate[[#Headers],[Varie Entrate]],$I580&lt;&gt;SottocategorieEntrate[[#Headers],[Real Estate]],$I580&lt;&gt;SottocategorieEntrate[[#Headers],[Other]]),"","$ -")</f>
        <v/>
      </c>
      <c r="Q580" s="59" t="str">
        <f>IF(Dati[[#This Row],[Categoria]]="Prelievo","€ -","")</f>
        <v/>
      </c>
      <c r="R580" s="244"/>
      <c r="S580" s="59" t="str">
        <f>IF(Dati[[#This Row],[Categoria]]="Savings",0,"")</f>
        <v/>
      </c>
      <c r="T580" s="59"/>
      <c r="U580" s="59"/>
      <c r="V580" s="59"/>
      <c r="W580" s="59"/>
      <c r="X580" s="59"/>
      <c r="Y580" s="59"/>
      <c r="Z580" s="59"/>
      <c r="AA580" s="59"/>
      <c r="AB580" s="59"/>
      <c r="AC580" s="59"/>
      <c r="AD580" s="59"/>
      <c r="AE580" s="59"/>
      <c r="AF580" s="59"/>
      <c r="AG580" s="59"/>
      <c r="AH580" s="59"/>
      <c r="AI580" s="59" t="str">
        <f>IF(SUM(Dati[[#This Row],[Inv. Business]:[Inv. Cryptocurrency]])=0," ",SUM(Dati[[#This Row],[Inv. Business]:[Inv. Cryptocurrency]]))</f>
        <v xml:space="preserve"> </v>
      </c>
      <c r="AJ580" s="59"/>
      <c r="AK580" s="59" t="str">
        <f>IF(SUM(Dati[[#This Row],[Inv. Gold]:[Mutuo]])=0," ",SUM(Dati[[#This Row],[Inv. Gold]:[Mutuo]]))</f>
        <v xml:space="preserve"> </v>
      </c>
      <c r="AL580" s="59"/>
      <c r="AM580" s="59"/>
    </row>
    <row r="581" spans="2:39" x14ac:dyDescent="0.35">
      <c r="B581">
        <f t="shared" si="23"/>
        <v>561</v>
      </c>
      <c r="C581" s="49">
        <f>C578+1</f>
        <v>45366</v>
      </c>
      <c r="D581" s="29">
        <f>DAY(Dati[[#This Row],[Data]])</f>
        <v>15</v>
      </c>
      <c r="E581" s="29" t="str">
        <f>IF(DAY(Data!$C$21:$C$1327)&gt;0,TEXT(Data!$C$21:$C$1327, "mmmm"),"")</f>
        <v>marzo</v>
      </c>
      <c r="F581" s="29" t="str">
        <f>IF(DAY(Data!$C$21:$C$1327)&gt;0,TEXT(Data!$C$21:$C$1327, "aaaa"),"")</f>
        <v>2024</v>
      </c>
      <c r="I581" t="str">
        <f>IF(OR(H581=$B$5,H581=$B$6,H581=$B$7,H581=$B$8,H581=$B$9,H581=$B$10,H581=$B$11,H581=$B$12,H581=$B$13,H581=$B$14),SottocategorieUscite[[#Headers],[Fuori Casa]],IF(OR(H581=$C$5,H581=$C$6,H581=$C$7,H581=$C$8,H581=$C$9,H581=$C$10,H581=$C$11,H581=$C$12,H581=$C$13,H581=$C$14),SottocategorieUscite[[#Headers],[Varie Uscite]],IF(OR(H581=$D$5,H581=$D$6,H581=$D$7,H581=$D$8,H581=$D$9,H581=$D$10,H581=$D$11,H581=$D$12,H581=$D$13,H581=$D$14),SottocategorieUscite[[#Headers],[Personali]],IF(OR(H581=$E$5,H581=$E$6,H581=$E$7,H581=$E$8,H581=$E$9,H581=$E$10,H581=$E$11,H581=$E$12,H581=$E$13,H581=$E$14),SottocategorieUscite[[#Headers],[Lavoro]],IF(OR(H581=$F$5,H581=$F$6,H581=$F$7,H581=$F$8,H581=$F$9,H581=$F$10,H581=$F$11,H581=$F$12,H581=$F$13,H581=$F$14),SottocategorieUscite[[#Headers],[Casa]],IF(OR(H581=$G$5,H581=$G$6,H581=$G$7,H581=$G$8,H581=$G$9,H581=$G$10,H581=$G$11,H581=$G$12,H581=$G$13,H581=$G$14),SottocategorieUscite[[#Headers],[Utenze]],IF(OR(H581=$H$5,H581=$H$6,H581=$H$7,H581=$H$8,H581=$H$9,H581=$H$10,H581=$H$11,H581=$H$12,H581=$H$13,H581=$H$14),SottocategorieUscite[[#Headers],[Business Uscite]],IF(OR(H581=$I$5,H581=$I$6,H581=$I$7,H581=$I$8,H581=$I$9,H581=$I$10,H581=$I$11,H581=$I$12,H581=$I$13,H581=$I$14),SottocategorieUscite[[#Headers],[Banca]],IF(OR(H581=K$5,H581=K$6,H581=K$7,H581=K$8,H581=K$9,H581=K$10,H581=K$11,H581=K$12,H581=K$13,H581=K$14),SottocategorieEntrate[[#Headers],[Business Entrate]],IF(OR(H581=L$5,H581=L$6,H581=L$7,H581=L$8,H581=L$9,H581=L$10,H581=L$11,H581=L$12,H581=L$13,H581=L$14),SottocategorieEntrate[[#Headers],[Varie Entrate]],IF(OR(H581=M$5,H581=M$6,H581=M$7,H581=M$8,H581=M$9,H581=M$10,H581=M$11,H581=M$12,H581=M$13,H581=M$14),SottocategorieEntrate[[#Headers],[Real Estate]],IF(OR(H581=N$5,H581=N$6,H581=N$7,H581=N$8,H581=N$9,H581=N$10,H581=N$11,H581=N$12,H581=N$13,H581=N$14),SottocategorieEntrate[[#Headers],[Other]],""))))))))))))</f>
        <v/>
      </c>
      <c r="J581" t="str">
        <f>IF(OR(Dati[[#This Row],[Categoria]]="Bollette",Dati[[#This Row],[Categoria]]="Conto &amp; Carte BNL",Dati[[#This Row],[Categoria]]="Prelievo",Dati[[#This Row],[Categoria]]="Affitto",Dati[[#This Row],[Categoria]]="BNL(Interessi Creditori)"),"Carta",IF(Dati[[#This Row],[Categoria]]&lt;&gt;0,"Cash",""))</f>
        <v/>
      </c>
      <c r="K581" s="59" t="str">
        <f>IF(OR(Data!$I581=SottocategorieUscite[[#Headers],[Fuori Casa]],Data!$I581=SottocategorieUscite[[#Headers],[Varie Uscite]],Data!$I581=SottocategorieUscite[[#Headers],[Personali]],Data!$I581=SottocategorieUscite[[#Headers],[Lavoro]]),"$ -","")</f>
        <v/>
      </c>
      <c r="L581" s="59" t="str">
        <f>IF(OR(Data!$I581=SottocategorieUscite[[#Headers],[Casa]],Data!$I581=SottocategorieUscite[[#Headers],[Utenze]],Data!$I581=SottocategorieUscite[[#Headers],[Business Uscite]],Data!$I581=SottocategorieUscite[[#Headers],[Banca]]),"$ -","")</f>
        <v/>
      </c>
      <c r="M581" s="59" t="str">
        <f>IF(OR($I581&lt;&gt;SottocategorieUscite[[#Headers],[Fuori Casa]],$I581&lt;&gt;SottocategorieUscite[[#Headers],[Varie Uscite]],$I581&lt;&gt;SottocategorieUscite[[#Headers],[Personali]],$I581&lt;&gt;SottocategorieUscite[[#Headers],[Lavoro]],$I581&lt;&gt;SottocategorieUscite[[#Headers],[Casa]],$I581&lt;&gt;SottocategorieUscite[[#Headers],[Utenze]],$I581&lt;&gt;SottocategorieUscite[[#Headers],[Business Uscite]],$I581&lt;&gt;SottocategorieUscite[[#Headers],[Banca]]),"","$ -")</f>
        <v/>
      </c>
      <c r="N581" s="59" t="str">
        <f>IF(OR(Data!$I581=SottocategorieEntrate[[#Headers],[Business Entrate]],Data!$I581=SottocategorieEntrate[[#Headers],[Varie Entrate]]),"$ -","")</f>
        <v/>
      </c>
      <c r="O581" s="59" t="str">
        <f>IF(OR(Data!$I581=SottocategorieEntrate[[#Headers],[Real Estate]],SottocategorieEntrate[[#Headers],[Other]]),"$ -","")</f>
        <v/>
      </c>
      <c r="P581" s="59" t="str">
        <f>IF(OR($I581&lt;&gt;SottocategorieEntrate[[#Headers],[Business Entrate]],$I581&lt;&gt;SottocategorieEntrate[[#Headers],[Varie Entrate]],$I581&lt;&gt;SottocategorieEntrate[[#Headers],[Real Estate]],$I581&lt;&gt;SottocategorieEntrate[[#Headers],[Other]]),"","$ -")</f>
        <v/>
      </c>
      <c r="Q581" s="59" t="str">
        <f>IF(Dati[[#This Row],[Categoria]]="Prelievo","€ -","")</f>
        <v/>
      </c>
      <c r="R581" s="244"/>
      <c r="S581" s="59" t="str">
        <f>IF(Dati[[#This Row],[Categoria]]="Savings",0,"")</f>
        <v/>
      </c>
      <c r="T581" s="59"/>
      <c r="U581" s="59"/>
      <c r="V581" s="59"/>
      <c r="W581" s="59"/>
      <c r="X581" s="59"/>
      <c r="Y581" s="59"/>
      <c r="Z581" s="59"/>
      <c r="AA581" s="59"/>
      <c r="AB581" s="59"/>
      <c r="AC581" s="59"/>
      <c r="AD581" s="59"/>
      <c r="AE581" s="59"/>
      <c r="AF581" s="59"/>
      <c r="AG581" s="59"/>
      <c r="AH581" s="59"/>
      <c r="AI581" s="59" t="str">
        <f>IF(SUM(Dati[[#This Row],[Inv. Business]:[Inv. Cryptocurrency]])=0," ",SUM(Dati[[#This Row],[Inv. Business]:[Inv. Cryptocurrency]]))</f>
        <v xml:space="preserve"> </v>
      </c>
      <c r="AJ581" s="59"/>
      <c r="AK581" s="59" t="str">
        <f>IF(SUM(Dati[[#This Row],[Inv. Gold]:[Mutuo]])=0," ",SUM(Dati[[#This Row],[Inv. Gold]:[Mutuo]]))</f>
        <v xml:space="preserve"> </v>
      </c>
      <c r="AL581" s="59"/>
      <c r="AM581" s="59"/>
    </row>
    <row r="582" spans="2:39" x14ac:dyDescent="0.35">
      <c r="B582">
        <f t="shared" si="23"/>
        <v>562</v>
      </c>
      <c r="C582" s="49">
        <f>C580+1</f>
        <v>45366</v>
      </c>
      <c r="D582" s="29">
        <f>DAY(Dati[[#This Row],[Data]])</f>
        <v>15</v>
      </c>
      <c r="E582" s="29" t="str">
        <f>IF(DAY(Data!$C$21:$C$1327)&gt;0,TEXT(Data!$C$21:$C$1327, "mmmm"),"")</f>
        <v>marzo</v>
      </c>
      <c r="F582" s="29" t="str">
        <f>IF(DAY(Data!$C$21:$C$1327)&gt;0,TEXT(Data!$C$21:$C$1327, "aaaa"),"")</f>
        <v>2024</v>
      </c>
      <c r="I582" t="str">
        <f>IF(OR(H582=$B$5,H582=$B$6,H582=$B$7,H582=$B$8,H582=$B$9,H582=$B$10,H582=$B$11,H582=$B$12,H582=$B$13,H582=$B$14),SottocategorieUscite[[#Headers],[Fuori Casa]],IF(OR(H582=$C$5,H582=$C$6,H582=$C$7,H582=$C$8,H582=$C$9,H582=$C$10,H582=$C$11,H582=$C$12,H582=$C$13,H582=$C$14),SottocategorieUscite[[#Headers],[Varie Uscite]],IF(OR(H582=$D$5,H582=$D$6,H582=$D$7,H582=$D$8,H582=$D$9,H582=$D$10,H582=$D$11,H582=$D$12,H582=$D$13,H582=$D$14),SottocategorieUscite[[#Headers],[Personali]],IF(OR(H582=$E$5,H582=$E$6,H582=$E$7,H582=$E$8,H582=$E$9,H582=$E$10,H582=$E$11,H582=$E$12,H582=$E$13,H582=$E$14),SottocategorieUscite[[#Headers],[Lavoro]],IF(OR(H582=$F$5,H582=$F$6,H582=$F$7,H582=$F$8,H582=$F$9,H582=$F$10,H582=$F$11,H582=$F$12,H582=$F$13,H582=$F$14),SottocategorieUscite[[#Headers],[Casa]],IF(OR(H582=$G$5,H582=$G$6,H582=$G$7,H582=$G$8,H582=$G$9,H582=$G$10,H582=$G$11,H582=$G$12,H582=$G$13,H582=$G$14),SottocategorieUscite[[#Headers],[Utenze]],IF(OR(H582=$H$5,H582=$H$6,H582=$H$7,H582=$H$8,H582=$H$9,H582=$H$10,H582=$H$11,H582=$H$12,H582=$H$13,H582=$H$14),SottocategorieUscite[[#Headers],[Business Uscite]],IF(OR(H582=$I$5,H582=$I$6,H582=$I$7,H582=$I$8,H582=$I$9,H582=$I$10,H582=$I$11,H582=$I$12,H582=$I$13,H582=$I$14),SottocategorieUscite[[#Headers],[Banca]],IF(OR(H582=K$5,H582=K$6,H582=K$7,H582=K$8,H582=K$9,H582=K$10,H582=K$11,H582=K$12,H582=K$13,H582=K$14),SottocategorieEntrate[[#Headers],[Business Entrate]],IF(OR(H582=L$5,H582=L$6,H582=L$7,H582=L$8,H582=L$9,H582=L$10,H582=L$11,H582=L$12,H582=L$13,H582=L$14),SottocategorieEntrate[[#Headers],[Varie Entrate]],IF(OR(H582=M$5,H582=M$6,H582=M$7,H582=M$8,H582=M$9,H582=M$10,H582=M$11,H582=M$12,H582=M$13,H582=M$14),SottocategorieEntrate[[#Headers],[Real Estate]],IF(OR(H582=N$5,H582=N$6,H582=N$7,H582=N$8,H582=N$9,H582=N$10,H582=N$11,H582=N$12,H582=N$13,H582=N$14),SottocategorieEntrate[[#Headers],[Other]],""))))))))))))</f>
        <v/>
      </c>
      <c r="J582" t="str">
        <f>IF(OR(Dati[[#This Row],[Categoria]]="Bollette",Dati[[#This Row],[Categoria]]="Conto &amp; Carte BNL",Dati[[#This Row],[Categoria]]="Prelievo",Dati[[#This Row],[Categoria]]="Affitto",Dati[[#This Row],[Categoria]]="BNL(Interessi Creditori)"),"Carta",IF(Dati[[#This Row],[Categoria]]&lt;&gt;0,"Cash",""))</f>
        <v/>
      </c>
      <c r="K582" s="59" t="str">
        <f>IF(OR(Data!$I582=SottocategorieUscite[[#Headers],[Fuori Casa]],Data!$I582=SottocategorieUscite[[#Headers],[Varie Uscite]],Data!$I582=SottocategorieUscite[[#Headers],[Personali]],Data!$I582=SottocategorieUscite[[#Headers],[Lavoro]]),"$ -","")</f>
        <v/>
      </c>
      <c r="L582" s="59" t="str">
        <f>IF(OR(Data!$I582=SottocategorieUscite[[#Headers],[Casa]],Data!$I582=SottocategorieUscite[[#Headers],[Utenze]],Data!$I582=SottocategorieUscite[[#Headers],[Business Uscite]],Data!$I582=SottocategorieUscite[[#Headers],[Banca]]),"$ -","")</f>
        <v/>
      </c>
      <c r="M582" s="59" t="str">
        <f>IF(OR($I582&lt;&gt;SottocategorieUscite[[#Headers],[Fuori Casa]],$I582&lt;&gt;SottocategorieUscite[[#Headers],[Varie Uscite]],$I582&lt;&gt;SottocategorieUscite[[#Headers],[Personali]],$I582&lt;&gt;SottocategorieUscite[[#Headers],[Lavoro]],$I582&lt;&gt;SottocategorieUscite[[#Headers],[Casa]],$I582&lt;&gt;SottocategorieUscite[[#Headers],[Utenze]],$I582&lt;&gt;SottocategorieUscite[[#Headers],[Business Uscite]],$I582&lt;&gt;SottocategorieUscite[[#Headers],[Banca]]),"","$ -")</f>
        <v/>
      </c>
      <c r="N582" s="59" t="str">
        <f>IF(OR(Data!$I582=SottocategorieEntrate[[#Headers],[Business Entrate]],Data!$I582=SottocategorieEntrate[[#Headers],[Varie Entrate]]),"$ -","")</f>
        <v/>
      </c>
      <c r="O582" s="59" t="str">
        <f>IF(OR(Data!$I582=SottocategorieEntrate[[#Headers],[Real Estate]],SottocategorieEntrate[[#Headers],[Other]]),"$ -","")</f>
        <v/>
      </c>
      <c r="P582" s="59" t="str">
        <f>IF(OR($I582&lt;&gt;SottocategorieEntrate[[#Headers],[Business Entrate]],$I582&lt;&gt;SottocategorieEntrate[[#Headers],[Varie Entrate]],$I582&lt;&gt;SottocategorieEntrate[[#Headers],[Real Estate]],$I582&lt;&gt;SottocategorieEntrate[[#Headers],[Other]]),"","$ -")</f>
        <v/>
      </c>
      <c r="Q582" s="59" t="str">
        <f>IF(Dati[[#This Row],[Categoria]]="Prelievo","€ -","")</f>
        <v/>
      </c>
      <c r="R582" s="244"/>
      <c r="S582" s="59" t="str">
        <f>IF(Dati[[#This Row],[Categoria]]="Savings",0,"")</f>
        <v/>
      </c>
      <c r="T582" s="59"/>
      <c r="U582" s="59"/>
      <c r="V582" s="59"/>
      <c r="W582" s="59"/>
      <c r="X582" s="59"/>
      <c r="Y582" s="59"/>
      <c r="Z582" s="59"/>
      <c r="AA582" s="59"/>
      <c r="AB582" s="59"/>
      <c r="AC582" s="59"/>
      <c r="AD582" s="59"/>
      <c r="AE582" s="59"/>
      <c r="AF582" s="59"/>
      <c r="AG582" s="59"/>
      <c r="AH582" s="59"/>
      <c r="AI582" s="59" t="str">
        <f>IF(SUM(Dati[[#This Row],[Inv. Business]:[Inv. Cryptocurrency]])=0," ",SUM(Dati[[#This Row],[Inv. Business]:[Inv. Cryptocurrency]]))</f>
        <v xml:space="preserve"> </v>
      </c>
      <c r="AJ582" s="59"/>
      <c r="AK582" s="59" t="str">
        <f>IF(SUM(Dati[[#This Row],[Inv. Gold]:[Mutuo]])=0," ",SUM(Dati[[#This Row],[Inv. Gold]:[Mutuo]]))</f>
        <v xml:space="preserve"> </v>
      </c>
      <c r="AL582" s="59"/>
      <c r="AM582" s="59"/>
    </row>
    <row r="583" spans="2:39" x14ac:dyDescent="0.35">
      <c r="B583">
        <f t="shared" si="23"/>
        <v>563</v>
      </c>
      <c r="C583" s="49">
        <f>C580+1</f>
        <v>45366</v>
      </c>
      <c r="D583" s="29">
        <f>DAY(Dati[[#This Row],[Data]])</f>
        <v>15</v>
      </c>
      <c r="E583" s="29" t="str">
        <f>IF(DAY(Data!$C$21:$C$1327)&gt;0,TEXT(Data!$C$21:$C$1327, "mmmm"),"")</f>
        <v>marzo</v>
      </c>
      <c r="F583" s="29" t="str">
        <f>IF(DAY(Data!$C$21:$C$1327)&gt;0,TEXT(Data!$C$21:$C$1327, "aaaa"),"")</f>
        <v>2024</v>
      </c>
      <c r="I583" t="str">
        <f>IF(OR(H583=$B$5,H583=$B$6,H583=$B$7,H583=$B$8,H583=$B$9,H583=$B$10,H583=$B$11,H583=$B$12,H583=$B$13,H583=$B$14),SottocategorieUscite[[#Headers],[Fuori Casa]],IF(OR(H583=$C$5,H583=$C$6,H583=$C$7,H583=$C$8,H583=$C$9,H583=$C$10,H583=$C$11,H583=$C$12,H583=$C$13,H583=$C$14),SottocategorieUscite[[#Headers],[Varie Uscite]],IF(OR(H583=$D$5,H583=$D$6,H583=$D$7,H583=$D$8,H583=$D$9,H583=$D$10,H583=$D$11,H583=$D$12,H583=$D$13,H583=$D$14),SottocategorieUscite[[#Headers],[Personali]],IF(OR(H583=$E$5,H583=$E$6,H583=$E$7,H583=$E$8,H583=$E$9,H583=$E$10,H583=$E$11,H583=$E$12,H583=$E$13,H583=$E$14),SottocategorieUscite[[#Headers],[Lavoro]],IF(OR(H583=$F$5,H583=$F$6,H583=$F$7,H583=$F$8,H583=$F$9,H583=$F$10,H583=$F$11,H583=$F$12,H583=$F$13,H583=$F$14),SottocategorieUscite[[#Headers],[Casa]],IF(OR(H583=$G$5,H583=$G$6,H583=$G$7,H583=$G$8,H583=$G$9,H583=$G$10,H583=$G$11,H583=$G$12,H583=$G$13,H583=$G$14),SottocategorieUscite[[#Headers],[Utenze]],IF(OR(H583=$H$5,H583=$H$6,H583=$H$7,H583=$H$8,H583=$H$9,H583=$H$10,H583=$H$11,H583=$H$12,H583=$H$13,H583=$H$14),SottocategorieUscite[[#Headers],[Business Uscite]],IF(OR(H583=$I$5,H583=$I$6,H583=$I$7,H583=$I$8,H583=$I$9,H583=$I$10,H583=$I$11,H583=$I$12,H583=$I$13,H583=$I$14),SottocategorieUscite[[#Headers],[Banca]],IF(OR(H583=K$5,H583=K$6,H583=K$7,H583=K$8,H583=K$9,H583=K$10,H583=K$11,H583=K$12,H583=K$13,H583=K$14),SottocategorieEntrate[[#Headers],[Business Entrate]],IF(OR(H583=L$5,H583=L$6,H583=L$7,H583=L$8,H583=L$9,H583=L$10,H583=L$11,H583=L$12,H583=L$13,H583=L$14),SottocategorieEntrate[[#Headers],[Varie Entrate]],IF(OR(H583=M$5,H583=M$6,H583=M$7,H583=M$8,H583=M$9,H583=M$10,H583=M$11,H583=M$12,H583=M$13,H583=M$14),SottocategorieEntrate[[#Headers],[Real Estate]],IF(OR(H583=N$5,H583=N$6,H583=N$7,H583=N$8,H583=N$9,H583=N$10,H583=N$11,H583=N$12,H583=N$13,H583=N$14),SottocategorieEntrate[[#Headers],[Other]],""))))))))))))</f>
        <v/>
      </c>
      <c r="J583" t="str">
        <f>IF(OR(Dati[[#This Row],[Categoria]]="Bollette",Dati[[#This Row],[Categoria]]="Conto &amp; Carte BNL",Dati[[#This Row],[Categoria]]="Prelievo",Dati[[#This Row],[Categoria]]="Affitto",Dati[[#This Row],[Categoria]]="BNL(Interessi Creditori)"),"Carta",IF(Dati[[#This Row],[Categoria]]&lt;&gt;0,"Cash",""))</f>
        <v/>
      </c>
      <c r="K583" s="59" t="str">
        <f>IF(OR(Data!$I583=SottocategorieUscite[[#Headers],[Fuori Casa]],Data!$I583=SottocategorieUscite[[#Headers],[Varie Uscite]],Data!$I583=SottocategorieUscite[[#Headers],[Personali]],Data!$I583=SottocategorieUscite[[#Headers],[Lavoro]]),"$ -","")</f>
        <v/>
      </c>
      <c r="L583" s="59" t="str">
        <f>IF(OR(Data!$I583=SottocategorieUscite[[#Headers],[Casa]],Data!$I583=SottocategorieUscite[[#Headers],[Utenze]],Data!$I583=SottocategorieUscite[[#Headers],[Business Uscite]],Data!$I583=SottocategorieUscite[[#Headers],[Banca]]),"$ -","")</f>
        <v/>
      </c>
      <c r="M583" s="59" t="str">
        <f>IF(OR($I583&lt;&gt;SottocategorieUscite[[#Headers],[Fuori Casa]],$I583&lt;&gt;SottocategorieUscite[[#Headers],[Varie Uscite]],$I583&lt;&gt;SottocategorieUscite[[#Headers],[Personali]],$I583&lt;&gt;SottocategorieUscite[[#Headers],[Lavoro]],$I583&lt;&gt;SottocategorieUscite[[#Headers],[Casa]],$I583&lt;&gt;SottocategorieUscite[[#Headers],[Utenze]],$I583&lt;&gt;SottocategorieUscite[[#Headers],[Business Uscite]],$I583&lt;&gt;SottocategorieUscite[[#Headers],[Banca]]),"","$ -")</f>
        <v/>
      </c>
      <c r="N583" s="59" t="str">
        <f>IF(OR(Data!$I583=SottocategorieEntrate[[#Headers],[Business Entrate]],Data!$I583=SottocategorieEntrate[[#Headers],[Varie Entrate]]),"$ -","")</f>
        <v/>
      </c>
      <c r="O583" s="59" t="str">
        <f>IF(OR(Data!$I583=SottocategorieEntrate[[#Headers],[Real Estate]],SottocategorieEntrate[[#Headers],[Other]]),"$ -","")</f>
        <v/>
      </c>
      <c r="P583" s="59" t="str">
        <f>IF(OR($I583&lt;&gt;SottocategorieEntrate[[#Headers],[Business Entrate]],$I583&lt;&gt;SottocategorieEntrate[[#Headers],[Varie Entrate]],$I583&lt;&gt;SottocategorieEntrate[[#Headers],[Real Estate]],$I583&lt;&gt;SottocategorieEntrate[[#Headers],[Other]]),"","$ -")</f>
        <v/>
      </c>
      <c r="Q583" s="59" t="str">
        <f>IF(Dati[[#This Row],[Categoria]]="Prelievo","€ -","")</f>
        <v/>
      </c>
      <c r="R583" s="244"/>
      <c r="S583" s="59" t="str">
        <f>IF(Dati[[#This Row],[Categoria]]="Savings",0,"")</f>
        <v/>
      </c>
      <c r="T583" s="59"/>
      <c r="U583" s="59"/>
      <c r="V583" s="59"/>
      <c r="W583" s="59"/>
      <c r="X583" s="59"/>
      <c r="Y583" s="59"/>
      <c r="Z583" s="59"/>
      <c r="AA583" s="59"/>
      <c r="AB583" s="59"/>
      <c r="AC583" s="59"/>
      <c r="AD583" s="59"/>
      <c r="AE583" s="59"/>
      <c r="AF583" s="59"/>
      <c r="AG583" s="59"/>
      <c r="AH583" s="59"/>
      <c r="AI583" s="59" t="str">
        <f>IF(SUM(Dati[[#This Row],[Inv. Business]:[Inv. Cryptocurrency]])=0," ",SUM(Dati[[#This Row],[Inv. Business]:[Inv. Cryptocurrency]]))</f>
        <v xml:space="preserve"> </v>
      </c>
      <c r="AJ583" s="59"/>
      <c r="AK583" s="59" t="str">
        <f>IF(SUM(Dati[[#This Row],[Inv. Gold]:[Mutuo]])=0," ",SUM(Dati[[#This Row],[Inv. Gold]:[Mutuo]]))</f>
        <v xml:space="preserve"> </v>
      </c>
      <c r="AL583" s="59"/>
      <c r="AM583" s="59"/>
    </row>
    <row r="584" spans="2:39" x14ac:dyDescent="0.35">
      <c r="B584">
        <f t="shared" si="23"/>
        <v>564</v>
      </c>
      <c r="C584" s="49">
        <f>C580+1</f>
        <v>45366</v>
      </c>
      <c r="D584" s="29">
        <f>DAY(Dati[[#This Row],[Data]])</f>
        <v>15</v>
      </c>
      <c r="E584" s="29" t="str">
        <f>IF(DAY(Data!$C$21:$C$1327)&gt;0,TEXT(Data!$C$21:$C$1327, "mmmm"),"")</f>
        <v>marzo</v>
      </c>
      <c r="F584" s="29" t="str">
        <f>IF(DAY(Data!$C$21:$C$1327)&gt;0,TEXT(Data!$C$21:$C$1327, "aaaa"),"")</f>
        <v>2024</v>
      </c>
      <c r="I584" t="str">
        <f>IF(OR(H584=$B$5,H584=$B$6,H584=$B$7,H584=$B$8,H584=$B$9,H584=$B$10,H584=$B$11,H584=$B$12,H584=$B$13,H584=$B$14),SottocategorieUscite[[#Headers],[Fuori Casa]],IF(OR(H584=$C$5,H584=$C$6,H584=$C$7,H584=$C$8,H584=$C$9,H584=$C$10,H584=$C$11,H584=$C$12,H584=$C$13,H584=$C$14),SottocategorieUscite[[#Headers],[Varie Uscite]],IF(OR(H584=$D$5,H584=$D$6,H584=$D$7,H584=$D$8,H584=$D$9,H584=$D$10,H584=$D$11,H584=$D$12,H584=$D$13,H584=$D$14),SottocategorieUscite[[#Headers],[Personali]],IF(OR(H584=$E$5,H584=$E$6,H584=$E$7,H584=$E$8,H584=$E$9,H584=$E$10,H584=$E$11,H584=$E$12,H584=$E$13,H584=$E$14),SottocategorieUscite[[#Headers],[Lavoro]],IF(OR(H584=$F$5,H584=$F$6,H584=$F$7,H584=$F$8,H584=$F$9,H584=$F$10,H584=$F$11,H584=$F$12,H584=$F$13,H584=$F$14),SottocategorieUscite[[#Headers],[Casa]],IF(OR(H584=$G$5,H584=$G$6,H584=$G$7,H584=$G$8,H584=$G$9,H584=$G$10,H584=$G$11,H584=$G$12,H584=$G$13,H584=$G$14),SottocategorieUscite[[#Headers],[Utenze]],IF(OR(H584=$H$5,H584=$H$6,H584=$H$7,H584=$H$8,H584=$H$9,H584=$H$10,H584=$H$11,H584=$H$12,H584=$H$13,H584=$H$14),SottocategorieUscite[[#Headers],[Business Uscite]],IF(OR(H584=$I$5,H584=$I$6,H584=$I$7,H584=$I$8,H584=$I$9,H584=$I$10,H584=$I$11,H584=$I$12,H584=$I$13,H584=$I$14),SottocategorieUscite[[#Headers],[Banca]],IF(OR(H584=K$5,H584=K$6,H584=K$7,H584=K$8,H584=K$9,H584=K$10,H584=K$11,H584=K$12,H584=K$13,H584=K$14),SottocategorieEntrate[[#Headers],[Business Entrate]],IF(OR(H584=L$5,H584=L$6,H584=L$7,H584=L$8,H584=L$9,H584=L$10,H584=L$11,H584=L$12,H584=L$13,H584=L$14),SottocategorieEntrate[[#Headers],[Varie Entrate]],IF(OR(H584=M$5,H584=M$6,H584=M$7,H584=M$8,H584=M$9,H584=M$10,H584=M$11,H584=M$12,H584=M$13,H584=M$14),SottocategorieEntrate[[#Headers],[Real Estate]],IF(OR(H584=N$5,H584=N$6,H584=N$7,H584=N$8,H584=N$9,H584=N$10,H584=N$11,H584=N$12,H584=N$13,H584=N$14),SottocategorieEntrate[[#Headers],[Other]],""))))))))))))</f>
        <v/>
      </c>
      <c r="J584" t="str">
        <f>IF(OR(Dati[[#This Row],[Categoria]]="Bollette",Dati[[#This Row],[Categoria]]="Conto &amp; Carte BNL",Dati[[#This Row],[Categoria]]="Prelievo",Dati[[#This Row],[Categoria]]="Affitto",Dati[[#This Row],[Categoria]]="BNL(Interessi Creditori)"),"Carta",IF(Dati[[#This Row],[Categoria]]&lt;&gt;0,"Cash",""))</f>
        <v/>
      </c>
      <c r="K584" s="59" t="str">
        <f>IF(OR(Data!$I584=SottocategorieUscite[[#Headers],[Fuori Casa]],Data!$I584=SottocategorieUscite[[#Headers],[Varie Uscite]],Data!$I584=SottocategorieUscite[[#Headers],[Personali]],Data!$I584=SottocategorieUscite[[#Headers],[Lavoro]]),"$ -","")</f>
        <v/>
      </c>
      <c r="L584" s="59" t="str">
        <f>IF(OR(Data!$I584=SottocategorieUscite[[#Headers],[Casa]],Data!$I584=SottocategorieUscite[[#Headers],[Utenze]],Data!$I584=SottocategorieUscite[[#Headers],[Business Uscite]],Data!$I584=SottocategorieUscite[[#Headers],[Banca]]),"$ -","")</f>
        <v/>
      </c>
      <c r="M584" s="59" t="str">
        <f>IF(OR($I584&lt;&gt;SottocategorieUscite[[#Headers],[Fuori Casa]],$I584&lt;&gt;SottocategorieUscite[[#Headers],[Varie Uscite]],$I584&lt;&gt;SottocategorieUscite[[#Headers],[Personali]],$I584&lt;&gt;SottocategorieUscite[[#Headers],[Lavoro]],$I584&lt;&gt;SottocategorieUscite[[#Headers],[Casa]],$I584&lt;&gt;SottocategorieUscite[[#Headers],[Utenze]],$I584&lt;&gt;SottocategorieUscite[[#Headers],[Business Uscite]],$I584&lt;&gt;SottocategorieUscite[[#Headers],[Banca]]),"","$ -")</f>
        <v/>
      </c>
      <c r="N584" s="59" t="str">
        <f>IF(OR(Data!$I584=SottocategorieEntrate[[#Headers],[Business Entrate]],Data!$I584=SottocategorieEntrate[[#Headers],[Varie Entrate]]),"$ -","")</f>
        <v/>
      </c>
      <c r="O584" s="59" t="str">
        <f>IF(OR(Data!$I584=SottocategorieEntrate[[#Headers],[Real Estate]],SottocategorieEntrate[[#Headers],[Other]]),"$ -","")</f>
        <v/>
      </c>
      <c r="P584" s="59" t="str">
        <f>IF(OR($I584&lt;&gt;SottocategorieEntrate[[#Headers],[Business Entrate]],$I584&lt;&gt;SottocategorieEntrate[[#Headers],[Varie Entrate]],$I584&lt;&gt;SottocategorieEntrate[[#Headers],[Real Estate]],$I584&lt;&gt;SottocategorieEntrate[[#Headers],[Other]]),"","$ -")</f>
        <v/>
      </c>
      <c r="Q584" s="59" t="str">
        <f>IF(Dati[[#This Row],[Categoria]]="Prelievo","€ -","")</f>
        <v/>
      </c>
      <c r="R584" s="244"/>
      <c r="S584" s="59" t="str">
        <f>IF(Dati[[#This Row],[Categoria]]="Savings",0,"")</f>
        <v/>
      </c>
      <c r="T584" s="59"/>
      <c r="U584" s="59"/>
      <c r="V584" s="59"/>
      <c r="W584" s="59"/>
      <c r="X584" s="59"/>
      <c r="Y584" s="59"/>
      <c r="Z584" s="59"/>
      <c r="AA584" s="59"/>
      <c r="AB584" s="59"/>
      <c r="AC584" s="59"/>
      <c r="AD584" s="59"/>
      <c r="AE584" s="59"/>
      <c r="AF584" s="59"/>
      <c r="AG584" s="59"/>
      <c r="AH584" s="59"/>
      <c r="AI584" s="59" t="str">
        <f>IF(SUM(Dati[[#This Row],[Inv. Business]:[Inv. Cryptocurrency]])=0," ",SUM(Dati[[#This Row],[Inv. Business]:[Inv. Cryptocurrency]]))</f>
        <v xml:space="preserve"> </v>
      </c>
      <c r="AJ584" s="59"/>
      <c r="AK584" s="59" t="str">
        <f>IF(SUM(Dati[[#This Row],[Inv. Gold]:[Mutuo]])=0," ",SUM(Dati[[#This Row],[Inv. Gold]:[Mutuo]]))</f>
        <v xml:space="preserve"> </v>
      </c>
      <c r="AL584" s="59"/>
      <c r="AM584" s="59"/>
    </row>
    <row r="585" spans="2:39" x14ac:dyDescent="0.35">
      <c r="B585">
        <f t="shared" si="23"/>
        <v>565</v>
      </c>
      <c r="C585" s="49">
        <f>C580+1</f>
        <v>45366</v>
      </c>
      <c r="D585" s="29">
        <f>DAY(Dati[[#This Row],[Data]])</f>
        <v>15</v>
      </c>
      <c r="E585" s="29" t="str">
        <f>IF(DAY(Data!$C$21:$C$1327)&gt;0,TEXT(Data!$C$21:$C$1327, "mmmm"),"")</f>
        <v>marzo</v>
      </c>
      <c r="F585" s="29" t="str">
        <f>IF(DAY(Data!$C$21:$C$1327)&gt;0,TEXT(Data!$C$21:$C$1327, "aaaa"),"")</f>
        <v>2024</v>
      </c>
      <c r="I585" t="str">
        <f>IF(OR(H585=$B$5,H585=$B$6,H585=$B$7,H585=$B$8,H585=$B$9,H585=$B$10,H585=$B$11,H585=$B$12,H585=$B$13,H585=$B$14),SottocategorieUscite[[#Headers],[Fuori Casa]],IF(OR(H585=$C$5,H585=$C$6,H585=$C$7,H585=$C$8,H585=$C$9,H585=$C$10,H585=$C$11,H585=$C$12,H585=$C$13,H585=$C$14),SottocategorieUscite[[#Headers],[Varie Uscite]],IF(OR(H585=$D$5,H585=$D$6,H585=$D$7,H585=$D$8,H585=$D$9,H585=$D$10,H585=$D$11,H585=$D$12,H585=$D$13,H585=$D$14),SottocategorieUscite[[#Headers],[Personali]],IF(OR(H585=$E$5,H585=$E$6,H585=$E$7,H585=$E$8,H585=$E$9,H585=$E$10,H585=$E$11,H585=$E$12,H585=$E$13,H585=$E$14),SottocategorieUscite[[#Headers],[Lavoro]],IF(OR(H585=$F$5,H585=$F$6,H585=$F$7,H585=$F$8,H585=$F$9,H585=$F$10,H585=$F$11,H585=$F$12,H585=$F$13,H585=$F$14),SottocategorieUscite[[#Headers],[Casa]],IF(OR(H585=$G$5,H585=$G$6,H585=$G$7,H585=$G$8,H585=$G$9,H585=$G$10,H585=$G$11,H585=$G$12,H585=$G$13,H585=$G$14),SottocategorieUscite[[#Headers],[Utenze]],IF(OR(H585=$H$5,H585=$H$6,H585=$H$7,H585=$H$8,H585=$H$9,H585=$H$10,H585=$H$11,H585=$H$12,H585=$H$13,H585=$H$14),SottocategorieUscite[[#Headers],[Business Uscite]],IF(OR(H585=$I$5,H585=$I$6,H585=$I$7,H585=$I$8,H585=$I$9,H585=$I$10,H585=$I$11,H585=$I$12,H585=$I$13,H585=$I$14),SottocategorieUscite[[#Headers],[Banca]],IF(OR(H585=K$5,H585=K$6,H585=K$7,H585=K$8,H585=K$9,H585=K$10,H585=K$11,H585=K$12,H585=K$13,H585=K$14),SottocategorieEntrate[[#Headers],[Business Entrate]],IF(OR(H585=L$5,H585=L$6,H585=L$7,H585=L$8,H585=L$9,H585=L$10,H585=L$11,H585=L$12,H585=L$13,H585=L$14),SottocategorieEntrate[[#Headers],[Varie Entrate]],IF(OR(H585=M$5,H585=M$6,H585=M$7,H585=M$8,H585=M$9,H585=M$10,H585=M$11,H585=M$12,H585=M$13,H585=M$14),SottocategorieEntrate[[#Headers],[Real Estate]],IF(OR(H585=N$5,H585=N$6,H585=N$7,H585=N$8,H585=N$9,H585=N$10,H585=N$11,H585=N$12,H585=N$13,H585=N$14),SottocategorieEntrate[[#Headers],[Other]],""))))))))))))</f>
        <v/>
      </c>
      <c r="J585" t="str">
        <f>IF(OR(Dati[[#This Row],[Categoria]]="Bollette",Dati[[#This Row],[Categoria]]="Conto &amp; Carte BNL",Dati[[#This Row],[Categoria]]="Prelievo",Dati[[#This Row],[Categoria]]="Affitto",Dati[[#This Row],[Categoria]]="BNL(Interessi Creditori)"),"Carta",IF(Dati[[#This Row],[Categoria]]&lt;&gt;0,"Cash",""))</f>
        <v/>
      </c>
      <c r="K585" s="59" t="str">
        <f>IF(OR(Data!$I585=SottocategorieUscite[[#Headers],[Fuori Casa]],Data!$I585=SottocategorieUscite[[#Headers],[Varie Uscite]],Data!$I585=SottocategorieUscite[[#Headers],[Personali]],Data!$I585=SottocategorieUscite[[#Headers],[Lavoro]]),"$ -","")</f>
        <v/>
      </c>
      <c r="L585" s="59" t="str">
        <f>IF(OR(Data!$I585=SottocategorieUscite[[#Headers],[Casa]],Data!$I585=SottocategorieUscite[[#Headers],[Utenze]],Data!$I585=SottocategorieUscite[[#Headers],[Business Uscite]],Data!$I585=SottocategorieUscite[[#Headers],[Banca]]),"$ -","")</f>
        <v/>
      </c>
      <c r="M585" s="59" t="str">
        <f>IF(OR($I585&lt;&gt;SottocategorieUscite[[#Headers],[Fuori Casa]],$I585&lt;&gt;SottocategorieUscite[[#Headers],[Varie Uscite]],$I585&lt;&gt;SottocategorieUscite[[#Headers],[Personali]],$I585&lt;&gt;SottocategorieUscite[[#Headers],[Lavoro]],$I585&lt;&gt;SottocategorieUscite[[#Headers],[Casa]],$I585&lt;&gt;SottocategorieUscite[[#Headers],[Utenze]],$I585&lt;&gt;SottocategorieUscite[[#Headers],[Business Uscite]],$I585&lt;&gt;SottocategorieUscite[[#Headers],[Banca]]),"","$ -")</f>
        <v/>
      </c>
      <c r="N585" s="59" t="str">
        <f>IF(OR(Data!$I585=SottocategorieEntrate[[#Headers],[Business Entrate]],Data!$I585=SottocategorieEntrate[[#Headers],[Varie Entrate]]),"$ -","")</f>
        <v/>
      </c>
      <c r="O585" s="59" t="str">
        <f>IF(OR(Data!$I585=SottocategorieEntrate[[#Headers],[Real Estate]],SottocategorieEntrate[[#Headers],[Other]]),"$ -","")</f>
        <v/>
      </c>
      <c r="P585" s="59" t="str">
        <f>IF(OR($I585&lt;&gt;SottocategorieEntrate[[#Headers],[Business Entrate]],$I585&lt;&gt;SottocategorieEntrate[[#Headers],[Varie Entrate]],$I585&lt;&gt;SottocategorieEntrate[[#Headers],[Real Estate]],$I585&lt;&gt;SottocategorieEntrate[[#Headers],[Other]]),"","$ -")</f>
        <v/>
      </c>
      <c r="Q585" s="59" t="str">
        <f>IF(Dati[[#This Row],[Categoria]]="Prelievo","€ -","")</f>
        <v/>
      </c>
      <c r="R585" s="244"/>
      <c r="S585" s="59" t="str">
        <f>IF(Dati[[#This Row],[Categoria]]="Savings",0,"")</f>
        <v/>
      </c>
      <c r="T585" s="59"/>
      <c r="U585" s="59"/>
      <c r="V585" s="59"/>
      <c r="W585" s="59"/>
      <c r="X585" s="59"/>
      <c r="Y585" s="59"/>
      <c r="Z585" s="59"/>
      <c r="AA585" s="59"/>
      <c r="AB585" s="59"/>
      <c r="AC585" s="59"/>
      <c r="AD585" s="59"/>
      <c r="AE585" s="59"/>
      <c r="AF585" s="59"/>
      <c r="AG585" s="59"/>
      <c r="AH585" s="59"/>
      <c r="AI585" s="59" t="str">
        <f>IF(SUM(Dati[[#This Row],[Inv. Business]:[Inv. Cryptocurrency]])=0," ",SUM(Dati[[#This Row],[Inv. Business]:[Inv. Cryptocurrency]]))</f>
        <v xml:space="preserve"> </v>
      </c>
      <c r="AJ585" s="59"/>
      <c r="AK585" s="59" t="str">
        <f>IF(SUM(Dati[[#This Row],[Inv. Gold]:[Mutuo]])=0," ",SUM(Dati[[#This Row],[Inv. Gold]:[Mutuo]]))</f>
        <v xml:space="preserve"> </v>
      </c>
      <c r="AL585" s="59"/>
      <c r="AM585" s="59"/>
    </row>
    <row r="586" spans="2:39" x14ac:dyDescent="0.35">
      <c r="B586">
        <f t="shared" si="23"/>
        <v>566</v>
      </c>
      <c r="C586" s="49">
        <f>C581+1</f>
        <v>45367</v>
      </c>
      <c r="D586" s="29">
        <f>DAY(Dati[[#This Row],[Data]])</f>
        <v>16</v>
      </c>
      <c r="E586" s="29" t="str">
        <f>IF(DAY(Data!$C$21:$C$1327)&gt;0,TEXT(Data!$C$21:$C$1327, "mmmm"),"")</f>
        <v>marzo</v>
      </c>
      <c r="F586" s="29" t="str">
        <f>IF(DAY(Data!$C$21:$C$1327)&gt;0,TEXT(Data!$C$21:$C$1327, "aaaa"),"")</f>
        <v>2024</v>
      </c>
      <c r="I586" t="str">
        <f>IF(OR(H586=$B$5,H586=$B$6,H586=$B$7,H586=$B$8,H586=$B$9,H586=$B$10,H586=$B$11,H586=$B$12,H586=$B$13,H586=$B$14),SottocategorieUscite[[#Headers],[Fuori Casa]],IF(OR(H586=$C$5,H586=$C$6,H586=$C$7,H586=$C$8,H586=$C$9,H586=$C$10,H586=$C$11,H586=$C$12,H586=$C$13,H586=$C$14),SottocategorieUscite[[#Headers],[Varie Uscite]],IF(OR(H586=$D$5,H586=$D$6,H586=$D$7,H586=$D$8,H586=$D$9,H586=$D$10,H586=$D$11,H586=$D$12,H586=$D$13,H586=$D$14),SottocategorieUscite[[#Headers],[Personali]],IF(OR(H586=$E$5,H586=$E$6,H586=$E$7,H586=$E$8,H586=$E$9,H586=$E$10,H586=$E$11,H586=$E$12,H586=$E$13,H586=$E$14),SottocategorieUscite[[#Headers],[Lavoro]],IF(OR(H586=$F$5,H586=$F$6,H586=$F$7,H586=$F$8,H586=$F$9,H586=$F$10,H586=$F$11,H586=$F$12,H586=$F$13,H586=$F$14),SottocategorieUscite[[#Headers],[Casa]],IF(OR(H586=$G$5,H586=$G$6,H586=$G$7,H586=$G$8,H586=$G$9,H586=$G$10,H586=$G$11,H586=$G$12,H586=$G$13,H586=$G$14),SottocategorieUscite[[#Headers],[Utenze]],IF(OR(H586=$H$5,H586=$H$6,H586=$H$7,H586=$H$8,H586=$H$9,H586=$H$10,H586=$H$11,H586=$H$12,H586=$H$13,H586=$H$14),SottocategorieUscite[[#Headers],[Business Uscite]],IF(OR(H586=$I$5,H586=$I$6,H586=$I$7,H586=$I$8,H586=$I$9,H586=$I$10,H586=$I$11,H586=$I$12,H586=$I$13,H586=$I$14),SottocategorieUscite[[#Headers],[Banca]],IF(OR(H586=K$5,H586=K$6,H586=K$7,H586=K$8,H586=K$9,H586=K$10,H586=K$11,H586=K$12,H586=K$13,H586=K$14),SottocategorieEntrate[[#Headers],[Business Entrate]],IF(OR(H586=L$5,H586=L$6,H586=L$7,H586=L$8,H586=L$9,H586=L$10,H586=L$11,H586=L$12,H586=L$13,H586=L$14),SottocategorieEntrate[[#Headers],[Varie Entrate]],IF(OR(H586=M$5,H586=M$6,H586=M$7,H586=M$8,H586=M$9,H586=M$10,H586=M$11,H586=M$12,H586=M$13,H586=M$14),SottocategorieEntrate[[#Headers],[Real Estate]],IF(OR(H586=N$5,H586=N$6,H586=N$7,H586=N$8,H586=N$9,H586=N$10,H586=N$11,H586=N$12,H586=N$13,H586=N$14),SottocategorieEntrate[[#Headers],[Other]],""))))))))))))</f>
        <v/>
      </c>
      <c r="J586" t="str">
        <f>IF(OR(Dati[[#This Row],[Categoria]]="Bollette",Dati[[#This Row],[Categoria]]="Conto &amp; Carte BNL",Dati[[#This Row],[Categoria]]="Prelievo",Dati[[#This Row],[Categoria]]="Affitto",Dati[[#This Row],[Categoria]]="BNL(Interessi Creditori)"),"Carta",IF(Dati[[#This Row],[Categoria]]&lt;&gt;0,"Cash",""))</f>
        <v/>
      </c>
      <c r="K586" s="59" t="str">
        <f>IF(OR(Data!$I586=SottocategorieUscite[[#Headers],[Fuori Casa]],Data!$I586=SottocategorieUscite[[#Headers],[Varie Uscite]],Data!$I586=SottocategorieUscite[[#Headers],[Personali]],Data!$I586=SottocategorieUscite[[#Headers],[Lavoro]]),"$ -","")</f>
        <v/>
      </c>
      <c r="L586" s="59" t="str">
        <f>IF(OR(Data!$I586=SottocategorieUscite[[#Headers],[Casa]],Data!$I586=SottocategorieUscite[[#Headers],[Utenze]],Data!$I586=SottocategorieUscite[[#Headers],[Business Uscite]],Data!$I586=SottocategorieUscite[[#Headers],[Banca]]),"$ -","")</f>
        <v/>
      </c>
      <c r="M586" s="59" t="str">
        <f>IF(OR($I586&lt;&gt;SottocategorieUscite[[#Headers],[Fuori Casa]],$I586&lt;&gt;SottocategorieUscite[[#Headers],[Varie Uscite]],$I586&lt;&gt;SottocategorieUscite[[#Headers],[Personali]],$I586&lt;&gt;SottocategorieUscite[[#Headers],[Lavoro]],$I586&lt;&gt;SottocategorieUscite[[#Headers],[Casa]],$I586&lt;&gt;SottocategorieUscite[[#Headers],[Utenze]],$I586&lt;&gt;SottocategorieUscite[[#Headers],[Business Uscite]],$I586&lt;&gt;SottocategorieUscite[[#Headers],[Banca]]),"","$ -")</f>
        <v/>
      </c>
      <c r="N586" s="59" t="str">
        <f>IF(OR(Data!$I586=SottocategorieEntrate[[#Headers],[Business Entrate]],Data!$I586=SottocategorieEntrate[[#Headers],[Varie Entrate]]),"$ -","")</f>
        <v/>
      </c>
      <c r="O586" s="59" t="str">
        <f>IF(OR(Data!$I586=SottocategorieEntrate[[#Headers],[Real Estate]],SottocategorieEntrate[[#Headers],[Other]]),"$ -","")</f>
        <v/>
      </c>
      <c r="P586" s="59" t="str">
        <f>IF(OR($I586&lt;&gt;SottocategorieEntrate[[#Headers],[Business Entrate]],$I586&lt;&gt;SottocategorieEntrate[[#Headers],[Varie Entrate]],$I586&lt;&gt;SottocategorieEntrate[[#Headers],[Real Estate]],$I586&lt;&gt;SottocategorieEntrate[[#Headers],[Other]]),"","$ -")</f>
        <v/>
      </c>
      <c r="Q586" s="59" t="str">
        <f>IF(Dati[[#This Row],[Categoria]]="Prelievo","€ -","")</f>
        <v/>
      </c>
      <c r="R586" s="244"/>
      <c r="S586" s="59" t="str">
        <f>IF(Dati[[#This Row],[Categoria]]="Savings",0,"")</f>
        <v/>
      </c>
      <c r="T586" s="59"/>
      <c r="U586" s="59"/>
      <c r="V586" s="59"/>
      <c r="W586" s="59"/>
      <c r="X586" s="59"/>
      <c r="Y586" s="59"/>
      <c r="Z586" s="59"/>
      <c r="AA586" s="59"/>
      <c r="AB586" s="59"/>
      <c r="AC586" s="59"/>
      <c r="AD586" s="59"/>
      <c r="AE586" s="59"/>
      <c r="AF586" s="59"/>
      <c r="AG586" s="59"/>
      <c r="AH586" s="59"/>
      <c r="AI586" s="59" t="str">
        <f>IF(SUM(Dati[[#This Row],[Inv. Business]:[Inv. Cryptocurrency]])=0," ",SUM(Dati[[#This Row],[Inv. Business]:[Inv. Cryptocurrency]]))</f>
        <v xml:space="preserve"> </v>
      </c>
      <c r="AJ586" s="59"/>
      <c r="AK586" s="59" t="str">
        <f>IF(SUM(Dati[[#This Row],[Inv. Gold]:[Mutuo]])=0," ",SUM(Dati[[#This Row],[Inv. Gold]:[Mutuo]]))</f>
        <v xml:space="preserve"> </v>
      </c>
      <c r="AL586" s="59"/>
      <c r="AM586" s="59"/>
    </row>
    <row r="587" spans="2:39" x14ac:dyDescent="0.35">
      <c r="B587">
        <f t="shared" si="23"/>
        <v>567</v>
      </c>
      <c r="C587" s="49">
        <f t="shared" si="24"/>
        <v>45368</v>
      </c>
      <c r="D587" s="29">
        <f>DAY(Dati[[#This Row],[Data]])</f>
        <v>17</v>
      </c>
      <c r="E587" s="29" t="str">
        <f>IF(DAY(Data!$C$21:$C$1327)&gt;0,TEXT(Data!$C$21:$C$1327, "mmmm"),"")</f>
        <v>marzo</v>
      </c>
      <c r="F587" s="29" t="str">
        <f>IF(DAY(Data!$C$21:$C$1327)&gt;0,TEXT(Data!$C$21:$C$1327, "aaaa"),"")</f>
        <v>2024</v>
      </c>
      <c r="I587" t="str">
        <f>IF(OR(H587=$B$5,H587=$B$6,H587=$B$7,H587=$B$8,H587=$B$9,H587=$B$10,H587=$B$11,H587=$B$12,H587=$B$13,H587=$B$14),SottocategorieUscite[[#Headers],[Fuori Casa]],IF(OR(H587=$C$5,H587=$C$6,H587=$C$7,H587=$C$8,H587=$C$9,H587=$C$10,H587=$C$11,H587=$C$12,H587=$C$13,H587=$C$14),SottocategorieUscite[[#Headers],[Varie Uscite]],IF(OR(H587=$D$5,H587=$D$6,H587=$D$7,H587=$D$8,H587=$D$9,H587=$D$10,H587=$D$11,H587=$D$12,H587=$D$13,H587=$D$14),SottocategorieUscite[[#Headers],[Personali]],IF(OR(H587=$E$5,H587=$E$6,H587=$E$7,H587=$E$8,H587=$E$9,H587=$E$10,H587=$E$11,H587=$E$12,H587=$E$13,H587=$E$14),SottocategorieUscite[[#Headers],[Lavoro]],IF(OR(H587=$F$5,H587=$F$6,H587=$F$7,H587=$F$8,H587=$F$9,H587=$F$10,H587=$F$11,H587=$F$12,H587=$F$13,H587=$F$14),SottocategorieUscite[[#Headers],[Casa]],IF(OR(H587=$G$5,H587=$G$6,H587=$G$7,H587=$G$8,H587=$G$9,H587=$G$10,H587=$G$11,H587=$G$12,H587=$G$13,H587=$G$14),SottocategorieUscite[[#Headers],[Utenze]],IF(OR(H587=$H$5,H587=$H$6,H587=$H$7,H587=$H$8,H587=$H$9,H587=$H$10,H587=$H$11,H587=$H$12,H587=$H$13,H587=$H$14),SottocategorieUscite[[#Headers],[Business Uscite]],IF(OR(H587=$I$5,H587=$I$6,H587=$I$7,H587=$I$8,H587=$I$9,H587=$I$10,H587=$I$11,H587=$I$12,H587=$I$13,H587=$I$14),SottocategorieUscite[[#Headers],[Banca]],IF(OR(H587=K$5,H587=K$6,H587=K$7,H587=K$8,H587=K$9,H587=K$10,H587=K$11,H587=K$12,H587=K$13,H587=K$14),SottocategorieEntrate[[#Headers],[Business Entrate]],IF(OR(H587=L$5,H587=L$6,H587=L$7,H587=L$8,H587=L$9,H587=L$10,H587=L$11,H587=L$12,H587=L$13,H587=L$14),SottocategorieEntrate[[#Headers],[Varie Entrate]],IF(OR(H587=M$5,H587=M$6,H587=M$7,H587=M$8,H587=M$9,H587=M$10,H587=M$11,H587=M$12,H587=M$13,H587=M$14),SottocategorieEntrate[[#Headers],[Real Estate]],IF(OR(H587=N$5,H587=N$6,H587=N$7,H587=N$8,H587=N$9,H587=N$10,H587=N$11,H587=N$12,H587=N$13,H587=N$14),SottocategorieEntrate[[#Headers],[Other]],""))))))))))))</f>
        <v/>
      </c>
      <c r="J587" t="str">
        <f>IF(OR(Dati[[#This Row],[Categoria]]="Bollette",Dati[[#This Row],[Categoria]]="Conto &amp; Carte BNL",Dati[[#This Row],[Categoria]]="Prelievo",Dati[[#This Row],[Categoria]]="Affitto",Dati[[#This Row],[Categoria]]="BNL(Interessi Creditori)"),"Carta",IF(Dati[[#This Row],[Categoria]]&lt;&gt;0,"Cash",""))</f>
        <v/>
      </c>
      <c r="K587" s="59" t="str">
        <f>IF(OR(Data!$I587=SottocategorieUscite[[#Headers],[Fuori Casa]],Data!$I587=SottocategorieUscite[[#Headers],[Varie Uscite]],Data!$I587=SottocategorieUscite[[#Headers],[Personali]],Data!$I587=SottocategorieUscite[[#Headers],[Lavoro]]),"$ -","")</f>
        <v/>
      </c>
      <c r="L587" s="59" t="str">
        <f>IF(OR(Data!$I587=SottocategorieUscite[[#Headers],[Casa]],Data!$I587=SottocategorieUscite[[#Headers],[Utenze]],Data!$I587=SottocategorieUscite[[#Headers],[Business Uscite]],Data!$I587=SottocategorieUscite[[#Headers],[Banca]]),"$ -","")</f>
        <v/>
      </c>
      <c r="M587" s="59" t="str">
        <f>IF(OR($I587&lt;&gt;SottocategorieUscite[[#Headers],[Fuori Casa]],$I587&lt;&gt;SottocategorieUscite[[#Headers],[Varie Uscite]],$I587&lt;&gt;SottocategorieUscite[[#Headers],[Personali]],$I587&lt;&gt;SottocategorieUscite[[#Headers],[Lavoro]],$I587&lt;&gt;SottocategorieUscite[[#Headers],[Casa]],$I587&lt;&gt;SottocategorieUscite[[#Headers],[Utenze]],$I587&lt;&gt;SottocategorieUscite[[#Headers],[Business Uscite]],$I587&lt;&gt;SottocategorieUscite[[#Headers],[Banca]]),"","$ -")</f>
        <v/>
      </c>
      <c r="N587" s="59" t="str">
        <f>IF(OR(Data!$I587=SottocategorieEntrate[[#Headers],[Business Entrate]],Data!$I587=SottocategorieEntrate[[#Headers],[Varie Entrate]]),"$ -","")</f>
        <v/>
      </c>
      <c r="O587" s="59" t="str">
        <f>IF(OR(Data!$I587=SottocategorieEntrate[[#Headers],[Real Estate]],SottocategorieEntrate[[#Headers],[Other]]),"$ -","")</f>
        <v/>
      </c>
      <c r="P587" s="59" t="str">
        <f>IF(OR($I587&lt;&gt;SottocategorieEntrate[[#Headers],[Business Entrate]],$I587&lt;&gt;SottocategorieEntrate[[#Headers],[Varie Entrate]],$I587&lt;&gt;SottocategorieEntrate[[#Headers],[Real Estate]],$I587&lt;&gt;SottocategorieEntrate[[#Headers],[Other]]),"","$ -")</f>
        <v/>
      </c>
      <c r="Q587" s="59" t="str">
        <f>IF(Dati[[#This Row],[Categoria]]="Prelievo","€ -","")</f>
        <v/>
      </c>
      <c r="R587" s="244"/>
      <c r="S587" s="59" t="str">
        <f>IF(Dati[[#This Row],[Categoria]]="Savings",0,"")</f>
        <v/>
      </c>
      <c r="T587" s="59"/>
      <c r="U587" s="59"/>
      <c r="V587" s="59"/>
      <c r="W587" s="59"/>
      <c r="X587" s="59"/>
      <c r="Y587" s="59"/>
      <c r="Z587" s="59"/>
      <c r="AA587" s="59"/>
      <c r="AB587" s="59"/>
      <c r="AC587" s="59"/>
      <c r="AD587" s="59"/>
      <c r="AE587" s="59"/>
      <c r="AF587" s="59"/>
      <c r="AG587" s="59"/>
      <c r="AH587" s="59"/>
      <c r="AI587" s="59" t="str">
        <f>IF(SUM(Dati[[#This Row],[Inv. Business]:[Inv. Cryptocurrency]])=0," ",SUM(Dati[[#This Row],[Inv. Business]:[Inv. Cryptocurrency]]))</f>
        <v xml:space="preserve"> </v>
      </c>
      <c r="AJ587" s="59"/>
      <c r="AK587" s="59" t="str">
        <f>IF(SUM(Dati[[#This Row],[Inv. Gold]:[Mutuo]])=0," ",SUM(Dati[[#This Row],[Inv. Gold]:[Mutuo]]))</f>
        <v xml:space="preserve"> </v>
      </c>
      <c r="AL587" s="59"/>
      <c r="AM587" s="59"/>
    </row>
    <row r="588" spans="2:39" x14ac:dyDescent="0.35">
      <c r="B588">
        <f t="shared" si="23"/>
        <v>568</v>
      </c>
      <c r="C588" s="49">
        <f>C586+1</f>
        <v>45368</v>
      </c>
      <c r="D588" s="29">
        <f>DAY(Dati[[#This Row],[Data]])</f>
        <v>17</v>
      </c>
      <c r="E588" s="29" t="str">
        <f>IF(DAY(Data!$C$21:$C$1327)&gt;0,TEXT(Data!$C$21:$C$1327, "mmmm"),"")</f>
        <v>marzo</v>
      </c>
      <c r="F588" s="29" t="str">
        <f>IF(DAY(Data!$C$21:$C$1327)&gt;0,TEXT(Data!$C$21:$C$1327, "aaaa"),"")</f>
        <v>2024</v>
      </c>
      <c r="I588" t="str">
        <f>IF(OR(H588=$B$5,H588=$B$6,H588=$B$7,H588=$B$8,H588=$B$9,H588=$B$10,H588=$B$11,H588=$B$12,H588=$B$13,H588=$B$14),SottocategorieUscite[[#Headers],[Fuori Casa]],IF(OR(H588=$C$5,H588=$C$6,H588=$C$7,H588=$C$8,H588=$C$9,H588=$C$10,H588=$C$11,H588=$C$12,H588=$C$13,H588=$C$14),SottocategorieUscite[[#Headers],[Varie Uscite]],IF(OR(H588=$D$5,H588=$D$6,H588=$D$7,H588=$D$8,H588=$D$9,H588=$D$10,H588=$D$11,H588=$D$12,H588=$D$13,H588=$D$14),SottocategorieUscite[[#Headers],[Personali]],IF(OR(H588=$E$5,H588=$E$6,H588=$E$7,H588=$E$8,H588=$E$9,H588=$E$10,H588=$E$11,H588=$E$12,H588=$E$13,H588=$E$14),SottocategorieUscite[[#Headers],[Lavoro]],IF(OR(H588=$F$5,H588=$F$6,H588=$F$7,H588=$F$8,H588=$F$9,H588=$F$10,H588=$F$11,H588=$F$12,H588=$F$13,H588=$F$14),SottocategorieUscite[[#Headers],[Casa]],IF(OR(H588=$G$5,H588=$G$6,H588=$G$7,H588=$G$8,H588=$G$9,H588=$G$10,H588=$G$11,H588=$G$12,H588=$G$13,H588=$G$14),SottocategorieUscite[[#Headers],[Utenze]],IF(OR(H588=$H$5,H588=$H$6,H588=$H$7,H588=$H$8,H588=$H$9,H588=$H$10,H588=$H$11,H588=$H$12,H588=$H$13,H588=$H$14),SottocategorieUscite[[#Headers],[Business Uscite]],IF(OR(H588=$I$5,H588=$I$6,H588=$I$7,H588=$I$8,H588=$I$9,H588=$I$10,H588=$I$11,H588=$I$12,H588=$I$13,H588=$I$14),SottocategorieUscite[[#Headers],[Banca]],IF(OR(H588=K$5,H588=K$6,H588=K$7,H588=K$8,H588=K$9,H588=K$10,H588=K$11,H588=K$12,H588=K$13,H588=K$14),SottocategorieEntrate[[#Headers],[Business Entrate]],IF(OR(H588=L$5,H588=L$6,H588=L$7,H588=L$8,H588=L$9,H588=L$10,H588=L$11,H588=L$12,H588=L$13,H588=L$14),SottocategorieEntrate[[#Headers],[Varie Entrate]],IF(OR(H588=M$5,H588=M$6,H588=M$7,H588=M$8,H588=M$9,H588=M$10,H588=M$11,H588=M$12,H588=M$13,H588=M$14),SottocategorieEntrate[[#Headers],[Real Estate]],IF(OR(H588=N$5,H588=N$6,H588=N$7,H588=N$8,H588=N$9,H588=N$10,H588=N$11,H588=N$12,H588=N$13,H588=N$14),SottocategorieEntrate[[#Headers],[Other]],""))))))))))))</f>
        <v/>
      </c>
      <c r="J588" t="str">
        <f>IF(OR(Dati[[#This Row],[Categoria]]="Bollette",Dati[[#This Row],[Categoria]]="Conto &amp; Carte BNL",Dati[[#This Row],[Categoria]]="Prelievo",Dati[[#This Row],[Categoria]]="Affitto",Dati[[#This Row],[Categoria]]="BNL(Interessi Creditori)"),"Carta",IF(Dati[[#This Row],[Categoria]]&lt;&gt;0,"Cash",""))</f>
        <v/>
      </c>
      <c r="K588" s="59" t="str">
        <f>IF(OR(Data!$I588=SottocategorieUscite[[#Headers],[Fuori Casa]],Data!$I588=SottocategorieUscite[[#Headers],[Varie Uscite]],Data!$I588=SottocategorieUscite[[#Headers],[Personali]],Data!$I588=SottocategorieUscite[[#Headers],[Lavoro]]),"$ -","")</f>
        <v/>
      </c>
      <c r="L588" s="59" t="str">
        <f>IF(OR(Data!$I588=SottocategorieUscite[[#Headers],[Casa]],Data!$I588=SottocategorieUscite[[#Headers],[Utenze]],Data!$I588=SottocategorieUscite[[#Headers],[Business Uscite]],Data!$I588=SottocategorieUscite[[#Headers],[Banca]]),"$ -","")</f>
        <v/>
      </c>
      <c r="M588" s="59" t="str">
        <f>IF(OR($I588&lt;&gt;SottocategorieUscite[[#Headers],[Fuori Casa]],$I588&lt;&gt;SottocategorieUscite[[#Headers],[Varie Uscite]],$I588&lt;&gt;SottocategorieUscite[[#Headers],[Personali]],$I588&lt;&gt;SottocategorieUscite[[#Headers],[Lavoro]],$I588&lt;&gt;SottocategorieUscite[[#Headers],[Casa]],$I588&lt;&gt;SottocategorieUscite[[#Headers],[Utenze]],$I588&lt;&gt;SottocategorieUscite[[#Headers],[Business Uscite]],$I588&lt;&gt;SottocategorieUscite[[#Headers],[Banca]]),"","$ -")</f>
        <v/>
      </c>
      <c r="N588" s="59" t="str">
        <f>IF(OR(Data!$I588=SottocategorieEntrate[[#Headers],[Business Entrate]],Data!$I588=SottocategorieEntrate[[#Headers],[Varie Entrate]]),"$ -","")</f>
        <v/>
      </c>
      <c r="O588" s="59" t="str">
        <f>IF(OR(Data!$I588=SottocategorieEntrate[[#Headers],[Real Estate]],SottocategorieEntrate[[#Headers],[Other]]),"$ -","")</f>
        <v/>
      </c>
      <c r="P588" s="59" t="str">
        <f>IF(OR($I588&lt;&gt;SottocategorieEntrate[[#Headers],[Business Entrate]],$I588&lt;&gt;SottocategorieEntrate[[#Headers],[Varie Entrate]],$I588&lt;&gt;SottocategorieEntrate[[#Headers],[Real Estate]],$I588&lt;&gt;SottocategorieEntrate[[#Headers],[Other]]),"","$ -")</f>
        <v/>
      </c>
      <c r="Q588" s="59" t="str">
        <f>IF(Dati[[#This Row],[Categoria]]="Prelievo","€ -","")</f>
        <v/>
      </c>
      <c r="R588" s="244"/>
      <c r="S588" s="59" t="str">
        <f>IF(Dati[[#This Row],[Categoria]]="Savings",0,"")</f>
        <v/>
      </c>
      <c r="T588" s="59"/>
      <c r="U588" s="59"/>
      <c r="V588" s="59"/>
      <c r="W588" s="59"/>
      <c r="X588" s="59"/>
      <c r="Y588" s="59"/>
      <c r="Z588" s="59"/>
      <c r="AA588" s="59"/>
      <c r="AB588" s="59"/>
      <c r="AC588" s="59"/>
      <c r="AD588" s="59"/>
      <c r="AE588" s="59"/>
      <c r="AF588" s="59"/>
      <c r="AG588" s="59"/>
      <c r="AH588" s="59"/>
      <c r="AI588" s="59" t="str">
        <f>IF(SUM(Dati[[#This Row],[Inv. Business]:[Inv. Cryptocurrency]])=0," ",SUM(Dati[[#This Row],[Inv. Business]:[Inv. Cryptocurrency]]))</f>
        <v xml:space="preserve"> </v>
      </c>
      <c r="AJ588" s="59"/>
      <c r="AK588" s="59" t="str">
        <f>IF(SUM(Dati[[#This Row],[Inv. Gold]:[Mutuo]])=0," ",SUM(Dati[[#This Row],[Inv. Gold]:[Mutuo]]))</f>
        <v xml:space="preserve"> </v>
      </c>
      <c r="AL588" s="59"/>
      <c r="AM588" s="59"/>
    </row>
    <row r="589" spans="2:39" x14ac:dyDescent="0.35">
      <c r="B589">
        <f t="shared" si="23"/>
        <v>569</v>
      </c>
      <c r="C589" s="49">
        <f>C587+1</f>
        <v>45369</v>
      </c>
      <c r="D589" s="29">
        <f>DAY(Dati[[#This Row],[Data]])</f>
        <v>18</v>
      </c>
      <c r="E589" s="29" t="str">
        <f>IF(DAY(Data!$C$21:$C$1327)&gt;0,TEXT(Data!$C$21:$C$1327, "mmmm"),"")</f>
        <v>marzo</v>
      </c>
      <c r="F589" s="29" t="str">
        <f>IF(DAY(Data!$C$21:$C$1327)&gt;0,TEXT(Data!$C$21:$C$1327, "aaaa"),"")</f>
        <v>2024</v>
      </c>
      <c r="I589" t="str">
        <f>IF(OR(H589=$B$5,H589=$B$6,H589=$B$7,H589=$B$8,H589=$B$9,H589=$B$10,H589=$B$11,H589=$B$12,H589=$B$13,H589=$B$14),SottocategorieUscite[[#Headers],[Fuori Casa]],IF(OR(H589=$C$5,H589=$C$6,H589=$C$7,H589=$C$8,H589=$C$9,H589=$C$10,H589=$C$11,H589=$C$12,H589=$C$13,H589=$C$14),SottocategorieUscite[[#Headers],[Varie Uscite]],IF(OR(H589=$D$5,H589=$D$6,H589=$D$7,H589=$D$8,H589=$D$9,H589=$D$10,H589=$D$11,H589=$D$12,H589=$D$13,H589=$D$14),SottocategorieUscite[[#Headers],[Personali]],IF(OR(H589=$E$5,H589=$E$6,H589=$E$7,H589=$E$8,H589=$E$9,H589=$E$10,H589=$E$11,H589=$E$12,H589=$E$13,H589=$E$14),SottocategorieUscite[[#Headers],[Lavoro]],IF(OR(H589=$F$5,H589=$F$6,H589=$F$7,H589=$F$8,H589=$F$9,H589=$F$10,H589=$F$11,H589=$F$12,H589=$F$13,H589=$F$14),SottocategorieUscite[[#Headers],[Casa]],IF(OR(H589=$G$5,H589=$G$6,H589=$G$7,H589=$G$8,H589=$G$9,H589=$G$10,H589=$G$11,H589=$G$12,H589=$G$13,H589=$G$14),SottocategorieUscite[[#Headers],[Utenze]],IF(OR(H589=$H$5,H589=$H$6,H589=$H$7,H589=$H$8,H589=$H$9,H589=$H$10,H589=$H$11,H589=$H$12,H589=$H$13,H589=$H$14),SottocategorieUscite[[#Headers],[Business Uscite]],IF(OR(H589=$I$5,H589=$I$6,H589=$I$7,H589=$I$8,H589=$I$9,H589=$I$10,H589=$I$11,H589=$I$12,H589=$I$13,H589=$I$14),SottocategorieUscite[[#Headers],[Banca]],IF(OR(H589=K$5,H589=K$6,H589=K$7,H589=K$8,H589=K$9,H589=K$10,H589=K$11,H589=K$12,H589=K$13,H589=K$14),SottocategorieEntrate[[#Headers],[Business Entrate]],IF(OR(H589=L$5,H589=L$6,H589=L$7,H589=L$8,H589=L$9,H589=L$10,H589=L$11,H589=L$12,H589=L$13,H589=L$14),SottocategorieEntrate[[#Headers],[Varie Entrate]],IF(OR(H589=M$5,H589=M$6,H589=M$7,H589=M$8,H589=M$9,H589=M$10,H589=M$11,H589=M$12,H589=M$13,H589=M$14),SottocategorieEntrate[[#Headers],[Real Estate]],IF(OR(H589=N$5,H589=N$6,H589=N$7,H589=N$8,H589=N$9,H589=N$10,H589=N$11,H589=N$12,H589=N$13,H589=N$14),SottocategorieEntrate[[#Headers],[Other]],""))))))))))))</f>
        <v/>
      </c>
      <c r="J589" t="str">
        <f>IF(OR(Dati[[#This Row],[Categoria]]="Bollette",Dati[[#This Row],[Categoria]]="Conto &amp; Carte BNL",Dati[[#This Row],[Categoria]]="Prelievo",Dati[[#This Row],[Categoria]]="Affitto",Dati[[#This Row],[Categoria]]="BNL(Interessi Creditori)"),"Carta",IF(Dati[[#This Row],[Categoria]]&lt;&gt;0,"Cash",""))</f>
        <v/>
      </c>
      <c r="K589" s="59" t="str">
        <f>IF(OR(Data!$I589=SottocategorieUscite[[#Headers],[Fuori Casa]],Data!$I589=SottocategorieUscite[[#Headers],[Varie Uscite]],Data!$I589=SottocategorieUscite[[#Headers],[Personali]],Data!$I589=SottocategorieUscite[[#Headers],[Lavoro]]),"$ -","")</f>
        <v/>
      </c>
      <c r="L589" s="59" t="str">
        <f>IF(OR(Data!$I589=SottocategorieUscite[[#Headers],[Casa]],Data!$I589=SottocategorieUscite[[#Headers],[Utenze]],Data!$I589=SottocategorieUscite[[#Headers],[Business Uscite]],Data!$I589=SottocategorieUscite[[#Headers],[Banca]]),"$ -","")</f>
        <v/>
      </c>
      <c r="M589" s="59" t="str">
        <f>IF(OR($I589&lt;&gt;SottocategorieUscite[[#Headers],[Fuori Casa]],$I589&lt;&gt;SottocategorieUscite[[#Headers],[Varie Uscite]],$I589&lt;&gt;SottocategorieUscite[[#Headers],[Personali]],$I589&lt;&gt;SottocategorieUscite[[#Headers],[Lavoro]],$I589&lt;&gt;SottocategorieUscite[[#Headers],[Casa]],$I589&lt;&gt;SottocategorieUscite[[#Headers],[Utenze]],$I589&lt;&gt;SottocategorieUscite[[#Headers],[Business Uscite]],$I589&lt;&gt;SottocategorieUscite[[#Headers],[Banca]]),"","$ -")</f>
        <v/>
      </c>
      <c r="N589" s="59" t="str">
        <f>IF(OR(Data!$I589=SottocategorieEntrate[[#Headers],[Business Entrate]],Data!$I589=SottocategorieEntrate[[#Headers],[Varie Entrate]]),"$ -","")</f>
        <v/>
      </c>
      <c r="O589" s="59" t="str">
        <f>IF(OR(Data!$I589=SottocategorieEntrate[[#Headers],[Real Estate]],SottocategorieEntrate[[#Headers],[Other]]),"$ -","")</f>
        <v/>
      </c>
      <c r="P589" s="59" t="str">
        <f>IF(OR($I589&lt;&gt;SottocategorieEntrate[[#Headers],[Business Entrate]],$I589&lt;&gt;SottocategorieEntrate[[#Headers],[Varie Entrate]],$I589&lt;&gt;SottocategorieEntrate[[#Headers],[Real Estate]],$I589&lt;&gt;SottocategorieEntrate[[#Headers],[Other]]),"","$ -")</f>
        <v/>
      </c>
      <c r="Q589" s="59" t="str">
        <f>IF(Dati[[#This Row],[Categoria]]="Prelievo","€ -","")</f>
        <v/>
      </c>
      <c r="R589" s="244"/>
      <c r="S589" s="59" t="str">
        <f>IF(Dati[[#This Row],[Categoria]]="Savings",0,"")</f>
        <v/>
      </c>
      <c r="T589" s="59"/>
      <c r="U589" s="59"/>
      <c r="V589" s="59"/>
      <c r="W589" s="59"/>
      <c r="X589" s="59"/>
      <c r="Y589" s="59"/>
      <c r="Z589" s="59"/>
      <c r="AA589" s="59"/>
      <c r="AB589" s="59"/>
      <c r="AC589" s="59"/>
      <c r="AD589" s="59"/>
      <c r="AE589" s="59"/>
      <c r="AF589" s="59"/>
      <c r="AG589" s="59"/>
      <c r="AH589" s="59"/>
      <c r="AI589" s="59" t="str">
        <f>IF(SUM(Dati[[#This Row],[Inv. Business]:[Inv. Cryptocurrency]])=0," ",SUM(Dati[[#This Row],[Inv. Business]:[Inv. Cryptocurrency]]))</f>
        <v xml:space="preserve"> </v>
      </c>
      <c r="AJ589" s="59"/>
      <c r="AK589" s="59" t="str">
        <f>IF(SUM(Dati[[#This Row],[Inv. Gold]:[Mutuo]])=0," ",SUM(Dati[[#This Row],[Inv. Gold]:[Mutuo]]))</f>
        <v xml:space="preserve"> </v>
      </c>
      <c r="AL589" s="59"/>
      <c r="AM589" s="59"/>
    </row>
    <row r="590" spans="2:39" x14ac:dyDescent="0.35">
      <c r="B590">
        <f t="shared" si="23"/>
        <v>570</v>
      </c>
      <c r="C590" s="49">
        <f>C588+1</f>
        <v>45369</v>
      </c>
      <c r="D590" s="29">
        <f>DAY(Dati[[#This Row],[Data]])</f>
        <v>18</v>
      </c>
      <c r="E590" s="29" t="str">
        <f>IF(DAY(Data!$C$21:$C$1327)&gt;0,TEXT(Data!$C$21:$C$1327, "mmmm"),"")</f>
        <v>marzo</v>
      </c>
      <c r="F590" s="29" t="str">
        <f>IF(DAY(Data!$C$21:$C$1327)&gt;0,TEXT(Data!$C$21:$C$1327, "aaaa"),"")</f>
        <v>2024</v>
      </c>
      <c r="I590" t="str">
        <f>IF(OR(H590=$B$5,H590=$B$6,H590=$B$7,H590=$B$8,H590=$B$9,H590=$B$10,H590=$B$11,H590=$B$12,H590=$B$13,H590=$B$14),SottocategorieUscite[[#Headers],[Fuori Casa]],IF(OR(H590=$C$5,H590=$C$6,H590=$C$7,H590=$C$8,H590=$C$9,H590=$C$10,H590=$C$11,H590=$C$12,H590=$C$13,H590=$C$14),SottocategorieUscite[[#Headers],[Varie Uscite]],IF(OR(H590=$D$5,H590=$D$6,H590=$D$7,H590=$D$8,H590=$D$9,H590=$D$10,H590=$D$11,H590=$D$12,H590=$D$13,H590=$D$14),SottocategorieUscite[[#Headers],[Personali]],IF(OR(H590=$E$5,H590=$E$6,H590=$E$7,H590=$E$8,H590=$E$9,H590=$E$10,H590=$E$11,H590=$E$12,H590=$E$13,H590=$E$14),SottocategorieUscite[[#Headers],[Lavoro]],IF(OR(H590=$F$5,H590=$F$6,H590=$F$7,H590=$F$8,H590=$F$9,H590=$F$10,H590=$F$11,H590=$F$12,H590=$F$13,H590=$F$14),SottocategorieUscite[[#Headers],[Casa]],IF(OR(H590=$G$5,H590=$G$6,H590=$G$7,H590=$G$8,H590=$G$9,H590=$G$10,H590=$G$11,H590=$G$12,H590=$G$13,H590=$G$14),SottocategorieUscite[[#Headers],[Utenze]],IF(OR(H590=$H$5,H590=$H$6,H590=$H$7,H590=$H$8,H590=$H$9,H590=$H$10,H590=$H$11,H590=$H$12,H590=$H$13,H590=$H$14),SottocategorieUscite[[#Headers],[Business Uscite]],IF(OR(H590=$I$5,H590=$I$6,H590=$I$7,H590=$I$8,H590=$I$9,H590=$I$10,H590=$I$11,H590=$I$12,H590=$I$13,H590=$I$14),SottocategorieUscite[[#Headers],[Banca]],IF(OR(H590=K$5,H590=K$6,H590=K$7,H590=K$8,H590=K$9,H590=K$10,H590=K$11,H590=K$12,H590=K$13,H590=K$14),SottocategorieEntrate[[#Headers],[Business Entrate]],IF(OR(H590=L$5,H590=L$6,H590=L$7,H590=L$8,H590=L$9,H590=L$10,H590=L$11,H590=L$12,H590=L$13,H590=L$14),SottocategorieEntrate[[#Headers],[Varie Entrate]],IF(OR(H590=M$5,H590=M$6,H590=M$7,H590=M$8,H590=M$9,H590=M$10,H590=M$11,H590=M$12,H590=M$13,H590=M$14),SottocategorieEntrate[[#Headers],[Real Estate]],IF(OR(H590=N$5,H590=N$6,H590=N$7,H590=N$8,H590=N$9,H590=N$10,H590=N$11,H590=N$12,H590=N$13,H590=N$14),SottocategorieEntrate[[#Headers],[Other]],""))))))))))))</f>
        <v/>
      </c>
      <c r="J590" t="str">
        <f>IF(OR(Dati[[#This Row],[Categoria]]="Bollette",Dati[[#This Row],[Categoria]]="Conto &amp; Carte BNL",Dati[[#This Row],[Categoria]]="Prelievo",Dati[[#This Row],[Categoria]]="Affitto",Dati[[#This Row],[Categoria]]="BNL(Interessi Creditori)"),"Carta",IF(Dati[[#This Row],[Categoria]]&lt;&gt;0,"Cash",""))</f>
        <v/>
      </c>
      <c r="K590" s="59" t="str">
        <f>IF(OR(Data!$I590=SottocategorieUscite[[#Headers],[Fuori Casa]],Data!$I590=SottocategorieUscite[[#Headers],[Varie Uscite]],Data!$I590=SottocategorieUscite[[#Headers],[Personali]],Data!$I590=SottocategorieUscite[[#Headers],[Lavoro]]),"$ -","")</f>
        <v/>
      </c>
      <c r="L590" s="59" t="str">
        <f>IF(OR(Data!$I590=SottocategorieUscite[[#Headers],[Casa]],Data!$I590=SottocategorieUscite[[#Headers],[Utenze]],Data!$I590=SottocategorieUscite[[#Headers],[Business Uscite]],Data!$I590=SottocategorieUscite[[#Headers],[Banca]]),"$ -","")</f>
        <v/>
      </c>
      <c r="M590" s="59" t="str">
        <f>IF(OR($I590&lt;&gt;SottocategorieUscite[[#Headers],[Fuori Casa]],$I590&lt;&gt;SottocategorieUscite[[#Headers],[Varie Uscite]],$I590&lt;&gt;SottocategorieUscite[[#Headers],[Personali]],$I590&lt;&gt;SottocategorieUscite[[#Headers],[Lavoro]],$I590&lt;&gt;SottocategorieUscite[[#Headers],[Casa]],$I590&lt;&gt;SottocategorieUscite[[#Headers],[Utenze]],$I590&lt;&gt;SottocategorieUscite[[#Headers],[Business Uscite]],$I590&lt;&gt;SottocategorieUscite[[#Headers],[Banca]]),"","$ -")</f>
        <v/>
      </c>
      <c r="N590" s="59" t="str">
        <f>IF(OR(Data!$I590=SottocategorieEntrate[[#Headers],[Business Entrate]],Data!$I590=SottocategorieEntrate[[#Headers],[Varie Entrate]]),"$ -","")</f>
        <v/>
      </c>
      <c r="O590" s="59" t="str">
        <f>IF(OR(Data!$I590=SottocategorieEntrate[[#Headers],[Real Estate]],SottocategorieEntrate[[#Headers],[Other]]),"$ -","")</f>
        <v/>
      </c>
      <c r="P590" s="59" t="str">
        <f>IF(OR($I590&lt;&gt;SottocategorieEntrate[[#Headers],[Business Entrate]],$I590&lt;&gt;SottocategorieEntrate[[#Headers],[Varie Entrate]],$I590&lt;&gt;SottocategorieEntrate[[#Headers],[Real Estate]],$I590&lt;&gt;SottocategorieEntrate[[#Headers],[Other]]),"","$ -")</f>
        <v/>
      </c>
      <c r="Q590" s="59" t="str">
        <f>IF(Dati[[#This Row],[Categoria]]="Prelievo","€ -","")</f>
        <v/>
      </c>
      <c r="R590" s="244"/>
      <c r="S590" s="59" t="str">
        <f>IF(Dati[[#This Row],[Categoria]]="Savings",0,"")</f>
        <v/>
      </c>
      <c r="T590" s="59"/>
      <c r="U590" s="59"/>
      <c r="V590" s="59"/>
      <c r="W590" s="59"/>
      <c r="X590" s="59"/>
      <c r="Y590" s="59"/>
      <c r="Z590" s="59"/>
      <c r="AA590" s="59"/>
      <c r="AB590" s="59"/>
      <c r="AC590" s="59"/>
      <c r="AD590" s="59"/>
      <c r="AE590" s="59"/>
      <c r="AF590" s="59"/>
      <c r="AG590" s="59"/>
      <c r="AH590" s="59"/>
      <c r="AI590" s="59" t="str">
        <f>IF(SUM(Dati[[#This Row],[Inv. Business]:[Inv. Cryptocurrency]])=0," ",SUM(Dati[[#This Row],[Inv. Business]:[Inv. Cryptocurrency]]))</f>
        <v xml:space="preserve"> </v>
      </c>
      <c r="AJ590" s="59"/>
      <c r="AK590" s="59" t="str">
        <f>IF(SUM(Dati[[#This Row],[Inv. Gold]:[Mutuo]])=0," ",SUM(Dati[[#This Row],[Inv. Gold]:[Mutuo]]))</f>
        <v xml:space="preserve"> </v>
      </c>
      <c r="AL590" s="59"/>
      <c r="AM590" s="59"/>
    </row>
    <row r="591" spans="2:39" x14ac:dyDescent="0.35">
      <c r="B591">
        <f t="shared" si="23"/>
        <v>571</v>
      </c>
      <c r="C591" s="49">
        <f>C588+1</f>
        <v>45369</v>
      </c>
      <c r="D591" s="29">
        <f>DAY(Dati[[#This Row],[Data]])</f>
        <v>18</v>
      </c>
      <c r="E591" s="29" t="str">
        <f>IF(DAY(Data!$C$21:$C$1327)&gt;0,TEXT(Data!$C$21:$C$1327, "mmmm"),"")</f>
        <v>marzo</v>
      </c>
      <c r="F591" s="29" t="str">
        <f>IF(DAY(Data!$C$21:$C$1327)&gt;0,TEXT(Data!$C$21:$C$1327, "aaaa"),"")</f>
        <v>2024</v>
      </c>
      <c r="I591" t="str">
        <f>IF(OR(H591=$B$5,H591=$B$6,H591=$B$7,H591=$B$8,H591=$B$9,H591=$B$10,H591=$B$11,H591=$B$12,H591=$B$13,H591=$B$14),SottocategorieUscite[[#Headers],[Fuori Casa]],IF(OR(H591=$C$5,H591=$C$6,H591=$C$7,H591=$C$8,H591=$C$9,H591=$C$10,H591=$C$11,H591=$C$12,H591=$C$13,H591=$C$14),SottocategorieUscite[[#Headers],[Varie Uscite]],IF(OR(H591=$D$5,H591=$D$6,H591=$D$7,H591=$D$8,H591=$D$9,H591=$D$10,H591=$D$11,H591=$D$12,H591=$D$13,H591=$D$14),SottocategorieUscite[[#Headers],[Personali]],IF(OR(H591=$E$5,H591=$E$6,H591=$E$7,H591=$E$8,H591=$E$9,H591=$E$10,H591=$E$11,H591=$E$12,H591=$E$13,H591=$E$14),SottocategorieUscite[[#Headers],[Lavoro]],IF(OR(H591=$F$5,H591=$F$6,H591=$F$7,H591=$F$8,H591=$F$9,H591=$F$10,H591=$F$11,H591=$F$12,H591=$F$13,H591=$F$14),SottocategorieUscite[[#Headers],[Casa]],IF(OR(H591=$G$5,H591=$G$6,H591=$G$7,H591=$G$8,H591=$G$9,H591=$G$10,H591=$G$11,H591=$G$12,H591=$G$13,H591=$G$14),SottocategorieUscite[[#Headers],[Utenze]],IF(OR(H591=$H$5,H591=$H$6,H591=$H$7,H591=$H$8,H591=$H$9,H591=$H$10,H591=$H$11,H591=$H$12,H591=$H$13,H591=$H$14),SottocategorieUscite[[#Headers],[Business Uscite]],IF(OR(H591=$I$5,H591=$I$6,H591=$I$7,H591=$I$8,H591=$I$9,H591=$I$10,H591=$I$11,H591=$I$12,H591=$I$13,H591=$I$14),SottocategorieUscite[[#Headers],[Banca]],IF(OR(H591=K$5,H591=K$6,H591=K$7,H591=K$8,H591=K$9,H591=K$10,H591=K$11,H591=K$12,H591=K$13,H591=K$14),SottocategorieEntrate[[#Headers],[Business Entrate]],IF(OR(H591=L$5,H591=L$6,H591=L$7,H591=L$8,H591=L$9,H591=L$10,H591=L$11,H591=L$12,H591=L$13,H591=L$14),SottocategorieEntrate[[#Headers],[Varie Entrate]],IF(OR(H591=M$5,H591=M$6,H591=M$7,H591=M$8,H591=M$9,H591=M$10,H591=M$11,H591=M$12,H591=M$13,H591=M$14),SottocategorieEntrate[[#Headers],[Real Estate]],IF(OR(H591=N$5,H591=N$6,H591=N$7,H591=N$8,H591=N$9,H591=N$10,H591=N$11,H591=N$12,H591=N$13,H591=N$14),SottocategorieEntrate[[#Headers],[Other]],""))))))))))))</f>
        <v/>
      </c>
      <c r="J591" t="str">
        <f>IF(OR(Dati[[#This Row],[Categoria]]="Bollette",Dati[[#This Row],[Categoria]]="Conto &amp; Carte BNL",Dati[[#This Row],[Categoria]]="Prelievo",Dati[[#This Row],[Categoria]]="Affitto",Dati[[#This Row],[Categoria]]="BNL(Interessi Creditori)"),"Carta",IF(Dati[[#This Row],[Categoria]]&lt;&gt;0,"Cash",""))</f>
        <v/>
      </c>
      <c r="K591" s="59" t="str">
        <f>IF(OR(Data!$I591=SottocategorieUscite[[#Headers],[Fuori Casa]],Data!$I591=SottocategorieUscite[[#Headers],[Varie Uscite]],Data!$I591=SottocategorieUscite[[#Headers],[Personali]],Data!$I591=SottocategorieUscite[[#Headers],[Lavoro]]),"$ -","")</f>
        <v/>
      </c>
      <c r="L591" s="59" t="str">
        <f>IF(OR(Data!$I591=SottocategorieUscite[[#Headers],[Casa]],Data!$I591=SottocategorieUscite[[#Headers],[Utenze]],Data!$I591=SottocategorieUscite[[#Headers],[Business Uscite]],Data!$I591=SottocategorieUscite[[#Headers],[Banca]]),"$ -","")</f>
        <v/>
      </c>
      <c r="M591" s="59" t="str">
        <f>IF(OR($I591&lt;&gt;SottocategorieUscite[[#Headers],[Fuori Casa]],$I591&lt;&gt;SottocategorieUscite[[#Headers],[Varie Uscite]],$I591&lt;&gt;SottocategorieUscite[[#Headers],[Personali]],$I591&lt;&gt;SottocategorieUscite[[#Headers],[Lavoro]],$I591&lt;&gt;SottocategorieUscite[[#Headers],[Casa]],$I591&lt;&gt;SottocategorieUscite[[#Headers],[Utenze]],$I591&lt;&gt;SottocategorieUscite[[#Headers],[Business Uscite]],$I591&lt;&gt;SottocategorieUscite[[#Headers],[Banca]]),"","$ -")</f>
        <v/>
      </c>
      <c r="N591" s="59" t="str">
        <f>IF(OR(Data!$I591=SottocategorieEntrate[[#Headers],[Business Entrate]],Data!$I591=SottocategorieEntrate[[#Headers],[Varie Entrate]]),"$ -","")</f>
        <v/>
      </c>
      <c r="O591" s="59" t="str">
        <f>IF(OR(Data!$I591=SottocategorieEntrate[[#Headers],[Real Estate]],SottocategorieEntrate[[#Headers],[Other]]),"$ -","")</f>
        <v/>
      </c>
      <c r="P591" s="59" t="str">
        <f>IF(OR($I591&lt;&gt;SottocategorieEntrate[[#Headers],[Business Entrate]],$I591&lt;&gt;SottocategorieEntrate[[#Headers],[Varie Entrate]],$I591&lt;&gt;SottocategorieEntrate[[#Headers],[Real Estate]],$I591&lt;&gt;SottocategorieEntrate[[#Headers],[Other]]),"","$ -")</f>
        <v/>
      </c>
      <c r="Q591" s="59" t="str">
        <f>IF(Dati[[#This Row],[Categoria]]="Prelievo","€ -","")</f>
        <v/>
      </c>
      <c r="R591" s="244"/>
      <c r="S591" s="59" t="str">
        <f>IF(Dati[[#This Row],[Categoria]]="Savings",0,"")</f>
        <v/>
      </c>
      <c r="T591" s="59"/>
      <c r="U591" s="59"/>
      <c r="V591" s="59"/>
      <c r="W591" s="59"/>
      <c r="X591" s="59"/>
      <c r="Y591" s="59"/>
      <c r="Z591" s="59"/>
      <c r="AA591" s="59"/>
      <c r="AB591" s="59"/>
      <c r="AC591" s="59"/>
      <c r="AD591" s="59"/>
      <c r="AE591" s="59"/>
      <c r="AF591" s="59"/>
      <c r="AG591" s="59"/>
      <c r="AH591" s="59"/>
      <c r="AI591" s="59" t="str">
        <f>IF(SUM(Dati[[#This Row],[Inv. Business]:[Inv. Cryptocurrency]])=0," ",SUM(Dati[[#This Row],[Inv. Business]:[Inv. Cryptocurrency]]))</f>
        <v xml:space="preserve"> </v>
      </c>
      <c r="AJ591" s="59"/>
      <c r="AK591" s="59" t="str">
        <f>IF(SUM(Dati[[#This Row],[Inv. Gold]:[Mutuo]])=0," ",SUM(Dati[[#This Row],[Inv. Gold]:[Mutuo]]))</f>
        <v xml:space="preserve"> </v>
      </c>
      <c r="AL591" s="59"/>
      <c r="AM591" s="59"/>
    </row>
    <row r="592" spans="2:39" x14ac:dyDescent="0.35">
      <c r="B592">
        <f t="shared" si="23"/>
        <v>572</v>
      </c>
      <c r="C592" s="49">
        <f>C588+1</f>
        <v>45369</v>
      </c>
      <c r="D592" s="29">
        <f>DAY(Dati[[#This Row],[Data]])</f>
        <v>18</v>
      </c>
      <c r="E592" s="29" t="str">
        <f>IF(DAY(Data!$C$21:$C$1327)&gt;0,TEXT(Data!$C$21:$C$1327, "mmmm"),"")</f>
        <v>marzo</v>
      </c>
      <c r="F592" s="29" t="str">
        <f>IF(DAY(Data!$C$21:$C$1327)&gt;0,TEXT(Data!$C$21:$C$1327, "aaaa"),"")</f>
        <v>2024</v>
      </c>
      <c r="I592" t="str">
        <f>IF(OR(H592=$B$5,H592=$B$6,H592=$B$7,H592=$B$8,H592=$B$9,H592=$B$10,H592=$B$11,H592=$B$12,H592=$B$13,H592=$B$14),SottocategorieUscite[[#Headers],[Fuori Casa]],IF(OR(H592=$C$5,H592=$C$6,H592=$C$7,H592=$C$8,H592=$C$9,H592=$C$10,H592=$C$11,H592=$C$12,H592=$C$13,H592=$C$14),SottocategorieUscite[[#Headers],[Varie Uscite]],IF(OR(H592=$D$5,H592=$D$6,H592=$D$7,H592=$D$8,H592=$D$9,H592=$D$10,H592=$D$11,H592=$D$12,H592=$D$13,H592=$D$14),SottocategorieUscite[[#Headers],[Personali]],IF(OR(H592=$E$5,H592=$E$6,H592=$E$7,H592=$E$8,H592=$E$9,H592=$E$10,H592=$E$11,H592=$E$12,H592=$E$13,H592=$E$14),SottocategorieUscite[[#Headers],[Lavoro]],IF(OR(H592=$F$5,H592=$F$6,H592=$F$7,H592=$F$8,H592=$F$9,H592=$F$10,H592=$F$11,H592=$F$12,H592=$F$13,H592=$F$14),SottocategorieUscite[[#Headers],[Casa]],IF(OR(H592=$G$5,H592=$G$6,H592=$G$7,H592=$G$8,H592=$G$9,H592=$G$10,H592=$G$11,H592=$G$12,H592=$G$13,H592=$G$14),SottocategorieUscite[[#Headers],[Utenze]],IF(OR(H592=$H$5,H592=$H$6,H592=$H$7,H592=$H$8,H592=$H$9,H592=$H$10,H592=$H$11,H592=$H$12,H592=$H$13,H592=$H$14),SottocategorieUscite[[#Headers],[Business Uscite]],IF(OR(H592=$I$5,H592=$I$6,H592=$I$7,H592=$I$8,H592=$I$9,H592=$I$10,H592=$I$11,H592=$I$12,H592=$I$13,H592=$I$14),SottocategorieUscite[[#Headers],[Banca]],IF(OR(H592=K$5,H592=K$6,H592=K$7,H592=K$8,H592=K$9,H592=K$10,H592=K$11,H592=K$12,H592=K$13,H592=K$14),SottocategorieEntrate[[#Headers],[Business Entrate]],IF(OR(H592=L$5,H592=L$6,H592=L$7,H592=L$8,H592=L$9,H592=L$10,H592=L$11,H592=L$12,H592=L$13,H592=L$14),SottocategorieEntrate[[#Headers],[Varie Entrate]],IF(OR(H592=M$5,H592=M$6,H592=M$7,H592=M$8,H592=M$9,H592=M$10,H592=M$11,H592=M$12,H592=M$13,H592=M$14),SottocategorieEntrate[[#Headers],[Real Estate]],IF(OR(H592=N$5,H592=N$6,H592=N$7,H592=N$8,H592=N$9,H592=N$10,H592=N$11,H592=N$12,H592=N$13,H592=N$14),SottocategorieEntrate[[#Headers],[Other]],""))))))))))))</f>
        <v/>
      </c>
      <c r="J592" t="str">
        <f>IF(OR(Dati[[#This Row],[Categoria]]="Bollette",Dati[[#This Row],[Categoria]]="Conto &amp; Carte BNL",Dati[[#This Row],[Categoria]]="Prelievo",Dati[[#This Row],[Categoria]]="Affitto",Dati[[#This Row],[Categoria]]="BNL(Interessi Creditori)"),"Carta",IF(Dati[[#This Row],[Categoria]]&lt;&gt;0,"Cash",""))</f>
        <v/>
      </c>
      <c r="K592" s="59" t="str">
        <f>IF(OR(Data!$I592=SottocategorieUscite[[#Headers],[Fuori Casa]],Data!$I592=SottocategorieUscite[[#Headers],[Varie Uscite]],Data!$I592=SottocategorieUscite[[#Headers],[Personali]],Data!$I592=SottocategorieUscite[[#Headers],[Lavoro]]),"$ -","")</f>
        <v/>
      </c>
      <c r="L592" s="59" t="str">
        <f>IF(OR(Data!$I592=SottocategorieUscite[[#Headers],[Casa]],Data!$I592=SottocategorieUscite[[#Headers],[Utenze]],Data!$I592=SottocategorieUscite[[#Headers],[Business Uscite]],Data!$I592=SottocategorieUscite[[#Headers],[Banca]]),"$ -","")</f>
        <v/>
      </c>
      <c r="M592" s="59" t="str">
        <f>IF(OR($I592&lt;&gt;SottocategorieUscite[[#Headers],[Fuori Casa]],$I592&lt;&gt;SottocategorieUscite[[#Headers],[Varie Uscite]],$I592&lt;&gt;SottocategorieUscite[[#Headers],[Personali]],$I592&lt;&gt;SottocategorieUscite[[#Headers],[Lavoro]],$I592&lt;&gt;SottocategorieUscite[[#Headers],[Casa]],$I592&lt;&gt;SottocategorieUscite[[#Headers],[Utenze]],$I592&lt;&gt;SottocategorieUscite[[#Headers],[Business Uscite]],$I592&lt;&gt;SottocategorieUscite[[#Headers],[Banca]]),"","$ -")</f>
        <v/>
      </c>
      <c r="N592" s="59" t="str">
        <f>IF(OR(Data!$I592=SottocategorieEntrate[[#Headers],[Business Entrate]],Data!$I592=SottocategorieEntrate[[#Headers],[Varie Entrate]]),"$ -","")</f>
        <v/>
      </c>
      <c r="O592" s="59" t="str">
        <f>IF(OR(Data!$I592=SottocategorieEntrate[[#Headers],[Real Estate]],SottocategorieEntrate[[#Headers],[Other]]),"$ -","")</f>
        <v/>
      </c>
      <c r="P592" s="59" t="str">
        <f>IF(OR($I592&lt;&gt;SottocategorieEntrate[[#Headers],[Business Entrate]],$I592&lt;&gt;SottocategorieEntrate[[#Headers],[Varie Entrate]],$I592&lt;&gt;SottocategorieEntrate[[#Headers],[Real Estate]],$I592&lt;&gt;SottocategorieEntrate[[#Headers],[Other]]),"","$ -")</f>
        <v/>
      </c>
      <c r="Q592" s="59" t="str">
        <f>IF(Dati[[#This Row],[Categoria]]="Prelievo","€ -","")</f>
        <v/>
      </c>
      <c r="R592" s="244"/>
      <c r="S592" s="59" t="str">
        <f>IF(Dati[[#This Row],[Categoria]]="Savings",0,"")</f>
        <v/>
      </c>
      <c r="T592" s="59"/>
      <c r="U592" s="59"/>
      <c r="V592" s="59"/>
      <c r="W592" s="59"/>
      <c r="X592" s="59"/>
      <c r="Y592" s="59"/>
      <c r="Z592" s="59"/>
      <c r="AA592" s="59"/>
      <c r="AB592" s="59"/>
      <c r="AC592" s="59"/>
      <c r="AD592" s="59"/>
      <c r="AE592" s="59"/>
      <c r="AF592" s="59"/>
      <c r="AG592" s="59"/>
      <c r="AH592" s="59"/>
      <c r="AI592" s="59" t="str">
        <f>IF(SUM(Dati[[#This Row],[Inv. Business]:[Inv. Cryptocurrency]])=0," ",SUM(Dati[[#This Row],[Inv. Business]:[Inv. Cryptocurrency]]))</f>
        <v xml:space="preserve"> </v>
      </c>
      <c r="AJ592" s="59"/>
      <c r="AK592" s="59" t="str">
        <f>IF(SUM(Dati[[#This Row],[Inv. Gold]:[Mutuo]])=0," ",SUM(Dati[[#This Row],[Inv. Gold]:[Mutuo]]))</f>
        <v xml:space="preserve"> </v>
      </c>
      <c r="AL592" s="59"/>
      <c r="AM592" s="59"/>
    </row>
    <row r="593" spans="2:39" x14ac:dyDescent="0.35">
      <c r="B593">
        <f t="shared" si="23"/>
        <v>573</v>
      </c>
      <c r="C593" s="49">
        <f>C589+1</f>
        <v>45370</v>
      </c>
      <c r="D593" s="29">
        <f>DAY(Dati[[#This Row],[Data]])</f>
        <v>19</v>
      </c>
      <c r="E593" s="29" t="str">
        <f>IF(DAY(Data!$C$21:$C$1327)&gt;0,TEXT(Data!$C$21:$C$1327, "mmmm"),"")</f>
        <v>marzo</v>
      </c>
      <c r="F593" s="29" t="str">
        <f>IF(DAY(Data!$C$21:$C$1327)&gt;0,TEXT(Data!$C$21:$C$1327, "aaaa"),"")</f>
        <v>2024</v>
      </c>
      <c r="I593" t="str">
        <f>IF(OR(H593=$B$5,H593=$B$6,H593=$B$7,H593=$B$8,H593=$B$9,H593=$B$10,H593=$B$11,H593=$B$12,H593=$B$13,H593=$B$14),SottocategorieUscite[[#Headers],[Fuori Casa]],IF(OR(H593=$C$5,H593=$C$6,H593=$C$7,H593=$C$8,H593=$C$9,H593=$C$10,H593=$C$11,H593=$C$12,H593=$C$13,H593=$C$14),SottocategorieUscite[[#Headers],[Varie Uscite]],IF(OR(H593=$D$5,H593=$D$6,H593=$D$7,H593=$D$8,H593=$D$9,H593=$D$10,H593=$D$11,H593=$D$12,H593=$D$13,H593=$D$14),SottocategorieUscite[[#Headers],[Personali]],IF(OR(H593=$E$5,H593=$E$6,H593=$E$7,H593=$E$8,H593=$E$9,H593=$E$10,H593=$E$11,H593=$E$12,H593=$E$13,H593=$E$14),SottocategorieUscite[[#Headers],[Lavoro]],IF(OR(H593=$F$5,H593=$F$6,H593=$F$7,H593=$F$8,H593=$F$9,H593=$F$10,H593=$F$11,H593=$F$12,H593=$F$13,H593=$F$14),SottocategorieUscite[[#Headers],[Casa]],IF(OR(H593=$G$5,H593=$G$6,H593=$G$7,H593=$G$8,H593=$G$9,H593=$G$10,H593=$G$11,H593=$G$12,H593=$G$13,H593=$G$14),SottocategorieUscite[[#Headers],[Utenze]],IF(OR(H593=$H$5,H593=$H$6,H593=$H$7,H593=$H$8,H593=$H$9,H593=$H$10,H593=$H$11,H593=$H$12,H593=$H$13,H593=$H$14),SottocategorieUscite[[#Headers],[Business Uscite]],IF(OR(H593=$I$5,H593=$I$6,H593=$I$7,H593=$I$8,H593=$I$9,H593=$I$10,H593=$I$11,H593=$I$12,H593=$I$13,H593=$I$14),SottocategorieUscite[[#Headers],[Banca]],IF(OR(H593=K$5,H593=K$6,H593=K$7,H593=K$8,H593=K$9,H593=K$10,H593=K$11,H593=K$12,H593=K$13,H593=K$14),SottocategorieEntrate[[#Headers],[Business Entrate]],IF(OR(H593=L$5,H593=L$6,H593=L$7,H593=L$8,H593=L$9,H593=L$10,H593=L$11,H593=L$12,H593=L$13,H593=L$14),SottocategorieEntrate[[#Headers],[Varie Entrate]],IF(OR(H593=M$5,H593=M$6,H593=M$7,H593=M$8,H593=M$9,H593=M$10,H593=M$11,H593=M$12,H593=M$13,H593=M$14),SottocategorieEntrate[[#Headers],[Real Estate]],IF(OR(H593=N$5,H593=N$6,H593=N$7,H593=N$8,H593=N$9,H593=N$10,H593=N$11,H593=N$12,H593=N$13,H593=N$14),SottocategorieEntrate[[#Headers],[Other]],""))))))))))))</f>
        <v/>
      </c>
      <c r="J593" t="str">
        <f>IF(OR(Dati[[#This Row],[Categoria]]="Bollette",Dati[[#This Row],[Categoria]]="Conto &amp; Carte BNL",Dati[[#This Row],[Categoria]]="Prelievo",Dati[[#This Row],[Categoria]]="Affitto",Dati[[#This Row],[Categoria]]="BNL(Interessi Creditori)"),"Carta",IF(Dati[[#This Row],[Categoria]]&lt;&gt;0,"Cash",""))</f>
        <v/>
      </c>
      <c r="K593" s="59" t="str">
        <f>IF(OR(Data!$I593=SottocategorieUscite[[#Headers],[Fuori Casa]],Data!$I593=SottocategorieUscite[[#Headers],[Varie Uscite]],Data!$I593=SottocategorieUscite[[#Headers],[Personali]],Data!$I593=SottocategorieUscite[[#Headers],[Lavoro]]),"$ -","")</f>
        <v/>
      </c>
      <c r="L593" s="59" t="str">
        <f>IF(OR(Data!$I593=SottocategorieUscite[[#Headers],[Casa]],Data!$I593=SottocategorieUscite[[#Headers],[Utenze]],Data!$I593=SottocategorieUscite[[#Headers],[Business Uscite]],Data!$I593=SottocategorieUscite[[#Headers],[Banca]]),"$ -","")</f>
        <v/>
      </c>
      <c r="M593" s="59" t="str">
        <f>IF(OR($I593&lt;&gt;SottocategorieUscite[[#Headers],[Fuori Casa]],$I593&lt;&gt;SottocategorieUscite[[#Headers],[Varie Uscite]],$I593&lt;&gt;SottocategorieUscite[[#Headers],[Personali]],$I593&lt;&gt;SottocategorieUscite[[#Headers],[Lavoro]],$I593&lt;&gt;SottocategorieUscite[[#Headers],[Casa]],$I593&lt;&gt;SottocategorieUscite[[#Headers],[Utenze]],$I593&lt;&gt;SottocategorieUscite[[#Headers],[Business Uscite]],$I593&lt;&gt;SottocategorieUscite[[#Headers],[Banca]]),"","$ -")</f>
        <v/>
      </c>
      <c r="N593" s="59" t="str">
        <f>IF(OR(Data!$I593=SottocategorieEntrate[[#Headers],[Business Entrate]],Data!$I593=SottocategorieEntrate[[#Headers],[Varie Entrate]]),"$ -","")</f>
        <v/>
      </c>
      <c r="O593" s="59" t="str">
        <f>IF(OR(Data!$I593=SottocategorieEntrate[[#Headers],[Real Estate]],SottocategorieEntrate[[#Headers],[Other]]),"$ -","")</f>
        <v/>
      </c>
      <c r="P593" s="59" t="str">
        <f>IF(OR($I593&lt;&gt;SottocategorieEntrate[[#Headers],[Business Entrate]],$I593&lt;&gt;SottocategorieEntrate[[#Headers],[Varie Entrate]],$I593&lt;&gt;SottocategorieEntrate[[#Headers],[Real Estate]],$I593&lt;&gt;SottocategorieEntrate[[#Headers],[Other]]),"","$ -")</f>
        <v/>
      </c>
      <c r="Q593" s="59" t="str">
        <f>IF(Dati[[#This Row],[Categoria]]="Prelievo","€ -","")</f>
        <v/>
      </c>
      <c r="R593" s="244"/>
      <c r="S593" s="59" t="str">
        <f>IF(Dati[[#This Row],[Categoria]]="Savings",0,"")</f>
        <v/>
      </c>
      <c r="T593" s="59"/>
      <c r="U593" s="59"/>
      <c r="V593" s="59"/>
      <c r="W593" s="59"/>
      <c r="X593" s="59"/>
      <c r="Y593" s="59"/>
      <c r="Z593" s="59"/>
      <c r="AA593" s="59"/>
      <c r="AB593" s="59"/>
      <c r="AC593" s="59"/>
      <c r="AD593" s="59"/>
      <c r="AE593" s="59"/>
      <c r="AF593" s="59"/>
      <c r="AG593" s="59"/>
      <c r="AH593" s="59"/>
      <c r="AI593" s="59" t="str">
        <f>IF(SUM(Dati[[#This Row],[Inv. Business]:[Inv. Cryptocurrency]])=0," ",SUM(Dati[[#This Row],[Inv. Business]:[Inv. Cryptocurrency]]))</f>
        <v xml:space="preserve"> </v>
      </c>
      <c r="AJ593" s="59"/>
      <c r="AK593" s="59" t="str">
        <f>IF(SUM(Dati[[#This Row],[Inv. Gold]:[Mutuo]])=0," ",SUM(Dati[[#This Row],[Inv. Gold]:[Mutuo]]))</f>
        <v xml:space="preserve"> </v>
      </c>
      <c r="AL593" s="59"/>
      <c r="AM593" s="59"/>
    </row>
    <row r="594" spans="2:39" x14ac:dyDescent="0.35">
      <c r="B594">
        <f t="shared" si="23"/>
        <v>574</v>
      </c>
      <c r="C594" s="49">
        <f>C592+1</f>
        <v>45370</v>
      </c>
      <c r="D594" s="29">
        <f>DAY(Dati[[#This Row],[Data]])</f>
        <v>19</v>
      </c>
      <c r="E594" s="29" t="str">
        <f>IF(DAY(Data!$C$21:$C$1327)&gt;0,TEXT(Data!$C$21:$C$1327, "mmmm"),"")</f>
        <v>marzo</v>
      </c>
      <c r="F594" s="29" t="str">
        <f>IF(DAY(Data!$C$21:$C$1327)&gt;0,TEXT(Data!$C$21:$C$1327, "aaaa"),"")</f>
        <v>2024</v>
      </c>
      <c r="I594" t="str">
        <f>IF(OR(H594=$B$5,H594=$B$6,H594=$B$7,H594=$B$8,H594=$B$9,H594=$B$10,H594=$B$11,H594=$B$12,H594=$B$13,H594=$B$14),SottocategorieUscite[[#Headers],[Fuori Casa]],IF(OR(H594=$C$5,H594=$C$6,H594=$C$7,H594=$C$8,H594=$C$9,H594=$C$10,H594=$C$11,H594=$C$12,H594=$C$13,H594=$C$14),SottocategorieUscite[[#Headers],[Varie Uscite]],IF(OR(H594=$D$5,H594=$D$6,H594=$D$7,H594=$D$8,H594=$D$9,H594=$D$10,H594=$D$11,H594=$D$12,H594=$D$13,H594=$D$14),SottocategorieUscite[[#Headers],[Personali]],IF(OR(H594=$E$5,H594=$E$6,H594=$E$7,H594=$E$8,H594=$E$9,H594=$E$10,H594=$E$11,H594=$E$12,H594=$E$13,H594=$E$14),SottocategorieUscite[[#Headers],[Lavoro]],IF(OR(H594=$F$5,H594=$F$6,H594=$F$7,H594=$F$8,H594=$F$9,H594=$F$10,H594=$F$11,H594=$F$12,H594=$F$13,H594=$F$14),SottocategorieUscite[[#Headers],[Casa]],IF(OR(H594=$G$5,H594=$G$6,H594=$G$7,H594=$G$8,H594=$G$9,H594=$G$10,H594=$G$11,H594=$G$12,H594=$G$13,H594=$G$14),SottocategorieUscite[[#Headers],[Utenze]],IF(OR(H594=$H$5,H594=$H$6,H594=$H$7,H594=$H$8,H594=$H$9,H594=$H$10,H594=$H$11,H594=$H$12,H594=$H$13,H594=$H$14),SottocategorieUscite[[#Headers],[Business Uscite]],IF(OR(H594=$I$5,H594=$I$6,H594=$I$7,H594=$I$8,H594=$I$9,H594=$I$10,H594=$I$11,H594=$I$12,H594=$I$13,H594=$I$14),SottocategorieUscite[[#Headers],[Banca]],IF(OR(H594=K$5,H594=K$6,H594=K$7,H594=K$8,H594=K$9,H594=K$10,H594=K$11,H594=K$12,H594=K$13,H594=K$14),SottocategorieEntrate[[#Headers],[Business Entrate]],IF(OR(H594=L$5,H594=L$6,H594=L$7,H594=L$8,H594=L$9,H594=L$10,H594=L$11,H594=L$12,H594=L$13,H594=L$14),SottocategorieEntrate[[#Headers],[Varie Entrate]],IF(OR(H594=M$5,H594=M$6,H594=M$7,H594=M$8,H594=M$9,H594=M$10,H594=M$11,H594=M$12,H594=M$13,H594=M$14),SottocategorieEntrate[[#Headers],[Real Estate]],IF(OR(H594=N$5,H594=N$6,H594=N$7,H594=N$8,H594=N$9,H594=N$10,H594=N$11,H594=N$12,H594=N$13,H594=N$14),SottocategorieEntrate[[#Headers],[Other]],""))))))))))))</f>
        <v/>
      </c>
      <c r="J594" t="str">
        <f>IF(OR(Dati[[#This Row],[Categoria]]="Bollette",Dati[[#This Row],[Categoria]]="Conto &amp; Carte BNL",Dati[[#This Row],[Categoria]]="Prelievo",Dati[[#This Row],[Categoria]]="Affitto",Dati[[#This Row],[Categoria]]="BNL(Interessi Creditori)"),"Carta",IF(Dati[[#This Row],[Categoria]]&lt;&gt;0,"Cash",""))</f>
        <v/>
      </c>
      <c r="K594" s="59" t="str">
        <f>IF(OR(Data!$I594=SottocategorieUscite[[#Headers],[Fuori Casa]],Data!$I594=SottocategorieUscite[[#Headers],[Varie Uscite]],Data!$I594=SottocategorieUscite[[#Headers],[Personali]],Data!$I594=SottocategorieUscite[[#Headers],[Lavoro]]),"$ -","")</f>
        <v/>
      </c>
      <c r="L594" s="59" t="str">
        <f>IF(OR(Data!$I594=SottocategorieUscite[[#Headers],[Casa]],Data!$I594=SottocategorieUscite[[#Headers],[Utenze]],Data!$I594=SottocategorieUscite[[#Headers],[Business Uscite]],Data!$I594=SottocategorieUscite[[#Headers],[Banca]]),"$ -","")</f>
        <v/>
      </c>
      <c r="M594" s="59" t="str">
        <f>IF(OR($I594&lt;&gt;SottocategorieUscite[[#Headers],[Fuori Casa]],$I594&lt;&gt;SottocategorieUscite[[#Headers],[Varie Uscite]],$I594&lt;&gt;SottocategorieUscite[[#Headers],[Personali]],$I594&lt;&gt;SottocategorieUscite[[#Headers],[Lavoro]],$I594&lt;&gt;SottocategorieUscite[[#Headers],[Casa]],$I594&lt;&gt;SottocategorieUscite[[#Headers],[Utenze]],$I594&lt;&gt;SottocategorieUscite[[#Headers],[Business Uscite]],$I594&lt;&gt;SottocategorieUscite[[#Headers],[Banca]]),"","$ -")</f>
        <v/>
      </c>
      <c r="N594" s="59" t="str">
        <f>IF(OR(Data!$I594=SottocategorieEntrate[[#Headers],[Business Entrate]],Data!$I594=SottocategorieEntrate[[#Headers],[Varie Entrate]]),"$ -","")</f>
        <v/>
      </c>
      <c r="O594" s="59" t="str">
        <f>IF(OR(Data!$I594=SottocategorieEntrate[[#Headers],[Real Estate]],SottocategorieEntrate[[#Headers],[Other]]),"$ -","")</f>
        <v/>
      </c>
      <c r="P594" s="59" t="str">
        <f>IF(OR($I594&lt;&gt;SottocategorieEntrate[[#Headers],[Business Entrate]],$I594&lt;&gt;SottocategorieEntrate[[#Headers],[Varie Entrate]],$I594&lt;&gt;SottocategorieEntrate[[#Headers],[Real Estate]],$I594&lt;&gt;SottocategorieEntrate[[#Headers],[Other]]),"","$ -")</f>
        <v/>
      </c>
      <c r="Q594" s="59" t="str">
        <f>IF(Dati[[#This Row],[Categoria]]="Prelievo","€ -","")</f>
        <v/>
      </c>
      <c r="R594" s="244"/>
      <c r="S594" s="59" t="str">
        <f>IF(Dati[[#This Row],[Categoria]]="Savings",0,"")</f>
        <v/>
      </c>
      <c r="T594" s="59"/>
      <c r="U594" s="59"/>
      <c r="V594" s="59"/>
      <c r="W594" s="59"/>
      <c r="X594" s="59"/>
      <c r="Y594" s="59"/>
      <c r="Z594" s="59"/>
      <c r="AA594" s="59"/>
      <c r="AB594" s="59"/>
      <c r="AC594" s="59"/>
      <c r="AD594" s="59"/>
      <c r="AE594" s="59"/>
      <c r="AF594" s="59"/>
      <c r="AG594" s="59"/>
      <c r="AH594" s="59"/>
      <c r="AI594" s="59" t="str">
        <f>IF(SUM(Dati[[#This Row],[Inv. Business]:[Inv. Cryptocurrency]])=0," ",SUM(Dati[[#This Row],[Inv. Business]:[Inv. Cryptocurrency]]))</f>
        <v xml:space="preserve"> </v>
      </c>
      <c r="AJ594" s="59"/>
      <c r="AK594" s="59" t="str">
        <f>IF(SUM(Dati[[#This Row],[Inv. Gold]:[Mutuo]])=0," ",SUM(Dati[[#This Row],[Inv. Gold]:[Mutuo]]))</f>
        <v xml:space="preserve"> </v>
      </c>
      <c r="AL594" s="59"/>
      <c r="AM594" s="59"/>
    </row>
    <row r="595" spans="2:39" x14ac:dyDescent="0.35">
      <c r="B595">
        <f t="shared" si="23"/>
        <v>575</v>
      </c>
      <c r="C595" s="49">
        <f>C592+1</f>
        <v>45370</v>
      </c>
      <c r="D595" s="29">
        <f>DAY(Dati[[#This Row],[Data]])</f>
        <v>19</v>
      </c>
      <c r="E595" s="29" t="str">
        <f>IF(DAY(Data!$C$21:$C$1327)&gt;0,TEXT(Data!$C$21:$C$1327, "mmmm"),"")</f>
        <v>marzo</v>
      </c>
      <c r="F595" s="29" t="str">
        <f>IF(DAY(Data!$C$21:$C$1327)&gt;0,TEXT(Data!$C$21:$C$1327, "aaaa"),"")</f>
        <v>2024</v>
      </c>
      <c r="I595" t="str">
        <f>IF(OR(H595=$B$5,H595=$B$6,H595=$B$7,H595=$B$8,H595=$B$9,H595=$B$10,H595=$B$11,H595=$B$12,H595=$B$13,H595=$B$14),SottocategorieUscite[[#Headers],[Fuori Casa]],IF(OR(H595=$C$5,H595=$C$6,H595=$C$7,H595=$C$8,H595=$C$9,H595=$C$10,H595=$C$11,H595=$C$12,H595=$C$13,H595=$C$14),SottocategorieUscite[[#Headers],[Varie Uscite]],IF(OR(H595=$D$5,H595=$D$6,H595=$D$7,H595=$D$8,H595=$D$9,H595=$D$10,H595=$D$11,H595=$D$12,H595=$D$13,H595=$D$14),SottocategorieUscite[[#Headers],[Personali]],IF(OR(H595=$E$5,H595=$E$6,H595=$E$7,H595=$E$8,H595=$E$9,H595=$E$10,H595=$E$11,H595=$E$12,H595=$E$13,H595=$E$14),SottocategorieUscite[[#Headers],[Lavoro]],IF(OR(H595=$F$5,H595=$F$6,H595=$F$7,H595=$F$8,H595=$F$9,H595=$F$10,H595=$F$11,H595=$F$12,H595=$F$13,H595=$F$14),SottocategorieUscite[[#Headers],[Casa]],IF(OR(H595=$G$5,H595=$G$6,H595=$G$7,H595=$G$8,H595=$G$9,H595=$G$10,H595=$G$11,H595=$G$12,H595=$G$13,H595=$G$14),SottocategorieUscite[[#Headers],[Utenze]],IF(OR(H595=$H$5,H595=$H$6,H595=$H$7,H595=$H$8,H595=$H$9,H595=$H$10,H595=$H$11,H595=$H$12,H595=$H$13,H595=$H$14),SottocategorieUscite[[#Headers],[Business Uscite]],IF(OR(H595=$I$5,H595=$I$6,H595=$I$7,H595=$I$8,H595=$I$9,H595=$I$10,H595=$I$11,H595=$I$12,H595=$I$13,H595=$I$14),SottocategorieUscite[[#Headers],[Banca]],IF(OR(H595=K$5,H595=K$6,H595=K$7,H595=K$8,H595=K$9,H595=K$10,H595=K$11,H595=K$12,H595=K$13,H595=K$14),SottocategorieEntrate[[#Headers],[Business Entrate]],IF(OR(H595=L$5,H595=L$6,H595=L$7,H595=L$8,H595=L$9,H595=L$10,H595=L$11,H595=L$12,H595=L$13,H595=L$14),SottocategorieEntrate[[#Headers],[Varie Entrate]],IF(OR(H595=M$5,H595=M$6,H595=M$7,H595=M$8,H595=M$9,H595=M$10,H595=M$11,H595=M$12,H595=M$13,H595=M$14),SottocategorieEntrate[[#Headers],[Real Estate]],IF(OR(H595=N$5,H595=N$6,H595=N$7,H595=N$8,H595=N$9,H595=N$10,H595=N$11,H595=N$12,H595=N$13,H595=N$14),SottocategorieEntrate[[#Headers],[Other]],""))))))))))))</f>
        <v/>
      </c>
      <c r="J595" t="str">
        <f>IF(OR(Dati[[#This Row],[Categoria]]="Bollette",Dati[[#This Row],[Categoria]]="Conto &amp; Carte BNL",Dati[[#This Row],[Categoria]]="Prelievo",Dati[[#This Row],[Categoria]]="Affitto",Dati[[#This Row],[Categoria]]="BNL(Interessi Creditori)"),"Carta",IF(Dati[[#This Row],[Categoria]]&lt;&gt;0,"Cash",""))</f>
        <v/>
      </c>
      <c r="K595" s="59" t="str">
        <f>IF(OR(Data!$I595=SottocategorieUscite[[#Headers],[Fuori Casa]],Data!$I595=SottocategorieUscite[[#Headers],[Varie Uscite]],Data!$I595=SottocategorieUscite[[#Headers],[Personali]],Data!$I595=SottocategorieUscite[[#Headers],[Lavoro]]),"$ -","")</f>
        <v/>
      </c>
      <c r="L595" s="59" t="str">
        <f>IF(OR(Data!$I595=SottocategorieUscite[[#Headers],[Casa]],Data!$I595=SottocategorieUscite[[#Headers],[Utenze]],Data!$I595=SottocategorieUscite[[#Headers],[Business Uscite]],Data!$I595=SottocategorieUscite[[#Headers],[Banca]]),"$ -","")</f>
        <v/>
      </c>
      <c r="M595" s="59" t="str">
        <f>IF(OR($I595&lt;&gt;SottocategorieUscite[[#Headers],[Fuori Casa]],$I595&lt;&gt;SottocategorieUscite[[#Headers],[Varie Uscite]],$I595&lt;&gt;SottocategorieUscite[[#Headers],[Personali]],$I595&lt;&gt;SottocategorieUscite[[#Headers],[Lavoro]],$I595&lt;&gt;SottocategorieUscite[[#Headers],[Casa]],$I595&lt;&gt;SottocategorieUscite[[#Headers],[Utenze]],$I595&lt;&gt;SottocategorieUscite[[#Headers],[Business Uscite]],$I595&lt;&gt;SottocategorieUscite[[#Headers],[Banca]]),"","$ -")</f>
        <v/>
      </c>
      <c r="N595" s="59" t="str">
        <f>IF(OR(Data!$I595=SottocategorieEntrate[[#Headers],[Business Entrate]],Data!$I595=SottocategorieEntrate[[#Headers],[Varie Entrate]]),"$ -","")</f>
        <v/>
      </c>
      <c r="O595" s="59" t="str">
        <f>IF(OR(Data!$I595=SottocategorieEntrate[[#Headers],[Real Estate]],SottocategorieEntrate[[#Headers],[Other]]),"$ -","")</f>
        <v/>
      </c>
      <c r="P595" s="59" t="str">
        <f>IF(OR($I595&lt;&gt;SottocategorieEntrate[[#Headers],[Business Entrate]],$I595&lt;&gt;SottocategorieEntrate[[#Headers],[Varie Entrate]],$I595&lt;&gt;SottocategorieEntrate[[#Headers],[Real Estate]],$I595&lt;&gt;SottocategorieEntrate[[#Headers],[Other]]),"","$ -")</f>
        <v/>
      </c>
      <c r="Q595" s="59" t="str">
        <f>IF(Dati[[#This Row],[Categoria]]="Prelievo","€ -","")</f>
        <v/>
      </c>
      <c r="R595" s="244"/>
      <c r="S595" s="59" t="str">
        <f>IF(Dati[[#This Row],[Categoria]]="Savings",0,"")</f>
        <v/>
      </c>
      <c r="T595" s="59"/>
      <c r="U595" s="59"/>
      <c r="V595" s="59"/>
      <c r="W595" s="59"/>
      <c r="X595" s="59"/>
      <c r="Y595" s="59"/>
      <c r="Z595" s="59"/>
      <c r="AA595" s="59"/>
      <c r="AB595" s="59"/>
      <c r="AC595" s="59"/>
      <c r="AD595" s="59"/>
      <c r="AE595" s="59"/>
      <c r="AF595" s="59"/>
      <c r="AG595" s="59"/>
      <c r="AH595" s="59"/>
      <c r="AI595" s="59" t="str">
        <f>IF(SUM(Dati[[#This Row],[Inv. Business]:[Inv. Cryptocurrency]])=0," ",SUM(Dati[[#This Row],[Inv. Business]:[Inv. Cryptocurrency]]))</f>
        <v xml:space="preserve"> </v>
      </c>
      <c r="AJ595" s="59"/>
      <c r="AK595" s="59" t="str">
        <f>IF(SUM(Dati[[#This Row],[Inv. Gold]:[Mutuo]])=0," ",SUM(Dati[[#This Row],[Inv. Gold]:[Mutuo]]))</f>
        <v xml:space="preserve"> </v>
      </c>
      <c r="AL595" s="59"/>
      <c r="AM595" s="59"/>
    </row>
    <row r="596" spans="2:39" x14ac:dyDescent="0.35">
      <c r="B596">
        <f t="shared" si="23"/>
        <v>576</v>
      </c>
      <c r="C596" s="49">
        <f>C592+1</f>
        <v>45370</v>
      </c>
      <c r="D596" s="29">
        <f>DAY(Dati[[#This Row],[Data]])</f>
        <v>19</v>
      </c>
      <c r="E596" s="29" t="str">
        <f>IF(DAY(Data!$C$21:$C$1327)&gt;0,TEXT(Data!$C$21:$C$1327, "mmmm"),"")</f>
        <v>marzo</v>
      </c>
      <c r="F596" s="29" t="str">
        <f>IF(DAY(Data!$C$21:$C$1327)&gt;0,TEXT(Data!$C$21:$C$1327, "aaaa"),"")</f>
        <v>2024</v>
      </c>
      <c r="I596" t="str">
        <f>IF(OR(H596=$B$5,H596=$B$6,H596=$B$7,H596=$B$8,H596=$B$9,H596=$B$10,H596=$B$11,H596=$B$12,H596=$B$13,H596=$B$14),SottocategorieUscite[[#Headers],[Fuori Casa]],IF(OR(H596=$C$5,H596=$C$6,H596=$C$7,H596=$C$8,H596=$C$9,H596=$C$10,H596=$C$11,H596=$C$12,H596=$C$13,H596=$C$14),SottocategorieUscite[[#Headers],[Varie Uscite]],IF(OR(H596=$D$5,H596=$D$6,H596=$D$7,H596=$D$8,H596=$D$9,H596=$D$10,H596=$D$11,H596=$D$12,H596=$D$13,H596=$D$14),SottocategorieUscite[[#Headers],[Personali]],IF(OR(H596=$E$5,H596=$E$6,H596=$E$7,H596=$E$8,H596=$E$9,H596=$E$10,H596=$E$11,H596=$E$12,H596=$E$13,H596=$E$14),SottocategorieUscite[[#Headers],[Lavoro]],IF(OR(H596=$F$5,H596=$F$6,H596=$F$7,H596=$F$8,H596=$F$9,H596=$F$10,H596=$F$11,H596=$F$12,H596=$F$13,H596=$F$14),SottocategorieUscite[[#Headers],[Casa]],IF(OR(H596=$G$5,H596=$G$6,H596=$G$7,H596=$G$8,H596=$G$9,H596=$G$10,H596=$G$11,H596=$G$12,H596=$G$13,H596=$G$14),SottocategorieUscite[[#Headers],[Utenze]],IF(OR(H596=$H$5,H596=$H$6,H596=$H$7,H596=$H$8,H596=$H$9,H596=$H$10,H596=$H$11,H596=$H$12,H596=$H$13,H596=$H$14),SottocategorieUscite[[#Headers],[Business Uscite]],IF(OR(H596=$I$5,H596=$I$6,H596=$I$7,H596=$I$8,H596=$I$9,H596=$I$10,H596=$I$11,H596=$I$12,H596=$I$13,H596=$I$14),SottocategorieUscite[[#Headers],[Banca]],IF(OR(H596=K$5,H596=K$6,H596=K$7,H596=K$8,H596=K$9,H596=K$10,H596=K$11,H596=K$12,H596=K$13,H596=K$14),SottocategorieEntrate[[#Headers],[Business Entrate]],IF(OR(H596=L$5,H596=L$6,H596=L$7,H596=L$8,H596=L$9,H596=L$10,H596=L$11,H596=L$12,H596=L$13,H596=L$14),SottocategorieEntrate[[#Headers],[Varie Entrate]],IF(OR(H596=M$5,H596=M$6,H596=M$7,H596=M$8,H596=M$9,H596=M$10,H596=M$11,H596=M$12,H596=M$13,H596=M$14),SottocategorieEntrate[[#Headers],[Real Estate]],IF(OR(H596=N$5,H596=N$6,H596=N$7,H596=N$8,H596=N$9,H596=N$10,H596=N$11,H596=N$12,H596=N$13,H596=N$14),SottocategorieEntrate[[#Headers],[Other]],""))))))))))))</f>
        <v/>
      </c>
      <c r="J596" t="str">
        <f>IF(OR(Dati[[#This Row],[Categoria]]="Bollette",Dati[[#This Row],[Categoria]]="Conto &amp; Carte BNL",Dati[[#This Row],[Categoria]]="Prelievo",Dati[[#This Row],[Categoria]]="Affitto",Dati[[#This Row],[Categoria]]="BNL(Interessi Creditori)"),"Carta",IF(Dati[[#This Row],[Categoria]]&lt;&gt;0,"Cash",""))</f>
        <v/>
      </c>
      <c r="K596" s="59" t="str">
        <f>IF(OR(Data!$I596=SottocategorieUscite[[#Headers],[Fuori Casa]],Data!$I596=SottocategorieUscite[[#Headers],[Varie Uscite]],Data!$I596=SottocategorieUscite[[#Headers],[Personali]],Data!$I596=SottocategorieUscite[[#Headers],[Lavoro]]),"$ -","")</f>
        <v/>
      </c>
      <c r="L596" s="59" t="str">
        <f>IF(OR(Data!$I596=SottocategorieUscite[[#Headers],[Casa]],Data!$I596=SottocategorieUscite[[#Headers],[Utenze]],Data!$I596=SottocategorieUscite[[#Headers],[Business Uscite]],Data!$I596=SottocategorieUscite[[#Headers],[Banca]]),"$ -","")</f>
        <v/>
      </c>
      <c r="M596" s="59" t="str">
        <f>IF(OR($I596&lt;&gt;SottocategorieUscite[[#Headers],[Fuori Casa]],$I596&lt;&gt;SottocategorieUscite[[#Headers],[Varie Uscite]],$I596&lt;&gt;SottocategorieUscite[[#Headers],[Personali]],$I596&lt;&gt;SottocategorieUscite[[#Headers],[Lavoro]],$I596&lt;&gt;SottocategorieUscite[[#Headers],[Casa]],$I596&lt;&gt;SottocategorieUscite[[#Headers],[Utenze]],$I596&lt;&gt;SottocategorieUscite[[#Headers],[Business Uscite]],$I596&lt;&gt;SottocategorieUscite[[#Headers],[Banca]]),"","$ -")</f>
        <v/>
      </c>
      <c r="N596" s="59" t="str">
        <f>IF(OR(Data!$I596=SottocategorieEntrate[[#Headers],[Business Entrate]],Data!$I596=SottocategorieEntrate[[#Headers],[Varie Entrate]]),"$ -","")</f>
        <v/>
      </c>
      <c r="O596" s="59" t="str">
        <f>IF(OR(Data!$I596=SottocategorieEntrate[[#Headers],[Real Estate]],SottocategorieEntrate[[#Headers],[Other]]),"$ -","")</f>
        <v/>
      </c>
      <c r="P596" s="59" t="str">
        <f>IF(OR($I596&lt;&gt;SottocategorieEntrate[[#Headers],[Business Entrate]],$I596&lt;&gt;SottocategorieEntrate[[#Headers],[Varie Entrate]],$I596&lt;&gt;SottocategorieEntrate[[#Headers],[Real Estate]],$I596&lt;&gt;SottocategorieEntrate[[#Headers],[Other]]),"","$ -")</f>
        <v/>
      </c>
      <c r="Q596" s="59" t="str">
        <f>IF(Dati[[#This Row],[Categoria]]="Prelievo","€ -","")</f>
        <v/>
      </c>
      <c r="R596" s="244"/>
      <c r="S596" s="59" t="str">
        <f>IF(Dati[[#This Row],[Categoria]]="Savings",0,"")</f>
        <v/>
      </c>
      <c r="T596" s="59"/>
      <c r="U596" s="59"/>
      <c r="V596" s="59"/>
      <c r="W596" s="59"/>
      <c r="X596" s="59"/>
      <c r="Y596" s="59"/>
      <c r="Z596" s="59"/>
      <c r="AA596" s="59"/>
      <c r="AB596" s="59"/>
      <c r="AC596" s="59"/>
      <c r="AD596" s="59"/>
      <c r="AE596" s="59"/>
      <c r="AF596" s="59"/>
      <c r="AG596" s="59"/>
      <c r="AH596" s="59"/>
      <c r="AI596" s="59" t="str">
        <f>IF(SUM(Dati[[#This Row],[Inv. Business]:[Inv. Cryptocurrency]])=0," ",SUM(Dati[[#This Row],[Inv. Business]:[Inv. Cryptocurrency]]))</f>
        <v xml:space="preserve"> </v>
      </c>
      <c r="AJ596" s="59"/>
      <c r="AK596" s="59" t="str">
        <f>IF(SUM(Dati[[#This Row],[Inv. Gold]:[Mutuo]])=0," ",SUM(Dati[[#This Row],[Inv. Gold]:[Mutuo]]))</f>
        <v xml:space="preserve"> </v>
      </c>
      <c r="AL596" s="59"/>
      <c r="AM596" s="59"/>
    </row>
    <row r="597" spans="2:39" x14ac:dyDescent="0.35">
      <c r="B597">
        <f t="shared" ref="B597:B659" si="25">ROW(577:577)</f>
        <v>577</v>
      </c>
      <c r="C597" s="49">
        <f>C593+1</f>
        <v>45371</v>
      </c>
      <c r="D597" s="29">
        <f>DAY(Dati[[#This Row],[Data]])</f>
        <v>20</v>
      </c>
      <c r="E597" s="29" t="str">
        <f>IF(DAY(Data!$C$21:$C$1327)&gt;0,TEXT(Data!$C$21:$C$1327, "mmmm"),"")</f>
        <v>marzo</v>
      </c>
      <c r="F597" s="29" t="str">
        <f>IF(DAY(Data!$C$21:$C$1327)&gt;0,TEXT(Data!$C$21:$C$1327, "aaaa"),"")</f>
        <v>2024</v>
      </c>
      <c r="I597" t="str">
        <f>IF(OR(H597=$B$5,H597=$B$6,H597=$B$7,H597=$B$8,H597=$B$9,H597=$B$10,H597=$B$11,H597=$B$12,H597=$B$13,H597=$B$14),SottocategorieUscite[[#Headers],[Fuori Casa]],IF(OR(H597=$C$5,H597=$C$6,H597=$C$7,H597=$C$8,H597=$C$9,H597=$C$10,H597=$C$11,H597=$C$12,H597=$C$13,H597=$C$14),SottocategorieUscite[[#Headers],[Varie Uscite]],IF(OR(H597=$D$5,H597=$D$6,H597=$D$7,H597=$D$8,H597=$D$9,H597=$D$10,H597=$D$11,H597=$D$12,H597=$D$13,H597=$D$14),SottocategorieUscite[[#Headers],[Personali]],IF(OR(H597=$E$5,H597=$E$6,H597=$E$7,H597=$E$8,H597=$E$9,H597=$E$10,H597=$E$11,H597=$E$12,H597=$E$13,H597=$E$14),SottocategorieUscite[[#Headers],[Lavoro]],IF(OR(H597=$F$5,H597=$F$6,H597=$F$7,H597=$F$8,H597=$F$9,H597=$F$10,H597=$F$11,H597=$F$12,H597=$F$13,H597=$F$14),SottocategorieUscite[[#Headers],[Casa]],IF(OR(H597=$G$5,H597=$G$6,H597=$G$7,H597=$G$8,H597=$G$9,H597=$G$10,H597=$G$11,H597=$G$12,H597=$G$13,H597=$G$14),SottocategorieUscite[[#Headers],[Utenze]],IF(OR(H597=$H$5,H597=$H$6,H597=$H$7,H597=$H$8,H597=$H$9,H597=$H$10,H597=$H$11,H597=$H$12,H597=$H$13,H597=$H$14),SottocategorieUscite[[#Headers],[Business Uscite]],IF(OR(H597=$I$5,H597=$I$6,H597=$I$7,H597=$I$8,H597=$I$9,H597=$I$10,H597=$I$11,H597=$I$12,H597=$I$13,H597=$I$14),SottocategorieUscite[[#Headers],[Banca]],IF(OR(H597=K$5,H597=K$6,H597=K$7,H597=K$8,H597=K$9,H597=K$10,H597=K$11,H597=K$12,H597=K$13,H597=K$14),SottocategorieEntrate[[#Headers],[Business Entrate]],IF(OR(H597=L$5,H597=L$6,H597=L$7,H597=L$8,H597=L$9,H597=L$10,H597=L$11,H597=L$12,H597=L$13,H597=L$14),SottocategorieEntrate[[#Headers],[Varie Entrate]],IF(OR(H597=M$5,H597=M$6,H597=M$7,H597=M$8,H597=M$9,H597=M$10,H597=M$11,H597=M$12,H597=M$13,H597=M$14),SottocategorieEntrate[[#Headers],[Real Estate]],IF(OR(H597=N$5,H597=N$6,H597=N$7,H597=N$8,H597=N$9,H597=N$10,H597=N$11,H597=N$12,H597=N$13,H597=N$14),SottocategorieEntrate[[#Headers],[Other]],""))))))))))))</f>
        <v/>
      </c>
      <c r="J597" t="str">
        <f>IF(OR(Dati[[#This Row],[Categoria]]="Bollette",Dati[[#This Row],[Categoria]]="Conto &amp; Carte BNL",Dati[[#This Row],[Categoria]]="Prelievo",Dati[[#This Row],[Categoria]]="Affitto",Dati[[#This Row],[Categoria]]="BNL(Interessi Creditori)"),"Carta",IF(Dati[[#This Row],[Categoria]]&lt;&gt;0,"Cash",""))</f>
        <v/>
      </c>
      <c r="K597" s="59" t="str">
        <f>IF(OR(Data!$I597=SottocategorieUscite[[#Headers],[Fuori Casa]],Data!$I597=SottocategorieUscite[[#Headers],[Varie Uscite]],Data!$I597=SottocategorieUscite[[#Headers],[Personali]],Data!$I597=SottocategorieUscite[[#Headers],[Lavoro]]),"$ -","")</f>
        <v/>
      </c>
      <c r="L597" s="59" t="str">
        <f>IF(OR(Data!$I597=SottocategorieUscite[[#Headers],[Casa]],Data!$I597=SottocategorieUscite[[#Headers],[Utenze]],Data!$I597=SottocategorieUscite[[#Headers],[Business Uscite]],Data!$I597=SottocategorieUscite[[#Headers],[Banca]]),"$ -","")</f>
        <v/>
      </c>
      <c r="M597" s="59" t="str">
        <f>IF(OR($I597&lt;&gt;SottocategorieUscite[[#Headers],[Fuori Casa]],$I597&lt;&gt;SottocategorieUscite[[#Headers],[Varie Uscite]],$I597&lt;&gt;SottocategorieUscite[[#Headers],[Personali]],$I597&lt;&gt;SottocategorieUscite[[#Headers],[Lavoro]],$I597&lt;&gt;SottocategorieUscite[[#Headers],[Casa]],$I597&lt;&gt;SottocategorieUscite[[#Headers],[Utenze]],$I597&lt;&gt;SottocategorieUscite[[#Headers],[Business Uscite]],$I597&lt;&gt;SottocategorieUscite[[#Headers],[Banca]]),"","$ -")</f>
        <v/>
      </c>
      <c r="N597" s="59" t="str">
        <f>IF(OR(Data!$I597=SottocategorieEntrate[[#Headers],[Business Entrate]],Data!$I597=SottocategorieEntrate[[#Headers],[Varie Entrate]]),"$ -","")</f>
        <v/>
      </c>
      <c r="O597" s="59" t="str">
        <f>IF(OR(Data!$I597=SottocategorieEntrate[[#Headers],[Real Estate]],SottocategorieEntrate[[#Headers],[Other]]),"$ -","")</f>
        <v/>
      </c>
      <c r="P597" s="59" t="str">
        <f>IF(OR($I597&lt;&gt;SottocategorieEntrate[[#Headers],[Business Entrate]],$I597&lt;&gt;SottocategorieEntrate[[#Headers],[Varie Entrate]],$I597&lt;&gt;SottocategorieEntrate[[#Headers],[Real Estate]],$I597&lt;&gt;SottocategorieEntrate[[#Headers],[Other]]),"","$ -")</f>
        <v/>
      </c>
      <c r="Q597" s="59" t="str">
        <f>IF(Dati[[#This Row],[Categoria]]="Prelievo","€ -","")</f>
        <v/>
      </c>
      <c r="R597" s="244"/>
      <c r="S597" s="59" t="str">
        <f>IF(Dati[[#This Row],[Categoria]]="Savings",0,"")</f>
        <v/>
      </c>
      <c r="T597" s="59"/>
      <c r="U597" s="59"/>
      <c r="V597" s="59"/>
      <c r="W597" s="59"/>
      <c r="X597" s="59"/>
      <c r="Y597" s="59"/>
      <c r="Z597" s="59"/>
      <c r="AA597" s="59"/>
      <c r="AB597" s="59"/>
      <c r="AC597" s="59"/>
      <c r="AD597" s="59"/>
      <c r="AE597" s="59"/>
      <c r="AF597" s="59"/>
      <c r="AG597" s="59"/>
      <c r="AH597" s="59"/>
      <c r="AI597" s="59" t="str">
        <f>IF(SUM(Dati[[#This Row],[Inv. Business]:[Inv. Cryptocurrency]])=0," ",SUM(Dati[[#This Row],[Inv. Business]:[Inv. Cryptocurrency]]))</f>
        <v xml:space="preserve"> </v>
      </c>
      <c r="AJ597" s="59"/>
      <c r="AK597" s="59" t="str">
        <f>IF(SUM(Dati[[#This Row],[Inv. Gold]:[Mutuo]])=0," ",SUM(Dati[[#This Row],[Inv. Gold]:[Mutuo]]))</f>
        <v xml:space="preserve"> </v>
      </c>
      <c r="AL597" s="59"/>
      <c r="AM597" s="59"/>
    </row>
    <row r="598" spans="2:39" x14ac:dyDescent="0.35">
      <c r="B598">
        <f t="shared" si="25"/>
        <v>578</v>
      </c>
      <c r="C598" s="49">
        <f t="shared" si="24"/>
        <v>45372</v>
      </c>
      <c r="D598" s="29">
        <f>DAY(Dati[[#This Row],[Data]])</f>
        <v>21</v>
      </c>
      <c r="E598" s="29" t="str">
        <f>IF(DAY(Data!$C$21:$C$1327)&gt;0,TEXT(Data!$C$21:$C$1327, "mmmm"),"")</f>
        <v>marzo</v>
      </c>
      <c r="F598" s="29" t="str">
        <f>IF(DAY(Data!$C$21:$C$1327)&gt;0,TEXT(Data!$C$21:$C$1327, "aaaa"),"")</f>
        <v>2024</v>
      </c>
      <c r="I598" t="str">
        <f>IF(OR(H598=$B$5,H598=$B$6,H598=$B$7,H598=$B$8,H598=$B$9,H598=$B$10,H598=$B$11,H598=$B$12,H598=$B$13,H598=$B$14),SottocategorieUscite[[#Headers],[Fuori Casa]],IF(OR(H598=$C$5,H598=$C$6,H598=$C$7,H598=$C$8,H598=$C$9,H598=$C$10,H598=$C$11,H598=$C$12,H598=$C$13,H598=$C$14),SottocategorieUscite[[#Headers],[Varie Uscite]],IF(OR(H598=$D$5,H598=$D$6,H598=$D$7,H598=$D$8,H598=$D$9,H598=$D$10,H598=$D$11,H598=$D$12,H598=$D$13,H598=$D$14),SottocategorieUscite[[#Headers],[Personali]],IF(OR(H598=$E$5,H598=$E$6,H598=$E$7,H598=$E$8,H598=$E$9,H598=$E$10,H598=$E$11,H598=$E$12,H598=$E$13,H598=$E$14),SottocategorieUscite[[#Headers],[Lavoro]],IF(OR(H598=$F$5,H598=$F$6,H598=$F$7,H598=$F$8,H598=$F$9,H598=$F$10,H598=$F$11,H598=$F$12,H598=$F$13,H598=$F$14),SottocategorieUscite[[#Headers],[Casa]],IF(OR(H598=$G$5,H598=$G$6,H598=$G$7,H598=$G$8,H598=$G$9,H598=$G$10,H598=$G$11,H598=$G$12,H598=$G$13,H598=$G$14),SottocategorieUscite[[#Headers],[Utenze]],IF(OR(H598=$H$5,H598=$H$6,H598=$H$7,H598=$H$8,H598=$H$9,H598=$H$10,H598=$H$11,H598=$H$12,H598=$H$13,H598=$H$14),SottocategorieUscite[[#Headers],[Business Uscite]],IF(OR(H598=$I$5,H598=$I$6,H598=$I$7,H598=$I$8,H598=$I$9,H598=$I$10,H598=$I$11,H598=$I$12,H598=$I$13,H598=$I$14),SottocategorieUscite[[#Headers],[Banca]],IF(OR(H598=K$5,H598=K$6,H598=K$7,H598=K$8,H598=K$9,H598=K$10,H598=K$11,H598=K$12,H598=K$13,H598=K$14),SottocategorieEntrate[[#Headers],[Business Entrate]],IF(OR(H598=L$5,H598=L$6,H598=L$7,H598=L$8,H598=L$9,H598=L$10,H598=L$11,H598=L$12,H598=L$13,H598=L$14),SottocategorieEntrate[[#Headers],[Varie Entrate]],IF(OR(H598=M$5,H598=M$6,H598=M$7,H598=M$8,H598=M$9,H598=M$10,H598=M$11,H598=M$12,H598=M$13,H598=M$14),SottocategorieEntrate[[#Headers],[Real Estate]],IF(OR(H598=N$5,H598=N$6,H598=N$7,H598=N$8,H598=N$9,H598=N$10,H598=N$11,H598=N$12,H598=N$13,H598=N$14),SottocategorieEntrate[[#Headers],[Other]],""))))))))))))</f>
        <v/>
      </c>
      <c r="J598" t="str">
        <f>IF(OR(Dati[[#This Row],[Categoria]]="Bollette",Dati[[#This Row],[Categoria]]="Conto &amp; Carte BNL",Dati[[#This Row],[Categoria]]="Prelievo",Dati[[#This Row],[Categoria]]="Affitto",Dati[[#This Row],[Categoria]]="BNL(Interessi Creditori)"),"Carta",IF(Dati[[#This Row],[Categoria]]&lt;&gt;0,"Cash",""))</f>
        <v/>
      </c>
      <c r="K598" s="59" t="str">
        <f>IF(OR(Data!$I598=SottocategorieUscite[[#Headers],[Fuori Casa]],Data!$I598=SottocategorieUscite[[#Headers],[Varie Uscite]],Data!$I598=SottocategorieUscite[[#Headers],[Personali]],Data!$I598=SottocategorieUscite[[#Headers],[Lavoro]]),"$ -","")</f>
        <v/>
      </c>
      <c r="L598" s="59" t="str">
        <f>IF(OR(Data!$I598=SottocategorieUscite[[#Headers],[Casa]],Data!$I598=SottocategorieUscite[[#Headers],[Utenze]],Data!$I598=SottocategorieUscite[[#Headers],[Business Uscite]],Data!$I598=SottocategorieUscite[[#Headers],[Banca]]),"$ -","")</f>
        <v/>
      </c>
      <c r="M598" s="59" t="str">
        <f>IF(OR($I598&lt;&gt;SottocategorieUscite[[#Headers],[Fuori Casa]],$I598&lt;&gt;SottocategorieUscite[[#Headers],[Varie Uscite]],$I598&lt;&gt;SottocategorieUscite[[#Headers],[Personali]],$I598&lt;&gt;SottocategorieUscite[[#Headers],[Lavoro]],$I598&lt;&gt;SottocategorieUscite[[#Headers],[Casa]],$I598&lt;&gt;SottocategorieUscite[[#Headers],[Utenze]],$I598&lt;&gt;SottocategorieUscite[[#Headers],[Business Uscite]],$I598&lt;&gt;SottocategorieUscite[[#Headers],[Banca]]),"","$ -")</f>
        <v/>
      </c>
      <c r="N598" s="59" t="str">
        <f>IF(OR(Data!$I598=SottocategorieEntrate[[#Headers],[Business Entrate]],Data!$I598=SottocategorieEntrate[[#Headers],[Varie Entrate]]),"$ -","")</f>
        <v/>
      </c>
      <c r="O598" s="59" t="str">
        <f>IF(OR(Data!$I598=SottocategorieEntrate[[#Headers],[Real Estate]],SottocategorieEntrate[[#Headers],[Other]]),"$ -","")</f>
        <v/>
      </c>
      <c r="P598" s="59" t="str">
        <f>IF(OR($I598&lt;&gt;SottocategorieEntrate[[#Headers],[Business Entrate]],$I598&lt;&gt;SottocategorieEntrate[[#Headers],[Varie Entrate]],$I598&lt;&gt;SottocategorieEntrate[[#Headers],[Real Estate]],$I598&lt;&gt;SottocategorieEntrate[[#Headers],[Other]]),"","$ -")</f>
        <v/>
      </c>
      <c r="Q598" s="59" t="str">
        <f>IF(Dati[[#This Row],[Categoria]]="Prelievo","€ -","")</f>
        <v/>
      </c>
      <c r="R598" s="244"/>
      <c r="S598" s="59" t="str">
        <f>IF(Dati[[#This Row],[Categoria]]="Savings",0,"")</f>
        <v/>
      </c>
      <c r="T598" s="59"/>
      <c r="U598" s="59"/>
      <c r="V598" s="59"/>
      <c r="W598" s="59"/>
      <c r="X598" s="59"/>
      <c r="Y598" s="59"/>
      <c r="Z598" s="59"/>
      <c r="AA598" s="59"/>
      <c r="AB598" s="59"/>
      <c r="AC598" s="59"/>
      <c r="AD598" s="59"/>
      <c r="AE598" s="59"/>
      <c r="AF598" s="59"/>
      <c r="AG598" s="59"/>
      <c r="AH598" s="59"/>
      <c r="AI598" s="59" t="str">
        <f>IF(SUM(Dati[[#This Row],[Inv. Business]:[Inv. Cryptocurrency]])=0," ",SUM(Dati[[#This Row],[Inv. Business]:[Inv. Cryptocurrency]]))</f>
        <v xml:space="preserve"> </v>
      </c>
      <c r="AJ598" s="59"/>
      <c r="AK598" s="59" t="str">
        <f>IF(SUM(Dati[[#This Row],[Inv. Gold]:[Mutuo]])=0," ",SUM(Dati[[#This Row],[Inv. Gold]:[Mutuo]]))</f>
        <v xml:space="preserve"> </v>
      </c>
      <c r="AL598" s="59"/>
      <c r="AM598" s="59"/>
    </row>
    <row r="599" spans="2:39" x14ac:dyDescent="0.35">
      <c r="B599">
        <f t="shared" si="25"/>
        <v>579</v>
      </c>
      <c r="C599" s="49">
        <f t="shared" si="24"/>
        <v>45373</v>
      </c>
      <c r="D599" s="29">
        <f>DAY(Dati[[#This Row],[Data]])</f>
        <v>22</v>
      </c>
      <c r="E599" s="29" t="str">
        <f>IF(DAY(Data!$C$21:$C$1327)&gt;0,TEXT(Data!$C$21:$C$1327, "mmmm"),"")</f>
        <v>marzo</v>
      </c>
      <c r="F599" s="29" t="str">
        <f>IF(DAY(Data!$C$21:$C$1327)&gt;0,TEXT(Data!$C$21:$C$1327, "aaaa"),"")</f>
        <v>2024</v>
      </c>
      <c r="I599" t="str">
        <f>IF(OR(H599=$B$5,H599=$B$6,H599=$B$7,H599=$B$8,H599=$B$9,H599=$B$10,H599=$B$11,H599=$B$12,H599=$B$13,H599=$B$14),SottocategorieUscite[[#Headers],[Fuori Casa]],IF(OR(H599=$C$5,H599=$C$6,H599=$C$7,H599=$C$8,H599=$C$9,H599=$C$10,H599=$C$11,H599=$C$12,H599=$C$13,H599=$C$14),SottocategorieUscite[[#Headers],[Varie Uscite]],IF(OR(H599=$D$5,H599=$D$6,H599=$D$7,H599=$D$8,H599=$D$9,H599=$D$10,H599=$D$11,H599=$D$12,H599=$D$13,H599=$D$14),SottocategorieUscite[[#Headers],[Personali]],IF(OR(H599=$E$5,H599=$E$6,H599=$E$7,H599=$E$8,H599=$E$9,H599=$E$10,H599=$E$11,H599=$E$12,H599=$E$13,H599=$E$14),SottocategorieUscite[[#Headers],[Lavoro]],IF(OR(H599=$F$5,H599=$F$6,H599=$F$7,H599=$F$8,H599=$F$9,H599=$F$10,H599=$F$11,H599=$F$12,H599=$F$13,H599=$F$14),SottocategorieUscite[[#Headers],[Casa]],IF(OR(H599=$G$5,H599=$G$6,H599=$G$7,H599=$G$8,H599=$G$9,H599=$G$10,H599=$G$11,H599=$G$12,H599=$G$13,H599=$G$14),SottocategorieUscite[[#Headers],[Utenze]],IF(OR(H599=$H$5,H599=$H$6,H599=$H$7,H599=$H$8,H599=$H$9,H599=$H$10,H599=$H$11,H599=$H$12,H599=$H$13,H599=$H$14),SottocategorieUscite[[#Headers],[Business Uscite]],IF(OR(H599=$I$5,H599=$I$6,H599=$I$7,H599=$I$8,H599=$I$9,H599=$I$10,H599=$I$11,H599=$I$12,H599=$I$13,H599=$I$14),SottocategorieUscite[[#Headers],[Banca]],IF(OR(H599=K$5,H599=K$6,H599=K$7,H599=K$8,H599=K$9,H599=K$10,H599=K$11,H599=K$12,H599=K$13,H599=K$14),SottocategorieEntrate[[#Headers],[Business Entrate]],IF(OR(H599=L$5,H599=L$6,H599=L$7,H599=L$8,H599=L$9,H599=L$10,H599=L$11,H599=L$12,H599=L$13,H599=L$14),SottocategorieEntrate[[#Headers],[Varie Entrate]],IF(OR(H599=M$5,H599=M$6,H599=M$7,H599=M$8,H599=M$9,H599=M$10,H599=M$11,H599=M$12,H599=M$13,H599=M$14),SottocategorieEntrate[[#Headers],[Real Estate]],IF(OR(H599=N$5,H599=N$6,H599=N$7,H599=N$8,H599=N$9,H599=N$10,H599=N$11,H599=N$12,H599=N$13,H599=N$14),SottocategorieEntrate[[#Headers],[Other]],""))))))))))))</f>
        <v/>
      </c>
      <c r="J599" t="str">
        <f>IF(OR(Dati[[#This Row],[Categoria]]="Bollette",Dati[[#This Row],[Categoria]]="Conto &amp; Carte BNL",Dati[[#This Row],[Categoria]]="Prelievo",Dati[[#This Row],[Categoria]]="Affitto",Dati[[#This Row],[Categoria]]="BNL(Interessi Creditori)"),"Carta",IF(Dati[[#This Row],[Categoria]]&lt;&gt;0,"Cash",""))</f>
        <v/>
      </c>
      <c r="K599" s="59" t="str">
        <f>IF(OR(Data!$I599=SottocategorieUscite[[#Headers],[Fuori Casa]],Data!$I599=SottocategorieUscite[[#Headers],[Varie Uscite]],Data!$I599=SottocategorieUscite[[#Headers],[Personali]],Data!$I599=SottocategorieUscite[[#Headers],[Lavoro]]),"$ -","")</f>
        <v/>
      </c>
      <c r="L599" s="59" t="str">
        <f>IF(OR(Data!$I599=SottocategorieUscite[[#Headers],[Casa]],Data!$I599=SottocategorieUscite[[#Headers],[Utenze]],Data!$I599=SottocategorieUscite[[#Headers],[Business Uscite]],Data!$I599=SottocategorieUscite[[#Headers],[Banca]]),"$ -","")</f>
        <v/>
      </c>
      <c r="M599" s="59" t="str">
        <f>IF(OR($I599&lt;&gt;SottocategorieUscite[[#Headers],[Fuori Casa]],$I599&lt;&gt;SottocategorieUscite[[#Headers],[Varie Uscite]],$I599&lt;&gt;SottocategorieUscite[[#Headers],[Personali]],$I599&lt;&gt;SottocategorieUscite[[#Headers],[Lavoro]],$I599&lt;&gt;SottocategorieUscite[[#Headers],[Casa]],$I599&lt;&gt;SottocategorieUscite[[#Headers],[Utenze]],$I599&lt;&gt;SottocategorieUscite[[#Headers],[Business Uscite]],$I599&lt;&gt;SottocategorieUscite[[#Headers],[Banca]]),"","$ -")</f>
        <v/>
      </c>
      <c r="N599" s="59" t="str">
        <f>IF(OR(Data!$I599=SottocategorieEntrate[[#Headers],[Business Entrate]],Data!$I599=SottocategorieEntrate[[#Headers],[Varie Entrate]]),"$ -","")</f>
        <v/>
      </c>
      <c r="O599" s="59" t="str">
        <f>IF(OR(Data!$I599=SottocategorieEntrate[[#Headers],[Real Estate]],SottocategorieEntrate[[#Headers],[Other]]),"$ -","")</f>
        <v/>
      </c>
      <c r="P599" s="59" t="str">
        <f>IF(OR($I599&lt;&gt;SottocategorieEntrate[[#Headers],[Business Entrate]],$I599&lt;&gt;SottocategorieEntrate[[#Headers],[Varie Entrate]],$I599&lt;&gt;SottocategorieEntrate[[#Headers],[Real Estate]],$I599&lt;&gt;SottocategorieEntrate[[#Headers],[Other]]),"","$ -")</f>
        <v/>
      </c>
      <c r="Q599" s="59" t="str">
        <f>IF(Dati[[#This Row],[Categoria]]="Prelievo","€ -","")</f>
        <v/>
      </c>
      <c r="R599" s="244"/>
      <c r="S599" s="59" t="str">
        <f>IF(Dati[[#This Row],[Categoria]]="Savings",0,"")</f>
        <v/>
      </c>
      <c r="T599" s="59"/>
      <c r="U599" s="59"/>
      <c r="V599" s="59"/>
      <c r="W599" s="59"/>
      <c r="X599" s="59"/>
      <c r="Y599" s="59"/>
      <c r="Z599" s="59"/>
      <c r="AA599" s="59"/>
      <c r="AB599" s="59"/>
      <c r="AC599" s="59"/>
      <c r="AD599" s="59"/>
      <c r="AE599" s="59"/>
      <c r="AF599" s="59"/>
      <c r="AG599" s="59"/>
      <c r="AH599" s="59"/>
      <c r="AI599" s="59" t="str">
        <f>IF(SUM(Dati[[#This Row],[Inv. Business]:[Inv. Cryptocurrency]])=0," ",SUM(Dati[[#This Row],[Inv. Business]:[Inv. Cryptocurrency]]))</f>
        <v xml:space="preserve"> </v>
      </c>
      <c r="AJ599" s="59"/>
      <c r="AK599" s="59" t="str">
        <f>IF(SUM(Dati[[#This Row],[Inv. Gold]:[Mutuo]])=0," ",SUM(Dati[[#This Row],[Inv. Gold]:[Mutuo]]))</f>
        <v xml:space="preserve"> </v>
      </c>
      <c r="AL599" s="59"/>
      <c r="AM599" s="59"/>
    </row>
    <row r="600" spans="2:39" x14ac:dyDescent="0.35">
      <c r="B600">
        <f t="shared" si="25"/>
        <v>580</v>
      </c>
      <c r="C600" s="49">
        <f t="shared" si="24"/>
        <v>45374</v>
      </c>
      <c r="D600" s="29">
        <f>DAY(Dati[[#This Row],[Data]])</f>
        <v>23</v>
      </c>
      <c r="E600" s="29" t="str">
        <f>IF(DAY(Data!$C$21:$C$1327)&gt;0,TEXT(Data!$C$21:$C$1327, "mmmm"),"")</f>
        <v>marzo</v>
      </c>
      <c r="F600" s="29" t="str">
        <f>IF(DAY(Data!$C$21:$C$1327)&gt;0,TEXT(Data!$C$21:$C$1327, "aaaa"),"")</f>
        <v>2024</v>
      </c>
      <c r="I600" t="str">
        <f>IF(OR(H600=$B$5,H600=$B$6,H600=$B$7,H600=$B$8,H600=$B$9,H600=$B$10,H600=$B$11,H600=$B$12,H600=$B$13,H600=$B$14),SottocategorieUscite[[#Headers],[Fuori Casa]],IF(OR(H600=$C$5,H600=$C$6,H600=$C$7,H600=$C$8,H600=$C$9,H600=$C$10,H600=$C$11,H600=$C$12,H600=$C$13,H600=$C$14),SottocategorieUscite[[#Headers],[Varie Uscite]],IF(OR(H600=$D$5,H600=$D$6,H600=$D$7,H600=$D$8,H600=$D$9,H600=$D$10,H600=$D$11,H600=$D$12,H600=$D$13,H600=$D$14),SottocategorieUscite[[#Headers],[Personali]],IF(OR(H600=$E$5,H600=$E$6,H600=$E$7,H600=$E$8,H600=$E$9,H600=$E$10,H600=$E$11,H600=$E$12,H600=$E$13,H600=$E$14),SottocategorieUscite[[#Headers],[Lavoro]],IF(OR(H600=$F$5,H600=$F$6,H600=$F$7,H600=$F$8,H600=$F$9,H600=$F$10,H600=$F$11,H600=$F$12,H600=$F$13,H600=$F$14),SottocategorieUscite[[#Headers],[Casa]],IF(OR(H600=$G$5,H600=$G$6,H600=$G$7,H600=$G$8,H600=$G$9,H600=$G$10,H600=$G$11,H600=$G$12,H600=$G$13,H600=$G$14),SottocategorieUscite[[#Headers],[Utenze]],IF(OR(H600=$H$5,H600=$H$6,H600=$H$7,H600=$H$8,H600=$H$9,H600=$H$10,H600=$H$11,H600=$H$12,H600=$H$13,H600=$H$14),SottocategorieUscite[[#Headers],[Business Uscite]],IF(OR(H600=$I$5,H600=$I$6,H600=$I$7,H600=$I$8,H600=$I$9,H600=$I$10,H600=$I$11,H600=$I$12,H600=$I$13,H600=$I$14),SottocategorieUscite[[#Headers],[Banca]],IF(OR(H600=K$5,H600=K$6,H600=K$7,H600=K$8,H600=K$9,H600=K$10,H600=K$11,H600=K$12,H600=K$13,H600=K$14),SottocategorieEntrate[[#Headers],[Business Entrate]],IF(OR(H600=L$5,H600=L$6,H600=L$7,H600=L$8,H600=L$9,H600=L$10,H600=L$11,H600=L$12,H600=L$13,H600=L$14),SottocategorieEntrate[[#Headers],[Varie Entrate]],IF(OR(H600=M$5,H600=M$6,H600=M$7,H600=M$8,H600=M$9,H600=M$10,H600=M$11,H600=M$12,H600=M$13,H600=M$14),SottocategorieEntrate[[#Headers],[Real Estate]],IF(OR(H600=N$5,H600=N$6,H600=N$7,H600=N$8,H600=N$9,H600=N$10,H600=N$11,H600=N$12,H600=N$13,H600=N$14),SottocategorieEntrate[[#Headers],[Other]],""))))))))))))</f>
        <v/>
      </c>
      <c r="J600" t="str">
        <f>IF(OR(Dati[[#This Row],[Categoria]]="Bollette",Dati[[#This Row],[Categoria]]="Conto &amp; Carte BNL",Dati[[#This Row],[Categoria]]="Prelievo",Dati[[#This Row],[Categoria]]="Affitto",Dati[[#This Row],[Categoria]]="BNL(Interessi Creditori)"),"Carta",IF(Dati[[#This Row],[Categoria]]&lt;&gt;0,"Cash",""))</f>
        <v/>
      </c>
      <c r="K600" s="59" t="str">
        <f>IF(OR(Data!$I600=SottocategorieUscite[[#Headers],[Fuori Casa]],Data!$I600=SottocategorieUscite[[#Headers],[Varie Uscite]],Data!$I600=SottocategorieUscite[[#Headers],[Personali]],Data!$I600=SottocategorieUscite[[#Headers],[Lavoro]]),"$ -","")</f>
        <v/>
      </c>
      <c r="L600" s="59" t="str">
        <f>IF(OR(Data!$I600=SottocategorieUscite[[#Headers],[Casa]],Data!$I600=SottocategorieUscite[[#Headers],[Utenze]],Data!$I600=SottocategorieUscite[[#Headers],[Business Uscite]],Data!$I600=SottocategorieUscite[[#Headers],[Banca]]),"$ -","")</f>
        <v/>
      </c>
      <c r="M600" s="59" t="str">
        <f>IF(OR($I600&lt;&gt;SottocategorieUscite[[#Headers],[Fuori Casa]],$I600&lt;&gt;SottocategorieUscite[[#Headers],[Varie Uscite]],$I600&lt;&gt;SottocategorieUscite[[#Headers],[Personali]],$I600&lt;&gt;SottocategorieUscite[[#Headers],[Lavoro]],$I600&lt;&gt;SottocategorieUscite[[#Headers],[Casa]],$I600&lt;&gt;SottocategorieUscite[[#Headers],[Utenze]],$I600&lt;&gt;SottocategorieUscite[[#Headers],[Business Uscite]],$I600&lt;&gt;SottocategorieUscite[[#Headers],[Banca]]),"","$ -")</f>
        <v/>
      </c>
      <c r="N600" s="59" t="str">
        <f>IF(OR(Data!$I600=SottocategorieEntrate[[#Headers],[Business Entrate]],Data!$I600=SottocategorieEntrate[[#Headers],[Varie Entrate]]),"$ -","")</f>
        <v/>
      </c>
      <c r="O600" s="59" t="str">
        <f>IF(OR(Data!$I600=SottocategorieEntrate[[#Headers],[Real Estate]],SottocategorieEntrate[[#Headers],[Other]]),"$ -","")</f>
        <v/>
      </c>
      <c r="P600" s="59" t="str">
        <f>IF(OR($I600&lt;&gt;SottocategorieEntrate[[#Headers],[Business Entrate]],$I600&lt;&gt;SottocategorieEntrate[[#Headers],[Varie Entrate]],$I600&lt;&gt;SottocategorieEntrate[[#Headers],[Real Estate]],$I600&lt;&gt;SottocategorieEntrate[[#Headers],[Other]]),"","$ -")</f>
        <v/>
      </c>
      <c r="Q600" s="59" t="str">
        <f>IF(Dati[[#This Row],[Categoria]]="Prelievo","€ -","")</f>
        <v/>
      </c>
      <c r="R600" s="244"/>
      <c r="S600" s="59" t="str">
        <f>IF(Dati[[#This Row],[Categoria]]="Savings",0,"")</f>
        <v/>
      </c>
      <c r="T600" s="59"/>
      <c r="U600" s="59"/>
      <c r="V600" s="59"/>
      <c r="W600" s="59"/>
      <c r="X600" s="59"/>
      <c r="Y600" s="59"/>
      <c r="Z600" s="59"/>
      <c r="AA600" s="59"/>
      <c r="AB600" s="59"/>
      <c r="AC600" s="59"/>
      <c r="AD600" s="59"/>
      <c r="AE600" s="59"/>
      <c r="AF600" s="59"/>
      <c r="AG600" s="59"/>
      <c r="AH600" s="59"/>
      <c r="AI600" s="59" t="str">
        <f>IF(SUM(Dati[[#This Row],[Inv. Business]:[Inv. Cryptocurrency]])=0," ",SUM(Dati[[#This Row],[Inv. Business]:[Inv. Cryptocurrency]]))</f>
        <v xml:space="preserve"> </v>
      </c>
      <c r="AJ600" s="59"/>
      <c r="AK600" s="59" t="str">
        <f>IF(SUM(Dati[[#This Row],[Inv. Gold]:[Mutuo]])=0," ",SUM(Dati[[#This Row],[Inv. Gold]:[Mutuo]]))</f>
        <v xml:space="preserve"> </v>
      </c>
      <c r="AL600" s="59"/>
      <c r="AM600" s="59"/>
    </row>
    <row r="601" spans="2:39" x14ac:dyDescent="0.35">
      <c r="B601">
        <f t="shared" si="25"/>
        <v>581</v>
      </c>
      <c r="C601" s="49">
        <f>C599+1</f>
        <v>45374</v>
      </c>
      <c r="D601" s="29">
        <f>DAY(Dati[[#This Row],[Data]])</f>
        <v>23</v>
      </c>
      <c r="E601" s="29" t="str">
        <f>IF(DAY(Data!$C$21:$C$1327)&gt;0,TEXT(Data!$C$21:$C$1327, "mmmm"),"")</f>
        <v>marzo</v>
      </c>
      <c r="F601" s="29" t="str">
        <f>IF(DAY(Data!$C$21:$C$1327)&gt;0,TEXT(Data!$C$21:$C$1327, "aaaa"),"")</f>
        <v>2024</v>
      </c>
      <c r="I601" t="str">
        <f>IF(OR(H601=$B$5,H601=$B$6,H601=$B$7,H601=$B$8,H601=$B$9,H601=$B$10,H601=$B$11,H601=$B$12,H601=$B$13,H601=$B$14),SottocategorieUscite[[#Headers],[Fuori Casa]],IF(OR(H601=$C$5,H601=$C$6,H601=$C$7,H601=$C$8,H601=$C$9,H601=$C$10,H601=$C$11,H601=$C$12,H601=$C$13,H601=$C$14),SottocategorieUscite[[#Headers],[Varie Uscite]],IF(OR(H601=$D$5,H601=$D$6,H601=$D$7,H601=$D$8,H601=$D$9,H601=$D$10,H601=$D$11,H601=$D$12,H601=$D$13,H601=$D$14),SottocategorieUscite[[#Headers],[Personali]],IF(OR(H601=$E$5,H601=$E$6,H601=$E$7,H601=$E$8,H601=$E$9,H601=$E$10,H601=$E$11,H601=$E$12,H601=$E$13,H601=$E$14),SottocategorieUscite[[#Headers],[Lavoro]],IF(OR(H601=$F$5,H601=$F$6,H601=$F$7,H601=$F$8,H601=$F$9,H601=$F$10,H601=$F$11,H601=$F$12,H601=$F$13,H601=$F$14),SottocategorieUscite[[#Headers],[Casa]],IF(OR(H601=$G$5,H601=$G$6,H601=$G$7,H601=$G$8,H601=$G$9,H601=$G$10,H601=$G$11,H601=$G$12,H601=$G$13,H601=$G$14),SottocategorieUscite[[#Headers],[Utenze]],IF(OR(H601=$H$5,H601=$H$6,H601=$H$7,H601=$H$8,H601=$H$9,H601=$H$10,H601=$H$11,H601=$H$12,H601=$H$13,H601=$H$14),SottocategorieUscite[[#Headers],[Business Uscite]],IF(OR(H601=$I$5,H601=$I$6,H601=$I$7,H601=$I$8,H601=$I$9,H601=$I$10,H601=$I$11,H601=$I$12,H601=$I$13,H601=$I$14),SottocategorieUscite[[#Headers],[Banca]],IF(OR(H601=K$5,H601=K$6,H601=K$7,H601=K$8,H601=K$9,H601=K$10,H601=K$11,H601=K$12,H601=K$13,H601=K$14),SottocategorieEntrate[[#Headers],[Business Entrate]],IF(OR(H601=L$5,H601=L$6,H601=L$7,H601=L$8,H601=L$9,H601=L$10,H601=L$11,H601=L$12,H601=L$13,H601=L$14),SottocategorieEntrate[[#Headers],[Varie Entrate]],IF(OR(H601=M$5,H601=M$6,H601=M$7,H601=M$8,H601=M$9,H601=M$10,H601=M$11,H601=M$12,H601=M$13,H601=M$14),SottocategorieEntrate[[#Headers],[Real Estate]],IF(OR(H601=N$5,H601=N$6,H601=N$7,H601=N$8,H601=N$9,H601=N$10,H601=N$11,H601=N$12,H601=N$13,H601=N$14),SottocategorieEntrate[[#Headers],[Other]],""))))))))))))</f>
        <v/>
      </c>
      <c r="J601" t="str">
        <f>IF(OR(Dati[[#This Row],[Categoria]]="Bollette",Dati[[#This Row],[Categoria]]="Conto &amp; Carte BNL",Dati[[#This Row],[Categoria]]="Prelievo",Dati[[#This Row],[Categoria]]="Affitto",Dati[[#This Row],[Categoria]]="BNL(Interessi Creditori)"),"Carta",IF(Dati[[#This Row],[Categoria]]&lt;&gt;0,"Cash",""))</f>
        <v/>
      </c>
      <c r="K601" s="59" t="str">
        <f>IF(OR(Data!$I601=SottocategorieUscite[[#Headers],[Fuori Casa]],Data!$I601=SottocategorieUscite[[#Headers],[Varie Uscite]],Data!$I601=SottocategorieUscite[[#Headers],[Personali]],Data!$I601=SottocategorieUscite[[#Headers],[Lavoro]]),"$ -","")</f>
        <v/>
      </c>
      <c r="L601" s="59" t="str">
        <f>IF(OR(Data!$I601=SottocategorieUscite[[#Headers],[Casa]],Data!$I601=SottocategorieUscite[[#Headers],[Utenze]],Data!$I601=SottocategorieUscite[[#Headers],[Business Uscite]],Data!$I601=SottocategorieUscite[[#Headers],[Banca]]),"$ -","")</f>
        <v/>
      </c>
      <c r="M601" s="59" t="str">
        <f>IF(OR($I601&lt;&gt;SottocategorieUscite[[#Headers],[Fuori Casa]],$I601&lt;&gt;SottocategorieUscite[[#Headers],[Varie Uscite]],$I601&lt;&gt;SottocategorieUscite[[#Headers],[Personali]],$I601&lt;&gt;SottocategorieUscite[[#Headers],[Lavoro]],$I601&lt;&gt;SottocategorieUscite[[#Headers],[Casa]],$I601&lt;&gt;SottocategorieUscite[[#Headers],[Utenze]],$I601&lt;&gt;SottocategorieUscite[[#Headers],[Business Uscite]],$I601&lt;&gt;SottocategorieUscite[[#Headers],[Banca]]),"","$ -")</f>
        <v/>
      </c>
      <c r="N601" s="59" t="str">
        <f>IF(OR(Data!$I601=SottocategorieEntrate[[#Headers],[Business Entrate]],Data!$I601=SottocategorieEntrate[[#Headers],[Varie Entrate]]),"$ -","")</f>
        <v/>
      </c>
      <c r="O601" s="59" t="str">
        <f>IF(OR(Data!$I601=SottocategorieEntrate[[#Headers],[Real Estate]],SottocategorieEntrate[[#Headers],[Other]]),"$ -","")</f>
        <v/>
      </c>
      <c r="P601" s="59" t="str">
        <f>IF(OR($I601&lt;&gt;SottocategorieEntrate[[#Headers],[Business Entrate]],$I601&lt;&gt;SottocategorieEntrate[[#Headers],[Varie Entrate]],$I601&lt;&gt;SottocategorieEntrate[[#Headers],[Real Estate]],$I601&lt;&gt;SottocategorieEntrate[[#Headers],[Other]]),"","$ -")</f>
        <v/>
      </c>
      <c r="Q601" s="59" t="str">
        <f>IF(Dati[[#This Row],[Categoria]]="Prelievo","€ -","")</f>
        <v/>
      </c>
      <c r="R601" s="244"/>
      <c r="S601" s="59" t="str">
        <f>IF(Dati[[#This Row],[Categoria]]="Savings",0,"")</f>
        <v/>
      </c>
      <c r="T601" s="59"/>
      <c r="U601" s="59"/>
      <c r="V601" s="59"/>
      <c r="W601" s="59"/>
      <c r="X601" s="59"/>
      <c r="Y601" s="59"/>
      <c r="Z601" s="59"/>
      <c r="AA601" s="59"/>
      <c r="AB601" s="59"/>
      <c r="AC601" s="59"/>
      <c r="AD601" s="59"/>
      <c r="AE601" s="59"/>
      <c r="AF601" s="59"/>
      <c r="AG601" s="59"/>
      <c r="AH601" s="59"/>
      <c r="AI601" s="59" t="str">
        <f>IF(SUM(Dati[[#This Row],[Inv. Business]:[Inv. Cryptocurrency]])=0," ",SUM(Dati[[#This Row],[Inv. Business]:[Inv. Cryptocurrency]]))</f>
        <v xml:space="preserve"> </v>
      </c>
      <c r="AJ601" s="59"/>
      <c r="AK601" s="59" t="str">
        <f>IF(SUM(Dati[[#This Row],[Inv. Gold]:[Mutuo]])=0," ",SUM(Dati[[#This Row],[Inv. Gold]:[Mutuo]]))</f>
        <v xml:space="preserve"> </v>
      </c>
      <c r="AL601" s="59"/>
      <c r="AM601" s="59"/>
    </row>
    <row r="602" spans="2:39" x14ac:dyDescent="0.35">
      <c r="B602">
        <f t="shared" si="25"/>
        <v>582</v>
      </c>
      <c r="C602" s="49">
        <f>C599+1</f>
        <v>45374</v>
      </c>
      <c r="D602" s="29">
        <f>DAY(Dati[[#This Row],[Data]])</f>
        <v>23</v>
      </c>
      <c r="E602" s="29" t="str">
        <f>IF(DAY(Data!$C$21:$C$1327)&gt;0,TEXT(Data!$C$21:$C$1327, "mmmm"),"")</f>
        <v>marzo</v>
      </c>
      <c r="F602" s="29" t="str">
        <f>IF(DAY(Data!$C$21:$C$1327)&gt;0,TEXT(Data!$C$21:$C$1327, "aaaa"),"")</f>
        <v>2024</v>
      </c>
      <c r="I602" t="str">
        <f>IF(OR(H602=$B$5,H602=$B$6,H602=$B$7,H602=$B$8,H602=$B$9,H602=$B$10,H602=$B$11,H602=$B$12,H602=$B$13,H602=$B$14),SottocategorieUscite[[#Headers],[Fuori Casa]],IF(OR(H602=$C$5,H602=$C$6,H602=$C$7,H602=$C$8,H602=$C$9,H602=$C$10,H602=$C$11,H602=$C$12,H602=$C$13,H602=$C$14),SottocategorieUscite[[#Headers],[Varie Uscite]],IF(OR(H602=$D$5,H602=$D$6,H602=$D$7,H602=$D$8,H602=$D$9,H602=$D$10,H602=$D$11,H602=$D$12,H602=$D$13,H602=$D$14),SottocategorieUscite[[#Headers],[Personali]],IF(OR(H602=$E$5,H602=$E$6,H602=$E$7,H602=$E$8,H602=$E$9,H602=$E$10,H602=$E$11,H602=$E$12,H602=$E$13,H602=$E$14),SottocategorieUscite[[#Headers],[Lavoro]],IF(OR(H602=$F$5,H602=$F$6,H602=$F$7,H602=$F$8,H602=$F$9,H602=$F$10,H602=$F$11,H602=$F$12,H602=$F$13,H602=$F$14),SottocategorieUscite[[#Headers],[Casa]],IF(OR(H602=$G$5,H602=$G$6,H602=$G$7,H602=$G$8,H602=$G$9,H602=$G$10,H602=$G$11,H602=$G$12,H602=$G$13,H602=$G$14),SottocategorieUscite[[#Headers],[Utenze]],IF(OR(H602=$H$5,H602=$H$6,H602=$H$7,H602=$H$8,H602=$H$9,H602=$H$10,H602=$H$11,H602=$H$12,H602=$H$13,H602=$H$14),SottocategorieUscite[[#Headers],[Business Uscite]],IF(OR(H602=$I$5,H602=$I$6,H602=$I$7,H602=$I$8,H602=$I$9,H602=$I$10,H602=$I$11,H602=$I$12,H602=$I$13,H602=$I$14),SottocategorieUscite[[#Headers],[Banca]],IF(OR(H602=K$5,H602=K$6,H602=K$7,H602=K$8,H602=K$9,H602=K$10,H602=K$11,H602=K$12,H602=K$13,H602=K$14),SottocategorieEntrate[[#Headers],[Business Entrate]],IF(OR(H602=L$5,H602=L$6,H602=L$7,H602=L$8,H602=L$9,H602=L$10,H602=L$11,H602=L$12,H602=L$13,H602=L$14),SottocategorieEntrate[[#Headers],[Varie Entrate]],IF(OR(H602=M$5,H602=M$6,H602=M$7,H602=M$8,H602=M$9,H602=M$10,H602=M$11,H602=M$12,H602=M$13,H602=M$14),SottocategorieEntrate[[#Headers],[Real Estate]],IF(OR(H602=N$5,H602=N$6,H602=N$7,H602=N$8,H602=N$9,H602=N$10,H602=N$11,H602=N$12,H602=N$13,H602=N$14),SottocategorieEntrate[[#Headers],[Other]],""))))))))))))</f>
        <v/>
      </c>
      <c r="J602" t="str">
        <f>IF(OR(Dati[[#This Row],[Categoria]]="Bollette",Dati[[#This Row],[Categoria]]="Conto &amp; Carte BNL",Dati[[#This Row],[Categoria]]="Prelievo",Dati[[#This Row],[Categoria]]="Affitto",Dati[[#This Row],[Categoria]]="BNL(Interessi Creditori)"),"Carta",IF(Dati[[#This Row],[Categoria]]&lt;&gt;0,"Cash",""))</f>
        <v/>
      </c>
      <c r="K602" s="59" t="str">
        <f>IF(OR(Data!$I602=SottocategorieUscite[[#Headers],[Fuori Casa]],Data!$I602=SottocategorieUscite[[#Headers],[Varie Uscite]],Data!$I602=SottocategorieUscite[[#Headers],[Personali]],Data!$I602=SottocategorieUscite[[#Headers],[Lavoro]]),"$ -","")</f>
        <v/>
      </c>
      <c r="L602" s="59" t="str">
        <f>IF(OR(Data!$I602=SottocategorieUscite[[#Headers],[Casa]],Data!$I602=SottocategorieUscite[[#Headers],[Utenze]],Data!$I602=SottocategorieUscite[[#Headers],[Business Uscite]],Data!$I602=SottocategorieUscite[[#Headers],[Banca]]),"$ -","")</f>
        <v/>
      </c>
      <c r="M602" s="59" t="str">
        <f>IF(OR($I602&lt;&gt;SottocategorieUscite[[#Headers],[Fuori Casa]],$I602&lt;&gt;SottocategorieUscite[[#Headers],[Varie Uscite]],$I602&lt;&gt;SottocategorieUscite[[#Headers],[Personali]],$I602&lt;&gt;SottocategorieUscite[[#Headers],[Lavoro]],$I602&lt;&gt;SottocategorieUscite[[#Headers],[Casa]],$I602&lt;&gt;SottocategorieUscite[[#Headers],[Utenze]],$I602&lt;&gt;SottocategorieUscite[[#Headers],[Business Uscite]],$I602&lt;&gt;SottocategorieUscite[[#Headers],[Banca]]),"","$ -")</f>
        <v/>
      </c>
      <c r="N602" s="59" t="str">
        <f>IF(OR(Data!$I602=SottocategorieEntrate[[#Headers],[Business Entrate]],Data!$I602=SottocategorieEntrate[[#Headers],[Varie Entrate]]),"$ -","")</f>
        <v/>
      </c>
      <c r="O602" s="59" t="str">
        <f>IF(OR(Data!$I602=SottocategorieEntrate[[#Headers],[Real Estate]],SottocategorieEntrate[[#Headers],[Other]]),"$ -","")</f>
        <v/>
      </c>
      <c r="P602" s="59" t="str">
        <f>IF(OR($I602&lt;&gt;SottocategorieEntrate[[#Headers],[Business Entrate]],$I602&lt;&gt;SottocategorieEntrate[[#Headers],[Varie Entrate]],$I602&lt;&gt;SottocategorieEntrate[[#Headers],[Real Estate]],$I602&lt;&gt;SottocategorieEntrate[[#Headers],[Other]]),"","$ -")</f>
        <v/>
      </c>
      <c r="Q602" s="59" t="str">
        <f>IF(Dati[[#This Row],[Categoria]]="Prelievo","€ -","")</f>
        <v/>
      </c>
      <c r="R602" s="244"/>
      <c r="S602" s="59" t="str">
        <f>IF(Dati[[#This Row],[Categoria]]="Savings",0,"")</f>
        <v/>
      </c>
      <c r="T602" s="59"/>
      <c r="U602" s="59"/>
      <c r="V602" s="59"/>
      <c r="W602" s="59"/>
      <c r="X602" s="59"/>
      <c r="Y602" s="59"/>
      <c r="Z602" s="59"/>
      <c r="AA602" s="59"/>
      <c r="AB602" s="59"/>
      <c r="AC602" s="59"/>
      <c r="AD602" s="59"/>
      <c r="AE602" s="59"/>
      <c r="AF602" s="59"/>
      <c r="AG602" s="59"/>
      <c r="AH602" s="59"/>
      <c r="AI602" s="59" t="str">
        <f>IF(SUM(Dati[[#This Row],[Inv. Business]:[Inv. Cryptocurrency]])=0," ",SUM(Dati[[#This Row],[Inv. Business]:[Inv. Cryptocurrency]]))</f>
        <v xml:space="preserve"> </v>
      </c>
      <c r="AJ602" s="59"/>
      <c r="AK602" s="59" t="str">
        <f>IF(SUM(Dati[[#This Row],[Inv. Gold]:[Mutuo]])=0," ",SUM(Dati[[#This Row],[Inv. Gold]:[Mutuo]]))</f>
        <v xml:space="preserve"> </v>
      </c>
      <c r="AL602" s="59"/>
      <c r="AM602" s="59"/>
    </row>
    <row r="603" spans="2:39" x14ac:dyDescent="0.35">
      <c r="B603">
        <f t="shared" si="25"/>
        <v>583</v>
      </c>
      <c r="C603" s="49">
        <f>C600+1</f>
        <v>45375</v>
      </c>
      <c r="D603" s="29">
        <f>DAY(Dati[[#This Row],[Data]])</f>
        <v>24</v>
      </c>
      <c r="E603" s="29" t="str">
        <f>IF(DAY(Data!$C$21:$C$1327)&gt;0,TEXT(Data!$C$21:$C$1327, "mmmm"),"")</f>
        <v>marzo</v>
      </c>
      <c r="F603" s="29" t="str">
        <f>IF(DAY(Data!$C$21:$C$1327)&gt;0,TEXT(Data!$C$21:$C$1327, "aaaa"),"")</f>
        <v>2024</v>
      </c>
      <c r="I603" t="str">
        <f>IF(OR(H603=$B$5,H603=$B$6,H603=$B$7,H603=$B$8,H603=$B$9,H603=$B$10,H603=$B$11,H603=$B$12,H603=$B$13,H603=$B$14),SottocategorieUscite[[#Headers],[Fuori Casa]],IF(OR(H603=$C$5,H603=$C$6,H603=$C$7,H603=$C$8,H603=$C$9,H603=$C$10,H603=$C$11,H603=$C$12,H603=$C$13,H603=$C$14),SottocategorieUscite[[#Headers],[Varie Uscite]],IF(OR(H603=$D$5,H603=$D$6,H603=$D$7,H603=$D$8,H603=$D$9,H603=$D$10,H603=$D$11,H603=$D$12,H603=$D$13,H603=$D$14),SottocategorieUscite[[#Headers],[Personali]],IF(OR(H603=$E$5,H603=$E$6,H603=$E$7,H603=$E$8,H603=$E$9,H603=$E$10,H603=$E$11,H603=$E$12,H603=$E$13,H603=$E$14),SottocategorieUscite[[#Headers],[Lavoro]],IF(OR(H603=$F$5,H603=$F$6,H603=$F$7,H603=$F$8,H603=$F$9,H603=$F$10,H603=$F$11,H603=$F$12,H603=$F$13,H603=$F$14),SottocategorieUscite[[#Headers],[Casa]],IF(OR(H603=$G$5,H603=$G$6,H603=$G$7,H603=$G$8,H603=$G$9,H603=$G$10,H603=$G$11,H603=$G$12,H603=$G$13,H603=$G$14),SottocategorieUscite[[#Headers],[Utenze]],IF(OR(H603=$H$5,H603=$H$6,H603=$H$7,H603=$H$8,H603=$H$9,H603=$H$10,H603=$H$11,H603=$H$12,H603=$H$13,H603=$H$14),SottocategorieUscite[[#Headers],[Business Uscite]],IF(OR(H603=$I$5,H603=$I$6,H603=$I$7,H603=$I$8,H603=$I$9,H603=$I$10,H603=$I$11,H603=$I$12,H603=$I$13,H603=$I$14),SottocategorieUscite[[#Headers],[Banca]],IF(OR(H603=K$5,H603=K$6,H603=K$7,H603=K$8,H603=K$9,H603=K$10,H603=K$11,H603=K$12,H603=K$13,H603=K$14),SottocategorieEntrate[[#Headers],[Business Entrate]],IF(OR(H603=L$5,H603=L$6,H603=L$7,H603=L$8,H603=L$9,H603=L$10,H603=L$11,H603=L$12,H603=L$13,H603=L$14),SottocategorieEntrate[[#Headers],[Varie Entrate]],IF(OR(H603=M$5,H603=M$6,H603=M$7,H603=M$8,H603=M$9,H603=M$10,H603=M$11,H603=M$12,H603=M$13,H603=M$14),SottocategorieEntrate[[#Headers],[Real Estate]],IF(OR(H603=N$5,H603=N$6,H603=N$7,H603=N$8,H603=N$9,H603=N$10,H603=N$11,H603=N$12,H603=N$13,H603=N$14),SottocategorieEntrate[[#Headers],[Other]],""))))))))))))</f>
        <v/>
      </c>
      <c r="J603" t="str">
        <f>IF(OR(Dati[[#This Row],[Categoria]]="Bollette",Dati[[#This Row],[Categoria]]="Conto &amp; Carte BNL",Dati[[#This Row],[Categoria]]="Prelievo",Dati[[#This Row],[Categoria]]="Affitto",Dati[[#This Row],[Categoria]]="BNL(Interessi Creditori)"),"Carta",IF(Dati[[#This Row],[Categoria]]&lt;&gt;0,"Cash",""))</f>
        <v/>
      </c>
      <c r="K603" s="59" t="str">
        <f>IF(OR(Data!$I603=SottocategorieUscite[[#Headers],[Fuori Casa]],Data!$I603=SottocategorieUscite[[#Headers],[Varie Uscite]],Data!$I603=SottocategorieUscite[[#Headers],[Personali]],Data!$I603=SottocategorieUscite[[#Headers],[Lavoro]]),"$ -","")</f>
        <v/>
      </c>
      <c r="L603" s="59" t="str">
        <f>IF(OR(Data!$I603=SottocategorieUscite[[#Headers],[Casa]],Data!$I603=SottocategorieUscite[[#Headers],[Utenze]],Data!$I603=SottocategorieUscite[[#Headers],[Business Uscite]],Data!$I603=SottocategorieUscite[[#Headers],[Banca]]),"$ -","")</f>
        <v/>
      </c>
      <c r="M603" s="59" t="str">
        <f>IF(OR($I603&lt;&gt;SottocategorieUscite[[#Headers],[Fuori Casa]],$I603&lt;&gt;SottocategorieUscite[[#Headers],[Varie Uscite]],$I603&lt;&gt;SottocategorieUscite[[#Headers],[Personali]],$I603&lt;&gt;SottocategorieUscite[[#Headers],[Lavoro]],$I603&lt;&gt;SottocategorieUscite[[#Headers],[Casa]],$I603&lt;&gt;SottocategorieUscite[[#Headers],[Utenze]],$I603&lt;&gt;SottocategorieUscite[[#Headers],[Business Uscite]],$I603&lt;&gt;SottocategorieUscite[[#Headers],[Banca]]),"","$ -")</f>
        <v/>
      </c>
      <c r="N603" s="59" t="str">
        <f>IF(OR(Data!$I603=SottocategorieEntrate[[#Headers],[Business Entrate]],Data!$I603=SottocategorieEntrate[[#Headers],[Varie Entrate]]),"$ -","")</f>
        <v/>
      </c>
      <c r="O603" s="59" t="str">
        <f>IF(OR(Data!$I603=SottocategorieEntrate[[#Headers],[Real Estate]],SottocategorieEntrate[[#Headers],[Other]]),"$ -","")</f>
        <v/>
      </c>
      <c r="P603" s="59" t="str">
        <f>IF(OR($I603&lt;&gt;SottocategorieEntrate[[#Headers],[Business Entrate]],$I603&lt;&gt;SottocategorieEntrate[[#Headers],[Varie Entrate]],$I603&lt;&gt;SottocategorieEntrate[[#Headers],[Real Estate]],$I603&lt;&gt;SottocategorieEntrate[[#Headers],[Other]]),"","$ -")</f>
        <v/>
      </c>
      <c r="Q603" s="59" t="str">
        <f>IF(Dati[[#This Row],[Categoria]]="Prelievo","€ -","")</f>
        <v/>
      </c>
      <c r="R603" s="244"/>
      <c r="S603" s="59" t="str">
        <f>IF(Dati[[#This Row],[Categoria]]="Savings",0,"")</f>
        <v/>
      </c>
      <c r="T603" s="59"/>
      <c r="U603" s="59"/>
      <c r="V603" s="59"/>
      <c r="W603" s="59"/>
      <c r="X603" s="59"/>
      <c r="Y603" s="59"/>
      <c r="Z603" s="59"/>
      <c r="AA603" s="59"/>
      <c r="AB603" s="59"/>
      <c r="AC603" s="59"/>
      <c r="AD603" s="59"/>
      <c r="AE603" s="59"/>
      <c r="AF603" s="59"/>
      <c r="AG603" s="59"/>
      <c r="AH603" s="59"/>
      <c r="AI603" s="59" t="str">
        <f>IF(SUM(Dati[[#This Row],[Inv. Business]:[Inv. Cryptocurrency]])=0," ",SUM(Dati[[#This Row],[Inv. Business]:[Inv. Cryptocurrency]]))</f>
        <v xml:space="preserve"> </v>
      </c>
      <c r="AJ603" s="59"/>
      <c r="AK603" s="59" t="str">
        <f>IF(SUM(Dati[[#This Row],[Inv. Gold]:[Mutuo]])=0," ",SUM(Dati[[#This Row],[Inv. Gold]:[Mutuo]]))</f>
        <v xml:space="preserve"> </v>
      </c>
      <c r="AL603" s="59"/>
      <c r="AM603" s="59"/>
    </row>
    <row r="604" spans="2:39" x14ac:dyDescent="0.35">
      <c r="B604">
        <f t="shared" si="25"/>
        <v>584</v>
      </c>
      <c r="C604" s="49">
        <f t="shared" si="24"/>
        <v>45376</v>
      </c>
      <c r="D604" s="29">
        <f>DAY(Dati[[#This Row],[Data]])</f>
        <v>25</v>
      </c>
      <c r="E604" s="29" t="str">
        <f>IF(DAY(Data!$C$21:$C$1327)&gt;0,TEXT(Data!$C$21:$C$1327, "mmmm"),"")</f>
        <v>marzo</v>
      </c>
      <c r="F604" s="29" t="str">
        <f>IF(DAY(Data!$C$21:$C$1327)&gt;0,TEXT(Data!$C$21:$C$1327, "aaaa"),"")</f>
        <v>2024</v>
      </c>
      <c r="I604" t="str">
        <f>IF(OR(H604=$B$5,H604=$B$6,H604=$B$7,H604=$B$8,H604=$B$9,H604=$B$10,H604=$B$11,H604=$B$12,H604=$B$13,H604=$B$14),SottocategorieUscite[[#Headers],[Fuori Casa]],IF(OR(H604=$C$5,H604=$C$6,H604=$C$7,H604=$C$8,H604=$C$9,H604=$C$10,H604=$C$11,H604=$C$12,H604=$C$13,H604=$C$14),SottocategorieUscite[[#Headers],[Varie Uscite]],IF(OR(H604=$D$5,H604=$D$6,H604=$D$7,H604=$D$8,H604=$D$9,H604=$D$10,H604=$D$11,H604=$D$12,H604=$D$13,H604=$D$14),SottocategorieUscite[[#Headers],[Personali]],IF(OR(H604=$E$5,H604=$E$6,H604=$E$7,H604=$E$8,H604=$E$9,H604=$E$10,H604=$E$11,H604=$E$12,H604=$E$13,H604=$E$14),SottocategorieUscite[[#Headers],[Lavoro]],IF(OR(H604=$F$5,H604=$F$6,H604=$F$7,H604=$F$8,H604=$F$9,H604=$F$10,H604=$F$11,H604=$F$12,H604=$F$13,H604=$F$14),SottocategorieUscite[[#Headers],[Casa]],IF(OR(H604=$G$5,H604=$G$6,H604=$G$7,H604=$G$8,H604=$G$9,H604=$G$10,H604=$G$11,H604=$G$12,H604=$G$13,H604=$G$14),SottocategorieUscite[[#Headers],[Utenze]],IF(OR(H604=$H$5,H604=$H$6,H604=$H$7,H604=$H$8,H604=$H$9,H604=$H$10,H604=$H$11,H604=$H$12,H604=$H$13,H604=$H$14),SottocategorieUscite[[#Headers],[Business Uscite]],IF(OR(H604=$I$5,H604=$I$6,H604=$I$7,H604=$I$8,H604=$I$9,H604=$I$10,H604=$I$11,H604=$I$12,H604=$I$13,H604=$I$14),SottocategorieUscite[[#Headers],[Banca]],IF(OR(H604=K$5,H604=K$6,H604=K$7,H604=K$8,H604=K$9,H604=K$10,H604=K$11,H604=K$12,H604=K$13,H604=K$14),SottocategorieEntrate[[#Headers],[Business Entrate]],IF(OR(H604=L$5,H604=L$6,H604=L$7,H604=L$8,H604=L$9,H604=L$10,H604=L$11,H604=L$12,H604=L$13,H604=L$14),SottocategorieEntrate[[#Headers],[Varie Entrate]],IF(OR(H604=M$5,H604=M$6,H604=M$7,H604=M$8,H604=M$9,H604=M$10,H604=M$11,H604=M$12,H604=M$13,H604=M$14),SottocategorieEntrate[[#Headers],[Real Estate]],IF(OR(H604=N$5,H604=N$6,H604=N$7,H604=N$8,H604=N$9,H604=N$10,H604=N$11,H604=N$12,H604=N$13,H604=N$14),SottocategorieEntrate[[#Headers],[Other]],""))))))))))))</f>
        <v/>
      </c>
      <c r="J604" t="str">
        <f>IF(OR(Dati[[#This Row],[Categoria]]="Bollette",Dati[[#This Row],[Categoria]]="Conto &amp; Carte BNL",Dati[[#This Row],[Categoria]]="Prelievo",Dati[[#This Row],[Categoria]]="Affitto",Dati[[#This Row],[Categoria]]="BNL(Interessi Creditori)"),"Carta",IF(Dati[[#This Row],[Categoria]]&lt;&gt;0,"Cash",""))</f>
        <v/>
      </c>
      <c r="K604" s="59" t="str">
        <f>IF(OR(Data!$I604=SottocategorieUscite[[#Headers],[Fuori Casa]],Data!$I604=SottocategorieUscite[[#Headers],[Varie Uscite]],Data!$I604=SottocategorieUscite[[#Headers],[Personali]],Data!$I604=SottocategorieUscite[[#Headers],[Lavoro]]),"$ -","")</f>
        <v/>
      </c>
      <c r="L604" s="59" t="str">
        <f>IF(OR(Data!$I604=SottocategorieUscite[[#Headers],[Casa]],Data!$I604=SottocategorieUscite[[#Headers],[Utenze]],Data!$I604=SottocategorieUscite[[#Headers],[Business Uscite]],Data!$I604=SottocategorieUscite[[#Headers],[Banca]]),"$ -","")</f>
        <v/>
      </c>
      <c r="M604" s="59" t="str">
        <f>IF(OR($I604&lt;&gt;SottocategorieUscite[[#Headers],[Fuori Casa]],$I604&lt;&gt;SottocategorieUscite[[#Headers],[Varie Uscite]],$I604&lt;&gt;SottocategorieUscite[[#Headers],[Personali]],$I604&lt;&gt;SottocategorieUscite[[#Headers],[Lavoro]],$I604&lt;&gt;SottocategorieUscite[[#Headers],[Casa]],$I604&lt;&gt;SottocategorieUscite[[#Headers],[Utenze]],$I604&lt;&gt;SottocategorieUscite[[#Headers],[Business Uscite]],$I604&lt;&gt;SottocategorieUscite[[#Headers],[Banca]]),"","$ -")</f>
        <v/>
      </c>
      <c r="N604" s="59" t="str">
        <f>IF(OR(Data!$I604=SottocategorieEntrate[[#Headers],[Business Entrate]],Data!$I604=SottocategorieEntrate[[#Headers],[Varie Entrate]]),"$ -","")</f>
        <v/>
      </c>
      <c r="O604" s="59" t="str">
        <f>IF(OR(Data!$I604=SottocategorieEntrate[[#Headers],[Real Estate]],SottocategorieEntrate[[#Headers],[Other]]),"$ -","")</f>
        <v/>
      </c>
      <c r="P604" s="59" t="str">
        <f>IF(OR($I604&lt;&gt;SottocategorieEntrate[[#Headers],[Business Entrate]],$I604&lt;&gt;SottocategorieEntrate[[#Headers],[Varie Entrate]],$I604&lt;&gt;SottocategorieEntrate[[#Headers],[Real Estate]],$I604&lt;&gt;SottocategorieEntrate[[#Headers],[Other]]),"","$ -")</f>
        <v/>
      </c>
      <c r="Q604" s="59" t="str">
        <f>IF(Dati[[#This Row],[Categoria]]="Prelievo","€ -","")</f>
        <v/>
      </c>
      <c r="R604" s="244"/>
      <c r="S604" s="59" t="str">
        <f>IF(Dati[[#This Row],[Categoria]]="Savings",0,"")</f>
        <v/>
      </c>
      <c r="T604" s="59"/>
      <c r="U604" s="59"/>
      <c r="V604" s="59"/>
      <c r="W604" s="59"/>
      <c r="X604" s="59"/>
      <c r="Y604" s="59"/>
      <c r="Z604" s="59"/>
      <c r="AA604" s="59"/>
      <c r="AB604" s="59"/>
      <c r="AC604" s="59"/>
      <c r="AD604" s="59"/>
      <c r="AE604" s="59"/>
      <c r="AF604" s="59"/>
      <c r="AG604" s="59"/>
      <c r="AH604" s="59"/>
      <c r="AI604" s="59" t="str">
        <f>IF(SUM(Dati[[#This Row],[Inv. Business]:[Inv. Cryptocurrency]])=0," ",SUM(Dati[[#This Row],[Inv. Business]:[Inv. Cryptocurrency]]))</f>
        <v xml:space="preserve"> </v>
      </c>
      <c r="AJ604" s="59"/>
      <c r="AK604" s="59" t="str">
        <f>IF(SUM(Dati[[#This Row],[Inv. Gold]:[Mutuo]])=0," ",SUM(Dati[[#This Row],[Inv. Gold]:[Mutuo]]))</f>
        <v xml:space="preserve"> </v>
      </c>
      <c r="AL604" s="59"/>
      <c r="AM604" s="59"/>
    </row>
    <row r="605" spans="2:39" x14ac:dyDescent="0.35">
      <c r="B605">
        <f t="shared" si="25"/>
        <v>585</v>
      </c>
      <c r="C605" s="49">
        <f t="shared" si="24"/>
        <v>45377</v>
      </c>
      <c r="D605" s="29">
        <f>DAY(Dati[[#This Row],[Data]])</f>
        <v>26</v>
      </c>
      <c r="E605" s="29" t="str">
        <f>IF(DAY(Data!$C$21:$C$1327)&gt;0,TEXT(Data!$C$21:$C$1327, "mmmm"),"")</f>
        <v>marzo</v>
      </c>
      <c r="F605" s="29" t="str">
        <f>IF(DAY(Data!$C$21:$C$1327)&gt;0,TEXT(Data!$C$21:$C$1327, "aaaa"),"")</f>
        <v>2024</v>
      </c>
      <c r="I605" t="str">
        <f>IF(OR(H605=$B$5,H605=$B$6,H605=$B$7,H605=$B$8,H605=$B$9,H605=$B$10,H605=$B$11,H605=$B$12,H605=$B$13,H605=$B$14),SottocategorieUscite[[#Headers],[Fuori Casa]],IF(OR(H605=$C$5,H605=$C$6,H605=$C$7,H605=$C$8,H605=$C$9,H605=$C$10,H605=$C$11,H605=$C$12,H605=$C$13,H605=$C$14),SottocategorieUscite[[#Headers],[Varie Uscite]],IF(OR(H605=$D$5,H605=$D$6,H605=$D$7,H605=$D$8,H605=$D$9,H605=$D$10,H605=$D$11,H605=$D$12,H605=$D$13,H605=$D$14),SottocategorieUscite[[#Headers],[Personali]],IF(OR(H605=$E$5,H605=$E$6,H605=$E$7,H605=$E$8,H605=$E$9,H605=$E$10,H605=$E$11,H605=$E$12,H605=$E$13,H605=$E$14),SottocategorieUscite[[#Headers],[Lavoro]],IF(OR(H605=$F$5,H605=$F$6,H605=$F$7,H605=$F$8,H605=$F$9,H605=$F$10,H605=$F$11,H605=$F$12,H605=$F$13,H605=$F$14),SottocategorieUscite[[#Headers],[Casa]],IF(OR(H605=$G$5,H605=$G$6,H605=$G$7,H605=$G$8,H605=$G$9,H605=$G$10,H605=$G$11,H605=$G$12,H605=$G$13,H605=$G$14),SottocategorieUscite[[#Headers],[Utenze]],IF(OR(H605=$H$5,H605=$H$6,H605=$H$7,H605=$H$8,H605=$H$9,H605=$H$10,H605=$H$11,H605=$H$12,H605=$H$13,H605=$H$14),SottocategorieUscite[[#Headers],[Business Uscite]],IF(OR(H605=$I$5,H605=$I$6,H605=$I$7,H605=$I$8,H605=$I$9,H605=$I$10,H605=$I$11,H605=$I$12,H605=$I$13,H605=$I$14),SottocategorieUscite[[#Headers],[Banca]],IF(OR(H605=K$5,H605=K$6,H605=K$7,H605=K$8,H605=K$9,H605=K$10,H605=K$11,H605=K$12,H605=K$13,H605=K$14),SottocategorieEntrate[[#Headers],[Business Entrate]],IF(OR(H605=L$5,H605=L$6,H605=L$7,H605=L$8,H605=L$9,H605=L$10,H605=L$11,H605=L$12,H605=L$13,H605=L$14),SottocategorieEntrate[[#Headers],[Varie Entrate]],IF(OR(H605=M$5,H605=M$6,H605=M$7,H605=M$8,H605=M$9,H605=M$10,H605=M$11,H605=M$12,H605=M$13,H605=M$14),SottocategorieEntrate[[#Headers],[Real Estate]],IF(OR(H605=N$5,H605=N$6,H605=N$7,H605=N$8,H605=N$9,H605=N$10,H605=N$11,H605=N$12,H605=N$13,H605=N$14),SottocategorieEntrate[[#Headers],[Other]],""))))))))))))</f>
        <v/>
      </c>
      <c r="J605" t="str">
        <f>IF(OR(Dati[[#This Row],[Categoria]]="Bollette",Dati[[#This Row],[Categoria]]="Conto &amp; Carte BNL",Dati[[#This Row],[Categoria]]="Prelievo",Dati[[#This Row],[Categoria]]="Affitto",Dati[[#This Row],[Categoria]]="BNL(Interessi Creditori)"),"Carta",IF(Dati[[#This Row],[Categoria]]&lt;&gt;0,"Cash",""))</f>
        <v/>
      </c>
      <c r="K605" s="59" t="str">
        <f>IF(OR(Data!$I605=SottocategorieUscite[[#Headers],[Fuori Casa]],Data!$I605=SottocategorieUscite[[#Headers],[Varie Uscite]],Data!$I605=SottocategorieUscite[[#Headers],[Personali]],Data!$I605=SottocategorieUscite[[#Headers],[Lavoro]]),"$ -","")</f>
        <v/>
      </c>
      <c r="L605" s="59" t="str">
        <f>IF(OR(Data!$I605=SottocategorieUscite[[#Headers],[Casa]],Data!$I605=SottocategorieUscite[[#Headers],[Utenze]],Data!$I605=SottocategorieUscite[[#Headers],[Business Uscite]],Data!$I605=SottocategorieUscite[[#Headers],[Banca]]),"$ -","")</f>
        <v/>
      </c>
      <c r="M605" s="59" t="str">
        <f>IF(OR($I605&lt;&gt;SottocategorieUscite[[#Headers],[Fuori Casa]],$I605&lt;&gt;SottocategorieUscite[[#Headers],[Varie Uscite]],$I605&lt;&gt;SottocategorieUscite[[#Headers],[Personali]],$I605&lt;&gt;SottocategorieUscite[[#Headers],[Lavoro]],$I605&lt;&gt;SottocategorieUscite[[#Headers],[Casa]],$I605&lt;&gt;SottocategorieUscite[[#Headers],[Utenze]],$I605&lt;&gt;SottocategorieUscite[[#Headers],[Business Uscite]],$I605&lt;&gt;SottocategorieUscite[[#Headers],[Banca]]),"","$ -")</f>
        <v/>
      </c>
      <c r="N605" s="59" t="str">
        <f>IF(OR(Data!$I605=SottocategorieEntrate[[#Headers],[Business Entrate]],Data!$I605=SottocategorieEntrate[[#Headers],[Varie Entrate]]),"$ -","")</f>
        <v/>
      </c>
      <c r="O605" s="59" t="str">
        <f>IF(OR(Data!$I605=SottocategorieEntrate[[#Headers],[Real Estate]],SottocategorieEntrate[[#Headers],[Other]]),"$ -","")</f>
        <v/>
      </c>
      <c r="P605" s="59" t="str">
        <f>IF(OR($I605&lt;&gt;SottocategorieEntrate[[#Headers],[Business Entrate]],$I605&lt;&gt;SottocategorieEntrate[[#Headers],[Varie Entrate]],$I605&lt;&gt;SottocategorieEntrate[[#Headers],[Real Estate]],$I605&lt;&gt;SottocategorieEntrate[[#Headers],[Other]]),"","$ -")</f>
        <v/>
      </c>
      <c r="Q605" s="59" t="str">
        <f>IF(Dati[[#This Row],[Categoria]]="Prelievo","€ -","")</f>
        <v/>
      </c>
      <c r="R605" s="244"/>
      <c r="S605" s="59" t="str">
        <f>IF(Dati[[#This Row],[Categoria]]="Savings",0,"")</f>
        <v/>
      </c>
      <c r="T605" s="59"/>
      <c r="U605" s="59"/>
      <c r="V605" s="59"/>
      <c r="W605" s="59"/>
      <c r="X605" s="59"/>
      <c r="Y605" s="59"/>
      <c r="Z605" s="59"/>
      <c r="AA605" s="59"/>
      <c r="AB605" s="59"/>
      <c r="AC605" s="59"/>
      <c r="AD605" s="59"/>
      <c r="AE605" s="59"/>
      <c r="AF605" s="59"/>
      <c r="AG605" s="59"/>
      <c r="AH605" s="59"/>
      <c r="AI605" s="59" t="str">
        <f>IF(SUM(Dati[[#This Row],[Inv. Business]:[Inv. Cryptocurrency]])=0," ",SUM(Dati[[#This Row],[Inv. Business]:[Inv. Cryptocurrency]]))</f>
        <v xml:space="preserve"> </v>
      </c>
      <c r="AJ605" s="59"/>
      <c r="AK605" s="59" t="str">
        <f>IF(SUM(Dati[[#This Row],[Inv. Gold]:[Mutuo]])=0," ",SUM(Dati[[#This Row],[Inv. Gold]:[Mutuo]]))</f>
        <v xml:space="preserve"> </v>
      </c>
      <c r="AL605" s="59"/>
      <c r="AM605" s="59"/>
    </row>
    <row r="606" spans="2:39" x14ac:dyDescent="0.35">
      <c r="B606">
        <f t="shared" si="25"/>
        <v>586</v>
      </c>
      <c r="C606" s="49">
        <f t="shared" si="24"/>
        <v>45378</v>
      </c>
      <c r="D606" s="29">
        <f>DAY(Dati[[#This Row],[Data]])</f>
        <v>27</v>
      </c>
      <c r="E606" s="29" t="str">
        <f>IF(DAY(Data!$C$21:$C$1327)&gt;0,TEXT(Data!$C$21:$C$1327, "mmmm"),"")</f>
        <v>marzo</v>
      </c>
      <c r="F606" s="29" t="str">
        <f>IF(DAY(Data!$C$21:$C$1327)&gt;0,TEXT(Data!$C$21:$C$1327, "aaaa"),"")</f>
        <v>2024</v>
      </c>
      <c r="I606" t="str">
        <f>IF(OR(H606=$B$5,H606=$B$6,H606=$B$7,H606=$B$8,H606=$B$9,H606=$B$10,H606=$B$11,H606=$B$12,H606=$B$13,H606=$B$14),SottocategorieUscite[[#Headers],[Fuori Casa]],IF(OR(H606=$C$5,H606=$C$6,H606=$C$7,H606=$C$8,H606=$C$9,H606=$C$10,H606=$C$11,H606=$C$12,H606=$C$13,H606=$C$14),SottocategorieUscite[[#Headers],[Varie Uscite]],IF(OR(H606=$D$5,H606=$D$6,H606=$D$7,H606=$D$8,H606=$D$9,H606=$D$10,H606=$D$11,H606=$D$12,H606=$D$13,H606=$D$14),SottocategorieUscite[[#Headers],[Personali]],IF(OR(H606=$E$5,H606=$E$6,H606=$E$7,H606=$E$8,H606=$E$9,H606=$E$10,H606=$E$11,H606=$E$12,H606=$E$13,H606=$E$14),SottocategorieUscite[[#Headers],[Lavoro]],IF(OR(H606=$F$5,H606=$F$6,H606=$F$7,H606=$F$8,H606=$F$9,H606=$F$10,H606=$F$11,H606=$F$12,H606=$F$13,H606=$F$14),SottocategorieUscite[[#Headers],[Casa]],IF(OR(H606=$G$5,H606=$G$6,H606=$G$7,H606=$G$8,H606=$G$9,H606=$G$10,H606=$G$11,H606=$G$12,H606=$G$13,H606=$G$14),SottocategorieUscite[[#Headers],[Utenze]],IF(OR(H606=$H$5,H606=$H$6,H606=$H$7,H606=$H$8,H606=$H$9,H606=$H$10,H606=$H$11,H606=$H$12,H606=$H$13,H606=$H$14),SottocategorieUscite[[#Headers],[Business Uscite]],IF(OR(H606=$I$5,H606=$I$6,H606=$I$7,H606=$I$8,H606=$I$9,H606=$I$10,H606=$I$11,H606=$I$12,H606=$I$13,H606=$I$14),SottocategorieUscite[[#Headers],[Banca]],IF(OR(H606=K$5,H606=K$6,H606=K$7,H606=K$8,H606=K$9,H606=K$10,H606=K$11,H606=K$12,H606=K$13,H606=K$14),SottocategorieEntrate[[#Headers],[Business Entrate]],IF(OR(H606=L$5,H606=L$6,H606=L$7,H606=L$8,H606=L$9,H606=L$10,H606=L$11,H606=L$12,H606=L$13,H606=L$14),SottocategorieEntrate[[#Headers],[Varie Entrate]],IF(OR(H606=M$5,H606=M$6,H606=M$7,H606=M$8,H606=M$9,H606=M$10,H606=M$11,H606=M$12,H606=M$13,H606=M$14),SottocategorieEntrate[[#Headers],[Real Estate]],IF(OR(H606=N$5,H606=N$6,H606=N$7,H606=N$8,H606=N$9,H606=N$10,H606=N$11,H606=N$12,H606=N$13,H606=N$14),SottocategorieEntrate[[#Headers],[Other]],""))))))))))))</f>
        <v/>
      </c>
      <c r="J606" t="str">
        <f>IF(OR(Dati[[#This Row],[Categoria]]="Bollette",Dati[[#This Row],[Categoria]]="Conto &amp; Carte BNL",Dati[[#This Row],[Categoria]]="Prelievo",Dati[[#This Row],[Categoria]]="Affitto",Dati[[#This Row],[Categoria]]="BNL(Interessi Creditori)"),"Carta",IF(Dati[[#This Row],[Categoria]]&lt;&gt;0,"Cash",""))</f>
        <v/>
      </c>
      <c r="K606" s="59" t="str">
        <f>IF(OR(Data!$I606=SottocategorieUscite[[#Headers],[Fuori Casa]],Data!$I606=SottocategorieUscite[[#Headers],[Varie Uscite]],Data!$I606=SottocategorieUscite[[#Headers],[Personali]],Data!$I606=SottocategorieUscite[[#Headers],[Lavoro]]),"$ -","")</f>
        <v/>
      </c>
      <c r="L606" s="59" t="str">
        <f>IF(OR(Data!$I606=SottocategorieUscite[[#Headers],[Casa]],Data!$I606=SottocategorieUscite[[#Headers],[Utenze]],Data!$I606=SottocategorieUscite[[#Headers],[Business Uscite]],Data!$I606=SottocategorieUscite[[#Headers],[Banca]]),"$ -","")</f>
        <v/>
      </c>
      <c r="M606" s="59" t="str">
        <f>IF(OR($I606&lt;&gt;SottocategorieUscite[[#Headers],[Fuori Casa]],$I606&lt;&gt;SottocategorieUscite[[#Headers],[Varie Uscite]],$I606&lt;&gt;SottocategorieUscite[[#Headers],[Personali]],$I606&lt;&gt;SottocategorieUscite[[#Headers],[Lavoro]],$I606&lt;&gt;SottocategorieUscite[[#Headers],[Casa]],$I606&lt;&gt;SottocategorieUscite[[#Headers],[Utenze]],$I606&lt;&gt;SottocategorieUscite[[#Headers],[Business Uscite]],$I606&lt;&gt;SottocategorieUscite[[#Headers],[Banca]]),"","$ -")</f>
        <v/>
      </c>
      <c r="N606" s="59" t="str">
        <f>IF(OR(Data!$I606=SottocategorieEntrate[[#Headers],[Business Entrate]],Data!$I606=SottocategorieEntrate[[#Headers],[Varie Entrate]]),"$ -","")</f>
        <v/>
      </c>
      <c r="O606" s="59" t="str">
        <f>IF(OR(Data!$I606=SottocategorieEntrate[[#Headers],[Real Estate]],SottocategorieEntrate[[#Headers],[Other]]),"$ -","")</f>
        <v/>
      </c>
      <c r="P606" s="59" t="str">
        <f>IF(OR($I606&lt;&gt;SottocategorieEntrate[[#Headers],[Business Entrate]],$I606&lt;&gt;SottocategorieEntrate[[#Headers],[Varie Entrate]],$I606&lt;&gt;SottocategorieEntrate[[#Headers],[Real Estate]],$I606&lt;&gt;SottocategorieEntrate[[#Headers],[Other]]),"","$ -")</f>
        <v/>
      </c>
      <c r="Q606" s="59" t="str">
        <f>IF(Dati[[#This Row],[Categoria]]="Prelievo","€ -","")</f>
        <v/>
      </c>
      <c r="R606" s="244"/>
      <c r="S606" s="59" t="str">
        <f>IF(Dati[[#This Row],[Categoria]]="Savings",0,"")</f>
        <v/>
      </c>
      <c r="T606" s="59"/>
      <c r="U606" s="59"/>
      <c r="V606" s="59"/>
      <c r="W606" s="59"/>
      <c r="X606" s="59"/>
      <c r="Y606" s="59"/>
      <c r="Z606" s="59"/>
      <c r="AA606" s="59"/>
      <c r="AB606" s="59"/>
      <c r="AC606" s="59"/>
      <c r="AD606" s="59"/>
      <c r="AE606" s="59"/>
      <c r="AF606" s="59"/>
      <c r="AG606" s="59"/>
      <c r="AH606" s="59"/>
      <c r="AI606" s="59" t="str">
        <f>IF(SUM(Dati[[#This Row],[Inv. Business]:[Inv. Cryptocurrency]])=0," ",SUM(Dati[[#This Row],[Inv. Business]:[Inv. Cryptocurrency]]))</f>
        <v xml:space="preserve"> </v>
      </c>
      <c r="AJ606" s="59"/>
      <c r="AK606" s="59" t="str">
        <f>IF(SUM(Dati[[#This Row],[Inv. Gold]:[Mutuo]])=0," ",SUM(Dati[[#This Row],[Inv. Gold]:[Mutuo]]))</f>
        <v xml:space="preserve"> </v>
      </c>
      <c r="AL606" s="59"/>
      <c r="AM606" s="59"/>
    </row>
    <row r="607" spans="2:39" x14ac:dyDescent="0.35">
      <c r="B607">
        <f t="shared" si="25"/>
        <v>587</v>
      </c>
      <c r="C607" s="49">
        <f t="shared" ref="C607:C613" si="26">C605+1</f>
        <v>45378</v>
      </c>
      <c r="D607" s="29">
        <f>DAY(Dati[[#This Row],[Data]])</f>
        <v>27</v>
      </c>
      <c r="E607" s="29" t="str">
        <f>IF(DAY(Data!$C$21:$C$1327)&gt;0,TEXT(Data!$C$21:$C$1327, "mmmm"),"")</f>
        <v>marzo</v>
      </c>
      <c r="F607" s="29" t="str">
        <f>IF(DAY(Data!$C$21:$C$1327)&gt;0,TEXT(Data!$C$21:$C$1327, "aaaa"),"")</f>
        <v>2024</v>
      </c>
      <c r="I607" t="str">
        <f>IF(OR(H607=$B$5,H607=$B$6,H607=$B$7,H607=$B$8,H607=$B$9,H607=$B$10,H607=$B$11,H607=$B$12,H607=$B$13,H607=$B$14),SottocategorieUscite[[#Headers],[Fuori Casa]],IF(OR(H607=$C$5,H607=$C$6,H607=$C$7,H607=$C$8,H607=$C$9,H607=$C$10,H607=$C$11,H607=$C$12,H607=$C$13,H607=$C$14),SottocategorieUscite[[#Headers],[Varie Uscite]],IF(OR(H607=$D$5,H607=$D$6,H607=$D$7,H607=$D$8,H607=$D$9,H607=$D$10,H607=$D$11,H607=$D$12,H607=$D$13,H607=$D$14),SottocategorieUscite[[#Headers],[Personali]],IF(OR(H607=$E$5,H607=$E$6,H607=$E$7,H607=$E$8,H607=$E$9,H607=$E$10,H607=$E$11,H607=$E$12,H607=$E$13,H607=$E$14),SottocategorieUscite[[#Headers],[Lavoro]],IF(OR(H607=$F$5,H607=$F$6,H607=$F$7,H607=$F$8,H607=$F$9,H607=$F$10,H607=$F$11,H607=$F$12,H607=$F$13,H607=$F$14),SottocategorieUscite[[#Headers],[Casa]],IF(OR(H607=$G$5,H607=$G$6,H607=$G$7,H607=$G$8,H607=$G$9,H607=$G$10,H607=$G$11,H607=$G$12,H607=$G$13,H607=$G$14),SottocategorieUscite[[#Headers],[Utenze]],IF(OR(H607=$H$5,H607=$H$6,H607=$H$7,H607=$H$8,H607=$H$9,H607=$H$10,H607=$H$11,H607=$H$12,H607=$H$13,H607=$H$14),SottocategorieUscite[[#Headers],[Business Uscite]],IF(OR(H607=$I$5,H607=$I$6,H607=$I$7,H607=$I$8,H607=$I$9,H607=$I$10,H607=$I$11,H607=$I$12,H607=$I$13,H607=$I$14),SottocategorieUscite[[#Headers],[Banca]],IF(OR(H607=K$5,H607=K$6,H607=K$7,H607=K$8,H607=K$9,H607=K$10,H607=K$11,H607=K$12,H607=K$13,H607=K$14),SottocategorieEntrate[[#Headers],[Business Entrate]],IF(OR(H607=L$5,H607=L$6,H607=L$7,H607=L$8,H607=L$9,H607=L$10,H607=L$11,H607=L$12,H607=L$13,H607=L$14),SottocategorieEntrate[[#Headers],[Varie Entrate]],IF(OR(H607=M$5,H607=M$6,H607=M$7,H607=M$8,H607=M$9,H607=M$10,H607=M$11,H607=M$12,H607=M$13,H607=M$14),SottocategorieEntrate[[#Headers],[Real Estate]],IF(OR(H607=N$5,H607=N$6,H607=N$7,H607=N$8,H607=N$9,H607=N$10,H607=N$11,H607=N$12,H607=N$13,H607=N$14),SottocategorieEntrate[[#Headers],[Other]],""))))))))))))</f>
        <v/>
      </c>
      <c r="J607" t="str">
        <f>IF(OR(Dati[[#This Row],[Categoria]]="Bollette",Dati[[#This Row],[Categoria]]="Conto &amp; Carte BNL",Dati[[#This Row],[Categoria]]="Prelievo",Dati[[#This Row],[Categoria]]="Affitto",Dati[[#This Row],[Categoria]]="BNL(Interessi Creditori)"),"Carta",IF(Dati[[#This Row],[Categoria]]&lt;&gt;0,"Cash",""))</f>
        <v/>
      </c>
      <c r="K607" s="59" t="str">
        <f>IF(OR(Data!$I607=SottocategorieUscite[[#Headers],[Fuori Casa]],Data!$I607=SottocategorieUscite[[#Headers],[Varie Uscite]],Data!$I607=SottocategorieUscite[[#Headers],[Personali]],Data!$I607=SottocategorieUscite[[#Headers],[Lavoro]]),"$ -","")</f>
        <v/>
      </c>
      <c r="L607" s="59" t="str">
        <f>IF(OR(Data!$I607=SottocategorieUscite[[#Headers],[Casa]],Data!$I607=SottocategorieUscite[[#Headers],[Utenze]],Data!$I607=SottocategorieUscite[[#Headers],[Business Uscite]],Data!$I607=SottocategorieUscite[[#Headers],[Banca]]),"$ -","")</f>
        <v/>
      </c>
      <c r="M607" s="59" t="str">
        <f>IF(OR($I607&lt;&gt;SottocategorieUscite[[#Headers],[Fuori Casa]],$I607&lt;&gt;SottocategorieUscite[[#Headers],[Varie Uscite]],$I607&lt;&gt;SottocategorieUscite[[#Headers],[Personali]],$I607&lt;&gt;SottocategorieUscite[[#Headers],[Lavoro]],$I607&lt;&gt;SottocategorieUscite[[#Headers],[Casa]],$I607&lt;&gt;SottocategorieUscite[[#Headers],[Utenze]],$I607&lt;&gt;SottocategorieUscite[[#Headers],[Business Uscite]],$I607&lt;&gt;SottocategorieUscite[[#Headers],[Banca]]),"","$ -")</f>
        <v/>
      </c>
      <c r="N607" s="59" t="str">
        <f>IF(OR(Data!$I607=SottocategorieEntrate[[#Headers],[Business Entrate]],Data!$I607=SottocategorieEntrate[[#Headers],[Varie Entrate]]),"$ -","")</f>
        <v/>
      </c>
      <c r="O607" s="59" t="str">
        <f>IF(OR(Data!$I607=SottocategorieEntrate[[#Headers],[Real Estate]],SottocategorieEntrate[[#Headers],[Other]]),"$ -","")</f>
        <v/>
      </c>
      <c r="P607" s="59" t="str">
        <f>IF(OR($I607&lt;&gt;SottocategorieEntrate[[#Headers],[Business Entrate]],$I607&lt;&gt;SottocategorieEntrate[[#Headers],[Varie Entrate]],$I607&lt;&gt;SottocategorieEntrate[[#Headers],[Real Estate]],$I607&lt;&gt;SottocategorieEntrate[[#Headers],[Other]]),"","$ -")</f>
        <v/>
      </c>
      <c r="Q607" s="59" t="str">
        <f>IF(Dati[[#This Row],[Categoria]]="Prelievo","€ -","")</f>
        <v/>
      </c>
      <c r="R607" s="244"/>
      <c r="S607" s="59" t="str">
        <f>IF(Dati[[#This Row],[Categoria]]="Savings",0,"")</f>
        <v/>
      </c>
      <c r="T607" s="59"/>
      <c r="U607" s="59"/>
      <c r="V607" s="59"/>
      <c r="W607" s="59"/>
      <c r="X607" s="59"/>
      <c r="Y607" s="59"/>
      <c r="Z607" s="59"/>
      <c r="AA607" s="59"/>
      <c r="AB607" s="59"/>
      <c r="AC607" s="59"/>
      <c r="AD607" s="59"/>
      <c r="AE607" s="59"/>
      <c r="AF607" s="59"/>
      <c r="AG607" s="59"/>
      <c r="AH607" s="59"/>
      <c r="AI607" s="59" t="str">
        <f>IF(SUM(Dati[[#This Row],[Inv. Business]:[Inv. Cryptocurrency]])=0," ",SUM(Dati[[#This Row],[Inv. Business]:[Inv. Cryptocurrency]]))</f>
        <v xml:space="preserve"> </v>
      </c>
      <c r="AJ607" s="59"/>
      <c r="AK607" s="59" t="str">
        <f>IF(SUM(Dati[[#This Row],[Inv. Gold]:[Mutuo]])=0," ",SUM(Dati[[#This Row],[Inv. Gold]:[Mutuo]]))</f>
        <v xml:space="preserve"> </v>
      </c>
      <c r="AL607" s="59"/>
      <c r="AM607" s="59"/>
    </row>
    <row r="608" spans="2:39" x14ac:dyDescent="0.35">
      <c r="B608">
        <f t="shared" si="25"/>
        <v>588</v>
      </c>
      <c r="C608" s="49">
        <f>C605+1</f>
        <v>45378</v>
      </c>
      <c r="D608" s="29">
        <f>DAY(Dati[[#This Row],[Data]])</f>
        <v>27</v>
      </c>
      <c r="E608" s="29" t="str">
        <f>IF(DAY(Data!$C$21:$C$1327)&gt;0,TEXT(Data!$C$21:$C$1327, "mmmm"),"")</f>
        <v>marzo</v>
      </c>
      <c r="F608" s="29" t="str">
        <f>IF(DAY(Data!$C$21:$C$1327)&gt;0,TEXT(Data!$C$21:$C$1327, "aaaa"),"")</f>
        <v>2024</v>
      </c>
      <c r="I608" t="str">
        <f>IF(OR(H608=$B$5,H608=$B$6,H608=$B$7,H608=$B$8,H608=$B$9,H608=$B$10,H608=$B$11,H608=$B$12,H608=$B$13,H608=$B$14),SottocategorieUscite[[#Headers],[Fuori Casa]],IF(OR(H608=$C$5,H608=$C$6,H608=$C$7,H608=$C$8,H608=$C$9,H608=$C$10,H608=$C$11,H608=$C$12,H608=$C$13,H608=$C$14),SottocategorieUscite[[#Headers],[Varie Uscite]],IF(OR(H608=$D$5,H608=$D$6,H608=$D$7,H608=$D$8,H608=$D$9,H608=$D$10,H608=$D$11,H608=$D$12,H608=$D$13,H608=$D$14),SottocategorieUscite[[#Headers],[Personali]],IF(OR(H608=$E$5,H608=$E$6,H608=$E$7,H608=$E$8,H608=$E$9,H608=$E$10,H608=$E$11,H608=$E$12,H608=$E$13,H608=$E$14),SottocategorieUscite[[#Headers],[Lavoro]],IF(OR(H608=$F$5,H608=$F$6,H608=$F$7,H608=$F$8,H608=$F$9,H608=$F$10,H608=$F$11,H608=$F$12,H608=$F$13,H608=$F$14),SottocategorieUscite[[#Headers],[Casa]],IF(OR(H608=$G$5,H608=$G$6,H608=$G$7,H608=$G$8,H608=$G$9,H608=$G$10,H608=$G$11,H608=$G$12,H608=$G$13,H608=$G$14),SottocategorieUscite[[#Headers],[Utenze]],IF(OR(H608=$H$5,H608=$H$6,H608=$H$7,H608=$H$8,H608=$H$9,H608=$H$10,H608=$H$11,H608=$H$12,H608=$H$13,H608=$H$14),SottocategorieUscite[[#Headers],[Business Uscite]],IF(OR(H608=$I$5,H608=$I$6,H608=$I$7,H608=$I$8,H608=$I$9,H608=$I$10,H608=$I$11,H608=$I$12,H608=$I$13,H608=$I$14),SottocategorieUscite[[#Headers],[Banca]],IF(OR(H608=K$5,H608=K$6,H608=K$7,H608=K$8,H608=K$9,H608=K$10,H608=K$11,H608=K$12,H608=K$13,H608=K$14),SottocategorieEntrate[[#Headers],[Business Entrate]],IF(OR(H608=L$5,H608=L$6,H608=L$7,H608=L$8,H608=L$9,H608=L$10,H608=L$11,H608=L$12,H608=L$13,H608=L$14),SottocategorieEntrate[[#Headers],[Varie Entrate]],IF(OR(H608=M$5,H608=M$6,H608=M$7,H608=M$8,H608=M$9,H608=M$10,H608=M$11,H608=M$12,H608=M$13,H608=M$14),SottocategorieEntrate[[#Headers],[Real Estate]],IF(OR(H608=N$5,H608=N$6,H608=N$7,H608=N$8,H608=N$9,H608=N$10,H608=N$11,H608=N$12,H608=N$13,H608=N$14),SottocategorieEntrate[[#Headers],[Other]],""))))))))))))</f>
        <v/>
      </c>
      <c r="J608" t="str">
        <f>IF(OR(Dati[[#This Row],[Categoria]]="Bollette",Dati[[#This Row],[Categoria]]="Conto &amp; Carte BNL",Dati[[#This Row],[Categoria]]="Prelievo",Dati[[#This Row],[Categoria]]="Affitto",Dati[[#This Row],[Categoria]]="BNL(Interessi Creditori)"),"Carta",IF(Dati[[#This Row],[Categoria]]&lt;&gt;0,"Cash",""))</f>
        <v/>
      </c>
      <c r="K608" s="59" t="str">
        <f>IF(OR(Data!$I608=SottocategorieUscite[[#Headers],[Fuori Casa]],Data!$I608=SottocategorieUscite[[#Headers],[Varie Uscite]],Data!$I608=SottocategorieUscite[[#Headers],[Personali]],Data!$I608=SottocategorieUscite[[#Headers],[Lavoro]]),"$ -","")</f>
        <v/>
      </c>
      <c r="L608" s="59" t="str">
        <f>IF(OR(Data!$I608=SottocategorieUscite[[#Headers],[Casa]],Data!$I608=SottocategorieUscite[[#Headers],[Utenze]],Data!$I608=SottocategorieUscite[[#Headers],[Business Uscite]],Data!$I608=SottocategorieUscite[[#Headers],[Banca]]),"$ -","")</f>
        <v/>
      </c>
      <c r="M608" s="59" t="str">
        <f>IF(OR($I608&lt;&gt;SottocategorieUscite[[#Headers],[Fuori Casa]],$I608&lt;&gt;SottocategorieUscite[[#Headers],[Varie Uscite]],$I608&lt;&gt;SottocategorieUscite[[#Headers],[Personali]],$I608&lt;&gt;SottocategorieUscite[[#Headers],[Lavoro]],$I608&lt;&gt;SottocategorieUscite[[#Headers],[Casa]],$I608&lt;&gt;SottocategorieUscite[[#Headers],[Utenze]],$I608&lt;&gt;SottocategorieUscite[[#Headers],[Business Uscite]],$I608&lt;&gt;SottocategorieUscite[[#Headers],[Banca]]),"","$ -")</f>
        <v/>
      </c>
      <c r="N608" s="59" t="str">
        <f>IF(OR(Data!$I608=SottocategorieEntrate[[#Headers],[Business Entrate]],Data!$I608=SottocategorieEntrate[[#Headers],[Varie Entrate]]),"$ -","")</f>
        <v/>
      </c>
      <c r="O608" s="59" t="str">
        <f>IF(OR(Data!$I608=SottocategorieEntrate[[#Headers],[Real Estate]],SottocategorieEntrate[[#Headers],[Other]]),"$ -","")</f>
        <v/>
      </c>
      <c r="P608" s="59" t="str">
        <f>IF(OR($I608&lt;&gt;SottocategorieEntrate[[#Headers],[Business Entrate]],$I608&lt;&gt;SottocategorieEntrate[[#Headers],[Varie Entrate]],$I608&lt;&gt;SottocategorieEntrate[[#Headers],[Real Estate]],$I608&lt;&gt;SottocategorieEntrate[[#Headers],[Other]]),"","$ -")</f>
        <v/>
      </c>
      <c r="Q608" s="59" t="str">
        <f>IF(Dati[[#This Row],[Categoria]]="Prelievo","€ -","")</f>
        <v/>
      </c>
      <c r="R608" s="244"/>
      <c r="S608" s="59" t="str">
        <f>IF(Dati[[#This Row],[Categoria]]="Savings",0,"")</f>
        <v/>
      </c>
      <c r="T608" s="59"/>
      <c r="U608" s="59"/>
      <c r="V608" s="59"/>
      <c r="W608" s="59"/>
      <c r="X608" s="59"/>
      <c r="Y608" s="59"/>
      <c r="Z608" s="59"/>
      <c r="AA608" s="59"/>
      <c r="AB608" s="59"/>
      <c r="AC608" s="59"/>
      <c r="AD608" s="59"/>
      <c r="AE608" s="59"/>
      <c r="AF608" s="59"/>
      <c r="AG608" s="59"/>
      <c r="AH608" s="59"/>
      <c r="AI608" s="59" t="str">
        <f>IF(SUM(Dati[[#This Row],[Inv. Business]:[Inv. Cryptocurrency]])=0," ",SUM(Dati[[#This Row],[Inv. Business]:[Inv. Cryptocurrency]]))</f>
        <v xml:space="preserve"> </v>
      </c>
      <c r="AJ608" s="59"/>
      <c r="AK608" s="59" t="str">
        <f>IF(SUM(Dati[[#This Row],[Inv. Gold]:[Mutuo]])=0," ",SUM(Dati[[#This Row],[Inv. Gold]:[Mutuo]]))</f>
        <v xml:space="preserve"> </v>
      </c>
      <c r="AL608" s="59"/>
      <c r="AM608" s="59"/>
    </row>
    <row r="609" spans="2:39" x14ac:dyDescent="0.35">
      <c r="B609">
        <f t="shared" si="25"/>
        <v>589</v>
      </c>
      <c r="C609" s="49">
        <f>C606+1</f>
        <v>45379</v>
      </c>
      <c r="D609" s="29">
        <f>DAY(Dati[[#This Row],[Data]])</f>
        <v>28</v>
      </c>
      <c r="E609" s="29" t="str">
        <f>IF(DAY(Data!$C$21:$C$1327)&gt;0,TEXT(Data!$C$21:$C$1327, "mmmm"),"")</f>
        <v>marzo</v>
      </c>
      <c r="F609" s="29" t="str">
        <f>IF(DAY(Data!$C$21:$C$1327)&gt;0,TEXT(Data!$C$21:$C$1327, "aaaa"),"")</f>
        <v>2024</v>
      </c>
      <c r="I609" t="str">
        <f>IF(OR(H609=$B$5,H609=$B$6,H609=$B$7,H609=$B$8,H609=$B$9,H609=$B$10,H609=$B$11,H609=$B$12,H609=$B$13,H609=$B$14),SottocategorieUscite[[#Headers],[Fuori Casa]],IF(OR(H609=$C$5,H609=$C$6,H609=$C$7,H609=$C$8,H609=$C$9,H609=$C$10,H609=$C$11,H609=$C$12,H609=$C$13,H609=$C$14),SottocategorieUscite[[#Headers],[Varie Uscite]],IF(OR(H609=$D$5,H609=$D$6,H609=$D$7,H609=$D$8,H609=$D$9,H609=$D$10,H609=$D$11,H609=$D$12,H609=$D$13,H609=$D$14),SottocategorieUscite[[#Headers],[Personali]],IF(OR(H609=$E$5,H609=$E$6,H609=$E$7,H609=$E$8,H609=$E$9,H609=$E$10,H609=$E$11,H609=$E$12,H609=$E$13,H609=$E$14),SottocategorieUscite[[#Headers],[Lavoro]],IF(OR(H609=$F$5,H609=$F$6,H609=$F$7,H609=$F$8,H609=$F$9,H609=$F$10,H609=$F$11,H609=$F$12,H609=$F$13,H609=$F$14),SottocategorieUscite[[#Headers],[Casa]],IF(OR(H609=$G$5,H609=$G$6,H609=$G$7,H609=$G$8,H609=$G$9,H609=$G$10,H609=$G$11,H609=$G$12,H609=$G$13,H609=$G$14),SottocategorieUscite[[#Headers],[Utenze]],IF(OR(H609=$H$5,H609=$H$6,H609=$H$7,H609=$H$8,H609=$H$9,H609=$H$10,H609=$H$11,H609=$H$12,H609=$H$13,H609=$H$14),SottocategorieUscite[[#Headers],[Business Uscite]],IF(OR(H609=$I$5,H609=$I$6,H609=$I$7,H609=$I$8,H609=$I$9,H609=$I$10,H609=$I$11,H609=$I$12,H609=$I$13,H609=$I$14),SottocategorieUscite[[#Headers],[Banca]],IF(OR(H609=K$5,H609=K$6,H609=K$7,H609=K$8,H609=K$9,H609=K$10,H609=K$11,H609=K$12,H609=K$13,H609=K$14),SottocategorieEntrate[[#Headers],[Business Entrate]],IF(OR(H609=L$5,H609=L$6,H609=L$7,H609=L$8,H609=L$9,H609=L$10,H609=L$11,H609=L$12,H609=L$13,H609=L$14),SottocategorieEntrate[[#Headers],[Varie Entrate]],IF(OR(H609=M$5,H609=M$6,H609=M$7,H609=M$8,H609=M$9,H609=M$10,H609=M$11,H609=M$12,H609=M$13,H609=M$14),SottocategorieEntrate[[#Headers],[Real Estate]],IF(OR(H609=N$5,H609=N$6,H609=N$7,H609=N$8,H609=N$9,H609=N$10,H609=N$11,H609=N$12,H609=N$13,H609=N$14),SottocategorieEntrate[[#Headers],[Other]],""))))))))))))</f>
        <v/>
      </c>
      <c r="J609" t="str">
        <f>IF(OR(Dati[[#This Row],[Categoria]]="Bollette",Dati[[#This Row],[Categoria]]="Conto &amp; Carte BNL",Dati[[#This Row],[Categoria]]="Prelievo",Dati[[#This Row],[Categoria]]="Affitto",Dati[[#This Row],[Categoria]]="BNL(Interessi Creditori)"),"Carta",IF(Dati[[#This Row],[Categoria]]&lt;&gt;0,"Cash",""))</f>
        <v/>
      </c>
      <c r="K609" s="59" t="str">
        <f>IF(OR(Data!$I609=SottocategorieUscite[[#Headers],[Fuori Casa]],Data!$I609=SottocategorieUscite[[#Headers],[Varie Uscite]],Data!$I609=SottocategorieUscite[[#Headers],[Personali]],Data!$I609=SottocategorieUscite[[#Headers],[Lavoro]]),"$ -","")</f>
        <v/>
      </c>
      <c r="L609" s="59" t="str">
        <f>IF(OR(Data!$I609=SottocategorieUscite[[#Headers],[Casa]],Data!$I609=SottocategorieUscite[[#Headers],[Utenze]],Data!$I609=SottocategorieUscite[[#Headers],[Business Uscite]],Data!$I609=SottocategorieUscite[[#Headers],[Banca]]),"$ -","")</f>
        <v/>
      </c>
      <c r="M609" s="59" t="str">
        <f>IF(OR($I609&lt;&gt;SottocategorieUscite[[#Headers],[Fuori Casa]],$I609&lt;&gt;SottocategorieUscite[[#Headers],[Varie Uscite]],$I609&lt;&gt;SottocategorieUscite[[#Headers],[Personali]],$I609&lt;&gt;SottocategorieUscite[[#Headers],[Lavoro]],$I609&lt;&gt;SottocategorieUscite[[#Headers],[Casa]],$I609&lt;&gt;SottocategorieUscite[[#Headers],[Utenze]],$I609&lt;&gt;SottocategorieUscite[[#Headers],[Business Uscite]],$I609&lt;&gt;SottocategorieUscite[[#Headers],[Banca]]),"","$ -")</f>
        <v/>
      </c>
      <c r="N609" s="59" t="str">
        <f>IF(OR(Data!$I609=SottocategorieEntrate[[#Headers],[Business Entrate]],Data!$I609=SottocategorieEntrate[[#Headers],[Varie Entrate]]),"$ -","")</f>
        <v/>
      </c>
      <c r="O609" s="59" t="str">
        <f>IF(OR(Data!$I609=SottocategorieEntrate[[#Headers],[Real Estate]],SottocategorieEntrate[[#Headers],[Other]]),"$ -","")</f>
        <v/>
      </c>
      <c r="P609" s="59" t="str">
        <f>IF(OR($I609&lt;&gt;SottocategorieEntrate[[#Headers],[Business Entrate]],$I609&lt;&gt;SottocategorieEntrate[[#Headers],[Varie Entrate]],$I609&lt;&gt;SottocategorieEntrate[[#Headers],[Real Estate]],$I609&lt;&gt;SottocategorieEntrate[[#Headers],[Other]]),"","$ -")</f>
        <v/>
      </c>
      <c r="Q609" s="59" t="str">
        <f>IF(Dati[[#This Row],[Categoria]]="Prelievo","€ -","")</f>
        <v/>
      </c>
      <c r="R609" s="244"/>
      <c r="S609" s="59" t="str">
        <f>IF(Dati[[#This Row],[Categoria]]="Savings",0,"")</f>
        <v/>
      </c>
      <c r="T609" s="59"/>
      <c r="U609" s="59"/>
      <c r="V609" s="59"/>
      <c r="W609" s="59"/>
      <c r="X609" s="59"/>
      <c r="Y609" s="59"/>
      <c r="Z609" s="59"/>
      <c r="AA609" s="59"/>
      <c r="AB609" s="59"/>
      <c r="AC609" s="59"/>
      <c r="AD609" s="59"/>
      <c r="AE609" s="59"/>
      <c r="AF609" s="59"/>
      <c r="AG609" s="59"/>
      <c r="AH609" s="59"/>
      <c r="AI609" s="59" t="str">
        <f>IF(SUM(Dati[[#This Row],[Inv. Business]:[Inv. Cryptocurrency]])=0," ",SUM(Dati[[#This Row],[Inv. Business]:[Inv. Cryptocurrency]]))</f>
        <v xml:space="preserve"> </v>
      </c>
      <c r="AJ609" s="59"/>
      <c r="AK609" s="59" t="str">
        <f>IF(SUM(Dati[[#This Row],[Inv. Gold]:[Mutuo]])=0," ",SUM(Dati[[#This Row],[Inv. Gold]:[Mutuo]]))</f>
        <v xml:space="preserve"> </v>
      </c>
      <c r="AL609" s="59"/>
      <c r="AM609" s="59"/>
    </row>
    <row r="610" spans="2:39" x14ac:dyDescent="0.35">
      <c r="B610">
        <f t="shared" si="25"/>
        <v>590</v>
      </c>
      <c r="C610" s="49">
        <f>C607+1</f>
        <v>45379</v>
      </c>
      <c r="D610" s="29">
        <f>DAY(Dati[[#This Row],[Data]])</f>
        <v>28</v>
      </c>
      <c r="E610" s="29" t="str">
        <f>IF(DAY(Data!$C$21:$C$1327)&gt;0,TEXT(Data!$C$21:$C$1327, "mmmm"),"")</f>
        <v>marzo</v>
      </c>
      <c r="F610" s="29" t="str">
        <f>IF(DAY(Data!$C$21:$C$1327)&gt;0,TEXT(Data!$C$21:$C$1327, "aaaa"),"")</f>
        <v>2024</v>
      </c>
      <c r="I610" t="str">
        <f>IF(OR(H610=$B$5,H610=$B$6,H610=$B$7,H610=$B$8,H610=$B$9,H610=$B$10,H610=$B$11,H610=$B$12,H610=$B$13,H610=$B$14),SottocategorieUscite[[#Headers],[Fuori Casa]],IF(OR(H610=$C$5,H610=$C$6,H610=$C$7,H610=$C$8,H610=$C$9,H610=$C$10,H610=$C$11,H610=$C$12,H610=$C$13,H610=$C$14),SottocategorieUscite[[#Headers],[Varie Uscite]],IF(OR(H610=$D$5,H610=$D$6,H610=$D$7,H610=$D$8,H610=$D$9,H610=$D$10,H610=$D$11,H610=$D$12,H610=$D$13,H610=$D$14),SottocategorieUscite[[#Headers],[Personali]],IF(OR(H610=$E$5,H610=$E$6,H610=$E$7,H610=$E$8,H610=$E$9,H610=$E$10,H610=$E$11,H610=$E$12,H610=$E$13,H610=$E$14),SottocategorieUscite[[#Headers],[Lavoro]],IF(OR(H610=$F$5,H610=$F$6,H610=$F$7,H610=$F$8,H610=$F$9,H610=$F$10,H610=$F$11,H610=$F$12,H610=$F$13,H610=$F$14),SottocategorieUscite[[#Headers],[Casa]],IF(OR(H610=$G$5,H610=$G$6,H610=$G$7,H610=$G$8,H610=$G$9,H610=$G$10,H610=$G$11,H610=$G$12,H610=$G$13,H610=$G$14),SottocategorieUscite[[#Headers],[Utenze]],IF(OR(H610=$H$5,H610=$H$6,H610=$H$7,H610=$H$8,H610=$H$9,H610=$H$10,H610=$H$11,H610=$H$12,H610=$H$13,H610=$H$14),SottocategorieUscite[[#Headers],[Business Uscite]],IF(OR(H610=$I$5,H610=$I$6,H610=$I$7,H610=$I$8,H610=$I$9,H610=$I$10,H610=$I$11,H610=$I$12,H610=$I$13,H610=$I$14),SottocategorieUscite[[#Headers],[Banca]],IF(OR(H610=K$5,H610=K$6,H610=K$7,H610=K$8,H610=K$9,H610=K$10,H610=K$11,H610=K$12,H610=K$13,H610=K$14),SottocategorieEntrate[[#Headers],[Business Entrate]],IF(OR(H610=L$5,H610=L$6,H610=L$7,H610=L$8,H610=L$9,H610=L$10,H610=L$11,H610=L$12,H610=L$13,H610=L$14),SottocategorieEntrate[[#Headers],[Varie Entrate]],IF(OR(H610=M$5,H610=M$6,H610=M$7,H610=M$8,H610=M$9,H610=M$10,H610=M$11,H610=M$12,H610=M$13,H610=M$14),SottocategorieEntrate[[#Headers],[Real Estate]],IF(OR(H610=N$5,H610=N$6,H610=N$7,H610=N$8,H610=N$9,H610=N$10,H610=N$11,H610=N$12,H610=N$13,H610=N$14),SottocategorieEntrate[[#Headers],[Other]],""))))))))))))</f>
        <v/>
      </c>
      <c r="J610" t="str">
        <f>IF(OR(Dati[[#This Row],[Categoria]]="Bollette",Dati[[#This Row],[Categoria]]="Conto &amp; Carte BNL",Dati[[#This Row],[Categoria]]="Prelievo",Dati[[#This Row],[Categoria]]="Affitto",Dati[[#This Row],[Categoria]]="BNL(Interessi Creditori)"),"Carta",IF(Dati[[#This Row],[Categoria]]&lt;&gt;0,"Cash",""))</f>
        <v/>
      </c>
      <c r="K610" s="59" t="str">
        <f>IF(OR(Data!$I610=SottocategorieUscite[[#Headers],[Fuori Casa]],Data!$I610=SottocategorieUscite[[#Headers],[Varie Uscite]],Data!$I610=SottocategorieUscite[[#Headers],[Personali]],Data!$I610=SottocategorieUscite[[#Headers],[Lavoro]]),"$ -","")</f>
        <v/>
      </c>
      <c r="L610" s="59" t="str">
        <f>IF(OR(Data!$I610=SottocategorieUscite[[#Headers],[Casa]],Data!$I610=SottocategorieUscite[[#Headers],[Utenze]],Data!$I610=SottocategorieUscite[[#Headers],[Business Uscite]],Data!$I610=SottocategorieUscite[[#Headers],[Banca]]),"$ -","")</f>
        <v/>
      </c>
      <c r="M610" s="59" t="str">
        <f>IF(OR($I610&lt;&gt;SottocategorieUscite[[#Headers],[Fuori Casa]],$I610&lt;&gt;SottocategorieUscite[[#Headers],[Varie Uscite]],$I610&lt;&gt;SottocategorieUscite[[#Headers],[Personali]],$I610&lt;&gt;SottocategorieUscite[[#Headers],[Lavoro]],$I610&lt;&gt;SottocategorieUscite[[#Headers],[Casa]],$I610&lt;&gt;SottocategorieUscite[[#Headers],[Utenze]],$I610&lt;&gt;SottocategorieUscite[[#Headers],[Business Uscite]],$I610&lt;&gt;SottocategorieUscite[[#Headers],[Banca]]),"","$ -")</f>
        <v/>
      </c>
      <c r="N610" s="59" t="str">
        <f>IF(OR(Data!$I610=SottocategorieEntrate[[#Headers],[Business Entrate]],Data!$I610=SottocategorieEntrate[[#Headers],[Varie Entrate]]),"$ -","")</f>
        <v/>
      </c>
      <c r="O610" s="59" t="str">
        <f>IF(OR(Data!$I610=SottocategorieEntrate[[#Headers],[Real Estate]],SottocategorieEntrate[[#Headers],[Other]]),"$ -","")</f>
        <v/>
      </c>
      <c r="P610" s="59" t="str">
        <f>IF(OR($I610&lt;&gt;SottocategorieEntrate[[#Headers],[Business Entrate]],$I610&lt;&gt;SottocategorieEntrate[[#Headers],[Varie Entrate]],$I610&lt;&gt;SottocategorieEntrate[[#Headers],[Real Estate]],$I610&lt;&gt;SottocategorieEntrate[[#Headers],[Other]]),"","$ -")</f>
        <v/>
      </c>
      <c r="Q610" s="59" t="str">
        <f>IF(Dati[[#This Row],[Categoria]]="Prelievo","€ -","")</f>
        <v/>
      </c>
      <c r="R610" s="244"/>
      <c r="S610" s="59" t="str">
        <f>IF(Dati[[#This Row],[Categoria]]="Savings",0,"")</f>
        <v/>
      </c>
      <c r="T610" s="59"/>
      <c r="U610" s="59"/>
      <c r="V610" s="59"/>
      <c r="W610" s="59"/>
      <c r="X610" s="59"/>
      <c r="Y610" s="59"/>
      <c r="Z610" s="59"/>
      <c r="AA610" s="59"/>
      <c r="AB610" s="59"/>
      <c r="AC610" s="59"/>
      <c r="AD610" s="59"/>
      <c r="AE610" s="59"/>
      <c r="AF610" s="59"/>
      <c r="AG610" s="59"/>
      <c r="AH610" s="59"/>
      <c r="AI610" s="59" t="str">
        <f>IF(SUM(Dati[[#This Row],[Inv. Business]:[Inv. Cryptocurrency]])=0," ",SUM(Dati[[#This Row],[Inv. Business]:[Inv. Cryptocurrency]]))</f>
        <v xml:space="preserve"> </v>
      </c>
      <c r="AJ610" s="59"/>
      <c r="AK610" s="59" t="str">
        <f>IF(SUM(Dati[[#This Row],[Inv. Gold]:[Mutuo]])=0," ",SUM(Dati[[#This Row],[Inv. Gold]:[Mutuo]]))</f>
        <v xml:space="preserve"> </v>
      </c>
      <c r="AL610" s="59"/>
      <c r="AM610" s="59"/>
    </row>
    <row r="611" spans="2:39" x14ac:dyDescent="0.35">
      <c r="B611">
        <f t="shared" si="25"/>
        <v>591</v>
      </c>
      <c r="C611" s="49">
        <f t="shared" si="26"/>
        <v>45380</v>
      </c>
      <c r="D611" s="29">
        <f>DAY(Dati[[#This Row],[Data]])</f>
        <v>29</v>
      </c>
      <c r="E611" s="29" t="str">
        <f>IF(DAY(Data!$C$21:$C$1327)&gt;0,TEXT(Data!$C$21:$C$1327, "mmmm"),"")</f>
        <v>marzo</v>
      </c>
      <c r="F611" s="29" t="str">
        <f>IF(DAY(Data!$C$21:$C$1327)&gt;0,TEXT(Data!$C$21:$C$1327, "aaaa"),"")</f>
        <v>2024</v>
      </c>
      <c r="I611" t="str">
        <f>IF(OR(H611=$B$5,H611=$B$6,H611=$B$7,H611=$B$8,H611=$B$9,H611=$B$10,H611=$B$11,H611=$B$12,H611=$B$13,H611=$B$14),SottocategorieUscite[[#Headers],[Fuori Casa]],IF(OR(H611=$C$5,H611=$C$6,H611=$C$7,H611=$C$8,H611=$C$9,H611=$C$10,H611=$C$11,H611=$C$12,H611=$C$13,H611=$C$14),SottocategorieUscite[[#Headers],[Varie Uscite]],IF(OR(H611=$D$5,H611=$D$6,H611=$D$7,H611=$D$8,H611=$D$9,H611=$D$10,H611=$D$11,H611=$D$12,H611=$D$13,H611=$D$14),SottocategorieUscite[[#Headers],[Personali]],IF(OR(H611=$E$5,H611=$E$6,H611=$E$7,H611=$E$8,H611=$E$9,H611=$E$10,H611=$E$11,H611=$E$12,H611=$E$13,H611=$E$14),SottocategorieUscite[[#Headers],[Lavoro]],IF(OR(H611=$F$5,H611=$F$6,H611=$F$7,H611=$F$8,H611=$F$9,H611=$F$10,H611=$F$11,H611=$F$12,H611=$F$13,H611=$F$14),SottocategorieUscite[[#Headers],[Casa]],IF(OR(H611=$G$5,H611=$G$6,H611=$G$7,H611=$G$8,H611=$G$9,H611=$G$10,H611=$G$11,H611=$G$12,H611=$G$13,H611=$G$14),SottocategorieUscite[[#Headers],[Utenze]],IF(OR(H611=$H$5,H611=$H$6,H611=$H$7,H611=$H$8,H611=$H$9,H611=$H$10,H611=$H$11,H611=$H$12,H611=$H$13,H611=$H$14),SottocategorieUscite[[#Headers],[Business Uscite]],IF(OR(H611=$I$5,H611=$I$6,H611=$I$7,H611=$I$8,H611=$I$9,H611=$I$10,H611=$I$11,H611=$I$12,H611=$I$13,H611=$I$14),SottocategorieUscite[[#Headers],[Banca]],IF(OR(H611=K$5,H611=K$6,H611=K$7,H611=K$8,H611=K$9,H611=K$10,H611=K$11,H611=K$12,H611=K$13,H611=K$14),SottocategorieEntrate[[#Headers],[Business Entrate]],IF(OR(H611=L$5,H611=L$6,H611=L$7,H611=L$8,H611=L$9,H611=L$10,H611=L$11,H611=L$12,H611=L$13,H611=L$14),SottocategorieEntrate[[#Headers],[Varie Entrate]],IF(OR(H611=M$5,H611=M$6,H611=M$7,H611=M$8,H611=M$9,H611=M$10,H611=M$11,H611=M$12,H611=M$13,H611=M$14),SottocategorieEntrate[[#Headers],[Real Estate]],IF(OR(H611=N$5,H611=N$6,H611=N$7,H611=N$8,H611=N$9,H611=N$10,H611=N$11,H611=N$12,H611=N$13,H611=N$14),SottocategorieEntrate[[#Headers],[Other]],""))))))))))))</f>
        <v/>
      </c>
      <c r="J611" t="str">
        <f>IF(OR(Dati[[#This Row],[Categoria]]="Bollette",Dati[[#This Row],[Categoria]]="Conto &amp; Carte BNL",Dati[[#This Row],[Categoria]]="Prelievo",Dati[[#This Row],[Categoria]]="Affitto",Dati[[#This Row],[Categoria]]="BNL(Interessi Creditori)"),"Carta",IF(Dati[[#This Row],[Categoria]]&lt;&gt;0,"Cash",""))</f>
        <v/>
      </c>
      <c r="K611" s="59" t="str">
        <f>IF(OR(Data!$I611=SottocategorieUscite[[#Headers],[Fuori Casa]],Data!$I611=SottocategorieUscite[[#Headers],[Varie Uscite]],Data!$I611=SottocategorieUscite[[#Headers],[Personali]],Data!$I611=SottocategorieUscite[[#Headers],[Lavoro]]),"$ -","")</f>
        <v/>
      </c>
      <c r="L611" s="59" t="str">
        <f>IF(OR(Data!$I611=SottocategorieUscite[[#Headers],[Casa]],Data!$I611=SottocategorieUscite[[#Headers],[Utenze]],Data!$I611=SottocategorieUscite[[#Headers],[Business Uscite]],Data!$I611=SottocategorieUscite[[#Headers],[Banca]]),"$ -","")</f>
        <v/>
      </c>
      <c r="M611" s="59" t="str">
        <f>IF(OR($I611&lt;&gt;SottocategorieUscite[[#Headers],[Fuori Casa]],$I611&lt;&gt;SottocategorieUscite[[#Headers],[Varie Uscite]],$I611&lt;&gt;SottocategorieUscite[[#Headers],[Personali]],$I611&lt;&gt;SottocategorieUscite[[#Headers],[Lavoro]],$I611&lt;&gt;SottocategorieUscite[[#Headers],[Casa]],$I611&lt;&gt;SottocategorieUscite[[#Headers],[Utenze]],$I611&lt;&gt;SottocategorieUscite[[#Headers],[Business Uscite]],$I611&lt;&gt;SottocategorieUscite[[#Headers],[Banca]]),"","$ -")</f>
        <v/>
      </c>
      <c r="N611" s="59" t="str">
        <f>IF(OR(Data!$I611=SottocategorieEntrate[[#Headers],[Business Entrate]],Data!$I611=SottocategorieEntrate[[#Headers],[Varie Entrate]]),"$ -","")</f>
        <v/>
      </c>
      <c r="O611" s="59" t="str">
        <f>IF(OR(Data!$I611=SottocategorieEntrate[[#Headers],[Real Estate]],SottocategorieEntrate[[#Headers],[Other]]),"$ -","")</f>
        <v/>
      </c>
      <c r="P611" s="59" t="str">
        <f>IF(OR($I611&lt;&gt;SottocategorieEntrate[[#Headers],[Business Entrate]],$I611&lt;&gt;SottocategorieEntrate[[#Headers],[Varie Entrate]],$I611&lt;&gt;SottocategorieEntrate[[#Headers],[Real Estate]],$I611&lt;&gt;SottocategorieEntrate[[#Headers],[Other]]),"","$ -")</f>
        <v/>
      </c>
      <c r="Q611" s="59" t="str">
        <f>IF(Dati[[#This Row],[Categoria]]="Prelievo","€ -","")</f>
        <v/>
      </c>
      <c r="R611" s="244"/>
      <c r="S611" s="59" t="str">
        <f>IF(Dati[[#This Row],[Categoria]]="Savings",0,"")</f>
        <v/>
      </c>
      <c r="T611" s="59"/>
      <c r="U611" s="59"/>
      <c r="V611" s="59"/>
      <c r="W611" s="59"/>
      <c r="X611" s="59"/>
      <c r="Y611" s="59"/>
      <c r="Z611" s="59"/>
      <c r="AA611" s="59"/>
      <c r="AB611" s="59"/>
      <c r="AC611" s="59"/>
      <c r="AD611" s="59"/>
      <c r="AE611" s="59"/>
      <c r="AF611" s="59"/>
      <c r="AG611" s="59"/>
      <c r="AH611" s="59"/>
      <c r="AI611" s="59" t="str">
        <f>IF(SUM(Dati[[#This Row],[Inv. Business]:[Inv. Cryptocurrency]])=0," ",SUM(Dati[[#This Row],[Inv. Business]:[Inv. Cryptocurrency]]))</f>
        <v xml:space="preserve"> </v>
      </c>
      <c r="AJ611" s="59"/>
      <c r="AK611" s="59" t="str">
        <f>IF(SUM(Dati[[#This Row],[Inv. Gold]:[Mutuo]])=0," ",SUM(Dati[[#This Row],[Inv. Gold]:[Mutuo]]))</f>
        <v xml:space="preserve"> </v>
      </c>
      <c r="AL611" s="59"/>
      <c r="AM611" s="59"/>
    </row>
    <row r="612" spans="2:39" x14ac:dyDescent="0.35">
      <c r="B612">
        <f t="shared" si="25"/>
        <v>592</v>
      </c>
      <c r="C612" s="49">
        <f t="shared" si="26"/>
        <v>45380</v>
      </c>
      <c r="D612" s="29">
        <f>DAY(Dati[[#This Row],[Data]])</f>
        <v>29</v>
      </c>
      <c r="E612" s="29" t="str">
        <f>IF(DAY(Data!$C$21:$C$1327)&gt;0,TEXT(Data!$C$21:$C$1327, "mmmm"),"")</f>
        <v>marzo</v>
      </c>
      <c r="F612" s="29" t="str">
        <f>IF(DAY(Data!$C$21:$C$1327)&gt;0,TEXT(Data!$C$21:$C$1327, "aaaa"),"")</f>
        <v>2024</v>
      </c>
      <c r="I612" t="str">
        <f>IF(OR(H612=$B$5,H612=$B$6,H612=$B$7,H612=$B$8,H612=$B$9,H612=$B$10,H612=$B$11,H612=$B$12,H612=$B$13,H612=$B$14),SottocategorieUscite[[#Headers],[Fuori Casa]],IF(OR(H612=$C$5,H612=$C$6,H612=$C$7,H612=$C$8,H612=$C$9,H612=$C$10,H612=$C$11,H612=$C$12,H612=$C$13,H612=$C$14),SottocategorieUscite[[#Headers],[Varie Uscite]],IF(OR(H612=$D$5,H612=$D$6,H612=$D$7,H612=$D$8,H612=$D$9,H612=$D$10,H612=$D$11,H612=$D$12,H612=$D$13,H612=$D$14),SottocategorieUscite[[#Headers],[Personali]],IF(OR(H612=$E$5,H612=$E$6,H612=$E$7,H612=$E$8,H612=$E$9,H612=$E$10,H612=$E$11,H612=$E$12,H612=$E$13,H612=$E$14),SottocategorieUscite[[#Headers],[Lavoro]],IF(OR(H612=$F$5,H612=$F$6,H612=$F$7,H612=$F$8,H612=$F$9,H612=$F$10,H612=$F$11,H612=$F$12,H612=$F$13,H612=$F$14),SottocategorieUscite[[#Headers],[Casa]],IF(OR(H612=$G$5,H612=$G$6,H612=$G$7,H612=$G$8,H612=$G$9,H612=$G$10,H612=$G$11,H612=$G$12,H612=$G$13,H612=$G$14),SottocategorieUscite[[#Headers],[Utenze]],IF(OR(H612=$H$5,H612=$H$6,H612=$H$7,H612=$H$8,H612=$H$9,H612=$H$10,H612=$H$11,H612=$H$12,H612=$H$13,H612=$H$14),SottocategorieUscite[[#Headers],[Business Uscite]],IF(OR(H612=$I$5,H612=$I$6,H612=$I$7,H612=$I$8,H612=$I$9,H612=$I$10,H612=$I$11,H612=$I$12,H612=$I$13,H612=$I$14),SottocategorieUscite[[#Headers],[Banca]],IF(OR(H612=K$5,H612=K$6,H612=K$7,H612=K$8,H612=K$9,H612=K$10,H612=K$11,H612=K$12,H612=K$13,H612=K$14),SottocategorieEntrate[[#Headers],[Business Entrate]],IF(OR(H612=L$5,H612=L$6,H612=L$7,H612=L$8,H612=L$9,H612=L$10,H612=L$11,H612=L$12,H612=L$13,H612=L$14),SottocategorieEntrate[[#Headers],[Varie Entrate]],IF(OR(H612=M$5,H612=M$6,H612=M$7,H612=M$8,H612=M$9,H612=M$10,H612=M$11,H612=M$12,H612=M$13,H612=M$14),SottocategorieEntrate[[#Headers],[Real Estate]],IF(OR(H612=N$5,H612=N$6,H612=N$7,H612=N$8,H612=N$9,H612=N$10,H612=N$11,H612=N$12,H612=N$13,H612=N$14),SottocategorieEntrate[[#Headers],[Other]],""))))))))))))</f>
        <v/>
      </c>
      <c r="J612" t="str">
        <f>IF(OR(Dati[[#This Row],[Categoria]]="Bollette",Dati[[#This Row],[Categoria]]="Conto &amp; Carte BNL",Dati[[#This Row],[Categoria]]="Prelievo",Dati[[#This Row],[Categoria]]="Affitto",Dati[[#This Row],[Categoria]]="BNL(Interessi Creditori)"),"Carta",IF(Dati[[#This Row],[Categoria]]&lt;&gt;0,"Cash",""))</f>
        <v/>
      </c>
      <c r="K612" s="59" t="str">
        <f>IF(OR(Data!$I612=SottocategorieUscite[[#Headers],[Fuori Casa]],Data!$I612=SottocategorieUscite[[#Headers],[Varie Uscite]],Data!$I612=SottocategorieUscite[[#Headers],[Personali]],Data!$I612=SottocategorieUscite[[#Headers],[Lavoro]]),"$ -","")</f>
        <v/>
      </c>
      <c r="L612" s="59" t="str">
        <f>IF(OR(Data!$I612=SottocategorieUscite[[#Headers],[Casa]],Data!$I612=SottocategorieUscite[[#Headers],[Utenze]],Data!$I612=SottocategorieUscite[[#Headers],[Business Uscite]],Data!$I612=SottocategorieUscite[[#Headers],[Banca]]),"$ -","")</f>
        <v/>
      </c>
      <c r="M612" s="59" t="str">
        <f>IF(OR($I612&lt;&gt;SottocategorieUscite[[#Headers],[Fuori Casa]],$I612&lt;&gt;SottocategorieUscite[[#Headers],[Varie Uscite]],$I612&lt;&gt;SottocategorieUscite[[#Headers],[Personali]],$I612&lt;&gt;SottocategorieUscite[[#Headers],[Lavoro]],$I612&lt;&gt;SottocategorieUscite[[#Headers],[Casa]],$I612&lt;&gt;SottocategorieUscite[[#Headers],[Utenze]],$I612&lt;&gt;SottocategorieUscite[[#Headers],[Business Uscite]],$I612&lt;&gt;SottocategorieUscite[[#Headers],[Banca]]),"","$ -")</f>
        <v/>
      </c>
      <c r="N612" s="59" t="str">
        <f>IF(OR(Data!$I612=SottocategorieEntrate[[#Headers],[Business Entrate]],Data!$I612=SottocategorieEntrate[[#Headers],[Varie Entrate]]),"$ -","")</f>
        <v/>
      </c>
      <c r="O612" s="59" t="str">
        <f>IF(OR(Data!$I612=SottocategorieEntrate[[#Headers],[Real Estate]],SottocategorieEntrate[[#Headers],[Other]]),"$ -","")</f>
        <v/>
      </c>
      <c r="P612" s="59" t="str">
        <f>IF(OR($I612&lt;&gt;SottocategorieEntrate[[#Headers],[Business Entrate]],$I612&lt;&gt;SottocategorieEntrate[[#Headers],[Varie Entrate]],$I612&lt;&gt;SottocategorieEntrate[[#Headers],[Real Estate]],$I612&lt;&gt;SottocategorieEntrate[[#Headers],[Other]]),"","$ -")</f>
        <v/>
      </c>
      <c r="Q612" s="59" t="str">
        <f>IF(Dati[[#This Row],[Categoria]]="Prelievo","€ -","")</f>
        <v/>
      </c>
      <c r="R612" s="244"/>
      <c r="S612" s="59" t="str">
        <f>IF(Dati[[#This Row],[Categoria]]="Savings",0,"")</f>
        <v/>
      </c>
      <c r="T612" s="59"/>
      <c r="U612" s="59"/>
      <c r="V612" s="59"/>
      <c r="W612" s="59"/>
      <c r="X612" s="59"/>
      <c r="Y612" s="59"/>
      <c r="Z612" s="59"/>
      <c r="AA612" s="59"/>
      <c r="AB612" s="59"/>
      <c r="AC612" s="59"/>
      <c r="AD612" s="59"/>
      <c r="AE612" s="59"/>
      <c r="AF612" s="59"/>
      <c r="AG612" s="59"/>
      <c r="AH612" s="59"/>
      <c r="AI612" s="59" t="str">
        <f>IF(SUM(Dati[[#This Row],[Inv. Business]:[Inv. Cryptocurrency]])=0," ",SUM(Dati[[#This Row],[Inv. Business]:[Inv. Cryptocurrency]]))</f>
        <v xml:space="preserve"> </v>
      </c>
      <c r="AJ612" s="59"/>
      <c r="AK612" s="59" t="str">
        <f>IF(SUM(Dati[[#This Row],[Inv. Gold]:[Mutuo]])=0," ",SUM(Dati[[#This Row],[Inv. Gold]:[Mutuo]]))</f>
        <v xml:space="preserve"> </v>
      </c>
      <c r="AL612" s="59"/>
      <c r="AM612" s="59"/>
    </row>
    <row r="613" spans="2:39" x14ac:dyDescent="0.35">
      <c r="B613">
        <f t="shared" si="25"/>
        <v>593</v>
      </c>
      <c r="C613" s="49">
        <f t="shared" si="26"/>
        <v>45381</v>
      </c>
      <c r="D613" s="29">
        <f>DAY(Dati[[#This Row],[Data]])</f>
        <v>30</v>
      </c>
      <c r="E613" s="29" t="str">
        <f>IF(DAY(Data!$C$21:$C$1327)&gt;0,TEXT(Data!$C$21:$C$1327, "mmmm"),"")</f>
        <v>marzo</v>
      </c>
      <c r="F613" s="29" t="str">
        <f>IF(DAY(Data!$C$21:$C$1327)&gt;0,TEXT(Data!$C$21:$C$1327, "aaaa"),"")</f>
        <v>2024</v>
      </c>
      <c r="I613" t="str">
        <f>IF(OR(H613=$B$5,H613=$B$6,H613=$B$7,H613=$B$8,H613=$B$9,H613=$B$10,H613=$B$11,H613=$B$12,H613=$B$13,H613=$B$14),SottocategorieUscite[[#Headers],[Fuori Casa]],IF(OR(H613=$C$5,H613=$C$6,H613=$C$7,H613=$C$8,H613=$C$9,H613=$C$10,H613=$C$11,H613=$C$12,H613=$C$13,H613=$C$14),SottocategorieUscite[[#Headers],[Varie Uscite]],IF(OR(H613=$D$5,H613=$D$6,H613=$D$7,H613=$D$8,H613=$D$9,H613=$D$10,H613=$D$11,H613=$D$12,H613=$D$13,H613=$D$14),SottocategorieUscite[[#Headers],[Personali]],IF(OR(H613=$E$5,H613=$E$6,H613=$E$7,H613=$E$8,H613=$E$9,H613=$E$10,H613=$E$11,H613=$E$12,H613=$E$13,H613=$E$14),SottocategorieUscite[[#Headers],[Lavoro]],IF(OR(H613=$F$5,H613=$F$6,H613=$F$7,H613=$F$8,H613=$F$9,H613=$F$10,H613=$F$11,H613=$F$12,H613=$F$13,H613=$F$14),SottocategorieUscite[[#Headers],[Casa]],IF(OR(H613=$G$5,H613=$G$6,H613=$G$7,H613=$G$8,H613=$G$9,H613=$G$10,H613=$G$11,H613=$G$12,H613=$G$13,H613=$G$14),SottocategorieUscite[[#Headers],[Utenze]],IF(OR(H613=$H$5,H613=$H$6,H613=$H$7,H613=$H$8,H613=$H$9,H613=$H$10,H613=$H$11,H613=$H$12,H613=$H$13,H613=$H$14),SottocategorieUscite[[#Headers],[Business Uscite]],IF(OR(H613=$I$5,H613=$I$6,H613=$I$7,H613=$I$8,H613=$I$9,H613=$I$10,H613=$I$11,H613=$I$12,H613=$I$13,H613=$I$14),SottocategorieUscite[[#Headers],[Banca]],IF(OR(H613=K$5,H613=K$6,H613=K$7,H613=K$8,H613=K$9,H613=K$10,H613=K$11,H613=K$12,H613=K$13,H613=K$14),SottocategorieEntrate[[#Headers],[Business Entrate]],IF(OR(H613=L$5,H613=L$6,H613=L$7,H613=L$8,H613=L$9,H613=L$10,H613=L$11,H613=L$12,H613=L$13,H613=L$14),SottocategorieEntrate[[#Headers],[Varie Entrate]],IF(OR(H613=M$5,H613=M$6,H613=M$7,H613=M$8,H613=M$9,H613=M$10,H613=M$11,H613=M$12,H613=M$13,H613=M$14),SottocategorieEntrate[[#Headers],[Real Estate]],IF(OR(H613=N$5,H613=N$6,H613=N$7,H613=N$8,H613=N$9,H613=N$10,H613=N$11,H613=N$12,H613=N$13,H613=N$14),SottocategorieEntrate[[#Headers],[Other]],""))))))))))))</f>
        <v/>
      </c>
      <c r="J613" t="str">
        <f>IF(OR(Dati[[#This Row],[Categoria]]="Bollette",Dati[[#This Row],[Categoria]]="Conto &amp; Carte BNL",Dati[[#This Row],[Categoria]]="Prelievo",Dati[[#This Row],[Categoria]]="Affitto",Dati[[#This Row],[Categoria]]="BNL(Interessi Creditori)"),"Carta",IF(Dati[[#This Row],[Categoria]]&lt;&gt;0,"Cash",""))</f>
        <v/>
      </c>
      <c r="K613" s="59" t="str">
        <f>IF(OR(Data!$I613=SottocategorieUscite[[#Headers],[Fuori Casa]],Data!$I613=SottocategorieUscite[[#Headers],[Varie Uscite]],Data!$I613=SottocategorieUscite[[#Headers],[Personali]],Data!$I613=SottocategorieUscite[[#Headers],[Lavoro]]),"$ -","")</f>
        <v/>
      </c>
      <c r="L613" s="59" t="str">
        <f>IF(OR(Data!$I613=SottocategorieUscite[[#Headers],[Casa]],Data!$I613=SottocategorieUscite[[#Headers],[Utenze]],Data!$I613=SottocategorieUscite[[#Headers],[Business Uscite]],Data!$I613=SottocategorieUscite[[#Headers],[Banca]]),"$ -","")</f>
        <v/>
      </c>
      <c r="M613" s="59" t="str">
        <f>IF(OR($I613&lt;&gt;SottocategorieUscite[[#Headers],[Fuori Casa]],$I613&lt;&gt;SottocategorieUscite[[#Headers],[Varie Uscite]],$I613&lt;&gt;SottocategorieUscite[[#Headers],[Personali]],$I613&lt;&gt;SottocategorieUscite[[#Headers],[Lavoro]],$I613&lt;&gt;SottocategorieUscite[[#Headers],[Casa]],$I613&lt;&gt;SottocategorieUscite[[#Headers],[Utenze]],$I613&lt;&gt;SottocategorieUscite[[#Headers],[Business Uscite]],$I613&lt;&gt;SottocategorieUscite[[#Headers],[Banca]]),"","$ -")</f>
        <v/>
      </c>
      <c r="N613" s="59" t="str">
        <f>IF(OR(Data!$I613=SottocategorieEntrate[[#Headers],[Business Entrate]],Data!$I613=SottocategorieEntrate[[#Headers],[Varie Entrate]]),"$ -","")</f>
        <v/>
      </c>
      <c r="O613" s="59" t="str">
        <f>IF(OR(Data!$I613=SottocategorieEntrate[[#Headers],[Real Estate]],SottocategorieEntrate[[#Headers],[Other]]),"$ -","")</f>
        <v/>
      </c>
      <c r="P613" s="59" t="str">
        <f>IF(OR($I613&lt;&gt;SottocategorieEntrate[[#Headers],[Business Entrate]],$I613&lt;&gt;SottocategorieEntrate[[#Headers],[Varie Entrate]],$I613&lt;&gt;SottocategorieEntrate[[#Headers],[Real Estate]],$I613&lt;&gt;SottocategorieEntrate[[#Headers],[Other]]),"","$ -")</f>
        <v/>
      </c>
      <c r="Q613" s="59" t="str">
        <f>IF(Dati[[#This Row],[Categoria]]="Prelievo","€ -","")</f>
        <v/>
      </c>
      <c r="R613" s="244"/>
      <c r="S613" s="59" t="str">
        <f>IF(Dati[[#This Row],[Categoria]]="Savings",0,"")</f>
        <v/>
      </c>
      <c r="T613" s="59"/>
      <c r="U613" s="59"/>
      <c r="V613" s="59"/>
      <c r="W613" s="59"/>
      <c r="X613" s="59"/>
      <c r="Y613" s="59"/>
      <c r="Z613" s="59"/>
      <c r="AA613" s="59"/>
      <c r="AB613" s="59"/>
      <c r="AC613" s="59"/>
      <c r="AD613" s="59"/>
      <c r="AE613" s="59"/>
      <c r="AF613" s="59"/>
      <c r="AG613" s="59"/>
      <c r="AH613" s="59"/>
      <c r="AI613" s="59" t="str">
        <f>IF(SUM(Dati[[#This Row],[Inv. Business]:[Inv. Cryptocurrency]])=0," ",SUM(Dati[[#This Row],[Inv. Business]:[Inv. Cryptocurrency]]))</f>
        <v xml:space="preserve"> </v>
      </c>
      <c r="AJ613" s="59"/>
      <c r="AK613" s="59" t="str">
        <f>IF(SUM(Dati[[#This Row],[Inv. Gold]:[Mutuo]])=0," ",SUM(Dati[[#This Row],[Inv. Gold]:[Mutuo]]))</f>
        <v xml:space="preserve"> </v>
      </c>
      <c r="AL613" s="59"/>
      <c r="AM613" s="59"/>
    </row>
    <row r="614" spans="2:39" x14ac:dyDescent="0.35">
      <c r="B614">
        <f t="shared" si="25"/>
        <v>594</v>
      </c>
      <c r="C614" s="49">
        <f>C612+1</f>
        <v>45381</v>
      </c>
      <c r="D614" s="29">
        <f>DAY(Dati[[#This Row],[Data]])</f>
        <v>30</v>
      </c>
      <c r="E614" s="29" t="str">
        <f>IF(DAY(Data!$C$21:$C$1327)&gt;0,TEXT(Data!$C$21:$C$1327, "mmmm"),"")</f>
        <v>marzo</v>
      </c>
      <c r="F614" s="29" t="str">
        <f>IF(DAY(Data!$C$21:$C$1327)&gt;0,TEXT(Data!$C$21:$C$1327, "aaaa"),"")</f>
        <v>2024</v>
      </c>
      <c r="I614" t="str">
        <f>IF(OR(H614=$B$5,H614=$B$6,H614=$B$7,H614=$B$8,H614=$B$9,H614=$B$10,H614=$B$11,H614=$B$12,H614=$B$13,H614=$B$14),SottocategorieUscite[[#Headers],[Fuori Casa]],IF(OR(H614=$C$5,H614=$C$6,H614=$C$7,H614=$C$8,H614=$C$9,H614=$C$10,H614=$C$11,H614=$C$12,H614=$C$13,H614=$C$14),SottocategorieUscite[[#Headers],[Varie Uscite]],IF(OR(H614=$D$5,H614=$D$6,H614=$D$7,H614=$D$8,H614=$D$9,H614=$D$10,H614=$D$11,H614=$D$12,H614=$D$13,H614=$D$14),SottocategorieUscite[[#Headers],[Personali]],IF(OR(H614=$E$5,H614=$E$6,H614=$E$7,H614=$E$8,H614=$E$9,H614=$E$10,H614=$E$11,H614=$E$12,H614=$E$13,H614=$E$14),SottocategorieUscite[[#Headers],[Lavoro]],IF(OR(H614=$F$5,H614=$F$6,H614=$F$7,H614=$F$8,H614=$F$9,H614=$F$10,H614=$F$11,H614=$F$12,H614=$F$13,H614=$F$14),SottocategorieUscite[[#Headers],[Casa]],IF(OR(H614=$G$5,H614=$G$6,H614=$G$7,H614=$G$8,H614=$G$9,H614=$G$10,H614=$G$11,H614=$G$12,H614=$G$13,H614=$G$14),SottocategorieUscite[[#Headers],[Utenze]],IF(OR(H614=$H$5,H614=$H$6,H614=$H$7,H614=$H$8,H614=$H$9,H614=$H$10,H614=$H$11,H614=$H$12,H614=$H$13,H614=$H$14),SottocategorieUscite[[#Headers],[Business Uscite]],IF(OR(H614=$I$5,H614=$I$6,H614=$I$7,H614=$I$8,H614=$I$9,H614=$I$10,H614=$I$11,H614=$I$12,H614=$I$13,H614=$I$14),SottocategorieUscite[[#Headers],[Banca]],IF(OR(H614=K$5,H614=K$6,H614=K$7,H614=K$8,H614=K$9,H614=K$10,H614=K$11,H614=K$12,H614=K$13,H614=K$14),SottocategorieEntrate[[#Headers],[Business Entrate]],IF(OR(H614=L$5,H614=L$6,H614=L$7,H614=L$8,H614=L$9,H614=L$10,H614=L$11,H614=L$12,H614=L$13,H614=L$14),SottocategorieEntrate[[#Headers],[Varie Entrate]],IF(OR(H614=M$5,H614=M$6,H614=M$7,H614=M$8,H614=M$9,H614=M$10,H614=M$11,H614=M$12,H614=M$13,H614=M$14),SottocategorieEntrate[[#Headers],[Real Estate]],IF(OR(H614=N$5,H614=N$6,H614=N$7,H614=N$8,H614=N$9,H614=N$10,H614=N$11,H614=N$12,H614=N$13,H614=N$14),SottocategorieEntrate[[#Headers],[Other]],""))))))))))))</f>
        <v/>
      </c>
      <c r="J614" t="str">
        <f>IF(OR(Dati[[#This Row],[Categoria]]="Bollette",Dati[[#This Row],[Categoria]]="Conto &amp; Carte BNL",Dati[[#This Row],[Categoria]]="Prelievo",Dati[[#This Row],[Categoria]]="Affitto",Dati[[#This Row],[Categoria]]="BNL(Interessi Creditori)"),"Carta",IF(Dati[[#This Row],[Categoria]]&lt;&gt;0,"Cash",""))</f>
        <v/>
      </c>
      <c r="K614" s="59" t="str">
        <f>IF(OR(Data!$I614=SottocategorieUscite[[#Headers],[Fuori Casa]],Data!$I614=SottocategorieUscite[[#Headers],[Varie Uscite]],Data!$I614=SottocategorieUscite[[#Headers],[Personali]],Data!$I614=SottocategorieUscite[[#Headers],[Lavoro]]),"$ -","")</f>
        <v/>
      </c>
      <c r="L614" s="59" t="str">
        <f>IF(OR(Data!$I614=SottocategorieUscite[[#Headers],[Casa]],Data!$I614=SottocategorieUscite[[#Headers],[Utenze]],Data!$I614=SottocategorieUscite[[#Headers],[Business Uscite]],Data!$I614=SottocategorieUscite[[#Headers],[Banca]]),"$ -","")</f>
        <v/>
      </c>
      <c r="M614" s="59" t="str">
        <f>IF(OR($I614&lt;&gt;SottocategorieUscite[[#Headers],[Fuori Casa]],$I614&lt;&gt;SottocategorieUscite[[#Headers],[Varie Uscite]],$I614&lt;&gt;SottocategorieUscite[[#Headers],[Personali]],$I614&lt;&gt;SottocategorieUscite[[#Headers],[Lavoro]],$I614&lt;&gt;SottocategorieUscite[[#Headers],[Casa]],$I614&lt;&gt;SottocategorieUscite[[#Headers],[Utenze]],$I614&lt;&gt;SottocategorieUscite[[#Headers],[Business Uscite]],$I614&lt;&gt;SottocategorieUscite[[#Headers],[Banca]]),"","$ -")</f>
        <v/>
      </c>
      <c r="N614" s="59" t="str">
        <f>IF(OR(Data!$I614=SottocategorieEntrate[[#Headers],[Business Entrate]],Data!$I614=SottocategorieEntrate[[#Headers],[Varie Entrate]]),"$ -","")</f>
        <v/>
      </c>
      <c r="O614" s="59" t="str">
        <f>IF(OR(Data!$I614=SottocategorieEntrate[[#Headers],[Real Estate]],SottocategorieEntrate[[#Headers],[Other]]),"$ -","")</f>
        <v/>
      </c>
      <c r="P614" s="59" t="str">
        <f>IF(OR($I614&lt;&gt;SottocategorieEntrate[[#Headers],[Business Entrate]],$I614&lt;&gt;SottocategorieEntrate[[#Headers],[Varie Entrate]],$I614&lt;&gt;SottocategorieEntrate[[#Headers],[Real Estate]],$I614&lt;&gt;SottocategorieEntrate[[#Headers],[Other]]),"","$ -")</f>
        <v/>
      </c>
      <c r="Q614" s="59" t="str">
        <f>IF(Dati[[#This Row],[Categoria]]="Prelievo","€ -","")</f>
        <v/>
      </c>
      <c r="R614" s="244"/>
      <c r="S614" s="59" t="str">
        <f>IF(Dati[[#This Row],[Categoria]]="Savings",0,"")</f>
        <v/>
      </c>
      <c r="T614" s="59"/>
      <c r="U614" s="59"/>
      <c r="V614" s="59"/>
      <c r="W614" s="59"/>
      <c r="X614" s="59"/>
      <c r="Y614" s="59"/>
      <c r="Z614" s="59"/>
      <c r="AA614" s="59"/>
      <c r="AB614" s="59"/>
      <c r="AC614" s="59"/>
      <c r="AD614" s="59"/>
      <c r="AE614" s="59"/>
      <c r="AF614" s="59"/>
      <c r="AG614" s="59"/>
      <c r="AH614" s="59"/>
      <c r="AI614" s="59" t="str">
        <f>IF(SUM(Dati[[#This Row],[Inv. Business]:[Inv. Cryptocurrency]])=0," ",SUM(Dati[[#This Row],[Inv. Business]:[Inv. Cryptocurrency]]))</f>
        <v xml:space="preserve"> </v>
      </c>
      <c r="AJ614" s="59"/>
      <c r="AK614" s="59" t="str">
        <f>IF(SUM(Dati[[#This Row],[Inv. Gold]:[Mutuo]])=0," ",SUM(Dati[[#This Row],[Inv. Gold]:[Mutuo]]))</f>
        <v xml:space="preserve"> </v>
      </c>
      <c r="AL614" s="59"/>
      <c r="AM614" s="59"/>
    </row>
    <row r="615" spans="2:39" x14ac:dyDescent="0.35">
      <c r="B615">
        <f t="shared" si="25"/>
        <v>595</v>
      </c>
      <c r="C615" s="49">
        <f>C612+1</f>
        <v>45381</v>
      </c>
      <c r="D615" s="29">
        <f>DAY(Dati[[#This Row],[Data]])</f>
        <v>30</v>
      </c>
      <c r="E615" s="29" t="str">
        <f>IF(DAY(Data!$C$21:$C$1327)&gt;0,TEXT(Data!$C$21:$C$1327, "mmmm"),"")</f>
        <v>marzo</v>
      </c>
      <c r="F615" s="29" t="str">
        <f>IF(DAY(Data!$C$21:$C$1327)&gt;0,TEXT(Data!$C$21:$C$1327, "aaaa"),"")</f>
        <v>2024</v>
      </c>
      <c r="I615" t="str">
        <f>IF(OR(H615=$B$5,H615=$B$6,H615=$B$7,H615=$B$8,H615=$B$9,H615=$B$10,H615=$B$11,H615=$B$12,H615=$B$13,H615=$B$14),SottocategorieUscite[[#Headers],[Fuori Casa]],IF(OR(H615=$C$5,H615=$C$6,H615=$C$7,H615=$C$8,H615=$C$9,H615=$C$10,H615=$C$11,H615=$C$12,H615=$C$13,H615=$C$14),SottocategorieUscite[[#Headers],[Varie Uscite]],IF(OR(H615=$D$5,H615=$D$6,H615=$D$7,H615=$D$8,H615=$D$9,H615=$D$10,H615=$D$11,H615=$D$12,H615=$D$13,H615=$D$14),SottocategorieUscite[[#Headers],[Personali]],IF(OR(H615=$E$5,H615=$E$6,H615=$E$7,H615=$E$8,H615=$E$9,H615=$E$10,H615=$E$11,H615=$E$12,H615=$E$13,H615=$E$14),SottocategorieUscite[[#Headers],[Lavoro]],IF(OR(H615=$F$5,H615=$F$6,H615=$F$7,H615=$F$8,H615=$F$9,H615=$F$10,H615=$F$11,H615=$F$12,H615=$F$13,H615=$F$14),SottocategorieUscite[[#Headers],[Casa]],IF(OR(H615=$G$5,H615=$G$6,H615=$G$7,H615=$G$8,H615=$G$9,H615=$G$10,H615=$G$11,H615=$G$12,H615=$G$13,H615=$G$14),SottocategorieUscite[[#Headers],[Utenze]],IF(OR(H615=$H$5,H615=$H$6,H615=$H$7,H615=$H$8,H615=$H$9,H615=$H$10,H615=$H$11,H615=$H$12,H615=$H$13,H615=$H$14),SottocategorieUscite[[#Headers],[Business Uscite]],IF(OR(H615=$I$5,H615=$I$6,H615=$I$7,H615=$I$8,H615=$I$9,H615=$I$10,H615=$I$11,H615=$I$12,H615=$I$13,H615=$I$14),SottocategorieUscite[[#Headers],[Banca]],IF(OR(H615=K$5,H615=K$6,H615=K$7,H615=K$8,H615=K$9,H615=K$10,H615=K$11,H615=K$12,H615=K$13,H615=K$14),SottocategorieEntrate[[#Headers],[Business Entrate]],IF(OR(H615=L$5,H615=L$6,H615=L$7,H615=L$8,H615=L$9,H615=L$10,H615=L$11,H615=L$12,H615=L$13,H615=L$14),SottocategorieEntrate[[#Headers],[Varie Entrate]],IF(OR(H615=M$5,H615=M$6,H615=M$7,H615=M$8,H615=M$9,H615=M$10,H615=M$11,H615=M$12,H615=M$13,H615=M$14),SottocategorieEntrate[[#Headers],[Real Estate]],IF(OR(H615=N$5,H615=N$6,H615=N$7,H615=N$8,H615=N$9,H615=N$10,H615=N$11,H615=N$12,H615=N$13,H615=N$14),SottocategorieEntrate[[#Headers],[Other]],""))))))))))))</f>
        <v/>
      </c>
      <c r="J615" t="str">
        <f>IF(OR(Dati[[#This Row],[Categoria]]="Bollette",Dati[[#This Row],[Categoria]]="Conto &amp; Carte BNL",Dati[[#This Row],[Categoria]]="Prelievo",Dati[[#This Row],[Categoria]]="Affitto",Dati[[#This Row],[Categoria]]="BNL(Interessi Creditori)"),"Carta",IF(Dati[[#This Row],[Categoria]]&lt;&gt;0,"Cash",""))</f>
        <v/>
      </c>
      <c r="K615" s="59" t="str">
        <f>IF(OR(Data!$I615=SottocategorieUscite[[#Headers],[Fuori Casa]],Data!$I615=SottocategorieUscite[[#Headers],[Varie Uscite]],Data!$I615=SottocategorieUscite[[#Headers],[Personali]],Data!$I615=SottocategorieUscite[[#Headers],[Lavoro]]),"$ -","")</f>
        <v/>
      </c>
      <c r="L615" s="59" t="str">
        <f>IF(OR(Data!$I615=SottocategorieUscite[[#Headers],[Casa]],Data!$I615=SottocategorieUscite[[#Headers],[Utenze]],Data!$I615=SottocategorieUscite[[#Headers],[Business Uscite]],Data!$I615=SottocategorieUscite[[#Headers],[Banca]]),"$ -","")</f>
        <v/>
      </c>
      <c r="M615" s="59" t="str">
        <f>IF(OR($I615&lt;&gt;SottocategorieUscite[[#Headers],[Fuori Casa]],$I615&lt;&gt;SottocategorieUscite[[#Headers],[Varie Uscite]],$I615&lt;&gt;SottocategorieUscite[[#Headers],[Personali]],$I615&lt;&gt;SottocategorieUscite[[#Headers],[Lavoro]],$I615&lt;&gt;SottocategorieUscite[[#Headers],[Casa]],$I615&lt;&gt;SottocategorieUscite[[#Headers],[Utenze]],$I615&lt;&gt;SottocategorieUscite[[#Headers],[Business Uscite]],$I615&lt;&gt;SottocategorieUscite[[#Headers],[Banca]]),"","$ -")</f>
        <v/>
      </c>
      <c r="N615" s="59" t="str">
        <f>IF(OR(Data!$I615=SottocategorieEntrate[[#Headers],[Business Entrate]],Data!$I615=SottocategorieEntrate[[#Headers],[Varie Entrate]]),"$ -","")</f>
        <v/>
      </c>
      <c r="O615" s="59" t="str">
        <f>IF(OR(Data!$I615=SottocategorieEntrate[[#Headers],[Real Estate]],SottocategorieEntrate[[#Headers],[Other]]),"$ -","")</f>
        <v/>
      </c>
      <c r="P615" s="59" t="str">
        <f>IF(OR($I615&lt;&gt;SottocategorieEntrate[[#Headers],[Business Entrate]],$I615&lt;&gt;SottocategorieEntrate[[#Headers],[Varie Entrate]],$I615&lt;&gt;SottocategorieEntrate[[#Headers],[Real Estate]],$I615&lt;&gt;SottocategorieEntrate[[#Headers],[Other]]),"","$ -")</f>
        <v/>
      </c>
      <c r="Q615" s="59" t="str">
        <f>IF(Dati[[#This Row],[Categoria]]="Prelievo","€ -","")</f>
        <v/>
      </c>
      <c r="R615" s="244"/>
      <c r="S615" s="59" t="str">
        <f>IF(Dati[[#This Row],[Categoria]]="Savings",0,"")</f>
        <v/>
      </c>
      <c r="T615" s="59"/>
      <c r="U615" s="59"/>
      <c r="V615" s="59"/>
      <c r="W615" s="59"/>
      <c r="X615" s="59"/>
      <c r="Y615" s="59"/>
      <c r="Z615" s="59"/>
      <c r="AA615" s="59"/>
      <c r="AB615" s="59"/>
      <c r="AC615" s="59"/>
      <c r="AD615" s="59"/>
      <c r="AE615" s="59"/>
      <c r="AF615" s="59"/>
      <c r="AG615" s="59"/>
      <c r="AH615" s="59"/>
      <c r="AI615" s="59" t="str">
        <f>IF(SUM(Dati[[#This Row],[Inv. Business]:[Inv. Cryptocurrency]])=0," ",SUM(Dati[[#This Row],[Inv. Business]:[Inv. Cryptocurrency]]))</f>
        <v xml:space="preserve"> </v>
      </c>
      <c r="AJ615" s="59"/>
      <c r="AK615" s="59" t="str">
        <f>IF(SUM(Dati[[#This Row],[Inv. Gold]:[Mutuo]])=0," ",SUM(Dati[[#This Row],[Inv. Gold]:[Mutuo]]))</f>
        <v xml:space="preserve"> </v>
      </c>
      <c r="AL615" s="59"/>
      <c r="AM615" s="59"/>
    </row>
    <row r="616" spans="2:39" x14ac:dyDescent="0.35">
      <c r="B616">
        <f t="shared" si="25"/>
        <v>596</v>
      </c>
      <c r="C616" s="49">
        <f>C612+1</f>
        <v>45381</v>
      </c>
      <c r="D616" s="29">
        <f>DAY(Dati[[#This Row],[Data]])</f>
        <v>30</v>
      </c>
      <c r="E616" s="29" t="str">
        <f>IF(DAY(Data!$C$21:$C$1327)&gt;0,TEXT(Data!$C$21:$C$1327, "mmmm"),"")</f>
        <v>marzo</v>
      </c>
      <c r="F616" s="29" t="str">
        <f>IF(DAY(Data!$C$21:$C$1327)&gt;0,TEXT(Data!$C$21:$C$1327, "aaaa"),"")</f>
        <v>2024</v>
      </c>
      <c r="I616" t="str">
        <f>IF(OR(H616=$B$5,H616=$B$6,H616=$B$7,H616=$B$8,H616=$B$9,H616=$B$10,H616=$B$11,H616=$B$12,H616=$B$13,H616=$B$14),SottocategorieUscite[[#Headers],[Fuori Casa]],IF(OR(H616=$C$5,H616=$C$6,H616=$C$7,H616=$C$8,H616=$C$9,H616=$C$10,H616=$C$11,H616=$C$12,H616=$C$13,H616=$C$14),SottocategorieUscite[[#Headers],[Varie Uscite]],IF(OR(H616=$D$5,H616=$D$6,H616=$D$7,H616=$D$8,H616=$D$9,H616=$D$10,H616=$D$11,H616=$D$12,H616=$D$13,H616=$D$14),SottocategorieUscite[[#Headers],[Personali]],IF(OR(H616=$E$5,H616=$E$6,H616=$E$7,H616=$E$8,H616=$E$9,H616=$E$10,H616=$E$11,H616=$E$12,H616=$E$13,H616=$E$14),SottocategorieUscite[[#Headers],[Lavoro]],IF(OR(H616=$F$5,H616=$F$6,H616=$F$7,H616=$F$8,H616=$F$9,H616=$F$10,H616=$F$11,H616=$F$12,H616=$F$13,H616=$F$14),SottocategorieUscite[[#Headers],[Casa]],IF(OR(H616=$G$5,H616=$G$6,H616=$G$7,H616=$G$8,H616=$G$9,H616=$G$10,H616=$G$11,H616=$G$12,H616=$G$13,H616=$G$14),SottocategorieUscite[[#Headers],[Utenze]],IF(OR(H616=$H$5,H616=$H$6,H616=$H$7,H616=$H$8,H616=$H$9,H616=$H$10,H616=$H$11,H616=$H$12,H616=$H$13,H616=$H$14),SottocategorieUscite[[#Headers],[Business Uscite]],IF(OR(H616=$I$5,H616=$I$6,H616=$I$7,H616=$I$8,H616=$I$9,H616=$I$10,H616=$I$11,H616=$I$12,H616=$I$13,H616=$I$14),SottocategorieUscite[[#Headers],[Banca]],IF(OR(H616=K$5,H616=K$6,H616=K$7,H616=K$8,H616=K$9,H616=K$10,H616=K$11,H616=K$12,H616=K$13,H616=K$14),SottocategorieEntrate[[#Headers],[Business Entrate]],IF(OR(H616=L$5,H616=L$6,H616=L$7,H616=L$8,H616=L$9,H616=L$10,H616=L$11,H616=L$12,H616=L$13,H616=L$14),SottocategorieEntrate[[#Headers],[Varie Entrate]],IF(OR(H616=M$5,H616=M$6,H616=M$7,H616=M$8,H616=M$9,H616=M$10,H616=M$11,H616=M$12,H616=M$13,H616=M$14),SottocategorieEntrate[[#Headers],[Real Estate]],IF(OR(H616=N$5,H616=N$6,H616=N$7,H616=N$8,H616=N$9,H616=N$10,H616=N$11,H616=N$12,H616=N$13,H616=N$14),SottocategorieEntrate[[#Headers],[Other]],""))))))))))))</f>
        <v/>
      </c>
      <c r="J616" t="str">
        <f>IF(OR(Dati[[#This Row],[Categoria]]="Bollette",Dati[[#This Row],[Categoria]]="Conto &amp; Carte BNL",Dati[[#This Row],[Categoria]]="Prelievo",Dati[[#This Row],[Categoria]]="Affitto",Dati[[#This Row],[Categoria]]="BNL(Interessi Creditori)"),"Carta",IF(Dati[[#This Row],[Categoria]]&lt;&gt;0,"Cash",""))</f>
        <v/>
      </c>
      <c r="K616" s="59" t="str">
        <f>IF(OR(Data!$I616=SottocategorieUscite[[#Headers],[Fuori Casa]],Data!$I616=SottocategorieUscite[[#Headers],[Varie Uscite]],Data!$I616=SottocategorieUscite[[#Headers],[Personali]],Data!$I616=SottocategorieUscite[[#Headers],[Lavoro]]),"$ -","")</f>
        <v/>
      </c>
      <c r="L616" s="59" t="str">
        <f>IF(OR(Data!$I616=SottocategorieUscite[[#Headers],[Casa]],Data!$I616=SottocategorieUscite[[#Headers],[Utenze]],Data!$I616=SottocategorieUscite[[#Headers],[Business Uscite]],Data!$I616=SottocategorieUscite[[#Headers],[Banca]]),"$ -","")</f>
        <v/>
      </c>
      <c r="M616" s="59" t="str">
        <f>IF(OR($I616&lt;&gt;SottocategorieUscite[[#Headers],[Fuori Casa]],$I616&lt;&gt;SottocategorieUscite[[#Headers],[Varie Uscite]],$I616&lt;&gt;SottocategorieUscite[[#Headers],[Personali]],$I616&lt;&gt;SottocategorieUscite[[#Headers],[Lavoro]],$I616&lt;&gt;SottocategorieUscite[[#Headers],[Casa]],$I616&lt;&gt;SottocategorieUscite[[#Headers],[Utenze]],$I616&lt;&gt;SottocategorieUscite[[#Headers],[Business Uscite]],$I616&lt;&gt;SottocategorieUscite[[#Headers],[Banca]]),"","$ -")</f>
        <v/>
      </c>
      <c r="N616" s="59" t="str">
        <f>IF(OR(Data!$I616=SottocategorieEntrate[[#Headers],[Business Entrate]],Data!$I616=SottocategorieEntrate[[#Headers],[Varie Entrate]]),"$ -","")</f>
        <v/>
      </c>
      <c r="O616" s="59" t="str">
        <f>IF(OR(Data!$I616=SottocategorieEntrate[[#Headers],[Real Estate]],SottocategorieEntrate[[#Headers],[Other]]),"$ -","")</f>
        <v/>
      </c>
      <c r="P616" s="59" t="str">
        <f>IF(OR($I616&lt;&gt;SottocategorieEntrate[[#Headers],[Business Entrate]],$I616&lt;&gt;SottocategorieEntrate[[#Headers],[Varie Entrate]],$I616&lt;&gt;SottocategorieEntrate[[#Headers],[Real Estate]],$I616&lt;&gt;SottocategorieEntrate[[#Headers],[Other]]),"","$ -")</f>
        <v/>
      </c>
      <c r="Q616" s="59" t="str">
        <f>IF(Dati[[#This Row],[Categoria]]="Prelievo","€ -","")</f>
        <v/>
      </c>
      <c r="R616" s="244"/>
      <c r="S616" s="59" t="str">
        <f>IF(Dati[[#This Row],[Categoria]]="Savings",0,"")</f>
        <v/>
      </c>
      <c r="T616" s="59"/>
      <c r="U616" s="59"/>
      <c r="V616" s="59"/>
      <c r="W616" s="59"/>
      <c r="X616" s="59"/>
      <c r="Y616" s="59"/>
      <c r="Z616" s="59"/>
      <c r="AA616" s="59"/>
      <c r="AB616" s="59"/>
      <c r="AC616" s="59"/>
      <c r="AD616" s="59"/>
      <c r="AE616" s="59"/>
      <c r="AF616" s="59"/>
      <c r="AG616" s="59"/>
      <c r="AH616" s="59"/>
      <c r="AI616" s="59" t="str">
        <f>IF(SUM(Dati[[#This Row],[Inv. Business]:[Inv. Cryptocurrency]])=0," ",SUM(Dati[[#This Row],[Inv. Business]:[Inv. Cryptocurrency]]))</f>
        <v xml:space="preserve"> </v>
      </c>
      <c r="AJ616" s="59"/>
      <c r="AK616" s="59" t="str">
        <f>IF(SUM(Dati[[#This Row],[Inv. Gold]:[Mutuo]])=0," ",SUM(Dati[[#This Row],[Inv. Gold]:[Mutuo]]))</f>
        <v xml:space="preserve"> </v>
      </c>
      <c r="AL616" s="59"/>
      <c r="AM616" s="59"/>
    </row>
    <row r="617" spans="2:39" x14ac:dyDescent="0.35">
      <c r="B617">
        <f t="shared" si="25"/>
        <v>597</v>
      </c>
      <c r="C617" s="49">
        <f>C613+1</f>
        <v>45382</v>
      </c>
      <c r="D617" s="29">
        <f>DAY(Dati[[#This Row],[Data]])</f>
        <v>31</v>
      </c>
      <c r="E617" s="29" t="str">
        <f>IF(DAY(Data!$C$21:$C$1327)&gt;0,TEXT(Data!$C$21:$C$1327, "mmmm"),"")</f>
        <v>marzo</v>
      </c>
      <c r="F617" s="29" t="str">
        <f>IF(DAY(Data!$C$21:$C$1327)&gt;0,TEXT(Data!$C$21:$C$1327, "aaaa"),"")</f>
        <v>2024</v>
      </c>
      <c r="I617" t="str">
        <f>IF(OR(H617=$B$5,H617=$B$6,H617=$B$7,H617=$B$8,H617=$B$9,H617=$B$10,H617=$B$11,H617=$B$12,H617=$B$13,H617=$B$14),SottocategorieUscite[[#Headers],[Fuori Casa]],IF(OR(H617=$C$5,H617=$C$6,H617=$C$7,H617=$C$8,H617=$C$9,H617=$C$10,H617=$C$11,H617=$C$12,H617=$C$13,H617=$C$14),SottocategorieUscite[[#Headers],[Varie Uscite]],IF(OR(H617=$D$5,H617=$D$6,H617=$D$7,H617=$D$8,H617=$D$9,H617=$D$10,H617=$D$11,H617=$D$12,H617=$D$13,H617=$D$14),SottocategorieUscite[[#Headers],[Personali]],IF(OR(H617=$E$5,H617=$E$6,H617=$E$7,H617=$E$8,H617=$E$9,H617=$E$10,H617=$E$11,H617=$E$12,H617=$E$13,H617=$E$14),SottocategorieUscite[[#Headers],[Lavoro]],IF(OR(H617=$F$5,H617=$F$6,H617=$F$7,H617=$F$8,H617=$F$9,H617=$F$10,H617=$F$11,H617=$F$12,H617=$F$13,H617=$F$14),SottocategorieUscite[[#Headers],[Casa]],IF(OR(H617=$G$5,H617=$G$6,H617=$G$7,H617=$G$8,H617=$G$9,H617=$G$10,H617=$G$11,H617=$G$12,H617=$G$13,H617=$G$14),SottocategorieUscite[[#Headers],[Utenze]],IF(OR(H617=$H$5,H617=$H$6,H617=$H$7,H617=$H$8,H617=$H$9,H617=$H$10,H617=$H$11,H617=$H$12,H617=$H$13,H617=$H$14),SottocategorieUscite[[#Headers],[Business Uscite]],IF(OR(H617=$I$5,H617=$I$6,H617=$I$7,H617=$I$8,H617=$I$9,H617=$I$10,H617=$I$11,H617=$I$12,H617=$I$13,H617=$I$14),SottocategorieUscite[[#Headers],[Banca]],IF(OR(H617=K$5,H617=K$6,H617=K$7,H617=K$8,H617=K$9,H617=K$10,H617=K$11,H617=K$12,H617=K$13,H617=K$14),SottocategorieEntrate[[#Headers],[Business Entrate]],IF(OR(H617=L$5,H617=L$6,H617=L$7,H617=L$8,H617=L$9,H617=L$10,H617=L$11,H617=L$12,H617=L$13,H617=L$14),SottocategorieEntrate[[#Headers],[Varie Entrate]],IF(OR(H617=M$5,H617=M$6,H617=M$7,H617=M$8,H617=M$9,H617=M$10,H617=M$11,H617=M$12,H617=M$13,H617=M$14),SottocategorieEntrate[[#Headers],[Real Estate]],IF(OR(H617=N$5,H617=N$6,H617=N$7,H617=N$8,H617=N$9,H617=N$10,H617=N$11,H617=N$12,H617=N$13,H617=N$14),SottocategorieEntrate[[#Headers],[Other]],""))))))))))))</f>
        <v/>
      </c>
      <c r="J617" t="str">
        <f>IF(OR(Dati[[#This Row],[Categoria]]="Bollette",Dati[[#This Row],[Categoria]]="Conto &amp; Carte BNL",Dati[[#This Row],[Categoria]]="Prelievo",Dati[[#This Row],[Categoria]]="Affitto",Dati[[#This Row],[Categoria]]="BNL(Interessi Creditori)"),"Carta",IF(Dati[[#This Row],[Categoria]]&lt;&gt;0,"Cash",""))</f>
        <v/>
      </c>
      <c r="K617" s="59" t="str">
        <f>IF(OR(Data!$I617=SottocategorieUscite[[#Headers],[Fuori Casa]],Data!$I617=SottocategorieUscite[[#Headers],[Varie Uscite]],Data!$I617=SottocategorieUscite[[#Headers],[Personali]],Data!$I617=SottocategorieUscite[[#Headers],[Lavoro]]),"$ -","")</f>
        <v/>
      </c>
      <c r="L617" s="59" t="str">
        <f>IF(OR(Data!$I617=SottocategorieUscite[[#Headers],[Casa]],Data!$I617=SottocategorieUscite[[#Headers],[Utenze]],Data!$I617=SottocategorieUscite[[#Headers],[Business Uscite]],Data!$I617=SottocategorieUscite[[#Headers],[Banca]]),"$ -","")</f>
        <v/>
      </c>
      <c r="M617" s="59" t="str">
        <f>IF(OR($I617&lt;&gt;SottocategorieUscite[[#Headers],[Fuori Casa]],$I617&lt;&gt;SottocategorieUscite[[#Headers],[Varie Uscite]],$I617&lt;&gt;SottocategorieUscite[[#Headers],[Personali]],$I617&lt;&gt;SottocategorieUscite[[#Headers],[Lavoro]],$I617&lt;&gt;SottocategorieUscite[[#Headers],[Casa]],$I617&lt;&gt;SottocategorieUscite[[#Headers],[Utenze]],$I617&lt;&gt;SottocategorieUscite[[#Headers],[Business Uscite]],$I617&lt;&gt;SottocategorieUscite[[#Headers],[Banca]]),"","$ -")</f>
        <v/>
      </c>
      <c r="N617" s="59" t="str">
        <f>IF(OR(Data!$I617=SottocategorieEntrate[[#Headers],[Business Entrate]],Data!$I617=SottocategorieEntrate[[#Headers],[Varie Entrate]]),"$ -","")</f>
        <v/>
      </c>
      <c r="O617" s="59" t="str">
        <f>IF(OR(Data!$I617=SottocategorieEntrate[[#Headers],[Real Estate]],SottocategorieEntrate[[#Headers],[Other]]),"$ -","")</f>
        <v/>
      </c>
      <c r="P617" s="59" t="str">
        <f>IF(OR($I617&lt;&gt;SottocategorieEntrate[[#Headers],[Business Entrate]],$I617&lt;&gt;SottocategorieEntrate[[#Headers],[Varie Entrate]],$I617&lt;&gt;SottocategorieEntrate[[#Headers],[Real Estate]],$I617&lt;&gt;SottocategorieEntrate[[#Headers],[Other]]),"","$ -")</f>
        <v/>
      </c>
      <c r="Q617" s="59" t="str">
        <f>IF(Dati[[#This Row],[Categoria]]="Prelievo","€ -","")</f>
        <v/>
      </c>
      <c r="R617" s="244"/>
      <c r="S617" s="59" t="str">
        <f>IF(Dati[[#This Row],[Categoria]]="Savings",0,"")</f>
        <v/>
      </c>
      <c r="T617" s="59"/>
      <c r="U617" s="59"/>
      <c r="V617" s="59"/>
      <c r="W617" s="59"/>
      <c r="X617" s="59"/>
      <c r="Y617" s="59"/>
      <c r="Z617" s="59"/>
      <c r="AA617" s="59"/>
      <c r="AB617" s="59"/>
      <c r="AC617" s="59"/>
      <c r="AD617" s="59"/>
      <c r="AE617" s="59"/>
      <c r="AF617" s="59"/>
      <c r="AG617" s="59"/>
      <c r="AH617" s="59"/>
      <c r="AI617" s="59" t="str">
        <f>IF(SUM(Dati[[#This Row],[Inv. Business]:[Inv. Cryptocurrency]])=0," ",SUM(Dati[[#This Row],[Inv. Business]:[Inv. Cryptocurrency]]))</f>
        <v xml:space="preserve"> </v>
      </c>
      <c r="AJ617" s="59"/>
      <c r="AK617" s="59" t="str">
        <f>IF(SUM(Dati[[#This Row],[Inv. Gold]:[Mutuo]])=0," ",SUM(Dati[[#This Row],[Inv. Gold]:[Mutuo]]))</f>
        <v xml:space="preserve"> </v>
      </c>
      <c r="AL617" s="59"/>
      <c r="AM617" s="59"/>
    </row>
    <row r="618" spans="2:39" x14ac:dyDescent="0.35">
      <c r="B618">
        <f t="shared" si="25"/>
        <v>598</v>
      </c>
      <c r="C618" s="49">
        <f t="shared" si="24"/>
        <v>45383</v>
      </c>
      <c r="D618" s="29">
        <f>DAY(Dati[[#This Row],[Data]])</f>
        <v>1</v>
      </c>
      <c r="E618" s="29" t="str">
        <f>IF(DAY(Data!$C$21:$C$1327)&gt;0,TEXT(Data!$C$21:$C$1327, "mmmm"),"")</f>
        <v>aprile</v>
      </c>
      <c r="F618" s="29" t="str">
        <f>IF(DAY(Data!$C$21:$C$1327)&gt;0,TEXT(Data!$C$21:$C$1327, "aaaa"),"")</f>
        <v>2024</v>
      </c>
      <c r="I618" t="str">
        <f>IF(OR(H618=$B$5,H618=$B$6,H618=$B$7,H618=$B$8,H618=$B$9,H618=$B$10,H618=$B$11,H618=$B$12,H618=$B$13,H618=$B$14),SottocategorieUscite[[#Headers],[Fuori Casa]],IF(OR(H618=$C$5,H618=$C$6,H618=$C$7,H618=$C$8,H618=$C$9,H618=$C$10,H618=$C$11,H618=$C$12,H618=$C$13,H618=$C$14),SottocategorieUscite[[#Headers],[Varie Uscite]],IF(OR(H618=$D$5,H618=$D$6,H618=$D$7,H618=$D$8,H618=$D$9,H618=$D$10,H618=$D$11,H618=$D$12,H618=$D$13,H618=$D$14),SottocategorieUscite[[#Headers],[Personali]],IF(OR(H618=$E$5,H618=$E$6,H618=$E$7,H618=$E$8,H618=$E$9,H618=$E$10,H618=$E$11,H618=$E$12,H618=$E$13,H618=$E$14),SottocategorieUscite[[#Headers],[Lavoro]],IF(OR(H618=$F$5,H618=$F$6,H618=$F$7,H618=$F$8,H618=$F$9,H618=$F$10,H618=$F$11,H618=$F$12,H618=$F$13,H618=$F$14),SottocategorieUscite[[#Headers],[Casa]],IF(OR(H618=$G$5,H618=$G$6,H618=$G$7,H618=$G$8,H618=$G$9,H618=$G$10,H618=$G$11,H618=$G$12,H618=$G$13,H618=$G$14),SottocategorieUscite[[#Headers],[Utenze]],IF(OR(H618=$H$5,H618=$H$6,H618=$H$7,H618=$H$8,H618=$H$9,H618=$H$10,H618=$H$11,H618=$H$12,H618=$H$13,H618=$H$14),SottocategorieUscite[[#Headers],[Business Uscite]],IF(OR(H618=$I$5,H618=$I$6,H618=$I$7,H618=$I$8,H618=$I$9,H618=$I$10,H618=$I$11,H618=$I$12,H618=$I$13,H618=$I$14),SottocategorieUscite[[#Headers],[Banca]],IF(OR(H618=K$5,H618=K$6,H618=K$7,H618=K$8,H618=K$9,H618=K$10,H618=K$11,H618=K$12,H618=K$13,H618=K$14),SottocategorieEntrate[[#Headers],[Business Entrate]],IF(OR(H618=L$5,H618=L$6,H618=L$7,H618=L$8,H618=L$9,H618=L$10,H618=L$11,H618=L$12,H618=L$13,H618=L$14),SottocategorieEntrate[[#Headers],[Varie Entrate]],IF(OR(H618=M$5,H618=M$6,H618=M$7,H618=M$8,H618=M$9,H618=M$10,H618=M$11,H618=M$12,H618=M$13,H618=M$14),SottocategorieEntrate[[#Headers],[Real Estate]],IF(OR(H618=N$5,H618=N$6,H618=N$7,H618=N$8,H618=N$9,H618=N$10,H618=N$11,H618=N$12,H618=N$13,H618=N$14),SottocategorieEntrate[[#Headers],[Other]],""))))))))))))</f>
        <v/>
      </c>
      <c r="J618" t="str">
        <f>IF(OR(Dati[[#This Row],[Categoria]]="Bollette",Dati[[#This Row],[Categoria]]="Conto &amp; Carte BNL",Dati[[#This Row],[Categoria]]="Prelievo",Dati[[#This Row],[Categoria]]="Affitto",Dati[[#This Row],[Categoria]]="BNL(Interessi Creditori)"),"Carta",IF(Dati[[#This Row],[Categoria]]&lt;&gt;0,"Cash",""))</f>
        <v/>
      </c>
      <c r="K618" s="59" t="str">
        <f>IF(OR(Data!$I618=SottocategorieUscite[[#Headers],[Fuori Casa]],Data!$I618=SottocategorieUscite[[#Headers],[Varie Uscite]],Data!$I618=SottocategorieUscite[[#Headers],[Personali]],Data!$I618=SottocategorieUscite[[#Headers],[Lavoro]]),"$ -","")</f>
        <v/>
      </c>
      <c r="L618" s="59" t="str">
        <f>IF(OR(Data!$I618=SottocategorieUscite[[#Headers],[Casa]],Data!$I618=SottocategorieUscite[[#Headers],[Utenze]],Data!$I618=SottocategorieUscite[[#Headers],[Business Uscite]],Data!$I618=SottocategorieUscite[[#Headers],[Banca]]),"$ -","")</f>
        <v/>
      </c>
      <c r="M618" s="59" t="str">
        <f>IF(OR($I618&lt;&gt;SottocategorieUscite[[#Headers],[Fuori Casa]],$I618&lt;&gt;SottocategorieUscite[[#Headers],[Varie Uscite]],$I618&lt;&gt;SottocategorieUscite[[#Headers],[Personali]],$I618&lt;&gt;SottocategorieUscite[[#Headers],[Lavoro]],$I618&lt;&gt;SottocategorieUscite[[#Headers],[Casa]],$I618&lt;&gt;SottocategorieUscite[[#Headers],[Utenze]],$I618&lt;&gt;SottocategorieUscite[[#Headers],[Business Uscite]],$I618&lt;&gt;SottocategorieUscite[[#Headers],[Banca]]),"","$ -")</f>
        <v/>
      </c>
      <c r="N618" s="59" t="str">
        <f>IF(OR(Data!$I618=SottocategorieEntrate[[#Headers],[Business Entrate]],Data!$I618=SottocategorieEntrate[[#Headers],[Varie Entrate]]),"$ -","")</f>
        <v/>
      </c>
      <c r="O618" s="59" t="str">
        <f>IF(OR(Data!$I618=SottocategorieEntrate[[#Headers],[Real Estate]],SottocategorieEntrate[[#Headers],[Other]]),"$ -","")</f>
        <v/>
      </c>
      <c r="P618" s="59" t="str">
        <f>IF(OR($I618&lt;&gt;SottocategorieEntrate[[#Headers],[Business Entrate]],$I618&lt;&gt;SottocategorieEntrate[[#Headers],[Varie Entrate]],$I618&lt;&gt;SottocategorieEntrate[[#Headers],[Real Estate]],$I618&lt;&gt;SottocategorieEntrate[[#Headers],[Other]]),"","$ -")</f>
        <v/>
      </c>
      <c r="Q618" s="59" t="str">
        <f>IF(Dati[[#This Row],[Categoria]]="Prelievo","€ -","")</f>
        <v/>
      </c>
      <c r="R618" s="244"/>
      <c r="S618" s="59" t="str">
        <f>IF(Dati[[#This Row],[Categoria]]="Savings",0,"")</f>
        <v/>
      </c>
      <c r="T618" s="59"/>
      <c r="U618" s="59"/>
      <c r="V618" s="59"/>
      <c r="W618" s="59"/>
      <c r="X618" s="59"/>
      <c r="Y618" s="59"/>
      <c r="Z618" s="59"/>
      <c r="AA618" s="59"/>
      <c r="AB618" s="59"/>
      <c r="AC618" s="59"/>
      <c r="AD618" s="59"/>
      <c r="AE618" s="59"/>
      <c r="AF618" s="59"/>
      <c r="AG618" s="59"/>
      <c r="AH618" s="59"/>
      <c r="AI618" s="59" t="str">
        <f>IF(SUM(Dati[[#This Row],[Inv. Business]:[Inv. Cryptocurrency]])=0," ",SUM(Dati[[#This Row],[Inv. Business]:[Inv. Cryptocurrency]]))</f>
        <v xml:space="preserve"> </v>
      </c>
      <c r="AJ618" s="59"/>
      <c r="AK618" s="59" t="str">
        <f>IF(SUM(Dati[[#This Row],[Inv. Gold]:[Mutuo]])=0," ",SUM(Dati[[#This Row],[Inv. Gold]:[Mutuo]]))</f>
        <v xml:space="preserve"> </v>
      </c>
      <c r="AL618" s="59"/>
      <c r="AM618" s="59"/>
    </row>
    <row r="619" spans="2:39" x14ac:dyDescent="0.35">
      <c r="B619">
        <f t="shared" si="25"/>
        <v>599</v>
      </c>
      <c r="C619" s="49">
        <f t="shared" si="24"/>
        <v>45384</v>
      </c>
      <c r="D619" s="29">
        <f>DAY(Dati[[#This Row],[Data]])</f>
        <v>2</v>
      </c>
      <c r="E619" s="29" t="str">
        <f>IF(DAY(Data!$C$21:$C$1327)&gt;0,TEXT(Data!$C$21:$C$1327, "mmmm"),"")</f>
        <v>aprile</v>
      </c>
      <c r="F619" s="29" t="str">
        <f>IF(DAY(Data!$C$21:$C$1327)&gt;0,TEXT(Data!$C$21:$C$1327, "aaaa"),"")</f>
        <v>2024</v>
      </c>
      <c r="I619" t="str">
        <f>IF(OR(H619=$B$5,H619=$B$6,H619=$B$7,H619=$B$8,H619=$B$9,H619=$B$10,H619=$B$11,H619=$B$12,H619=$B$13,H619=$B$14),SottocategorieUscite[[#Headers],[Fuori Casa]],IF(OR(H619=$C$5,H619=$C$6,H619=$C$7,H619=$C$8,H619=$C$9,H619=$C$10,H619=$C$11,H619=$C$12,H619=$C$13,H619=$C$14),SottocategorieUscite[[#Headers],[Varie Uscite]],IF(OR(H619=$D$5,H619=$D$6,H619=$D$7,H619=$D$8,H619=$D$9,H619=$D$10,H619=$D$11,H619=$D$12,H619=$D$13,H619=$D$14),SottocategorieUscite[[#Headers],[Personali]],IF(OR(H619=$E$5,H619=$E$6,H619=$E$7,H619=$E$8,H619=$E$9,H619=$E$10,H619=$E$11,H619=$E$12,H619=$E$13,H619=$E$14),SottocategorieUscite[[#Headers],[Lavoro]],IF(OR(H619=$F$5,H619=$F$6,H619=$F$7,H619=$F$8,H619=$F$9,H619=$F$10,H619=$F$11,H619=$F$12,H619=$F$13,H619=$F$14),SottocategorieUscite[[#Headers],[Casa]],IF(OR(H619=$G$5,H619=$G$6,H619=$G$7,H619=$G$8,H619=$G$9,H619=$G$10,H619=$G$11,H619=$G$12,H619=$G$13,H619=$G$14),SottocategorieUscite[[#Headers],[Utenze]],IF(OR(H619=$H$5,H619=$H$6,H619=$H$7,H619=$H$8,H619=$H$9,H619=$H$10,H619=$H$11,H619=$H$12,H619=$H$13,H619=$H$14),SottocategorieUscite[[#Headers],[Business Uscite]],IF(OR(H619=$I$5,H619=$I$6,H619=$I$7,H619=$I$8,H619=$I$9,H619=$I$10,H619=$I$11,H619=$I$12,H619=$I$13,H619=$I$14),SottocategorieUscite[[#Headers],[Banca]],IF(OR(H619=K$5,H619=K$6,H619=K$7,H619=K$8,H619=K$9,H619=K$10,H619=K$11,H619=K$12,H619=K$13,H619=K$14),SottocategorieEntrate[[#Headers],[Business Entrate]],IF(OR(H619=L$5,H619=L$6,H619=L$7,H619=L$8,H619=L$9,H619=L$10,H619=L$11,H619=L$12,H619=L$13,H619=L$14),SottocategorieEntrate[[#Headers],[Varie Entrate]],IF(OR(H619=M$5,H619=M$6,H619=M$7,H619=M$8,H619=M$9,H619=M$10,H619=M$11,H619=M$12,H619=M$13,H619=M$14),SottocategorieEntrate[[#Headers],[Real Estate]],IF(OR(H619=N$5,H619=N$6,H619=N$7,H619=N$8,H619=N$9,H619=N$10,H619=N$11,H619=N$12,H619=N$13,H619=N$14),SottocategorieEntrate[[#Headers],[Other]],""))))))))))))</f>
        <v/>
      </c>
      <c r="J619" t="str">
        <f>IF(OR(Dati[[#This Row],[Categoria]]="Bollette",Dati[[#This Row],[Categoria]]="Conto &amp; Carte BNL",Dati[[#This Row],[Categoria]]="Prelievo",Dati[[#This Row],[Categoria]]="Affitto",Dati[[#This Row],[Categoria]]="BNL(Interessi Creditori)"),"Carta",IF(Dati[[#This Row],[Categoria]]&lt;&gt;0,"Cash",""))</f>
        <v/>
      </c>
      <c r="K619" s="59" t="str">
        <f>IF(OR(Data!$I619=SottocategorieUscite[[#Headers],[Fuori Casa]],Data!$I619=SottocategorieUscite[[#Headers],[Varie Uscite]],Data!$I619=SottocategorieUscite[[#Headers],[Personali]],Data!$I619=SottocategorieUscite[[#Headers],[Lavoro]]),"$ -","")</f>
        <v/>
      </c>
      <c r="L619" s="59" t="str">
        <f>IF(OR(Data!$I619=SottocategorieUscite[[#Headers],[Casa]],Data!$I619=SottocategorieUscite[[#Headers],[Utenze]],Data!$I619=SottocategorieUscite[[#Headers],[Business Uscite]],Data!$I619=SottocategorieUscite[[#Headers],[Banca]]),"$ -","")</f>
        <v/>
      </c>
      <c r="M619" s="59" t="str">
        <f>IF(OR($I619&lt;&gt;SottocategorieUscite[[#Headers],[Fuori Casa]],$I619&lt;&gt;SottocategorieUscite[[#Headers],[Varie Uscite]],$I619&lt;&gt;SottocategorieUscite[[#Headers],[Personali]],$I619&lt;&gt;SottocategorieUscite[[#Headers],[Lavoro]],$I619&lt;&gt;SottocategorieUscite[[#Headers],[Casa]],$I619&lt;&gt;SottocategorieUscite[[#Headers],[Utenze]],$I619&lt;&gt;SottocategorieUscite[[#Headers],[Business Uscite]],$I619&lt;&gt;SottocategorieUscite[[#Headers],[Banca]]),"","$ -")</f>
        <v/>
      </c>
      <c r="N619" s="59" t="str">
        <f>IF(OR(Data!$I619=SottocategorieEntrate[[#Headers],[Business Entrate]],Data!$I619=SottocategorieEntrate[[#Headers],[Varie Entrate]]),"$ -","")</f>
        <v/>
      </c>
      <c r="O619" s="59" t="str">
        <f>IF(OR(Data!$I619=SottocategorieEntrate[[#Headers],[Real Estate]],SottocategorieEntrate[[#Headers],[Other]]),"$ -","")</f>
        <v/>
      </c>
      <c r="P619" s="59" t="str">
        <f>IF(OR($I619&lt;&gt;SottocategorieEntrate[[#Headers],[Business Entrate]],$I619&lt;&gt;SottocategorieEntrate[[#Headers],[Varie Entrate]],$I619&lt;&gt;SottocategorieEntrate[[#Headers],[Real Estate]],$I619&lt;&gt;SottocategorieEntrate[[#Headers],[Other]]),"","$ -")</f>
        <v/>
      </c>
      <c r="Q619" s="59" t="str">
        <f>IF(Dati[[#This Row],[Categoria]]="Prelievo","€ -","")</f>
        <v/>
      </c>
      <c r="R619" s="244"/>
      <c r="S619" s="59" t="str">
        <f>IF(Dati[[#This Row],[Categoria]]="Savings",0,"")</f>
        <v/>
      </c>
      <c r="T619" s="59"/>
      <c r="U619" s="59"/>
      <c r="V619" s="59"/>
      <c r="W619" s="59"/>
      <c r="X619" s="59"/>
      <c r="Y619" s="59"/>
      <c r="Z619" s="59"/>
      <c r="AA619" s="59"/>
      <c r="AB619" s="59"/>
      <c r="AC619" s="59"/>
      <c r="AD619" s="59"/>
      <c r="AE619" s="59"/>
      <c r="AF619" s="59"/>
      <c r="AG619" s="59"/>
      <c r="AH619" s="59"/>
      <c r="AI619" s="59" t="str">
        <f>IF(SUM(Dati[[#This Row],[Inv. Business]:[Inv. Cryptocurrency]])=0," ",SUM(Dati[[#This Row],[Inv. Business]:[Inv. Cryptocurrency]]))</f>
        <v xml:space="preserve"> </v>
      </c>
      <c r="AJ619" s="59"/>
      <c r="AK619" s="59" t="str">
        <f>IF(SUM(Dati[[#This Row],[Inv. Gold]:[Mutuo]])=0," ",SUM(Dati[[#This Row],[Inv. Gold]:[Mutuo]]))</f>
        <v xml:space="preserve"> </v>
      </c>
      <c r="AL619" s="59"/>
      <c r="AM619" s="59"/>
    </row>
    <row r="620" spans="2:39" x14ac:dyDescent="0.35">
      <c r="B620">
        <f t="shared" si="25"/>
        <v>600</v>
      </c>
      <c r="C620" s="49">
        <f>C618+1</f>
        <v>45384</v>
      </c>
      <c r="D620" s="29">
        <f>DAY(Dati[[#This Row],[Data]])</f>
        <v>2</v>
      </c>
      <c r="E620" s="29" t="str">
        <f>IF(DAY(Data!$C$21:$C$1327)&gt;0,TEXT(Data!$C$21:$C$1327, "mmmm"),"")</f>
        <v>aprile</v>
      </c>
      <c r="F620" s="29" t="str">
        <f>IF(DAY(Data!$C$21:$C$1327)&gt;0,TEXT(Data!$C$21:$C$1327, "aaaa"),"")</f>
        <v>2024</v>
      </c>
      <c r="I620" t="str">
        <f>IF(OR(H620=$B$5,H620=$B$6,H620=$B$7,H620=$B$8,H620=$B$9,H620=$B$10,H620=$B$11,H620=$B$12,H620=$B$13,H620=$B$14),SottocategorieUscite[[#Headers],[Fuori Casa]],IF(OR(H620=$C$5,H620=$C$6,H620=$C$7,H620=$C$8,H620=$C$9,H620=$C$10,H620=$C$11,H620=$C$12,H620=$C$13,H620=$C$14),SottocategorieUscite[[#Headers],[Varie Uscite]],IF(OR(H620=$D$5,H620=$D$6,H620=$D$7,H620=$D$8,H620=$D$9,H620=$D$10,H620=$D$11,H620=$D$12,H620=$D$13,H620=$D$14),SottocategorieUscite[[#Headers],[Personali]],IF(OR(H620=$E$5,H620=$E$6,H620=$E$7,H620=$E$8,H620=$E$9,H620=$E$10,H620=$E$11,H620=$E$12,H620=$E$13,H620=$E$14),SottocategorieUscite[[#Headers],[Lavoro]],IF(OR(H620=$F$5,H620=$F$6,H620=$F$7,H620=$F$8,H620=$F$9,H620=$F$10,H620=$F$11,H620=$F$12,H620=$F$13,H620=$F$14),SottocategorieUscite[[#Headers],[Casa]],IF(OR(H620=$G$5,H620=$G$6,H620=$G$7,H620=$G$8,H620=$G$9,H620=$G$10,H620=$G$11,H620=$G$12,H620=$G$13,H620=$G$14),SottocategorieUscite[[#Headers],[Utenze]],IF(OR(H620=$H$5,H620=$H$6,H620=$H$7,H620=$H$8,H620=$H$9,H620=$H$10,H620=$H$11,H620=$H$12,H620=$H$13,H620=$H$14),SottocategorieUscite[[#Headers],[Business Uscite]],IF(OR(H620=$I$5,H620=$I$6,H620=$I$7,H620=$I$8,H620=$I$9,H620=$I$10,H620=$I$11,H620=$I$12,H620=$I$13,H620=$I$14),SottocategorieUscite[[#Headers],[Banca]],IF(OR(H620=K$5,H620=K$6,H620=K$7,H620=K$8,H620=K$9,H620=K$10,H620=K$11,H620=K$12,H620=K$13,H620=K$14),SottocategorieEntrate[[#Headers],[Business Entrate]],IF(OR(H620=L$5,H620=L$6,H620=L$7,H620=L$8,H620=L$9,H620=L$10,H620=L$11,H620=L$12,H620=L$13,H620=L$14),SottocategorieEntrate[[#Headers],[Varie Entrate]],IF(OR(H620=M$5,H620=M$6,H620=M$7,H620=M$8,H620=M$9,H620=M$10,H620=M$11,H620=M$12,H620=M$13,H620=M$14),SottocategorieEntrate[[#Headers],[Real Estate]],IF(OR(H620=N$5,H620=N$6,H620=N$7,H620=N$8,H620=N$9,H620=N$10,H620=N$11,H620=N$12,H620=N$13,H620=N$14),SottocategorieEntrate[[#Headers],[Other]],""))))))))))))</f>
        <v/>
      </c>
      <c r="J620" t="str">
        <f>IF(OR(Dati[[#This Row],[Categoria]]="Bollette",Dati[[#This Row],[Categoria]]="Conto &amp; Carte BNL",Dati[[#This Row],[Categoria]]="Prelievo",Dati[[#This Row],[Categoria]]="Affitto",Dati[[#This Row],[Categoria]]="BNL(Interessi Creditori)"),"Carta",IF(Dati[[#This Row],[Categoria]]&lt;&gt;0,"Cash",""))</f>
        <v/>
      </c>
      <c r="K620" s="59" t="str">
        <f>IF(OR(Data!$I620=SottocategorieUscite[[#Headers],[Fuori Casa]],Data!$I620=SottocategorieUscite[[#Headers],[Varie Uscite]],Data!$I620=SottocategorieUscite[[#Headers],[Personali]],Data!$I620=SottocategorieUscite[[#Headers],[Lavoro]]),"$ -","")</f>
        <v/>
      </c>
      <c r="L620" s="59" t="str">
        <f>IF(OR(Data!$I620=SottocategorieUscite[[#Headers],[Casa]],Data!$I620=SottocategorieUscite[[#Headers],[Utenze]],Data!$I620=SottocategorieUscite[[#Headers],[Business Uscite]],Data!$I620=SottocategorieUscite[[#Headers],[Banca]]),"$ -","")</f>
        <v/>
      </c>
      <c r="M620" s="59" t="str">
        <f>IF(OR($I620&lt;&gt;SottocategorieUscite[[#Headers],[Fuori Casa]],$I620&lt;&gt;SottocategorieUscite[[#Headers],[Varie Uscite]],$I620&lt;&gt;SottocategorieUscite[[#Headers],[Personali]],$I620&lt;&gt;SottocategorieUscite[[#Headers],[Lavoro]],$I620&lt;&gt;SottocategorieUscite[[#Headers],[Casa]],$I620&lt;&gt;SottocategorieUscite[[#Headers],[Utenze]],$I620&lt;&gt;SottocategorieUscite[[#Headers],[Business Uscite]],$I620&lt;&gt;SottocategorieUscite[[#Headers],[Banca]]),"","$ -")</f>
        <v/>
      </c>
      <c r="N620" s="59" t="str">
        <f>IF(OR(Data!$I620=SottocategorieEntrate[[#Headers],[Business Entrate]],Data!$I620=SottocategorieEntrate[[#Headers],[Varie Entrate]]),"$ -","")</f>
        <v/>
      </c>
      <c r="O620" s="59" t="str">
        <f>IF(OR(Data!$I620=SottocategorieEntrate[[#Headers],[Real Estate]],SottocategorieEntrate[[#Headers],[Other]]),"$ -","")</f>
        <v/>
      </c>
      <c r="P620" s="59" t="str">
        <f>IF(OR($I620&lt;&gt;SottocategorieEntrate[[#Headers],[Business Entrate]],$I620&lt;&gt;SottocategorieEntrate[[#Headers],[Varie Entrate]],$I620&lt;&gt;SottocategorieEntrate[[#Headers],[Real Estate]],$I620&lt;&gt;SottocategorieEntrate[[#Headers],[Other]]),"","$ -")</f>
        <v/>
      </c>
      <c r="Q620" s="59" t="str">
        <f>IF(Dati[[#This Row],[Categoria]]="Prelievo","€ -","")</f>
        <v/>
      </c>
      <c r="R620" s="244"/>
      <c r="S620" s="59" t="str">
        <f>IF(Dati[[#This Row],[Categoria]]="Savings",0,"")</f>
        <v/>
      </c>
      <c r="T620" s="59"/>
      <c r="U620" s="59"/>
      <c r="V620" s="59"/>
      <c r="W620" s="59"/>
      <c r="X620" s="59"/>
      <c r="Y620" s="59"/>
      <c r="Z620" s="59"/>
      <c r="AA620" s="59"/>
      <c r="AB620" s="59"/>
      <c r="AC620" s="59"/>
      <c r="AD620" s="59"/>
      <c r="AE620" s="59"/>
      <c r="AF620" s="59"/>
      <c r="AG620" s="59"/>
      <c r="AH620" s="59"/>
      <c r="AI620" s="59" t="str">
        <f>IF(SUM(Dati[[#This Row],[Inv. Business]:[Inv. Cryptocurrency]])=0," ",SUM(Dati[[#This Row],[Inv. Business]:[Inv. Cryptocurrency]]))</f>
        <v xml:space="preserve"> </v>
      </c>
      <c r="AJ620" s="59"/>
      <c r="AK620" s="59" t="str">
        <f>IF(SUM(Dati[[#This Row],[Inv. Gold]:[Mutuo]])=0," ",SUM(Dati[[#This Row],[Inv. Gold]:[Mutuo]]))</f>
        <v xml:space="preserve"> </v>
      </c>
      <c r="AL620" s="59"/>
      <c r="AM620" s="59"/>
    </row>
    <row r="621" spans="2:39" x14ac:dyDescent="0.35">
      <c r="B621">
        <f t="shared" si="25"/>
        <v>601</v>
      </c>
      <c r="C621" s="49">
        <f>C618+1</f>
        <v>45384</v>
      </c>
      <c r="D621" s="29">
        <f>DAY(Dati[[#This Row],[Data]])</f>
        <v>2</v>
      </c>
      <c r="E621" s="29" t="str">
        <f>IF(DAY(Data!$C$21:$C$1327)&gt;0,TEXT(Data!$C$21:$C$1327, "mmmm"),"")</f>
        <v>aprile</v>
      </c>
      <c r="F621" s="29" t="str">
        <f>IF(DAY(Data!$C$21:$C$1327)&gt;0,TEXT(Data!$C$21:$C$1327, "aaaa"),"")</f>
        <v>2024</v>
      </c>
      <c r="I621" t="str">
        <f>IF(OR(H621=$B$5,H621=$B$6,H621=$B$7,H621=$B$8,H621=$B$9,H621=$B$10,H621=$B$11,H621=$B$12,H621=$B$13,H621=$B$14),SottocategorieUscite[[#Headers],[Fuori Casa]],IF(OR(H621=$C$5,H621=$C$6,H621=$C$7,H621=$C$8,H621=$C$9,H621=$C$10,H621=$C$11,H621=$C$12,H621=$C$13,H621=$C$14),SottocategorieUscite[[#Headers],[Varie Uscite]],IF(OR(H621=$D$5,H621=$D$6,H621=$D$7,H621=$D$8,H621=$D$9,H621=$D$10,H621=$D$11,H621=$D$12,H621=$D$13,H621=$D$14),SottocategorieUscite[[#Headers],[Personali]],IF(OR(H621=$E$5,H621=$E$6,H621=$E$7,H621=$E$8,H621=$E$9,H621=$E$10,H621=$E$11,H621=$E$12,H621=$E$13,H621=$E$14),SottocategorieUscite[[#Headers],[Lavoro]],IF(OR(H621=$F$5,H621=$F$6,H621=$F$7,H621=$F$8,H621=$F$9,H621=$F$10,H621=$F$11,H621=$F$12,H621=$F$13,H621=$F$14),SottocategorieUscite[[#Headers],[Casa]],IF(OR(H621=$G$5,H621=$G$6,H621=$G$7,H621=$G$8,H621=$G$9,H621=$G$10,H621=$G$11,H621=$G$12,H621=$G$13,H621=$G$14),SottocategorieUscite[[#Headers],[Utenze]],IF(OR(H621=$H$5,H621=$H$6,H621=$H$7,H621=$H$8,H621=$H$9,H621=$H$10,H621=$H$11,H621=$H$12,H621=$H$13,H621=$H$14),SottocategorieUscite[[#Headers],[Business Uscite]],IF(OR(H621=$I$5,H621=$I$6,H621=$I$7,H621=$I$8,H621=$I$9,H621=$I$10,H621=$I$11,H621=$I$12,H621=$I$13,H621=$I$14),SottocategorieUscite[[#Headers],[Banca]],IF(OR(H621=K$5,H621=K$6,H621=K$7,H621=K$8,H621=K$9,H621=K$10,H621=K$11,H621=K$12,H621=K$13,H621=K$14),SottocategorieEntrate[[#Headers],[Business Entrate]],IF(OR(H621=L$5,H621=L$6,H621=L$7,H621=L$8,H621=L$9,H621=L$10,H621=L$11,H621=L$12,H621=L$13,H621=L$14),SottocategorieEntrate[[#Headers],[Varie Entrate]],IF(OR(H621=M$5,H621=M$6,H621=M$7,H621=M$8,H621=M$9,H621=M$10,H621=M$11,H621=M$12,H621=M$13,H621=M$14),SottocategorieEntrate[[#Headers],[Real Estate]],IF(OR(H621=N$5,H621=N$6,H621=N$7,H621=N$8,H621=N$9,H621=N$10,H621=N$11,H621=N$12,H621=N$13,H621=N$14),SottocategorieEntrate[[#Headers],[Other]],""))))))))))))</f>
        <v/>
      </c>
      <c r="J621" t="str">
        <f>IF(OR(Dati[[#This Row],[Categoria]]="Bollette",Dati[[#This Row],[Categoria]]="Conto &amp; Carte BNL",Dati[[#This Row],[Categoria]]="Prelievo",Dati[[#This Row],[Categoria]]="Affitto",Dati[[#This Row],[Categoria]]="BNL(Interessi Creditori)"),"Carta",IF(Dati[[#This Row],[Categoria]]&lt;&gt;0,"Cash",""))</f>
        <v/>
      </c>
      <c r="K621" s="59" t="str">
        <f>IF(OR(Data!$I621=SottocategorieUscite[[#Headers],[Fuori Casa]],Data!$I621=SottocategorieUscite[[#Headers],[Varie Uscite]],Data!$I621=SottocategorieUscite[[#Headers],[Personali]],Data!$I621=SottocategorieUscite[[#Headers],[Lavoro]]),"$ -","")</f>
        <v/>
      </c>
      <c r="L621" s="59" t="str">
        <f>IF(OR(Data!$I621=SottocategorieUscite[[#Headers],[Casa]],Data!$I621=SottocategorieUscite[[#Headers],[Utenze]],Data!$I621=SottocategorieUscite[[#Headers],[Business Uscite]],Data!$I621=SottocategorieUscite[[#Headers],[Banca]]),"$ -","")</f>
        <v/>
      </c>
      <c r="M621" s="59" t="str">
        <f>IF(OR($I621&lt;&gt;SottocategorieUscite[[#Headers],[Fuori Casa]],$I621&lt;&gt;SottocategorieUscite[[#Headers],[Varie Uscite]],$I621&lt;&gt;SottocategorieUscite[[#Headers],[Personali]],$I621&lt;&gt;SottocategorieUscite[[#Headers],[Lavoro]],$I621&lt;&gt;SottocategorieUscite[[#Headers],[Casa]],$I621&lt;&gt;SottocategorieUscite[[#Headers],[Utenze]],$I621&lt;&gt;SottocategorieUscite[[#Headers],[Business Uscite]],$I621&lt;&gt;SottocategorieUscite[[#Headers],[Banca]]),"","$ -")</f>
        <v/>
      </c>
      <c r="N621" s="59" t="str">
        <f>IF(OR(Data!$I621=SottocategorieEntrate[[#Headers],[Business Entrate]],Data!$I621=SottocategorieEntrate[[#Headers],[Varie Entrate]]),"$ -","")</f>
        <v/>
      </c>
      <c r="O621" s="59" t="str">
        <f>IF(OR(Data!$I621=SottocategorieEntrate[[#Headers],[Real Estate]],SottocategorieEntrate[[#Headers],[Other]]),"$ -","")</f>
        <v/>
      </c>
      <c r="P621" s="59" t="str">
        <f>IF(OR($I621&lt;&gt;SottocategorieEntrate[[#Headers],[Business Entrate]],$I621&lt;&gt;SottocategorieEntrate[[#Headers],[Varie Entrate]],$I621&lt;&gt;SottocategorieEntrate[[#Headers],[Real Estate]],$I621&lt;&gt;SottocategorieEntrate[[#Headers],[Other]]),"","$ -")</f>
        <v/>
      </c>
      <c r="Q621" s="59" t="str">
        <f>IF(Dati[[#This Row],[Categoria]]="Prelievo","€ -","")</f>
        <v/>
      </c>
      <c r="R621" s="244"/>
      <c r="S621" s="59" t="str">
        <f>IF(Dati[[#This Row],[Categoria]]="Savings",0,"")</f>
        <v/>
      </c>
      <c r="T621" s="59"/>
      <c r="U621" s="59"/>
      <c r="V621" s="59"/>
      <c r="W621" s="59"/>
      <c r="X621" s="59"/>
      <c r="Y621" s="59"/>
      <c r="Z621" s="59"/>
      <c r="AA621" s="59"/>
      <c r="AB621" s="59"/>
      <c r="AC621" s="59"/>
      <c r="AD621" s="59"/>
      <c r="AE621" s="59"/>
      <c r="AF621" s="59"/>
      <c r="AG621" s="59"/>
      <c r="AH621" s="59"/>
      <c r="AI621" s="59" t="str">
        <f>IF(SUM(Dati[[#This Row],[Inv. Business]:[Inv. Cryptocurrency]])=0," ",SUM(Dati[[#This Row],[Inv. Business]:[Inv. Cryptocurrency]]))</f>
        <v xml:space="preserve"> </v>
      </c>
      <c r="AJ621" s="59"/>
      <c r="AK621" s="59" t="str">
        <f>IF(SUM(Dati[[#This Row],[Inv. Gold]:[Mutuo]])=0," ",SUM(Dati[[#This Row],[Inv. Gold]:[Mutuo]]))</f>
        <v xml:space="preserve"> </v>
      </c>
      <c r="AL621" s="59"/>
      <c r="AM621" s="59"/>
    </row>
    <row r="622" spans="2:39" x14ac:dyDescent="0.35">
      <c r="B622">
        <f t="shared" si="25"/>
        <v>602</v>
      </c>
      <c r="C622" s="49">
        <f>C618+1</f>
        <v>45384</v>
      </c>
      <c r="D622" s="29">
        <f>DAY(Dati[[#This Row],[Data]])</f>
        <v>2</v>
      </c>
      <c r="E622" s="29" t="str">
        <f>IF(DAY(Data!$C$21:$C$1327)&gt;0,TEXT(Data!$C$21:$C$1327, "mmmm"),"")</f>
        <v>aprile</v>
      </c>
      <c r="F622" s="29" t="str">
        <f>IF(DAY(Data!$C$21:$C$1327)&gt;0,TEXT(Data!$C$21:$C$1327, "aaaa"),"")</f>
        <v>2024</v>
      </c>
      <c r="I622" t="str">
        <f>IF(OR(H622=$B$5,H622=$B$6,H622=$B$7,H622=$B$8,H622=$B$9,H622=$B$10,H622=$B$11,H622=$B$12,H622=$B$13,H622=$B$14),SottocategorieUscite[[#Headers],[Fuori Casa]],IF(OR(H622=$C$5,H622=$C$6,H622=$C$7,H622=$C$8,H622=$C$9,H622=$C$10,H622=$C$11,H622=$C$12,H622=$C$13,H622=$C$14),SottocategorieUscite[[#Headers],[Varie Uscite]],IF(OR(H622=$D$5,H622=$D$6,H622=$D$7,H622=$D$8,H622=$D$9,H622=$D$10,H622=$D$11,H622=$D$12,H622=$D$13,H622=$D$14),SottocategorieUscite[[#Headers],[Personali]],IF(OR(H622=$E$5,H622=$E$6,H622=$E$7,H622=$E$8,H622=$E$9,H622=$E$10,H622=$E$11,H622=$E$12,H622=$E$13,H622=$E$14),SottocategorieUscite[[#Headers],[Lavoro]],IF(OR(H622=$F$5,H622=$F$6,H622=$F$7,H622=$F$8,H622=$F$9,H622=$F$10,H622=$F$11,H622=$F$12,H622=$F$13,H622=$F$14),SottocategorieUscite[[#Headers],[Casa]],IF(OR(H622=$G$5,H622=$G$6,H622=$G$7,H622=$G$8,H622=$G$9,H622=$G$10,H622=$G$11,H622=$G$12,H622=$G$13,H622=$G$14),SottocategorieUscite[[#Headers],[Utenze]],IF(OR(H622=$H$5,H622=$H$6,H622=$H$7,H622=$H$8,H622=$H$9,H622=$H$10,H622=$H$11,H622=$H$12,H622=$H$13,H622=$H$14),SottocategorieUscite[[#Headers],[Business Uscite]],IF(OR(H622=$I$5,H622=$I$6,H622=$I$7,H622=$I$8,H622=$I$9,H622=$I$10,H622=$I$11,H622=$I$12,H622=$I$13,H622=$I$14),SottocategorieUscite[[#Headers],[Banca]],IF(OR(H622=K$5,H622=K$6,H622=K$7,H622=K$8,H622=K$9,H622=K$10,H622=K$11,H622=K$12,H622=K$13,H622=K$14),SottocategorieEntrate[[#Headers],[Business Entrate]],IF(OR(H622=L$5,H622=L$6,H622=L$7,H622=L$8,H622=L$9,H622=L$10,H622=L$11,H622=L$12,H622=L$13,H622=L$14),SottocategorieEntrate[[#Headers],[Varie Entrate]],IF(OR(H622=M$5,H622=M$6,H622=M$7,H622=M$8,H622=M$9,H622=M$10,H622=M$11,H622=M$12,H622=M$13,H622=M$14),SottocategorieEntrate[[#Headers],[Real Estate]],IF(OR(H622=N$5,H622=N$6,H622=N$7,H622=N$8,H622=N$9,H622=N$10,H622=N$11,H622=N$12,H622=N$13,H622=N$14),SottocategorieEntrate[[#Headers],[Other]],""))))))))))))</f>
        <v/>
      </c>
      <c r="J622" t="str">
        <f>IF(OR(Dati[[#This Row],[Categoria]]="Bollette",Dati[[#This Row],[Categoria]]="Conto &amp; Carte BNL",Dati[[#This Row],[Categoria]]="Prelievo",Dati[[#This Row],[Categoria]]="Affitto",Dati[[#This Row],[Categoria]]="BNL(Interessi Creditori)"),"Carta",IF(Dati[[#This Row],[Categoria]]&lt;&gt;0,"Cash",""))</f>
        <v/>
      </c>
      <c r="K622" s="59" t="str">
        <f>IF(OR(Data!$I622=SottocategorieUscite[[#Headers],[Fuori Casa]],Data!$I622=SottocategorieUscite[[#Headers],[Varie Uscite]],Data!$I622=SottocategorieUscite[[#Headers],[Personali]],Data!$I622=SottocategorieUscite[[#Headers],[Lavoro]]),"$ -","")</f>
        <v/>
      </c>
      <c r="L622" s="59" t="str">
        <f>IF(OR(Data!$I622=SottocategorieUscite[[#Headers],[Casa]],Data!$I622=SottocategorieUscite[[#Headers],[Utenze]],Data!$I622=SottocategorieUscite[[#Headers],[Business Uscite]],Data!$I622=SottocategorieUscite[[#Headers],[Banca]]),"$ -","")</f>
        <v/>
      </c>
      <c r="M622" s="59" t="str">
        <f>IF(OR($I622&lt;&gt;SottocategorieUscite[[#Headers],[Fuori Casa]],$I622&lt;&gt;SottocategorieUscite[[#Headers],[Varie Uscite]],$I622&lt;&gt;SottocategorieUscite[[#Headers],[Personali]],$I622&lt;&gt;SottocategorieUscite[[#Headers],[Lavoro]],$I622&lt;&gt;SottocategorieUscite[[#Headers],[Casa]],$I622&lt;&gt;SottocategorieUscite[[#Headers],[Utenze]],$I622&lt;&gt;SottocategorieUscite[[#Headers],[Business Uscite]],$I622&lt;&gt;SottocategorieUscite[[#Headers],[Banca]]),"","$ -")</f>
        <v/>
      </c>
      <c r="N622" s="59" t="str">
        <f>IF(OR(Data!$I622=SottocategorieEntrate[[#Headers],[Business Entrate]],Data!$I622=SottocategorieEntrate[[#Headers],[Varie Entrate]]),"$ -","")</f>
        <v/>
      </c>
      <c r="O622" s="59" t="str">
        <f>IF(OR(Data!$I622=SottocategorieEntrate[[#Headers],[Real Estate]],SottocategorieEntrate[[#Headers],[Other]]),"$ -","")</f>
        <v/>
      </c>
      <c r="P622" s="59" t="str">
        <f>IF(OR($I622&lt;&gt;SottocategorieEntrate[[#Headers],[Business Entrate]],$I622&lt;&gt;SottocategorieEntrate[[#Headers],[Varie Entrate]],$I622&lt;&gt;SottocategorieEntrate[[#Headers],[Real Estate]],$I622&lt;&gt;SottocategorieEntrate[[#Headers],[Other]]),"","$ -")</f>
        <v/>
      </c>
      <c r="Q622" s="59" t="str">
        <f>IF(Dati[[#This Row],[Categoria]]="Prelievo","€ -","")</f>
        <v/>
      </c>
      <c r="R622" s="244"/>
      <c r="S622" s="59" t="str">
        <f>IF(Dati[[#This Row],[Categoria]]="Savings",0,"")</f>
        <v/>
      </c>
      <c r="T622" s="59"/>
      <c r="U622" s="59"/>
      <c r="V622" s="59"/>
      <c r="W622" s="59"/>
      <c r="X622" s="59"/>
      <c r="Y622" s="59"/>
      <c r="Z622" s="59"/>
      <c r="AA622" s="59"/>
      <c r="AB622" s="59"/>
      <c r="AC622" s="59"/>
      <c r="AD622" s="59"/>
      <c r="AE622" s="59"/>
      <c r="AF622" s="59"/>
      <c r="AG622" s="59"/>
      <c r="AH622" s="59"/>
      <c r="AI622" s="59" t="str">
        <f>IF(SUM(Dati[[#This Row],[Inv. Business]:[Inv. Cryptocurrency]])=0," ",SUM(Dati[[#This Row],[Inv. Business]:[Inv. Cryptocurrency]]))</f>
        <v xml:space="preserve"> </v>
      </c>
      <c r="AJ622" s="59"/>
      <c r="AK622" s="59" t="str">
        <f>IF(SUM(Dati[[#This Row],[Inv. Gold]:[Mutuo]])=0," ",SUM(Dati[[#This Row],[Inv. Gold]:[Mutuo]]))</f>
        <v xml:space="preserve"> </v>
      </c>
      <c r="AL622" s="59"/>
      <c r="AM622" s="59"/>
    </row>
    <row r="623" spans="2:39" x14ac:dyDescent="0.35">
      <c r="B623">
        <f t="shared" si="25"/>
        <v>603</v>
      </c>
      <c r="C623" s="49">
        <f>C619+1</f>
        <v>45385</v>
      </c>
      <c r="D623" s="29">
        <f>DAY(Dati[[#This Row],[Data]])</f>
        <v>3</v>
      </c>
      <c r="E623" s="29" t="str">
        <f>IF(DAY(Data!$C$21:$C$1327)&gt;0,TEXT(Data!$C$21:$C$1327, "mmmm"),"")</f>
        <v>aprile</v>
      </c>
      <c r="F623" s="29" t="str">
        <f>IF(DAY(Data!$C$21:$C$1327)&gt;0,TEXT(Data!$C$21:$C$1327, "aaaa"),"")</f>
        <v>2024</v>
      </c>
      <c r="I623" t="str">
        <f>IF(OR(H623=$B$5,H623=$B$6,H623=$B$7,H623=$B$8,H623=$B$9,H623=$B$10,H623=$B$11,H623=$B$12,H623=$B$13,H623=$B$14),SottocategorieUscite[[#Headers],[Fuori Casa]],IF(OR(H623=$C$5,H623=$C$6,H623=$C$7,H623=$C$8,H623=$C$9,H623=$C$10,H623=$C$11,H623=$C$12,H623=$C$13,H623=$C$14),SottocategorieUscite[[#Headers],[Varie Uscite]],IF(OR(H623=$D$5,H623=$D$6,H623=$D$7,H623=$D$8,H623=$D$9,H623=$D$10,H623=$D$11,H623=$D$12,H623=$D$13,H623=$D$14),SottocategorieUscite[[#Headers],[Personali]],IF(OR(H623=$E$5,H623=$E$6,H623=$E$7,H623=$E$8,H623=$E$9,H623=$E$10,H623=$E$11,H623=$E$12,H623=$E$13,H623=$E$14),SottocategorieUscite[[#Headers],[Lavoro]],IF(OR(H623=$F$5,H623=$F$6,H623=$F$7,H623=$F$8,H623=$F$9,H623=$F$10,H623=$F$11,H623=$F$12,H623=$F$13,H623=$F$14),SottocategorieUscite[[#Headers],[Casa]],IF(OR(H623=$G$5,H623=$G$6,H623=$G$7,H623=$G$8,H623=$G$9,H623=$G$10,H623=$G$11,H623=$G$12,H623=$G$13,H623=$G$14),SottocategorieUscite[[#Headers],[Utenze]],IF(OR(H623=$H$5,H623=$H$6,H623=$H$7,H623=$H$8,H623=$H$9,H623=$H$10,H623=$H$11,H623=$H$12,H623=$H$13,H623=$H$14),SottocategorieUscite[[#Headers],[Business Uscite]],IF(OR(H623=$I$5,H623=$I$6,H623=$I$7,H623=$I$8,H623=$I$9,H623=$I$10,H623=$I$11,H623=$I$12,H623=$I$13,H623=$I$14),SottocategorieUscite[[#Headers],[Banca]],IF(OR(H623=K$5,H623=K$6,H623=K$7,H623=K$8,H623=K$9,H623=K$10,H623=K$11,H623=K$12,H623=K$13,H623=K$14),SottocategorieEntrate[[#Headers],[Business Entrate]],IF(OR(H623=L$5,H623=L$6,H623=L$7,H623=L$8,H623=L$9,H623=L$10,H623=L$11,H623=L$12,H623=L$13,H623=L$14),SottocategorieEntrate[[#Headers],[Varie Entrate]],IF(OR(H623=M$5,H623=M$6,H623=M$7,H623=M$8,H623=M$9,H623=M$10,H623=M$11,H623=M$12,H623=M$13,H623=M$14),SottocategorieEntrate[[#Headers],[Real Estate]],IF(OR(H623=N$5,H623=N$6,H623=N$7,H623=N$8,H623=N$9,H623=N$10,H623=N$11,H623=N$12,H623=N$13,H623=N$14),SottocategorieEntrate[[#Headers],[Other]],""))))))))))))</f>
        <v/>
      </c>
      <c r="J623" t="str">
        <f>IF(OR(Dati[[#This Row],[Categoria]]="Bollette",Dati[[#This Row],[Categoria]]="Conto &amp; Carte BNL",Dati[[#This Row],[Categoria]]="Prelievo",Dati[[#This Row],[Categoria]]="Affitto",Dati[[#This Row],[Categoria]]="BNL(Interessi Creditori)"),"Carta",IF(Dati[[#This Row],[Categoria]]&lt;&gt;0,"Cash",""))</f>
        <v/>
      </c>
      <c r="K623" s="59" t="str">
        <f>IF(OR(Data!$I623=SottocategorieUscite[[#Headers],[Fuori Casa]],Data!$I623=SottocategorieUscite[[#Headers],[Varie Uscite]],Data!$I623=SottocategorieUscite[[#Headers],[Personali]],Data!$I623=SottocategorieUscite[[#Headers],[Lavoro]]),"$ -","")</f>
        <v/>
      </c>
      <c r="L623" s="59" t="str">
        <f>IF(OR(Data!$I623=SottocategorieUscite[[#Headers],[Casa]],Data!$I623=SottocategorieUscite[[#Headers],[Utenze]],Data!$I623=SottocategorieUscite[[#Headers],[Business Uscite]],Data!$I623=SottocategorieUscite[[#Headers],[Banca]]),"$ -","")</f>
        <v/>
      </c>
      <c r="M623" s="59" t="str">
        <f>IF(OR($I623&lt;&gt;SottocategorieUscite[[#Headers],[Fuori Casa]],$I623&lt;&gt;SottocategorieUscite[[#Headers],[Varie Uscite]],$I623&lt;&gt;SottocategorieUscite[[#Headers],[Personali]],$I623&lt;&gt;SottocategorieUscite[[#Headers],[Lavoro]],$I623&lt;&gt;SottocategorieUscite[[#Headers],[Casa]],$I623&lt;&gt;SottocategorieUscite[[#Headers],[Utenze]],$I623&lt;&gt;SottocategorieUscite[[#Headers],[Business Uscite]],$I623&lt;&gt;SottocategorieUscite[[#Headers],[Banca]]),"","$ -")</f>
        <v/>
      </c>
      <c r="N623" s="59" t="str">
        <f>IF(OR(Data!$I623=SottocategorieEntrate[[#Headers],[Business Entrate]],Data!$I623=SottocategorieEntrate[[#Headers],[Varie Entrate]]),"$ -","")</f>
        <v/>
      </c>
      <c r="O623" s="59" t="str">
        <f>IF(OR(Data!$I623=SottocategorieEntrate[[#Headers],[Real Estate]],SottocategorieEntrate[[#Headers],[Other]]),"$ -","")</f>
        <v/>
      </c>
      <c r="P623" s="59" t="str">
        <f>IF(OR($I623&lt;&gt;SottocategorieEntrate[[#Headers],[Business Entrate]],$I623&lt;&gt;SottocategorieEntrate[[#Headers],[Varie Entrate]],$I623&lt;&gt;SottocategorieEntrate[[#Headers],[Real Estate]],$I623&lt;&gt;SottocategorieEntrate[[#Headers],[Other]]),"","$ -")</f>
        <v/>
      </c>
      <c r="Q623" s="59" t="str">
        <f>IF(Dati[[#This Row],[Categoria]]="Prelievo","€ -","")</f>
        <v/>
      </c>
      <c r="R623" s="244"/>
      <c r="S623" s="59" t="str">
        <f>IF(Dati[[#This Row],[Categoria]]="Savings",0,"")</f>
        <v/>
      </c>
      <c r="T623" s="59"/>
      <c r="U623" s="59"/>
      <c r="V623" s="59"/>
      <c r="W623" s="59"/>
      <c r="X623" s="59"/>
      <c r="Y623" s="59"/>
      <c r="Z623" s="59"/>
      <c r="AA623" s="59"/>
      <c r="AB623" s="59"/>
      <c r="AC623" s="59"/>
      <c r="AD623" s="59"/>
      <c r="AE623" s="59"/>
      <c r="AF623" s="59"/>
      <c r="AG623" s="59"/>
      <c r="AH623" s="59"/>
      <c r="AI623" s="59" t="str">
        <f>IF(SUM(Dati[[#This Row],[Inv. Business]:[Inv. Cryptocurrency]])=0," ",SUM(Dati[[#This Row],[Inv. Business]:[Inv. Cryptocurrency]]))</f>
        <v xml:space="preserve"> </v>
      </c>
      <c r="AJ623" s="59"/>
      <c r="AK623" s="59" t="str">
        <f>IF(SUM(Dati[[#This Row],[Inv. Gold]:[Mutuo]])=0," ",SUM(Dati[[#This Row],[Inv. Gold]:[Mutuo]]))</f>
        <v xml:space="preserve"> </v>
      </c>
      <c r="AL623" s="59"/>
      <c r="AM623" s="59"/>
    </row>
    <row r="624" spans="2:39" x14ac:dyDescent="0.35">
      <c r="B624">
        <f t="shared" si="25"/>
        <v>604</v>
      </c>
      <c r="C624" s="49">
        <f t="shared" si="24"/>
        <v>45386</v>
      </c>
      <c r="D624" s="29">
        <f>DAY(Dati[[#This Row],[Data]])</f>
        <v>4</v>
      </c>
      <c r="E624" s="29" t="str">
        <f>IF(DAY(Data!$C$21:$C$1327)&gt;0,TEXT(Data!$C$21:$C$1327, "mmmm"),"")</f>
        <v>aprile</v>
      </c>
      <c r="F624" s="29" t="str">
        <f>IF(DAY(Data!$C$21:$C$1327)&gt;0,TEXT(Data!$C$21:$C$1327, "aaaa"),"")</f>
        <v>2024</v>
      </c>
      <c r="I624" t="str">
        <f>IF(OR(H624=$B$5,H624=$B$6,H624=$B$7,H624=$B$8,H624=$B$9,H624=$B$10,H624=$B$11,H624=$B$12,H624=$B$13,H624=$B$14),SottocategorieUscite[[#Headers],[Fuori Casa]],IF(OR(H624=$C$5,H624=$C$6,H624=$C$7,H624=$C$8,H624=$C$9,H624=$C$10,H624=$C$11,H624=$C$12,H624=$C$13,H624=$C$14),SottocategorieUscite[[#Headers],[Varie Uscite]],IF(OR(H624=$D$5,H624=$D$6,H624=$D$7,H624=$D$8,H624=$D$9,H624=$D$10,H624=$D$11,H624=$D$12,H624=$D$13,H624=$D$14),SottocategorieUscite[[#Headers],[Personali]],IF(OR(H624=$E$5,H624=$E$6,H624=$E$7,H624=$E$8,H624=$E$9,H624=$E$10,H624=$E$11,H624=$E$12,H624=$E$13,H624=$E$14),SottocategorieUscite[[#Headers],[Lavoro]],IF(OR(H624=$F$5,H624=$F$6,H624=$F$7,H624=$F$8,H624=$F$9,H624=$F$10,H624=$F$11,H624=$F$12,H624=$F$13,H624=$F$14),SottocategorieUscite[[#Headers],[Casa]],IF(OR(H624=$G$5,H624=$G$6,H624=$G$7,H624=$G$8,H624=$G$9,H624=$G$10,H624=$G$11,H624=$G$12,H624=$G$13,H624=$G$14),SottocategorieUscite[[#Headers],[Utenze]],IF(OR(H624=$H$5,H624=$H$6,H624=$H$7,H624=$H$8,H624=$H$9,H624=$H$10,H624=$H$11,H624=$H$12,H624=$H$13,H624=$H$14),SottocategorieUscite[[#Headers],[Business Uscite]],IF(OR(H624=$I$5,H624=$I$6,H624=$I$7,H624=$I$8,H624=$I$9,H624=$I$10,H624=$I$11,H624=$I$12,H624=$I$13,H624=$I$14),SottocategorieUscite[[#Headers],[Banca]],IF(OR(H624=K$5,H624=K$6,H624=K$7,H624=K$8,H624=K$9,H624=K$10,H624=K$11,H624=K$12,H624=K$13,H624=K$14),SottocategorieEntrate[[#Headers],[Business Entrate]],IF(OR(H624=L$5,H624=L$6,H624=L$7,H624=L$8,H624=L$9,H624=L$10,H624=L$11,H624=L$12,H624=L$13,H624=L$14),SottocategorieEntrate[[#Headers],[Varie Entrate]],IF(OR(H624=M$5,H624=M$6,H624=M$7,H624=M$8,H624=M$9,H624=M$10,H624=M$11,H624=M$12,H624=M$13,H624=M$14),SottocategorieEntrate[[#Headers],[Real Estate]],IF(OR(H624=N$5,H624=N$6,H624=N$7,H624=N$8,H624=N$9,H624=N$10,H624=N$11,H624=N$12,H624=N$13,H624=N$14),SottocategorieEntrate[[#Headers],[Other]],""))))))))))))</f>
        <v/>
      </c>
      <c r="J624" t="str">
        <f>IF(OR(Dati[[#This Row],[Categoria]]="Bollette",Dati[[#This Row],[Categoria]]="Conto &amp; Carte BNL",Dati[[#This Row],[Categoria]]="Prelievo",Dati[[#This Row],[Categoria]]="Affitto",Dati[[#This Row],[Categoria]]="BNL(Interessi Creditori)"),"Carta",IF(Dati[[#This Row],[Categoria]]&lt;&gt;0,"Cash",""))</f>
        <v/>
      </c>
      <c r="K624" s="59" t="str">
        <f>IF(OR(Data!$I624=SottocategorieUscite[[#Headers],[Fuori Casa]],Data!$I624=SottocategorieUscite[[#Headers],[Varie Uscite]],Data!$I624=SottocategorieUscite[[#Headers],[Personali]],Data!$I624=SottocategorieUscite[[#Headers],[Lavoro]]),"$ -","")</f>
        <v/>
      </c>
      <c r="L624" s="59" t="str">
        <f>IF(OR(Data!$I624=SottocategorieUscite[[#Headers],[Casa]],Data!$I624=SottocategorieUscite[[#Headers],[Utenze]],Data!$I624=SottocategorieUscite[[#Headers],[Business Uscite]],Data!$I624=SottocategorieUscite[[#Headers],[Banca]]),"$ -","")</f>
        <v/>
      </c>
      <c r="M624" s="59" t="str">
        <f>IF(OR($I624&lt;&gt;SottocategorieUscite[[#Headers],[Fuori Casa]],$I624&lt;&gt;SottocategorieUscite[[#Headers],[Varie Uscite]],$I624&lt;&gt;SottocategorieUscite[[#Headers],[Personali]],$I624&lt;&gt;SottocategorieUscite[[#Headers],[Lavoro]],$I624&lt;&gt;SottocategorieUscite[[#Headers],[Casa]],$I624&lt;&gt;SottocategorieUscite[[#Headers],[Utenze]],$I624&lt;&gt;SottocategorieUscite[[#Headers],[Business Uscite]],$I624&lt;&gt;SottocategorieUscite[[#Headers],[Banca]]),"","$ -")</f>
        <v/>
      </c>
      <c r="N624" s="59" t="str">
        <f>IF(OR(Data!$I624=SottocategorieEntrate[[#Headers],[Business Entrate]],Data!$I624=SottocategorieEntrate[[#Headers],[Varie Entrate]]),"$ -","")</f>
        <v/>
      </c>
      <c r="O624" s="59" t="str">
        <f>IF(OR(Data!$I624=SottocategorieEntrate[[#Headers],[Real Estate]],SottocategorieEntrate[[#Headers],[Other]]),"$ -","")</f>
        <v/>
      </c>
      <c r="P624" s="59" t="str">
        <f>IF(OR($I624&lt;&gt;SottocategorieEntrate[[#Headers],[Business Entrate]],$I624&lt;&gt;SottocategorieEntrate[[#Headers],[Varie Entrate]],$I624&lt;&gt;SottocategorieEntrate[[#Headers],[Real Estate]],$I624&lt;&gt;SottocategorieEntrate[[#Headers],[Other]]),"","$ -")</f>
        <v/>
      </c>
      <c r="Q624" s="59" t="str">
        <f>IF(Dati[[#This Row],[Categoria]]="Prelievo","€ -","")</f>
        <v/>
      </c>
      <c r="R624" s="244"/>
      <c r="S624" s="59" t="str">
        <f>IF(Dati[[#This Row],[Categoria]]="Savings",0,"")</f>
        <v/>
      </c>
      <c r="T624" s="59"/>
      <c r="U624" s="59"/>
      <c r="V624" s="59"/>
      <c r="W624" s="59"/>
      <c r="X624" s="59"/>
      <c r="Y624" s="59"/>
      <c r="Z624" s="59"/>
      <c r="AA624" s="59"/>
      <c r="AB624" s="59"/>
      <c r="AC624" s="59"/>
      <c r="AD624" s="59"/>
      <c r="AE624" s="59"/>
      <c r="AF624" s="59"/>
      <c r="AG624" s="59"/>
      <c r="AH624" s="59"/>
      <c r="AI624" s="59" t="str">
        <f>IF(SUM(Dati[[#This Row],[Inv. Business]:[Inv. Cryptocurrency]])=0," ",SUM(Dati[[#This Row],[Inv. Business]:[Inv. Cryptocurrency]]))</f>
        <v xml:space="preserve"> </v>
      </c>
      <c r="AJ624" s="59"/>
      <c r="AK624" s="59" t="str">
        <f>IF(SUM(Dati[[#This Row],[Inv. Gold]:[Mutuo]])=0," ",SUM(Dati[[#This Row],[Inv. Gold]:[Mutuo]]))</f>
        <v xml:space="preserve"> </v>
      </c>
      <c r="AL624" s="59"/>
      <c r="AM624" s="59"/>
    </row>
    <row r="625" spans="2:39" x14ac:dyDescent="0.35">
      <c r="B625">
        <f t="shared" si="25"/>
        <v>605</v>
      </c>
      <c r="C625" s="49">
        <f t="shared" ref="C625:C708" si="27">C624+1</f>
        <v>45387</v>
      </c>
      <c r="D625" s="29">
        <f>DAY(Dati[[#This Row],[Data]])</f>
        <v>5</v>
      </c>
      <c r="E625" s="29" t="str">
        <f>IF(DAY(Data!$C$21:$C$1327)&gt;0,TEXT(Data!$C$21:$C$1327, "mmmm"),"")</f>
        <v>aprile</v>
      </c>
      <c r="F625" s="29" t="str">
        <f>IF(DAY(Data!$C$21:$C$1327)&gt;0,TEXT(Data!$C$21:$C$1327, "aaaa"),"")</f>
        <v>2024</v>
      </c>
      <c r="I625" t="str">
        <f>IF(OR(H625=$B$5,H625=$B$6,H625=$B$7,H625=$B$8,H625=$B$9,H625=$B$10,H625=$B$11,H625=$B$12,H625=$B$13,H625=$B$14),SottocategorieUscite[[#Headers],[Fuori Casa]],IF(OR(H625=$C$5,H625=$C$6,H625=$C$7,H625=$C$8,H625=$C$9,H625=$C$10,H625=$C$11,H625=$C$12,H625=$C$13,H625=$C$14),SottocategorieUscite[[#Headers],[Varie Uscite]],IF(OR(H625=$D$5,H625=$D$6,H625=$D$7,H625=$D$8,H625=$D$9,H625=$D$10,H625=$D$11,H625=$D$12,H625=$D$13,H625=$D$14),SottocategorieUscite[[#Headers],[Personali]],IF(OR(H625=$E$5,H625=$E$6,H625=$E$7,H625=$E$8,H625=$E$9,H625=$E$10,H625=$E$11,H625=$E$12,H625=$E$13,H625=$E$14),SottocategorieUscite[[#Headers],[Lavoro]],IF(OR(H625=$F$5,H625=$F$6,H625=$F$7,H625=$F$8,H625=$F$9,H625=$F$10,H625=$F$11,H625=$F$12,H625=$F$13,H625=$F$14),SottocategorieUscite[[#Headers],[Casa]],IF(OR(H625=$G$5,H625=$G$6,H625=$G$7,H625=$G$8,H625=$G$9,H625=$G$10,H625=$G$11,H625=$G$12,H625=$G$13,H625=$G$14),SottocategorieUscite[[#Headers],[Utenze]],IF(OR(H625=$H$5,H625=$H$6,H625=$H$7,H625=$H$8,H625=$H$9,H625=$H$10,H625=$H$11,H625=$H$12,H625=$H$13,H625=$H$14),SottocategorieUscite[[#Headers],[Business Uscite]],IF(OR(H625=$I$5,H625=$I$6,H625=$I$7,H625=$I$8,H625=$I$9,H625=$I$10,H625=$I$11,H625=$I$12,H625=$I$13,H625=$I$14),SottocategorieUscite[[#Headers],[Banca]],IF(OR(H625=K$5,H625=K$6,H625=K$7,H625=K$8,H625=K$9,H625=K$10,H625=K$11,H625=K$12,H625=K$13,H625=K$14),SottocategorieEntrate[[#Headers],[Business Entrate]],IF(OR(H625=L$5,H625=L$6,H625=L$7,H625=L$8,H625=L$9,H625=L$10,H625=L$11,H625=L$12,H625=L$13,H625=L$14),SottocategorieEntrate[[#Headers],[Varie Entrate]],IF(OR(H625=M$5,H625=M$6,H625=M$7,H625=M$8,H625=M$9,H625=M$10,H625=M$11,H625=M$12,H625=M$13,H625=M$14),SottocategorieEntrate[[#Headers],[Real Estate]],IF(OR(H625=N$5,H625=N$6,H625=N$7,H625=N$8,H625=N$9,H625=N$10,H625=N$11,H625=N$12,H625=N$13,H625=N$14),SottocategorieEntrate[[#Headers],[Other]],""))))))))))))</f>
        <v/>
      </c>
      <c r="J625" t="str">
        <f>IF(OR(Dati[[#This Row],[Categoria]]="Bollette",Dati[[#This Row],[Categoria]]="Conto &amp; Carte BNL",Dati[[#This Row],[Categoria]]="Prelievo",Dati[[#This Row],[Categoria]]="Affitto",Dati[[#This Row],[Categoria]]="BNL(Interessi Creditori)"),"Carta",IF(Dati[[#This Row],[Categoria]]&lt;&gt;0,"Cash",""))</f>
        <v/>
      </c>
      <c r="K625" s="59" t="str">
        <f>IF(OR(Data!$I625=SottocategorieUscite[[#Headers],[Fuori Casa]],Data!$I625=SottocategorieUscite[[#Headers],[Varie Uscite]],Data!$I625=SottocategorieUscite[[#Headers],[Personali]],Data!$I625=SottocategorieUscite[[#Headers],[Lavoro]]),"$ -","")</f>
        <v/>
      </c>
      <c r="L625" s="59" t="str">
        <f>IF(OR(Data!$I625=SottocategorieUscite[[#Headers],[Casa]],Data!$I625=SottocategorieUscite[[#Headers],[Utenze]],Data!$I625=SottocategorieUscite[[#Headers],[Business Uscite]],Data!$I625=SottocategorieUscite[[#Headers],[Banca]]),"$ -","")</f>
        <v/>
      </c>
      <c r="M625" s="59" t="str">
        <f>IF(OR($I625&lt;&gt;SottocategorieUscite[[#Headers],[Fuori Casa]],$I625&lt;&gt;SottocategorieUscite[[#Headers],[Varie Uscite]],$I625&lt;&gt;SottocategorieUscite[[#Headers],[Personali]],$I625&lt;&gt;SottocategorieUscite[[#Headers],[Lavoro]],$I625&lt;&gt;SottocategorieUscite[[#Headers],[Casa]],$I625&lt;&gt;SottocategorieUscite[[#Headers],[Utenze]],$I625&lt;&gt;SottocategorieUscite[[#Headers],[Business Uscite]],$I625&lt;&gt;SottocategorieUscite[[#Headers],[Banca]]),"","$ -")</f>
        <v/>
      </c>
      <c r="N625" s="59" t="str">
        <f>IF(OR(Data!$I625=SottocategorieEntrate[[#Headers],[Business Entrate]],Data!$I625=SottocategorieEntrate[[#Headers],[Varie Entrate]]),"$ -","")</f>
        <v/>
      </c>
      <c r="O625" s="59" t="str">
        <f>IF(OR(Data!$I625=SottocategorieEntrate[[#Headers],[Real Estate]],SottocategorieEntrate[[#Headers],[Other]]),"$ -","")</f>
        <v/>
      </c>
      <c r="P625" s="59" t="str">
        <f>IF(OR($I625&lt;&gt;SottocategorieEntrate[[#Headers],[Business Entrate]],$I625&lt;&gt;SottocategorieEntrate[[#Headers],[Varie Entrate]],$I625&lt;&gt;SottocategorieEntrate[[#Headers],[Real Estate]],$I625&lt;&gt;SottocategorieEntrate[[#Headers],[Other]]),"","$ -")</f>
        <v/>
      </c>
      <c r="Q625" s="59" t="str">
        <f>IF(Dati[[#This Row],[Categoria]]="Prelievo","€ -","")</f>
        <v/>
      </c>
      <c r="R625" s="244"/>
      <c r="S625" s="59" t="str">
        <f>IF(Dati[[#This Row],[Categoria]]="Savings",0,"")</f>
        <v/>
      </c>
      <c r="T625" s="59"/>
      <c r="U625" s="59"/>
      <c r="V625" s="59"/>
      <c r="W625" s="59"/>
      <c r="X625" s="59"/>
      <c r="Y625" s="59"/>
      <c r="Z625" s="59"/>
      <c r="AA625" s="59"/>
      <c r="AB625" s="59"/>
      <c r="AC625" s="59"/>
      <c r="AD625" s="59"/>
      <c r="AE625" s="59"/>
      <c r="AF625" s="59"/>
      <c r="AG625" s="59"/>
      <c r="AH625" s="59"/>
      <c r="AI625" s="59" t="str">
        <f>IF(SUM(Dati[[#This Row],[Inv. Business]:[Inv. Cryptocurrency]])=0," ",SUM(Dati[[#This Row],[Inv. Business]:[Inv. Cryptocurrency]]))</f>
        <v xml:space="preserve"> </v>
      </c>
      <c r="AJ625" s="59"/>
      <c r="AK625" s="59" t="str">
        <f>IF(SUM(Dati[[#This Row],[Inv. Gold]:[Mutuo]])=0," ",SUM(Dati[[#This Row],[Inv. Gold]:[Mutuo]]))</f>
        <v xml:space="preserve"> </v>
      </c>
      <c r="AL625" s="59"/>
      <c r="AM625" s="59"/>
    </row>
    <row r="626" spans="2:39" x14ac:dyDescent="0.35">
      <c r="B626">
        <f t="shared" si="25"/>
        <v>606</v>
      </c>
      <c r="C626" s="49">
        <f t="shared" si="27"/>
        <v>45388</v>
      </c>
      <c r="D626" s="29">
        <f>DAY(Dati[[#This Row],[Data]])</f>
        <v>6</v>
      </c>
      <c r="E626" s="29" t="str">
        <f>IF(DAY(Data!$C$21:$C$1327)&gt;0,TEXT(Data!$C$21:$C$1327, "mmmm"),"")</f>
        <v>aprile</v>
      </c>
      <c r="F626" s="29" t="str">
        <f>IF(DAY(Data!$C$21:$C$1327)&gt;0,TEXT(Data!$C$21:$C$1327, "aaaa"),"")</f>
        <v>2024</v>
      </c>
      <c r="I626" t="str">
        <f>IF(OR(H626=$B$5,H626=$B$6,H626=$B$7,H626=$B$8,H626=$B$9,H626=$B$10,H626=$B$11,H626=$B$12,H626=$B$13,H626=$B$14),SottocategorieUscite[[#Headers],[Fuori Casa]],IF(OR(H626=$C$5,H626=$C$6,H626=$C$7,H626=$C$8,H626=$C$9,H626=$C$10,H626=$C$11,H626=$C$12,H626=$C$13,H626=$C$14),SottocategorieUscite[[#Headers],[Varie Uscite]],IF(OR(H626=$D$5,H626=$D$6,H626=$D$7,H626=$D$8,H626=$D$9,H626=$D$10,H626=$D$11,H626=$D$12,H626=$D$13,H626=$D$14),SottocategorieUscite[[#Headers],[Personali]],IF(OR(H626=$E$5,H626=$E$6,H626=$E$7,H626=$E$8,H626=$E$9,H626=$E$10,H626=$E$11,H626=$E$12,H626=$E$13,H626=$E$14),SottocategorieUscite[[#Headers],[Lavoro]],IF(OR(H626=$F$5,H626=$F$6,H626=$F$7,H626=$F$8,H626=$F$9,H626=$F$10,H626=$F$11,H626=$F$12,H626=$F$13,H626=$F$14),SottocategorieUscite[[#Headers],[Casa]],IF(OR(H626=$G$5,H626=$G$6,H626=$G$7,H626=$G$8,H626=$G$9,H626=$G$10,H626=$G$11,H626=$G$12,H626=$G$13,H626=$G$14),SottocategorieUscite[[#Headers],[Utenze]],IF(OR(H626=$H$5,H626=$H$6,H626=$H$7,H626=$H$8,H626=$H$9,H626=$H$10,H626=$H$11,H626=$H$12,H626=$H$13,H626=$H$14),SottocategorieUscite[[#Headers],[Business Uscite]],IF(OR(H626=$I$5,H626=$I$6,H626=$I$7,H626=$I$8,H626=$I$9,H626=$I$10,H626=$I$11,H626=$I$12,H626=$I$13,H626=$I$14),SottocategorieUscite[[#Headers],[Banca]],IF(OR(H626=K$5,H626=K$6,H626=K$7,H626=K$8,H626=K$9,H626=K$10,H626=K$11,H626=K$12,H626=K$13,H626=K$14),SottocategorieEntrate[[#Headers],[Business Entrate]],IF(OR(H626=L$5,H626=L$6,H626=L$7,H626=L$8,H626=L$9,H626=L$10,H626=L$11,H626=L$12,H626=L$13,H626=L$14),SottocategorieEntrate[[#Headers],[Varie Entrate]],IF(OR(H626=M$5,H626=M$6,H626=M$7,H626=M$8,H626=M$9,H626=M$10,H626=M$11,H626=M$12,H626=M$13,H626=M$14),SottocategorieEntrate[[#Headers],[Real Estate]],IF(OR(H626=N$5,H626=N$6,H626=N$7,H626=N$8,H626=N$9,H626=N$10,H626=N$11,H626=N$12,H626=N$13,H626=N$14),SottocategorieEntrate[[#Headers],[Other]],""))))))))))))</f>
        <v/>
      </c>
      <c r="J626" t="str">
        <f>IF(OR(Dati[[#This Row],[Categoria]]="Bollette",Dati[[#This Row],[Categoria]]="Conto &amp; Carte BNL",Dati[[#This Row],[Categoria]]="Prelievo",Dati[[#This Row],[Categoria]]="Affitto",Dati[[#This Row],[Categoria]]="BNL(Interessi Creditori)"),"Carta",IF(Dati[[#This Row],[Categoria]]&lt;&gt;0,"Cash",""))</f>
        <v/>
      </c>
      <c r="K626" s="59" t="str">
        <f>IF(OR(Data!$I626=SottocategorieUscite[[#Headers],[Fuori Casa]],Data!$I626=SottocategorieUscite[[#Headers],[Varie Uscite]],Data!$I626=SottocategorieUscite[[#Headers],[Personali]],Data!$I626=SottocategorieUscite[[#Headers],[Lavoro]]),"$ -","")</f>
        <v/>
      </c>
      <c r="L626" s="59" t="str">
        <f>IF(OR(Data!$I626=SottocategorieUscite[[#Headers],[Casa]],Data!$I626=SottocategorieUscite[[#Headers],[Utenze]],Data!$I626=SottocategorieUscite[[#Headers],[Business Uscite]],Data!$I626=SottocategorieUscite[[#Headers],[Banca]]),"$ -","")</f>
        <v/>
      </c>
      <c r="M626" s="59" t="str">
        <f>IF(OR($I626&lt;&gt;SottocategorieUscite[[#Headers],[Fuori Casa]],$I626&lt;&gt;SottocategorieUscite[[#Headers],[Varie Uscite]],$I626&lt;&gt;SottocategorieUscite[[#Headers],[Personali]],$I626&lt;&gt;SottocategorieUscite[[#Headers],[Lavoro]],$I626&lt;&gt;SottocategorieUscite[[#Headers],[Casa]],$I626&lt;&gt;SottocategorieUscite[[#Headers],[Utenze]],$I626&lt;&gt;SottocategorieUscite[[#Headers],[Business Uscite]],$I626&lt;&gt;SottocategorieUscite[[#Headers],[Banca]]),"","$ -")</f>
        <v/>
      </c>
      <c r="N626" s="59" t="str">
        <f>IF(OR(Data!$I626=SottocategorieEntrate[[#Headers],[Business Entrate]],Data!$I626=SottocategorieEntrate[[#Headers],[Varie Entrate]]),"$ -","")</f>
        <v/>
      </c>
      <c r="O626" s="59" t="str">
        <f>IF(OR(Data!$I626=SottocategorieEntrate[[#Headers],[Real Estate]],SottocategorieEntrate[[#Headers],[Other]]),"$ -","")</f>
        <v/>
      </c>
      <c r="P626" s="59" t="str">
        <f>IF(OR($I626&lt;&gt;SottocategorieEntrate[[#Headers],[Business Entrate]],$I626&lt;&gt;SottocategorieEntrate[[#Headers],[Varie Entrate]],$I626&lt;&gt;SottocategorieEntrate[[#Headers],[Real Estate]],$I626&lt;&gt;SottocategorieEntrate[[#Headers],[Other]]),"","$ -")</f>
        <v/>
      </c>
      <c r="Q626" s="59" t="str">
        <f>IF(Dati[[#This Row],[Categoria]]="Prelievo","€ -","")</f>
        <v/>
      </c>
      <c r="R626" s="244"/>
      <c r="S626" s="59" t="str">
        <f>IF(Dati[[#This Row],[Categoria]]="Savings",0,"")</f>
        <v/>
      </c>
      <c r="T626" s="59"/>
      <c r="U626" s="59"/>
      <c r="V626" s="59"/>
      <c r="W626" s="59"/>
      <c r="X626" s="59"/>
      <c r="Y626" s="59"/>
      <c r="Z626" s="59"/>
      <c r="AA626" s="59"/>
      <c r="AB626" s="59"/>
      <c r="AC626" s="59"/>
      <c r="AD626" s="59"/>
      <c r="AE626" s="59"/>
      <c r="AF626" s="59"/>
      <c r="AG626" s="59"/>
      <c r="AH626" s="59"/>
      <c r="AI626" s="59" t="str">
        <f>IF(SUM(Dati[[#This Row],[Inv. Business]:[Inv. Cryptocurrency]])=0," ",SUM(Dati[[#This Row],[Inv. Business]:[Inv. Cryptocurrency]]))</f>
        <v xml:space="preserve"> </v>
      </c>
      <c r="AJ626" s="59"/>
      <c r="AK626" s="59" t="str">
        <f>IF(SUM(Dati[[#This Row],[Inv. Gold]:[Mutuo]])=0," ",SUM(Dati[[#This Row],[Inv. Gold]:[Mutuo]]))</f>
        <v xml:space="preserve"> </v>
      </c>
      <c r="AL626" s="59"/>
      <c r="AM626" s="59"/>
    </row>
    <row r="627" spans="2:39" x14ac:dyDescent="0.35">
      <c r="B627">
        <f t="shared" si="25"/>
        <v>607</v>
      </c>
      <c r="C627" s="49">
        <f t="shared" si="27"/>
        <v>45389</v>
      </c>
      <c r="D627" s="29">
        <f>DAY(Dati[[#This Row],[Data]])</f>
        <v>7</v>
      </c>
      <c r="E627" s="29" t="str">
        <f>IF(DAY(Data!$C$21:$C$1327)&gt;0,TEXT(Data!$C$21:$C$1327, "mmmm"),"")</f>
        <v>aprile</v>
      </c>
      <c r="F627" s="29" t="str">
        <f>IF(DAY(Data!$C$21:$C$1327)&gt;0,TEXT(Data!$C$21:$C$1327, "aaaa"),"")</f>
        <v>2024</v>
      </c>
      <c r="I627" t="str">
        <f>IF(OR(H627=$B$5,H627=$B$6,H627=$B$7,H627=$B$8,H627=$B$9,H627=$B$10,H627=$B$11,H627=$B$12,H627=$B$13,H627=$B$14),SottocategorieUscite[[#Headers],[Fuori Casa]],IF(OR(H627=$C$5,H627=$C$6,H627=$C$7,H627=$C$8,H627=$C$9,H627=$C$10,H627=$C$11,H627=$C$12,H627=$C$13,H627=$C$14),SottocategorieUscite[[#Headers],[Varie Uscite]],IF(OR(H627=$D$5,H627=$D$6,H627=$D$7,H627=$D$8,H627=$D$9,H627=$D$10,H627=$D$11,H627=$D$12,H627=$D$13,H627=$D$14),SottocategorieUscite[[#Headers],[Personali]],IF(OR(H627=$E$5,H627=$E$6,H627=$E$7,H627=$E$8,H627=$E$9,H627=$E$10,H627=$E$11,H627=$E$12,H627=$E$13,H627=$E$14),SottocategorieUscite[[#Headers],[Lavoro]],IF(OR(H627=$F$5,H627=$F$6,H627=$F$7,H627=$F$8,H627=$F$9,H627=$F$10,H627=$F$11,H627=$F$12,H627=$F$13,H627=$F$14),SottocategorieUscite[[#Headers],[Casa]],IF(OR(H627=$G$5,H627=$G$6,H627=$G$7,H627=$G$8,H627=$G$9,H627=$G$10,H627=$G$11,H627=$G$12,H627=$G$13,H627=$G$14),SottocategorieUscite[[#Headers],[Utenze]],IF(OR(H627=$H$5,H627=$H$6,H627=$H$7,H627=$H$8,H627=$H$9,H627=$H$10,H627=$H$11,H627=$H$12,H627=$H$13,H627=$H$14),SottocategorieUscite[[#Headers],[Business Uscite]],IF(OR(H627=$I$5,H627=$I$6,H627=$I$7,H627=$I$8,H627=$I$9,H627=$I$10,H627=$I$11,H627=$I$12,H627=$I$13,H627=$I$14),SottocategorieUscite[[#Headers],[Banca]],IF(OR(H627=K$5,H627=K$6,H627=K$7,H627=K$8,H627=K$9,H627=K$10,H627=K$11,H627=K$12,H627=K$13,H627=K$14),SottocategorieEntrate[[#Headers],[Business Entrate]],IF(OR(H627=L$5,H627=L$6,H627=L$7,H627=L$8,H627=L$9,H627=L$10,H627=L$11,H627=L$12,H627=L$13,H627=L$14),SottocategorieEntrate[[#Headers],[Varie Entrate]],IF(OR(H627=M$5,H627=M$6,H627=M$7,H627=M$8,H627=M$9,H627=M$10,H627=M$11,H627=M$12,H627=M$13,H627=M$14),SottocategorieEntrate[[#Headers],[Real Estate]],IF(OR(H627=N$5,H627=N$6,H627=N$7,H627=N$8,H627=N$9,H627=N$10,H627=N$11,H627=N$12,H627=N$13,H627=N$14),SottocategorieEntrate[[#Headers],[Other]],""))))))))))))</f>
        <v/>
      </c>
      <c r="J627" t="str">
        <f>IF(OR(Dati[[#This Row],[Categoria]]="Bollette",Dati[[#This Row],[Categoria]]="Conto &amp; Carte BNL",Dati[[#This Row],[Categoria]]="Prelievo",Dati[[#This Row],[Categoria]]="Affitto",Dati[[#This Row],[Categoria]]="BNL(Interessi Creditori)"),"Carta",IF(Dati[[#This Row],[Categoria]]&lt;&gt;0,"Cash",""))</f>
        <v/>
      </c>
      <c r="K627" s="59" t="str">
        <f>IF(OR(Data!$I627=SottocategorieUscite[[#Headers],[Fuori Casa]],Data!$I627=SottocategorieUscite[[#Headers],[Varie Uscite]],Data!$I627=SottocategorieUscite[[#Headers],[Personali]],Data!$I627=SottocategorieUscite[[#Headers],[Lavoro]]),"$ -","")</f>
        <v/>
      </c>
      <c r="L627" s="59" t="str">
        <f>IF(OR(Data!$I627=SottocategorieUscite[[#Headers],[Casa]],Data!$I627=SottocategorieUscite[[#Headers],[Utenze]],Data!$I627=SottocategorieUscite[[#Headers],[Business Uscite]],Data!$I627=SottocategorieUscite[[#Headers],[Banca]]),"$ -","")</f>
        <v/>
      </c>
      <c r="M627" s="59" t="str">
        <f>IF(OR($I627&lt;&gt;SottocategorieUscite[[#Headers],[Fuori Casa]],$I627&lt;&gt;SottocategorieUscite[[#Headers],[Varie Uscite]],$I627&lt;&gt;SottocategorieUscite[[#Headers],[Personali]],$I627&lt;&gt;SottocategorieUscite[[#Headers],[Lavoro]],$I627&lt;&gt;SottocategorieUscite[[#Headers],[Casa]],$I627&lt;&gt;SottocategorieUscite[[#Headers],[Utenze]],$I627&lt;&gt;SottocategorieUscite[[#Headers],[Business Uscite]],$I627&lt;&gt;SottocategorieUscite[[#Headers],[Banca]]),"","$ -")</f>
        <v/>
      </c>
      <c r="N627" s="59" t="str">
        <f>IF(OR(Data!$I627=SottocategorieEntrate[[#Headers],[Business Entrate]],Data!$I627=SottocategorieEntrate[[#Headers],[Varie Entrate]]),"$ -","")</f>
        <v/>
      </c>
      <c r="O627" s="59" t="str">
        <f>IF(OR(Data!$I627=SottocategorieEntrate[[#Headers],[Real Estate]],SottocategorieEntrate[[#Headers],[Other]]),"$ -","")</f>
        <v/>
      </c>
      <c r="P627" s="59" t="str">
        <f>IF(OR($I627&lt;&gt;SottocategorieEntrate[[#Headers],[Business Entrate]],$I627&lt;&gt;SottocategorieEntrate[[#Headers],[Varie Entrate]],$I627&lt;&gt;SottocategorieEntrate[[#Headers],[Real Estate]],$I627&lt;&gt;SottocategorieEntrate[[#Headers],[Other]]),"","$ -")</f>
        <v/>
      </c>
      <c r="Q627" s="59" t="str">
        <f>IF(Dati[[#This Row],[Categoria]]="Prelievo","€ -","")</f>
        <v/>
      </c>
      <c r="R627" s="244"/>
      <c r="S627" s="59" t="str">
        <f>IF(Dati[[#This Row],[Categoria]]="Savings",0,"")</f>
        <v/>
      </c>
      <c r="T627" s="59"/>
      <c r="U627" s="59"/>
      <c r="V627" s="59"/>
      <c r="W627" s="59"/>
      <c r="X627" s="59"/>
      <c r="Y627" s="59"/>
      <c r="Z627" s="59"/>
      <c r="AA627" s="59"/>
      <c r="AB627" s="59"/>
      <c r="AC627" s="59"/>
      <c r="AD627" s="59"/>
      <c r="AE627" s="59"/>
      <c r="AF627" s="59"/>
      <c r="AG627" s="59"/>
      <c r="AH627" s="59"/>
      <c r="AI627" s="59" t="str">
        <f>IF(SUM(Dati[[#This Row],[Inv. Business]:[Inv. Cryptocurrency]])=0," ",SUM(Dati[[#This Row],[Inv. Business]:[Inv. Cryptocurrency]]))</f>
        <v xml:space="preserve"> </v>
      </c>
      <c r="AJ627" s="59"/>
      <c r="AK627" s="59"/>
      <c r="AL627" s="59"/>
      <c r="AM627" s="59"/>
    </row>
    <row r="628" spans="2:39" x14ac:dyDescent="0.35">
      <c r="B628">
        <f t="shared" si="25"/>
        <v>608</v>
      </c>
      <c r="C628" s="49">
        <f>C626+1</f>
        <v>45389</v>
      </c>
      <c r="D628" s="29">
        <f>DAY(Dati[[#This Row],[Data]])</f>
        <v>7</v>
      </c>
      <c r="E628" s="29" t="str">
        <f>IF(DAY(Data!$C$21:$C$1327)&gt;0,TEXT(Data!$C$21:$C$1327, "mmmm"),"")</f>
        <v>aprile</v>
      </c>
      <c r="F628" s="29" t="str">
        <f>IF(DAY(Data!$C$21:$C$1327)&gt;0,TEXT(Data!$C$21:$C$1327, "aaaa"),"")</f>
        <v>2024</v>
      </c>
      <c r="I628" t="str">
        <f>IF(OR(H628=$B$5,H628=$B$6,H628=$B$7,H628=$B$8,H628=$B$9,H628=$B$10,H628=$B$11,H628=$B$12,H628=$B$13,H628=$B$14),SottocategorieUscite[[#Headers],[Fuori Casa]],IF(OR(H628=$C$5,H628=$C$6,H628=$C$7,H628=$C$8,H628=$C$9,H628=$C$10,H628=$C$11,H628=$C$12,H628=$C$13,H628=$C$14),SottocategorieUscite[[#Headers],[Varie Uscite]],IF(OR(H628=$D$5,H628=$D$6,H628=$D$7,H628=$D$8,H628=$D$9,H628=$D$10,H628=$D$11,H628=$D$12,H628=$D$13,H628=$D$14),SottocategorieUscite[[#Headers],[Personali]],IF(OR(H628=$E$5,H628=$E$6,H628=$E$7,H628=$E$8,H628=$E$9,H628=$E$10,H628=$E$11,H628=$E$12,H628=$E$13,H628=$E$14),SottocategorieUscite[[#Headers],[Lavoro]],IF(OR(H628=$F$5,H628=$F$6,H628=$F$7,H628=$F$8,H628=$F$9,H628=$F$10,H628=$F$11,H628=$F$12,H628=$F$13,H628=$F$14),SottocategorieUscite[[#Headers],[Casa]],IF(OR(H628=$G$5,H628=$G$6,H628=$G$7,H628=$G$8,H628=$G$9,H628=$G$10,H628=$G$11,H628=$G$12,H628=$G$13,H628=$G$14),SottocategorieUscite[[#Headers],[Utenze]],IF(OR(H628=$H$5,H628=$H$6,H628=$H$7,H628=$H$8,H628=$H$9,H628=$H$10,H628=$H$11,H628=$H$12,H628=$H$13,H628=$H$14),SottocategorieUscite[[#Headers],[Business Uscite]],IF(OR(H628=$I$5,H628=$I$6,H628=$I$7,H628=$I$8,H628=$I$9,H628=$I$10,H628=$I$11,H628=$I$12,H628=$I$13,H628=$I$14),SottocategorieUscite[[#Headers],[Banca]],IF(OR(H628=K$5,H628=K$6,H628=K$7,H628=K$8,H628=K$9,H628=K$10,H628=K$11,H628=K$12,H628=K$13,H628=K$14),SottocategorieEntrate[[#Headers],[Business Entrate]],IF(OR(H628=L$5,H628=L$6,H628=L$7,H628=L$8,H628=L$9,H628=L$10,H628=L$11,H628=L$12,H628=L$13,H628=L$14),SottocategorieEntrate[[#Headers],[Varie Entrate]],IF(OR(H628=M$5,H628=M$6,H628=M$7,H628=M$8,H628=M$9,H628=M$10,H628=M$11,H628=M$12,H628=M$13,H628=M$14),SottocategorieEntrate[[#Headers],[Real Estate]],IF(OR(H628=N$5,H628=N$6,H628=N$7,H628=N$8,H628=N$9,H628=N$10,H628=N$11,H628=N$12,H628=N$13,H628=N$14),SottocategorieEntrate[[#Headers],[Other]],""))))))))))))</f>
        <v/>
      </c>
      <c r="J628" t="str">
        <f>IF(OR(Dati[[#This Row],[Categoria]]="Bollette",Dati[[#This Row],[Categoria]]="Conto &amp; Carte BNL",Dati[[#This Row],[Categoria]]="Prelievo",Dati[[#This Row],[Categoria]]="Affitto",Dati[[#This Row],[Categoria]]="BNL(Interessi Creditori)"),"Carta",IF(Dati[[#This Row],[Categoria]]&lt;&gt;0,"Cash",""))</f>
        <v/>
      </c>
      <c r="K628" s="59" t="str">
        <f>IF(OR(Data!$I628=SottocategorieUscite[[#Headers],[Fuori Casa]],Data!$I628=SottocategorieUscite[[#Headers],[Varie Uscite]],Data!$I628=SottocategorieUscite[[#Headers],[Personali]],Data!$I628=SottocategorieUscite[[#Headers],[Lavoro]]),"$ -","")</f>
        <v/>
      </c>
      <c r="L628" s="59" t="str">
        <f>IF(OR(Data!$I628=SottocategorieUscite[[#Headers],[Casa]],Data!$I628=SottocategorieUscite[[#Headers],[Utenze]],Data!$I628=SottocategorieUscite[[#Headers],[Business Uscite]],Data!$I628=SottocategorieUscite[[#Headers],[Banca]]),"$ -","")</f>
        <v/>
      </c>
      <c r="M628" s="59" t="str">
        <f>IF(OR($I628&lt;&gt;SottocategorieUscite[[#Headers],[Fuori Casa]],$I628&lt;&gt;SottocategorieUscite[[#Headers],[Varie Uscite]],$I628&lt;&gt;SottocategorieUscite[[#Headers],[Personali]],$I628&lt;&gt;SottocategorieUscite[[#Headers],[Lavoro]],$I628&lt;&gt;SottocategorieUscite[[#Headers],[Casa]],$I628&lt;&gt;SottocategorieUscite[[#Headers],[Utenze]],$I628&lt;&gt;SottocategorieUscite[[#Headers],[Business Uscite]],$I628&lt;&gt;SottocategorieUscite[[#Headers],[Banca]]),"","$ -")</f>
        <v/>
      </c>
      <c r="N628" s="59" t="str">
        <f>IF(OR(Data!$I628=SottocategorieEntrate[[#Headers],[Business Entrate]],Data!$I628=SottocategorieEntrate[[#Headers],[Varie Entrate]]),"$ -","")</f>
        <v/>
      </c>
      <c r="O628" s="59" t="str">
        <f>IF(OR(Data!$I628=SottocategorieEntrate[[#Headers],[Real Estate]],SottocategorieEntrate[[#Headers],[Other]]),"$ -","")</f>
        <v/>
      </c>
      <c r="P628" s="59" t="str">
        <f>IF(OR($I628&lt;&gt;SottocategorieEntrate[[#Headers],[Business Entrate]],$I628&lt;&gt;SottocategorieEntrate[[#Headers],[Varie Entrate]],$I628&lt;&gt;SottocategorieEntrate[[#Headers],[Real Estate]],$I628&lt;&gt;SottocategorieEntrate[[#Headers],[Other]]),"","$ -")</f>
        <v/>
      </c>
      <c r="Q628" s="59" t="str">
        <f>IF(Dati[[#This Row],[Categoria]]="Prelievo","€ -","")</f>
        <v/>
      </c>
      <c r="R628" s="244"/>
      <c r="S628" s="59" t="str">
        <f>IF(Dati[[#This Row],[Categoria]]="Savings",0,"")</f>
        <v/>
      </c>
      <c r="T628" s="59"/>
      <c r="U628" s="59"/>
      <c r="V628" s="59"/>
      <c r="W628" s="59"/>
      <c r="X628" s="59"/>
      <c r="Y628" s="59"/>
      <c r="Z628" s="59"/>
      <c r="AA628" s="59"/>
      <c r="AB628" s="59"/>
      <c r="AC628" s="59"/>
      <c r="AD628" s="59"/>
      <c r="AE628" s="59"/>
      <c r="AF628" s="59"/>
      <c r="AG628" s="59"/>
      <c r="AH628" s="59"/>
      <c r="AI628" s="59" t="str">
        <f>IF(SUM(Dati[[#This Row],[Inv. Business]:[Inv. Cryptocurrency]])=0," ",SUM(Dati[[#This Row],[Inv. Business]:[Inv. Cryptocurrency]]))</f>
        <v xml:space="preserve"> </v>
      </c>
      <c r="AJ628" s="59"/>
      <c r="AK628" s="59"/>
      <c r="AL628" s="59"/>
      <c r="AM628" s="59"/>
    </row>
    <row r="629" spans="2:39" x14ac:dyDescent="0.35">
      <c r="B629">
        <f t="shared" si="25"/>
        <v>609</v>
      </c>
      <c r="C629" s="49">
        <f>C627+1</f>
        <v>45390</v>
      </c>
      <c r="D629" s="29">
        <f>DAY(Dati[[#This Row],[Data]])</f>
        <v>8</v>
      </c>
      <c r="E629" s="29" t="str">
        <f>IF(DAY(Data!$C$21:$C$1327)&gt;0,TEXT(Data!$C$21:$C$1327, "mmmm"),"")</f>
        <v>aprile</v>
      </c>
      <c r="F629" s="29" t="str">
        <f>IF(DAY(Data!$C$21:$C$1327)&gt;0,TEXT(Data!$C$21:$C$1327, "aaaa"),"")</f>
        <v>2024</v>
      </c>
      <c r="I629" t="str">
        <f>IF(OR(H629=$B$5,H629=$B$6,H629=$B$7,H629=$B$8,H629=$B$9,H629=$B$10,H629=$B$11,H629=$B$12,H629=$B$13,H629=$B$14),SottocategorieUscite[[#Headers],[Fuori Casa]],IF(OR(H629=$C$5,H629=$C$6,H629=$C$7,H629=$C$8,H629=$C$9,H629=$C$10,H629=$C$11,H629=$C$12,H629=$C$13,H629=$C$14),SottocategorieUscite[[#Headers],[Varie Uscite]],IF(OR(H629=$D$5,H629=$D$6,H629=$D$7,H629=$D$8,H629=$D$9,H629=$D$10,H629=$D$11,H629=$D$12,H629=$D$13,H629=$D$14),SottocategorieUscite[[#Headers],[Personali]],IF(OR(H629=$E$5,H629=$E$6,H629=$E$7,H629=$E$8,H629=$E$9,H629=$E$10,H629=$E$11,H629=$E$12,H629=$E$13,H629=$E$14),SottocategorieUscite[[#Headers],[Lavoro]],IF(OR(H629=$F$5,H629=$F$6,H629=$F$7,H629=$F$8,H629=$F$9,H629=$F$10,H629=$F$11,H629=$F$12,H629=$F$13,H629=$F$14),SottocategorieUscite[[#Headers],[Casa]],IF(OR(H629=$G$5,H629=$G$6,H629=$G$7,H629=$G$8,H629=$G$9,H629=$G$10,H629=$G$11,H629=$G$12,H629=$G$13,H629=$G$14),SottocategorieUscite[[#Headers],[Utenze]],IF(OR(H629=$H$5,H629=$H$6,H629=$H$7,H629=$H$8,H629=$H$9,H629=$H$10,H629=$H$11,H629=$H$12,H629=$H$13,H629=$H$14),SottocategorieUscite[[#Headers],[Business Uscite]],IF(OR(H629=$I$5,H629=$I$6,H629=$I$7,H629=$I$8,H629=$I$9,H629=$I$10,H629=$I$11,H629=$I$12,H629=$I$13,H629=$I$14),SottocategorieUscite[[#Headers],[Banca]],IF(OR(H629=K$5,H629=K$6,H629=K$7,H629=K$8,H629=K$9,H629=K$10,H629=K$11,H629=K$12,H629=K$13,H629=K$14),SottocategorieEntrate[[#Headers],[Business Entrate]],IF(OR(H629=L$5,H629=L$6,H629=L$7,H629=L$8,H629=L$9,H629=L$10,H629=L$11,H629=L$12,H629=L$13,H629=L$14),SottocategorieEntrate[[#Headers],[Varie Entrate]],IF(OR(H629=M$5,H629=M$6,H629=M$7,H629=M$8,H629=M$9,H629=M$10,H629=M$11,H629=M$12,H629=M$13,H629=M$14),SottocategorieEntrate[[#Headers],[Real Estate]],IF(OR(H629=N$5,H629=N$6,H629=N$7,H629=N$8,H629=N$9,H629=N$10,H629=N$11,H629=N$12,H629=N$13,H629=N$14),SottocategorieEntrate[[#Headers],[Other]],""))))))))))))</f>
        <v/>
      </c>
      <c r="J629" t="str">
        <f>IF(OR(Dati[[#This Row],[Categoria]]="Bollette",Dati[[#This Row],[Categoria]]="Conto &amp; Carte BNL",Dati[[#This Row],[Categoria]]="Prelievo",Dati[[#This Row],[Categoria]]="Affitto",Dati[[#This Row],[Categoria]]="BNL(Interessi Creditori)"),"Carta",IF(Dati[[#This Row],[Categoria]]&lt;&gt;0,"Cash",""))</f>
        <v/>
      </c>
      <c r="K629" s="59" t="str">
        <f>IF(OR(Data!$I629=SottocategorieUscite[[#Headers],[Fuori Casa]],Data!$I629=SottocategorieUscite[[#Headers],[Varie Uscite]],Data!$I629=SottocategorieUscite[[#Headers],[Personali]],Data!$I629=SottocategorieUscite[[#Headers],[Lavoro]]),"$ -","")</f>
        <v/>
      </c>
      <c r="L629" s="59" t="str">
        <f>IF(OR(Data!$I629=SottocategorieUscite[[#Headers],[Casa]],Data!$I629=SottocategorieUscite[[#Headers],[Utenze]],Data!$I629=SottocategorieUscite[[#Headers],[Business Uscite]],Data!$I629=SottocategorieUscite[[#Headers],[Banca]]),"$ -","")</f>
        <v/>
      </c>
      <c r="M629" s="59" t="str">
        <f>IF(OR($I629&lt;&gt;SottocategorieUscite[[#Headers],[Fuori Casa]],$I629&lt;&gt;SottocategorieUscite[[#Headers],[Varie Uscite]],$I629&lt;&gt;SottocategorieUscite[[#Headers],[Personali]],$I629&lt;&gt;SottocategorieUscite[[#Headers],[Lavoro]],$I629&lt;&gt;SottocategorieUscite[[#Headers],[Casa]],$I629&lt;&gt;SottocategorieUscite[[#Headers],[Utenze]],$I629&lt;&gt;SottocategorieUscite[[#Headers],[Business Uscite]],$I629&lt;&gt;SottocategorieUscite[[#Headers],[Banca]]),"","$ -")</f>
        <v/>
      </c>
      <c r="N629" s="59" t="str">
        <f>IF(OR(Data!$I629=SottocategorieEntrate[[#Headers],[Business Entrate]],Data!$I629=SottocategorieEntrate[[#Headers],[Varie Entrate]]),"$ -","")</f>
        <v/>
      </c>
      <c r="O629" s="59" t="str">
        <f>IF(OR(Data!$I629=SottocategorieEntrate[[#Headers],[Real Estate]],SottocategorieEntrate[[#Headers],[Other]]),"$ -","")</f>
        <v/>
      </c>
      <c r="P629" s="59" t="str">
        <f>IF(OR($I629&lt;&gt;SottocategorieEntrate[[#Headers],[Business Entrate]],$I629&lt;&gt;SottocategorieEntrate[[#Headers],[Varie Entrate]],$I629&lt;&gt;SottocategorieEntrate[[#Headers],[Real Estate]],$I629&lt;&gt;SottocategorieEntrate[[#Headers],[Other]]),"","$ -")</f>
        <v/>
      </c>
      <c r="Q629" s="59" t="str">
        <f>IF(Dati[[#This Row],[Categoria]]="Prelievo","€ -","")</f>
        <v/>
      </c>
      <c r="R629" s="244"/>
      <c r="S629" s="59" t="str">
        <f>IF(Dati[[#This Row],[Categoria]]="Savings",0,"")</f>
        <v/>
      </c>
      <c r="T629" s="59"/>
      <c r="U629" s="59"/>
      <c r="V629" s="59"/>
      <c r="W629" s="59"/>
      <c r="X629" s="59"/>
      <c r="Y629" s="59"/>
      <c r="Z629" s="59"/>
      <c r="AA629" s="59"/>
      <c r="AB629" s="59"/>
      <c r="AC629" s="59"/>
      <c r="AD629" s="59"/>
      <c r="AE629" s="59"/>
      <c r="AF629" s="59"/>
      <c r="AG629" s="59"/>
      <c r="AH629" s="59"/>
      <c r="AI629" s="59" t="str">
        <f>IF(SUM(Dati[[#This Row],[Inv. Business]:[Inv. Cryptocurrency]])=0," ",SUM(Dati[[#This Row],[Inv. Business]:[Inv. Cryptocurrency]]))</f>
        <v xml:space="preserve"> </v>
      </c>
      <c r="AJ629" s="59"/>
      <c r="AK629" s="59"/>
      <c r="AL629" s="59"/>
      <c r="AM629" s="59"/>
    </row>
    <row r="630" spans="2:39" x14ac:dyDescent="0.35">
      <c r="B630">
        <f t="shared" si="25"/>
        <v>610</v>
      </c>
      <c r="C630" s="49">
        <f t="shared" si="27"/>
        <v>45391</v>
      </c>
      <c r="D630" s="29">
        <f>DAY(Dati[[#This Row],[Data]])</f>
        <v>9</v>
      </c>
      <c r="E630" s="29" t="str">
        <f>IF(DAY(Data!$C$21:$C$1327)&gt;0,TEXT(Data!$C$21:$C$1327, "mmmm"),"")</f>
        <v>aprile</v>
      </c>
      <c r="F630" s="29" t="str">
        <f>IF(DAY(Data!$C$21:$C$1327)&gt;0,TEXT(Data!$C$21:$C$1327, "aaaa"),"")</f>
        <v>2024</v>
      </c>
      <c r="I630" t="str">
        <f>IF(OR(H630=$B$5,H630=$B$6,H630=$B$7,H630=$B$8,H630=$B$9,H630=$B$10,H630=$B$11,H630=$B$12,H630=$B$13,H630=$B$14),SottocategorieUscite[[#Headers],[Fuori Casa]],IF(OR(H630=$C$5,H630=$C$6,H630=$C$7,H630=$C$8,H630=$C$9,H630=$C$10,H630=$C$11,H630=$C$12,H630=$C$13,H630=$C$14),SottocategorieUscite[[#Headers],[Varie Uscite]],IF(OR(H630=$D$5,H630=$D$6,H630=$D$7,H630=$D$8,H630=$D$9,H630=$D$10,H630=$D$11,H630=$D$12,H630=$D$13,H630=$D$14),SottocategorieUscite[[#Headers],[Personali]],IF(OR(H630=$E$5,H630=$E$6,H630=$E$7,H630=$E$8,H630=$E$9,H630=$E$10,H630=$E$11,H630=$E$12,H630=$E$13,H630=$E$14),SottocategorieUscite[[#Headers],[Lavoro]],IF(OR(H630=$F$5,H630=$F$6,H630=$F$7,H630=$F$8,H630=$F$9,H630=$F$10,H630=$F$11,H630=$F$12,H630=$F$13,H630=$F$14),SottocategorieUscite[[#Headers],[Casa]],IF(OR(H630=$G$5,H630=$G$6,H630=$G$7,H630=$G$8,H630=$G$9,H630=$G$10,H630=$G$11,H630=$G$12,H630=$G$13,H630=$G$14),SottocategorieUscite[[#Headers],[Utenze]],IF(OR(H630=$H$5,H630=$H$6,H630=$H$7,H630=$H$8,H630=$H$9,H630=$H$10,H630=$H$11,H630=$H$12,H630=$H$13,H630=$H$14),SottocategorieUscite[[#Headers],[Business Uscite]],IF(OR(H630=$I$5,H630=$I$6,H630=$I$7,H630=$I$8,H630=$I$9,H630=$I$10,H630=$I$11,H630=$I$12,H630=$I$13,H630=$I$14),SottocategorieUscite[[#Headers],[Banca]],IF(OR(H630=K$5,H630=K$6,H630=K$7,H630=K$8,H630=K$9,H630=K$10,H630=K$11,H630=K$12,H630=K$13,H630=K$14),SottocategorieEntrate[[#Headers],[Business Entrate]],IF(OR(H630=L$5,H630=L$6,H630=L$7,H630=L$8,H630=L$9,H630=L$10,H630=L$11,H630=L$12,H630=L$13,H630=L$14),SottocategorieEntrate[[#Headers],[Varie Entrate]],IF(OR(H630=M$5,H630=M$6,H630=M$7,H630=M$8,H630=M$9,H630=M$10,H630=M$11,H630=M$12,H630=M$13,H630=M$14),SottocategorieEntrate[[#Headers],[Real Estate]],IF(OR(H630=N$5,H630=N$6,H630=N$7,H630=N$8,H630=N$9,H630=N$10,H630=N$11,H630=N$12,H630=N$13,H630=N$14),SottocategorieEntrate[[#Headers],[Other]],""))))))))))))</f>
        <v/>
      </c>
      <c r="J630" t="str">
        <f>IF(OR(Dati[[#This Row],[Categoria]]="Bollette",Dati[[#This Row],[Categoria]]="Conto &amp; Carte BNL",Dati[[#This Row],[Categoria]]="Prelievo",Dati[[#This Row],[Categoria]]="Affitto",Dati[[#This Row],[Categoria]]="BNL(Interessi Creditori)"),"Carta",IF(Dati[[#This Row],[Categoria]]&lt;&gt;0,"Cash",""))</f>
        <v/>
      </c>
      <c r="K630" s="59" t="str">
        <f>IF(OR(Data!$I630=SottocategorieUscite[[#Headers],[Fuori Casa]],Data!$I630=SottocategorieUscite[[#Headers],[Varie Uscite]],Data!$I630=SottocategorieUscite[[#Headers],[Personali]],Data!$I630=SottocategorieUscite[[#Headers],[Lavoro]]),"$ -","")</f>
        <v/>
      </c>
      <c r="L630" s="59" t="str">
        <f>IF(OR(Data!$I630=SottocategorieUscite[[#Headers],[Casa]],Data!$I630=SottocategorieUscite[[#Headers],[Utenze]],Data!$I630=SottocategorieUscite[[#Headers],[Business Uscite]],Data!$I630=SottocategorieUscite[[#Headers],[Banca]]),"$ -","")</f>
        <v/>
      </c>
      <c r="M630" s="59" t="str">
        <f>IF(OR($I630&lt;&gt;SottocategorieUscite[[#Headers],[Fuori Casa]],$I630&lt;&gt;SottocategorieUscite[[#Headers],[Varie Uscite]],$I630&lt;&gt;SottocategorieUscite[[#Headers],[Personali]],$I630&lt;&gt;SottocategorieUscite[[#Headers],[Lavoro]],$I630&lt;&gt;SottocategorieUscite[[#Headers],[Casa]],$I630&lt;&gt;SottocategorieUscite[[#Headers],[Utenze]],$I630&lt;&gt;SottocategorieUscite[[#Headers],[Business Uscite]],$I630&lt;&gt;SottocategorieUscite[[#Headers],[Banca]]),"","$ -")</f>
        <v/>
      </c>
      <c r="N630" s="59" t="str">
        <f>IF(OR(Data!$I630=SottocategorieEntrate[[#Headers],[Business Entrate]],Data!$I630=SottocategorieEntrate[[#Headers],[Varie Entrate]]),"$ -","")</f>
        <v/>
      </c>
      <c r="O630" s="59" t="str">
        <f>IF(OR(Data!$I630=SottocategorieEntrate[[#Headers],[Real Estate]],SottocategorieEntrate[[#Headers],[Other]]),"$ -","")</f>
        <v/>
      </c>
      <c r="P630" s="59" t="str">
        <f>IF(OR($I630&lt;&gt;SottocategorieEntrate[[#Headers],[Business Entrate]],$I630&lt;&gt;SottocategorieEntrate[[#Headers],[Varie Entrate]],$I630&lt;&gt;SottocategorieEntrate[[#Headers],[Real Estate]],$I630&lt;&gt;SottocategorieEntrate[[#Headers],[Other]]),"","$ -")</f>
        <v/>
      </c>
      <c r="Q630" s="59" t="str">
        <f>IF(Dati[[#This Row],[Categoria]]="Prelievo","€ -","")</f>
        <v/>
      </c>
      <c r="R630" s="244"/>
      <c r="S630" s="59" t="str">
        <f>IF(Dati[[#This Row],[Categoria]]="Savings",0,"")</f>
        <v/>
      </c>
      <c r="T630" s="59"/>
      <c r="U630" s="59"/>
      <c r="V630" s="59"/>
      <c r="W630" s="59"/>
      <c r="X630" s="59"/>
      <c r="Y630" s="59"/>
      <c r="Z630" s="59"/>
      <c r="AA630" s="59"/>
      <c r="AB630" s="59"/>
      <c r="AC630" s="59"/>
      <c r="AD630" s="59"/>
      <c r="AE630" s="59"/>
      <c r="AF630" s="59"/>
      <c r="AG630" s="59"/>
      <c r="AH630" s="59"/>
      <c r="AI630" s="59" t="str">
        <f>IF(SUM(Dati[[#This Row],[Inv. Business]:[Inv. Cryptocurrency]])=0," ",SUM(Dati[[#This Row],[Inv. Business]:[Inv. Cryptocurrency]]))</f>
        <v xml:space="preserve"> </v>
      </c>
      <c r="AJ630" s="59"/>
      <c r="AK630" s="59"/>
      <c r="AL630" s="59"/>
      <c r="AM630" s="59"/>
    </row>
    <row r="631" spans="2:39" x14ac:dyDescent="0.35">
      <c r="B631">
        <f t="shared" si="25"/>
        <v>611</v>
      </c>
      <c r="C631" s="49">
        <f t="shared" si="27"/>
        <v>45392</v>
      </c>
      <c r="D631" s="29">
        <f>DAY(Dati[[#This Row],[Data]])</f>
        <v>10</v>
      </c>
      <c r="E631" s="29" t="str">
        <f>IF(DAY(Data!$C$21:$C$1327)&gt;0,TEXT(Data!$C$21:$C$1327, "mmmm"),"")</f>
        <v>aprile</v>
      </c>
      <c r="F631" s="29" t="str">
        <f>IF(DAY(Data!$C$21:$C$1327)&gt;0,TEXT(Data!$C$21:$C$1327, "aaaa"),"")</f>
        <v>2024</v>
      </c>
      <c r="I631" t="str">
        <f>IF(OR(H631=$B$5,H631=$B$6,H631=$B$7,H631=$B$8,H631=$B$9,H631=$B$10,H631=$B$11,H631=$B$12,H631=$B$13,H631=$B$14),SottocategorieUscite[[#Headers],[Fuori Casa]],IF(OR(H631=$C$5,H631=$C$6,H631=$C$7,H631=$C$8,H631=$C$9,H631=$C$10,H631=$C$11,H631=$C$12,H631=$C$13,H631=$C$14),SottocategorieUscite[[#Headers],[Varie Uscite]],IF(OR(H631=$D$5,H631=$D$6,H631=$D$7,H631=$D$8,H631=$D$9,H631=$D$10,H631=$D$11,H631=$D$12,H631=$D$13,H631=$D$14),SottocategorieUscite[[#Headers],[Personali]],IF(OR(H631=$E$5,H631=$E$6,H631=$E$7,H631=$E$8,H631=$E$9,H631=$E$10,H631=$E$11,H631=$E$12,H631=$E$13,H631=$E$14),SottocategorieUscite[[#Headers],[Lavoro]],IF(OR(H631=$F$5,H631=$F$6,H631=$F$7,H631=$F$8,H631=$F$9,H631=$F$10,H631=$F$11,H631=$F$12,H631=$F$13,H631=$F$14),SottocategorieUscite[[#Headers],[Casa]],IF(OR(H631=$G$5,H631=$G$6,H631=$G$7,H631=$G$8,H631=$G$9,H631=$G$10,H631=$G$11,H631=$G$12,H631=$G$13,H631=$G$14),SottocategorieUscite[[#Headers],[Utenze]],IF(OR(H631=$H$5,H631=$H$6,H631=$H$7,H631=$H$8,H631=$H$9,H631=$H$10,H631=$H$11,H631=$H$12,H631=$H$13,H631=$H$14),SottocategorieUscite[[#Headers],[Business Uscite]],IF(OR(H631=$I$5,H631=$I$6,H631=$I$7,H631=$I$8,H631=$I$9,H631=$I$10,H631=$I$11,H631=$I$12,H631=$I$13,H631=$I$14),SottocategorieUscite[[#Headers],[Banca]],IF(OR(H631=K$5,H631=K$6,H631=K$7,H631=K$8,H631=K$9,H631=K$10,H631=K$11,H631=K$12,H631=K$13,H631=K$14),SottocategorieEntrate[[#Headers],[Business Entrate]],IF(OR(H631=L$5,H631=L$6,H631=L$7,H631=L$8,H631=L$9,H631=L$10,H631=L$11,H631=L$12,H631=L$13,H631=L$14),SottocategorieEntrate[[#Headers],[Varie Entrate]],IF(OR(H631=M$5,H631=M$6,H631=M$7,H631=M$8,H631=M$9,H631=M$10,H631=M$11,H631=M$12,H631=M$13,H631=M$14),SottocategorieEntrate[[#Headers],[Real Estate]],IF(OR(H631=N$5,H631=N$6,H631=N$7,H631=N$8,H631=N$9,H631=N$10,H631=N$11,H631=N$12,H631=N$13,H631=N$14),SottocategorieEntrate[[#Headers],[Other]],""))))))))))))</f>
        <v/>
      </c>
      <c r="J631" t="str">
        <f>IF(OR(Dati[[#This Row],[Categoria]]="Bollette",Dati[[#This Row],[Categoria]]="Conto &amp; Carte BNL",Dati[[#This Row],[Categoria]]="Prelievo",Dati[[#This Row],[Categoria]]="Affitto",Dati[[#This Row],[Categoria]]="BNL(Interessi Creditori)"),"Carta",IF(Dati[[#This Row],[Categoria]]&lt;&gt;0,"Cash",""))</f>
        <v/>
      </c>
      <c r="K631" s="59" t="str">
        <f>IF(OR(Data!$I631=SottocategorieUscite[[#Headers],[Fuori Casa]],Data!$I631=SottocategorieUscite[[#Headers],[Varie Uscite]],Data!$I631=SottocategorieUscite[[#Headers],[Personali]],Data!$I631=SottocategorieUscite[[#Headers],[Lavoro]]),"$ -","")</f>
        <v/>
      </c>
      <c r="L631" s="59" t="str">
        <f>IF(OR(Data!$I631=SottocategorieUscite[[#Headers],[Casa]],Data!$I631=SottocategorieUscite[[#Headers],[Utenze]],Data!$I631=SottocategorieUscite[[#Headers],[Business Uscite]],Data!$I631=SottocategorieUscite[[#Headers],[Banca]]),"$ -","")</f>
        <v/>
      </c>
      <c r="M631" s="59" t="str">
        <f>IF(OR($I631&lt;&gt;SottocategorieUscite[[#Headers],[Fuori Casa]],$I631&lt;&gt;SottocategorieUscite[[#Headers],[Varie Uscite]],$I631&lt;&gt;SottocategorieUscite[[#Headers],[Personali]],$I631&lt;&gt;SottocategorieUscite[[#Headers],[Lavoro]],$I631&lt;&gt;SottocategorieUscite[[#Headers],[Casa]],$I631&lt;&gt;SottocategorieUscite[[#Headers],[Utenze]],$I631&lt;&gt;SottocategorieUscite[[#Headers],[Business Uscite]],$I631&lt;&gt;SottocategorieUscite[[#Headers],[Banca]]),"","$ -")</f>
        <v/>
      </c>
      <c r="N631" s="59" t="str">
        <f>IF(OR(Data!$I631=SottocategorieEntrate[[#Headers],[Business Entrate]],Data!$I631=SottocategorieEntrate[[#Headers],[Varie Entrate]]),"$ -","")</f>
        <v/>
      </c>
      <c r="O631" s="59" t="str">
        <f>IF(OR(Data!$I631=SottocategorieEntrate[[#Headers],[Real Estate]],SottocategorieEntrate[[#Headers],[Other]]),"$ -","")</f>
        <v/>
      </c>
      <c r="P631" s="59" t="str">
        <f>IF(OR($I631&lt;&gt;SottocategorieEntrate[[#Headers],[Business Entrate]],$I631&lt;&gt;SottocategorieEntrate[[#Headers],[Varie Entrate]],$I631&lt;&gt;SottocategorieEntrate[[#Headers],[Real Estate]],$I631&lt;&gt;SottocategorieEntrate[[#Headers],[Other]]),"","$ -")</f>
        <v/>
      </c>
      <c r="Q631" s="59" t="str">
        <f>IF(Dati[[#This Row],[Categoria]]="Prelievo","€ -","")</f>
        <v/>
      </c>
      <c r="R631" s="244"/>
      <c r="S631" s="59" t="str">
        <f>IF(Dati[[#This Row],[Categoria]]="Savings",0,"")</f>
        <v/>
      </c>
      <c r="T631" s="59"/>
      <c r="U631" s="59"/>
      <c r="V631" s="59"/>
      <c r="W631" s="59"/>
      <c r="X631" s="59"/>
      <c r="Y631" s="59"/>
      <c r="Z631" s="59"/>
      <c r="AA631" s="59"/>
      <c r="AB631" s="59"/>
      <c r="AC631" s="59"/>
      <c r="AD631" s="59"/>
      <c r="AE631" s="59"/>
      <c r="AF631" s="59"/>
      <c r="AG631" s="59"/>
      <c r="AH631" s="59"/>
      <c r="AI631" s="59" t="str">
        <f>IF(SUM(Dati[[#This Row],[Inv. Business]:[Inv. Cryptocurrency]])=0," ",SUM(Dati[[#This Row],[Inv. Business]:[Inv. Cryptocurrency]]))</f>
        <v xml:space="preserve"> </v>
      </c>
      <c r="AJ631" s="59"/>
      <c r="AK631" s="59"/>
      <c r="AL631" s="59"/>
      <c r="AM631" s="59"/>
    </row>
    <row r="632" spans="2:39" x14ac:dyDescent="0.35">
      <c r="B632">
        <f t="shared" si="25"/>
        <v>612</v>
      </c>
      <c r="C632" s="49">
        <f>C630+1</f>
        <v>45392</v>
      </c>
      <c r="D632" s="29">
        <f>DAY(Dati[[#This Row],[Data]])</f>
        <v>10</v>
      </c>
      <c r="E632" s="29" t="str">
        <f>IF(DAY(Data!$C$21:$C$1327)&gt;0,TEXT(Data!$C$21:$C$1327, "mmmm"),"")</f>
        <v>aprile</v>
      </c>
      <c r="F632" s="29" t="str">
        <f>IF(DAY(Data!$C$21:$C$1327)&gt;0,TEXT(Data!$C$21:$C$1327, "aaaa"),"")</f>
        <v>2024</v>
      </c>
      <c r="I632" t="str">
        <f>IF(OR(H632=$B$5,H632=$B$6,H632=$B$7,H632=$B$8,H632=$B$9,H632=$B$10,H632=$B$11,H632=$B$12,H632=$B$13,H632=$B$14),SottocategorieUscite[[#Headers],[Fuori Casa]],IF(OR(H632=$C$5,H632=$C$6,H632=$C$7,H632=$C$8,H632=$C$9,H632=$C$10,H632=$C$11,H632=$C$12,H632=$C$13,H632=$C$14),SottocategorieUscite[[#Headers],[Varie Uscite]],IF(OR(H632=$D$5,H632=$D$6,H632=$D$7,H632=$D$8,H632=$D$9,H632=$D$10,H632=$D$11,H632=$D$12,H632=$D$13,H632=$D$14),SottocategorieUscite[[#Headers],[Personali]],IF(OR(H632=$E$5,H632=$E$6,H632=$E$7,H632=$E$8,H632=$E$9,H632=$E$10,H632=$E$11,H632=$E$12,H632=$E$13,H632=$E$14),SottocategorieUscite[[#Headers],[Lavoro]],IF(OR(H632=$F$5,H632=$F$6,H632=$F$7,H632=$F$8,H632=$F$9,H632=$F$10,H632=$F$11,H632=$F$12,H632=$F$13,H632=$F$14),SottocategorieUscite[[#Headers],[Casa]],IF(OR(H632=$G$5,H632=$G$6,H632=$G$7,H632=$G$8,H632=$G$9,H632=$G$10,H632=$G$11,H632=$G$12,H632=$G$13,H632=$G$14),SottocategorieUscite[[#Headers],[Utenze]],IF(OR(H632=$H$5,H632=$H$6,H632=$H$7,H632=$H$8,H632=$H$9,H632=$H$10,H632=$H$11,H632=$H$12,H632=$H$13,H632=$H$14),SottocategorieUscite[[#Headers],[Business Uscite]],IF(OR(H632=$I$5,H632=$I$6,H632=$I$7,H632=$I$8,H632=$I$9,H632=$I$10,H632=$I$11,H632=$I$12,H632=$I$13,H632=$I$14),SottocategorieUscite[[#Headers],[Banca]],IF(OR(H632=K$5,H632=K$6,H632=K$7,H632=K$8,H632=K$9,H632=K$10,H632=K$11,H632=K$12,H632=K$13,H632=K$14),SottocategorieEntrate[[#Headers],[Business Entrate]],IF(OR(H632=L$5,H632=L$6,H632=L$7,H632=L$8,H632=L$9,H632=L$10,H632=L$11,H632=L$12,H632=L$13,H632=L$14),SottocategorieEntrate[[#Headers],[Varie Entrate]],IF(OR(H632=M$5,H632=M$6,H632=M$7,H632=M$8,H632=M$9,H632=M$10,H632=M$11,H632=M$12,H632=M$13,H632=M$14),SottocategorieEntrate[[#Headers],[Real Estate]],IF(OR(H632=N$5,H632=N$6,H632=N$7,H632=N$8,H632=N$9,H632=N$10,H632=N$11,H632=N$12,H632=N$13,H632=N$14),SottocategorieEntrate[[#Headers],[Other]],""))))))))))))</f>
        <v/>
      </c>
      <c r="J632" t="str">
        <f>IF(OR(Dati[[#This Row],[Categoria]]="Bollette",Dati[[#This Row],[Categoria]]="Conto &amp; Carte BNL",Dati[[#This Row],[Categoria]]="Prelievo",Dati[[#This Row],[Categoria]]="Affitto",Dati[[#This Row],[Categoria]]="BNL(Interessi Creditori)"),"Carta",IF(Dati[[#This Row],[Categoria]]&lt;&gt;0,"Cash",""))</f>
        <v/>
      </c>
      <c r="K632" s="59" t="str">
        <f>IF(OR(Data!$I632=SottocategorieUscite[[#Headers],[Fuori Casa]],Data!$I632=SottocategorieUscite[[#Headers],[Varie Uscite]],Data!$I632=SottocategorieUscite[[#Headers],[Personali]],Data!$I632=SottocategorieUscite[[#Headers],[Lavoro]]),"$ -","")</f>
        <v/>
      </c>
      <c r="L632" s="59" t="str">
        <f>IF(OR(Data!$I632=SottocategorieUscite[[#Headers],[Casa]],Data!$I632=SottocategorieUscite[[#Headers],[Utenze]],Data!$I632=SottocategorieUscite[[#Headers],[Business Uscite]],Data!$I632=SottocategorieUscite[[#Headers],[Banca]]),"$ -","")</f>
        <v/>
      </c>
      <c r="M632" s="59" t="str">
        <f>IF(OR($I632&lt;&gt;SottocategorieUscite[[#Headers],[Fuori Casa]],$I632&lt;&gt;SottocategorieUscite[[#Headers],[Varie Uscite]],$I632&lt;&gt;SottocategorieUscite[[#Headers],[Personali]],$I632&lt;&gt;SottocategorieUscite[[#Headers],[Lavoro]],$I632&lt;&gt;SottocategorieUscite[[#Headers],[Casa]],$I632&lt;&gt;SottocategorieUscite[[#Headers],[Utenze]],$I632&lt;&gt;SottocategorieUscite[[#Headers],[Business Uscite]],$I632&lt;&gt;SottocategorieUscite[[#Headers],[Banca]]),"","$ -")</f>
        <v/>
      </c>
      <c r="N632" s="59" t="str">
        <f>IF(OR(Data!$I632=SottocategorieEntrate[[#Headers],[Business Entrate]],Data!$I632=SottocategorieEntrate[[#Headers],[Varie Entrate]]),"$ -","")</f>
        <v/>
      </c>
      <c r="O632" s="59" t="str">
        <f>IF(OR(Data!$I632=SottocategorieEntrate[[#Headers],[Real Estate]],SottocategorieEntrate[[#Headers],[Other]]),"$ -","")</f>
        <v/>
      </c>
      <c r="P632" s="59" t="str">
        <f>IF(OR($I632&lt;&gt;SottocategorieEntrate[[#Headers],[Business Entrate]],$I632&lt;&gt;SottocategorieEntrate[[#Headers],[Varie Entrate]],$I632&lt;&gt;SottocategorieEntrate[[#Headers],[Real Estate]],$I632&lt;&gt;SottocategorieEntrate[[#Headers],[Other]]),"","$ -")</f>
        <v/>
      </c>
      <c r="Q632" s="59" t="str">
        <f>IF(Dati[[#This Row],[Categoria]]="Prelievo","€ -","")</f>
        <v/>
      </c>
      <c r="R632" s="244"/>
      <c r="S632" s="59" t="str">
        <f>IF(Dati[[#This Row],[Categoria]]="Savings",0,"")</f>
        <v/>
      </c>
      <c r="T632" s="59"/>
      <c r="U632" s="59"/>
      <c r="V632" s="59"/>
      <c r="W632" s="59"/>
      <c r="X632" s="59"/>
      <c r="Y632" s="59"/>
      <c r="Z632" s="59"/>
      <c r="AA632" s="59"/>
      <c r="AB632" s="59"/>
      <c r="AC632" s="59"/>
      <c r="AD632" s="59"/>
      <c r="AE632" s="59"/>
      <c r="AF632" s="59"/>
      <c r="AG632" s="59"/>
      <c r="AH632" s="59"/>
      <c r="AI632" s="59" t="str">
        <f>IF(SUM(Dati[[#This Row],[Inv. Business]:[Inv. Cryptocurrency]])=0," ",SUM(Dati[[#This Row],[Inv. Business]:[Inv. Cryptocurrency]]))</f>
        <v xml:space="preserve"> </v>
      </c>
      <c r="AJ632" s="59"/>
      <c r="AK632" s="59"/>
      <c r="AL632" s="59"/>
      <c r="AM632" s="59"/>
    </row>
    <row r="633" spans="2:39" x14ac:dyDescent="0.35">
      <c r="B633">
        <f t="shared" si="25"/>
        <v>613</v>
      </c>
      <c r="C633" s="49">
        <f>C630+1</f>
        <v>45392</v>
      </c>
      <c r="D633" s="29">
        <f>DAY(Dati[[#This Row],[Data]])</f>
        <v>10</v>
      </c>
      <c r="E633" s="29" t="str">
        <f>IF(DAY(Data!$C$21:$C$1327)&gt;0,TEXT(Data!$C$21:$C$1327, "mmmm"),"")</f>
        <v>aprile</v>
      </c>
      <c r="F633" s="29" t="str">
        <f>IF(DAY(Data!$C$21:$C$1327)&gt;0,TEXT(Data!$C$21:$C$1327, "aaaa"),"")</f>
        <v>2024</v>
      </c>
      <c r="I633" t="str">
        <f>IF(OR(H633=$B$5,H633=$B$6,H633=$B$7,H633=$B$8,H633=$B$9,H633=$B$10,H633=$B$11,H633=$B$12,H633=$B$13,H633=$B$14),SottocategorieUscite[[#Headers],[Fuori Casa]],IF(OR(H633=$C$5,H633=$C$6,H633=$C$7,H633=$C$8,H633=$C$9,H633=$C$10,H633=$C$11,H633=$C$12,H633=$C$13,H633=$C$14),SottocategorieUscite[[#Headers],[Varie Uscite]],IF(OR(H633=$D$5,H633=$D$6,H633=$D$7,H633=$D$8,H633=$D$9,H633=$D$10,H633=$D$11,H633=$D$12,H633=$D$13,H633=$D$14),SottocategorieUscite[[#Headers],[Personali]],IF(OR(H633=$E$5,H633=$E$6,H633=$E$7,H633=$E$8,H633=$E$9,H633=$E$10,H633=$E$11,H633=$E$12,H633=$E$13,H633=$E$14),SottocategorieUscite[[#Headers],[Lavoro]],IF(OR(H633=$F$5,H633=$F$6,H633=$F$7,H633=$F$8,H633=$F$9,H633=$F$10,H633=$F$11,H633=$F$12,H633=$F$13,H633=$F$14),SottocategorieUscite[[#Headers],[Casa]],IF(OR(H633=$G$5,H633=$G$6,H633=$G$7,H633=$G$8,H633=$G$9,H633=$G$10,H633=$G$11,H633=$G$12,H633=$G$13,H633=$G$14),SottocategorieUscite[[#Headers],[Utenze]],IF(OR(H633=$H$5,H633=$H$6,H633=$H$7,H633=$H$8,H633=$H$9,H633=$H$10,H633=$H$11,H633=$H$12,H633=$H$13,H633=$H$14),SottocategorieUscite[[#Headers],[Business Uscite]],IF(OR(H633=$I$5,H633=$I$6,H633=$I$7,H633=$I$8,H633=$I$9,H633=$I$10,H633=$I$11,H633=$I$12,H633=$I$13,H633=$I$14),SottocategorieUscite[[#Headers],[Banca]],IF(OR(H633=K$5,H633=K$6,H633=K$7,H633=K$8,H633=K$9,H633=K$10,H633=K$11,H633=K$12,H633=K$13,H633=K$14),SottocategorieEntrate[[#Headers],[Business Entrate]],IF(OR(H633=L$5,H633=L$6,H633=L$7,H633=L$8,H633=L$9,H633=L$10,H633=L$11,H633=L$12,H633=L$13,H633=L$14),SottocategorieEntrate[[#Headers],[Varie Entrate]],IF(OR(H633=M$5,H633=M$6,H633=M$7,H633=M$8,H633=M$9,H633=M$10,H633=M$11,H633=M$12,H633=M$13,H633=M$14),SottocategorieEntrate[[#Headers],[Real Estate]],IF(OR(H633=N$5,H633=N$6,H633=N$7,H633=N$8,H633=N$9,H633=N$10,H633=N$11,H633=N$12,H633=N$13,H633=N$14),SottocategorieEntrate[[#Headers],[Other]],""))))))))))))</f>
        <v/>
      </c>
      <c r="J633" t="str">
        <f>IF(OR(Dati[[#This Row],[Categoria]]="Bollette",Dati[[#This Row],[Categoria]]="Conto &amp; Carte BNL",Dati[[#This Row],[Categoria]]="Prelievo",Dati[[#This Row],[Categoria]]="Affitto",Dati[[#This Row],[Categoria]]="BNL(Interessi Creditori)"),"Carta",IF(Dati[[#This Row],[Categoria]]&lt;&gt;0,"Cash",""))</f>
        <v/>
      </c>
      <c r="K633" s="59" t="str">
        <f>IF(OR(Data!$I633=SottocategorieUscite[[#Headers],[Fuori Casa]],Data!$I633=SottocategorieUscite[[#Headers],[Varie Uscite]],Data!$I633=SottocategorieUscite[[#Headers],[Personali]],Data!$I633=SottocategorieUscite[[#Headers],[Lavoro]]),"$ -","")</f>
        <v/>
      </c>
      <c r="L633" s="59" t="str">
        <f>IF(OR(Data!$I633=SottocategorieUscite[[#Headers],[Casa]],Data!$I633=SottocategorieUscite[[#Headers],[Utenze]],Data!$I633=SottocategorieUscite[[#Headers],[Business Uscite]],Data!$I633=SottocategorieUscite[[#Headers],[Banca]]),"$ -","")</f>
        <v/>
      </c>
      <c r="M633" s="59" t="str">
        <f>IF(OR($I633&lt;&gt;SottocategorieUscite[[#Headers],[Fuori Casa]],$I633&lt;&gt;SottocategorieUscite[[#Headers],[Varie Uscite]],$I633&lt;&gt;SottocategorieUscite[[#Headers],[Personali]],$I633&lt;&gt;SottocategorieUscite[[#Headers],[Lavoro]],$I633&lt;&gt;SottocategorieUscite[[#Headers],[Casa]],$I633&lt;&gt;SottocategorieUscite[[#Headers],[Utenze]],$I633&lt;&gt;SottocategorieUscite[[#Headers],[Business Uscite]],$I633&lt;&gt;SottocategorieUscite[[#Headers],[Banca]]),"","$ -")</f>
        <v/>
      </c>
      <c r="N633" s="59" t="str">
        <f>IF(OR(Data!$I633=SottocategorieEntrate[[#Headers],[Business Entrate]],Data!$I633=SottocategorieEntrate[[#Headers],[Varie Entrate]]),"$ -","")</f>
        <v/>
      </c>
      <c r="O633" s="59" t="str">
        <f>IF(OR(Data!$I633=SottocategorieEntrate[[#Headers],[Real Estate]],SottocategorieEntrate[[#Headers],[Other]]),"$ -","")</f>
        <v/>
      </c>
      <c r="P633" s="59" t="str">
        <f>IF(OR($I633&lt;&gt;SottocategorieEntrate[[#Headers],[Business Entrate]],$I633&lt;&gt;SottocategorieEntrate[[#Headers],[Varie Entrate]],$I633&lt;&gt;SottocategorieEntrate[[#Headers],[Real Estate]],$I633&lt;&gt;SottocategorieEntrate[[#Headers],[Other]]),"","$ -")</f>
        <v/>
      </c>
      <c r="Q633" s="59" t="str">
        <f>IF(Dati[[#This Row],[Categoria]]="Prelievo","€ -","")</f>
        <v/>
      </c>
      <c r="R633" s="244"/>
      <c r="S633" s="59" t="str">
        <f>IF(Dati[[#This Row],[Categoria]]="Savings",0,"")</f>
        <v/>
      </c>
      <c r="T633" s="59"/>
      <c r="U633" s="59"/>
      <c r="V633" s="59"/>
      <c r="W633" s="59"/>
      <c r="X633" s="59"/>
      <c r="Y633" s="59"/>
      <c r="Z633" s="59"/>
      <c r="AA633" s="59"/>
      <c r="AB633" s="59"/>
      <c r="AC633" s="59"/>
      <c r="AD633" s="59"/>
      <c r="AE633" s="59"/>
      <c r="AF633" s="59"/>
      <c r="AG633" s="59"/>
      <c r="AH633" s="59"/>
      <c r="AI633" s="59" t="str">
        <f>IF(SUM(Dati[[#This Row],[Inv. Business]:[Inv. Cryptocurrency]])=0," ",SUM(Dati[[#This Row],[Inv. Business]:[Inv. Cryptocurrency]]))</f>
        <v xml:space="preserve"> </v>
      </c>
      <c r="AJ633" s="59"/>
      <c r="AK633" s="59"/>
      <c r="AL633" s="59"/>
      <c r="AM633" s="59"/>
    </row>
    <row r="634" spans="2:39" x14ac:dyDescent="0.35">
      <c r="B634">
        <f t="shared" si="25"/>
        <v>614</v>
      </c>
      <c r="C634" s="49">
        <f>C630+1</f>
        <v>45392</v>
      </c>
      <c r="D634" s="29">
        <f>DAY(Dati[[#This Row],[Data]])</f>
        <v>10</v>
      </c>
      <c r="E634" s="29" t="str">
        <f>IF(DAY(Data!$C$21:$C$1327)&gt;0,TEXT(Data!$C$21:$C$1327, "mmmm"),"")</f>
        <v>aprile</v>
      </c>
      <c r="F634" s="29" t="str">
        <f>IF(DAY(Data!$C$21:$C$1327)&gt;0,TEXT(Data!$C$21:$C$1327, "aaaa"),"")</f>
        <v>2024</v>
      </c>
      <c r="I634" t="str">
        <f>IF(OR(H634=$B$5,H634=$B$6,H634=$B$7,H634=$B$8,H634=$B$9,H634=$B$10,H634=$B$11,H634=$B$12,H634=$B$13,H634=$B$14),SottocategorieUscite[[#Headers],[Fuori Casa]],IF(OR(H634=$C$5,H634=$C$6,H634=$C$7,H634=$C$8,H634=$C$9,H634=$C$10,H634=$C$11,H634=$C$12,H634=$C$13,H634=$C$14),SottocategorieUscite[[#Headers],[Varie Uscite]],IF(OR(H634=$D$5,H634=$D$6,H634=$D$7,H634=$D$8,H634=$D$9,H634=$D$10,H634=$D$11,H634=$D$12,H634=$D$13,H634=$D$14),SottocategorieUscite[[#Headers],[Personali]],IF(OR(H634=$E$5,H634=$E$6,H634=$E$7,H634=$E$8,H634=$E$9,H634=$E$10,H634=$E$11,H634=$E$12,H634=$E$13,H634=$E$14),SottocategorieUscite[[#Headers],[Lavoro]],IF(OR(H634=$F$5,H634=$F$6,H634=$F$7,H634=$F$8,H634=$F$9,H634=$F$10,H634=$F$11,H634=$F$12,H634=$F$13,H634=$F$14),SottocategorieUscite[[#Headers],[Casa]],IF(OR(H634=$G$5,H634=$G$6,H634=$G$7,H634=$G$8,H634=$G$9,H634=$G$10,H634=$G$11,H634=$G$12,H634=$G$13,H634=$G$14),SottocategorieUscite[[#Headers],[Utenze]],IF(OR(H634=$H$5,H634=$H$6,H634=$H$7,H634=$H$8,H634=$H$9,H634=$H$10,H634=$H$11,H634=$H$12,H634=$H$13,H634=$H$14),SottocategorieUscite[[#Headers],[Business Uscite]],IF(OR(H634=$I$5,H634=$I$6,H634=$I$7,H634=$I$8,H634=$I$9,H634=$I$10,H634=$I$11,H634=$I$12,H634=$I$13,H634=$I$14),SottocategorieUscite[[#Headers],[Banca]],IF(OR(H634=K$5,H634=K$6,H634=K$7,H634=K$8,H634=K$9,H634=K$10,H634=K$11,H634=K$12,H634=K$13,H634=K$14),SottocategorieEntrate[[#Headers],[Business Entrate]],IF(OR(H634=L$5,H634=L$6,H634=L$7,H634=L$8,H634=L$9,H634=L$10,H634=L$11,H634=L$12,H634=L$13,H634=L$14),SottocategorieEntrate[[#Headers],[Varie Entrate]],IF(OR(H634=M$5,H634=M$6,H634=M$7,H634=M$8,H634=M$9,H634=M$10,H634=M$11,H634=M$12,H634=M$13,H634=M$14),SottocategorieEntrate[[#Headers],[Real Estate]],IF(OR(H634=N$5,H634=N$6,H634=N$7,H634=N$8,H634=N$9,H634=N$10,H634=N$11,H634=N$12,H634=N$13,H634=N$14),SottocategorieEntrate[[#Headers],[Other]],""))))))))))))</f>
        <v/>
      </c>
      <c r="J634" t="str">
        <f>IF(OR(Dati[[#This Row],[Categoria]]="Bollette",Dati[[#This Row],[Categoria]]="Conto &amp; Carte BNL",Dati[[#This Row],[Categoria]]="Prelievo",Dati[[#This Row],[Categoria]]="Affitto",Dati[[#This Row],[Categoria]]="BNL(Interessi Creditori)"),"Carta",IF(Dati[[#This Row],[Categoria]]&lt;&gt;0,"Cash",""))</f>
        <v/>
      </c>
      <c r="K634" s="59" t="str">
        <f>IF(OR(Data!$I634=SottocategorieUscite[[#Headers],[Fuori Casa]],Data!$I634=SottocategorieUscite[[#Headers],[Varie Uscite]],Data!$I634=SottocategorieUscite[[#Headers],[Personali]],Data!$I634=SottocategorieUscite[[#Headers],[Lavoro]]),"$ -","")</f>
        <v/>
      </c>
      <c r="L634" s="59" t="str">
        <f>IF(OR(Data!$I634=SottocategorieUscite[[#Headers],[Casa]],Data!$I634=SottocategorieUscite[[#Headers],[Utenze]],Data!$I634=SottocategorieUscite[[#Headers],[Business Uscite]],Data!$I634=SottocategorieUscite[[#Headers],[Banca]]),"$ -","")</f>
        <v/>
      </c>
      <c r="M634" s="59" t="str">
        <f>IF(OR($I634&lt;&gt;SottocategorieUscite[[#Headers],[Fuori Casa]],$I634&lt;&gt;SottocategorieUscite[[#Headers],[Varie Uscite]],$I634&lt;&gt;SottocategorieUscite[[#Headers],[Personali]],$I634&lt;&gt;SottocategorieUscite[[#Headers],[Lavoro]],$I634&lt;&gt;SottocategorieUscite[[#Headers],[Casa]],$I634&lt;&gt;SottocategorieUscite[[#Headers],[Utenze]],$I634&lt;&gt;SottocategorieUscite[[#Headers],[Business Uscite]],$I634&lt;&gt;SottocategorieUscite[[#Headers],[Banca]]),"","$ -")</f>
        <v/>
      </c>
      <c r="N634" s="59" t="str">
        <f>IF(OR(Data!$I634=SottocategorieEntrate[[#Headers],[Business Entrate]],Data!$I634=SottocategorieEntrate[[#Headers],[Varie Entrate]]),"$ -","")</f>
        <v/>
      </c>
      <c r="O634" s="59" t="str">
        <f>IF(OR(Data!$I634=SottocategorieEntrate[[#Headers],[Real Estate]],SottocategorieEntrate[[#Headers],[Other]]),"$ -","")</f>
        <v/>
      </c>
      <c r="P634" s="59" t="str">
        <f>IF(OR($I634&lt;&gt;SottocategorieEntrate[[#Headers],[Business Entrate]],$I634&lt;&gt;SottocategorieEntrate[[#Headers],[Varie Entrate]],$I634&lt;&gt;SottocategorieEntrate[[#Headers],[Real Estate]],$I634&lt;&gt;SottocategorieEntrate[[#Headers],[Other]]),"","$ -")</f>
        <v/>
      </c>
      <c r="Q634" s="59" t="str">
        <f>IF(Dati[[#This Row],[Categoria]]="Prelievo","€ -","")</f>
        <v/>
      </c>
      <c r="R634" s="244"/>
      <c r="S634" s="59" t="str">
        <f>IF(Dati[[#This Row],[Categoria]]="Savings",0,"")</f>
        <v/>
      </c>
      <c r="T634" s="59"/>
      <c r="U634" s="59"/>
      <c r="V634" s="59"/>
      <c r="W634" s="59"/>
      <c r="X634" s="59"/>
      <c r="Y634" s="59"/>
      <c r="Z634" s="59"/>
      <c r="AA634" s="59"/>
      <c r="AB634" s="59"/>
      <c r="AC634" s="59"/>
      <c r="AD634" s="59"/>
      <c r="AE634" s="59"/>
      <c r="AF634" s="59"/>
      <c r="AG634" s="59"/>
      <c r="AH634" s="59"/>
      <c r="AI634" s="59" t="str">
        <f>IF(SUM(Dati[[#This Row],[Inv. Business]:[Inv. Cryptocurrency]])=0," ",SUM(Dati[[#This Row],[Inv. Business]:[Inv. Cryptocurrency]]))</f>
        <v xml:space="preserve"> </v>
      </c>
      <c r="AJ634" s="59"/>
      <c r="AK634" s="59"/>
      <c r="AL634" s="59"/>
      <c r="AM634" s="59"/>
    </row>
    <row r="635" spans="2:39" x14ac:dyDescent="0.35">
      <c r="B635">
        <f t="shared" si="25"/>
        <v>615</v>
      </c>
      <c r="C635" s="49">
        <f>C631+1</f>
        <v>45393</v>
      </c>
      <c r="D635" s="29">
        <f>DAY(Dati[[#This Row],[Data]])</f>
        <v>11</v>
      </c>
      <c r="E635" s="29" t="str">
        <f>IF(DAY(Data!$C$21:$C$1327)&gt;0,TEXT(Data!$C$21:$C$1327, "mmmm"),"")</f>
        <v>aprile</v>
      </c>
      <c r="F635" s="29" t="str">
        <f>IF(DAY(Data!$C$21:$C$1327)&gt;0,TEXT(Data!$C$21:$C$1327, "aaaa"),"")</f>
        <v>2024</v>
      </c>
      <c r="I635" t="str">
        <f>IF(OR(H635=$B$5,H635=$B$6,H635=$B$7,H635=$B$8,H635=$B$9,H635=$B$10,H635=$B$11,H635=$B$12,H635=$B$13,H635=$B$14),SottocategorieUscite[[#Headers],[Fuori Casa]],IF(OR(H635=$C$5,H635=$C$6,H635=$C$7,H635=$C$8,H635=$C$9,H635=$C$10,H635=$C$11,H635=$C$12,H635=$C$13,H635=$C$14),SottocategorieUscite[[#Headers],[Varie Uscite]],IF(OR(H635=$D$5,H635=$D$6,H635=$D$7,H635=$D$8,H635=$D$9,H635=$D$10,H635=$D$11,H635=$D$12,H635=$D$13,H635=$D$14),SottocategorieUscite[[#Headers],[Personali]],IF(OR(H635=$E$5,H635=$E$6,H635=$E$7,H635=$E$8,H635=$E$9,H635=$E$10,H635=$E$11,H635=$E$12,H635=$E$13,H635=$E$14),SottocategorieUscite[[#Headers],[Lavoro]],IF(OR(H635=$F$5,H635=$F$6,H635=$F$7,H635=$F$8,H635=$F$9,H635=$F$10,H635=$F$11,H635=$F$12,H635=$F$13,H635=$F$14),SottocategorieUscite[[#Headers],[Casa]],IF(OR(H635=$G$5,H635=$G$6,H635=$G$7,H635=$G$8,H635=$G$9,H635=$G$10,H635=$G$11,H635=$G$12,H635=$G$13,H635=$G$14),SottocategorieUscite[[#Headers],[Utenze]],IF(OR(H635=$H$5,H635=$H$6,H635=$H$7,H635=$H$8,H635=$H$9,H635=$H$10,H635=$H$11,H635=$H$12,H635=$H$13,H635=$H$14),SottocategorieUscite[[#Headers],[Business Uscite]],IF(OR(H635=$I$5,H635=$I$6,H635=$I$7,H635=$I$8,H635=$I$9,H635=$I$10,H635=$I$11,H635=$I$12,H635=$I$13,H635=$I$14),SottocategorieUscite[[#Headers],[Banca]],IF(OR(H635=K$5,H635=K$6,H635=K$7,H635=K$8,H635=K$9,H635=K$10,H635=K$11,H635=K$12,H635=K$13,H635=K$14),SottocategorieEntrate[[#Headers],[Business Entrate]],IF(OR(H635=L$5,H635=L$6,H635=L$7,H635=L$8,H635=L$9,H635=L$10,H635=L$11,H635=L$12,H635=L$13,H635=L$14),SottocategorieEntrate[[#Headers],[Varie Entrate]],IF(OR(H635=M$5,H635=M$6,H635=M$7,H635=M$8,H635=M$9,H635=M$10,H635=M$11,H635=M$12,H635=M$13,H635=M$14),SottocategorieEntrate[[#Headers],[Real Estate]],IF(OR(H635=N$5,H635=N$6,H635=N$7,H635=N$8,H635=N$9,H635=N$10,H635=N$11,H635=N$12,H635=N$13,H635=N$14),SottocategorieEntrate[[#Headers],[Other]],""))))))))))))</f>
        <v/>
      </c>
      <c r="J635" t="str">
        <f>IF(OR(Dati[[#This Row],[Categoria]]="Bollette",Dati[[#This Row],[Categoria]]="Conto &amp; Carte BNL",Dati[[#This Row],[Categoria]]="Prelievo",Dati[[#This Row],[Categoria]]="Affitto",Dati[[#This Row],[Categoria]]="BNL(Interessi Creditori)"),"Carta",IF(Dati[[#This Row],[Categoria]]&lt;&gt;0,"Cash",""))</f>
        <v/>
      </c>
      <c r="K635" s="59" t="str">
        <f>IF(OR(Data!$I635=SottocategorieUscite[[#Headers],[Fuori Casa]],Data!$I635=SottocategorieUscite[[#Headers],[Varie Uscite]],Data!$I635=SottocategorieUscite[[#Headers],[Personali]],Data!$I635=SottocategorieUscite[[#Headers],[Lavoro]]),"$ -","")</f>
        <v/>
      </c>
      <c r="L635" s="59" t="str">
        <f>IF(OR(Data!$I635=SottocategorieUscite[[#Headers],[Casa]],Data!$I635=SottocategorieUscite[[#Headers],[Utenze]],Data!$I635=SottocategorieUscite[[#Headers],[Business Uscite]],Data!$I635=SottocategorieUscite[[#Headers],[Banca]]),"$ -","")</f>
        <v/>
      </c>
      <c r="M635" s="59" t="str">
        <f>IF(OR($I635&lt;&gt;SottocategorieUscite[[#Headers],[Fuori Casa]],$I635&lt;&gt;SottocategorieUscite[[#Headers],[Varie Uscite]],$I635&lt;&gt;SottocategorieUscite[[#Headers],[Personali]],$I635&lt;&gt;SottocategorieUscite[[#Headers],[Lavoro]],$I635&lt;&gt;SottocategorieUscite[[#Headers],[Casa]],$I635&lt;&gt;SottocategorieUscite[[#Headers],[Utenze]],$I635&lt;&gt;SottocategorieUscite[[#Headers],[Business Uscite]],$I635&lt;&gt;SottocategorieUscite[[#Headers],[Banca]]),"","$ -")</f>
        <v/>
      </c>
      <c r="N635" s="59" t="str">
        <f>IF(OR(Data!$I635=SottocategorieEntrate[[#Headers],[Business Entrate]],Data!$I635=SottocategorieEntrate[[#Headers],[Varie Entrate]]),"$ -","")</f>
        <v/>
      </c>
      <c r="O635" s="59" t="str">
        <f>IF(OR(Data!$I635=SottocategorieEntrate[[#Headers],[Real Estate]],SottocategorieEntrate[[#Headers],[Other]]),"$ -","")</f>
        <v/>
      </c>
      <c r="P635" s="59" t="str">
        <f>IF(OR($I635&lt;&gt;SottocategorieEntrate[[#Headers],[Business Entrate]],$I635&lt;&gt;SottocategorieEntrate[[#Headers],[Varie Entrate]],$I635&lt;&gt;SottocategorieEntrate[[#Headers],[Real Estate]],$I635&lt;&gt;SottocategorieEntrate[[#Headers],[Other]]),"","$ -")</f>
        <v/>
      </c>
      <c r="Q635" s="59" t="str">
        <f>IF(Dati[[#This Row],[Categoria]]="Prelievo","€ -","")</f>
        <v/>
      </c>
      <c r="R635" s="244"/>
      <c r="S635" s="59" t="str">
        <f>IF(Dati[[#This Row],[Categoria]]="Savings",0,"")</f>
        <v/>
      </c>
      <c r="T635" s="59"/>
      <c r="U635" s="59"/>
      <c r="V635" s="59"/>
      <c r="W635" s="59"/>
      <c r="X635" s="59"/>
      <c r="Y635" s="59"/>
      <c r="Z635" s="59"/>
      <c r="AA635" s="59"/>
      <c r="AB635" s="59"/>
      <c r="AC635" s="59"/>
      <c r="AD635" s="59"/>
      <c r="AE635" s="59"/>
      <c r="AF635" s="59"/>
      <c r="AG635" s="59"/>
      <c r="AH635" s="59"/>
      <c r="AI635" s="59" t="str">
        <f>IF(SUM(Dati[[#This Row],[Inv. Business]:[Inv. Cryptocurrency]])=0," ",SUM(Dati[[#This Row],[Inv. Business]:[Inv. Cryptocurrency]]))</f>
        <v xml:space="preserve"> </v>
      </c>
      <c r="AJ635" s="59"/>
      <c r="AK635" s="59"/>
      <c r="AL635" s="59"/>
      <c r="AM635" s="59"/>
    </row>
    <row r="636" spans="2:39" x14ac:dyDescent="0.35">
      <c r="B636">
        <f t="shared" si="25"/>
        <v>616</v>
      </c>
      <c r="C636" s="49">
        <f>C634+1</f>
        <v>45393</v>
      </c>
      <c r="D636" s="29">
        <f>DAY(Dati[[#This Row],[Data]])</f>
        <v>11</v>
      </c>
      <c r="E636" s="29" t="str">
        <f>IF(DAY(Data!$C$21:$C$1327)&gt;0,TEXT(Data!$C$21:$C$1327, "mmmm"),"")</f>
        <v>aprile</v>
      </c>
      <c r="F636" s="29" t="str">
        <f>IF(DAY(Data!$C$21:$C$1327)&gt;0,TEXT(Data!$C$21:$C$1327, "aaaa"),"")</f>
        <v>2024</v>
      </c>
      <c r="I636" t="str">
        <f>IF(OR(H636=$B$5,H636=$B$6,H636=$B$7,H636=$B$8,H636=$B$9,H636=$B$10,H636=$B$11,H636=$B$12,H636=$B$13,H636=$B$14),SottocategorieUscite[[#Headers],[Fuori Casa]],IF(OR(H636=$C$5,H636=$C$6,H636=$C$7,H636=$C$8,H636=$C$9,H636=$C$10,H636=$C$11,H636=$C$12,H636=$C$13,H636=$C$14),SottocategorieUscite[[#Headers],[Varie Uscite]],IF(OR(H636=$D$5,H636=$D$6,H636=$D$7,H636=$D$8,H636=$D$9,H636=$D$10,H636=$D$11,H636=$D$12,H636=$D$13,H636=$D$14),SottocategorieUscite[[#Headers],[Personali]],IF(OR(H636=$E$5,H636=$E$6,H636=$E$7,H636=$E$8,H636=$E$9,H636=$E$10,H636=$E$11,H636=$E$12,H636=$E$13,H636=$E$14),SottocategorieUscite[[#Headers],[Lavoro]],IF(OR(H636=$F$5,H636=$F$6,H636=$F$7,H636=$F$8,H636=$F$9,H636=$F$10,H636=$F$11,H636=$F$12,H636=$F$13,H636=$F$14),SottocategorieUscite[[#Headers],[Casa]],IF(OR(H636=$G$5,H636=$G$6,H636=$G$7,H636=$G$8,H636=$G$9,H636=$G$10,H636=$G$11,H636=$G$12,H636=$G$13,H636=$G$14),SottocategorieUscite[[#Headers],[Utenze]],IF(OR(H636=$H$5,H636=$H$6,H636=$H$7,H636=$H$8,H636=$H$9,H636=$H$10,H636=$H$11,H636=$H$12,H636=$H$13,H636=$H$14),SottocategorieUscite[[#Headers],[Business Uscite]],IF(OR(H636=$I$5,H636=$I$6,H636=$I$7,H636=$I$8,H636=$I$9,H636=$I$10,H636=$I$11,H636=$I$12,H636=$I$13,H636=$I$14),SottocategorieUscite[[#Headers],[Banca]],IF(OR(H636=K$5,H636=K$6,H636=K$7,H636=K$8,H636=K$9,H636=K$10,H636=K$11,H636=K$12,H636=K$13,H636=K$14),SottocategorieEntrate[[#Headers],[Business Entrate]],IF(OR(H636=L$5,H636=L$6,H636=L$7,H636=L$8,H636=L$9,H636=L$10,H636=L$11,H636=L$12,H636=L$13,H636=L$14),SottocategorieEntrate[[#Headers],[Varie Entrate]],IF(OR(H636=M$5,H636=M$6,H636=M$7,H636=M$8,H636=M$9,H636=M$10,H636=M$11,H636=M$12,H636=M$13,H636=M$14),SottocategorieEntrate[[#Headers],[Real Estate]],IF(OR(H636=N$5,H636=N$6,H636=N$7,H636=N$8,H636=N$9,H636=N$10,H636=N$11,H636=N$12,H636=N$13,H636=N$14),SottocategorieEntrate[[#Headers],[Other]],""))))))))))))</f>
        <v/>
      </c>
      <c r="J636" t="str">
        <f>IF(OR(Dati[[#This Row],[Categoria]]="Bollette",Dati[[#This Row],[Categoria]]="Conto &amp; Carte BNL",Dati[[#This Row],[Categoria]]="Prelievo",Dati[[#This Row],[Categoria]]="Affitto",Dati[[#This Row],[Categoria]]="BNL(Interessi Creditori)"),"Carta",IF(Dati[[#This Row],[Categoria]]&lt;&gt;0,"Cash",""))</f>
        <v/>
      </c>
      <c r="K636" s="59" t="str">
        <f>IF(OR(Data!$I636=SottocategorieUscite[[#Headers],[Fuori Casa]],Data!$I636=SottocategorieUscite[[#Headers],[Varie Uscite]],Data!$I636=SottocategorieUscite[[#Headers],[Personali]],Data!$I636=SottocategorieUscite[[#Headers],[Lavoro]]),"$ -","")</f>
        <v/>
      </c>
      <c r="L636" s="59" t="str">
        <f>IF(OR(Data!$I636=SottocategorieUscite[[#Headers],[Casa]],Data!$I636=SottocategorieUscite[[#Headers],[Utenze]],Data!$I636=SottocategorieUscite[[#Headers],[Business Uscite]],Data!$I636=SottocategorieUscite[[#Headers],[Banca]]),"$ -","")</f>
        <v/>
      </c>
      <c r="M636" s="59" t="str">
        <f>IF(OR($I636&lt;&gt;SottocategorieUscite[[#Headers],[Fuori Casa]],$I636&lt;&gt;SottocategorieUscite[[#Headers],[Varie Uscite]],$I636&lt;&gt;SottocategorieUscite[[#Headers],[Personali]],$I636&lt;&gt;SottocategorieUscite[[#Headers],[Lavoro]],$I636&lt;&gt;SottocategorieUscite[[#Headers],[Casa]],$I636&lt;&gt;SottocategorieUscite[[#Headers],[Utenze]],$I636&lt;&gt;SottocategorieUscite[[#Headers],[Business Uscite]],$I636&lt;&gt;SottocategorieUscite[[#Headers],[Banca]]),"","$ -")</f>
        <v/>
      </c>
      <c r="N636" s="59" t="str">
        <f>IF(OR(Data!$I636=SottocategorieEntrate[[#Headers],[Business Entrate]],Data!$I636=SottocategorieEntrate[[#Headers],[Varie Entrate]]),"$ -","")</f>
        <v/>
      </c>
      <c r="O636" s="59" t="str">
        <f>IF(OR(Data!$I636=SottocategorieEntrate[[#Headers],[Real Estate]],SottocategorieEntrate[[#Headers],[Other]]),"$ -","")</f>
        <v/>
      </c>
      <c r="P636" s="59" t="str">
        <f>IF(OR($I636&lt;&gt;SottocategorieEntrate[[#Headers],[Business Entrate]],$I636&lt;&gt;SottocategorieEntrate[[#Headers],[Varie Entrate]],$I636&lt;&gt;SottocategorieEntrate[[#Headers],[Real Estate]],$I636&lt;&gt;SottocategorieEntrate[[#Headers],[Other]]),"","$ -")</f>
        <v/>
      </c>
      <c r="Q636" s="59" t="str">
        <f>IF(Dati[[#This Row],[Categoria]]="Prelievo","€ -","")</f>
        <v/>
      </c>
      <c r="R636" s="244"/>
      <c r="S636" s="59" t="str">
        <f>IF(Dati[[#This Row],[Categoria]]="Savings",0,"")</f>
        <v/>
      </c>
      <c r="T636" s="59"/>
      <c r="U636" s="59"/>
      <c r="V636" s="59"/>
      <c r="W636" s="59"/>
      <c r="X636" s="59"/>
      <c r="Y636" s="59"/>
      <c r="Z636" s="59"/>
      <c r="AA636" s="59"/>
      <c r="AB636" s="59"/>
      <c r="AC636" s="59"/>
      <c r="AD636" s="59"/>
      <c r="AE636" s="59"/>
      <c r="AF636" s="59"/>
      <c r="AG636" s="59"/>
      <c r="AH636" s="59"/>
      <c r="AI636" s="59" t="str">
        <f>IF(SUM(Dati[[#This Row],[Inv. Business]:[Inv. Cryptocurrency]])=0," ",SUM(Dati[[#This Row],[Inv. Business]:[Inv. Cryptocurrency]]))</f>
        <v xml:space="preserve"> </v>
      </c>
      <c r="AJ636" s="59"/>
      <c r="AK636" s="59"/>
      <c r="AL636" s="59"/>
      <c r="AM636" s="59"/>
    </row>
    <row r="637" spans="2:39" x14ac:dyDescent="0.35">
      <c r="B637">
        <f t="shared" si="25"/>
        <v>617</v>
      </c>
      <c r="C637" s="49">
        <f>C634+1</f>
        <v>45393</v>
      </c>
      <c r="D637" s="29">
        <f>DAY(Dati[[#This Row],[Data]])</f>
        <v>11</v>
      </c>
      <c r="E637" s="29" t="str">
        <f>IF(DAY(Data!$C$21:$C$1327)&gt;0,TEXT(Data!$C$21:$C$1327, "mmmm"),"")</f>
        <v>aprile</v>
      </c>
      <c r="F637" s="29" t="str">
        <f>IF(DAY(Data!$C$21:$C$1327)&gt;0,TEXT(Data!$C$21:$C$1327, "aaaa"),"")</f>
        <v>2024</v>
      </c>
      <c r="I637" t="str">
        <f>IF(OR(H637=$B$5,H637=$B$6,H637=$B$7,H637=$B$8,H637=$B$9,H637=$B$10,H637=$B$11,H637=$B$12,H637=$B$13,H637=$B$14),SottocategorieUscite[[#Headers],[Fuori Casa]],IF(OR(H637=$C$5,H637=$C$6,H637=$C$7,H637=$C$8,H637=$C$9,H637=$C$10,H637=$C$11,H637=$C$12,H637=$C$13,H637=$C$14),SottocategorieUscite[[#Headers],[Varie Uscite]],IF(OR(H637=$D$5,H637=$D$6,H637=$D$7,H637=$D$8,H637=$D$9,H637=$D$10,H637=$D$11,H637=$D$12,H637=$D$13,H637=$D$14),SottocategorieUscite[[#Headers],[Personali]],IF(OR(H637=$E$5,H637=$E$6,H637=$E$7,H637=$E$8,H637=$E$9,H637=$E$10,H637=$E$11,H637=$E$12,H637=$E$13,H637=$E$14),SottocategorieUscite[[#Headers],[Lavoro]],IF(OR(H637=$F$5,H637=$F$6,H637=$F$7,H637=$F$8,H637=$F$9,H637=$F$10,H637=$F$11,H637=$F$12,H637=$F$13,H637=$F$14),SottocategorieUscite[[#Headers],[Casa]],IF(OR(H637=$G$5,H637=$G$6,H637=$G$7,H637=$G$8,H637=$G$9,H637=$G$10,H637=$G$11,H637=$G$12,H637=$G$13,H637=$G$14),SottocategorieUscite[[#Headers],[Utenze]],IF(OR(H637=$H$5,H637=$H$6,H637=$H$7,H637=$H$8,H637=$H$9,H637=$H$10,H637=$H$11,H637=$H$12,H637=$H$13,H637=$H$14),SottocategorieUscite[[#Headers],[Business Uscite]],IF(OR(H637=$I$5,H637=$I$6,H637=$I$7,H637=$I$8,H637=$I$9,H637=$I$10,H637=$I$11,H637=$I$12,H637=$I$13,H637=$I$14),SottocategorieUscite[[#Headers],[Banca]],IF(OR(H637=K$5,H637=K$6,H637=K$7,H637=K$8,H637=K$9,H637=K$10,H637=K$11,H637=K$12,H637=K$13,H637=K$14),SottocategorieEntrate[[#Headers],[Business Entrate]],IF(OR(H637=L$5,H637=L$6,H637=L$7,H637=L$8,H637=L$9,H637=L$10,H637=L$11,H637=L$12,H637=L$13,H637=L$14),SottocategorieEntrate[[#Headers],[Varie Entrate]],IF(OR(H637=M$5,H637=M$6,H637=M$7,H637=M$8,H637=M$9,H637=M$10,H637=M$11,H637=M$12,H637=M$13,H637=M$14),SottocategorieEntrate[[#Headers],[Real Estate]],IF(OR(H637=N$5,H637=N$6,H637=N$7,H637=N$8,H637=N$9,H637=N$10,H637=N$11,H637=N$12,H637=N$13,H637=N$14),SottocategorieEntrate[[#Headers],[Other]],""))))))))))))</f>
        <v/>
      </c>
      <c r="J637" t="str">
        <f>IF(OR(Dati[[#This Row],[Categoria]]="Bollette",Dati[[#This Row],[Categoria]]="Conto &amp; Carte BNL",Dati[[#This Row],[Categoria]]="Prelievo",Dati[[#This Row],[Categoria]]="Affitto",Dati[[#This Row],[Categoria]]="BNL(Interessi Creditori)"),"Carta",IF(Dati[[#This Row],[Categoria]]&lt;&gt;0,"Cash",""))</f>
        <v/>
      </c>
      <c r="K637" s="59" t="str">
        <f>IF(OR(Data!$I637=SottocategorieUscite[[#Headers],[Fuori Casa]],Data!$I637=SottocategorieUscite[[#Headers],[Varie Uscite]],Data!$I637=SottocategorieUscite[[#Headers],[Personali]],Data!$I637=SottocategorieUscite[[#Headers],[Lavoro]]),"$ -","")</f>
        <v/>
      </c>
      <c r="L637" s="59" t="str">
        <f>IF(OR(Data!$I637=SottocategorieUscite[[#Headers],[Casa]],Data!$I637=SottocategorieUscite[[#Headers],[Utenze]],Data!$I637=SottocategorieUscite[[#Headers],[Business Uscite]],Data!$I637=SottocategorieUscite[[#Headers],[Banca]]),"$ -","")</f>
        <v/>
      </c>
      <c r="M637" s="59" t="str">
        <f>IF(OR($I637&lt;&gt;SottocategorieUscite[[#Headers],[Fuori Casa]],$I637&lt;&gt;SottocategorieUscite[[#Headers],[Varie Uscite]],$I637&lt;&gt;SottocategorieUscite[[#Headers],[Personali]],$I637&lt;&gt;SottocategorieUscite[[#Headers],[Lavoro]],$I637&lt;&gt;SottocategorieUscite[[#Headers],[Casa]],$I637&lt;&gt;SottocategorieUscite[[#Headers],[Utenze]],$I637&lt;&gt;SottocategorieUscite[[#Headers],[Business Uscite]],$I637&lt;&gt;SottocategorieUscite[[#Headers],[Banca]]),"","$ -")</f>
        <v/>
      </c>
      <c r="N637" s="59" t="str">
        <f>IF(OR(Data!$I637=SottocategorieEntrate[[#Headers],[Business Entrate]],Data!$I637=SottocategorieEntrate[[#Headers],[Varie Entrate]]),"$ -","")</f>
        <v/>
      </c>
      <c r="O637" s="59" t="str">
        <f>IF(OR(Data!$I637=SottocategorieEntrate[[#Headers],[Real Estate]],SottocategorieEntrate[[#Headers],[Other]]),"$ -","")</f>
        <v/>
      </c>
      <c r="P637" s="59" t="str">
        <f>IF(OR($I637&lt;&gt;SottocategorieEntrate[[#Headers],[Business Entrate]],$I637&lt;&gt;SottocategorieEntrate[[#Headers],[Varie Entrate]],$I637&lt;&gt;SottocategorieEntrate[[#Headers],[Real Estate]],$I637&lt;&gt;SottocategorieEntrate[[#Headers],[Other]]),"","$ -")</f>
        <v/>
      </c>
      <c r="Q637" s="59" t="str">
        <f>IF(Dati[[#This Row],[Categoria]]="Prelievo","€ -","")</f>
        <v/>
      </c>
      <c r="R637" s="244"/>
      <c r="S637" s="59" t="str">
        <f>IF(Dati[[#This Row],[Categoria]]="Savings",0,"")</f>
        <v/>
      </c>
      <c r="T637" s="59"/>
      <c r="U637" s="59"/>
      <c r="V637" s="59"/>
      <c r="W637" s="59"/>
      <c r="X637" s="59"/>
      <c r="Y637" s="59"/>
      <c r="Z637" s="59"/>
      <c r="AA637" s="59"/>
      <c r="AB637" s="59"/>
      <c r="AC637" s="59"/>
      <c r="AD637" s="59"/>
      <c r="AE637" s="59"/>
      <c r="AF637" s="59"/>
      <c r="AG637" s="59"/>
      <c r="AH637" s="59"/>
      <c r="AI637" s="59" t="str">
        <f>IF(SUM(Dati[[#This Row],[Inv. Business]:[Inv. Cryptocurrency]])=0," ",SUM(Dati[[#This Row],[Inv. Business]:[Inv. Cryptocurrency]]))</f>
        <v xml:space="preserve"> </v>
      </c>
      <c r="AJ637" s="59"/>
      <c r="AK637" s="59"/>
      <c r="AL637" s="59"/>
      <c r="AM637" s="59"/>
    </row>
    <row r="638" spans="2:39" x14ac:dyDescent="0.35">
      <c r="B638">
        <f t="shared" si="25"/>
        <v>618</v>
      </c>
      <c r="C638" s="49">
        <f>C634+1</f>
        <v>45393</v>
      </c>
      <c r="D638" s="29">
        <f>DAY(Dati[[#This Row],[Data]])</f>
        <v>11</v>
      </c>
      <c r="E638" s="29" t="str">
        <f>IF(DAY(Data!$C$21:$C$1327)&gt;0,TEXT(Data!$C$21:$C$1327, "mmmm"),"")</f>
        <v>aprile</v>
      </c>
      <c r="F638" s="29" t="str">
        <f>IF(DAY(Data!$C$21:$C$1327)&gt;0,TEXT(Data!$C$21:$C$1327, "aaaa"),"")</f>
        <v>2024</v>
      </c>
      <c r="I638" t="str">
        <f>IF(OR(H638=$B$5,H638=$B$6,H638=$B$7,H638=$B$8,H638=$B$9,H638=$B$10,H638=$B$11,H638=$B$12,H638=$B$13,H638=$B$14),SottocategorieUscite[[#Headers],[Fuori Casa]],IF(OR(H638=$C$5,H638=$C$6,H638=$C$7,H638=$C$8,H638=$C$9,H638=$C$10,H638=$C$11,H638=$C$12,H638=$C$13,H638=$C$14),SottocategorieUscite[[#Headers],[Varie Uscite]],IF(OR(H638=$D$5,H638=$D$6,H638=$D$7,H638=$D$8,H638=$D$9,H638=$D$10,H638=$D$11,H638=$D$12,H638=$D$13,H638=$D$14),SottocategorieUscite[[#Headers],[Personali]],IF(OR(H638=$E$5,H638=$E$6,H638=$E$7,H638=$E$8,H638=$E$9,H638=$E$10,H638=$E$11,H638=$E$12,H638=$E$13,H638=$E$14),SottocategorieUscite[[#Headers],[Lavoro]],IF(OR(H638=$F$5,H638=$F$6,H638=$F$7,H638=$F$8,H638=$F$9,H638=$F$10,H638=$F$11,H638=$F$12,H638=$F$13,H638=$F$14),SottocategorieUscite[[#Headers],[Casa]],IF(OR(H638=$G$5,H638=$G$6,H638=$G$7,H638=$G$8,H638=$G$9,H638=$G$10,H638=$G$11,H638=$G$12,H638=$G$13,H638=$G$14),SottocategorieUscite[[#Headers],[Utenze]],IF(OR(H638=$H$5,H638=$H$6,H638=$H$7,H638=$H$8,H638=$H$9,H638=$H$10,H638=$H$11,H638=$H$12,H638=$H$13,H638=$H$14),SottocategorieUscite[[#Headers],[Business Uscite]],IF(OR(H638=$I$5,H638=$I$6,H638=$I$7,H638=$I$8,H638=$I$9,H638=$I$10,H638=$I$11,H638=$I$12,H638=$I$13,H638=$I$14),SottocategorieUscite[[#Headers],[Banca]],IF(OR(H638=K$5,H638=K$6,H638=K$7,H638=K$8,H638=K$9,H638=K$10,H638=K$11,H638=K$12,H638=K$13,H638=K$14),SottocategorieEntrate[[#Headers],[Business Entrate]],IF(OR(H638=L$5,H638=L$6,H638=L$7,H638=L$8,H638=L$9,H638=L$10,H638=L$11,H638=L$12,H638=L$13,H638=L$14),SottocategorieEntrate[[#Headers],[Varie Entrate]],IF(OR(H638=M$5,H638=M$6,H638=M$7,H638=M$8,H638=M$9,H638=M$10,H638=M$11,H638=M$12,H638=M$13,H638=M$14),SottocategorieEntrate[[#Headers],[Real Estate]],IF(OR(H638=N$5,H638=N$6,H638=N$7,H638=N$8,H638=N$9,H638=N$10,H638=N$11,H638=N$12,H638=N$13,H638=N$14),SottocategorieEntrate[[#Headers],[Other]],""))))))))))))</f>
        <v/>
      </c>
      <c r="J638" t="str">
        <f>IF(OR(Dati[[#This Row],[Categoria]]="Bollette",Dati[[#This Row],[Categoria]]="Conto &amp; Carte BNL",Dati[[#This Row],[Categoria]]="Prelievo",Dati[[#This Row],[Categoria]]="Affitto",Dati[[#This Row],[Categoria]]="BNL(Interessi Creditori)"),"Carta",IF(Dati[[#This Row],[Categoria]]&lt;&gt;0,"Cash",""))</f>
        <v/>
      </c>
      <c r="K638" s="59" t="str">
        <f>IF(OR(Data!$I638=SottocategorieUscite[[#Headers],[Fuori Casa]],Data!$I638=SottocategorieUscite[[#Headers],[Varie Uscite]],Data!$I638=SottocategorieUscite[[#Headers],[Personali]],Data!$I638=SottocategorieUscite[[#Headers],[Lavoro]]),"$ -","")</f>
        <v/>
      </c>
      <c r="L638" s="59" t="str">
        <f>IF(OR(Data!$I638=SottocategorieUscite[[#Headers],[Casa]],Data!$I638=SottocategorieUscite[[#Headers],[Utenze]],Data!$I638=SottocategorieUscite[[#Headers],[Business Uscite]],Data!$I638=SottocategorieUscite[[#Headers],[Banca]]),"$ -","")</f>
        <v/>
      </c>
      <c r="M638" s="59" t="str">
        <f>IF(OR($I638&lt;&gt;SottocategorieUscite[[#Headers],[Fuori Casa]],$I638&lt;&gt;SottocategorieUscite[[#Headers],[Varie Uscite]],$I638&lt;&gt;SottocategorieUscite[[#Headers],[Personali]],$I638&lt;&gt;SottocategorieUscite[[#Headers],[Lavoro]],$I638&lt;&gt;SottocategorieUscite[[#Headers],[Casa]],$I638&lt;&gt;SottocategorieUscite[[#Headers],[Utenze]],$I638&lt;&gt;SottocategorieUscite[[#Headers],[Business Uscite]],$I638&lt;&gt;SottocategorieUscite[[#Headers],[Banca]]),"","$ -")</f>
        <v/>
      </c>
      <c r="N638" s="59" t="str">
        <f>IF(OR(Data!$I638=SottocategorieEntrate[[#Headers],[Business Entrate]],Data!$I638=SottocategorieEntrate[[#Headers],[Varie Entrate]]),"$ -","")</f>
        <v/>
      </c>
      <c r="O638" s="59" t="str">
        <f>IF(OR(Data!$I638=SottocategorieEntrate[[#Headers],[Real Estate]],SottocategorieEntrate[[#Headers],[Other]]),"$ -","")</f>
        <v/>
      </c>
      <c r="P638" s="59" t="str">
        <f>IF(OR($I638&lt;&gt;SottocategorieEntrate[[#Headers],[Business Entrate]],$I638&lt;&gt;SottocategorieEntrate[[#Headers],[Varie Entrate]],$I638&lt;&gt;SottocategorieEntrate[[#Headers],[Real Estate]],$I638&lt;&gt;SottocategorieEntrate[[#Headers],[Other]]),"","$ -")</f>
        <v/>
      </c>
      <c r="Q638" s="59" t="str">
        <f>IF(Dati[[#This Row],[Categoria]]="Prelievo","€ -","")</f>
        <v/>
      </c>
      <c r="R638" s="244"/>
      <c r="S638" s="59" t="str">
        <f>IF(Dati[[#This Row],[Categoria]]="Savings",0,"")</f>
        <v/>
      </c>
      <c r="T638" s="59"/>
      <c r="U638" s="59"/>
      <c r="V638" s="59"/>
      <c r="W638" s="59"/>
      <c r="X638" s="59"/>
      <c r="Y638" s="59"/>
      <c r="Z638" s="59"/>
      <c r="AA638" s="59"/>
      <c r="AB638" s="59"/>
      <c r="AC638" s="59"/>
      <c r="AD638" s="59"/>
      <c r="AE638" s="59"/>
      <c r="AF638" s="59"/>
      <c r="AG638" s="59"/>
      <c r="AH638" s="59"/>
      <c r="AI638" s="59" t="str">
        <f>IF(SUM(Dati[[#This Row],[Inv. Business]:[Inv. Cryptocurrency]])=0," ",SUM(Dati[[#This Row],[Inv. Business]:[Inv. Cryptocurrency]]))</f>
        <v xml:space="preserve"> </v>
      </c>
      <c r="AJ638" s="59"/>
      <c r="AK638" s="59"/>
      <c r="AL638" s="59"/>
      <c r="AM638" s="59"/>
    </row>
    <row r="639" spans="2:39" x14ac:dyDescent="0.35">
      <c r="B639">
        <f t="shared" si="25"/>
        <v>619</v>
      </c>
      <c r="C639" s="49">
        <f>C635+1</f>
        <v>45394</v>
      </c>
      <c r="D639" s="29">
        <f>DAY(Dati[[#This Row],[Data]])</f>
        <v>12</v>
      </c>
      <c r="E639" s="29" t="str">
        <f>IF(DAY(Data!$C$21:$C$1327)&gt;0,TEXT(Data!$C$21:$C$1327, "mmmm"),"")</f>
        <v>aprile</v>
      </c>
      <c r="F639" s="29" t="str">
        <f>IF(DAY(Data!$C$21:$C$1327)&gt;0,TEXT(Data!$C$21:$C$1327, "aaaa"),"")</f>
        <v>2024</v>
      </c>
      <c r="I639" t="str">
        <f>IF(OR(H639=$B$5,H639=$B$6,H639=$B$7,H639=$B$8,H639=$B$9,H639=$B$10,H639=$B$11,H639=$B$12,H639=$B$13,H639=$B$14),SottocategorieUscite[[#Headers],[Fuori Casa]],IF(OR(H639=$C$5,H639=$C$6,H639=$C$7,H639=$C$8,H639=$C$9,H639=$C$10,H639=$C$11,H639=$C$12,H639=$C$13,H639=$C$14),SottocategorieUscite[[#Headers],[Varie Uscite]],IF(OR(H639=$D$5,H639=$D$6,H639=$D$7,H639=$D$8,H639=$D$9,H639=$D$10,H639=$D$11,H639=$D$12,H639=$D$13,H639=$D$14),SottocategorieUscite[[#Headers],[Personali]],IF(OR(H639=$E$5,H639=$E$6,H639=$E$7,H639=$E$8,H639=$E$9,H639=$E$10,H639=$E$11,H639=$E$12,H639=$E$13,H639=$E$14),SottocategorieUscite[[#Headers],[Lavoro]],IF(OR(H639=$F$5,H639=$F$6,H639=$F$7,H639=$F$8,H639=$F$9,H639=$F$10,H639=$F$11,H639=$F$12,H639=$F$13,H639=$F$14),SottocategorieUscite[[#Headers],[Casa]],IF(OR(H639=$G$5,H639=$G$6,H639=$G$7,H639=$G$8,H639=$G$9,H639=$G$10,H639=$G$11,H639=$G$12,H639=$G$13,H639=$G$14),SottocategorieUscite[[#Headers],[Utenze]],IF(OR(H639=$H$5,H639=$H$6,H639=$H$7,H639=$H$8,H639=$H$9,H639=$H$10,H639=$H$11,H639=$H$12,H639=$H$13,H639=$H$14),SottocategorieUscite[[#Headers],[Business Uscite]],IF(OR(H639=$I$5,H639=$I$6,H639=$I$7,H639=$I$8,H639=$I$9,H639=$I$10,H639=$I$11,H639=$I$12,H639=$I$13,H639=$I$14),SottocategorieUscite[[#Headers],[Banca]],IF(OR(H639=K$5,H639=K$6,H639=K$7,H639=K$8,H639=K$9,H639=K$10,H639=K$11,H639=K$12,H639=K$13,H639=K$14),SottocategorieEntrate[[#Headers],[Business Entrate]],IF(OR(H639=L$5,H639=L$6,H639=L$7,H639=L$8,H639=L$9,H639=L$10,H639=L$11,H639=L$12,H639=L$13,H639=L$14),SottocategorieEntrate[[#Headers],[Varie Entrate]],IF(OR(H639=M$5,H639=M$6,H639=M$7,H639=M$8,H639=M$9,H639=M$10,H639=M$11,H639=M$12,H639=M$13,H639=M$14),SottocategorieEntrate[[#Headers],[Real Estate]],IF(OR(H639=N$5,H639=N$6,H639=N$7,H639=N$8,H639=N$9,H639=N$10,H639=N$11,H639=N$12,H639=N$13,H639=N$14),SottocategorieEntrate[[#Headers],[Other]],""))))))))))))</f>
        <v/>
      </c>
      <c r="J639" t="str">
        <f>IF(OR(Dati[[#This Row],[Categoria]]="Bollette",Dati[[#This Row],[Categoria]]="Conto &amp; Carte BNL",Dati[[#This Row],[Categoria]]="Prelievo",Dati[[#This Row],[Categoria]]="Affitto",Dati[[#This Row],[Categoria]]="BNL(Interessi Creditori)"),"Carta",IF(Dati[[#This Row],[Categoria]]&lt;&gt;0,"Cash",""))</f>
        <v/>
      </c>
      <c r="K639" s="59" t="str">
        <f>IF(OR(Data!$I639=SottocategorieUscite[[#Headers],[Fuori Casa]],Data!$I639=SottocategorieUscite[[#Headers],[Varie Uscite]],Data!$I639=SottocategorieUscite[[#Headers],[Personali]],Data!$I639=SottocategorieUscite[[#Headers],[Lavoro]]),"$ -","")</f>
        <v/>
      </c>
      <c r="L639" s="59" t="str">
        <f>IF(OR(Data!$I639=SottocategorieUscite[[#Headers],[Casa]],Data!$I639=SottocategorieUscite[[#Headers],[Utenze]],Data!$I639=SottocategorieUscite[[#Headers],[Business Uscite]],Data!$I639=SottocategorieUscite[[#Headers],[Banca]]),"$ -","")</f>
        <v/>
      </c>
      <c r="M639" s="59" t="str">
        <f>IF(OR($I639&lt;&gt;SottocategorieUscite[[#Headers],[Fuori Casa]],$I639&lt;&gt;SottocategorieUscite[[#Headers],[Varie Uscite]],$I639&lt;&gt;SottocategorieUscite[[#Headers],[Personali]],$I639&lt;&gt;SottocategorieUscite[[#Headers],[Lavoro]],$I639&lt;&gt;SottocategorieUscite[[#Headers],[Casa]],$I639&lt;&gt;SottocategorieUscite[[#Headers],[Utenze]],$I639&lt;&gt;SottocategorieUscite[[#Headers],[Business Uscite]],$I639&lt;&gt;SottocategorieUscite[[#Headers],[Banca]]),"","$ -")</f>
        <v/>
      </c>
      <c r="N639" s="59" t="str">
        <f>IF(OR(Data!$I639=SottocategorieEntrate[[#Headers],[Business Entrate]],Data!$I639=SottocategorieEntrate[[#Headers],[Varie Entrate]]),"$ -","")</f>
        <v/>
      </c>
      <c r="O639" s="59" t="str">
        <f>IF(OR(Data!$I639=SottocategorieEntrate[[#Headers],[Real Estate]],SottocategorieEntrate[[#Headers],[Other]]),"$ -","")</f>
        <v/>
      </c>
      <c r="P639" s="59" t="str">
        <f>IF(OR($I639&lt;&gt;SottocategorieEntrate[[#Headers],[Business Entrate]],$I639&lt;&gt;SottocategorieEntrate[[#Headers],[Varie Entrate]],$I639&lt;&gt;SottocategorieEntrate[[#Headers],[Real Estate]],$I639&lt;&gt;SottocategorieEntrate[[#Headers],[Other]]),"","$ -")</f>
        <v/>
      </c>
      <c r="Q639" s="59" t="str">
        <f>IF(Dati[[#This Row],[Categoria]]="Prelievo","€ -","")</f>
        <v/>
      </c>
      <c r="R639" s="244"/>
      <c r="S639" s="59" t="str">
        <f>IF(Dati[[#This Row],[Categoria]]="Savings",0,"")</f>
        <v/>
      </c>
      <c r="T639" s="59"/>
      <c r="U639" s="59"/>
      <c r="V639" s="59"/>
      <c r="W639" s="59"/>
      <c r="X639" s="59"/>
      <c r="Y639" s="59"/>
      <c r="Z639" s="59"/>
      <c r="AA639" s="59"/>
      <c r="AB639" s="59"/>
      <c r="AC639" s="59"/>
      <c r="AD639" s="59"/>
      <c r="AE639" s="59"/>
      <c r="AF639" s="59"/>
      <c r="AG639" s="59"/>
      <c r="AH639" s="59"/>
      <c r="AI639" s="59" t="str">
        <f>IF(SUM(Dati[[#This Row],[Inv. Business]:[Inv. Cryptocurrency]])=0," ",SUM(Dati[[#This Row],[Inv. Business]:[Inv. Cryptocurrency]]))</f>
        <v xml:space="preserve"> </v>
      </c>
      <c r="AJ639" s="59"/>
      <c r="AK639" s="59"/>
      <c r="AL639" s="59"/>
      <c r="AM639" s="59"/>
    </row>
    <row r="640" spans="2:39" x14ac:dyDescent="0.35">
      <c r="B640">
        <f t="shared" si="25"/>
        <v>620</v>
      </c>
      <c r="C640" s="49">
        <f t="shared" si="27"/>
        <v>45395</v>
      </c>
      <c r="D640" s="29">
        <f>DAY(Dati[[#This Row],[Data]])</f>
        <v>13</v>
      </c>
      <c r="E640" s="29" t="str">
        <f>IF(DAY(Data!$C$21:$C$1327)&gt;0,TEXT(Data!$C$21:$C$1327, "mmmm"),"")</f>
        <v>aprile</v>
      </c>
      <c r="F640" s="29" t="str">
        <f>IF(DAY(Data!$C$21:$C$1327)&gt;0,TEXT(Data!$C$21:$C$1327, "aaaa"),"")</f>
        <v>2024</v>
      </c>
      <c r="I640" t="str">
        <f>IF(OR(H640=$B$5,H640=$B$6,H640=$B$7,H640=$B$8,H640=$B$9,H640=$B$10,H640=$B$11,H640=$B$12,H640=$B$13,H640=$B$14),SottocategorieUscite[[#Headers],[Fuori Casa]],IF(OR(H640=$C$5,H640=$C$6,H640=$C$7,H640=$C$8,H640=$C$9,H640=$C$10,H640=$C$11,H640=$C$12,H640=$C$13,H640=$C$14),SottocategorieUscite[[#Headers],[Varie Uscite]],IF(OR(H640=$D$5,H640=$D$6,H640=$D$7,H640=$D$8,H640=$D$9,H640=$D$10,H640=$D$11,H640=$D$12,H640=$D$13,H640=$D$14),SottocategorieUscite[[#Headers],[Personali]],IF(OR(H640=$E$5,H640=$E$6,H640=$E$7,H640=$E$8,H640=$E$9,H640=$E$10,H640=$E$11,H640=$E$12,H640=$E$13,H640=$E$14),SottocategorieUscite[[#Headers],[Lavoro]],IF(OR(H640=$F$5,H640=$F$6,H640=$F$7,H640=$F$8,H640=$F$9,H640=$F$10,H640=$F$11,H640=$F$12,H640=$F$13,H640=$F$14),SottocategorieUscite[[#Headers],[Casa]],IF(OR(H640=$G$5,H640=$G$6,H640=$G$7,H640=$G$8,H640=$G$9,H640=$G$10,H640=$G$11,H640=$G$12,H640=$G$13,H640=$G$14),SottocategorieUscite[[#Headers],[Utenze]],IF(OR(H640=$H$5,H640=$H$6,H640=$H$7,H640=$H$8,H640=$H$9,H640=$H$10,H640=$H$11,H640=$H$12,H640=$H$13,H640=$H$14),SottocategorieUscite[[#Headers],[Business Uscite]],IF(OR(H640=$I$5,H640=$I$6,H640=$I$7,H640=$I$8,H640=$I$9,H640=$I$10,H640=$I$11,H640=$I$12,H640=$I$13,H640=$I$14),SottocategorieUscite[[#Headers],[Banca]],IF(OR(H640=K$5,H640=K$6,H640=K$7,H640=K$8,H640=K$9,H640=K$10,H640=K$11,H640=K$12,H640=K$13,H640=K$14),SottocategorieEntrate[[#Headers],[Business Entrate]],IF(OR(H640=L$5,H640=L$6,H640=L$7,H640=L$8,H640=L$9,H640=L$10,H640=L$11,H640=L$12,H640=L$13,H640=L$14),SottocategorieEntrate[[#Headers],[Varie Entrate]],IF(OR(H640=M$5,H640=M$6,H640=M$7,H640=M$8,H640=M$9,H640=M$10,H640=M$11,H640=M$12,H640=M$13,H640=M$14),SottocategorieEntrate[[#Headers],[Real Estate]],IF(OR(H640=N$5,H640=N$6,H640=N$7,H640=N$8,H640=N$9,H640=N$10,H640=N$11,H640=N$12,H640=N$13,H640=N$14),SottocategorieEntrate[[#Headers],[Other]],""))))))))))))</f>
        <v/>
      </c>
      <c r="J640" t="str">
        <f>IF(OR(Dati[[#This Row],[Categoria]]="Bollette",Dati[[#This Row],[Categoria]]="Conto &amp; Carte BNL",Dati[[#This Row],[Categoria]]="Prelievo",Dati[[#This Row],[Categoria]]="Affitto",Dati[[#This Row],[Categoria]]="BNL(Interessi Creditori)"),"Carta",IF(Dati[[#This Row],[Categoria]]&lt;&gt;0,"Cash",""))</f>
        <v/>
      </c>
      <c r="K640" s="59" t="str">
        <f>IF(OR(Data!$I640=SottocategorieUscite[[#Headers],[Fuori Casa]],Data!$I640=SottocategorieUscite[[#Headers],[Varie Uscite]],Data!$I640=SottocategorieUscite[[#Headers],[Personali]],Data!$I640=SottocategorieUscite[[#Headers],[Lavoro]]),"$ -","")</f>
        <v/>
      </c>
      <c r="L640" s="59" t="str">
        <f>IF(OR(Data!$I640=SottocategorieUscite[[#Headers],[Casa]],Data!$I640=SottocategorieUscite[[#Headers],[Utenze]],Data!$I640=SottocategorieUscite[[#Headers],[Business Uscite]],Data!$I640=SottocategorieUscite[[#Headers],[Banca]]),"$ -","")</f>
        <v/>
      </c>
      <c r="M640" s="59" t="str">
        <f>IF(OR($I640&lt;&gt;SottocategorieUscite[[#Headers],[Fuori Casa]],$I640&lt;&gt;SottocategorieUscite[[#Headers],[Varie Uscite]],$I640&lt;&gt;SottocategorieUscite[[#Headers],[Personali]],$I640&lt;&gt;SottocategorieUscite[[#Headers],[Lavoro]],$I640&lt;&gt;SottocategorieUscite[[#Headers],[Casa]],$I640&lt;&gt;SottocategorieUscite[[#Headers],[Utenze]],$I640&lt;&gt;SottocategorieUscite[[#Headers],[Business Uscite]],$I640&lt;&gt;SottocategorieUscite[[#Headers],[Banca]]),"","$ -")</f>
        <v/>
      </c>
      <c r="N640" s="59" t="str">
        <f>IF(OR(Data!$I640=SottocategorieEntrate[[#Headers],[Business Entrate]],Data!$I640=SottocategorieEntrate[[#Headers],[Varie Entrate]]),"$ -","")</f>
        <v/>
      </c>
      <c r="O640" s="59" t="str">
        <f>IF(OR(Data!$I640=SottocategorieEntrate[[#Headers],[Real Estate]],SottocategorieEntrate[[#Headers],[Other]]),"$ -","")</f>
        <v/>
      </c>
      <c r="P640" s="59" t="str">
        <f>IF(OR($I640&lt;&gt;SottocategorieEntrate[[#Headers],[Business Entrate]],$I640&lt;&gt;SottocategorieEntrate[[#Headers],[Varie Entrate]],$I640&lt;&gt;SottocategorieEntrate[[#Headers],[Real Estate]],$I640&lt;&gt;SottocategorieEntrate[[#Headers],[Other]]),"","$ -")</f>
        <v/>
      </c>
      <c r="Q640" s="59" t="str">
        <f>IF(Dati[[#This Row],[Categoria]]="Prelievo","€ -","")</f>
        <v/>
      </c>
      <c r="R640" s="244"/>
      <c r="S640" s="59" t="str">
        <f>IF(Dati[[#This Row],[Categoria]]="Savings",0,"")</f>
        <v/>
      </c>
      <c r="T640" s="59"/>
      <c r="U640" s="59"/>
      <c r="V640" s="59"/>
      <c r="W640" s="59"/>
      <c r="X640" s="59"/>
      <c r="Y640" s="59"/>
      <c r="Z640" s="59"/>
      <c r="AA640" s="59"/>
      <c r="AB640" s="59"/>
      <c r="AC640" s="59"/>
      <c r="AD640" s="59"/>
      <c r="AE640" s="59"/>
      <c r="AF640" s="59"/>
      <c r="AG640" s="59"/>
      <c r="AH640" s="59"/>
      <c r="AI640" s="59" t="str">
        <f>IF(SUM(Dati[[#This Row],[Inv. Business]:[Inv. Cryptocurrency]])=0," ",SUM(Dati[[#This Row],[Inv. Business]:[Inv. Cryptocurrency]]))</f>
        <v xml:space="preserve"> </v>
      </c>
      <c r="AJ640" s="59"/>
      <c r="AK640" s="59"/>
      <c r="AL640" s="59"/>
      <c r="AM640" s="59"/>
    </row>
    <row r="641" spans="2:39" x14ac:dyDescent="0.35">
      <c r="B641">
        <f t="shared" si="25"/>
        <v>621</v>
      </c>
      <c r="C641" s="49">
        <f t="shared" si="27"/>
        <v>45396</v>
      </c>
      <c r="D641" s="29">
        <f>DAY(Dati[[#This Row],[Data]])</f>
        <v>14</v>
      </c>
      <c r="E641" s="29" t="str">
        <f>IF(DAY(Data!$C$21:$C$1327)&gt;0,TEXT(Data!$C$21:$C$1327, "mmmm"),"")</f>
        <v>aprile</v>
      </c>
      <c r="F641" s="29" t="str">
        <f>IF(DAY(Data!$C$21:$C$1327)&gt;0,TEXT(Data!$C$21:$C$1327, "aaaa"),"")</f>
        <v>2024</v>
      </c>
      <c r="I641" t="str">
        <f>IF(OR(H641=$B$5,H641=$B$6,H641=$B$7,H641=$B$8,H641=$B$9,H641=$B$10,H641=$B$11,H641=$B$12,H641=$B$13,H641=$B$14),SottocategorieUscite[[#Headers],[Fuori Casa]],IF(OR(H641=$C$5,H641=$C$6,H641=$C$7,H641=$C$8,H641=$C$9,H641=$C$10,H641=$C$11,H641=$C$12,H641=$C$13,H641=$C$14),SottocategorieUscite[[#Headers],[Varie Uscite]],IF(OR(H641=$D$5,H641=$D$6,H641=$D$7,H641=$D$8,H641=$D$9,H641=$D$10,H641=$D$11,H641=$D$12,H641=$D$13,H641=$D$14),SottocategorieUscite[[#Headers],[Personali]],IF(OR(H641=$E$5,H641=$E$6,H641=$E$7,H641=$E$8,H641=$E$9,H641=$E$10,H641=$E$11,H641=$E$12,H641=$E$13,H641=$E$14),SottocategorieUscite[[#Headers],[Lavoro]],IF(OR(H641=$F$5,H641=$F$6,H641=$F$7,H641=$F$8,H641=$F$9,H641=$F$10,H641=$F$11,H641=$F$12,H641=$F$13,H641=$F$14),SottocategorieUscite[[#Headers],[Casa]],IF(OR(H641=$G$5,H641=$G$6,H641=$G$7,H641=$G$8,H641=$G$9,H641=$G$10,H641=$G$11,H641=$G$12,H641=$G$13,H641=$G$14),SottocategorieUscite[[#Headers],[Utenze]],IF(OR(H641=$H$5,H641=$H$6,H641=$H$7,H641=$H$8,H641=$H$9,H641=$H$10,H641=$H$11,H641=$H$12,H641=$H$13,H641=$H$14),SottocategorieUscite[[#Headers],[Business Uscite]],IF(OR(H641=$I$5,H641=$I$6,H641=$I$7,H641=$I$8,H641=$I$9,H641=$I$10,H641=$I$11,H641=$I$12,H641=$I$13,H641=$I$14),SottocategorieUscite[[#Headers],[Banca]],IF(OR(H641=K$5,H641=K$6,H641=K$7,H641=K$8,H641=K$9,H641=K$10,H641=K$11,H641=K$12,H641=K$13,H641=K$14),SottocategorieEntrate[[#Headers],[Business Entrate]],IF(OR(H641=L$5,H641=L$6,H641=L$7,H641=L$8,H641=L$9,H641=L$10,H641=L$11,H641=L$12,H641=L$13,H641=L$14),SottocategorieEntrate[[#Headers],[Varie Entrate]],IF(OR(H641=M$5,H641=M$6,H641=M$7,H641=M$8,H641=M$9,H641=M$10,H641=M$11,H641=M$12,H641=M$13,H641=M$14),SottocategorieEntrate[[#Headers],[Real Estate]],IF(OR(H641=N$5,H641=N$6,H641=N$7,H641=N$8,H641=N$9,H641=N$10,H641=N$11,H641=N$12,H641=N$13,H641=N$14),SottocategorieEntrate[[#Headers],[Other]],""))))))))))))</f>
        <v/>
      </c>
      <c r="J641" t="str">
        <f>IF(OR(Dati[[#This Row],[Categoria]]="Bollette",Dati[[#This Row],[Categoria]]="Conto &amp; Carte BNL",Dati[[#This Row],[Categoria]]="Prelievo",Dati[[#This Row],[Categoria]]="Affitto",Dati[[#This Row],[Categoria]]="BNL(Interessi Creditori)"),"Carta",IF(Dati[[#This Row],[Categoria]]&lt;&gt;0,"Cash",""))</f>
        <v/>
      </c>
      <c r="K641" s="59" t="str">
        <f>IF(OR(Data!$I641=SottocategorieUscite[[#Headers],[Fuori Casa]],Data!$I641=SottocategorieUscite[[#Headers],[Varie Uscite]],Data!$I641=SottocategorieUscite[[#Headers],[Personali]],Data!$I641=SottocategorieUscite[[#Headers],[Lavoro]]),"$ -","")</f>
        <v/>
      </c>
      <c r="L641" s="59" t="str">
        <f>IF(OR(Data!$I641=SottocategorieUscite[[#Headers],[Casa]],Data!$I641=SottocategorieUscite[[#Headers],[Utenze]],Data!$I641=SottocategorieUscite[[#Headers],[Business Uscite]],Data!$I641=SottocategorieUscite[[#Headers],[Banca]]),"$ -","")</f>
        <v/>
      </c>
      <c r="M641" s="59" t="str">
        <f>IF(OR($I641&lt;&gt;SottocategorieUscite[[#Headers],[Fuori Casa]],$I641&lt;&gt;SottocategorieUscite[[#Headers],[Varie Uscite]],$I641&lt;&gt;SottocategorieUscite[[#Headers],[Personali]],$I641&lt;&gt;SottocategorieUscite[[#Headers],[Lavoro]],$I641&lt;&gt;SottocategorieUscite[[#Headers],[Casa]],$I641&lt;&gt;SottocategorieUscite[[#Headers],[Utenze]],$I641&lt;&gt;SottocategorieUscite[[#Headers],[Business Uscite]],$I641&lt;&gt;SottocategorieUscite[[#Headers],[Banca]]),"","$ -")</f>
        <v/>
      </c>
      <c r="N641" s="59" t="str">
        <f>IF(OR(Data!$I641=SottocategorieEntrate[[#Headers],[Business Entrate]],Data!$I641=SottocategorieEntrate[[#Headers],[Varie Entrate]]),"$ -","")</f>
        <v/>
      </c>
      <c r="O641" s="59" t="str">
        <f>IF(OR(Data!$I641=SottocategorieEntrate[[#Headers],[Real Estate]],SottocategorieEntrate[[#Headers],[Other]]),"$ -","")</f>
        <v/>
      </c>
      <c r="P641" s="59" t="str">
        <f>IF(OR($I641&lt;&gt;SottocategorieEntrate[[#Headers],[Business Entrate]],$I641&lt;&gt;SottocategorieEntrate[[#Headers],[Varie Entrate]],$I641&lt;&gt;SottocategorieEntrate[[#Headers],[Real Estate]],$I641&lt;&gt;SottocategorieEntrate[[#Headers],[Other]]),"","$ -")</f>
        <v/>
      </c>
      <c r="Q641" s="59" t="str">
        <f>IF(Dati[[#This Row],[Categoria]]="Prelievo","€ -","")</f>
        <v/>
      </c>
      <c r="R641" s="244"/>
      <c r="S641" s="59" t="str">
        <f>IF(Dati[[#This Row],[Categoria]]="Savings",0,"")</f>
        <v/>
      </c>
      <c r="T641" s="59"/>
      <c r="U641" s="59"/>
      <c r="V641" s="59"/>
      <c r="W641" s="59"/>
      <c r="X641" s="59"/>
      <c r="Y641" s="59"/>
      <c r="Z641" s="59"/>
      <c r="AA641" s="59"/>
      <c r="AB641" s="59"/>
      <c r="AC641" s="59"/>
      <c r="AD641" s="59"/>
      <c r="AE641" s="59"/>
      <c r="AF641" s="59"/>
      <c r="AG641" s="59"/>
      <c r="AH641" s="59"/>
      <c r="AI641" s="59" t="str">
        <f>IF(SUM(Dati[[#This Row],[Inv. Business]:[Inv. Cryptocurrency]])=0," ",SUM(Dati[[#This Row],[Inv. Business]:[Inv. Cryptocurrency]]))</f>
        <v xml:space="preserve"> </v>
      </c>
      <c r="AJ641" s="59"/>
      <c r="AK641" s="59"/>
      <c r="AL641" s="59"/>
      <c r="AM641" s="59"/>
    </row>
    <row r="642" spans="2:39" x14ac:dyDescent="0.35">
      <c r="B642">
        <f t="shared" si="25"/>
        <v>622</v>
      </c>
      <c r="C642" s="49">
        <f t="shared" si="27"/>
        <v>45397</v>
      </c>
      <c r="D642" s="29">
        <f>DAY(Dati[[#This Row],[Data]])</f>
        <v>15</v>
      </c>
      <c r="E642" s="29" t="str">
        <f>IF(DAY(Data!$C$21:$C$1327)&gt;0,TEXT(Data!$C$21:$C$1327, "mmmm"),"")</f>
        <v>aprile</v>
      </c>
      <c r="F642" s="29" t="str">
        <f>IF(DAY(Data!$C$21:$C$1327)&gt;0,TEXT(Data!$C$21:$C$1327, "aaaa"),"")</f>
        <v>2024</v>
      </c>
      <c r="I642" t="str">
        <f>IF(OR(H642=$B$5,H642=$B$6,H642=$B$7,H642=$B$8,H642=$B$9,H642=$B$10,H642=$B$11,H642=$B$12,H642=$B$13,H642=$B$14),SottocategorieUscite[[#Headers],[Fuori Casa]],IF(OR(H642=$C$5,H642=$C$6,H642=$C$7,H642=$C$8,H642=$C$9,H642=$C$10,H642=$C$11,H642=$C$12,H642=$C$13,H642=$C$14),SottocategorieUscite[[#Headers],[Varie Uscite]],IF(OR(H642=$D$5,H642=$D$6,H642=$D$7,H642=$D$8,H642=$D$9,H642=$D$10,H642=$D$11,H642=$D$12,H642=$D$13,H642=$D$14),SottocategorieUscite[[#Headers],[Personali]],IF(OR(H642=$E$5,H642=$E$6,H642=$E$7,H642=$E$8,H642=$E$9,H642=$E$10,H642=$E$11,H642=$E$12,H642=$E$13,H642=$E$14),SottocategorieUscite[[#Headers],[Lavoro]],IF(OR(H642=$F$5,H642=$F$6,H642=$F$7,H642=$F$8,H642=$F$9,H642=$F$10,H642=$F$11,H642=$F$12,H642=$F$13,H642=$F$14),SottocategorieUscite[[#Headers],[Casa]],IF(OR(H642=$G$5,H642=$G$6,H642=$G$7,H642=$G$8,H642=$G$9,H642=$G$10,H642=$G$11,H642=$G$12,H642=$G$13,H642=$G$14),SottocategorieUscite[[#Headers],[Utenze]],IF(OR(H642=$H$5,H642=$H$6,H642=$H$7,H642=$H$8,H642=$H$9,H642=$H$10,H642=$H$11,H642=$H$12,H642=$H$13,H642=$H$14),SottocategorieUscite[[#Headers],[Business Uscite]],IF(OR(H642=$I$5,H642=$I$6,H642=$I$7,H642=$I$8,H642=$I$9,H642=$I$10,H642=$I$11,H642=$I$12,H642=$I$13,H642=$I$14),SottocategorieUscite[[#Headers],[Banca]],IF(OR(H642=K$5,H642=K$6,H642=K$7,H642=K$8,H642=K$9,H642=K$10,H642=K$11,H642=K$12,H642=K$13,H642=K$14),SottocategorieEntrate[[#Headers],[Business Entrate]],IF(OR(H642=L$5,H642=L$6,H642=L$7,H642=L$8,H642=L$9,H642=L$10,H642=L$11,H642=L$12,H642=L$13,H642=L$14),SottocategorieEntrate[[#Headers],[Varie Entrate]],IF(OR(H642=M$5,H642=M$6,H642=M$7,H642=M$8,H642=M$9,H642=M$10,H642=M$11,H642=M$12,H642=M$13,H642=M$14),SottocategorieEntrate[[#Headers],[Real Estate]],IF(OR(H642=N$5,H642=N$6,H642=N$7,H642=N$8,H642=N$9,H642=N$10,H642=N$11,H642=N$12,H642=N$13,H642=N$14),SottocategorieEntrate[[#Headers],[Other]],""))))))))))))</f>
        <v/>
      </c>
      <c r="J642" t="str">
        <f>IF(OR(Dati[[#This Row],[Categoria]]="Bollette",Dati[[#This Row],[Categoria]]="Conto &amp; Carte BNL",Dati[[#This Row],[Categoria]]="Prelievo",Dati[[#This Row],[Categoria]]="Affitto",Dati[[#This Row],[Categoria]]="BNL(Interessi Creditori)"),"Carta",IF(Dati[[#This Row],[Categoria]]&lt;&gt;0,"Cash",""))</f>
        <v/>
      </c>
      <c r="K642" s="59" t="str">
        <f>IF(OR(Data!$I642=SottocategorieUscite[[#Headers],[Fuori Casa]],Data!$I642=SottocategorieUscite[[#Headers],[Varie Uscite]],Data!$I642=SottocategorieUscite[[#Headers],[Personali]],Data!$I642=SottocategorieUscite[[#Headers],[Lavoro]]),"$ -","")</f>
        <v/>
      </c>
      <c r="L642" s="59" t="str">
        <f>IF(OR(Data!$I642=SottocategorieUscite[[#Headers],[Casa]],Data!$I642=SottocategorieUscite[[#Headers],[Utenze]],Data!$I642=SottocategorieUscite[[#Headers],[Business Uscite]],Data!$I642=SottocategorieUscite[[#Headers],[Banca]]),"$ -","")</f>
        <v/>
      </c>
      <c r="M642" s="59" t="str">
        <f>IF(OR($I642&lt;&gt;SottocategorieUscite[[#Headers],[Fuori Casa]],$I642&lt;&gt;SottocategorieUscite[[#Headers],[Varie Uscite]],$I642&lt;&gt;SottocategorieUscite[[#Headers],[Personali]],$I642&lt;&gt;SottocategorieUscite[[#Headers],[Lavoro]],$I642&lt;&gt;SottocategorieUscite[[#Headers],[Casa]],$I642&lt;&gt;SottocategorieUscite[[#Headers],[Utenze]],$I642&lt;&gt;SottocategorieUscite[[#Headers],[Business Uscite]],$I642&lt;&gt;SottocategorieUscite[[#Headers],[Banca]]),"","$ -")</f>
        <v/>
      </c>
      <c r="N642" s="59" t="str">
        <f>IF(OR(Data!$I642=SottocategorieEntrate[[#Headers],[Business Entrate]],Data!$I642=SottocategorieEntrate[[#Headers],[Varie Entrate]]),"$ -","")</f>
        <v/>
      </c>
      <c r="O642" s="59" t="str">
        <f>IF(OR(Data!$I642=SottocategorieEntrate[[#Headers],[Real Estate]],SottocategorieEntrate[[#Headers],[Other]]),"$ -","")</f>
        <v/>
      </c>
      <c r="P642" s="59" t="str">
        <f>IF(OR($I642&lt;&gt;SottocategorieEntrate[[#Headers],[Business Entrate]],$I642&lt;&gt;SottocategorieEntrate[[#Headers],[Varie Entrate]],$I642&lt;&gt;SottocategorieEntrate[[#Headers],[Real Estate]],$I642&lt;&gt;SottocategorieEntrate[[#Headers],[Other]]),"","$ -")</f>
        <v/>
      </c>
      <c r="Q642" s="59" t="str">
        <f>IF(Dati[[#This Row],[Categoria]]="Prelievo","€ -","")</f>
        <v/>
      </c>
      <c r="R642" s="244"/>
      <c r="S642" s="59" t="str">
        <f>IF(Dati[[#This Row],[Categoria]]="Savings",0,"")</f>
        <v/>
      </c>
      <c r="T642" s="59"/>
      <c r="U642" s="59"/>
      <c r="V642" s="59"/>
      <c r="W642" s="59"/>
      <c r="X642" s="59"/>
      <c r="Y642" s="59"/>
      <c r="Z642" s="59"/>
      <c r="AA642" s="59"/>
      <c r="AB642" s="59"/>
      <c r="AC642" s="59"/>
      <c r="AD642" s="59"/>
      <c r="AE642" s="59"/>
      <c r="AF642" s="59"/>
      <c r="AG642" s="59"/>
      <c r="AH642" s="59"/>
      <c r="AI642" s="59" t="str">
        <f>IF(SUM(Dati[[#This Row],[Inv. Business]:[Inv. Cryptocurrency]])=0," ",SUM(Dati[[#This Row],[Inv. Business]:[Inv. Cryptocurrency]]))</f>
        <v xml:space="preserve"> </v>
      </c>
      <c r="AJ642" s="59"/>
      <c r="AK642" s="59"/>
      <c r="AL642" s="59"/>
      <c r="AM642" s="59"/>
    </row>
    <row r="643" spans="2:39" x14ac:dyDescent="0.35">
      <c r="B643">
        <f t="shared" si="25"/>
        <v>623</v>
      </c>
      <c r="C643" s="49">
        <f t="shared" si="27"/>
        <v>45398</v>
      </c>
      <c r="D643" s="29">
        <f>DAY(Dati[[#This Row],[Data]])</f>
        <v>16</v>
      </c>
      <c r="E643" s="29" t="str">
        <f>IF(DAY(Data!$C$21:$C$1327)&gt;0,TEXT(Data!$C$21:$C$1327, "mmmm"),"")</f>
        <v>aprile</v>
      </c>
      <c r="F643" s="29" t="str">
        <f>IF(DAY(Data!$C$21:$C$1327)&gt;0,TEXT(Data!$C$21:$C$1327, "aaaa"),"")</f>
        <v>2024</v>
      </c>
      <c r="I643" t="str">
        <f>IF(OR(H643=$B$5,H643=$B$6,H643=$B$7,H643=$B$8,H643=$B$9,H643=$B$10,H643=$B$11,H643=$B$12,H643=$B$13,H643=$B$14),SottocategorieUscite[[#Headers],[Fuori Casa]],IF(OR(H643=$C$5,H643=$C$6,H643=$C$7,H643=$C$8,H643=$C$9,H643=$C$10,H643=$C$11,H643=$C$12,H643=$C$13,H643=$C$14),SottocategorieUscite[[#Headers],[Varie Uscite]],IF(OR(H643=$D$5,H643=$D$6,H643=$D$7,H643=$D$8,H643=$D$9,H643=$D$10,H643=$D$11,H643=$D$12,H643=$D$13,H643=$D$14),SottocategorieUscite[[#Headers],[Personali]],IF(OR(H643=$E$5,H643=$E$6,H643=$E$7,H643=$E$8,H643=$E$9,H643=$E$10,H643=$E$11,H643=$E$12,H643=$E$13,H643=$E$14),SottocategorieUscite[[#Headers],[Lavoro]],IF(OR(H643=$F$5,H643=$F$6,H643=$F$7,H643=$F$8,H643=$F$9,H643=$F$10,H643=$F$11,H643=$F$12,H643=$F$13,H643=$F$14),SottocategorieUscite[[#Headers],[Casa]],IF(OR(H643=$G$5,H643=$G$6,H643=$G$7,H643=$G$8,H643=$G$9,H643=$G$10,H643=$G$11,H643=$G$12,H643=$G$13,H643=$G$14),SottocategorieUscite[[#Headers],[Utenze]],IF(OR(H643=$H$5,H643=$H$6,H643=$H$7,H643=$H$8,H643=$H$9,H643=$H$10,H643=$H$11,H643=$H$12,H643=$H$13,H643=$H$14),SottocategorieUscite[[#Headers],[Business Uscite]],IF(OR(H643=$I$5,H643=$I$6,H643=$I$7,H643=$I$8,H643=$I$9,H643=$I$10,H643=$I$11,H643=$I$12,H643=$I$13,H643=$I$14),SottocategorieUscite[[#Headers],[Banca]],IF(OR(H643=K$5,H643=K$6,H643=K$7,H643=K$8,H643=K$9,H643=K$10,H643=K$11,H643=K$12,H643=K$13,H643=K$14),SottocategorieEntrate[[#Headers],[Business Entrate]],IF(OR(H643=L$5,H643=L$6,H643=L$7,H643=L$8,H643=L$9,H643=L$10,H643=L$11,H643=L$12,H643=L$13,H643=L$14),SottocategorieEntrate[[#Headers],[Varie Entrate]],IF(OR(H643=M$5,H643=M$6,H643=M$7,H643=M$8,H643=M$9,H643=M$10,H643=M$11,H643=M$12,H643=M$13,H643=M$14),SottocategorieEntrate[[#Headers],[Real Estate]],IF(OR(H643=N$5,H643=N$6,H643=N$7,H643=N$8,H643=N$9,H643=N$10,H643=N$11,H643=N$12,H643=N$13,H643=N$14),SottocategorieEntrate[[#Headers],[Other]],""))))))))))))</f>
        <v/>
      </c>
      <c r="J643" t="str">
        <f>IF(OR(Dati[[#This Row],[Categoria]]="Bollette",Dati[[#This Row],[Categoria]]="Conto &amp; Carte BNL",Dati[[#This Row],[Categoria]]="Prelievo",Dati[[#This Row],[Categoria]]="Affitto",Dati[[#This Row],[Categoria]]="BNL(Interessi Creditori)"),"Carta",IF(Dati[[#This Row],[Categoria]]&lt;&gt;0,"Cash",""))</f>
        <v/>
      </c>
      <c r="K643" s="59" t="str">
        <f>IF(OR(Data!$I643=SottocategorieUscite[[#Headers],[Fuori Casa]],Data!$I643=SottocategorieUscite[[#Headers],[Varie Uscite]],Data!$I643=SottocategorieUscite[[#Headers],[Personali]],Data!$I643=SottocategorieUscite[[#Headers],[Lavoro]]),"$ -","")</f>
        <v/>
      </c>
      <c r="L643" s="59" t="str">
        <f>IF(OR(Data!$I643=SottocategorieUscite[[#Headers],[Casa]],Data!$I643=SottocategorieUscite[[#Headers],[Utenze]],Data!$I643=SottocategorieUscite[[#Headers],[Business Uscite]],Data!$I643=SottocategorieUscite[[#Headers],[Banca]]),"$ -","")</f>
        <v/>
      </c>
      <c r="M643" s="59" t="str">
        <f>IF(OR($I643&lt;&gt;SottocategorieUscite[[#Headers],[Fuori Casa]],$I643&lt;&gt;SottocategorieUscite[[#Headers],[Varie Uscite]],$I643&lt;&gt;SottocategorieUscite[[#Headers],[Personali]],$I643&lt;&gt;SottocategorieUscite[[#Headers],[Lavoro]],$I643&lt;&gt;SottocategorieUscite[[#Headers],[Casa]],$I643&lt;&gt;SottocategorieUscite[[#Headers],[Utenze]],$I643&lt;&gt;SottocategorieUscite[[#Headers],[Business Uscite]],$I643&lt;&gt;SottocategorieUscite[[#Headers],[Banca]]),"","$ -")</f>
        <v/>
      </c>
      <c r="N643" s="59" t="str">
        <f>IF(OR(Data!$I643=SottocategorieEntrate[[#Headers],[Business Entrate]],Data!$I643=SottocategorieEntrate[[#Headers],[Varie Entrate]]),"$ -","")</f>
        <v/>
      </c>
      <c r="O643" s="59" t="str">
        <f>IF(OR(Data!$I643=SottocategorieEntrate[[#Headers],[Real Estate]],SottocategorieEntrate[[#Headers],[Other]]),"$ -","")</f>
        <v/>
      </c>
      <c r="P643" s="59" t="str">
        <f>IF(OR($I643&lt;&gt;SottocategorieEntrate[[#Headers],[Business Entrate]],$I643&lt;&gt;SottocategorieEntrate[[#Headers],[Varie Entrate]],$I643&lt;&gt;SottocategorieEntrate[[#Headers],[Real Estate]],$I643&lt;&gt;SottocategorieEntrate[[#Headers],[Other]]),"","$ -")</f>
        <v/>
      </c>
      <c r="Q643" s="59" t="str">
        <f>IF(Dati[[#This Row],[Categoria]]="Prelievo","€ -","")</f>
        <v/>
      </c>
      <c r="R643" s="244"/>
      <c r="S643" s="59" t="str">
        <f>IF(Dati[[#This Row],[Categoria]]="Savings",0,"")</f>
        <v/>
      </c>
      <c r="T643" s="59"/>
      <c r="U643" s="59"/>
      <c r="V643" s="59"/>
      <c r="W643" s="59"/>
      <c r="X643" s="59"/>
      <c r="Y643" s="59"/>
      <c r="Z643" s="59"/>
      <c r="AA643" s="59"/>
      <c r="AB643" s="59"/>
      <c r="AC643" s="59"/>
      <c r="AD643" s="59"/>
      <c r="AE643" s="59"/>
      <c r="AF643" s="59"/>
      <c r="AG643" s="59"/>
      <c r="AH643" s="59"/>
      <c r="AI643" s="59" t="str">
        <f>IF(SUM(Dati[[#This Row],[Inv. Business]:[Inv. Cryptocurrency]])=0," ",SUM(Dati[[#This Row],[Inv. Business]:[Inv. Cryptocurrency]]))</f>
        <v xml:space="preserve"> </v>
      </c>
      <c r="AJ643" s="59"/>
      <c r="AK643" s="59"/>
      <c r="AL643" s="59"/>
      <c r="AM643" s="59"/>
    </row>
    <row r="644" spans="2:39" x14ac:dyDescent="0.35">
      <c r="B644">
        <f t="shared" si="25"/>
        <v>624</v>
      </c>
      <c r="C644" s="49">
        <f>C642+1</f>
        <v>45398</v>
      </c>
      <c r="D644" s="29">
        <f>DAY(Dati[[#This Row],[Data]])</f>
        <v>16</v>
      </c>
      <c r="E644" s="29" t="str">
        <f>IF(DAY(Data!$C$21:$C$1327)&gt;0,TEXT(Data!$C$21:$C$1327, "mmmm"),"")</f>
        <v>aprile</v>
      </c>
      <c r="F644" s="29" t="str">
        <f>IF(DAY(Data!$C$21:$C$1327)&gt;0,TEXT(Data!$C$21:$C$1327, "aaaa"),"")</f>
        <v>2024</v>
      </c>
      <c r="I644" t="str">
        <f>IF(OR(H644=$B$5,H644=$B$6,H644=$B$7,H644=$B$8,H644=$B$9,H644=$B$10,H644=$B$11,H644=$B$12,H644=$B$13,H644=$B$14),SottocategorieUscite[[#Headers],[Fuori Casa]],IF(OR(H644=$C$5,H644=$C$6,H644=$C$7,H644=$C$8,H644=$C$9,H644=$C$10,H644=$C$11,H644=$C$12,H644=$C$13,H644=$C$14),SottocategorieUscite[[#Headers],[Varie Uscite]],IF(OR(H644=$D$5,H644=$D$6,H644=$D$7,H644=$D$8,H644=$D$9,H644=$D$10,H644=$D$11,H644=$D$12,H644=$D$13,H644=$D$14),SottocategorieUscite[[#Headers],[Personali]],IF(OR(H644=$E$5,H644=$E$6,H644=$E$7,H644=$E$8,H644=$E$9,H644=$E$10,H644=$E$11,H644=$E$12,H644=$E$13,H644=$E$14),SottocategorieUscite[[#Headers],[Lavoro]],IF(OR(H644=$F$5,H644=$F$6,H644=$F$7,H644=$F$8,H644=$F$9,H644=$F$10,H644=$F$11,H644=$F$12,H644=$F$13,H644=$F$14),SottocategorieUscite[[#Headers],[Casa]],IF(OR(H644=$G$5,H644=$G$6,H644=$G$7,H644=$G$8,H644=$G$9,H644=$G$10,H644=$G$11,H644=$G$12,H644=$G$13,H644=$G$14),SottocategorieUscite[[#Headers],[Utenze]],IF(OR(H644=$H$5,H644=$H$6,H644=$H$7,H644=$H$8,H644=$H$9,H644=$H$10,H644=$H$11,H644=$H$12,H644=$H$13,H644=$H$14),SottocategorieUscite[[#Headers],[Business Uscite]],IF(OR(H644=$I$5,H644=$I$6,H644=$I$7,H644=$I$8,H644=$I$9,H644=$I$10,H644=$I$11,H644=$I$12,H644=$I$13,H644=$I$14),SottocategorieUscite[[#Headers],[Banca]],IF(OR(H644=K$5,H644=K$6,H644=K$7,H644=K$8,H644=K$9,H644=K$10,H644=K$11,H644=K$12,H644=K$13,H644=K$14),SottocategorieEntrate[[#Headers],[Business Entrate]],IF(OR(H644=L$5,H644=L$6,H644=L$7,H644=L$8,H644=L$9,H644=L$10,H644=L$11,H644=L$12,H644=L$13,H644=L$14),SottocategorieEntrate[[#Headers],[Varie Entrate]],IF(OR(H644=M$5,H644=M$6,H644=M$7,H644=M$8,H644=M$9,H644=M$10,H644=M$11,H644=M$12,H644=M$13,H644=M$14),SottocategorieEntrate[[#Headers],[Real Estate]],IF(OR(H644=N$5,H644=N$6,H644=N$7,H644=N$8,H644=N$9,H644=N$10,H644=N$11,H644=N$12,H644=N$13,H644=N$14),SottocategorieEntrate[[#Headers],[Other]],""))))))))))))</f>
        <v/>
      </c>
      <c r="J644" t="str">
        <f>IF(OR(Dati[[#This Row],[Categoria]]="Bollette",Dati[[#This Row],[Categoria]]="Conto &amp; Carte BNL",Dati[[#This Row],[Categoria]]="Prelievo",Dati[[#This Row],[Categoria]]="Affitto",Dati[[#This Row],[Categoria]]="BNL(Interessi Creditori)"),"Carta",IF(Dati[[#This Row],[Categoria]]&lt;&gt;0,"Cash",""))</f>
        <v/>
      </c>
      <c r="K644" s="59" t="str">
        <f>IF(OR(Data!$I644=SottocategorieUscite[[#Headers],[Fuori Casa]],Data!$I644=SottocategorieUscite[[#Headers],[Varie Uscite]],Data!$I644=SottocategorieUscite[[#Headers],[Personali]],Data!$I644=SottocategorieUscite[[#Headers],[Lavoro]]),"$ -","")</f>
        <v/>
      </c>
      <c r="L644" s="59" t="str">
        <f>IF(OR(Data!$I644=SottocategorieUscite[[#Headers],[Casa]],Data!$I644=SottocategorieUscite[[#Headers],[Utenze]],Data!$I644=SottocategorieUscite[[#Headers],[Business Uscite]],Data!$I644=SottocategorieUscite[[#Headers],[Banca]]),"$ -","")</f>
        <v/>
      </c>
      <c r="M644" s="59" t="str">
        <f>IF(OR($I644&lt;&gt;SottocategorieUscite[[#Headers],[Fuori Casa]],$I644&lt;&gt;SottocategorieUscite[[#Headers],[Varie Uscite]],$I644&lt;&gt;SottocategorieUscite[[#Headers],[Personali]],$I644&lt;&gt;SottocategorieUscite[[#Headers],[Lavoro]],$I644&lt;&gt;SottocategorieUscite[[#Headers],[Casa]],$I644&lt;&gt;SottocategorieUscite[[#Headers],[Utenze]],$I644&lt;&gt;SottocategorieUscite[[#Headers],[Business Uscite]],$I644&lt;&gt;SottocategorieUscite[[#Headers],[Banca]]),"","$ -")</f>
        <v/>
      </c>
      <c r="N644" s="59" t="str">
        <f>IF(OR(Data!$I644=SottocategorieEntrate[[#Headers],[Business Entrate]],Data!$I644=SottocategorieEntrate[[#Headers],[Varie Entrate]]),"$ -","")</f>
        <v/>
      </c>
      <c r="O644" s="59" t="str">
        <f>IF(OR(Data!$I644=SottocategorieEntrate[[#Headers],[Real Estate]],SottocategorieEntrate[[#Headers],[Other]]),"$ -","")</f>
        <v/>
      </c>
      <c r="P644" s="59" t="str">
        <f>IF(OR($I644&lt;&gt;SottocategorieEntrate[[#Headers],[Business Entrate]],$I644&lt;&gt;SottocategorieEntrate[[#Headers],[Varie Entrate]],$I644&lt;&gt;SottocategorieEntrate[[#Headers],[Real Estate]],$I644&lt;&gt;SottocategorieEntrate[[#Headers],[Other]]),"","$ -")</f>
        <v/>
      </c>
      <c r="Q644" s="59" t="str">
        <f>IF(Dati[[#This Row],[Categoria]]="Prelievo","€ -","")</f>
        <v/>
      </c>
      <c r="R644" s="244"/>
      <c r="S644" s="59" t="str">
        <f>IF(Dati[[#This Row],[Categoria]]="Savings",0,"")</f>
        <v/>
      </c>
      <c r="T644" s="59"/>
      <c r="U644" s="59"/>
      <c r="V644" s="59"/>
      <c r="W644" s="59"/>
      <c r="X644" s="59"/>
      <c r="Y644" s="59"/>
      <c r="Z644" s="59"/>
      <c r="AA644" s="59"/>
      <c r="AB644" s="59"/>
      <c r="AC644" s="59"/>
      <c r="AD644" s="59"/>
      <c r="AE644" s="59"/>
      <c r="AF644" s="59"/>
      <c r="AG644" s="59"/>
      <c r="AH644" s="59"/>
      <c r="AI644" s="59" t="str">
        <f>IF(SUM(Dati[[#This Row],[Inv. Business]:[Inv. Cryptocurrency]])=0," ",SUM(Dati[[#This Row],[Inv. Business]:[Inv. Cryptocurrency]]))</f>
        <v xml:space="preserve"> </v>
      </c>
      <c r="AJ644" s="59"/>
      <c r="AK644" s="59"/>
      <c r="AL644" s="59"/>
      <c r="AM644" s="59"/>
    </row>
    <row r="645" spans="2:39" x14ac:dyDescent="0.35">
      <c r="B645">
        <f t="shared" si="25"/>
        <v>625</v>
      </c>
      <c r="C645" s="49">
        <f>C642+1</f>
        <v>45398</v>
      </c>
      <c r="D645" s="29">
        <f>DAY(Dati[[#This Row],[Data]])</f>
        <v>16</v>
      </c>
      <c r="E645" s="29" t="str">
        <f>IF(DAY(Data!$C$21:$C$1327)&gt;0,TEXT(Data!$C$21:$C$1327, "mmmm"),"")</f>
        <v>aprile</v>
      </c>
      <c r="F645" s="29" t="str">
        <f>IF(DAY(Data!$C$21:$C$1327)&gt;0,TEXT(Data!$C$21:$C$1327, "aaaa"),"")</f>
        <v>2024</v>
      </c>
      <c r="I645" t="str">
        <f>IF(OR(H645=$B$5,H645=$B$6,H645=$B$7,H645=$B$8,H645=$B$9,H645=$B$10,H645=$B$11,H645=$B$12,H645=$B$13,H645=$B$14),SottocategorieUscite[[#Headers],[Fuori Casa]],IF(OR(H645=$C$5,H645=$C$6,H645=$C$7,H645=$C$8,H645=$C$9,H645=$C$10,H645=$C$11,H645=$C$12,H645=$C$13,H645=$C$14),SottocategorieUscite[[#Headers],[Varie Uscite]],IF(OR(H645=$D$5,H645=$D$6,H645=$D$7,H645=$D$8,H645=$D$9,H645=$D$10,H645=$D$11,H645=$D$12,H645=$D$13,H645=$D$14),SottocategorieUscite[[#Headers],[Personali]],IF(OR(H645=$E$5,H645=$E$6,H645=$E$7,H645=$E$8,H645=$E$9,H645=$E$10,H645=$E$11,H645=$E$12,H645=$E$13,H645=$E$14),SottocategorieUscite[[#Headers],[Lavoro]],IF(OR(H645=$F$5,H645=$F$6,H645=$F$7,H645=$F$8,H645=$F$9,H645=$F$10,H645=$F$11,H645=$F$12,H645=$F$13,H645=$F$14),SottocategorieUscite[[#Headers],[Casa]],IF(OR(H645=$G$5,H645=$G$6,H645=$G$7,H645=$G$8,H645=$G$9,H645=$G$10,H645=$G$11,H645=$G$12,H645=$G$13,H645=$G$14),SottocategorieUscite[[#Headers],[Utenze]],IF(OR(H645=$H$5,H645=$H$6,H645=$H$7,H645=$H$8,H645=$H$9,H645=$H$10,H645=$H$11,H645=$H$12,H645=$H$13,H645=$H$14),SottocategorieUscite[[#Headers],[Business Uscite]],IF(OR(H645=$I$5,H645=$I$6,H645=$I$7,H645=$I$8,H645=$I$9,H645=$I$10,H645=$I$11,H645=$I$12,H645=$I$13,H645=$I$14),SottocategorieUscite[[#Headers],[Banca]],IF(OR(H645=K$5,H645=K$6,H645=K$7,H645=K$8,H645=K$9,H645=K$10,H645=K$11,H645=K$12,H645=K$13,H645=K$14),SottocategorieEntrate[[#Headers],[Business Entrate]],IF(OR(H645=L$5,H645=L$6,H645=L$7,H645=L$8,H645=L$9,H645=L$10,H645=L$11,H645=L$12,H645=L$13,H645=L$14),SottocategorieEntrate[[#Headers],[Varie Entrate]],IF(OR(H645=M$5,H645=M$6,H645=M$7,H645=M$8,H645=M$9,H645=M$10,H645=M$11,H645=M$12,H645=M$13,H645=M$14),SottocategorieEntrate[[#Headers],[Real Estate]],IF(OR(H645=N$5,H645=N$6,H645=N$7,H645=N$8,H645=N$9,H645=N$10,H645=N$11,H645=N$12,H645=N$13,H645=N$14),SottocategorieEntrate[[#Headers],[Other]],""))))))))))))</f>
        <v/>
      </c>
      <c r="J645" t="str">
        <f>IF(OR(Dati[[#This Row],[Categoria]]="Bollette",Dati[[#This Row],[Categoria]]="Conto &amp; Carte BNL",Dati[[#This Row],[Categoria]]="Prelievo",Dati[[#This Row],[Categoria]]="Affitto",Dati[[#This Row],[Categoria]]="BNL(Interessi Creditori)"),"Carta",IF(Dati[[#This Row],[Categoria]]&lt;&gt;0,"Cash",""))</f>
        <v/>
      </c>
      <c r="K645" s="59" t="str">
        <f>IF(OR(Data!$I645=SottocategorieUscite[[#Headers],[Fuori Casa]],Data!$I645=SottocategorieUscite[[#Headers],[Varie Uscite]],Data!$I645=SottocategorieUscite[[#Headers],[Personali]],Data!$I645=SottocategorieUscite[[#Headers],[Lavoro]]),"$ -","")</f>
        <v/>
      </c>
      <c r="L645" s="59" t="str">
        <f>IF(OR(Data!$I645=SottocategorieUscite[[#Headers],[Casa]],Data!$I645=SottocategorieUscite[[#Headers],[Utenze]],Data!$I645=SottocategorieUscite[[#Headers],[Business Uscite]],Data!$I645=SottocategorieUscite[[#Headers],[Banca]]),"$ -","")</f>
        <v/>
      </c>
      <c r="M645" s="59" t="str">
        <f>IF(OR($I645&lt;&gt;SottocategorieUscite[[#Headers],[Fuori Casa]],$I645&lt;&gt;SottocategorieUscite[[#Headers],[Varie Uscite]],$I645&lt;&gt;SottocategorieUscite[[#Headers],[Personali]],$I645&lt;&gt;SottocategorieUscite[[#Headers],[Lavoro]],$I645&lt;&gt;SottocategorieUscite[[#Headers],[Casa]],$I645&lt;&gt;SottocategorieUscite[[#Headers],[Utenze]],$I645&lt;&gt;SottocategorieUscite[[#Headers],[Business Uscite]],$I645&lt;&gt;SottocategorieUscite[[#Headers],[Banca]]),"","$ -")</f>
        <v/>
      </c>
      <c r="N645" s="59" t="str">
        <f>IF(OR(Data!$I645=SottocategorieEntrate[[#Headers],[Business Entrate]],Data!$I645=SottocategorieEntrate[[#Headers],[Varie Entrate]]),"$ -","")</f>
        <v/>
      </c>
      <c r="O645" s="59" t="str">
        <f>IF(OR(Data!$I645=SottocategorieEntrate[[#Headers],[Real Estate]],SottocategorieEntrate[[#Headers],[Other]]),"$ -","")</f>
        <v/>
      </c>
      <c r="P645" s="59" t="str">
        <f>IF(OR($I645&lt;&gt;SottocategorieEntrate[[#Headers],[Business Entrate]],$I645&lt;&gt;SottocategorieEntrate[[#Headers],[Varie Entrate]],$I645&lt;&gt;SottocategorieEntrate[[#Headers],[Real Estate]],$I645&lt;&gt;SottocategorieEntrate[[#Headers],[Other]]),"","$ -")</f>
        <v/>
      </c>
      <c r="Q645" s="59" t="str">
        <f>IF(Dati[[#This Row],[Categoria]]="Prelievo","€ -","")</f>
        <v/>
      </c>
      <c r="R645" s="244"/>
      <c r="S645" s="59" t="str">
        <f>IF(Dati[[#This Row],[Categoria]]="Savings",0,"")</f>
        <v/>
      </c>
      <c r="T645" s="59"/>
      <c r="U645" s="59"/>
      <c r="V645" s="59"/>
      <c r="W645" s="59"/>
      <c r="X645" s="59"/>
      <c r="Y645" s="59"/>
      <c r="Z645" s="59"/>
      <c r="AA645" s="59"/>
      <c r="AB645" s="59"/>
      <c r="AC645" s="59"/>
      <c r="AD645" s="59"/>
      <c r="AE645" s="59"/>
      <c r="AF645" s="59"/>
      <c r="AG645" s="59"/>
      <c r="AH645" s="59"/>
      <c r="AI645" s="59" t="str">
        <f>IF(SUM(Dati[[#This Row],[Inv. Business]:[Inv. Cryptocurrency]])=0," ",SUM(Dati[[#This Row],[Inv. Business]:[Inv. Cryptocurrency]]))</f>
        <v xml:space="preserve"> </v>
      </c>
      <c r="AJ645" s="59"/>
      <c r="AK645" s="59"/>
      <c r="AL645" s="59"/>
      <c r="AM645" s="59"/>
    </row>
    <row r="646" spans="2:39" x14ac:dyDescent="0.35">
      <c r="B646">
        <f t="shared" si="25"/>
        <v>626</v>
      </c>
      <c r="C646" s="49">
        <f>C643+1</f>
        <v>45399</v>
      </c>
      <c r="D646" s="29">
        <f>DAY(Dati[[#This Row],[Data]])</f>
        <v>17</v>
      </c>
      <c r="E646" s="29" t="str">
        <f>IF(DAY(Data!$C$21:$C$1327)&gt;0,TEXT(Data!$C$21:$C$1327, "mmmm"),"")</f>
        <v>aprile</v>
      </c>
      <c r="F646" s="29" t="str">
        <f>IF(DAY(Data!$C$21:$C$1327)&gt;0,TEXT(Data!$C$21:$C$1327, "aaaa"),"")</f>
        <v>2024</v>
      </c>
      <c r="I646" t="str">
        <f>IF(OR(H646=$B$5,H646=$B$6,H646=$B$7,H646=$B$8,H646=$B$9,H646=$B$10,H646=$B$11,H646=$B$12,H646=$B$13,H646=$B$14),SottocategorieUscite[[#Headers],[Fuori Casa]],IF(OR(H646=$C$5,H646=$C$6,H646=$C$7,H646=$C$8,H646=$C$9,H646=$C$10,H646=$C$11,H646=$C$12,H646=$C$13,H646=$C$14),SottocategorieUscite[[#Headers],[Varie Uscite]],IF(OR(H646=$D$5,H646=$D$6,H646=$D$7,H646=$D$8,H646=$D$9,H646=$D$10,H646=$D$11,H646=$D$12,H646=$D$13,H646=$D$14),SottocategorieUscite[[#Headers],[Personali]],IF(OR(H646=$E$5,H646=$E$6,H646=$E$7,H646=$E$8,H646=$E$9,H646=$E$10,H646=$E$11,H646=$E$12,H646=$E$13,H646=$E$14),SottocategorieUscite[[#Headers],[Lavoro]],IF(OR(H646=$F$5,H646=$F$6,H646=$F$7,H646=$F$8,H646=$F$9,H646=$F$10,H646=$F$11,H646=$F$12,H646=$F$13,H646=$F$14),SottocategorieUscite[[#Headers],[Casa]],IF(OR(H646=$G$5,H646=$G$6,H646=$G$7,H646=$G$8,H646=$G$9,H646=$G$10,H646=$G$11,H646=$G$12,H646=$G$13,H646=$G$14),SottocategorieUscite[[#Headers],[Utenze]],IF(OR(H646=$H$5,H646=$H$6,H646=$H$7,H646=$H$8,H646=$H$9,H646=$H$10,H646=$H$11,H646=$H$12,H646=$H$13,H646=$H$14),SottocategorieUscite[[#Headers],[Business Uscite]],IF(OR(H646=$I$5,H646=$I$6,H646=$I$7,H646=$I$8,H646=$I$9,H646=$I$10,H646=$I$11,H646=$I$12,H646=$I$13,H646=$I$14),SottocategorieUscite[[#Headers],[Banca]],IF(OR(H646=K$5,H646=K$6,H646=K$7,H646=K$8,H646=K$9,H646=K$10,H646=K$11,H646=K$12,H646=K$13,H646=K$14),SottocategorieEntrate[[#Headers],[Business Entrate]],IF(OR(H646=L$5,H646=L$6,H646=L$7,H646=L$8,H646=L$9,H646=L$10,H646=L$11,H646=L$12,H646=L$13,H646=L$14),SottocategorieEntrate[[#Headers],[Varie Entrate]],IF(OR(H646=M$5,H646=M$6,H646=M$7,H646=M$8,H646=M$9,H646=M$10,H646=M$11,H646=M$12,H646=M$13,H646=M$14),SottocategorieEntrate[[#Headers],[Real Estate]],IF(OR(H646=N$5,H646=N$6,H646=N$7,H646=N$8,H646=N$9,H646=N$10,H646=N$11,H646=N$12,H646=N$13,H646=N$14),SottocategorieEntrate[[#Headers],[Other]],""))))))))))))</f>
        <v/>
      </c>
      <c r="J646" t="str">
        <f>IF(OR(Dati[[#This Row],[Categoria]]="Bollette",Dati[[#This Row],[Categoria]]="Conto &amp; Carte BNL",Dati[[#This Row],[Categoria]]="Prelievo",Dati[[#This Row],[Categoria]]="Affitto",Dati[[#This Row],[Categoria]]="BNL(Interessi Creditori)"),"Carta",IF(Dati[[#This Row],[Categoria]]&lt;&gt;0,"Cash",""))</f>
        <v/>
      </c>
      <c r="K646" s="59" t="str">
        <f>IF(OR(Data!$I646=SottocategorieUscite[[#Headers],[Fuori Casa]],Data!$I646=SottocategorieUscite[[#Headers],[Varie Uscite]],Data!$I646=SottocategorieUscite[[#Headers],[Personali]],Data!$I646=SottocategorieUscite[[#Headers],[Lavoro]]),"$ -","")</f>
        <v/>
      </c>
      <c r="L646" s="59" t="str">
        <f>IF(OR(Data!$I646=SottocategorieUscite[[#Headers],[Casa]],Data!$I646=SottocategorieUscite[[#Headers],[Utenze]],Data!$I646=SottocategorieUscite[[#Headers],[Business Uscite]],Data!$I646=SottocategorieUscite[[#Headers],[Banca]]),"$ -","")</f>
        <v/>
      </c>
      <c r="M646" s="59" t="str">
        <f>IF(OR($I646&lt;&gt;SottocategorieUscite[[#Headers],[Fuori Casa]],$I646&lt;&gt;SottocategorieUscite[[#Headers],[Varie Uscite]],$I646&lt;&gt;SottocategorieUscite[[#Headers],[Personali]],$I646&lt;&gt;SottocategorieUscite[[#Headers],[Lavoro]],$I646&lt;&gt;SottocategorieUscite[[#Headers],[Casa]],$I646&lt;&gt;SottocategorieUscite[[#Headers],[Utenze]],$I646&lt;&gt;SottocategorieUscite[[#Headers],[Business Uscite]],$I646&lt;&gt;SottocategorieUscite[[#Headers],[Banca]]),"","$ -")</f>
        <v/>
      </c>
      <c r="N646" s="59" t="str">
        <f>IF(OR(Data!$I646=SottocategorieEntrate[[#Headers],[Business Entrate]],Data!$I646=SottocategorieEntrate[[#Headers],[Varie Entrate]]),"$ -","")</f>
        <v/>
      </c>
      <c r="O646" s="59" t="str">
        <f>IF(OR(Data!$I646=SottocategorieEntrate[[#Headers],[Real Estate]],SottocategorieEntrate[[#Headers],[Other]]),"$ -","")</f>
        <v/>
      </c>
      <c r="P646" s="59" t="str">
        <f>IF(OR($I646&lt;&gt;SottocategorieEntrate[[#Headers],[Business Entrate]],$I646&lt;&gt;SottocategorieEntrate[[#Headers],[Varie Entrate]],$I646&lt;&gt;SottocategorieEntrate[[#Headers],[Real Estate]],$I646&lt;&gt;SottocategorieEntrate[[#Headers],[Other]]),"","$ -")</f>
        <v/>
      </c>
      <c r="Q646" s="59" t="str">
        <f>IF(Dati[[#This Row],[Categoria]]="Prelievo","€ -","")</f>
        <v/>
      </c>
      <c r="R646" s="244"/>
      <c r="S646" s="59" t="str">
        <f>IF(Dati[[#This Row],[Categoria]]="Savings",0,"")</f>
        <v/>
      </c>
      <c r="T646" s="59"/>
      <c r="U646" s="59"/>
      <c r="V646" s="59"/>
      <c r="W646" s="59"/>
      <c r="X646" s="59"/>
      <c r="Y646" s="59"/>
      <c r="Z646" s="59"/>
      <c r="AA646" s="59"/>
      <c r="AB646" s="59"/>
      <c r="AC646" s="59"/>
      <c r="AD646" s="59"/>
      <c r="AE646" s="59"/>
      <c r="AF646" s="59"/>
      <c r="AG646" s="59"/>
      <c r="AH646" s="59"/>
      <c r="AI646" s="59" t="str">
        <f>IF(SUM(Dati[[#This Row],[Inv. Business]:[Inv. Cryptocurrency]])=0," ",SUM(Dati[[#This Row],[Inv. Business]:[Inv. Cryptocurrency]]))</f>
        <v xml:space="preserve"> </v>
      </c>
      <c r="AJ646" s="59"/>
      <c r="AK646" s="59"/>
      <c r="AL646" s="59"/>
      <c r="AM646" s="59"/>
    </row>
    <row r="647" spans="2:39" x14ac:dyDescent="0.35">
      <c r="B647">
        <f t="shared" si="25"/>
        <v>627</v>
      </c>
      <c r="C647" s="49">
        <f t="shared" si="27"/>
        <v>45400</v>
      </c>
      <c r="D647" s="29">
        <f>DAY(Dati[[#This Row],[Data]])</f>
        <v>18</v>
      </c>
      <c r="E647" s="29" t="str">
        <f>IF(DAY(Data!$C$21:$C$1327)&gt;0,TEXT(Data!$C$21:$C$1327, "mmmm"),"")</f>
        <v>aprile</v>
      </c>
      <c r="F647" s="29" t="str">
        <f>IF(DAY(Data!$C$21:$C$1327)&gt;0,TEXT(Data!$C$21:$C$1327, "aaaa"),"")</f>
        <v>2024</v>
      </c>
      <c r="I647" t="str">
        <f>IF(OR(H647=$B$5,H647=$B$6,H647=$B$7,H647=$B$8,H647=$B$9,H647=$B$10,H647=$B$11,H647=$B$12,H647=$B$13,H647=$B$14),SottocategorieUscite[[#Headers],[Fuori Casa]],IF(OR(H647=$C$5,H647=$C$6,H647=$C$7,H647=$C$8,H647=$C$9,H647=$C$10,H647=$C$11,H647=$C$12,H647=$C$13,H647=$C$14),SottocategorieUscite[[#Headers],[Varie Uscite]],IF(OR(H647=$D$5,H647=$D$6,H647=$D$7,H647=$D$8,H647=$D$9,H647=$D$10,H647=$D$11,H647=$D$12,H647=$D$13,H647=$D$14),SottocategorieUscite[[#Headers],[Personali]],IF(OR(H647=$E$5,H647=$E$6,H647=$E$7,H647=$E$8,H647=$E$9,H647=$E$10,H647=$E$11,H647=$E$12,H647=$E$13,H647=$E$14),SottocategorieUscite[[#Headers],[Lavoro]],IF(OR(H647=$F$5,H647=$F$6,H647=$F$7,H647=$F$8,H647=$F$9,H647=$F$10,H647=$F$11,H647=$F$12,H647=$F$13,H647=$F$14),SottocategorieUscite[[#Headers],[Casa]],IF(OR(H647=$G$5,H647=$G$6,H647=$G$7,H647=$G$8,H647=$G$9,H647=$G$10,H647=$G$11,H647=$G$12,H647=$G$13,H647=$G$14),SottocategorieUscite[[#Headers],[Utenze]],IF(OR(H647=$H$5,H647=$H$6,H647=$H$7,H647=$H$8,H647=$H$9,H647=$H$10,H647=$H$11,H647=$H$12,H647=$H$13,H647=$H$14),SottocategorieUscite[[#Headers],[Business Uscite]],IF(OR(H647=$I$5,H647=$I$6,H647=$I$7,H647=$I$8,H647=$I$9,H647=$I$10,H647=$I$11,H647=$I$12,H647=$I$13,H647=$I$14),SottocategorieUscite[[#Headers],[Banca]],IF(OR(H647=K$5,H647=K$6,H647=K$7,H647=K$8,H647=K$9,H647=K$10,H647=K$11,H647=K$12,H647=K$13,H647=K$14),SottocategorieEntrate[[#Headers],[Business Entrate]],IF(OR(H647=L$5,H647=L$6,H647=L$7,H647=L$8,H647=L$9,H647=L$10,H647=L$11,H647=L$12,H647=L$13,H647=L$14),SottocategorieEntrate[[#Headers],[Varie Entrate]],IF(OR(H647=M$5,H647=M$6,H647=M$7,H647=M$8,H647=M$9,H647=M$10,H647=M$11,H647=M$12,H647=M$13,H647=M$14),SottocategorieEntrate[[#Headers],[Real Estate]],IF(OR(H647=N$5,H647=N$6,H647=N$7,H647=N$8,H647=N$9,H647=N$10,H647=N$11,H647=N$12,H647=N$13,H647=N$14),SottocategorieEntrate[[#Headers],[Other]],""))))))))))))</f>
        <v/>
      </c>
      <c r="J647" t="str">
        <f>IF(OR(Dati[[#This Row],[Categoria]]="Bollette",Dati[[#This Row],[Categoria]]="Conto &amp; Carte BNL",Dati[[#This Row],[Categoria]]="Prelievo",Dati[[#This Row],[Categoria]]="Affitto",Dati[[#This Row],[Categoria]]="BNL(Interessi Creditori)"),"Carta",IF(Dati[[#This Row],[Categoria]]&lt;&gt;0,"Cash",""))</f>
        <v/>
      </c>
      <c r="K647" s="59" t="str">
        <f>IF(OR(Data!$I647=SottocategorieUscite[[#Headers],[Fuori Casa]],Data!$I647=SottocategorieUscite[[#Headers],[Varie Uscite]],Data!$I647=SottocategorieUscite[[#Headers],[Personali]],Data!$I647=SottocategorieUscite[[#Headers],[Lavoro]]),"$ -","")</f>
        <v/>
      </c>
      <c r="L647" s="59" t="str">
        <f>IF(OR(Data!$I647=SottocategorieUscite[[#Headers],[Casa]],Data!$I647=SottocategorieUscite[[#Headers],[Utenze]],Data!$I647=SottocategorieUscite[[#Headers],[Business Uscite]],Data!$I647=SottocategorieUscite[[#Headers],[Banca]]),"$ -","")</f>
        <v/>
      </c>
      <c r="M647" s="59" t="str">
        <f>IF(OR($I647&lt;&gt;SottocategorieUscite[[#Headers],[Fuori Casa]],$I647&lt;&gt;SottocategorieUscite[[#Headers],[Varie Uscite]],$I647&lt;&gt;SottocategorieUscite[[#Headers],[Personali]],$I647&lt;&gt;SottocategorieUscite[[#Headers],[Lavoro]],$I647&lt;&gt;SottocategorieUscite[[#Headers],[Casa]],$I647&lt;&gt;SottocategorieUscite[[#Headers],[Utenze]],$I647&lt;&gt;SottocategorieUscite[[#Headers],[Business Uscite]],$I647&lt;&gt;SottocategorieUscite[[#Headers],[Banca]]),"","$ -")</f>
        <v/>
      </c>
      <c r="N647" s="59" t="str">
        <f>IF(OR(Data!$I647=SottocategorieEntrate[[#Headers],[Business Entrate]],Data!$I647=SottocategorieEntrate[[#Headers],[Varie Entrate]]),"$ -","")</f>
        <v/>
      </c>
      <c r="O647" s="59" t="str">
        <f>IF(OR(Data!$I647=SottocategorieEntrate[[#Headers],[Real Estate]],SottocategorieEntrate[[#Headers],[Other]]),"$ -","")</f>
        <v/>
      </c>
      <c r="P647" s="59" t="str">
        <f>IF(OR($I647&lt;&gt;SottocategorieEntrate[[#Headers],[Business Entrate]],$I647&lt;&gt;SottocategorieEntrate[[#Headers],[Varie Entrate]],$I647&lt;&gt;SottocategorieEntrate[[#Headers],[Real Estate]],$I647&lt;&gt;SottocategorieEntrate[[#Headers],[Other]]),"","$ -")</f>
        <v/>
      </c>
      <c r="Q647" s="59" t="str">
        <f>IF(Dati[[#This Row],[Categoria]]="Prelievo","€ -","")</f>
        <v/>
      </c>
      <c r="R647" s="244"/>
      <c r="S647" s="59" t="str">
        <f>IF(Dati[[#This Row],[Categoria]]="Savings",0,"")</f>
        <v/>
      </c>
      <c r="T647" s="59"/>
      <c r="U647" s="59"/>
      <c r="V647" s="59"/>
      <c r="W647" s="59"/>
      <c r="X647" s="59"/>
      <c r="Y647" s="59"/>
      <c r="Z647" s="59"/>
      <c r="AA647" s="59"/>
      <c r="AB647" s="59"/>
      <c r="AC647" s="59"/>
      <c r="AD647" s="59"/>
      <c r="AE647" s="59"/>
      <c r="AF647" s="59"/>
      <c r="AG647" s="59"/>
      <c r="AH647" s="59"/>
      <c r="AI647" s="59" t="str">
        <f>IF(SUM(Dati[[#This Row],[Inv. Business]:[Inv. Cryptocurrency]])=0," ",SUM(Dati[[#This Row],[Inv. Business]:[Inv. Cryptocurrency]]))</f>
        <v xml:space="preserve"> </v>
      </c>
      <c r="AJ647" s="59"/>
      <c r="AK647" s="59"/>
      <c r="AL647" s="59"/>
      <c r="AM647" s="59"/>
    </row>
    <row r="648" spans="2:39" x14ac:dyDescent="0.35">
      <c r="B648">
        <f t="shared" si="25"/>
        <v>628</v>
      </c>
      <c r="C648" s="49">
        <f>C646+1</f>
        <v>45400</v>
      </c>
      <c r="D648" s="29">
        <f>DAY(Dati[[#This Row],[Data]])</f>
        <v>18</v>
      </c>
      <c r="E648" s="29" t="str">
        <f>IF(DAY(Data!$C$21:$C$1327)&gt;0,TEXT(Data!$C$21:$C$1327, "mmmm"),"")</f>
        <v>aprile</v>
      </c>
      <c r="F648" s="29" t="str">
        <f>IF(DAY(Data!$C$21:$C$1327)&gt;0,TEXT(Data!$C$21:$C$1327, "aaaa"),"")</f>
        <v>2024</v>
      </c>
      <c r="I648" t="str">
        <f>IF(OR(H648=$B$5,H648=$B$6,H648=$B$7,H648=$B$8,H648=$B$9,H648=$B$10,H648=$B$11,H648=$B$12,H648=$B$13,H648=$B$14),SottocategorieUscite[[#Headers],[Fuori Casa]],IF(OR(H648=$C$5,H648=$C$6,H648=$C$7,H648=$C$8,H648=$C$9,H648=$C$10,H648=$C$11,H648=$C$12,H648=$C$13,H648=$C$14),SottocategorieUscite[[#Headers],[Varie Uscite]],IF(OR(H648=$D$5,H648=$D$6,H648=$D$7,H648=$D$8,H648=$D$9,H648=$D$10,H648=$D$11,H648=$D$12,H648=$D$13,H648=$D$14),SottocategorieUscite[[#Headers],[Personali]],IF(OR(H648=$E$5,H648=$E$6,H648=$E$7,H648=$E$8,H648=$E$9,H648=$E$10,H648=$E$11,H648=$E$12,H648=$E$13,H648=$E$14),SottocategorieUscite[[#Headers],[Lavoro]],IF(OR(H648=$F$5,H648=$F$6,H648=$F$7,H648=$F$8,H648=$F$9,H648=$F$10,H648=$F$11,H648=$F$12,H648=$F$13,H648=$F$14),SottocategorieUscite[[#Headers],[Casa]],IF(OR(H648=$G$5,H648=$G$6,H648=$G$7,H648=$G$8,H648=$G$9,H648=$G$10,H648=$G$11,H648=$G$12,H648=$G$13,H648=$G$14),SottocategorieUscite[[#Headers],[Utenze]],IF(OR(H648=$H$5,H648=$H$6,H648=$H$7,H648=$H$8,H648=$H$9,H648=$H$10,H648=$H$11,H648=$H$12,H648=$H$13,H648=$H$14),SottocategorieUscite[[#Headers],[Business Uscite]],IF(OR(H648=$I$5,H648=$I$6,H648=$I$7,H648=$I$8,H648=$I$9,H648=$I$10,H648=$I$11,H648=$I$12,H648=$I$13,H648=$I$14),SottocategorieUscite[[#Headers],[Banca]],IF(OR(H648=K$5,H648=K$6,H648=K$7,H648=K$8,H648=K$9,H648=K$10,H648=K$11,H648=K$12,H648=K$13,H648=K$14),SottocategorieEntrate[[#Headers],[Business Entrate]],IF(OR(H648=L$5,H648=L$6,H648=L$7,H648=L$8,H648=L$9,H648=L$10,H648=L$11,H648=L$12,H648=L$13,H648=L$14),SottocategorieEntrate[[#Headers],[Varie Entrate]],IF(OR(H648=M$5,H648=M$6,H648=M$7,H648=M$8,H648=M$9,H648=M$10,H648=M$11,H648=M$12,H648=M$13,H648=M$14),SottocategorieEntrate[[#Headers],[Real Estate]],IF(OR(H648=N$5,H648=N$6,H648=N$7,H648=N$8,H648=N$9,H648=N$10,H648=N$11,H648=N$12,H648=N$13,H648=N$14),SottocategorieEntrate[[#Headers],[Other]],""))))))))))))</f>
        <v/>
      </c>
      <c r="J648" t="str">
        <f>IF(OR(Dati[[#This Row],[Categoria]]="Bollette",Dati[[#This Row],[Categoria]]="Conto &amp; Carte BNL",Dati[[#This Row],[Categoria]]="Prelievo",Dati[[#This Row],[Categoria]]="Affitto",Dati[[#This Row],[Categoria]]="BNL(Interessi Creditori)"),"Carta",IF(Dati[[#This Row],[Categoria]]&lt;&gt;0,"Cash",""))</f>
        <v/>
      </c>
      <c r="K648" s="59" t="str">
        <f>IF(OR(Data!$I648=SottocategorieUscite[[#Headers],[Fuori Casa]],Data!$I648=SottocategorieUscite[[#Headers],[Varie Uscite]],Data!$I648=SottocategorieUscite[[#Headers],[Personali]],Data!$I648=SottocategorieUscite[[#Headers],[Lavoro]]),"$ -","")</f>
        <v/>
      </c>
      <c r="L648" s="59" t="str">
        <f>IF(OR(Data!$I648=SottocategorieUscite[[#Headers],[Casa]],Data!$I648=SottocategorieUscite[[#Headers],[Utenze]],Data!$I648=SottocategorieUscite[[#Headers],[Business Uscite]],Data!$I648=SottocategorieUscite[[#Headers],[Banca]]),"$ -","")</f>
        <v/>
      </c>
      <c r="M648" s="59" t="str">
        <f>IF(OR($I648&lt;&gt;SottocategorieUscite[[#Headers],[Fuori Casa]],$I648&lt;&gt;SottocategorieUscite[[#Headers],[Varie Uscite]],$I648&lt;&gt;SottocategorieUscite[[#Headers],[Personali]],$I648&lt;&gt;SottocategorieUscite[[#Headers],[Lavoro]],$I648&lt;&gt;SottocategorieUscite[[#Headers],[Casa]],$I648&lt;&gt;SottocategorieUscite[[#Headers],[Utenze]],$I648&lt;&gt;SottocategorieUscite[[#Headers],[Business Uscite]],$I648&lt;&gt;SottocategorieUscite[[#Headers],[Banca]]),"","$ -")</f>
        <v/>
      </c>
      <c r="N648" s="59" t="str">
        <f>IF(OR(Data!$I648=SottocategorieEntrate[[#Headers],[Business Entrate]],Data!$I648=SottocategorieEntrate[[#Headers],[Varie Entrate]]),"$ -","")</f>
        <v/>
      </c>
      <c r="O648" s="59" t="str">
        <f>IF(OR(Data!$I648=SottocategorieEntrate[[#Headers],[Real Estate]],SottocategorieEntrate[[#Headers],[Other]]),"$ -","")</f>
        <v/>
      </c>
      <c r="P648" s="59" t="str">
        <f>IF(OR($I648&lt;&gt;SottocategorieEntrate[[#Headers],[Business Entrate]],$I648&lt;&gt;SottocategorieEntrate[[#Headers],[Varie Entrate]],$I648&lt;&gt;SottocategorieEntrate[[#Headers],[Real Estate]],$I648&lt;&gt;SottocategorieEntrate[[#Headers],[Other]]),"","$ -")</f>
        <v/>
      </c>
      <c r="Q648" s="59" t="str">
        <f>IF(Dati[[#This Row],[Categoria]]="Prelievo","€ -","")</f>
        <v/>
      </c>
      <c r="R648" s="244"/>
      <c r="S648" s="59" t="str">
        <f>IF(Dati[[#This Row],[Categoria]]="Savings",0,"")</f>
        <v/>
      </c>
      <c r="T648" s="59"/>
      <c r="U648" s="59"/>
      <c r="V648" s="59"/>
      <c r="W648" s="59"/>
      <c r="X648" s="59"/>
      <c r="Y648" s="59"/>
      <c r="Z648" s="59"/>
      <c r="AA648" s="59"/>
      <c r="AB648" s="59"/>
      <c r="AC648" s="59"/>
      <c r="AD648" s="59"/>
      <c r="AE648" s="59"/>
      <c r="AF648" s="59"/>
      <c r="AG648" s="59"/>
      <c r="AH648" s="59"/>
      <c r="AI648" s="59" t="str">
        <f>IF(SUM(Dati[[#This Row],[Inv. Business]:[Inv. Cryptocurrency]])=0," ",SUM(Dati[[#This Row],[Inv. Business]:[Inv. Cryptocurrency]]))</f>
        <v xml:space="preserve"> </v>
      </c>
      <c r="AJ648" s="59"/>
      <c r="AK648" s="59"/>
      <c r="AL648" s="59"/>
      <c r="AM648" s="59"/>
    </row>
    <row r="649" spans="2:39" x14ac:dyDescent="0.35">
      <c r="B649">
        <f t="shared" si="25"/>
        <v>629</v>
      </c>
      <c r="C649" s="49">
        <f>C647+1</f>
        <v>45401</v>
      </c>
      <c r="D649" s="29">
        <f>DAY(Dati[[#This Row],[Data]])</f>
        <v>19</v>
      </c>
      <c r="E649" s="29" t="str">
        <f>IF(DAY(Data!$C$21:$C$1327)&gt;0,TEXT(Data!$C$21:$C$1327, "mmmm"),"")</f>
        <v>aprile</v>
      </c>
      <c r="F649" s="29" t="str">
        <f>IF(DAY(Data!$C$21:$C$1327)&gt;0,TEXT(Data!$C$21:$C$1327, "aaaa"),"")</f>
        <v>2024</v>
      </c>
      <c r="I649" t="str">
        <f>IF(OR(H649=$B$5,H649=$B$6,H649=$B$7,H649=$B$8,H649=$B$9,H649=$B$10,H649=$B$11,H649=$B$12,H649=$B$13,H649=$B$14),SottocategorieUscite[[#Headers],[Fuori Casa]],IF(OR(H649=$C$5,H649=$C$6,H649=$C$7,H649=$C$8,H649=$C$9,H649=$C$10,H649=$C$11,H649=$C$12,H649=$C$13,H649=$C$14),SottocategorieUscite[[#Headers],[Varie Uscite]],IF(OR(H649=$D$5,H649=$D$6,H649=$D$7,H649=$D$8,H649=$D$9,H649=$D$10,H649=$D$11,H649=$D$12,H649=$D$13,H649=$D$14),SottocategorieUscite[[#Headers],[Personali]],IF(OR(H649=$E$5,H649=$E$6,H649=$E$7,H649=$E$8,H649=$E$9,H649=$E$10,H649=$E$11,H649=$E$12,H649=$E$13,H649=$E$14),SottocategorieUscite[[#Headers],[Lavoro]],IF(OR(H649=$F$5,H649=$F$6,H649=$F$7,H649=$F$8,H649=$F$9,H649=$F$10,H649=$F$11,H649=$F$12,H649=$F$13,H649=$F$14),SottocategorieUscite[[#Headers],[Casa]],IF(OR(H649=$G$5,H649=$G$6,H649=$G$7,H649=$G$8,H649=$G$9,H649=$G$10,H649=$G$11,H649=$G$12,H649=$G$13,H649=$G$14),SottocategorieUscite[[#Headers],[Utenze]],IF(OR(H649=$H$5,H649=$H$6,H649=$H$7,H649=$H$8,H649=$H$9,H649=$H$10,H649=$H$11,H649=$H$12,H649=$H$13,H649=$H$14),SottocategorieUscite[[#Headers],[Business Uscite]],IF(OR(H649=$I$5,H649=$I$6,H649=$I$7,H649=$I$8,H649=$I$9,H649=$I$10,H649=$I$11,H649=$I$12,H649=$I$13,H649=$I$14),SottocategorieUscite[[#Headers],[Banca]],IF(OR(H649=K$5,H649=K$6,H649=K$7,H649=K$8,H649=K$9,H649=K$10,H649=K$11,H649=K$12,H649=K$13,H649=K$14),SottocategorieEntrate[[#Headers],[Business Entrate]],IF(OR(H649=L$5,H649=L$6,H649=L$7,H649=L$8,H649=L$9,H649=L$10,H649=L$11,H649=L$12,H649=L$13,H649=L$14),SottocategorieEntrate[[#Headers],[Varie Entrate]],IF(OR(H649=M$5,H649=M$6,H649=M$7,H649=M$8,H649=M$9,H649=M$10,H649=M$11,H649=M$12,H649=M$13,H649=M$14),SottocategorieEntrate[[#Headers],[Real Estate]],IF(OR(H649=N$5,H649=N$6,H649=N$7,H649=N$8,H649=N$9,H649=N$10,H649=N$11,H649=N$12,H649=N$13,H649=N$14),SottocategorieEntrate[[#Headers],[Other]],""))))))))))))</f>
        <v/>
      </c>
      <c r="J649" t="str">
        <f>IF(OR(Dati[[#This Row],[Categoria]]="Bollette",Dati[[#This Row],[Categoria]]="Conto &amp; Carte BNL",Dati[[#This Row],[Categoria]]="Prelievo",Dati[[#This Row],[Categoria]]="Affitto",Dati[[#This Row],[Categoria]]="BNL(Interessi Creditori)"),"Carta",IF(Dati[[#This Row],[Categoria]]&lt;&gt;0,"Cash",""))</f>
        <v/>
      </c>
      <c r="K649" s="59" t="str">
        <f>IF(OR(Data!$I649=SottocategorieUscite[[#Headers],[Fuori Casa]],Data!$I649=SottocategorieUscite[[#Headers],[Varie Uscite]],Data!$I649=SottocategorieUscite[[#Headers],[Personali]],Data!$I649=SottocategorieUscite[[#Headers],[Lavoro]]),"$ -","")</f>
        <v/>
      </c>
      <c r="L649" s="59" t="str">
        <f>IF(OR(Data!$I649=SottocategorieUscite[[#Headers],[Casa]],Data!$I649=SottocategorieUscite[[#Headers],[Utenze]],Data!$I649=SottocategorieUscite[[#Headers],[Business Uscite]],Data!$I649=SottocategorieUscite[[#Headers],[Banca]]),"$ -","")</f>
        <v/>
      </c>
      <c r="M649" s="59" t="str">
        <f>IF(OR($I649&lt;&gt;SottocategorieUscite[[#Headers],[Fuori Casa]],$I649&lt;&gt;SottocategorieUscite[[#Headers],[Varie Uscite]],$I649&lt;&gt;SottocategorieUscite[[#Headers],[Personali]],$I649&lt;&gt;SottocategorieUscite[[#Headers],[Lavoro]],$I649&lt;&gt;SottocategorieUscite[[#Headers],[Casa]],$I649&lt;&gt;SottocategorieUscite[[#Headers],[Utenze]],$I649&lt;&gt;SottocategorieUscite[[#Headers],[Business Uscite]],$I649&lt;&gt;SottocategorieUscite[[#Headers],[Banca]]),"","$ -")</f>
        <v/>
      </c>
      <c r="N649" s="59" t="str">
        <f>IF(OR(Data!$I649=SottocategorieEntrate[[#Headers],[Business Entrate]],Data!$I649=SottocategorieEntrate[[#Headers],[Varie Entrate]]),"$ -","")</f>
        <v/>
      </c>
      <c r="O649" s="59" t="str">
        <f>IF(OR(Data!$I649=SottocategorieEntrate[[#Headers],[Real Estate]],SottocategorieEntrate[[#Headers],[Other]]),"$ -","")</f>
        <v/>
      </c>
      <c r="P649" s="59" t="str">
        <f>IF(OR($I649&lt;&gt;SottocategorieEntrate[[#Headers],[Business Entrate]],$I649&lt;&gt;SottocategorieEntrate[[#Headers],[Varie Entrate]],$I649&lt;&gt;SottocategorieEntrate[[#Headers],[Real Estate]],$I649&lt;&gt;SottocategorieEntrate[[#Headers],[Other]]),"","$ -")</f>
        <v/>
      </c>
      <c r="Q649" s="59" t="str">
        <f>IF(Dati[[#This Row],[Categoria]]="Prelievo","€ -","")</f>
        <v/>
      </c>
      <c r="R649" s="244"/>
      <c r="S649" s="59" t="str">
        <f>IF(Dati[[#This Row],[Categoria]]="Savings",0,"")</f>
        <v/>
      </c>
      <c r="T649" s="59"/>
      <c r="U649" s="59"/>
      <c r="V649" s="59"/>
      <c r="W649" s="59"/>
      <c r="X649" s="59"/>
      <c r="Y649" s="59"/>
      <c r="Z649" s="59"/>
      <c r="AA649" s="59"/>
      <c r="AB649" s="59"/>
      <c r="AC649" s="59"/>
      <c r="AD649" s="59"/>
      <c r="AE649" s="59"/>
      <c r="AF649" s="59"/>
      <c r="AG649" s="59"/>
      <c r="AH649" s="59"/>
      <c r="AI649" s="59" t="str">
        <f>IF(SUM(Dati[[#This Row],[Inv. Business]:[Inv. Cryptocurrency]])=0," ",SUM(Dati[[#This Row],[Inv. Business]:[Inv. Cryptocurrency]]))</f>
        <v xml:space="preserve"> </v>
      </c>
      <c r="AJ649" s="59"/>
      <c r="AK649" s="59"/>
      <c r="AL649" s="59"/>
      <c r="AM649" s="59"/>
    </row>
    <row r="650" spans="2:39" x14ac:dyDescent="0.35">
      <c r="B650">
        <f t="shared" si="25"/>
        <v>630</v>
      </c>
      <c r="C650" s="49">
        <f>C648+1</f>
        <v>45401</v>
      </c>
      <c r="D650" s="29">
        <f>DAY(Dati[[#This Row],[Data]])</f>
        <v>19</v>
      </c>
      <c r="E650" s="29" t="str">
        <f>IF(DAY(Data!$C$21:$C$1327)&gt;0,TEXT(Data!$C$21:$C$1327, "mmmm"),"")</f>
        <v>aprile</v>
      </c>
      <c r="F650" s="29" t="str">
        <f>IF(DAY(Data!$C$21:$C$1327)&gt;0,TEXT(Data!$C$21:$C$1327, "aaaa"),"")</f>
        <v>2024</v>
      </c>
      <c r="I650" t="str">
        <f>IF(OR(H650=$B$5,H650=$B$6,H650=$B$7,H650=$B$8,H650=$B$9,H650=$B$10,H650=$B$11,H650=$B$12,H650=$B$13,H650=$B$14),SottocategorieUscite[[#Headers],[Fuori Casa]],IF(OR(H650=$C$5,H650=$C$6,H650=$C$7,H650=$C$8,H650=$C$9,H650=$C$10,H650=$C$11,H650=$C$12,H650=$C$13,H650=$C$14),SottocategorieUscite[[#Headers],[Varie Uscite]],IF(OR(H650=$D$5,H650=$D$6,H650=$D$7,H650=$D$8,H650=$D$9,H650=$D$10,H650=$D$11,H650=$D$12,H650=$D$13,H650=$D$14),SottocategorieUscite[[#Headers],[Personali]],IF(OR(H650=$E$5,H650=$E$6,H650=$E$7,H650=$E$8,H650=$E$9,H650=$E$10,H650=$E$11,H650=$E$12,H650=$E$13,H650=$E$14),SottocategorieUscite[[#Headers],[Lavoro]],IF(OR(H650=$F$5,H650=$F$6,H650=$F$7,H650=$F$8,H650=$F$9,H650=$F$10,H650=$F$11,H650=$F$12,H650=$F$13,H650=$F$14),SottocategorieUscite[[#Headers],[Casa]],IF(OR(H650=$G$5,H650=$G$6,H650=$G$7,H650=$G$8,H650=$G$9,H650=$G$10,H650=$G$11,H650=$G$12,H650=$G$13,H650=$G$14),SottocategorieUscite[[#Headers],[Utenze]],IF(OR(H650=$H$5,H650=$H$6,H650=$H$7,H650=$H$8,H650=$H$9,H650=$H$10,H650=$H$11,H650=$H$12,H650=$H$13,H650=$H$14),SottocategorieUscite[[#Headers],[Business Uscite]],IF(OR(H650=$I$5,H650=$I$6,H650=$I$7,H650=$I$8,H650=$I$9,H650=$I$10,H650=$I$11,H650=$I$12,H650=$I$13,H650=$I$14),SottocategorieUscite[[#Headers],[Banca]],IF(OR(H650=K$5,H650=K$6,H650=K$7,H650=K$8,H650=K$9,H650=K$10,H650=K$11,H650=K$12,H650=K$13,H650=K$14),SottocategorieEntrate[[#Headers],[Business Entrate]],IF(OR(H650=L$5,H650=L$6,H650=L$7,H650=L$8,H650=L$9,H650=L$10,H650=L$11,H650=L$12,H650=L$13,H650=L$14),SottocategorieEntrate[[#Headers],[Varie Entrate]],IF(OR(H650=M$5,H650=M$6,H650=M$7,H650=M$8,H650=M$9,H650=M$10,H650=M$11,H650=M$12,H650=M$13,H650=M$14),SottocategorieEntrate[[#Headers],[Real Estate]],IF(OR(H650=N$5,H650=N$6,H650=N$7,H650=N$8,H650=N$9,H650=N$10,H650=N$11,H650=N$12,H650=N$13,H650=N$14),SottocategorieEntrate[[#Headers],[Other]],""))))))))))))</f>
        <v/>
      </c>
      <c r="J650" t="str">
        <f>IF(OR(Dati[[#This Row],[Categoria]]="Bollette",Dati[[#This Row],[Categoria]]="Conto &amp; Carte BNL",Dati[[#This Row],[Categoria]]="Prelievo",Dati[[#This Row],[Categoria]]="Affitto",Dati[[#This Row],[Categoria]]="BNL(Interessi Creditori)"),"Carta",IF(Dati[[#This Row],[Categoria]]&lt;&gt;0,"Cash",""))</f>
        <v/>
      </c>
      <c r="K650" s="59" t="str">
        <f>IF(OR(Data!$I650=SottocategorieUscite[[#Headers],[Fuori Casa]],Data!$I650=SottocategorieUscite[[#Headers],[Varie Uscite]],Data!$I650=SottocategorieUscite[[#Headers],[Personali]],Data!$I650=SottocategorieUscite[[#Headers],[Lavoro]]),"$ -","")</f>
        <v/>
      </c>
      <c r="L650" s="59" t="str">
        <f>IF(OR(Data!$I650=SottocategorieUscite[[#Headers],[Casa]],Data!$I650=SottocategorieUscite[[#Headers],[Utenze]],Data!$I650=SottocategorieUscite[[#Headers],[Business Uscite]],Data!$I650=SottocategorieUscite[[#Headers],[Banca]]),"$ -","")</f>
        <v/>
      </c>
      <c r="M650" s="59" t="str">
        <f>IF(OR($I650&lt;&gt;SottocategorieUscite[[#Headers],[Fuori Casa]],$I650&lt;&gt;SottocategorieUscite[[#Headers],[Varie Uscite]],$I650&lt;&gt;SottocategorieUscite[[#Headers],[Personali]],$I650&lt;&gt;SottocategorieUscite[[#Headers],[Lavoro]],$I650&lt;&gt;SottocategorieUscite[[#Headers],[Casa]],$I650&lt;&gt;SottocategorieUscite[[#Headers],[Utenze]],$I650&lt;&gt;SottocategorieUscite[[#Headers],[Business Uscite]],$I650&lt;&gt;SottocategorieUscite[[#Headers],[Banca]]),"","$ -")</f>
        <v/>
      </c>
      <c r="N650" s="59" t="str">
        <f>IF(OR(Data!$I650=SottocategorieEntrate[[#Headers],[Business Entrate]],Data!$I650=SottocategorieEntrate[[#Headers],[Varie Entrate]]),"$ -","")</f>
        <v/>
      </c>
      <c r="O650" s="59" t="str">
        <f>IF(OR(Data!$I650=SottocategorieEntrate[[#Headers],[Real Estate]],SottocategorieEntrate[[#Headers],[Other]]),"$ -","")</f>
        <v/>
      </c>
      <c r="P650" s="59" t="str">
        <f>IF(OR($I650&lt;&gt;SottocategorieEntrate[[#Headers],[Business Entrate]],$I650&lt;&gt;SottocategorieEntrate[[#Headers],[Varie Entrate]],$I650&lt;&gt;SottocategorieEntrate[[#Headers],[Real Estate]],$I650&lt;&gt;SottocategorieEntrate[[#Headers],[Other]]),"","$ -")</f>
        <v/>
      </c>
      <c r="Q650" s="59" t="str">
        <f>IF(Dati[[#This Row],[Categoria]]="Prelievo","€ -","")</f>
        <v/>
      </c>
      <c r="R650" s="244"/>
      <c r="S650" s="59" t="str">
        <f>IF(Dati[[#This Row],[Categoria]]="Savings",0,"")</f>
        <v/>
      </c>
      <c r="T650" s="59"/>
      <c r="U650" s="59"/>
      <c r="V650" s="59"/>
      <c r="W650" s="59"/>
      <c r="X650" s="59"/>
      <c r="Y650" s="59"/>
      <c r="Z650" s="59"/>
      <c r="AA650" s="59"/>
      <c r="AB650" s="59"/>
      <c r="AC650" s="59"/>
      <c r="AD650" s="59"/>
      <c r="AE650" s="59"/>
      <c r="AF650" s="59"/>
      <c r="AG650" s="59"/>
      <c r="AH650" s="59"/>
      <c r="AI650" s="59" t="str">
        <f>IF(SUM(Dati[[#This Row],[Inv. Business]:[Inv. Cryptocurrency]])=0," ",SUM(Dati[[#This Row],[Inv. Business]:[Inv. Cryptocurrency]]))</f>
        <v xml:space="preserve"> </v>
      </c>
      <c r="AJ650" s="59"/>
      <c r="AK650" s="59"/>
      <c r="AL650" s="59"/>
      <c r="AM650" s="59"/>
    </row>
    <row r="651" spans="2:39" x14ac:dyDescent="0.35">
      <c r="B651">
        <f t="shared" si="25"/>
        <v>631</v>
      </c>
      <c r="C651" s="49">
        <f>C648+1</f>
        <v>45401</v>
      </c>
      <c r="D651" s="29">
        <f>DAY(Dati[[#This Row],[Data]])</f>
        <v>19</v>
      </c>
      <c r="E651" s="29" t="str">
        <f>IF(DAY(Data!$C$21:$C$1327)&gt;0,TEXT(Data!$C$21:$C$1327, "mmmm"),"")</f>
        <v>aprile</v>
      </c>
      <c r="F651" s="29" t="str">
        <f>IF(DAY(Data!$C$21:$C$1327)&gt;0,TEXT(Data!$C$21:$C$1327, "aaaa"),"")</f>
        <v>2024</v>
      </c>
      <c r="I651" t="str">
        <f>IF(OR(H651=$B$5,H651=$B$6,H651=$B$7,H651=$B$8,H651=$B$9,H651=$B$10,H651=$B$11,H651=$B$12,H651=$B$13,H651=$B$14),SottocategorieUscite[[#Headers],[Fuori Casa]],IF(OR(H651=$C$5,H651=$C$6,H651=$C$7,H651=$C$8,H651=$C$9,H651=$C$10,H651=$C$11,H651=$C$12,H651=$C$13,H651=$C$14),SottocategorieUscite[[#Headers],[Varie Uscite]],IF(OR(H651=$D$5,H651=$D$6,H651=$D$7,H651=$D$8,H651=$D$9,H651=$D$10,H651=$D$11,H651=$D$12,H651=$D$13,H651=$D$14),SottocategorieUscite[[#Headers],[Personali]],IF(OR(H651=$E$5,H651=$E$6,H651=$E$7,H651=$E$8,H651=$E$9,H651=$E$10,H651=$E$11,H651=$E$12,H651=$E$13,H651=$E$14),SottocategorieUscite[[#Headers],[Lavoro]],IF(OR(H651=$F$5,H651=$F$6,H651=$F$7,H651=$F$8,H651=$F$9,H651=$F$10,H651=$F$11,H651=$F$12,H651=$F$13,H651=$F$14),SottocategorieUscite[[#Headers],[Casa]],IF(OR(H651=$G$5,H651=$G$6,H651=$G$7,H651=$G$8,H651=$G$9,H651=$G$10,H651=$G$11,H651=$G$12,H651=$G$13,H651=$G$14),SottocategorieUscite[[#Headers],[Utenze]],IF(OR(H651=$H$5,H651=$H$6,H651=$H$7,H651=$H$8,H651=$H$9,H651=$H$10,H651=$H$11,H651=$H$12,H651=$H$13,H651=$H$14),SottocategorieUscite[[#Headers],[Business Uscite]],IF(OR(H651=$I$5,H651=$I$6,H651=$I$7,H651=$I$8,H651=$I$9,H651=$I$10,H651=$I$11,H651=$I$12,H651=$I$13,H651=$I$14),SottocategorieUscite[[#Headers],[Banca]],IF(OR(H651=K$5,H651=K$6,H651=K$7,H651=K$8,H651=K$9,H651=K$10,H651=K$11,H651=K$12,H651=K$13,H651=K$14),SottocategorieEntrate[[#Headers],[Business Entrate]],IF(OR(H651=L$5,H651=L$6,H651=L$7,H651=L$8,H651=L$9,H651=L$10,H651=L$11,H651=L$12,H651=L$13,H651=L$14),SottocategorieEntrate[[#Headers],[Varie Entrate]],IF(OR(H651=M$5,H651=M$6,H651=M$7,H651=M$8,H651=M$9,H651=M$10,H651=M$11,H651=M$12,H651=M$13,H651=M$14),SottocategorieEntrate[[#Headers],[Real Estate]],IF(OR(H651=N$5,H651=N$6,H651=N$7,H651=N$8,H651=N$9,H651=N$10,H651=N$11,H651=N$12,H651=N$13,H651=N$14),SottocategorieEntrate[[#Headers],[Other]],""))))))))))))</f>
        <v/>
      </c>
      <c r="J651" t="str">
        <f>IF(OR(Dati[[#This Row],[Categoria]]="Bollette",Dati[[#This Row],[Categoria]]="Conto &amp; Carte BNL",Dati[[#This Row],[Categoria]]="Prelievo",Dati[[#This Row],[Categoria]]="Affitto",Dati[[#This Row],[Categoria]]="BNL(Interessi Creditori)"),"Carta",IF(Dati[[#This Row],[Categoria]]&lt;&gt;0,"Cash",""))</f>
        <v/>
      </c>
      <c r="K651" s="59" t="str">
        <f>IF(OR(Data!$I651=SottocategorieUscite[[#Headers],[Fuori Casa]],Data!$I651=SottocategorieUscite[[#Headers],[Varie Uscite]],Data!$I651=SottocategorieUscite[[#Headers],[Personali]],Data!$I651=SottocategorieUscite[[#Headers],[Lavoro]]),"$ -","")</f>
        <v/>
      </c>
      <c r="L651" s="59" t="str">
        <f>IF(OR(Data!$I651=SottocategorieUscite[[#Headers],[Casa]],Data!$I651=SottocategorieUscite[[#Headers],[Utenze]],Data!$I651=SottocategorieUscite[[#Headers],[Business Uscite]],Data!$I651=SottocategorieUscite[[#Headers],[Banca]]),"$ -","")</f>
        <v/>
      </c>
      <c r="M651" s="59" t="str">
        <f>IF(OR($I651&lt;&gt;SottocategorieUscite[[#Headers],[Fuori Casa]],$I651&lt;&gt;SottocategorieUscite[[#Headers],[Varie Uscite]],$I651&lt;&gt;SottocategorieUscite[[#Headers],[Personali]],$I651&lt;&gt;SottocategorieUscite[[#Headers],[Lavoro]],$I651&lt;&gt;SottocategorieUscite[[#Headers],[Casa]],$I651&lt;&gt;SottocategorieUscite[[#Headers],[Utenze]],$I651&lt;&gt;SottocategorieUscite[[#Headers],[Business Uscite]],$I651&lt;&gt;SottocategorieUscite[[#Headers],[Banca]]),"","$ -")</f>
        <v/>
      </c>
      <c r="N651" s="59" t="str">
        <f>IF(OR(Data!$I651=SottocategorieEntrate[[#Headers],[Business Entrate]],Data!$I651=SottocategorieEntrate[[#Headers],[Varie Entrate]]),"$ -","")</f>
        <v/>
      </c>
      <c r="O651" s="59" t="str">
        <f>IF(OR(Data!$I651=SottocategorieEntrate[[#Headers],[Real Estate]],SottocategorieEntrate[[#Headers],[Other]]),"$ -","")</f>
        <v/>
      </c>
      <c r="P651" s="59" t="str">
        <f>IF(OR($I651&lt;&gt;SottocategorieEntrate[[#Headers],[Business Entrate]],$I651&lt;&gt;SottocategorieEntrate[[#Headers],[Varie Entrate]],$I651&lt;&gt;SottocategorieEntrate[[#Headers],[Real Estate]],$I651&lt;&gt;SottocategorieEntrate[[#Headers],[Other]]),"","$ -")</f>
        <v/>
      </c>
      <c r="Q651" s="59" t="str">
        <f>IF(Dati[[#This Row],[Categoria]]="Prelievo","€ -","")</f>
        <v/>
      </c>
      <c r="R651" s="244"/>
      <c r="S651" s="59" t="str">
        <f>IF(Dati[[#This Row],[Categoria]]="Savings",0,"")</f>
        <v/>
      </c>
      <c r="T651" s="59"/>
      <c r="U651" s="59"/>
      <c r="V651" s="59"/>
      <c r="W651" s="59"/>
      <c r="X651" s="59"/>
      <c r="Y651" s="59"/>
      <c r="Z651" s="59"/>
      <c r="AA651" s="59"/>
      <c r="AB651" s="59"/>
      <c r="AC651" s="59"/>
      <c r="AD651" s="59"/>
      <c r="AE651" s="59"/>
      <c r="AF651" s="59"/>
      <c r="AG651" s="59"/>
      <c r="AH651" s="59"/>
      <c r="AI651" s="59" t="str">
        <f>IF(SUM(Dati[[#This Row],[Inv. Business]:[Inv. Cryptocurrency]])=0," ",SUM(Dati[[#This Row],[Inv. Business]:[Inv. Cryptocurrency]]))</f>
        <v xml:space="preserve"> </v>
      </c>
      <c r="AJ651" s="59"/>
      <c r="AK651" s="59"/>
      <c r="AL651" s="59"/>
      <c r="AM651" s="59"/>
    </row>
    <row r="652" spans="2:39" x14ac:dyDescent="0.35">
      <c r="B652">
        <f t="shared" si="25"/>
        <v>632</v>
      </c>
      <c r="C652" s="49">
        <f>C649+1</f>
        <v>45402</v>
      </c>
      <c r="D652" s="29">
        <f>DAY(Dati[[#This Row],[Data]])</f>
        <v>20</v>
      </c>
      <c r="E652" s="29" t="str">
        <f>IF(DAY(Data!$C$21:$C$1327)&gt;0,TEXT(Data!$C$21:$C$1327, "mmmm"),"")</f>
        <v>aprile</v>
      </c>
      <c r="F652" s="29" t="str">
        <f>IF(DAY(Data!$C$21:$C$1327)&gt;0,TEXT(Data!$C$21:$C$1327, "aaaa"),"")</f>
        <v>2024</v>
      </c>
      <c r="I652" t="str">
        <f>IF(OR(H652=$B$5,H652=$B$6,H652=$B$7,H652=$B$8,H652=$B$9,H652=$B$10,H652=$B$11,H652=$B$12,H652=$B$13,H652=$B$14),SottocategorieUscite[[#Headers],[Fuori Casa]],IF(OR(H652=$C$5,H652=$C$6,H652=$C$7,H652=$C$8,H652=$C$9,H652=$C$10,H652=$C$11,H652=$C$12,H652=$C$13,H652=$C$14),SottocategorieUscite[[#Headers],[Varie Uscite]],IF(OR(H652=$D$5,H652=$D$6,H652=$D$7,H652=$D$8,H652=$D$9,H652=$D$10,H652=$D$11,H652=$D$12,H652=$D$13,H652=$D$14),SottocategorieUscite[[#Headers],[Personali]],IF(OR(H652=$E$5,H652=$E$6,H652=$E$7,H652=$E$8,H652=$E$9,H652=$E$10,H652=$E$11,H652=$E$12,H652=$E$13,H652=$E$14),SottocategorieUscite[[#Headers],[Lavoro]],IF(OR(H652=$F$5,H652=$F$6,H652=$F$7,H652=$F$8,H652=$F$9,H652=$F$10,H652=$F$11,H652=$F$12,H652=$F$13,H652=$F$14),SottocategorieUscite[[#Headers],[Casa]],IF(OR(H652=$G$5,H652=$G$6,H652=$G$7,H652=$G$8,H652=$G$9,H652=$G$10,H652=$G$11,H652=$G$12,H652=$G$13,H652=$G$14),SottocategorieUscite[[#Headers],[Utenze]],IF(OR(H652=$H$5,H652=$H$6,H652=$H$7,H652=$H$8,H652=$H$9,H652=$H$10,H652=$H$11,H652=$H$12,H652=$H$13,H652=$H$14),SottocategorieUscite[[#Headers],[Business Uscite]],IF(OR(H652=$I$5,H652=$I$6,H652=$I$7,H652=$I$8,H652=$I$9,H652=$I$10,H652=$I$11,H652=$I$12,H652=$I$13,H652=$I$14),SottocategorieUscite[[#Headers],[Banca]],IF(OR(H652=K$5,H652=K$6,H652=K$7,H652=K$8,H652=K$9,H652=K$10,H652=K$11,H652=K$12,H652=K$13,H652=K$14),SottocategorieEntrate[[#Headers],[Business Entrate]],IF(OR(H652=L$5,H652=L$6,H652=L$7,H652=L$8,H652=L$9,H652=L$10,H652=L$11,H652=L$12,H652=L$13,H652=L$14),SottocategorieEntrate[[#Headers],[Varie Entrate]],IF(OR(H652=M$5,H652=M$6,H652=M$7,H652=M$8,H652=M$9,H652=M$10,H652=M$11,H652=M$12,H652=M$13,H652=M$14),SottocategorieEntrate[[#Headers],[Real Estate]],IF(OR(H652=N$5,H652=N$6,H652=N$7,H652=N$8,H652=N$9,H652=N$10,H652=N$11,H652=N$12,H652=N$13,H652=N$14),SottocategorieEntrate[[#Headers],[Other]],""))))))))))))</f>
        <v/>
      </c>
      <c r="J652" t="str">
        <f>IF(OR(Dati[[#This Row],[Categoria]]="Bollette",Dati[[#This Row],[Categoria]]="Conto &amp; Carte BNL",Dati[[#This Row],[Categoria]]="Prelievo",Dati[[#This Row],[Categoria]]="Affitto",Dati[[#This Row],[Categoria]]="BNL(Interessi Creditori)"),"Carta",IF(Dati[[#This Row],[Categoria]]&lt;&gt;0,"Cash",""))</f>
        <v/>
      </c>
      <c r="K652" s="59" t="str">
        <f>IF(OR(Data!$I652=SottocategorieUscite[[#Headers],[Fuori Casa]],Data!$I652=SottocategorieUscite[[#Headers],[Varie Uscite]],Data!$I652=SottocategorieUscite[[#Headers],[Personali]],Data!$I652=SottocategorieUscite[[#Headers],[Lavoro]]),"$ -","")</f>
        <v/>
      </c>
      <c r="L652" s="59" t="str">
        <f>IF(OR(Data!$I652=SottocategorieUscite[[#Headers],[Casa]],Data!$I652=SottocategorieUscite[[#Headers],[Utenze]],Data!$I652=SottocategorieUscite[[#Headers],[Business Uscite]],Data!$I652=SottocategorieUscite[[#Headers],[Banca]]),"$ -","")</f>
        <v/>
      </c>
      <c r="M652" s="59" t="str">
        <f>IF(OR($I652&lt;&gt;SottocategorieUscite[[#Headers],[Fuori Casa]],$I652&lt;&gt;SottocategorieUscite[[#Headers],[Varie Uscite]],$I652&lt;&gt;SottocategorieUscite[[#Headers],[Personali]],$I652&lt;&gt;SottocategorieUscite[[#Headers],[Lavoro]],$I652&lt;&gt;SottocategorieUscite[[#Headers],[Casa]],$I652&lt;&gt;SottocategorieUscite[[#Headers],[Utenze]],$I652&lt;&gt;SottocategorieUscite[[#Headers],[Business Uscite]],$I652&lt;&gt;SottocategorieUscite[[#Headers],[Banca]]),"","$ -")</f>
        <v/>
      </c>
      <c r="N652" s="59" t="str">
        <f>IF(OR(Data!$I652=SottocategorieEntrate[[#Headers],[Business Entrate]],Data!$I652=SottocategorieEntrate[[#Headers],[Varie Entrate]]),"$ -","")</f>
        <v/>
      </c>
      <c r="O652" s="59" t="str">
        <f>IF(OR(Data!$I652=SottocategorieEntrate[[#Headers],[Real Estate]],SottocategorieEntrate[[#Headers],[Other]]),"$ -","")</f>
        <v/>
      </c>
      <c r="P652" s="59" t="str">
        <f>IF(OR($I652&lt;&gt;SottocategorieEntrate[[#Headers],[Business Entrate]],$I652&lt;&gt;SottocategorieEntrate[[#Headers],[Varie Entrate]],$I652&lt;&gt;SottocategorieEntrate[[#Headers],[Real Estate]],$I652&lt;&gt;SottocategorieEntrate[[#Headers],[Other]]),"","$ -")</f>
        <v/>
      </c>
      <c r="Q652" s="59" t="str">
        <f>IF(Dati[[#This Row],[Categoria]]="Prelievo","€ -","")</f>
        <v/>
      </c>
      <c r="R652" s="244"/>
      <c r="S652" s="59" t="str">
        <f>IF(Dati[[#This Row],[Categoria]]="Savings",0,"")</f>
        <v/>
      </c>
      <c r="T652" s="59"/>
      <c r="U652" s="59"/>
      <c r="V652" s="59"/>
      <c r="W652" s="59"/>
      <c r="X652" s="59"/>
      <c r="Y652" s="59"/>
      <c r="Z652" s="59"/>
      <c r="AA652" s="59"/>
      <c r="AB652" s="59"/>
      <c r="AC652" s="59"/>
      <c r="AD652" s="59"/>
      <c r="AE652" s="59"/>
      <c r="AF652" s="59"/>
      <c r="AG652" s="59"/>
      <c r="AH652" s="59"/>
      <c r="AI652" s="59" t="str">
        <f>IF(SUM(Dati[[#This Row],[Inv. Business]:[Inv. Cryptocurrency]])=0," ",SUM(Dati[[#This Row],[Inv. Business]:[Inv. Cryptocurrency]]))</f>
        <v xml:space="preserve"> </v>
      </c>
      <c r="AJ652" s="59"/>
      <c r="AK652" s="59"/>
      <c r="AL652" s="59"/>
      <c r="AM652" s="59"/>
    </row>
    <row r="653" spans="2:39" x14ac:dyDescent="0.35">
      <c r="B653">
        <f t="shared" si="25"/>
        <v>633</v>
      </c>
      <c r="C653" s="49">
        <f t="shared" si="27"/>
        <v>45403</v>
      </c>
      <c r="D653" s="29">
        <f>DAY(Dati[[#This Row],[Data]])</f>
        <v>21</v>
      </c>
      <c r="E653" s="29" t="str">
        <f>IF(DAY(Data!$C$21:$C$1327)&gt;0,TEXT(Data!$C$21:$C$1327, "mmmm"),"")</f>
        <v>aprile</v>
      </c>
      <c r="F653" s="29" t="str">
        <f>IF(DAY(Data!$C$21:$C$1327)&gt;0,TEXT(Data!$C$21:$C$1327, "aaaa"),"")</f>
        <v>2024</v>
      </c>
      <c r="I653" t="str">
        <f>IF(OR(H653=$B$5,H653=$B$6,H653=$B$7,H653=$B$8,H653=$B$9,H653=$B$10,H653=$B$11,H653=$B$12,H653=$B$13,H653=$B$14),SottocategorieUscite[[#Headers],[Fuori Casa]],IF(OR(H653=$C$5,H653=$C$6,H653=$C$7,H653=$C$8,H653=$C$9,H653=$C$10,H653=$C$11,H653=$C$12,H653=$C$13,H653=$C$14),SottocategorieUscite[[#Headers],[Varie Uscite]],IF(OR(H653=$D$5,H653=$D$6,H653=$D$7,H653=$D$8,H653=$D$9,H653=$D$10,H653=$D$11,H653=$D$12,H653=$D$13,H653=$D$14),SottocategorieUscite[[#Headers],[Personali]],IF(OR(H653=$E$5,H653=$E$6,H653=$E$7,H653=$E$8,H653=$E$9,H653=$E$10,H653=$E$11,H653=$E$12,H653=$E$13,H653=$E$14),SottocategorieUscite[[#Headers],[Lavoro]],IF(OR(H653=$F$5,H653=$F$6,H653=$F$7,H653=$F$8,H653=$F$9,H653=$F$10,H653=$F$11,H653=$F$12,H653=$F$13,H653=$F$14),SottocategorieUscite[[#Headers],[Casa]],IF(OR(H653=$G$5,H653=$G$6,H653=$G$7,H653=$G$8,H653=$G$9,H653=$G$10,H653=$G$11,H653=$G$12,H653=$G$13,H653=$G$14),SottocategorieUscite[[#Headers],[Utenze]],IF(OR(H653=$H$5,H653=$H$6,H653=$H$7,H653=$H$8,H653=$H$9,H653=$H$10,H653=$H$11,H653=$H$12,H653=$H$13,H653=$H$14),SottocategorieUscite[[#Headers],[Business Uscite]],IF(OR(H653=$I$5,H653=$I$6,H653=$I$7,H653=$I$8,H653=$I$9,H653=$I$10,H653=$I$11,H653=$I$12,H653=$I$13,H653=$I$14),SottocategorieUscite[[#Headers],[Banca]],IF(OR(H653=K$5,H653=K$6,H653=K$7,H653=K$8,H653=K$9,H653=K$10,H653=K$11,H653=K$12,H653=K$13,H653=K$14),SottocategorieEntrate[[#Headers],[Business Entrate]],IF(OR(H653=L$5,H653=L$6,H653=L$7,H653=L$8,H653=L$9,H653=L$10,H653=L$11,H653=L$12,H653=L$13,H653=L$14),SottocategorieEntrate[[#Headers],[Varie Entrate]],IF(OR(H653=M$5,H653=M$6,H653=M$7,H653=M$8,H653=M$9,H653=M$10,H653=M$11,H653=M$12,H653=M$13,H653=M$14),SottocategorieEntrate[[#Headers],[Real Estate]],IF(OR(H653=N$5,H653=N$6,H653=N$7,H653=N$8,H653=N$9,H653=N$10,H653=N$11,H653=N$12,H653=N$13,H653=N$14),SottocategorieEntrate[[#Headers],[Other]],""))))))))))))</f>
        <v/>
      </c>
      <c r="J653" t="str">
        <f>IF(OR(Dati[[#This Row],[Categoria]]="Bollette",Dati[[#This Row],[Categoria]]="Conto &amp; Carte BNL",Dati[[#This Row],[Categoria]]="Prelievo",Dati[[#This Row],[Categoria]]="Affitto",Dati[[#This Row],[Categoria]]="BNL(Interessi Creditori)"),"Carta",IF(Dati[[#This Row],[Categoria]]&lt;&gt;0,"Cash",""))</f>
        <v/>
      </c>
      <c r="K653" s="59" t="str">
        <f>IF(OR(Data!$I653=SottocategorieUscite[[#Headers],[Fuori Casa]],Data!$I653=SottocategorieUscite[[#Headers],[Varie Uscite]],Data!$I653=SottocategorieUscite[[#Headers],[Personali]],Data!$I653=SottocategorieUscite[[#Headers],[Lavoro]]),"$ -","")</f>
        <v/>
      </c>
      <c r="L653" s="59" t="str">
        <f>IF(OR(Data!$I653=SottocategorieUscite[[#Headers],[Casa]],Data!$I653=SottocategorieUscite[[#Headers],[Utenze]],Data!$I653=SottocategorieUscite[[#Headers],[Business Uscite]],Data!$I653=SottocategorieUscite[[#Headers],[Banca]]),"$ -","")</f>
        <v/>
      </c>
      <c r="M653" s="59" t="str">
        <f>IF(OR($I653&lt;&gt;SottocategorieUscite[[#Headers],[Fuori Casa]],$I653&lt;&gt;SottocategorieUscite[[#Headers],[Varie Uscite]],$I653&lt;&gt;SottocategorieUscite[[#Headers],[Personali]],$I653&lt;&gt;SottocategorieUscite[[#Headers],[Lavoro]],$I653&lt;&gt;SottocategorieUscite[[#Headers],[Casa]],$I653&lt;&gt;SottocategorieUscite[[#Headers],[Utenze]],$I653&lt;&gt;SottocategorieUscite[[#Headers],[Business Uscite]],$I653&lt;&gt;SottocategorieUscite[[#Headers],[Banca]]),"","$ -")</f>
        <v/>
      </c>
      <c r="N653" s="59" t="str">
        <f>IF(OR(Data!$I653=SottocategorieEntrate[[#Headers],[Business Entrate]],Data!$I653=SottocategorieEntrate[[#Headers],[Varie Entrate]]),"$ -","")</f>
        <v/>
      </c>
      <c r="O653" s="59" t="str">
        <f>IF(OR(Data!$I653=SottocategorieEntrate[[#Headers],[Real Estate]],SottocategorieEntrate[[#Headers],[Other]]),"$ -","")</f>
        <v/>
      </c>
      <c r="P653" s="59" t="str">
        <f>IF(OR($I653&lt;&gt;SottocategorieEntrate[[#Headers],[Business Entrate]],$I653&lt;&gt;SottocategorieEntrate[[#Headers],[Varie Entrate]],$I653&lt;&gt;SottocategorieEntrate[[#Headers],[Real Estate]],$I653&lt;&gt;SottocategorieEntrate[[#Headers],[Other]]),"","$ -")</f>
        <v/>
      </c>
      <c r="Q653" s="59" t="str">
        <f>IF(Dati[[#This Row],[Categoria]]="Prelievo","€ -","")</f>
        <v/>
      </c>
      <c r="R653" s="244"/>
      <c r="S653" s="59" t="str">
        <f>IF(Dati[[#This Row],[Categoria]]="Savings",0,"")</f>
        <v/>
      </c>
      <c r="T653" s="59"/>
      <c r="U653" s="59"/>
      <c r="V653" s="59"/>
      <c r="W653" s="59"/>
      <c r="X653" s="59"/>
      <c r="Y653" s="59"/>
      <c r="Z653" s="59"/>
      <c r="AA653" s="59"/>
      <c r="AB653" s="59"/>
      <c r="AC653" s="59"/>
      <c r="AD653" s="59"/>
      <c r="AE653" s="59"/>
      <c r="AF653" s="59"/>
      <c r="AG653" s="59"/>
      <c r="AH653" s="59"/>
      <c r="AI653" s="59" t="str">
        <f>IF(SUM(Dati[[#This Row],[Inv. Business]:[Inv. Cryptocurrency]])=0," ",SUM(Dati[[#This Row],[Inv. Business]:[Inv. Cryptocurrency]]))</f>
        <v xml:space="preserve"> </v>
      </c>
      <c r="AJ653" s="59"/>
      <c r="AK653" s="59"/>
      <c r="AL653" s="59"/>
      <c r="AM653" s="59"/>
    </row>
    <row r="654" spans="2:39" x14ac:dyDescent="0.35">
      <c r="B654">
        <f t="shared" si="25"/>
        <v>634</v>
      </c>
      <c r="C654" s="49">
        <f t="shared" si="27"/>
        <v>45404</v>
      </c>
      <c r="D654" s="29">
        <f>DAY(Dati[[#This Row],[Data]])</f>
        <v>22</v>
      </c>
      <c r="E654" s="29" t="str">
        <f>IF(DAY(Data!$C$21:$C$1327)&gt;0,TEXT(Data!$C$21:$C$1327, "mmmm"),"")</f>
        <v>aprile</v>
      </c>
      <c r="F654" s="29" t="str">
        <f>IF(DAY(Data!$C$21:$C$1327)&gt;0,TEXT(Data!$C$21:$C$1327, "aaaa"),"")</f>
        <v>2024</v>
      </c>
      <c r="I654" t="str">
        <f>IF(OR(H654=$B$5,H654=$B$6,H654=$B$7,H654=$B$8,H654=$B$9,H654=$B$10,H654=$B$11,H654=$B$12,H654=$B$13,H654=$B$14),SottocategorieUscite[[#Headers],[Fuori Casa]],IF(OR(H654=$C$5,H654=$C$6,H654=$C$7,H654=$C$8,H654=$C$9,H654=$C$10,H654=$C$11,H654=$C$12,H654=$C$13,H654=$C$14),SottocategorieUscite[[#Headers],[Varie Uscite]],IF(OR(H654=$D$5,H654=$D$6,H654=$D$7,H654=$D$8,H654=$D$9,H654=$D$10,H654=$D$11,H654=$D$12,H654=$D$13,H654=$D$14),SottocategorieUscite[[#Headers],[Personali]],IF(OR(H654=$E$5,H654=$E$6,H654=$E$7,H654=$E$8,H654=$E$9,H654=$E$10,H654=$E$11,H654=$E$12,H654=$E$13,H654=$E$14),SottocategorieUscite[[#Headers],[Lavoro]],IF(OR(H654=$F$5,H654=$F$6,H654=$F$7,H654=$F$8,H654=$F$9,H654=$F$10,H654=$F$11,H654=$F$12,H654=$F$13,H654=$F$14),SottocategorieUscite[[#Headers],[Casa]],IF(OR(H654=$G$5,H654=$G$6,H654=$G$7,H654=$G$8,H654=$G$9,H654=$G$10,H654=$G$11,H654=$G$12,H654=$G$13,H654=$G$14),SottocategorieUscite[[#Headers],[Utenze]],IF(OR(H654=$H$5,H654=$H$6,H654=$H$7,H654=$H$8,H654=$H$9,H654=$H$10,H654=$H$11,H654=$H$12,H654=$H$13,H654=$H$14),SottocategorieUscite[[#Headers],[Business Uscite]],IF(OR(H654=$I$5,H654=$I$6,H654=$I$7,H654=$I$8,H654=$I$9,H654=$I$10,H654=$I$11,H654=$I$12,H654=$I$13,H654=$I$14),SottocategorieUscite[[#Headers],[Banca]],IF(OR(H654=K$5,H654=K$6,H654=K$7,H654=K$8,H654=K$9,H654=K$10,H654=K$11,H654=K$12,H654=K$13,H654=K$14),SottocategorieEntrate[[#Headers],[Business Entrate]],IF(OR(H654=L$5,H654=L$6,H654=L$7,H654=L$8,H654=L$9,H654=L$10,H654=L$11,H654=L$12,H654=L$13,H654=L$14),SottocategorieEntrate[[#Headers],[Varie Entrate]],IF(OR(H654=M$5,H654=M$6,H654=M$7,H654=M$8,H654=M$9,H654=M$10,H654=M$11,H654=M$12,H654=M$13,H654=M$14),SottocategorieEntrate[[#Headers],[Real Estate]],IF(OR(H654=N$5,H654=N$6,H654=N$7,H654=N$8,H654=N$9,H654=N$10,H654=N$11,H654=N$12,H654=N$13,H654=N$14),SottocategorieEntrate[[#Headers],[Other]],""))))))))))))</f>
        <v/>
      </c>
      <c r="J654" t="str">
        <f>IF(OR(Dati[[#This Row],[Categoria]]="Bollette",Dati[[#This Row],[Categoria]]="Conto &amp; Carte BNL",Dati[[#This Row],[Categoria]]="Prelievo",Dati[[#This Row],[Categoria]]="Affitto",Dati[[#This Row],[Categoria]]="BNL(Interessi Creditori)"),"Carta",IF(Dati[[#This Row],[Categoria]]&lt;&gt;0,"Cash",""))</f>
        <v/>
      </c>
      <c r="K654" s="59" t="str">
        <f>IF(OR(Data!$I654=SottocategorieUscite[[#Headers],[Fuori Casa]],Data!$I654=SottocategorieUscite[[#Headers],[Varie Uscite]],Data!$I654=SottocategorieUscite[[#Headers],[Personali]],Data!$I654=SottocategorieUscite[[#Headers],[Lavoro]]),"$ -","")</f>
        <v/>
      </c>
      <c r="L654" s="59" t="str">
        <f>IF(OR(Data!$I654=SottocategorieUscite[[#Headers],[Casa]],Data!$I654=SottocategorieUscite[[#Headers],[Utenze]],Data!$I654=SottocategorieUscite[[#Headers],[Business Uscite]],Data!$I654=SottocategorieUscite[[#Headers],[Banca]]),"$ -","")</f>
        <v/>
      </c>
      <c r="M654" s="59" t="str">
        <f>IF(OR($I654&lt;&gt;SottocategorieUscite[[#Headers],[Fuori Casa]],$I654&lt;&gt;SottocategorieUscite[[#Headers],[Varie Uscite]],$I654&lt;&gt;SottocategorieUscite[[#Headers],[Personali]],$I654&lt;&gt;SottocategorieUscite[[#Headers],[Lavoro]],$I654&lt;&gt;SottocategorieUscite[[#Headers],[Casa]],$I654&lt;&gt;SottocategorieUscite[[#Headers],[Utenze]],$I654&lt;&gt;SottocategorieUscite[[#Headers],[Business Uscite]],$I654&lt;&gt;SottocategorieUscite[[#Headers],[Banca]]),"","$ -")</f>
        <v/>
      </c>
      <c r="N654" s="59" t="str">
        <f>IF(OR(Data!$I654=SottocategorieEntrate[[#Headers],[Business Entrate]],Data!$I654=SottocategorieEntrate[[#Headers],[Varie Entrate]]),"$ -","")</f>
        <v/>
      </c>
      <c r="O654" s="59" t="str">
        <f>IF(OR(Data!$I654=SottocategorieEntrate[[#Headers],[Real Estate]],SottocategorieEntrate[[#Headers],[Other]]),"$ -","")</f>
        <v/>
      </c>
      <c r="P654" s="59" t="str">
        <f>IF(OR($I654&lt;&gt;SottocategorieEntrate[[#Headers],[Business Entrate]],$I654&lt;&gt;SottocategorieEntrate[[#Headers],[Varie Entrate]],$I654&lt;&gt;SottocategorieEntrate[[#Headers],[Real Estate]],$I654&lt;&gt;SottocategorieEntrate[[#Headers],[Other]]),"","$ -")</f>
        <v/>
      </c>
      <c r="Q654" s="59" t="str">
        <f>IF(Dati[[#This Row],[Categoria]]="Prelievo","€ -","")</f>
        <v/>
      </c>
      <c r="R654" s="244"/>
      <c r="S654" s="59" t="str">
        <f>IF(Dati[[#This Row],[Categoria]]="Savings",0,"")</f>
        <v/>
      </c>
      <c r="T654" s="59"/>
      <c r="U654" s="59"/>
      <c r="V654" s="59"/>
      <c r="W654" s="59"/>
      <c r="X654" s="59"/>
      <c r="Y654" s="59"/>
      <c r="Z654" s="59"/>
      <c r="AA654" s="59"/>
      <c r="AB654" s="59"/>
      <c r="AC654" s="59"/>
      <c r="AD654" s="59"/>
      <c r="AE654" s="59"/>
      <c r="AF654" s="59"/>
      <c r="AG654" s="59"/>
      <c r="AH654" s="59"/>
      <c r="AI654" s="59" t="str">
        <f>IF(SUM(Dati[[#This Row],[Inv. Business]:[Inv. Cryptocurrency]])=0," ",SUM(Dati[[#This Row],[Inv. Business]:[Inv. Cryptocurrency]]))</f>
        <v xml:space="preserve"> </v>
      </c>
      <c r="AJ654" s="59"/>
      <c r="AK654" s="59"/>
      <c r="AL654" s="59"/>
      <c r="AM654" s="59"/>
    </row>
    <row r="655" spans="2:39" x14ac:dyDescent="0.35">
      <c r="B655">
        <f t="shared" si="25"/>
        <v>635</v>
      </c>
      <c r="C655" s="49">
        <f t="shared" si="27"/>
        <v>45405</v>
      </c>
      <c r="D655" s="29">
        <f>DAY(Dati[[#This Row],[Data]])</f>
        <v>23</v>
      </c>
      <c r="E655" s="29" t="str">
        <f>IF(DAY(Data!$C$21:$C$1327)&gt;0,TEXT(Data!$C$21:$C$1327, "mmmm"),"")</f>
        <v>aprile</v>
      </c>
      <c r="F655" s="29" t="str">
        <f>IF(DAY(Data!$C$21:$C$1327)&gt;0,TEXT(Data!$C$21:$C$1327, "aaaa"),"")</f>
        <v>2024</v>
      </c>
      <c r="I655" t="str">
        <f>IF(OR(H655=$B$5,H655=$B$6,H655=$B$7,H655=$B$8,H655=$B$9,H655=$B$10,H655=$B$11,H655=$B$12,H655=$B$13,H655=$B$14),SottocategorieUscite[[#Headers],[Fuori Casa]],IF(OR(H655=$C$5,H655=$C$6,H655=$C$7,H655=$C$8,H655=$C$9,H655=$C$10,H655=$C$11,H655=$C$12,H655=$C$13,H655=$C$14),SottocategorieUscite[[#Headers],[Varie Uscite]],IF(OR(H655=$D$5,H655=$D$6,H655=$D$7,H655=$D$8,H655=$D$9,H655=$D$10,H655=$D$11,H655=$D$12,H655=$D$13,H655=$D$14),SottocategorieUscite[[#Headers],[Personali]],IF(OR(H655=$E$5,H655=$E$6,H655=$E$7,H655=$E$8,H655=$E$9,H655=$E$10,H655=$E$11,H655=$E$12,H655=$E$13,H655=$E$14),SottocategorieUscite[[#Headers],[Lavoro]],IF(OR(H655=$F$5,H655=$F$6,H655=$F$7,H655=$F$8,H655=$F$9,H655=$F$10,H655=$F$11,H655=$F$12,H655=$F$13,H655=$F$14),SottocategorieUscite[[#Headers],[Casa]],IF(OR(H655=$G$5,H655=$G$6,H655=$G$7,H655=$G$8,H655=$G$9,H655=$G$10,H655=$G$11,H655=$G$12,H655=$G$13,H655=$G$14),SottocategorieUscite[[#Headers],[Utenze]],IF(OR(H655=$H$5,H655=$H$6,H655=$H$7,H655=$H$8,H655=$H$9,H655=$H$10,H655=$H$11,H655=$H$12,H655=$H$13,H655=$H$14),SottocategorieUscite[[#Headers],[Business Uscite]],IF(OR(H655=$I$5,H655=$I$6,H655=$I$7,H655=$I$8,H655=$I$9,H655=$I$10,H655=$I$11,H655=$I$12,H655=$I$13,H655=$I$14),SottocategorieUscite[[#Headers],[Banca]],IF(OR(H655=K$5,H655=K$6,H655=K$7,H655=K$8,H655=K$9,H655=K$10,H655=K$11,H655=K$12,H655=K$13,H655=K$14),SottocategorieEntrate[[#Headers],[Business Entrate]],IF(OR(H655=L$5,H655=L$6,H655=L$7,H655=L$8,H655=L$9,H655=L$10,H655=L$11,H655=L$12,H655=L$13,H655=L$14),SottocategorieEntrate[[#Headers],[Varie Entrate]],IF(OR(H655=M$5,H655=M$6,H655=M$7,H655=M$8,H655=M$9,H655=M$10,H655=M$11,H655=M$12,H655=M$13,H655=M$14),SottocategorieEntrate[[#Headers],[Real Estate]],IF(OR(H655=N$5,H655=N$6,H655=N$7,H655=N$8,H655=N$9,H655=N$10,H655=N$11,H655=N$12,H655=N$13,H655=N$14),SottocategorieEntrate[[#Headers],[Other]],""))))))))))))</f>
        <v/>
      </c>
      <c r="J655" t="str">
        <f>IF(OR(Dati[[#This Row],[Categoria]]="Bollette",Dati[[#This Row],[Categoria]]="Conto &amp; Carte BNL",Dati[[#This Row],[Categoria]]="Prelievo",Dati[[#This Row],[Categoria]]="Affitto",Dati[[#This Row],[Categoria]]="BNL(Interessi Creditori)"),"Carta",IF(Dati[[#This Row],[Categoria]]&lt;&gt;0,"Cash",""))</f>
        <v/>
      </c>
      <c r="K655" s="59" t="str">
        <f>IF(OR(Data!$I655=SottocategorieUscite[[#Headers],[Fuori Casa]],Data!$I655=SottocategorieUscite[[#Headers],[Varie Uscite]],Data!$I655=SottocategorieUscite[[#Headers],[Personali]],Data!$I655=SottocategorieUscite[[#Headers],[Lavoro]]),"$ -","")</f>
        <v/>
      </c>
      <c r="L655" s="59" t="str">
        <f>IF(OR(Data!$I655=SottocategorieUscite[[#Headers],[Casa]],Data!$I655=SottocategorieUscite[[#Headers],[Utenze]],Data!$I655=SottocategorieUscite[[#Headers],[Business Uscite]],Data!$I655=SottocategorieUscite[[#Headers],[Banca]]),"$ -","")</f>
        <v/>
      </c>
      <c r="M655" s="59" t="str">
        <f>IF(OR($I655&lt;&gt;SottocategorieUscite[[#Headers],[Fuori Casa]],$I655&lt;&gt;SottocategorieUscite[[#Headers],[Varie Uscite]],$I655&lt;&gt;SottocategorieUscite[[#Headers],[Personali]],$I655&lt;&gt;SottocategorieUscite[[#Headers],[Lavoro]],$I655&lt;&gt;SottocategorieUscite[[#Headers],[Casa]],$I655&lt;&gt;SottocategorieUscite[[#Headers],[Utenze]],$I655&lt;&gt;SottocategorieUscite[[#Headers],[Business Uscite]],$I655&lt;&gt;SottocategorieUscite[[#Headers],[Banca]]),"","$ -")</f>
        <v/>
      </c>
      <c r="N655" s="59" t="str">
        <f>IF(OR(Data!$I655=SottocategorieEntrate[[#Headers],[Business Entrate]],Data!$I655=SottocategorieEntrate[[#Headers],[Varie Entrate]]),"$ -","")</f>
        <v/>
      </c>
      <c r="O655" s="59" t="str">
        <f>IF(OR(Data!$I655=SottocategorieEntrate[[#Headers],[Real Estate]],SottocategorieEntrate[[#Headers],[Other]]),"$ -","")</f>
        <v/>
      </c>
      <c r="P655" s="59" t="str">
        <f>IF(OR($I655&lt;&gt;SottocategorieEntrate[[#Headers],[Business Entrate]],$I655&lt;&gt;SottocategorieEntrate[[#Headers],[Varie Entrate]],$I655&lt;&gt;SottocategorieEntrate[[#Headers],[Real Estate]],$I655&lt;&gt;SottocategorieEntrate[[#Headers],[Other]]),"","$ -")</f>
        <v/>
      </c>
      <c r="Q655" s="59" t="str">
        <f>IF(Dati[[#This Row],[Categoria]]="Prelievo","€ -","")</f>
        <v/>
      </c>
      <c r="R655" s="244"/>
      <c r="S655" s="59" t="str">
        <f>IF(Dati[[#This Row],[Categoria]]="Savings",0,"")</f>
        <v/>
      </c>
      <c r="T655" s="59"/>
      <c r="U655" s="59"/>
      <c r="V655" s="59"/>
      <c r="W655" s="59"/>
      <c r="X655" s="59"/>
      <c r="Y655" s="59"/>
      <c r="Z655" s="59"/>
      <c r="AA655" s="59"/>
      <c r="AB655" s="59"/>
      <c r="AC655" s="59"/>
      <c r="AD655" s="59"/>
      <c r="AE655" s="59"/>
      <c r="AF655" s="59"/>
      <c r="AG655" s="59"/>
      <c r="AH655" s="59"/>
      <c r="AI655" s="59" t="str">
        <f>IF(SUM(Dati[[#This Row],[Inv. Business]:[Inv. Cryptocurrency]])=0," ",SUM(Dati[[#This Row],[Inv. Business]:[Inv. Cryptocurrency]]))</f>
        <v xml:space="preserve"> </v>
      </c>
      <c r="AJ655" s="59"/>
      <c r="AK655" s="59"/>
      <c r="AL655" s="59"/>
      <c r="AM655" s="59"/>
    </row>
    <row r="656" spans="2:39" x14ac:dyDescent="0.35">
      <c r="B656">
        <f t="shared" si="25"/>
        <v>636</v>
      </c>
      <c r="C656" s="49">
        <f t="shared" si="27"/>
        <v>45406</v>
      </c>
      <c r="D656" s="29">
        <f>DAY(Dati[[#This Row],[Data]])</f>
        <v>24</v>
      </c>
      <c r="E656" s="29" t="str">
        <f>IF(DAY(Data!$C$21:$C$1327)&gt;0,TEXT(Data!$C$21:$C$1327, "mmmm"),"")</f>
        <v>aprile</v>
      </c>
      <c r="F656" s="29" t="str">
        <f>IF(DAY(Data!$C$21:$C$1327)&gt;0,TEXT(Data!$C$21:$C$1327, "aaaa"),"")</f>
        <v>2024</v>
      </c>
      <c r="I656" t="str">
        <f>IF(OR(H656=$B$5,H656=$B$6,H656=$B$7,H656=$B$8,H656=$B$9,H656=$B$10,H656=$B$11,H656=$B$12,H656=$B$13,H656=$B$14),SottocategorieUscite[[#Headers],[Fuori Casa]],IF(OR(H656=$C$5,H656=$C$6,H656=$C$7,H656=$C$8,H656=$C$9,H656=$C$10,H656=$C$11,H656=$C$12,H656=$C$13,H656=$C$14),SottocategorieUscite[[#Headers],[Varie Uscite]],IF(OR(H656=$D$5,H656=$D$6,H656=$D$7,H656=$D$8,H656=$D$9,H656=$D$10,H656=$D$11,H656=$D$12,H656=$D$13,H656=$D$14),SottocategorieUscite[[#Headers],[Personali]],IF(OR(H656=$E$5,H656=$E$6,H656=$E$7,H656=$E$8,H656=$E$9,H656=$E$10,H656=$E$11,H656=$E$12,H656=$E$13,H656=$E$14),SottocategorieUscite[[#Headers],[Lavoro]],IF(OR(H656=$F$5,H656=$F$6,H656=$F$7,H656=$F$8,H656=$F$9,H656=$F$10,H656=$F$11,H656=$F$12,H656=$F$13,H656=$F$14),SottocategorieUscite[[#Headers],[Casa]],IF(OR(H656=$G$5,H656=$G$6,H656=$G$7,H656=$G$8,H656=$G$9,H656=$G$10,H656=$G$11,H656=$G$12,H656=$G$13,H656=$G$14),SottocategorieUscite[[#Headers],[Utenze]],IF(OR(H656=$H$5,H656=$H$6,H656=$H$7,H656=$H$8,H656=$H$9,H656=$H$10,H656=$H$11,H656=$H$12,H656=$H$13,H656=$H$14),SottocategorieUscite[[#Headers],[Business Uscite]],IF(OR(H656=$I$5,H656=$I$6,H656=$I$7,H656=$I$8,H656=$I$9,H656=$I$10,H656=$I$11,H656=$I$12,H656=$I$13,H656=$I$14),SottocategorieUscite[[#Headers],[Banca]],IF(OR(H656=K$5,H656=K$6,H656=K$7,H656=K$8,H656=K$9,H656=K$10,H656=K$11,H656=K$12,H656=K$13,H656=K$14),SottocategorieEntrate[[#Headers],[Business Entrate]],IF(OR(H656=L$5,H656=L$6,H656=L$7,H656=L$8,H656=L$9,H656=L$10,H656=L$11,H656=L$12,H656=L$13,H656=L$14),SottocategorieEntrate[[#Headers],[Varie Entrate]],IF(OR(H656=M$5,H656=M$6,H656=M$7,H656=M$8,H656=M$9,H656=M$10,H656=M$11,H656=M$12,H656=M$13,H656=M$14),SottocategorieEntrate[[#Headers],[Real Estate]],IF(OR(H656=N$5,H656=N$6,H656=N$7,H656=N$8,H656=N$9,H656=N$10,H656=N$11,H656=N$12,H656=N$13,H656=N$14),SottocategorieEntrate[[#Headers],[Other]],""))))))))))))</f>
        <v/>
      </c>
      <c r="J656" t="str">
        <f>IF(OR(Dati[[#This Row],[Categoria]]="Bollette",Dati[[#This Row],[Categoria]]="Conto &amp; Carte BNL",Dati[[#This Row],[Categoria]]="Prelievo",Dati[[#This Row],[Categoria]]="Affitto",Dati[[#This Row],[Categoria]]="BNL(Interessi Creditori)"),"Carta",IF(Dati[[#This Row],[Categoria]]&lt;&gt;0,"Cash",""))</f>
        <v/>
      </c>
      <c r="K656" s="59" t="str">
        <f>IF(OR(Data!$I656=SottocategorieUscite[[#Headers],[Fuori Casa]],Data!$I656=SottocategorieUscite[[#Headers],[Varie Uscite]],Data!$I656=SottocategorieUscite[[#Headers],[Personali]],Data!$I656=SottocategorieUscite[[#Headers],[Lavoro]]),"$ -","")</f>
        <v/>
      </c>
      <c r="L656" s="59" t="str">
        <f>IF(OR(Data!$I656=SottocategorieUscite[[#Headers],[Casa]],Data!$I656=SottocategorieUscite[[#Headers],[Utenze]],Data!$I656=SottocategorieUscite[[#Headers],[Business Uscite]],Data!$I656=SottocategorieUscite[[#Headers],[Banca]]),"$ -","")</f>
        <v/>
      </c>
      <c r="M656" s="59" t="str">
        <f>IF(OR($I656&lt;&gt;SottocategorieUscite[[#Headers],[Fuori Casa]],$I656&lt;&gt;SottocategorieUscite[[#Headers],[Varie Uscite]],$I656&lt;&gt;SottocategorieUscite[[#Headers],[Personali]],$I656&lt;&gt;SottocategorieUscite[[#Headers],[Lavoro]],$I656&lt;&gt;SottocategorieUscite[[#Headers],[Casa]],$I656&lt;&gt;SottocategorieUscite[[#Headers],[Utenze]],$I656&lt;&gt;SottocategorieUscite[[#Headers],[Business Uscite]],$I656&lt;&gt;SottocategorieUscite[[#Headers],[Banca]]),"","$ -")</f>
        <v/>
      </c>
      <c r="N656" s="59" t="str">
        <f>IF(OR(Data!$I656=SottocategorieEntrate[[#Headers],[Business Entrate]],Data!$I656=SottocategorieEntrate[[#Headers],[Varie Entrate]]),"$ -","")</f>
        <v/>
      </c>
      <c r="O656" s="59" t="str">
        <f>IF(OR(Data!$I656=SottocategorieEntrate[[#Headers],[Real Estate]],SottocategorieEntrate[[#Headers],[Other]]),"$ -","")</f>
        <v/>
      </c>
      <c r="P656" s="59" t="str">
        <f>IF(OR($I656&lt;&gt;SottocategorieEntrate[[#Headers],[Business Entrate]],$I656&lt;&gt;SottocategorieEntrate[[#Headers],[Varie Entrate]],$I656&lt;&gt;SottocategorieEntrate[[#Headers],[Real Estate]],$I656&lt;&gt;SottocategorieEntrate[[#Headers],[Other]]),"","$ -")</f>
        <v/>
      </c>
      <c r="Q656" s="59" t="str">
        <f>IF(Dati[[#This Row],[Categoria]]="Prelievo","€ -","")</f>
        <v/>
      </c>
      <c r="R656" s="244"/>
      <c r="S656" s="59" t="str">
        <f>IF(Dati[[#This Row],[Categoria]]="Savings",0,"")</f>
        <v/>
      </c>
      <c r="T656" s="59"/>
      <c r="U656" s="59"/>
      <c r="V656" s="59"/>
      <c r="W656" s="59"/>
      <c r="X656" s="59"/>
      <c r="Y656" s="59"/>
      <c r="Z656" s="59"/>
      <c r="AA656" s="59"/>
      <c r="AB656" s="59"/>
      <c r="AC656" s="59"/>
      <c r="AD656" s="59"/>
      <c r="AE656" s="59"/>
      <c r="AF656" s="59"/>
      <c r="AG656" s="59"/>
      <c r="AH656" s="59"/>
      <c r="AI656" s="59" t="str">
        <f>IF(SUM(Dati[[#This Row],[Inv. Business]:[Inv. Cryptocurrency]])=0," ",SUM(Dati[[#This Row],[Inv. Business]:[Inv. Cryptocurrency]]))</f>
        <v xml:space="preserve"> </v>
      </c>
      <c r="AJ656" s="59"/>
      <c r="AK656" s="59"/>
      <c r="AL656" s="59"/>
      <c r="AM656" s="59"/>
    </row>
    <row r="657" spans="2:39" x14ac:dyDescent="0.35">
      <c r="B657">
        <f t="shared" si="25"/>
        <v>637</v>
      </c>
      <c r="C657" s="49">
        <f>C655+1</f>
        <v>45406</v>
      </c>
      <c r="D657" s="29">
        <f>DAY(Dati[[#This Row],[Data]])</f>
        <v>24</v>
      </c>
      <c r="E657" s="29" t="str">
        <f>IF(DAY(Data!$C$21:$C$1327)&gt;0,TEXT(Data!$C$21:$C$1327, "mmmm"),"")</f>
        <v>aprile</v>
      </c>
      <c r="F657" s="29" t="str">
        <f>IF(DAY(Data!$C$21:$C$1327)&gt;0,TEXT(Data!$C$21:$C$1327, "aaaa"),"")</f>
        <v>2024</v>
      </c>
      <c r="I657" t="str">
        <f>IF(OR(H657=$B$5,H657=$B$6,H657=$B$7,H657=$B$8,H657=$B$9,H657=$B$10,H657=$B$11,H657=$B$12,H657=$B$13,H657=$B$14),SottocategorieUscite[[#Headers],[Fuori Casa]],IF(OR(H657=$C$5,H657=$C$6,H657=$C$7,H657=$C$8,H657=$C$9,H657=$C$10,H657=$C$11,H657=$C$12,H657=$C$13,H657=$C$14),SottocategorieUscite[[#Headers],[Varie Uscite]],IF(OR(H657=$D$5,H657=$D$6,H657=$D$7,H657=$D$8,H657=$D$9,H657=$D$10,H657=$D$11,H657=$D$12,H657=$D$13,H657=$D$14),SottocategorieUscite[[#Headers],[Personali]],IF(OR(H657=$E$5,H657=$E$6,H657=$E$7,H657=$E$8,H657=$E$9,H657=$E$10,H657=$E$11,H657=$E$12,H657=$E$13,H657=$E$14),SottocategorieUscite[[#Headers],[Lavoro]],IF(OR(H657=$F$5,H657=$F$6,H657=$F$7,H657=$F$8,H657=$F$9,H657=$F$10,H657=$F$11,H657=$F$12,H657=$F$13,H657=$F$14),SottocategorieUscite[[#Headers],[Casa]],IF(OR(H657=$G$5,H657=$G$6,H657=$G$7,H657=$G$8,H657=$G$9,H657=$G$10,H657=$G$11,H657=$G$12,H657=$G$13,H657=$G$14),SottocategorieUscite[[#Headers],[Utenze]],IF(OR(H657=$H$5,H657=$H$6,H657=$H$7,H657=$H$8,H657=$H$9,H657=$H$10,H657=$H$11,H657=$H$12,H657=$H$13,H657=$H$14),SottocategorieUscite[[#Headers],[Business Uscite]],IF(OR(H657=$I$5,H657=$I$6,H657=$I$7,H657=$I$8,H657=$I$9,H657=$I$10,H657=$I$11,H657=$I$12,H657=$I$13,H657=$I$14),SottocategorieUscite[[#Headers],[Banca]],IF(OR(H657=K$5,H657=K$6,H657=K$7,H657=K$8,H657=K$9,H657=K$10,H657=K$11,H657=K$12,H657=K$13,H657=K$14),SottocategorieEntrate[[#Headers],[Business Entrate]],IF(OR(H657=L$5,H657=L$6,H657=L$7,H657=L$8,H657=L$9,H657=L$10,H657=L$11,H657=L$12,H657=L$13,H657=L$14),SottocategorieEntrate[[#Headers],[Varie Entrate]],IF(OR(H657=M$5,H657=M$6,H657=M$7,H657=M$8,H657=M$9,H657=M$10,H657=M$11,H657=M$12,H657=M$13,H657=M$14),SottocategorieEntrate[[#Headers],[Real Estate]],IF(OR(H657=N$5,H657=N$6,H657=N$7,H657=N$8,H657=N$9,H657=N$10,H657=N$11,H657=N$12,H657=N$13,H657=N$14),SottocategorieEntrate[[#Headers],[Other]],""))))))))))))</f>
        <v/>
      </c>
      <c r="J657" t="str">
        <f>IF(OR(Dati[[#This Row],[Categoria]]="Bollette",Dati[[#This Row],[Categoria]]="Conto &amp; Carte BNL",Dati[[#This Row],[Categoria]]="Prelievo",Dati[[#This Row],[Categoria]]="Affitto",Dati[[#This Row],[Categoria]]="BNL(Interessi Creditori)"),"Carta",IF(Dati[[#This Row],[Categoria]]&lt;&gt;0,"Cash",""))</f>
        <v/>
      </c>
      <c r="K657" s="59" t="str">
        <f>IF(OR(Data!$I657=SottocategorieUscite[[#Headers],[Fuori Casa]],Data!$I657=SottocategorieUscite[[#Headers],[Varie Uscite]],Data!$I657=SottocategorieUscite[[#Headers],[Personali]],Data!$I657=SottocategorieUscite[[#Headers],[Lavoro]]),"$ -","")</f>
        <v/>
      </c>
      <c r="L657" s="59" t="str">
        <f>IF(OR(Data!$I657=SottocategorieUscite[[#Headers],[Casa]],Data!$I657=SottocategorieUscite[[#Headers],[Utenze]],Data!$I657=SottocategorieUscite[[#Headers],[Business Uscite]],Data!$I657=SottocategorieUscite[[#Headers],[Banca]]),"$ -","")</f>
        <v/>
      </c>
      <c r="M657" s="59" t="str">
        <f>IF(OR($I657&lt;&gt;SottocategorieUscite[[#Headers],[Fuori Casa]],$I657&lt;&gt;SottocategorieUscite[[#Headers],[Varie Uscite]],$I657&lt;&gt;SottocategorieUscite[[#Headers],[Personali]],$I657&lt;&gt;SottocategorieUscite[[#Headers],[Lavoro]],$I657&lt;&gt;SottocategorieUscite[[#Headers],[Casa]],$I657&lt;&gt;SottocategorieUscite[[#Headers],[Utenze]],$I657&lt;&gt;SottocategorieUscite[[#Headers],[Business Uscite]],$I657&lt;&gt;SottocategorieUscite[[#Headers],[Banca]]),"","$ -")</f>
        <v/>
      </c>
      <c r="N657" s="59" t="str">
        <f>IF(OR(Data!$I657=SottocategorieEntrate[[#Headers],[Business Entrate]],Data!$I657=SottocategorieEntrate[[#Headers],[Varie Entrate]]),"$ -","")</f>
        <v/>
      </c>
      <c r="O657" s="59" t="str">
        <f>IF(OR(Data!$I657=SottocategorieEntrate[[#Headers],[Real Estate]],SottocategorieEntrate[[#Headers],[Other]]),"$ -","")</f>
        <v/>
      </c>
      <c r="P657" s="59" t="str">
        <f>IF(OR($I657&lt;&gt;SottocategorieEntrate[[#Headers],[Business Entrate]],$I657&lt;&gt;SottocategorieEntrate[[#Headers],[Varie Entrate]],$I657&lt;&gt;SottocategorieEntrate[[#Headers],[Real Estate]],$I657&lt;&gt;SottocategorieEntrate[[#Headers],[Other]]),"","$ -")</f>
        <v/>
      </c>
      <c r="Q657" s="59" t="str">
        <f>IF(Dati[[#This Row],[Categoria]]="Prelievo","€ -","")</f>
        <v/>
      </c>
      <c r="R657" s="244"/>
      <c r="S657" s="59" t="str">
        <f>IF(Dati[[#This Row],[Categoria]]="Savings",0,"")</f>
        <v/>
      </c>
      <c r="T657" s="59"/>
      <c r="U657" s="59"/>
      <c r="V657" s="59"/>
      <c r="W657" s="59"/>
      <c r="X657" s="59"/>
      <c r="Y657" s="59"/>
      <c r="Z657" s="59"/>
      <c r="AA657" s="59"/>
      <c r="AB657" s="59"/>
      <c r="AC657" s="59"/>
      <c r="AD657" s="59"/>
      <c r="AE657" s="59"/>
      <c r="AF657" s="59"/>
      <c r="AG657" s="59"/>
      <c r="AH657" s="59"/>
      <c r="AI657" s="59" t="str">
        <f>IF(SUM(Dati[[#This Row],[Inv. Business]:[Inv. Cryptocurrency]])=0," ",SUM(Dati[[#This Row],[Inv. Business]:[Inv. Cryptocurrency]]))</f>
        <v xml:space="preserve"> </v>
      </c>
      <c r="AJ657" s="59"/>
      <c r="AK657" s="59"/>
      <c r="AL657" s="59"/>
      <c r="AM657" s="59"/>
    </row>
    <row r="658" spans="2:39" x14ac:dyDescent="0.35">
      <c r="B658">
        <f t="shared" si="25"/>
        <v>638</v>
      </c>
      <c r="C658" s="49">
        <f>C656+1</f>
        <v>45407</v>
      </c>
      <c r="D658" s="29">
        <f>DAY(Dati[[#This Row],[Data]])</f>
        <v>25</v>
      </c>
      <c r="E658" s="29" t="str">
        <f>IF(DAY(Data!$C$21:$C$1327)&gt;0,TEXT(Data!$C$21:$C$1327, "mmmm"),"")</f>
        <v>aprile</v>
      </c>
      <c r="F658" s="29" t="str">
        <f>IF(DAY(Data!$C$21:$C$1327)&gt;0,TEXT(Data!$C$21:$C$1327, "aaaa"),"")</f>
        <v>2024</v>
      </c>
      <c r="I658" t="str">
        <f>IF(OR(H658=$B$5,H658=$B$6,H658=$B$7,H658=$B$8,H658=$B$9,H658=$B$10,H658=$B$11,H658=$B$12,H658=$B$13,H658=$B$14),SottocategorieUscite[[#Headers],[Fuori Casa]],IF(OR(H658=$C$5,H658=$C$6,H658=$C$7,H658=$C$8,H658=$C$9,H658=$C$10,H658=$C$11,H658=$C$12,H658=$C$13,H658=$C$14),SottocategorieUscite[[#Headers],[Varie Uscite]],IF(OR(H658=$D$5,H658=$D$6,H658=$D$7,H658=$D$8,H658=$D$9,H658=$D$10,H658=$D$11,H658=$D$12,H658=$D$13,H658=$D$14),SottocategorieUscite[[#Headers],[Personali]],IF(OR(H658=$E$5,H658=$E$6,H658=$E$7,H658=$E$8,H658=$E$9,H658=$E$10,H658=$E$11,H658=$E$12,H658=$E$13,H658=$E$14),SottocategorieUscite[[#Headers],[Lavoro]],IF(OR(H658=$F$5,H658=$F$6,H658=$F$7,H658=$F$8,H658=$F$9,H658=$F$10,H658=$F$11,H658=$F$12,H658=$F$13,H658=$F$14),SottocategorieUscite[[#Headers],[Casa]],IF(OR(H658=$G$5,H658=$G$6,H658=$G$7,H658=$G$8,H658=$G$9,H658=$G$10,H658=$G$11,H658=$G$12,H658=$G$13,H658=$G$14),SottocategorieUscite[[#Headers],[Utenze]],IF(OR(H658=$H$5,H658=$H$6,H658=$H$7,H658=$H$8,H658=$H$9,H658=$H$10,H658=$H$11,H658=$H$12,H658=$H$13,H658=$H$14),SottocategorieUscite[[#Headers],[Business Uscite]],IF(OR(H658=$I$5,H658=$I$6,H658=$I$7,H658=$I$8,H658=$I$9,H658=$I$10,H658=$I$11,H658=$I$12,H658=$I$13,H658=$I$14),SottocategorieUscite[[#Headers],[Banca]],IF(OR(H658=K$5,H658=K$6,H658=K$7,H658=K$8,H658=K$9,H658=K$10,H658=K$11,H658=K$12,H658=K$13,H658=K$14),SottocategorieEntrate[[#Headers],[Business Entrate]],IF(OR(H658=L$5,H658=L$6,H658=L$7,H658=L$8,H658=L$9,H658=L$10,H658=L$11,H658=L$12,H658=L$13,H658=L$14),SottocategorieEntrate[[#Headers],[Varie Entrate]],IF(OR(H658=M$5,H658=M$6,H658=M$7,H658=M$8,H658=M$9,H658=M$10,H658=M$11,H658=M$12,H658=M$13,H658=M$14),SottocategorieEntrate[[#Headers],[Real Estate]],IF(OR(H658=N$5,H658=N$6,H658=N$7,H658=N$8,H658=N$9,H658=N$10,H658=N$11,H658=N$12,H658=N$13,H658=N$14),SottocategorieEntrate[[#Headers],[Other]],""))))))))))))</f>
        <v/>
      </c>
      <c r="J658" t="str">
        <f>IF(OR(Dati[[#This Row],[Categoria]]="Bollette",Dati[[#This Row],[Categoria]]="Conto &amp; Carte BNL",Dati[[#This Row],[Categoria]]="Prelievo",Dati[[#This Row],[Categoria]]="Affitto",Dati[[#This Row],[Categoria]]="BNL(Interessi Creditori)"),"Carta",IF(Dati[[#This Row],[Categoria]]&lt;&gt;0,"Cash",""))</f>
        <v/>
      </c>
      <c r="K658" s="59" t="str">
        <f>IF(OR(Data!$I658=SottocategorieUscite[[#Headers],[Fuori Casa]],Data!$I658=SottocategorieUscite[[#Headers],[Varie Uscite]],Data!$I658=SottocategorieUscite[[#Headers],[Personali]],Data!$I658=SottocategorieUscite[[#Headers],[Lavoro]]),"$ -","")</f>
        <v/>
      </c>
      <c r="L658" s="59" t="str">
        <f>IF(OR(Data!$I658=SottocategorieUscite[[#Headers],[Casa]],Data!$I658=SottocategorieUscite[[#Headers],[Utenze]],Data!$I658=SottocategorieUscite[[#Headers],[Business Uscite]],Data!$I658=SottocategorieUscite[[#Headers],[Banca]]),"$ -","")</f>
        <v/>
      </c>
      <c r="M658" s="59" t="str">
        <f>IF(OR($I658&lt;&gt;SottocategorieUscite[[#Headers],[Fuori Casa]],$I658&lt;&gt;SottocategorieUscite[[#Headers],[Varie Uscite]],$I658&lt;&gt;SottocategorieUscite[[#Headers],[Personali]],$I658&lt;&gt;SottocategorieUscite[[#Headers],[Lavoro]],$I658&lt;&gt;SottocategorieUscite[[#Headers],[Casa]],$I658&lt;&gt;SottocategorieUscite[[#Headers],[Utenze]],$I658&lt;&gt;SottocategorieUscite[[#Headers],[Business Uscite]],$I658&lt;&gt;SottocategorieUscite[[#Headers],[Banca]]),"","$ -")</f>
        <v/>
      </c>
      <c r="N658" s="59" t="str">
        <f>IF(OR(Data!$I658=SottocategorieEntrate[[#Headers],[Business Entrate]],Data!$I658=SottocategorieEntrate[[#Headers],[Varie Entrate]]),"$ -","")</f>
        <v/>
      </c>
      <c r="O658" s="59" t="str">
        <f>IF(OR(Data!$I658=SottocategorieEntrate[[#Headers],[Real Estate]],SottocategorieEntrate[[#Headers],[Other]]),"$ -","")</f>
        <v/>
      </c>
      <c r="P658" s="59" t="str">
        <f>IF(OR($I658&lt;&gt;SottocategorieEntrate[[#Headers],[Business Entrate]],$I658&lt;&gt;SottocategorieEntrate[[#Headers],[Varie Entrate]],$I658&lt;&gt;SottocategorieEntrate[[#Headers],[Real Estate]],$I658&lt;&gt;SottocategorieEntrate[[#Headers],[Other]]),"","$ -")</f>
        <v/>
      </c>
      <c r="Q658" s="59" t="str">
        <f>IF(Dati[[#This Row],[Categoria]]="Prelievo","€ -","")</f>
        <v/>
      </c>
      <c r="R658" s="244"/>
      <c r="S658" s="59" t="str">
        <f>IF(Dati[[#This Row],[Categoria]]="Savings",0,"")</f>
        <v/>
      </c>
      <c r="T658" s="59"/>
      <c r="U658" s="59"/>
      <c r="V658" s="59"/>
      <c r="W658" s="59"/>
      <c r="X658" s="59"/>
      <c r="Y658" s="59"/>
      <c r="Z658" s="59"/>
      <c r="AA658" s="59"/>
      <c r="AB658" s="59"/>
      <c r="AC658" s="59"/>
      <c r="AD658" s="59"/>
      <c r="AE658" s="59"/>
      <c r="AF658" s="59"/>
      <c r="AG658" s="59"/>
      <c r="AH658" s="59"/>
      <c r="AI658" s="59" t="str">
        <f>IF(SUM(Dati[[#This Row],[Inv. Business]:[Inv. Cryptocurrency]])=0," ",SUM(Dati[[#This Row],[Inv. Business]:[Inv. Cryptocurrency]]))</f>
        <v xml:space="preserve"> </v>
      </c>
      <c r="AJ658" s="59"/>
      <c r="AK658" s="59"/>
      <c r="AL658" s="59"/>
      <c r="AM658" s="59"/>
    </row>
    <row r="659" spans="2:39" x14ac:dyDescent="0.35">
      <c r="B659">
        <f t="shared" si="25"/>
        <v>639</v>
      </c>
      <c r="C659" s="49">
        <f t="shared" si="27"/>
        <v>45408</v>
      </c>
      <c r="D659" s="29">
        <f>DAY(Dati[[#This Row],[Data]])</f>
        <v>26</v>
      </c>
      <c r="E659" s="29" t="str">
        <f>IF(DAY(Data!$C$21:$C$1327)&gt;0,TEXT(Data!$C$21:$C$1327, "mmmm"),"")</f>
        <v>aprile</v>
      </c>
      <c r="F659" s="29" t="str">
        <f>IF(DAY(Data!$C$21:$C$1327)&gt;0,TEXT(Data!$C$21:$C$1327, "aaaa"),"")</f>
        <v>2024</v>
      </c>
      <c r="I659" t="str">
        <f>IF(OR(H659=$B$5,H659=$B$6,H659=$B$7,H659=$B$8,H659=$B$9,H659=$B$10,H659=$B$11,H659=$B$12,H659=$B$13,H659=$B$14),SottocategorieUscite[[#Headers],[Fuori Casa]],IF(OR(H659=$C$5,H659=$C$6,H659=$C$7,H659=$C$8,H659=$C$9,H659=$C$10,H659=$C$11,H659=$C$12,H659=$C$13,H659=$C$14),SottocategorieUscite[[#Headers],[Varie Uscite]],IF(OR(H659=$D$5,H659=$D$6,H659=$D$7,H659=$D$8,H659=$D$9,H659=$D$10,H659=$D$11,H659=$D$12,H659=$D$13,H659=$D$14),SottocategorieUscite[[#Headers],[Personali]],IF(OR(H659=$E$5,H659=$E$6,H659=$E$7,H659=$E$8,H659=$E$9,H659=$E$10,H659=$E$11,H659=$E$12,H659=$E$13,H659=$E$14),SottocategorieUscite[[#Headers],[Lavoro]],IF(OR(H659=$F$5,H659=$F$6,H659=$F$7,H659=$F$8,H659=$F$9,H659=$F$10,H659=$F$11,H659=$F$12,H659=$F$13,H659=$F$14),SottocategorieUscite[[#Headers],[Casa]],IF(OR(H659=$G$5,H659=$G$6,H659=$G$7,H659=$G$8,H659=$G$9,H659=$G$10,H659=$G$11,H659=$G$12,H659=$G$13,H659=$G$14),SottocategorieUscite[[#Headers],[Utenze]],IF(OR(H659=$H$5,H659=$H$6,H659=$H$7,H659=$H$8,H659=$H$9,H659=$H$10,H659=$H$11,H659=$H$12,H659=$H$13,H659=$H$14),SottocategorieUscite[[#Headers],[Business Uscite]],IF(OR(H659=$I$5,H659=$I$6,H659=$I$7,H659=$I$8,H659=$I$9,H659=$I$10,H659=$I$11,H659=$I$12,H659=$I$13,H659=$I$14),SottocategorieUscite[[#Headers],[Banca]],IF(OR(H659=K$5,H659=K$6,H659=K$7,H659=K$8,H659=K$9,H659=K$10,H659=K$11,H659=K$12,H659=K$13,H659=K$14),SottocategorieEntrate[[#Headers],[Business Entrate]],IF(OR(H659=L$5,H659=L$6,H659=L$7,H659=L$8,H659=L$9,H659=L$10,H659=L$11,H659=L$12,H659=L$13,H659=L$14),SottocategorieEntrate[[#Headers],[Varie Entrate]],IF(OR(H659=M$5,H659=M$6,H659=M$7,H659=M$8,H659=M$9,H659=M$10,H659=M$11,H659=M$12,H659=M$13,H659=M$14),SottocategorieEntrate[[#Headers],[Real Estate]],IF(OR(H659=N$5,H659=N$6,H659=N$7,H659=N$8,H659=N$9,H659=N$10,H659=N$11,H659=N$12,H659=N$13,H659=N$14),SottocategorieEntrate[[#Headers],[Other]],""))))))))))))</f>
        <v/>
      </c>
      <c r="J659" t="str">
        <f>IF(OR(Dati[[#This Row],[Categoria]]="Bollette",Dati[[#This Row],[Categoria]]="Conto &amp; Carte BNL",Dati[[#This Row],[Categoria]]="Prelievo",Dati[[#This Row],[Categoria]]="Affitto",Dati[[#This Row],[Categoria]]="BNL(Interessi Creditori)"),"Carta",IF(Dati[[#This Row],[Categoria]]&lt;&gt;0,"Cash",""))</f>
        <v/>
      </c>
      <c r="K659" s="59" t="str">
        <f>IF(OR(Data!$I659=SottocategorieUscite[[#Headers],[Fuori Casa]],Data!$I659=SottocategorieUscite[[#Headers],[Varie Uscite]],Data!$I659=SottocategorieUscite[[#Headers],[Personali]],Data!$I659=SottocategorieUscite[[#Headers],[Lavoro]]),"$ -","")</f>
        <v/>
      </c>
      <c r="L659" s="59" t="str">
        <f>IF(OR(Data!$I659=SottocategorieUscite[[#Headers],[Casa]],Data!$I659=SottocategorieUscite[[#Headers],[Utenze]],Data!$I659=SottocategorieUscite[[#Headers],[Business Uscite]],Data!$I659=SottocategorieUscite[[#Headers],[Banca]]),"$ -","")</f>
        <v/>
      </c>
      <c r="M659" s="59" t="str">
        <f>IF(OR($I659&lt;&gt;SottocategorieUscite[[#Headers],[Fuori Casa]],$I659&lt;&gt;SottocategorieUscite[[#Headers],[Varie Uscite]],$I659&lt;&gt;SottocategorieUscite[[#Headers],[Personali]],$I659&lt;&gt;SottocategorieUscite[[#Headers],[Lavoro]],$I659&lt;&gt;SottocategorieUscite[[#Headers],[Casa]],$I659&lt;&gt;SottocategorieUscite[[#Headers],[Utenze]],$I659&lt;&gt;SottocategorieUscite[[#Headers],[Business Uscite]],$I659&lt;&gt;SottocategorieUscite[[#Headers],[Banca]]),"","$ -")</f>
        <v/>
      </c>
      <c r="N659" s="59" t="str">
        <f>IF(OR(Data!$I659=SottocategorieEntrate[[#Headers],[Business Entrate]],Data!$I659=SottocategorieEntrate[[#Headers],[Varie Entrate]]),"$ -","")</f>
        <v/>
      </c>
      <c r="O659" s="59" t="str">
        <f>IF(OR(Data!$I659=SottocategorieEntrate[[#Headers],[Real Estate]],SottocategorieEntrate[[#Headers],[Other]]),"$ -","")</f>
        <v/>
      </c>
      <c r="P659" s="59" t="str">
        <f>IF(OR($I659&lt;&gt;SottocategorieEntrate[[#Headers],[Business Entrate]],$I659&lt;&gt;SottocategorieEntrate[[#Headers],[Varie Entrate]],$I659&lt;&gt;SottocategorieEntrate[[#Headers],[Real Estate]],$I659&lt;&gt;SottocategorieEntrate[[#Headers],[Other]]),"","$ -")</f>
        <v/>
      </c>
      <c r="Q659" s="59" t="str">
        <f>IF(Dati[[#This Row],[Categoria]]="Prelievo","€ -","")</f>
        <v/>
      </c>
      <c r="R659" s="244"/>
      <c r="S659" s="59" t="str">
        <f>IF(Dati[[#This Row],[Categoria]]="Savings",0,"")</f>
        <v/>
      </c>
      <c r="T659" s="59"/>
      <c r="U659" s="59"/>
      <c r="V659" s="59"/>
      <c r="W659" s="59"/>
      <c r="X659" s="59"/>
      <c r="Y659" s="59"/>
      <c r="Z659" s="59"/>
      <c r="AA659" s="59"/>
      <c r="AB659" s="59"/>
      <c r="AC659" s="59"/>
      <c r="AD659" s="59"/>
      <c r="AE659" s="59"/>
      <c r="AF659" s="59"/>
      <c r="AG659" s="59"/>
      <c r="AH659" s="59"/>
      <c r="AI659" s="59" t="str">
        <f>IF(SUM(Dati[[#This Row],[Inv. Business]:[Inv. Cryptocurrency]])=0," ",SUM(Dati[[#This Row],[Inv. Business]:[Inv. Cryptocurrency]]))</f>
        <v xml:space="preserve"> </v>
      </c>
      <c r="AJ659" s="59"/>
      <c r="AK659" s="59"/>
      <c r="AL659" s="59"/>
      <c r="AM659" s="59"/>
    </row>
    <row r="660" spans="2:39" x14ac:dyDescent="0.35">
      <c r="B660" s="237">
        <f t="shared" ref="B660:B666" si="28">ROW(639:639)</f>
        <v>639</v>
      </c>
      <c r="C660" s="49">
        <f>C658+1</f>
        <v>45408</v>
      </c>
      <c r="D660" s="29">
        <f>DAY(Dati[[#This Row],[Data]])</f>
        <v>26</v>
      </c>
      <c r="E660" s="29" t="str">
        <f>IF(DAY(Data!$C$21:$C$1327)&gt;0,TEXT(Data!$C$21:$C$1327, "mmmm"),"")</f>
        <v>aprile</v>
      </c>
      <c r="F660" s="29" t="str">
        <f>IF(DAY(Data!$C$21:$C$1327)&gt;0,TEXT(Data!$C$21:$C$1327, "aaaa"),"")</f>
        <v>2024</v>
      </c>
      <c r="I660" t="str">
        <f>IF(OR(H660=$B$5,H660=$B$6,H660=$B$7,H660=$B$8,H660=$B$9,H660=$B$10,H660=$B$11,H660=$B$12,H660=$B$13,H660=$B$14),SottocategorieUscite[[#Headers],[Fuori Casa]],IF(OR(H660=$C$5,H660=$C$6,H660=$C$7,H660=$C$8,H660=$C$9,H660=$C$10,H660=$C$11,H660=$C$12,H660=$C$13,H660=$C$14),SottocategorieUscite[[#Headers],[Varie Uscite]],IF(OR(H660=$D$5,H660=$D$6,H660=$D$7,H660=$D$8,H660=$D$9,H660=$D$10,H660=$D$11,H660=$D$12,H660=$D$13,H660=$D$14),SottocategorieUscite[[#Headers],[Personali]],IF(OR(H660=$E$5,H660=$E$6,H660=$E$7,H660=$E$8,H660=$E$9,H660=$E$10,H660=$E$11,H660=$E$12,H660=$E$13,H660=$E$14),SottocategorieUscite[[#Headers],[Lavoro]],IF(OR(H660=$F$5,H660=$F$6,H660=$F$7,H660=$F$8,H660=$F$9,H660=$F$10,H660=$F$11,H660=$F$12,H660=$F$13,H660=$F$14),SottocategorieUscite[[#Headers],[Casa]],IF(OR(H660=$G$5,H660=$G$6,H660=$G$7,H660=$G$8,H660=$G$9,H660=$G$10,H660=$G$11,H660=$G$12,H660=$G$13,H660=$G$14),SottocategorieUscite[[#Headers],[Utenze]],IF(OR(H660=$H$5,H660=$H$6,H660=$H$7,H660=$H$8,H660=$H$9,H660=$H$10,H660=$H$11,H660=$H$12,H660=$H$13,H660=$H$14),SottocategorieUscite[[#Headers],[Business Uscite]],IF(OR(H660=$I$5,H660=$I$6,H660=$I$7,H660=$I$8,H660=$I$9,H660=$I$10,H660=$I$11,H660=$I$12,H660=$I$13,H660=$I$14),SottocategorieUscite[[#Headers],[Banca]],IF(OR(H660=K$5,H660=K$6,H660=K$7,H660=K$8,H660=K$9,H660=K$10,H660=K$11,H660=K$12,H660=K$13,H660=K$14),SottocategorieEntrate[[#Headers],[Business Entrate]],IF(OR(H660=L$5,H660=L$6,H660=L$7,H660=L$8,H660=L$9,H660=L$10,H660=L$11,H660=L$12,H660=L$13,H660=L$14),SottocategorieEntrate[[#Headers],[Varie Entrate]],IF(OR(H660=M$5,H660=M$6,H660=M$7,H660=M$8,H660=M$9,H660=M$10,H660=M$11,H660=M$12,H660=M$13,H660=M$14),SottocategorieEntrate[[#Headers],[Real Estate]],IF(OR(H660=N$5,H660=N$6,H660=N$7,H660=N$8,H660=N$9,H660=N$10,H660=N$11,H660=N$12,H660=N$13,H660=N$14),SottocategorieEntrate[[#Headers],[Other]],""))))))))))))</f>
        <v/>
      </c>
      <c r="J660" t="str">
        <f>IF(OR(Dati[[#This Row],[Categoria]]="Bollette",Dati[[#This Row],[Categoria]]="Conto &amp; Carte BNL",Dati[[#This Row],[Categoria]]="Prelievo",Dati[[#This Row],[Categoria]]="Affitto",Dati[[#This Row],[Categoria]]="BNL(Interessi Creditori)"),"Carta",IF(Dati[[#This Row],[Categoria]]&lt;&gt;0,"Cash",""))</f>
        <v/>
      </c>
      <c r="K660" s="59" t="str">
        <f>IF(OR(Data!$I660=SottocategorieUscite[[#Headers],[Fuori Casa]],Data!$I660=SottocategorieUscite[[#Headers],[Varie Uscite]],Data!$I660=SottocategorieUscite[[#Headers],[Personali]],Data!$I660=SottocategorieUscite[[#Headers],[Lavoro]]),"$ -","")</f>
        <v/>
      </c>
      <c r="L660" s="59" t="str">
        <f>IF(OR(Data!$I660=SottocategorieUscite[[#Headers],[Casa]],Data!$I660=SottocategorieUscite[[#Headers],[Utenze]],Data!$I660=SottocategorieUscite[[#Headers],[Business Uscite]],Data!$I660=SottocategorieUscite[[#Headers],[Banca]]),"$ -","")</f>
        <v/>
      </c>
      <c r="M660" s="59" t="str">
        <f>IF(OR($I660&lt;&gt;SottocategorieUscite[[#Headers],[Fuori Casa]],$I660&lt;&gt;SottocategorieUscite[[#Headers],[Varie Uscite]],$I660&lt;&gt;SottocategorieUscite[[#Headers],[Personali]],$I660&lt;&gt;SottocategorieUscite[[#Headers],[Lavoro]],$I660&lt;&gt;SottocategorieUscite[[#Headers],[Casa]],$I660&lt;&gt;SottocategorieUscite[[#Headers],[Utenze]],$I660&lt;&gt;SottocategorieUscite[[#Headers],[Business Uscite]],$I660&lt;&gt;SottocategorieUscite[[#Headers],[Banca]]),"","$ -")</f>
        <v/>
      </c>
      <c r="N660" s="59" t="str">
        <f>IF(OR(Data!$I660=SottocategorieEntrate[[#Headers],[Business Entrate]],Data!$I660=SottocategorieEntrate[[#Headers],[Varie Entrate]]),"$ -","")</f>
        <v/>
      </c>
      <c r="O660" s="59" t="str">
        <f>IF(OR(Data!$I660=SottocategorieEntrate[[#Headers],[Real Estate]],SottocategorieEntrate[[#Headers],[Other]]),"$ -","")</f>
        <v/>
      </c>
      <c r="P660" s="59" t="str">
        <f>IF(OR($I660&lt;&gt;SottocategorieEntrate[[#Headers],[Business Entrate]],$I660&lt;&gt;SottocategorieEntrate[[#Headers],[Varie Entrate]],$I660&lt;&gt;SottocategorieEntrate[[#Headers],[Real Estate]],$I660&lt;&gt;SottocategorieEntrate[[#Headers],[Other]]),"","$ -")</f>
        <v/>
      </c>
      <c r="Q660" s="59" t="str">
        <f>IF(Dati[[#This Row],[Categoria]]="Prelievo","€ -","")</f>
        <v/>
      </c>
      <c r="R660" s="244"/>
      <c r="S660" s="59" t="str">
        <f>IF(Dati[[#This Row],[Categoria]]="Savings",0,"")</f>
        <v/>
      </c>
      <c r="T660" s="59"/>
      <c r="U660" s="59"/>
      <c r="V660" s="59"/>
      <c r="W660" s="59"/>
      <c r="X660" s="59"/>
      <c r="Y660" s="59"/>
      <c r="Z660" s="59"/>
      <c r="AA660" s="59"/>
      <c r="AB660" s="59"/>
      <c r="AC660" s="59"/>
      <c r="AD660" s="59"/>
      <c r="AE660" s="59"/>
      <c r="AF660" s="59"/>
      <c r="AG660" s="59"/>
      <c r="AH660" s="59"/>
      <c r="AI660" s="59" t="str">
        <f>IF(SUM(Dati[[#This Row],[Inv. Business]:[Inv. Cryptocurrency]])=0," ",SUM(Dati[[#This Row],[Inv. Business]:[Inv. Cryptocurrency]]))</f>
        <v xml:space="preserve"> </v>
      </c>
      <c r="AJ660" s="59"/>
      <c r="AK660" s="59"/>
      <c r="AL660" s="59"/>
      <c r="AM660" s="59"/>
    </row>
    <row r="661" spans="2:39" x14ac:dyDescent="0.35">
      <c r="B661" s="237">
        <f t="shared" si="28"/>
        <v>640</v>
      </c>
      <c r="C661" s="49">
        <f>C659+1</f>
        <v>45409</v>
      </c>
      <c r="D661" s="29">
        <f>DAY(Dati[[#This Row],[Data]])</f>
        <v>27</v>
      </c>
      <c r="E661" s="29" t="str">
        <f>IF(DAY(Data!$C$21:$C$1327)&gt;0,TEXT(Data!$C$21:$C$1327, "mmmm"),"")</f>
        <v>aprile</v>
      </c>
      <c r="F661" s="29" t="str">
        <f>IF(DAY(Data!$C$21:$C$1327)&gt;0,TEXT(Data!$C$21:$C$1327, "aaaa"),"")</f>
        <v>2024</v>
      </c>
      <c r="I661" t="str">
        <f>IF(OR(H661=$B$5,H661=$B$6,H661=$B$7,H661=$B$8,H661=$B$9,H661=$B$10,H661=$B$11,H661=$B$12,H661=$B$13,H661=$B$14),SottocategorieUscite[[#Headers],[Fuori Casa]],IF(OR(H661=$C$5,H661=$C$6,H661=$C$7,H661=$C$8,H661=$C$9,H661=$C$10,H661=$C$11,H661=$C$12,H661=$C$13,H661=$C$14),SottocategorieUscite[[#Headers],[Varie Uscite]],IF(OR(H661=$D$5,H661=$D$6,H661=$D$7,H661=$D$8,H661=$D$9,H661=$D$10,H661=$D$11,H661=$D$12,H661=$D$13,H661=$D$14),SottocategorieUscite[[#Headers],[Personali]],IF(OR(H661=$E$5,H661=$E$6,H661=$E$7,H661=$E$8,H661=$E$9,H661=$E$10,H661=$E$11,H661=$E$12,H661=$E$13,H661=$E$14),SottocategorieUscite[[#Headers],[Lavoro]],IF(OR(H661=$F$5,H661=$F$6,H661=$F$7,H661=$F$8,H661=$F$9,H661=$F$10,H661=$F$11,H661=$F$12,H661=$F$13,H661=$F$14),SottocategorieUscite[[#Headers],[Casa]],IF(OR(H661=$G$5,H661=$G$6,H661=$G$7,H661=$G$8,H661=$G$9,H661=$G$10,H661=$G$11,H661=$G$12,H661=$G$13,H661=$G$14),SottocategorieUscite[[#Headers],[Utenze]],IF(OR(H661=$H$5,H661=$H$6,H661=$H$7,H661=$H$8,H661=$H$9,H661=$H$10,H661=$H$11,H661=$H$12,H661=$H$13,H661=$H$14),SottocategorieUscite[[#Headers],[Business Uscite]],IF(OR(H661=$I$5,H661=$I$6,H661=$I$7,H661=$I$8,H661=$I$9,H661=$I$10,H661=$I$11,H661=$I$12,H661=$I$13,H661=$I$14),SottocategorieUscite[[#Headers],[Banca]],IF(OR(H661=K$5,H661=K$6,H661=K$7,H661=K$8,H661=K$9,H661=K$10,H661=K$11,H661=K$12,H661=K$13,H661=K$14),SottocategorieEntrate[[#Headers],[Business Entrate]],IF(OR(H661=L$5,H661=L$6,H661=L$7,H661=L$8,H661=L$9,H661=L$10,H661=L$11,H661=L$12,H661=L$13,H661=L$14),SottocategorieEntrate[[#Headers],[Varie Entrate]],IF(OR(H661=M$5,H661=M$6,H661=M$7,H661=M$8,H661=M$9,H661=M$10,H661=M$11,H661=M$12,H661=M$13,H661=M$14),SottocategorieEntrate[[#Headers],[Real Estate]],IF(OR(H661=N$5,H661=N$6,H661=N$7,H661=N$8,H661=N$9,H661=N$10,H661=N$11,H661=N$12,H661=N$13,H661=N$14),SottocategorieEntrate[[#Headers],[Other]],""))))))))))))</f>
        <v/>
      </c>
      <c r="J661" t="str">
        <f>IF(OR(Dati[[#This Row],[Categoria]]="Bollette",Dati[[#This Row],[Categoria]]="Conto &amp; Carte BNL",Dati[[#This Row],[Categoria]]="Prelievo",Dati[[#This Row],[Categoria]]="Affitto",Dati[[#This Row],[Categoria]]="BNL(Interessi Creditori)"),"Carta",IF(Dati[[#This Row],[Categoria]]&lt;&gt;0,"Cash",""))</f>
        <v/>
      </c>
      <c r="K661" s="59" t="str">
        <f>IF(OR(Data!$I661=SottocategorieUscite[[#Headers],[Fuori Casa]],Data!$I661=SottocategorieUscite[[#Headers],[Varie Uscite]],Data!$I661=SottocategorieUscite[[#Headers],[Personali]],Data!$I661=SottocategorieUscite[[#Headers],[Lavoro]]),"$ -","")</f>
        <v/>
      </c>
      <c r="L661" s="59" t="str">
        <f>IF(OR(Data!$I661=SottocategorieUscite[[#Headers],[Casa]],Data!$I661=SottocategorieUscite[[#Headers],[Utenze]],Data!$I661=SottocategorieUscite[[#Headers],[Business Uscite]],Data!$I661=SottocategorieUscite[[#Headers],[Banca]]),"$ -","")</f>
        <v/>
      </c>
      <c r="M661" s="59" t="str">
        <f>IF(OR($I661&lt;&gt;SottocategorieUscite[[#Headers],[Fuori Casa]],$I661&lt;&gt;SottocategorieUscite[[#Headers],[Varie Uscite]],$I661&lt;&gt;SottocategorieUscite[[#Headers],[Personali]],$I661&lt;&gt;SottocategorieUscite[[#Headers],[Lavoro]],$I661&lt;&gt;SottocategorieUscite[[#Headers],[Casa]],$I661&lt;&gt;SottocategorieUscite[[#Headers],[Utenze]],$I661&lt;&gt;SottocategorieUscite[[#Headers],[Business Uscite]],$I661&lt;&gt;SottocategorieUscite[[#Headers],[Banca]]),"","$ -")</f>
        <v/>
      </c>
      <c r="N661" s="59" t="str">
        <f>IF(OR(Data!$I661=SottocategorieEntrate[[#Headers],[Business Entrate]],Data!$I661=SottocategorieEntrate[[#Headers],[Varie Entrate]]),"$ -","")</f>
        <v/>
      </c>
      <c r="O661" s="59" t="str">
        <f>IF(OR(Data!$I661=SottocategorieEntrate[[#Headers],[Real Estate]],SottocategorieEntrate[[#Headers],[Other]]),"$ -","")</f>
        <v/>
      </c>
      <c r="P661" s="59" t="str">
        <f>IF(OR($I661&lt;&gt;SottocategorieEntrate[[#Headers],[Business Entrate]],$I661&lt;&gt;SottocategorieEntrate[[#Headers],[Varie Entrate]],$I661&lt;&gt;SottocategorieEntrate[[#Headers],[Real Estate]],$I661&lt;&gt;SottocategorieEntrate[[#Headers],[Other]]),"","$ -")</f>
        <v/>
      </c>
      <c r="Q661" s="59" t="str">
        <f>IF(Dati[[#This Row],[Categoria]]="Prelievo","€ -","")</f>
        <v/>
      </c>
      <c r="R661" s="244"/>
      <c r="S661" s="59" t="str">
        <f>IF(Dati[[#This Row],[Categoria]]="Savings",0,"")</f>
        <v/>
      </c>
      <c r="T661" s="59"/>
      <c r="U661" s="59"/>
      <c r="V661" s="59"/>
      <c r="W661" s="59"/>
      <c r="X661" s="59"/>
      <c r="Y661" s="59"/>
      <c r="Z661" s="59"/>
      <c r="AA661" s="59"/>
      <c r="AB661" s="59"/>
      <c r="AC661" s="59"/>
      <c r="AD661" s="59"/>
      <c r="AE661" s="59"/>
      <c r="AF661" s="59"/>
      <c r="AG661" s="59"/>
      <c r="AH661" s="59"/>
      <c r="AI661" s="59" t="str">
        <f>IF(SUM(Dati[[#This Row],[Inv. Business]:[Inv. Cryptocurrency]])=0," ",SUM(Dati[[#This Row],[Inv. Business]:[Inv. Cryptocurrency]]))</f>
        <v xml:space="preserve"> </v>
      </c>
      <c r="AJ661" s="59"/>
      <c r="AK661" s="59"/>
      <c r="AL661" s="59"/>
      <c r="AM661" s="59"/>
    </row>
    <row r="662" spans="2:39" x14ac:dyDescent="0.35">
      <c r="B662" s="237">
        <f t="shared" si="28"/>
        <v>641</v>
      </c>
      <c r="C662" s="49">
        <f>C661+1</f>
        <v>45410</v>
      </c>
      <c r="D662" s="29">
        <f>DAY(Dati[[#This Row],[Data]])</f>
        <v>28</v>
      </c>
      <c r="E662" s="29" t="str">
        <f>IF(DAY(Data!$C$21:$C$1327)&gt;0,TEXT(Data!$C$21:$C$1327, "mmmm"),"")</f>
        <v>aprile</v>
      </c>
      <c r="F662" s="29" t="str">
        <f>IF(DAY(Data!$C$21:$C$1327)&gt;0,TEXT(Data!$C$21:$C$1327, "aaaa"),"")</f>
        <v>2024</v>
      </c>
      <c r="I662" t="str">
        <f>IF(OR(H662=$B$5,H662=$B$6,H662=$B$7,H662=$B$8,H662=$B$9,H662=$B$10,H662=$B$11,H662=$B$12,H662=$B$13,H662=$B$14),SottocategorieUscite[[#Headers],[Fuori Casa]],IF(OR(H662=$C$5,H662=$C$6,H662=$C$7,H662=$C$8,H662=$C$9,H662=$C$10,H662=$C$11,H662=$C$12,H662=$C$13,H662=$C$14),SottocategorieUscite[[#Headers],[Varie Uscite]],IF(OR(H662=$D$5,H662=$D$6,H662=$D$7,H662=$D$8,H662=$D$9,H662=$D$10,H662=$D$11,H662=$D$12,H662=$D$13,H662=$D$14),SottocategorieUscite[[#Headers],[Personali]],IF(OR(H662=$E$5,H662=$E$6,H662=$E$7,H662=$E$8,H662=$E$9,H662=$E$10,H662=$E$11,H662=$E$12,H662=$E$13,H662=$E$14),SottocategorieUscite[[#Headers],[Lavoro]],IF(OR(H662=$F$5,H662=$F$6,H662=$F$7,H662=$F$8,H662=$F$9,H662=$F$10,H662=$F$11,H662=$F$12,H662=$F$13,H662=$F$14),SottocategorieUscite[[#Headers],[Casa]],IF(OR(H662=$G$5,H662=$G$6,H662=$G$7,H662=$G$8,H662=$G$9,H662=$G$10,H662=$G$11,H662=$G$12,H662=$G$13,H662=$G$14),SottocategorieUscite[[#Headers],[Utenze]],IF(OR(H662=$H$5,H662=$H$6,H662=$H$7,H662=$H$8,H662=$H$9,H662=$H$10,H662=$H$11,H662=$H$12,H662=$H$13,H662=$H$14),SottocategorieUscite[[#Headers],[Business Uscite]],IF(OR(H662=$I$5,H662=$I$6,H662=$I$7,H662=$I$8,H662=$I$9,H662=$I$10,H662=$I$11,H662=$I$12,H662=$I$13,H662=$I$14),SottocategorieUscite[[#Headers],[Banca]],IF(OR(H662=K$5,H662=K$6,H662=K$7,H662=K$8,H662=K$9,H662=K$10,H662=K$11,H662=K$12,H662=K$13,H662=K$14),SottocategorieEntrate[[#Headers],[Business Entrate]],IF(OR(H662=L$5,H662=L$6,H662=L$7,H662=L$8,H662=L$9,H662=L$10,H662=L$11,H662=L$12,H662=L$13,H662=L$14),SottocategorieEntrate[[#Headers],[Varie Entrate]],IF(OR(H662=M$5,H662=M$6,H662=M$7,H662=M$8,H662=M$9,H662=M$10,H662=M$11,H662=M$12,H662=M$13,H662=M$14),SottocategorieEntrate[[#Headers],[Real Estate]],IF(OR(H662=N$5,H662=N$6,H662=N$7,H662=N$8,H662=N$9,H662=N$10,H662=N$11,H662=N$12,H662=N$13,H662=N$14),SottocategorieEntrate[[#Headers],[Other]],""))))))))))))</f>
        <v/>
      </c>
      <c r="J662" t="str">
        <f>IF(OR(Dati[[#This Row],[Categoria]]="Bollette",Dati[[#This Row],[Categoria]]="Conto &amp; Carte BNL",Dati[[#This Row],[Categoria]]="Prelievo",Dati[[#This Row],[Categoria]]="Affitto",Dati[[#This Row],[Categoria]]="BNL(Interessi Creditori)"),"Carta",IF(Dati[[#This Row],[Categoria]]&lt;&gt;0,"Cash",""))</f>
        <v/>
      </c>
      <c r="K662" s="59" t="str">
        <f>IF(OR(Data!$I662=SottocategorieUscite[[#Headers],[Fuori Casa]],Data!$I662=SottocategorieUscite[[#Headers],[Varie Uscite]],Data!$I662=SottocategorieUscite[[#Headers],[Personali]],Data!$I662=SottocategorieUscite[[#Headers],[Lavoro]]),"$ -","")</f>
        <v/>
      </c>
      <c r="L662" s="59" t="str">
        <f>IF(OR(Data!$I662=SottocategorieUscite[[#Headers],[Casa]],Data!$I662=SottocategorieUscite[[#Headers],[Utenze]],Data!$I662=SottocategorieUscite[[#Headers],[Business Uscite]],Data!$I662=SottocategorieUscite[[#Headers],[Banca]]),"$ -","")</f>
        <v/>
      </c>
      <c r="M662" s="59" t="str">
        <f>IF(OR($I662&lt;&gt;SottocategorieUscite[[#Headers],[Fuori Casa]],$I662&lt;&gt;SottocategorieUscite[[#Headers],[Varie Uscite]],$I662&lt;&gt;SottocategorieUscite[[#Headers],[Personali]],$I662&lt;&gt;SottocategorieUscite[[#Headers],[Lavoro]],$I662&lt;&gt;SottocategorieUscite[[#Headers],[Casa]],$I662&lt;&gt;SottocategorieUscite[[#Headers],[Utenze]],$I662&lt;&gt;SottocategorieUscite[[#Headers],[Business Uscite]],$I662&lt;&gt;SottocategorieUscite[[#Headers],[Banca]]),"","$ -")</f>
        <v/>
      </c>
      <c r="N662" s="59" t="str">
        <f>IF(OR(Data!$I662=SottocategorieEntrate[[#Headers],[Business Entrate]],Data!$I662=SottocategorieEntrate[[#Headers],[Varie Entrate]]),"$ -","")</f>
        <v/>
      </c>
      <c r="O662" s="59" t="str">
        <f>IF(OR(Data!$I662=SottocategorieEntrate[[#Headers],[Real Estate]],SottocategorieEntrate[[#Headers],[Other]]),"$ -","")</f>
        <v/>
      </c>
      <c r="P662" s="59" t="str">
        <f>IF(OR($I662&lt;&gt;SottocategorieEntrate[[#Headers],[Business Entrate]],$I662&lt;&gt;SottocategorieEntrate[[#Headers],[Varie Entrate]],$I662&lt;&gt;SottocategorieEntrate[[#Headers],[Real Estate]],$I662&lt;&gt;SottocategorieEntrate[[#Headers],[Other]]),"","$ -")</f>
        <v/>
      </c>
      <c r="Q662" s="59" t="str">
        <f>IF(Dati[[#This Row],[Categoria]]="Prelievo","€ -","")</f>
        <v/>
      </c>
      <c r="R662" s="244"/>
      <c r="S662" s="59" t="str">
        <f>IF(Dati[[#This Row],[Categoria]]="Savings",0,"")</f>
        <v/>
      </c>
      <c r="T662" s="59"/>
      <c r="U662" s="59"/>
      <c r="V662" s="59"/>
      <c r="W662" s="59"/>
      <c r="X662" s="59"/>
      <c r="Y662" s="59"/>
      <c r="Z662" s="59"/>
      <c r="AA662" s="59"/>
      <c r="AB662" s="59"/>
      <c r="AC662" s="59"/>
      <c r="AD662" s="59"/>
      <c r="AE662" s="59"/>
      <c r="AF662" s="59"/>
      <c r="AG662" s="59"/>
      <c r="AH662" s="59"/>
      <c r="AI662" s="59" t="str">
        <f>IF(SUM(Dati[[#This Row],[Inv. Business]:[Inv. Cryptocurrency]])=0," ",SUM(Dati[[#This Row],[Inv. Business]:[Inv. Cryptocurrency]]))</f>
        <v xml:space="preserve"> </v>
      </c>
      <c r="AJ662" s="59"/>
      <c r="AK662" s="59"/>
      <c r="AL662" s="59"/>
      <c r="AM662" s="59"/>
    </row>
    <row r="663" spans="2:39" x14ac:dyDescent="0.35">
      <c r="B663" s="237">
        <f t="shared" si="28"/>
        <v>642</v>
      </c>
      <c r="C663" s="49">
        <f t="shared" si="27"/>
        <v>45411</v>
      </c>
      <c r="D663" s="29">
        <f>DAY(Dati[[#This Row],[Data]])</f>
        <v>29</v>
      </c>
      <c r="E663" s="29" t="str">
        <f>IF(DAY(Data!$C$21:$C$1327)&gt;0,TEXT(Data!$C$21:$C$1327, "mmmm"),"")</f>
        <v>aprile</v>
      </c>
      <c r="F663" s="29" t="str">
        <f>IF(DAY(Data!$C$21:$C$1327)&gt;0,TEXT(Data!$C$21:$C$1327, "aaaa"),"")</f>
        <v>2024</v>
      </c>
      <c r="I663" t="str">
        <f>IF(OR(H663=$B$5,H663=$B$6,H663=$B$7,H663=$B$8,H663=$B$9,H663=$B$10,H663=$B$11,H663=$B$12,H663=$B$13,H663=$B$14),SottocategorieUscite[[#Headers],[Fuori Casa]],IF(OR(H663=$C$5,H663=$C$6,H663=$C$7,H663=$C$8,H663=$C$9,H663=$C$10,H663=$C$11,H663=$C$12,H663=$C$13,H663=$C$14),SottocategorieUscite[[#Headers],[Varie Uscite]],IF(OR(H663=$D$5,H663=$D$6,H663=$D$7,H663=$D$8,H663=$D$9,H663=$D$10,H663=$D$11,H663=$D$12,H663=$D$13,H663=$D$14),SottocategorieUscite[[#Headers],[Personali]],IF(OR(H663=$E$5,H663=$E$6,H663=$E$7,H663=$E$8,H663=$E$9,H663=$E$10,H663=$E$11,H663=$E$12,H663=$E$13,H663=$E$14),SottocategorieUscite[[#Headers],[Lavoro]],IF(OR(H663=$F$5,H663=$F$6,H663=$F$7,H663=$F$8,H663=$F$9,H663=$F$10,H663=$F$11,H663=$F$12,H663=$F$13,H663=$F$14),SottocategorieUscite[[#Headers],[Casa]],IF(OR(H663=$G$5,H663=$G$6,H663=$G$7,H663=$G$8,H663=$G$9,H663=$G$10,H663=$G$11,H663=$G$12,H663=$G$13,H663=$G$14),SottocategorieUscite[[#Headers],[Utenze]],IF(OR(H663=$H$5,H663=$H$6,H663=$H$7,H663=$H$8,H663=$H$9,H663=$H$10,H663=$H$11,H663=$H$12,H663=$H$13,H663=$H$14),SottocategorieUscite[[#Headers],[Business Uscite]],IF(OR(H663=$I$5,H663=$I$6,H663=$I$7,H663=$I$8,H663=$I$9,H663=$I$10,H663=$I$11,H663=$I$12,H663=$I$13,H663=$I$14),SottocategorieUscite[[#Headers],[Banca]],IF(OR(H663=K$5,H663=K$6,H663=K$7,H663=K$8,H663=K$9,H663=K$10,H663=K$11,H663=K$12,H663=K$13,H663=K$14),SottocategorieEntrate[[#Headers],[Business Entrate]],IF(OR(H663=L$5,H663=L$6,H663=L$7,H663=L$8,H663=L$9,H663=L$10,H663=L$11,H663=L$12,H663=L$13,H663=L$14),SottocategorieEntrate[[#Headers],[Varie Entrate]],IF(OR(H663=M$5,H663=M$6,H663=M$7,H663=M$8,H663=M$9,H663=M$10,H663=M$11,H663=M$12,H663=M$13,H663=M$14),SottocategorieEntrate[[#Headers],[Real Estate]],IF(OR(H663=N$5,H663=N$6,H663=N$7,H663=N$8,H663=N$9,H663=N$10,H663=N$11,H663=N$12,H663=N$13,H663=N$14),SottocategorieEntrate[[#Headers],[Other]],""))))))))))))</f>
        <v/>
      </c>
      <c r="J663" t="str">
        <f>IF(OR(Dati[[#This Row],[Categoria]]="Bollette",Dati[[#This Row],[Categoria]]="Conto &amp; Carte BNL",Dati[[#This Row],[Categoria]]="Prelievo",Dati[[#This Row],[Categoria]]="Affitto",Dati[[#This Row],[Categoria]]="BNL(Interessi Creditori)"),"Carta",IF(Dati[[#This Row],[Categoria]]&lt;&gt;0,"Cash",""))</f>
        <v/>
      </c>
      <c r="K663" s="59" t="str">
        <f>IF(OR(Data!$I663=SottocategorieUscite[[#Headers],[Fuori Casa]],Data!$I663=SottocategorieUscite[[#Headers],[Varie Uscite]],Data!$I663=SottocategorieUscite[[#Headers],[Personali]],Data!$I663=SottocategorieUscite[[#Headers],[Lavoro]]),"$ -","")</f>
        <v/>
      </c>
      <c r="L663" s="59" t="str">
        <f>IF(OR(Data!$I663=SottocategorieUscite[[#Headers],[Casa]],Data!$I663=SottocategorieUscite[[#Headers],[Utenze]],Data!$I663=SottocategorieUscite[[#Headers],[Business Uscite]],Data!$I663=SottocategorieUscite[[#Headers],[Banca]]),"$ -","")</f>
        <v/>
      </c>
      <c r="M663" s="59" t="str">
        <f>IF(OR($I663&lt;&gt;SottocategorieUscite[[#Headers],[Fuori Casa]],$I663&lt;&gt;SottocategorieUscite[[#Headers],[Varie Uscite]],$I663&lt;&gt;SottocategorieUscite[[#Headers],[Personali]],$I663&lt;&gt;SottocategorieUscite[[#Headers],[Lavoro]],$I663&lt;&gt;SottocategorieUscite[[#Headers],[Casa]],$I663&lt;&gt;SottocategorieUscite[[#Headers],[Utenze]],$I663&lt;&gt;SottocategorieUscite[[#Headers],[Business Uscite]],$I663&lt;&gt;SottocategorieUscite[[#Headers],[Banca]]),"","$ -")</f>
        <v/>
      </c>
      <c r="N663" s="59" t="str">
        <f>IF(OR(Data!$I663=SottocategorieEntrate[[#Headers],[Business Entrate]],Data!$I663=SottocategorieEntrate[[#Headers],[Varie Entrate]]),"$ -","")</f>
        <v/>
      </c>
      <c r="O663" s="59" t="str">
        <f>IF(OR(Data!$I663=SottocategorieEntrate[[#Headers],[Real Estate]],SottocategorieEntrate[[#Headers],[Other]]),"$ -","")</f>
        <v/>
      </c>
      <c r="P663" s="59" t="str">
        <f>IF(OR($I663&lt;&gt;SottocategorieEntrate[[#Headers],[Business Entrate]],$I663&lt;&gt;SottocategorieEntrate[[#Headers],[Varie Entrate]],$I663&lt;&gt;SottocategorieEntrate[[#Headers],[Real Estate]],$I663&lt;&gt;SottocategorieEntrate[[#Headers],[Other]]),"","$ -")</f>
        <v/>
      </c>
      <c r="Q663" s="59" t="str">
        <f>IF(Dati[[#This Row],[Categoria]]="Prelievo","€ -","")</f>
        <v/>
      </c>
      <c r="R663" s="244"/>
      <c r="S663" s="59" t="str">
        <f>IF(Dati[[#This Row],[Categoria]]="Savings",0,"")</f>
        <v/>
      </c>
      <c r="T663" s="59"/>
      <c r="U663" s="59"/>
      <c r="V663" s="59"/>
      <c r="W663" s="59"/>
      <c r="X663" s="59"/>
      <c r="Y663" s="59"/>
      <c r="Z663" s="59"/>
      <c r="AA663" s="59"/>
      <c r="AB663" s="59"/>
      <c r="AC663" s="59"/>
      <c r="AD663" s="59"/>
      <c r="AE663" s="59"/>
      <c r="AF663" s="59"/>
      <c r="AG663" s="59"/>
      <c r="AH663" s="59"/>
      <c r="AI663" s="59" t="str">
        <f>IF(SUM(Dati[[#This Row],[Inv. Business]:[Inv. Cryptocurrency]])=0," ",SUM(Dati[[#This Row],[Inv. Business]:[Inv. Cryptocurrency]]))</f>
        <v xml:space="preserve"> </v>
      </c>
      <c r="AJ663" s="59"/>
      <c r="AK663" s="59"/>
      <c r="AL663" s="59"/>
      <c r="AM663" s="59"/>
    </row>
    <row r="664" spans="2:39" x14ac:dyDescent="0.35">
      <c r="B664" s="237">
        <f t="shared" si="28"/>
        <v>643</v>
      </c>
      <c r="C664" s="49">
        <f t="shared" si="27"/>
        <v>45412</v>
      </c>
      <c r="D664" s="29">
        <f>DAY(Dati[[#This Row],[Data]])</f>
        <v>30</v>
      </c>
      <c r="E664" s="29" t="str">
        <f>IF(DAY(Data!$C$21:$C$1327)&gt;0,TEXT(Data!$C$21:$C$1327, "mmmm"),"")</f>
        <v>aprile</v>
      </c>
      <c r="F664" s="29" t="str">
        <f>IF(DAY(Data!$C$21:$C$1327)&gt;0,TEXT(Data!$C$21:$C$1327, "aaaa"),"")</f>
        <v>2024</v>
      </c>
      <c r="I664" t="str">
        <f>IF(OR(H664=$B$5,H664=$B$6,H664=$B$7,H664=$B$8,H664=$B$9,H664=$B$10,H664=$B$11,H664=$B$12,H664=$B$13,H664=$B$14),SottocategorieUscite[[#Headers],[Fuori Casa]],IF(OR(H664=$C$5,H664=$C$6,H664=$C$7,H664=$C$8,H664=$C$9,H664=$C$10,H664=$C$11,H664=$C$12,H664=$C$13,H664=$C$14),SottocategorieUscite[[#Headers],[Varie Uscite]],IF(OR(H664=$D$5,H664=$D$6,H664=$D$7,H664=$D$8,H664=$D$9,H664=$D$10,H664=$D$11,H664=$D$12,H664=$D$13,H664=$D$14),SottocategorieUscite[[#Headers],[Personali]],IF(OR(H664=$E$5,H664=$E$6,H664=$E$7,H664=$E$8,H664=$E$9,H664=$E$10,H664=$E$11,H664=$E$12,H664=$E$13,H664=$E$14),SottocategorieUscite[[#Headers],[Lavoro]],IF(OR(H664=$F$5,H664=$F$6,H664=$F$7,H664=$F$8,H664=$F$9,H664=$F$10,H664=$F$11,H664=$F$12,H664=$F$13,H664=$F$14),SottocategorieUscite[[#Headers],[Casa]],IF(OR(H664=$G$5,H664=$G$6,H664=$G$7,H664=$G$8,H664=$G$9,H664=$G$10,H664=$G$11,H664=$G$12,H664=$G$13,H664=$G$14),SottocategorieUscite[[#Headers],[Utenze]],IF(OR(H664=$H$5,H664=$H$6,H664=$H$7,H664=$H$8,H664=$H$9,H664=$H$10,H664=$H$11,H664=$H$12,H664=$H$13,H664=$H$14),SottocategorieUscite[[#Headers],[Business Uscite]],IF(OR(H664=$I$5,H664=$I$6,H664=$I$7,H664=$I$8,H664=$I$9,H664=$I$10,H664=$I$11,H664=$I$12,H664=$I$13,H664=$I$14),SottocategorieUscite[[#Headers],[Banca]],IF(OR(H664=K$5,H664=K$6,H664=K$7,H664=K$8,H664=K$9,H664=K$10,H664=K$11,H664=K$12,H664=K$13,H664=K$14),SottocategorieEntrate[[#Headers],[Business Entrate]],IF(OR(H664=L$5,H664=L$6,H664=L$7,H664=L$8,H664=L$9,H664=L$10,H664=L$11,H664=L$12,H664=L$13,H664=L$14),SottocategorieEntrate[[#Headers],[Varie Entrate]],IF(OR(H664=M$5,H664=M$6,H664=M$7,H664=M$8,H664=M$9,H664=M$10,H664=M$11,H664=M$12,H664=M$13,H664=M$14),SottocategorieEntrate[[#Headers],[Real Estate]],IF(OR(H664=N$5,H664=N$6,H664=N$7,H664=N$8,H664=N$9,H664=N$10,H664=N$11,H664=N$12,H664=N$13,H664=N$14),SottocategorieEntrate[[#Headers],[Other]],""))))))))))))</f>
        <v/>
      </c>
      <c r="J664" t="str">
        <f>IF(OR(Dati[[#This Row],[Categoria]]="Bollette",Dati[[#This Row],[Categoria]]="Conto &amp; Carte BNL",Dati[[#This Row],[Categoria]]="Prelievo",Dati[[#This Row],[Categoria]]="Affitto",Dati[[#This Row],[Categoria]]="BNL(Interessi Creditori)"),"Carta",IF(Dati[[#This Row],[Categoria]]&lt;&gt;0,"Cash",""))</f>
        <v/>
      </c>
      <c r="K664" s="59" t="str">
        <f>IF(OR(Data!$I664=SottocategorieUscite[[#Headers],[Fuori Casa]],Data!$I664=SottocategorieUscite[[#Headers],[Varie Uscite]],Data!$I664=SottocategorieUscite[[#Headers],[Personali]],Data!$I664=SottocategorieUscite[[#Headers],[Lavoro]]),"$ -","")</f>
        <v/>
      </c>
      <c r="L664" s="59" t="str">
        <f>IF(OR(Data!$I664=SottocategorieUscite[[#Headers],[Casa]],Data!$I664=SottocategorieUscite[[#Headers],[Utenze]],Data!$I664=SottocategorieUscite[[#Headers],[Business Uscite]],Data!$I664=SottocategorieUscite[[#Headers],[Banca]]),"$ -","")</f>
        <v/>
      </c>
      <c r="M664" s="59" t="str">
        <f>IF(OR($I664&lt;&gt;SottocategorieUscite[[#Headers],[Fuori Casa]],$I664&lt;&gt;SottocategorieUscite[[#Headers],[Varie Uscite]],$I664&lt;&gt;SottocategorieUscite[[#Headers],[Personali]],$I664&lt;&gt;SottocategorieUscite[[#Headers],[Lavoro]],$I664&lt;&gt;SottocategorieUscite[[#Headers],[Casa]],$I664&lt;&gt;SottocategorieUscite[[#Headers],[Utenze]],$I664&lt;&gt;SottocategorieUscite[[#Headers],[Business Uscite]],$I664&lt;&gt;SottocategorieUscite[[#Headers],[Banca]]),"","$ -")</f>
        <v/>
      </c>
      <c r="N664" s="59" t="str">
        <f>IF(OR(Data!$I664=SottocategorieEntrate[[#Headers],[Business Entrate]],Data!$I664=SottocategorieEntrate[[#Headers],[Varie Entrate]]),"$ -","")</f>
        <v/>
      </c>
      <c r="O664" s="59" t="str">
        <f>IF(OR(Data!$I664=SottocategorieEntrate[[#Headers],[Real Estate]],SottocategorieEntrate[[#Headers],[Other]]),"$ -","")</f>
        <v/>
      </c>
      <c r="P664" s="59" t="str">
        <f>IF(OR($I664&lt;&gt;SottocategorieEntrate[[#Headers],[Business Entrate]],$I664&lt;&gt;SottocategorieEntrate[[#Headers],[Varie Entrate]],$I664&lt;&gt;SottocategorieEntrate[[#Headers],[Real Estate]],$I664&lt;&gt;SottocategorieEntrate[[#Headers],[Other]]),"","$ -")</f>
        <v/>
      </c>
      <c r="Q664" s="59" t="str">
        <f>IF(Dati[[#This Row],[Categoria]]="Prelievo","€ -","")</f>
        <v/>
      </c>
      <c r="R664" s="244"/>
      <c r="S664" s="59" t="str">
        <f>IF(Dati[[#This Row],[Categoria]]="Savings",0,"")</f>
        <v/>
      </c>
      <c r="T664" s="59"/>
      <c r="U664" s="59"/>
      <c r="V664" s="59"/>
      <c r="W664" s="59"/>
      <c r="X664" s="59"/>
      <c r="Y664" s="59"/>
      <c r="Z664" s="59"/>
      <c r="AA664" s="59"/>
      <c r="AB664" s="59"/>
      <c r="AC664" s="59"/>
      <c r="AD664" s="59"/>
      <c r="AE664" s="59"/>
      <c r="AF664" s="59"/>
      <c r="AG664" s="59"/>
      <c r="AH664" s="59"/>
      <c r="AI664" s="59" t="str">
        <f>IF(SUM(Dati[[#This Row],[Inv. Business]:[Inv. Cryptocurrency]])=0," ",SUM(Dati[[#This Row],[Inv. Business]:[Inv. Cryptocurrency]]))</f>
        <v xml:space="preserve"> </v>
      </c>
      <c r="AJ664" s="59"/>
      <c r="AK664" s="59"/>
      <c r="AL664" s="59"/>
      <c r="AM664" s="59"/>
    </row>
    <row r="665" spans="2:39" x14ac:dyDescent="0.35">
      <c r="B665" s="237">
        <f t="shared" si="28"/>
        <v>644</v>
      </c>
      <c r="C665" s="49">
        <f t="shared" si="27"/>
        <v>45413</v>
      </c>
      <c r="D665" s="29">
        <f>DAY(Dati[[#This Row],[Data]])</f>
        <v>1</v>
      </c>
      <c r="E665" s="29" t="str">
        <f>IF(DAY(Data!$C$21:$C$1327)&gt;0,TEXT(Data!$C$21:$C$1327, "mmmm"),"")</f>
        <v>maggio</v>
      </c>
      <c r="F665" s="29" t="str">
        <f>IF(DAY(Data!$C$21:$C$1327)&gt;0,TEXT(Data!$C$21:$C$1327, "aaaa"),"")</f>
        <v>2024</v>
      </c>
      <c r="I665" t="str">
        <f>IF(OR(H665=$B$5,H665=$B$6,H665=$B$7,H665=$B$8,H665=$B$9,H665=$B$10,H665=$B$11,H665=$B$12,H665=$B$13,H665=$B$14),SottocategorieUscite[[#Headers],[Fuori Casa]],IF(OR(H665=$C$5,H665=$C$6,H665=$C$7,H665=$C$8,H665=$C$9,H665=$C$10,H665=$C$11,H665=$C$12,H665=$C$13,H665=$C$14),SottocategorieUscite[[#Headers],[Varie Uscite]],IF(OR(H665=$D$5,H665=$D$6,H665=$D$7,H665=$D$8,H665=$D$9,H665=$D$10,H665=$D$11,H665=$D$12,H665=$D$13,H665=$D$14),SottocategorieUscite[[#Headers],[Personali]],IF(OR(H665=$E$5,H665=$E$6,H665=$E$7,H665=$E$8,H665=$E$9,H665=$E$10,H665=$E$11,H665=$E$12,H665=$E$13,H665=$E$14),SottocategorieUscite[[#Headers],[Lavoro]],IF(OR(H665=$F$5,H665=$F$6,H665=$F$7,H665=$F$8,H665=$F$9,H665=$F$10,H665=$F$11,H665=$F$12,H665=$F$13,H665=$F$14),SottocategorieUscite[[#Headers],[Casa]],IF(OR(H665=$G$5,H665=$G$6,H665=$G$7,H665=$G$8,H665=$G$9,H665=$G$10,H665=$G$11,H665=$G$12,H665=$G$13,H665=$G$14),SottocategorieUscite[[#Headers],[Utenze]],IF(OR(H665=$H$5,H665=$H$6,H665=$H$7,H665=$H$8,H665=$H$9,H665=$H$10,H665=$H$11,H665=$H$12,H665=$H$13,H665=$H$14),SottocategorieUscite[[#Headers],[Business Uscite]],IF(OR(H665=$I$5,H665=$I$6,H665=$I$7,H665=$I$8,H665=$I$9,H665=$I$10,H665=$I$11,H665=$I$12,H665=$I$13,H665=$I$14),SottocategorieUscite[[#Headers],[Banca]],IF(OR(H665=K$5,H665=K$6,H665=K$7,H665=K$8,H665=K$9,H665=K$10,H665=K$11,H665=K$12,H665=K$13,H665=K$14),SottocategorieEntrate[[#Headers],[Business Entrate]],IF(OR(H665=L$5,H665=L$6,H665=L$7,H665=L$8,H665=L$9,H665=L$10,H665=L$11,H665=L$12,H665=L$13,H665=L$14),SottocategorieEntrate[[#Headers],[Varie Entrate]],IF(OR(H665=M$5,H665=M$6,H665=M$7,H665=M$8,H665=M$9,H665=M$10,H665=M$11,H665=M$12,H665=M$13,H665=M$14),SottocategorieEntrate[[#Headers],[Real Estate]],IF(OR(H665=N$5,H665=N$6,H665=N$7,H665=N$8,H665=N$9,H665=N$10,H665=N$11,H665=N$12,H665=N$13,H665=N$14),SottocategorieEntrate[[#Headers],[Other]],""))))))))))))</f>
        <v/>
      </c>
      <c r="J665" t="str">
        <f>IF(OR(Dati[[#This Row],[Categoria]]="Bollette",Dati[[#This Row],[Categoria]]="Conto &amp; Carte BNL",Dati[[#This Row],[Categoria]]="Prelievo",Dati[[#This Row],[Categoria]]="Affitto",Dati[[#This Row],[Categoria]]="BNL(Interessi Creditori)"),"Carta",IF(Dati[[#This Row],[Categoria]]&lt;&gt;0,"Cash",""))</f>
        <v/>
      </c>
      <c r="K665" s="59" t="str">
        <f>IF(OR(Data!$I665=SottocategorieUscite[[#Headers],[Fuori Casa]],Data!$I665=SottocategorieUscite[[#Headers],[Varie Uscite]],Data!$I665=SottocategorieUscite[[#Headers],[Personali]],Data!$I665=SottocategorieUscite[[#Headers],[Lavoro]]),"$ -","")</f>
        <v/>
      </c>
      <c r="L665" s="59" t="str">
        <f>IF(OR(Data!$I665=SottocategorieUscite[[#Headers],[Casa]],Data!$I665=SottocategorieUscite[[#Headers],[Utenze]],Data!$I665=SottocategorieUscite[[#Headers],[Business Uscite]],Data!$I665=SottocategorieUscite[[#Headers],[Banca]]),"$ -","")</f>
        <v/>
      </c>
      <c r="M665" s="59" t="str">
        <f>IF(OR($I665&lt;&gt;SottocategorieUscite[[#Headers],[Fuori Casa]],$I665&lt;&gt;SottocategorieUscite[[#Headers],[Varie Uscite]],$I665&lt;&gt;SottocategorieUscite[[#Headers],[Personali]],$I665&lt;&gt;SottocategorieUscite[[#Headers],[Lavoro]],$I665&lt;&gt;SottocategorieUscite[[#Headers],[Casa]],$I665&lt;&gt;SottocategorieUscite[[#Headers],[Utenze]],$I665&lt;&gt;SottocategorieUscite[[#Headers],[Business Uscite]],$I665&lt;&gt;SottocategorieUscite[[#Headers],[Banca]]),"","$ -")</f>
        <v/>
      </c>
      <c r="N665" s="59" t="str">
        <f>IF(OR(Data!$I665=SottocategorieEntrate[[#Headers],[Business Entrate]],Data!$I665=SottocategorieEntrate[[#Headers],[Varie Entrate]]),"$ -","")</f>
        <v/>
      </c>
      <c r="O665" s="59" t="str">
        <f>IF(OR(Data!$I665=SottocategorieEntrate[[#Headers],[Real Estate]],SottocategorieEntrate[[#Headers],[Other]]),"$ -","")</f>
        <v/>
      </c>
      <c r="P665" s="59" t="str">
        <f>IF(OR($I665&lt;&gt;SottocategorieEntrate[[#Headers],[Business Entrate]],$I665&lt;&gt;SottocategorieEntrate[[#Headers],[Varie Entrate]],$I665&lt;&gt;SottocategorieEntrate[[#Headers],[Real Estate]],$I665&lt;&gt;SottocategorieEntrate[[#Headers],[Other]]),"","$ -")</f>
        <v/>
      </c>
      <c r="Q665" s="59" t="str">
        <f>IF(Dati[[#This Row],[Categoria]]="Prelievo","€ -","")</f>
        <v/>
      </c>
      <c r="R665" s="244"/>
      <c r="S665" s="59" t="str">
        <f>IF(Dati[[#This Row],[Categoria]]="Savings",0,"")</f>
        <v/>
      </c>
      <c r="T665" s="59"/>
      <c r="U665" s="59"/>
      <c r="V665" s="59"/>
      <c r="W665" s="59"/>
      <c r="X665" s="59"/>
      <c r="Y665" s="59"/>
      <c r="Z665" s="59"/>
      <c r="AA665" s="59"/>
      <c r="AB665" s="59"/>
      <c r="AC665" s="59"/>
      <c r="AD665" s="59"/>
      <c r="AE665" s="59"/>
      <c r="AF665" s="59"/>
      <c r="AG665" s="59"/>
      <c r="AH665" s="59"/>
      <c r="AI665" s="59" t="str">
        <f>IF(SUM(Dati[[#This Row],[Inv. Business]:[Inv. Cryptocurrency]])=0," ",SUM(Dati[[#This Row],[Inv. Business]:[Inv. Cryptocurrency]]))</f>
        <v xml:space="preserve"> </v>
      </c>
      <c r="AJ665" s="59"/>
      <c r="AK665" s="59"/>
      <c r="AL665" s="59"/>
      <c r="AM665" s="59"/>
    </row>
    <row r="666" spans="2:39" x14ac:dyDescent="0.35">
      <c r="B666" s="237">
        <f t="shared" si="28"/>
        <v>645</v>
      </c>
      <c r="C666" s="49">
        <f t="shared" si="27"/>
        <v>45414</v>
      </c>
      <c r="D666" s="29">
        <f>DAY(Dati[[#This Row],[Data]])</f>
        <v>2</v>
      </c>
      <c r="E666" s="29" t="str">
        <f>IF(DAY(Data!$C$21:$C$1327)&gt;0,TEXT(Data!$C$21:$C$1327, "mmmm"),"")</f>
        <v>maggio</v>
      </c>
      <c r="F666" s="29" t="str">
        <f>IF(DAY(Data!$C$21:$C$1327)&gt;0,TEXT(Data!$C$21:$C$1327, "aaaa"),"")</f>
        <v>2024</v>
      </c>
      <c r="I666" t="str">
        <f>IF(OR(H666=$B$5,H666=$B$6,H666=$B$7,H666=$B$8,H666=$B$9,H666=$B$10,H666=$B$11,H666=$B$12,H666=$B$13,H666=$B$14),SottocategorieUscite[[#Headers],[Fuori Casa]],IF(OR(H666=$C$5,H666=$C$6,H666=$C$7,H666=$C$8,H666=$C$9,H666=$C$10,H666=$C$11,H666=$C$12,H666=$C$13,H666=$C$14),SottocategorieUscite[[#Headers],[Varie Uscite]],IF(OR(H666=$D$5,H666=$D$6,H666=$D$7,H666=$D$8,H666=$D$9,H666=$D$10,H666=$D$11,H666=$D$12,H666=$D$13,H666=$D$14),SottocategorieUscite[[#Headers],[Personali]],IF(OR(H666=$E$5,H666=$E$6,H666=$E$7,H666=$E$8,H666=$E$9,H666=$E$10,H666=$E$11,H666=$E$12,H666=$E$13,H666=$E$14),SottocategorieUscite[[#Headers],[Lavoro]],IF(OR(H666=$F$5,H666=$F$6,H666=$F$7,H666=$F$8,H666=$F$9,H666=$F$10,H666=$F$11,H666=$F$12,H666=$F$13,H666=$F$14),SottocategorieUscite[[#Headers],[Casa]],IF(OR(H666=$G$5,H666=$G$6,H666=$G$7,H666=$G$8,H666=$G$9,H666=$G$10,H666=$G$11,H666=$G$12,H666=$G$13,H666=$G$14),SottocategorieUscite[[#Headers],[Utenze]],IF(OR(H666=$H$5,H666=$H$6,H666=$H$7,H666=$H$8,H666=$H$9,H666=$H$10,H666=$H$11,H666=$H$12,H666=$H$13,H666=$H$14),SottocategorieUscite[[#Headers],[Business Uscite]],IF(OR(H666=$I$5,H666=$I$6,H666=$I$7,H666=$I$8,H666=$I$9,H666=$I$10,H666=$I$11,H666=$I$12,H666=$I$13,H666=$I$14),SottocategorieUscite[[#Headers],[Banca]],IF(OR(H666=K$5,H666=K$6,H666=K$7,H666=K$8,H666=K$9,H666=K$10,H666=K$11,H666=K$12,H666=K$13,H666=K$14),SottocategorieEntrate[[#Headers],[Business Entrate]],IF(OR(H666=L$5,H666=L$6,H666=L$7,H666=L$8,H666=L$9,H666=L$10,H666=L$11,H666=L$12,H666=L$13,H666=L$14),SottocategorieEntrate[[#Headers],[Varie Entrate]],IF(OR(H666=M$5,H666=M$6,H666=M$7,H666=M$8,H666=M$9,H666=M$10,H666=M$11,H666=M$12,H666=M$13,H666=M$14),SottocategorieEntrate[[#Headers],[Real Estate]],IF(OR(H666=N$5,H666=N$6,H666=N$7,H666=N$8,H666=N$9,H666=N$10,H666=N$11,H666=N$12,H666=N$13,H666=N$14),SottocategorieEntrate[[#Headers],[Other]],""))))))))))))</f>
        <v/>
      </c>
      <c r="J666" t="str">
        <f>IF(OR(Dati[[#This Row],[Categoria]]="Bollette",Dati[[#This Row],[Categoria]]="Conto &amp; Carte BNL",Dati[[#This Row],[Categoria]]="Prelievo",Dati[[#This Row],[Categoria]]="Affitto",Dati[[#This Row],[Categoria]]="BNL(Interessi Creditori)"),"Carta",IF(Dati[[#This Row],[Categoria]]&lt;&gt;0,"Cash",""))</f>
        <v/>
      </c>
      <c r="K666" s="59" t="str">
        <f>IF(OR(Data!$I666=SottocategorieUscite[[#Headers],[Fuori Casa]],Data!$I666=SottocategorieUscite[[#Headers],[Varie Uscite]],Data!$I666=SottocategorieUscite[[#Headers],[Personali]],Data!$I666=SottocategorieUscite[[#Headers],[Lavoro]]),"$ -","")</f>
        <v/>
      </c>
      <c r="L666" s="59" t="str">
        <f>IF(OR(Data!$I666=SottocategorieUscite[[#Headers],[Casa]],Data!$I666=SottocategorieUscite[[#Headers],[Utenze]],Data!$I666=SottocategorieUscite[[#Headers],[Business Uscite]],Data!$I666=SottocategorieUscite[[#Headers],[Banca]]),"$ -","")</f>
        <v/>
      </c>
      <c r="M666" s="59" t="str">
        <f>IF(OR($I666&lt;&gt;SottocategorieUscite[[#Headers],[Fuori Casa]],$I666&lt;&gt;SottocategorieUscite[[#Headers],[Varie Uscite]],$I666&lt;&gt;SottocategorieUscite[[#Headers],[Personali]],$I666&lt;&gt;SottocategorieUscite[[#Headers],[Lavoro]],$I666&lt;&gt;SottocategorieUscite[[#Headers],[Casa]],$I666&lt;&gt;SottocategorieUscite[[#Headers],[Utenze]],$I666&lt;&gt;SottocategorieUscite[[#Headers],[Business Uscite]],$I666&lt;&gt;SottocategorieUscite[[#Headers],[Banca]]),"","$ -")</f>
        <v/>
      </c>
      <c r="N666" s="59" t="str">
        <f>IF(OR(Data!$I666=SottocategorieEntrate[[#Headers],[Business Entrate]],Data!$I666=SottocategorieEntrate[[#Headers],[Varie Entrate]]),"$ -","")</f>
        <v/>
      </c>
      <c r="O666" s="59" t="str">
        <f>IF(OR(Data!$I666=SottocategorieEntrate[[#Headers],[Real Estate]],SottocategorieEntrate[[#Headers],[Other]]),"$ -","")</f>
        <v/>
      </c>
      <c r="P666" s="59" t="str">
        <f>IF(OR($I666&lt;&gt;SottocategorieEntrate[[#Headers],[Business Entrate]],$I666&lt;&gt;SottocategorieEntrate[[#Headers],[Varie Entrate]],$I666&lt;&gt;SottocategorieEntrate[[#Headers],[Real Estate]],$I666&lt;&gt;SottocategorieEntrate[[#Headers],[Other]]),"","$ -")</f>
        <v/>
      </c>
      <c r="Q666" s="59" t="str">
        <f>IF(Dati[[#This Row],[Categoria]]="Prelievo","€ -","")</f>
        <v/>
      </c>
      <c r="R666" s="244"/>
      <c r="S666" s="59" t="str">
        <f>IF(Dati[[#This Row],[Categoria]]="Savings",0,"")</f>
        <v/>
      </c>
      <c r="T666" s="59"/>
      <c r="U666" s="59"/>
      <c r="V666" s="59"/>
      <c r="W666" s="59"/>
      <c r="X666" s="59"/>
      <c r="Y666" s="59"/>
      <c r="Z666" s="59"/>
      <c r="AA666" s="59"/>
      <c r="AB666" s="59"/>
      <c r="AC666" s="59"/>
      <c r="AD666" s="59"/>
      <c r="AE666" s="59"/>
      <c r="AF666" s="59"/>
      <c r="AG666" s="59"/>
      <c r="AH666" s="59"/>
      <c r="AI666" s="59" t="str">
        <f>IF(SUM(Dati[[#This Row],[Inv. Business]:[Inv. Cryptocurrency]])=0," ",SUM(Dati[[#This Row],[Inv. Business]:[Inv. Cryptocurrency]]))</f>
        <v xml:space="preserve"> </v>
      </c>
      <c r="AJ666" s="59"/>
      <c r="AK666" s="59"/>
      <c r="AL666" s="59"/>
      <c r="AM666" s="59"/>
    </row>
    <row r="667" spans="2:39" x14ac:dyDescent="0.35">
      <c r="B667" s="237">
        <f t="shared" ref="B667:B669" si="29">ROW(645:645)</f>
        <v>645</v>
      </c>
      <c r="C667" s="49">
        <f>C665+1</f>
        <v>45414</v>
      </c>
      <c r="D667" s="29">
        <f>DAY(Dati[[#This Row],[Data]])</f>
        <v>2</v>
      </c>
      <c r="E667" s="29" t="str">
        <f>IF(DAY(Data!$C$21:$C$1327)&gt;0,TEXT(Data!$C$21:$C$1327, "mmmm"),"")</f>
        <v>maggio</v>
      </c>
      <c r="F667" s="29" t="str">
        <f>IF(DAY(Data!$C$21:$C$1327)&gt;0,TEXT(Data!$C$21:$C$1327, "aaaa"),"")</f>
        <v>2024</v>
      </c>
      <c r="I667" t="str">
        <f>IF(OR(H667=$B$5,H667=$B$6,H667=$B$7,H667=$B$8,H667=$B$9,H667=$B$10,H667=$B$11,H667=$B$12,H667=$B$13,H667=$B$14),SottocategorieUscite[[#Headers],[Fuori Casa]],IF(OR(H667=$C$5,H667=$C$6,H667=$C$7,H667=$C$8,H667=$C$9,H667=$C$10,H667=$C$11,H667=$C$12,H667=$C$13,H667=$C$14),SottocategorieUscite[[#Headers],[Varie Uscite]],IF(OR(H667=$D$5,H667=$D$6,H667=$D$7,H667=$D$8,H667=$D$9,H667=$D$10,H667=$D$11,H667=$D$12,H667=$D$13,H667=$D$14),SottocategorieUscite[[#Headers],[Personali]],IF(OR(H667=$E$5,H667=$E$6,H667=$E$7,H667=$E$8,H667=$E$9,H667=$E$10,H667=$E$11,H667=$E$12,H667=$E$13,H667=$E$14),SottocategorieUscite[[#Headers],[Lavoro]],IF(OR(H667=$F$5,H667=$F$6,H667=$F$7,H667=$F$8,H667=$F$9,H667=$F$10,H667=$F$11,H667=$F$12,H667=$F$13,H667=$F$14),SottocategorieUscite[[#Headers],[Casa]],IF(OR(H667=$G$5,H667=$G$6,H667=$G$7,H667=$G$8,H667=$G$9,H667=$G$10,H667=$G$11,H667=$G$12,H667=$G$13,H667=$G$14),SottocategorieUscite[[#Headers],[Utenze]],IF(OR(H667=$H$5,H667=$H$6,H667=$H$7,H667=$H$8,H667=$H$9,H667=$H$10,H667=$H$11,H667=$H$12,H667=$H$13,H667=$H$14),SottocategorieUscite[[#Headers],[Business Uscite]],IF(OR(H667=$I$5,H667=$I$6,H667=$I$7,H667=$I$8,H667=$I$9,H667=$I$10,H667=$I$11,H667=$I$12,H667=$I$13,H667=$I$14),SottocategorieUscite[[#Headers],[Banca]],IF(OR(H667=K$5,H667=K$6,H667=K$7,H667=K$8,H667=K$9,H667=K$10,H667=K$11,H667=K$12,H667=K$13,H667=K$14),SottocategorieEntrate[[#Headers],[Business Entrate]],IF(OR(H667=L$5,H667=L$6,H667=L$7,H667=L$8,H667=L$9,H667=L$10,H667=L$11,H667=L$12,H667=L$13,H667=L$14),SottocategorieEntrate[[#Headers],[Varie Entrate]],IF(OR(H667=M$5,H667=M$6,H667=M$7,H667=M$8,H667=M$9,H667=M$10,H667=M$11,H667=M$12,H667=M$13,H667=M$14),SottocategorieEntrate[[#Headers],[Real Estate]],IF(OR(H667=N$5,H667=N$6,H667=N$7,H667=N$8,H667=N$9,H667=N$10,H667=N$11,H667=N$12,H667=N$13,H667=N$14),SottocategorieEntrate[[#Headers],[Other]],""))))))))))))</f>
        <v/>
      </c>
      <c r="J667" t="str">
        <f>IF(OR(Dati[[#This Row],[Categoria]]="Bollette",Dati[[#This Row],[Categoria]]="Conto &amp; Carte BNL",Dati[[#This Row],[Categoria]]="Prelievo",Dati[[#This Row],[Categoria]]="Affitto",Dati[[#This Row],[Categoria]]="BNL(Interessi Creditori)"),"Carta",IF(Dati[[#This Row],[Categoria]]&lt;&gt;0,"Cash",""))</f>
        <v/>
      </c>
      <c r="K667" s="59" t="str">
        <f>IF(OR(Data!$I667=SottocategorieUscite[[#Headers],[Fuori Casa]],Data!$I667=SottocategorieUscite[[#Headers],[Varie Uscite]],Data!$I667=SottocategorieUscite[[#Headers],[Personali]],Data!$I667=SottocategorieUscite[[#Headers],[Lavoro]]),"$ -","")</f>
        <v/>
      </c>
      <c r="L667" s="59" t="str">
        <f>IF(OR(Data!$I667=SottocategorieUscite[[#Headers],[Casa]],Data!$I667=SottocategorieUscite[[#Headers],[Utenze]],Data!$I667=SottocategorieUscite[[#Headers],[Business Uscite]],Data!$I667=SottocategorieUscite[[#Headers],[Banca]]),"$ -","")</f>
        <v/>
      </c>
      <c r="M667" s="59" t="str">
        <f>IF(OR($I667&lt;&gt;SottocategorieUscite[[#Headers],[Fuori Casa]],$I667&lt;&gt;SottocategorieUscite[[#Headers],[Varie Uscite]],$I667&lt;&gt;SottocategorieUscite[[#Headers],[Personali]],$I667&lt;&gt;SottocategorieUscite[[#Headers],[Lavoro]],$I667&lt;&gt;SottocategorieUscite[[#Headers],[Casa]],$I667&lt;&gt;SottocategorieUscite[[#Headers],[Utenze]],$I667&lt;&gt;SottocategorieUscite[[#Headers],[Business Uscite]],$I667&lt;&gt;SottocategorieUscite[[#Headers],[Banca]]),"","$ -")</f>
        <v/>
      </c>
      <c r="N667" s="59" t="str">
        <f>IF(OR(Data!$I667=SottocategorieEntrate[[#Headers],[Business Entrate]],Data!$I667=SottocategorieEntrate[[#Headers],[Varie Entrate]]),"$ -","")</f>
        <v/>
      </c>
      <c r="O667" s="59" t="str">
        <f>IF(OR(Data!$I667=SottocategorieEntrate[[#Headers],[Real Estate]],SottocategorieEntrate[[#Headers],[Other]]),"$ -","")</f>
        <v/>
      </c>
      <c r="P667" s="59" t="str">
        <f>IF(OR($I667&lt;&gt;SottocategorieEntrate[[#Headers],[Business Entrate]],$I667&lt;&gt;SottocategorieEntrate[[#Headers],[Varie Entrate]],$I667&lt;&gt;SottocategorieEntrate[[#Headers],[Real Estate]],$I667&lt;&gt;SottocategorieEntrate[[#Headers],[Other]]),"","$ -")</f>
        <v/>
      </c>
      <c r="Q667" s="59" t="str">
        <f>IF(Dati[[#This Row],[Categoria]]="Prelievo","€ -","")</f>
        <v/>
      </c>
      <c r="R667" s="244"/>
      <c r="S667" s="59" t="str">
        <f>IF(Dati[[#This Row],[Categoria]]="Savings",0,"")</f>
        <v/>
      </c>
      <c r="T667" s="59"/>
      <c r="U667" s="59"/>
      <c r="V667" s="59"/>
      <c r="W667" s="59"/>
      <c r="X667" s="59"/>
      <c r="Y667" s="59"/>
      <c r="Z667" s="59"/>
      <c r="AA667" s="59"/>
      <c r="AB667" s="59"/>
      <c r="AC667" s="59"/>
      <c r="AD667" s="59"/>
      <c r="AE667" s="59"/>
      <c r="AF667" s="59"/>
      <c r="AG667" s="59"/>
      <c r="AH667" s="59"/>
      <c r="AI667" s="59" t="str">
        <f>IF(SUM(Dati[[#This Row],[Inv. Business]:[Inv. Cryptocurrency]])=0," ",SUM(Dati[[#This Row],[Inv. Business]:[Inv. Cryptocurrency]]))</f>
        <v xml:space="preserve"> </v>
      </c>
      <c r="AJ667" s="59"/>
      <c r="AK667" s="59"/>
      <c r="AL667" s="59"/>
      <c r="AM667" s="59"/>
    </row>
    <row r="668" spans="2:39" x14ac:dyDescent="0.35">
      <c r="B668" s="237">
        <f t="shared" si="29"/>
        <v>646</v>
      </c>
      <c r="C668" s="49">
        <f>C666+1</f>
        <v>45415</v>
      </c>
      <c r="D668" s="29">
        <f>DAY(Dati[[#This Row],[Data]])</f>
        <v>3</v>
      </c>
      <c r="E668" s="29" t="str">
        <f>IF(DAY(Data!$C$21:$C$1327)&gt;0,TEXT(Data!$C$21:$C$1327, "mmmm"),"")</f>
        <v>maggio</v>
      </c>
      <c r="F668" s="29" t="str">
        <f>IF(DAY(Data!$C$21:$C$1327)&gt;0,TEXT(Data!$C$21:$C$1327, "aaaa"),"")</f>
        <v>2024</v>
      </c>
      <c r="I668" t="str">
        <f>IF(OR(H668=$B$5,H668=$B$6,H668=$B$7,H668=$B$8,H668=$B$9,H668=$B$10,H668=$B$11,H668=$B$12,H668=$B$13,H668=$B$14),SottocategorieUscite[[#Headers],[Fuori Casa]],IF(OR(H668=$C$5,H668=$C$6,H668=$C$7,H668=$C$8,H668=$C$9,H668=$C$10,H668=$C$11,H668=$C$12,H668=$C$13,H668=$C$14),SottocategorieUscite[[#Headers],[Varie Uscite]],IF(OR(H668=$D$5,H668=$D$6,H668=$D$7,H668=$D$8,H668=$D$9,H668=$D$10,H668=$D$11,H668=$D$12,H668=$D$13,H668=$D$14),SottocategorieUscite[[#Headers],[Personali]],IF(OR(H668=$E$5,H668=$E$6,H668=$E$7,H668=$E$8,H668=$E$9,H668=$E$10,H668=$E$11,H668=$E$12,H668=$E$13,H668=$E$14),SottocategorieUscite[[#Headers],[Lavoro]],IF(OR(H668=$F$5,H668=$F$6,H668=$F$7,H668=$F$8,H668=$F$9,H668=$F$10,H668=$F$11,H668=$F$12,H668=$F$13,H668=$F$14),SottocategorieUscite[[#Headers],[Casa]],IF(OR(H668=$G$5,H668=$G$6,H668=$G$7,H668=$G$8,H668=$G$9,H668=$G$10,H668=$G$11,H668=$G$12,H668=$G$13,H668=$G$14),SottocategorieUscite[[#Headers],[Utenze]],IF(OR(H668=$H$5,H668=$H$6,H668=$H$7,H668=$H$8,H668=$H$9,H668=$H$10,H668=$H$11,H668=$H$12,H668=$H$13,H668=$H$14),SottocategorieUscite[[#Headers],[Business Uscite]],IF(OR(H668=$I$5,H668=$I$6,H668=$I$7,H668=$I$8,H668=$I$9,H668=$I$10,H668=$I$11,H668=$I$12,H668=$I$13,H668=$I$14),SottocategorieUscite[[#Headers],[Banca]],IF(OR(H668=K$5,H668=K$6,H668=K$7,H668=K$8,H668=K$9,H668=K$10,H668=K$11,H668=K$12,H668=K$13,H668=K$14),SottocategorieEntrate[[#Headers],[Business Entrate]],IF(OR(H668=L$5,H668=L$6,H668=L$7,H668=L$8,H668=L$9,H668=L$10,H668=L$11,H668=L$12,H668=L$13,H668=L$14),SottocategorieEntrate[[#Headers],[Varie Entrate]],IF(OR(H668=M$5,H668=M$6,H668=M$7,H668=M$8,H668=M$9,H668=M$10,H668=M$11,H668=M$12,H668=M$13,H668=M$14),SottocategorieEntrate[[#Headers],[Real Estate]],IF(OR(H668=N$5,H668=N$6,H668=N$7,H668=N$8,H668=N$9,H668=N$10,H668=N$11,H668=N$12,H668=N$13,H668=N$14),SottocategorieEntrate[[#Headers],[Other]],""))))))))))))</f>
        <v/>
      </c>
      <c r="J668" t="str">
        <f>IF(OR(Dati[[#This Row],[Categoria]]="Bollette",Dati[[#This Row],[Categoria]]="Conto &amp; Carte BNL",Dati[[#This Row],[Categoria]]="Prelievo",Dati[[#This Row],[Categoria]]="Affitto",Dati[[#This Row],[Categoria]]="BNL(Interessi Creditori)"),"Carta",IF(Dati[[#This Row],[Categoria]]&lt;&gt;0,"Cash",""))</f>
        <v/>
      </c>
      <c r="K668" s="59" t="str">
        <f>IF(OR(Data!$I668=SottocategorieUscite[[#Headers],[Fuori Casa]],Data!$I668=SottocategorieUscite[[#Headers],[Varie Uscite]],Data!$I668=SottocategorieUscite[[#Headers],[Personali]],Data!$I668=SottocategorieUscite[[#Headers],[Lavoro]]),"$ -","")</f>
        <v/>
      </c>
      <c r="L668" s="59" t="str">
        <f>IF(OR(Data!$I668=SottocategorieUscite[[#Headers],[Casa]],Data!$I668=SottocategorieUscite[[#Headers],[Utenze]],Data!$I668=SottocategorieUscite[[#Headers],[Business Uscite]],Data!$I668=SottocategorieUscite[[#Headers],[Banca]]),"$ -","")</f>
        <v/>
      </c>
      <c r="M668" s="59" t="str">
        <f>IF(OR($I668&lt;&gt;SottocategorieUscite[[#Headers],[Fuori Casa]],$I668&lt;&gt;SottocategorieUscite[[#Headers],[Varie Uscite]],$I668&lt;&gt;SottocategorieUscite[[#Headers],[Personali]],$I668&lt;&gt;SottocategorieUscite[[#Headers],[Lavoro]],$I668&lt;&gt;SottocategorieUscite[[#Headers],[Casa]],$I668&lt;&gt;SottocategorieUscite[[#Headers],[Utenze]],$I668&lt;&gt;SottocategorieUscite[[#Headers],[Business Uscite]],$I668&lt;&gt;SottocategorieUscite[[#Headers],[Banca]]),"","$ -")</f>
        <v/>
      </c>
      <c r="N668" s="59" t="str">
        <f>IF(OR(Data!$I668=SottocategorieEntrate[[#Headers],[Business Entrate]],Data!$I668=SottocategorieEntrate[[#Headers],[Varie Entrate]]),"$ -","")</f>
        <v/>
      </c>
      <c r="O668" s="59" t="str">
        <f>IF(OR(Data!$I668=SottocategorieEntrate[[#Headers],[Real Estate]],SottocategorieEntrate[[#Headers],[Other]]),"$ -","")</f>
        <v/>
      </c>
      <c r="P668" s="59" t="str">
        <f>IF(OR($I668&lt;&gt;SottocategorieEntrate[[#Headers],[Business Entrate]],$I668&lt;&gt;SottocategorieEntrate[[#Headers],[Varie Entrate]],$I668&lt;&gt;SottocategorieEntrate[[#Headers],[Real Estate]],$I668&lt;&gt;SottocategorieEntrate[[#Headers],[Other]]),"","$ -")</f>
        <v/>
      </c>
      <c r="Q668" s="59" t="str">
        <f>IF(Dati[[#This Row],[Categoria]]="Prelievo","€ -","")</f>
        <v/>
      </c>
      <c r="R668" s="244"/>
      <c r="S668" s="59" t="str">
        <f>IF(Dati[[#This Row],[Categoria]]="Savings",0,"")</f>
        <v/>
      </c>
      <c r="T668" s="59"/>
      <c r="U668" s="59"/>
      <c r="V668" s="59"/>
      <c r="W668" s="59"/>
      <c r="X668" s="59"/>
      <c r="Y668" s="59"/>
      <c r="Z668" s="59"/>
      <c r="AA668" s="59"/>
      <c r="AB668" s="59"/>
      <c r="AC668" s="59"/>
      <c r="AD668" s="59"/>
      <c r="AE668" s="59"/>
      <c r="AF668" s="59"/>
      <c r="AG668" s="59"/>
      <c r="AH668" s="59"/>
      <c r="AI668" s="59" t="str">
        <f>IF(SUM(Dati[[#This Row],[Inv. Business]:[Inv. Cryptocurrency]])=0," ",SUM(Dati[[#This Row],[Inv. Business]:[Inv. Cryptocurrency]]))</f>
        <v xml:space="preserve"> </v>
      </c>
      <c r="AJ668" s="59"/>
      <c r="AK668" s="59"/>
      <c r="AL668" s="59"/>
      <c r="AM668" s="59"/>
    </row>
    <row r="669" spans="2:39" x14ac:dyDescent="0.35">
      <c r="B669" s="237">
        <f t="shared" si="29"/>
        <v>647</v>
      </c>
      <c r="C669" s="49">
        <f t="shared" si="27"/>
        <v>45416</v>
      </c>
      <c r="D669" s="29">
        <f>DAY(Dati[[#This Row],[Data]])</f>
        <v>4</v>
      </c>
      <c r="E669" s="29" t="str">
        <f>IF(DAY(Data!$C$21:$C$1327)&gt;0,TEXT(Data!$C$21:$C$1327, "mmmm"),"")</f>
        <v>maggio</v>
      </c>
      <c r="F669" s="29" t="str">
        <f>IF(DAY(Data!$C$21:$C$1327)&gt;0,TEXT(Data!$C$21:$C$1327, "aaaa"),"")</f>
        <v>2024</v>
      </c>
      <c r="I669" t="str">
        <f>IF(OR(H669=$B$5,H669=$B$6,H669=$B$7,H669=$B$8,H669=$B$9,H669=$B$10,H669=$B$11,H669=$B$12,H669=$B$13,H669=$B$14),SottocategorieUscite[[#Headers],[Fuori Casa]],IF(OR(H669=$C$5,H669=$C$6,H669=$C$7,H669=$C$8,H669=$C$9,H669=$C$10,H669=$C$11,H669=$C$12,H669=$C$13,H669=$C$14),SottocategorieUscite[[#Headers],[Varie Uscite]],IF(OR(H669=$D$5,H669=$D$6,H669=$D$7,H669=$D$8,H669=$D$9,H669=$D$10,H669=$D$11,H669=$D$12,H669=$D$13,H669=$D$14),SottocategorieUscite[[#Headers],[Personali]],IF(OR(H669=$E$5,H669=$E$6,H669=$E$7,H669=$E$8,H669=$E$9,H669=$E$10,H669=$E$11,H669=$E$12,H669=$E$13,H669=$E$14),SottocategorieUscite[[#Headers],[Lavoro]],IF(OR(H669=$F$5,H669=$F$6,H669=$F$7,H669=$F$8,H669=$F$9,H669=$F$10,H669=$F$11,H669=$F$12,H669=$F$13,H669=$F$14),SottocategorieUscite[[#Headers],[Casa]],IF(OR(H669=$G$5,H669=$G$6,H669=$G$7,H669=$G$8,H669=$G$9,H669=$G$10,H669=$G$11,H669=$G$12,H669=$G$13,H669=$G$14),SottocategorieUscite[[#Headers],[Utenze]],IF(OR(H669=$H$5,H669=$H$6,H669=$H$7,H669=$H$8,H669=$H$9,H669=$H$10,H669=$H$11,H669=$H$12,H669=$H$13,H669=$H$14),SottocategorieUscite[[#Headers],[Business Uscite]],IF(OR(H669=$I$5,H669=$I$6,H669=$I$7,H669=$I$8,H669=$I$9,H669=$I$10,H669=$I$11,H669=$I$12,H669=$I$13,H669=$I$14),SottocategorieUscite[[#Headers],[Banca]],IF(OR(H669=K$5,H669=K$6,H669=K$7,H669=K$8,H669=K$9,H669=K$10,H669=K$11,H669=K$12,H669=K$13,H669=K$14),SottocategorieEntrate[[#Headers],[Business Entrate]],IF(OR(H669=L$5,H669=L$6,H669=L$7,H669=L$8,H669=L$9,H669=L$10,H669=L$11,H669=L$12,H669=L$13,H669=L$14),SottocategorieEntrate[[#Headers],[Varie Entrate]],IF(OR(H669=M$5,H669=M$6,H669=M$7,H669=M$8,H669=M$9,H669=M$10,H669=M$11,H669=M$12,H669=M$13,H669=M$14),SottocategorieEntrate[[#Headers],[Real Estate]],IF(OR(H669=N$5,H669=N$6,H669=N$7,H669=N$8,H669=N$9,H669=N$10,H669=N$11,H669=N$12,H669=N$13,H669=N$14),SottocategorieEntrate[[#Headers],[Other]],""))))))))))))</f>
        <v/>
      </c>
      <c r="J669" t="str">
        <f>IF(OR(Dati[[#This Row],[Categoria]]="Bollette",Dati[[#This Row],[Categoria]]="Conto &amp; Carte BNL",Dati[[#This Row],[Categoria]]="Prelievo",Dati[[#This Row],[Categoria]]="Affitto",Dati[[#This Row],[Categoria]]="BNL(Interessi Creditori)"),"Carta",IF(Dati[[#This Row],[Categoria]]&lt;&gt;0,"Cash",""))</f>
        <v/>
      </c>
      <c r="K669" s="59" t="str">
        <f>IF(OR(Data!$I669=SottocategorieUscite[[#Headers],[Fuori Casa]],Data!$I669=SottocategorieUscite[[#Headers],[Varie Uscite]],Data!$I669=SottocategorieUscite[[#Headers],[Personali]],Data!$I669=SottocategorieUscite[[#Headers],[Lavoro]]),"$ -","")</f>
        <v/>
      </c>
      <c r="L669" s="59" t="str">
        <f>IF(OR(Data!$I669=SottocategorieUscite[[#Headers],[Casa]],Data!$I669=SottocategorieUscite[[#Headers],[Utenze]],Data!$I669=SottocategorieUscite[[#Headers],[Business Uscite]],Data!$I669=SottocategorieUscite[[#Headers],[Banca]]),"$ -","")</f>
        <v/>
      </c>
      <c r="M669" s="59" t="str">
        <f>IF(OR($I669&lt;&gt;SottocategorieUscite[[#Headers],[Fuori Casa]],$I669&lt;&gt;SottocategorieUscite[[#Headers],[Varie Uscite]],$I669&lt;&gt;SottocategorieUscite[[#Headers],[Personali]],$I669&lt;&gt;SottocategorieUscite[[#Headers],[Lavoro]],$I669&lt;&gt;SottocategorieUscite[[#Headers],[Casa]],$I669&lt;&gt;SottocategorieUscite[[#Headers],[Utenze]],$I669&lt;&gt;SottocategorieUscite[[#Headers],[Business Uscite]],$I669&lt;&gt;SottocategorieUscite[[#Headers],[Banca]]),"","$ -")</f>
        <v/>
      </c>
      <c r="N669" s="59" t="str">
        <f>IF(OR(Data!$I669=SottocategorieEntrate[[#Headers],[Business Entrate]],Data!$I669=SottocategorieEntrate[[#Headers],[Varie Entrate]]),"$ -","")</f>
        <v/>
      </c>
      <c r="O669" s="59" t="str">
        <f>IF(OR(Data!$I669=SottocategorieEntrate[[#Headers],[Real Estate]],SottocategorieEntrate[[#Headers],[Other]]),"$ -","")</f>
        <v/>
      </c>
      <c r="P669" s="59" t="str">
        <f>IF(OR($I669&lt;&gt;SottocategorieEntrate[[#Headers],[Business Entrate]],$I669&lt;&gt;SottocategorieEntrate[[#Headers],[Varie Entrate]],$I669&lt;&gt;SottocategorieEntrate[[#Headers],[Real Estate]],$I669&lt;&gt;SottocategorieEntrate[[#Headers],[Other]]),"","$ -")</f>
        <v/>
      </c>
      <c r="Q669" s="59" t="str">
        <f>IF(Dati[[#This Row],[Categoria]]="Prelievo","€ -","")</f>
        <v/>
      </c>
      <c r="R669" s="244"/>
      <c r="S669" s="59" t="str">
        <f>IF(Dati[[#This Row],[Categoria]]="Savings",0,"")</f>
        <v/>
      </c>
      <c r="T669" s="59"/>
      <c r="U669" s="59"/>
      <c r="V669" s="59"/>
      <c r="W669" s="59"/>
      <c r="X669" s="59"/>
      <c r="Y669" s="59"/>
      <c r="Z669" s="59"/>
      <c r="AA669" s="59"/>
      <c r="AB669" s="59"/>
      <c r="AC669" s="59"/>
      <c r="AD669" s="59"/>
      <c r="AE669" s="59"/>
      <c r="AF669" s="59"/>
      <c r="AG669" s="59"/>
      <c r="AH669" s="59"/>
      <c r="AI669" s="59" t="str">
        <f>IF(SUM(Dati[[#This Row],[Inv. Business]:[Inv. Cryptocurrency]])=0," ",SUM(Dati[[#This Row],[Inv. Business]:[Inv. Cryptocurrency]]))</f>
        <v xml:space="preserve"> </v>
      </c>
      <c r="AJ669" s="59"/>
      <c r="AK669" s="59"/>
      <c r="AL669" s="59"/>
      <c r="AM669" s="59"/>
    </row>
    <row r="670" spans="2:39" x14ac:dyDescent="0.35">
      <c r="B670" s="237">
        <f>ROW(647:647)</f>
        <v>647</v>
      </c>
      <c r="C670" s="49">
        <f>C668+1</f>
        <v>45416</v>
      </c>
      <c r="D670" s="29">
        <f>DAY(Dati[[#This Row],[Data]])</f>
        <v>4</v>
      </c>
      <c r="E670" s="29" t="str">
        <f>IF(DAY(Data!$C$21:$C$1327)&gt;0,TEXT(Data!$C$21:$C$1327, "mmmm"),"")</f>
        <v>maggio</v>
      </c>
      <c r="F670" s="29" t="str">
        <f>IF(DAY(Data!$C$21:$C$1327)&gt;0,TEXT(Data!$C$21:$C$1327, "aaaa"),"")</f>
        <v>2024</v>
      </c>
      <c r="I670" t="str">
        <f>IF(OR(H670=$B$5,H670=$B$6,H670=$B$7,H670=$B$8,H670=$B$9,H670=$B$10,H670=$B$11,H670=$B$12,H670=$B$13,H670=$B$14),SottocategorieUscite[[#Headers],[Fuori Casa]],IF(OR(H670=$C$5,H670=$C$6,H670=$C$7,H670=$C$8,H670=$C$9,H670=$C$10,H670=$C$11,H670=$C$12,H670=$C$13,H670=$C$14),SottocategorieUscite[[#Headers],[Varie Uscite]],IF(OR(H670=$D$5,H670=$D$6,H670=$D$7,H670=$D$8,H670=$D$9,H670=$D$10,H670=$D$11,H670=$D$12,H670=$D$13,H670=$D$14),SottocategorieUscite[[#Headers],[Personali]],IF(OR(H670=$E$5,H670=$E$6,H670=$E$7,H670=$E$8,H670=$E$9,H670=$E$10,H670=$E$11,H670=$E$12,H670=$E$13,H670=$E$14),SottocategorieUscite[[#Headers],[Lavoro]],IF(OR(H670=$F$5,H670=$F$6,H670=$F$7,H670=$F$8,H670=$F$9,H670=$F$10,H670=$F$11,H670=$F$12,H670=$F$13,H670=$F$14),SottocategorieUscite[[#Headers],[Casa]],IF(OR(H670=$G$5,H670=$G$6,H670=$G$7,H670=$G$8,H670=$G$9,H670=$G$10,H670=$G$11,H670=$G$12,H670=$G$13,H670=$G$14),SottocategorieUscite[[#Headers],[Utenze]],IF(OR(H670=$H$5,H670=$H$6,H670=$H$7,H670=$H$8,H670=$H$9,H670=$H$10,H670=$H$11,H670=$H$12,H670=$H$13,H670=$H$14),SottocategorieUscite[[#Headers],[Business Uscite]],IF(OR(H670=$I$5,H670=$I$6,H670=$I$7,H670=$I$8,H670=$I$9,H670=$I$10,H670=$I$11,H670=$I$12,H670=$I$13,H670=$I$14),SottocategorieUscite[[#Headers],[Banca]],IF(OR(H670=K$5,H670=K$6,H670=K$7,H670=K$8,H670=K$9,H670=K$10,H670=K$11,H670=K$12,H670=K$13,H670=K$14),SottocategorieEntrate[[#Headers],[Business Entrate]],IF(OR(H670=L$5,H670=L$6,H670=L$7,H670=L$8,H670=L$9,H670=L$10,H670=L$11,H670=L$12,H670=L$13,H670=L$14),SottocategorieEntrate[[#Headers],[Varie Entrate]],IF(OR(H670=M$5,H670=M$6,H670=M$7,H670=M$8,H670=M$9,H670=M$10,H670=M$11,H670=M$12,H670=M$13,H670=M$14),SottocategorieEntrate[[#Headers],[Real Estate]],IF(OR(H670=N$5,H670=N$6,H670=N$7,H670=N$8,H670=N$9,H670=N$10,H670=N$11,H670=N$12,H670=N$13,H670=N$14),SottocategorieEntrate[[#Headers],[Other]],""))))))))))))</f>
        <v/>
      </c>
      <c r="J670" t="str">
        <f>IF(OR(Dati[[#This Row],[Categoria]]="Bollette",Dati[[#This Row],[Categoria]]="Conto &amp; Carte BNL",Dati[[#This Row],[Categoria]]="Prelievo",Dati[[#This Row],[Categoria]]="Affitto",Dati[[#This Row],[Categoria]]="BNL(Interessi Creditori)"),"Carta",IF(Dati[[#This Row],[Categoria]]&lt;&gt;0,"Cash",""))</f>
        <v/>
      </c>
      <c r="K670" s="59" t="str">
        <f>IF(OR(Data!$I670=SottocategorieUscite[[#Headers],[Fuori Casa]],Data!$I670=SottocategorieUscite[[#Headers],[Varie Uscite]],Data!$I670=SottocategorieUscite[[#Headers],[Personali]],Data!$I670=SottocategorieUscite[[#Headers],[Lavoro]]),"$ -","")</f>
        <v/>
      </c>
      <c r="L670" s="59" t="str">
        <f>IF(OR(Data!$I670=SottocategorieUscite[[#Headers],[Casa]],Data!$I670=SottocategorieUscite[[#Headers],[Utenze]],Data!$I670=SottocategorieUscite[[#Headers],[Business Uscite]],Data!$I670=SottocategorieUscite[[#Headers],[Banca]]),"$ -","")</f>
        <v/>
      </c>
      <c r="M670" s="59" t="str">
        <f>IF(OR($I670&lt;&gt;SottocategorieUscite[[#Headers],[Fuori Casa]],$I670&lt;&gt;SottocategorieUscite[[#Headers],[Varie Uscite]],$I670&lt;&gt;SottocategorieUscite[[#Headers],[Personali]],$I670&lt;&gt;SottocategorieUscite[[#Headers],[Lavoro]],$I670&lt;&gt;SottocategorieUscite[[#Headers],[Casa]],$I670&lt;&gt;SottocategorieUscite[[#Headers],[Utenze]],$I670&lt;&gt;SottocategorieUscite[[#Headers],[Business Uscite]],$I670&lt;&gt;SottocategorieUscite[[#Headers],[Banca]]),"","$ -")</f>
        <v/>
      </c>
      <c r="N670" s="59" t="str">
        <f>IF(OR(Data!$I670=SottocategorieEntrate[[#Headers],[Business Entrate]],Data!$I670=SottocategorieEntrate[[#Headers],[Varie Entrate]]),"$ -","")</f>
        <v/>
      </c>
      <c r="O670" s="59" t="str">
        <f>IF(OR(Data!$I670=SottocategorieEntrate[[#Headers],[Real Estate]],SottocategorieEntrate[[#Headers],[Other]]),"$ -","")</f>
        <v/>
      </c>
      <c r="P670" s="59" t="str">
        <f>IF(OR($I670&lt;&gt;SottocategorieEntrate[[#Headers],[Business Entrate]],$I670&lt;&gt;SottocategorieEntrate[[#Headers],[Varie Entrate]],$I670&lt;&gt;SottocategorieEntrate[[#Headers],[Real Estate]],$I670&lt;&gt;SottocategorieEntrate[[#Headers],[Other]]),"","$ -")</f>
        <v/>
      </c>
      <c r="Q670" s="59" t="str">
        <f>IF(Dati[[#This Row],[Categoria]]="Prelievo","€ -","")</f>
        <v/>
      </c>
      <c r="R670" s="244"/>
      <c r="S670" s="59" t="str">
        <f>IF(Dati[[#This Row],[Categoria]]="Savings",0,"")</f>
        <v/>
      </c>
      <c r="T670" s="59"/>
      <c r="U670" s="59"/>
      <c r="V670" s="59"/>
      <c r="W670" s="59"/>
      <c r="X670" s="59"/>
      <c r="Y670" s="59"/>
      <c r="Z670" s="59"/>
      <c r="AA670" s="59"/>
      <c r="AB670" s="59"/>
      <c r="AC670" s="59"/>
      <c r="AD670" s="59"/>
      <c r="AE670" s="59"/>
      <c r="AF670" s="59"/>
      <c r="AG670" s="59"/>
      <c r="AH670" s="59"/>
      <c r="AI670" s="59" t="str">
        <f>IF(SUM(Dati[[#This Row],[Inv. Business]:[Inv. Cryptocurrency]])=0," ",SUM(Dati[[#This Row],[Inv. Business]:[Inv. Cryptocurrency]]))</f>
        <v xml:space="preserve"> </v>
      </c>
      <c r="AJ670" s="59"/>
      <c r="AK670" s="59"/>
      <c r="AL670" s="59"/>
      <c r="AM670" s="59"/>
    </row>
    <row r="671" spans="2:39" x14ac:dyDescent="0.35">
      <c r="B671" s="237">
        <f>ROW(647:647)</f>
        <v>647</v>
      </c>
      <c r="C671" s="49">
        <f>C668+1</f>
        <v>45416</v>
      </c>
      <c r="D671" s="29">
        <f>DAY(Dati[[#This Row],[Data]])</f>
        <v>4</v>
      </c>
      <c r="E671" s="29" t="str">
        <f>IF(DAY(Data!$C$21:$C$1327)&gt;0,TEXT(Data!$C$21:$C$1327, "mmmm"),"")</f>
        <v>maggio</v>
      </c>
      <c r="F671" s="29" t="str">
        <f>IF(DAY(Data!$C$21:$C$1327)&gt;0,TEXT(Data!$C$21:$C$1327, "aaaa"),"")</f>
        <v>2024</v>
      </c>
      <c r="I671" t="str">
        <f>IF(OR(H671=$B$5,H671=$B$6,H671=$B$7,H671=$B$8,H671=$B$9,H671=$B$10,H671=$B$11,H671=$B$12,H671=$B$13,H671=$B$14),SottocategorieUscite[[#Headers],[Fuori Casa]],IF(OR(H671=$C$5,H671=$C$6,H671=$C$7,H671=$C$8,H671=$C$9,H671=$C$10,H671=$C$11,H671=$C$12,H671=$C$13,H671=$C$14),SottocategorieUscite[[#Headers],[Varie Uscite]],IF(OR(H671=$D$5,H671=$D$6,H671=$D$7,H671=$D$8,H671=$D$9,H671=$D$10,H671=$D$11,H671=$D$12,H671=$D$13,H671=$D$14),SottocategorieUscite[[#Headers],[Personali]],IF(OR(H671=$E$5,H671=$E$6,H671=$E$7,H671=$E$8,H671=$E$9,H671=$E$10,H671=$E$11,H671=$E$12,H671=$E$13,H671=$E$14),SottocategorieUscite[[#Headers],[Lavoro]],IF(OR(H671=$F$5,H671=$F$6,H671=$F$7,H671=$F$8,H671=$F$9,H671=$F$10,H671=$F$11,H671=$F$12,H671=$F$13,H671=$F$14),SottocategorieUscite[[#Headers],[Casa]],IF(OR(H671=$G$5,H671=$G$6,H671=$G$7,H671=$G$8,H671=$G$9,H671=$G$10,H671=$G$11,H671=$G$12,H671=$G$13,H671=$G$14),SottocategorieUscite[[#Headers],[Utenze]],IF(OR(H671=$H$5,H671=$H$6,H671=$H$7,H671=$H$8,H671=$H$9,H671=$H$10,H671=$H$11,H671=$H$12,H671=$H$13,H671=$H$14),SottocategorieUscite[[#Headers],[Business Uscite]],IF(OR(H671=$I$5,H671=$I$6,H671=$I$7,H671=$I$8,H671=$I$9,H671=$I$10,H671=$I$11,H671=$I$12,H671=$I$13,H671=$I$14),SottocategorieUscite[[#Headers],[Banca]],IF(OR(H671=K$5,H671=K$6,H671=K$7,H671=K$8,H671=K$9,H671=K$10,H671=K$11,H671=K$12,H671=K$13,H671=K$14),SottocategorieEntrate[[#Headers],[Business Entrate]],IF(OR(H671=L$5,H671=L$6,H671=L$7,H671=L$8,H671=L$9,H671=L$10,H671=L$11,H671=L$12,H671=L$13,H671=L$14),SottocategorieEntrate[[#Headers],[Varie Entrate]],IF(OR(H671=M$5,H671=M$6,H671=M$7,H671=M$8,H671=M$9,H671=M$10,H671=M$11,H671=M$12,H671=M$13,H671=M$14),SottocategorieEntrate[[#Headers],[Real Estate]],IF(OR(H671=N$5,H671=N$6,H671=N$7,H671=N$8,H671=N$9,H671=N$10,H671=N$11,H671=N$12,H671=N$13,H671=N$14),SottocategorieEntrate[[#Headers],[Other]],""))))))))))))</f>
        <v/>
      </c>
      <c r="J671" t="str">
        <f>IF(OR(Dati[[#This Row],[Categoria]]="Bollette",Dati[[#This Row],[Categoria]]="Conto &amp; Carte BNL",Dati[[#This Row],[Categoria]]="Prelievo",Dati[[#This Row],[Categoria]]="Affitto",Dati[[#This Row],[Categoria]]="BNL(Interessi Creditori)"),"Carta",IF(Dati[[#This Row],[Categoria]]&lt;&gt;0,"Cash",""))</f>
        <v/>
      </c>
      <c r="K671" s="59" t="str">
        <f>IF(OR(Data!$I671=SottocategorieUscite[[#Headers],[Fuori Casa]],Data!$I671=SottocategorieUscite[[#Headers],[Varie Uscite]],Data!$I671=SottocategorieUscite[[#Headers],[Personali]],Data!$I671=SottocategorieUscite[[#Headers],[Lavoro]]),"$ -","")</f>
        <v/>
      </c>
      <c r="L671" s="59" t="str">
        <f>IF(OR(Data!$I671=SottocategorieUscite[[#Headers],[Casa]],Data!$I671=SottocategorieUscite[[#Headers],[Utenze]],Data!$I671=SottocategorieUscite[[#Headers],[Business Uscite]],Data!$I671=SottocategorieUscite[[#Headers],[Banca]]),"$ -","")</f>
        <v/>
      </c>
      <c r="M671" s="59" t="str">
        <f>IF(OR($I671&lt;&gt;SottocategorieUscite[[#Headers],[Fuori Casa]],$I671&lt;&gt;SottocategorieUscite[[#Headers],[Varie Uscite]],$I671&lt;&gt;SottocategorieUscite[[#Headers],[Personali]],$I671&lt;&gt;SottocategorieUscite[[#Headers],[Lavoro]],$I671&lt;&gt;SottocategorieUscite[[#Headers],[Casa]],$I671&lt;&gt;SottocategorieUscite[[#Headers],[Utenze]],$I671&lt;&gt;SottocategorieUscite[[#Headers],[Business Uscite]],$I671&lt;&gt;SottocategorieUscite[[#Headers],[Banca]]),"","$ -")</f>
        <v/>
      </c>
      <c r="N671" s="59" t="str">
        <f>IF(OR(Data!$I671=SottocategorieEntrate[[#Headers],[Business Entrate]],Data!$I671=SottocategorieEntrate[[#Headers],[Varie Entrate]]),"$ -","")</f>
        <v/>
      </c>
      <c r="O671" s="59" t="str">
        <f>IF(OR(Data!$I671=SottocategorieEntrate[[#Headers],[Real Estate]],SottocategorieEntrate[[#Headers],[Other]]),"$ -","")</f>
        <v/>
      </c>
      <c r="P671" s="59" t="str">
        <f>IF(OR($I671&lt;&gt;SottocategorieEntrate[[#Headers],[Business Entrate]],$I671&lt;&gt;SottocategorieEntrate[[#Headers],[Varie Entrate]],$I671&lt;&gt;SottocategorieEntrate[[#Headers],[Real Estate]],$I671&lt;&gt;SottocategorieEntrate[[#Headers],[Other]]),"","$ -")</f>
        <v/>
      </c>
      <c r="Q671" s="59" t="str">
        <f>IF(Dati[[#This Row],[Categoria]]="Prelievo","€ -","")</f>
        <v/>
      </c>
      <c r="R671" s="244"/>
      <c r="S671" s="59" t="str">
        <f>IF(Dati[[#This Row],[Categoria]]="Savings",0,"")</f>
        <v/>
      </c>
      <c r="T671" s="59"/>
      <c r="U671" s="59"/>
      <c r="V671" s="59"/>
      <c r="W671" s="59"/>
      <c r="X671" s="59"/>
      <c r="Y671" s="59"/>
      <c r="Z671" s="59"/>
      <c r="AA671" s="59"/>
      <c r="AB671" s="59"/>
      <c r="AC671" s="59"/>
      <c r="AD671" s="59"/>
      <c r="AE671" s="59"/>
      <c r="AF671" s="59"/>
      <c r="AG671" s="59"/>
      <c r="AH671" s="59"/>
      <c r="AI671" s="59" t="str">
        <f>IF(SUM(Dati[[#This Row],[Inv. Business]:[Inv. Cryptocurrency]])=0," ",SUM(Dati[[#This Row],[Inv. Business]:[Inv. Cryptocurrency]]))</f>
        <v xml:space="preserve"> </v>
      </c>
      <c r="AJ671" s="59"/>
      <c r="AK671" s="59"/>
      <c r="AL671" s="59"/>
      <c r="AM671" s="59"/>
    </row>
    <row r="672" spans="2:39" x14ac:dyDescent="0.35">
      <c r="B672" s="237">
        <f t="shared" ref="B672:B675" si="30">ROW(647:647)</f>
        <v>647</v>
      </c>
      <c r="C672" s="49">
        <f>C668+1</f>
        <v>45416</v>
      </c>
      <c r="D672" s="29">
        <f>DAY(Dati[[#This Row],[Data]])</f>
        <v>4</v>
      </c>
      <c r="E672" s="29" t="str">
        <f>IF(DAY(Data!$C$21:$C$1327)&gt;0,TEXT(Data!$C$21:$C$1327, "mmmm"),"")</f>
        <v>maggio</v>
      </c>
      <c r="F672" s="29" t="str">
        <f>IF(DAY(Data!$C$21:$C$1327)&gt;0,TEXT(Data!$C$21:$C$1327, "aaaa"),"")</f>
        <v>2024</v>
      </c>
      <c r="I672" t="str">
        <f>IF(OR(H672=$B$5,H672=$B$6,H672=$B$7,H672=$B$8,H672=$B$9,H672=$B$10,H672=$B$11,H672=$B$12,H672=$B$13,H672=$B$14),SottocategorieUscite[[#Headers],[Fuori Casa]],IF(OR(H672=$C$5,H672=$C$6,H672=$C$7,H672=$C$8,H672=$C$9,H672=$C$10,H672=$C$11,H672=$C$12,H672=$C$13,H672=$C$14),SottocategorieUscite[[#Headers],[Varie Uscite]],IF(OR(H672=$D$5,H672=$D$6,H672=$D$7,H672=$D$8,H672=$D$9,H672=$D$10,H672=$D$11,H672=$D$12,H672=$D$13,H672=$D$14),SottocategorieUscite[[#Headers],[Personali]],IF(OR(H672=$E$5,H672=$E$6,H672=$E$7,H672=$E$8,H672=$E$9,H672=$E$10,H672=$E$11,H672=$E$12,H672=$E$13,H672=$E$14),SottocategorieUscite[[#Headers],[Lavoro]],IF(OR(H672=$F$5,H672=$F$6,H672=$F$7,H672=$F$8,H672=$F$9,H672=$F$10,H672=$F$11,H672=$F$12,H672=$F$13,H672=$F$14),SottocategorieUscite[[#Headers],[Casa]],IF(OR(H672=$G$5,H672=$G$6,H672=$G$7,H672=$G$8,H672=$G$9,H672=$G$10,H672=$G$11,H672=$G$12,H672=$G$13,H672=$G$14),SottocategorieUscite[[#Headers],[Utenze]],IF(OR(H672=$H$5,H672=$H$6,H672=$H$7,H672=$H$8,H672=$H$9,H672=$H$10,H672=$H$11,H672=$H$12,H672=$H$13,H672=$H$14),SottocategorieUscite[[#Headers],[Business Uscite]],IF(OR(H672=$I$5,H672=$I$6,H672=$I$7,H672=$I$8,H672=$I$9,H672=$I$10,H672=$I$11,H672=$I$12,H672=$I$13,H672=$I$14),SottocategorieUscite[[#Headers],[Banca]],IF(OR(H672=K$5,H672=K$6,H672=K$7,H672=K$8,H672=K$9,H672=K$10,H672=K$11,H672=K$12,H672=K$13,H672=K$14),SottocategorieEntrate[[#Headers],[Business Entrate]],IF(OR(H672=L$5,H672=L$6,H672=L$7,H672=L$8,H672=L$9,H672=L$10,H672=L$11,H672=L$12,H672=L$13,H672=L$14),SottocategorieEntrate[[#Headers],[Varie Entrate]],IF(OR(H672=M$5,H672=M$6,H672=M$7,H672=M$8,H672=M$9,H672=M$10,H672=M$11,H672=M$12,H672=M$13,H672=M$14),SottocategorieEntrate[[#Headers],[Real Estate]],IF(OR(H672=N$5,H672=N$6,H672=N$7,H672=N$8,H672=N$9,H672=N$10,H672=N$11,H672=N$12,H672=N$13,H672=N$14),SottocategorieEntrate[[#Headers],[Other]],""))))))))))))</f>
        <v/>
      </c>
      <c r="J672" t="str">
        <f>IF(OR(Dati[[#This Row],[Categoria]]="Bollette",Dati[[#This Row],[Categoria]]="Conto &amp; Carte BNL",Dati[[#This Row],[Categoria]]="Prelievo",Dati[[#This Row],[Categoria]]="Affitto",Dati[[#This Row],[Categoria]]="BNL(Interessi Creditori)"),"Carta",IF(Dati[[#This Row],[Categoria]]&lt;&gt;0,"Cash",""))</f>
        <v/>
      </c>
      <c r="K672" s="59" t="str">
        <f>IF(OR(Data!$I672=SottocategorieUscite[[#Headers],[Fuori Casa]],Data!$I672=SottocategorieUscite[[#Headers],[Varie Uscite]],Data!$I672=SottocategorieUscite[[#Headers],[Personali]],Data!$I672=SottocategorieUscite[[#Headers],[Lavoro]]),"$ -","")</f>
        <v/>
      </c>
      <c r="L672" s="59" t="str">
        <f>IF(OR(Data!$I672=SottocategorieUscite[[#Headers],[Casa]],Data!$I672=SottocategorieUscite[[#Headers],[Utenze]],Data!$I672=SottocategorieUscite[[#Headers],[Business Uscite]],Data!$I672=SottocategorieUscite[[#Headers],[Banca]]),"$ -","")</f>
        <v/>
      </c>
      <c r="M672" s="59" t="str">
        <f>IF(OR($I672&lt;&gt;SottocategorieUscite[[#Headers],[Fuori Casa]],$I672&lt;&gt;SottocategorieUscite[[#Headers],[Varie Uscite]],$I672&lt;&gt;SottocategorieUscite[[#Headers],[Personali]],$I672&lt;&gt;SottocategorieUscite[[#Headers],[Lavoro]],$I672&lt;&gt;SottocategorieUscite[[#Headers],[Casa]],$I672&lt;&gt;SottocategorieUscite[[#Headers],[Utenze]],$I672&lt;&gt;SottocategorieUscite[[#Headers],[Business Uscite]],$I672&lt;&gt;SottocategorieUscite[[#Headers],[Banca]]),"","$ -")</f>
        <v/>
      </c>
      <c r="N672" s="59" t="str">
        <f>IF(OR(Data!$I672=SottocategorieEntrate[[#Headers],[Business Entrate]],Data!$I672=SottocategorieEntrate[[#Headers],[Varie Entrate]]),"$ -","")</f>
        <v/>
      </c>
      <c r="O672" s="59" t="str">
        <f>IF(OR(Data!$I672=SottocategorieEntrate[[#Headers],[Real Estate]],SottocategorieEntrate[[#Headers],[Other]]),"$ -","")</f>
        <v/>
      </c>
      <c r="P672" s="59" t="str">
        <f>IF(OR($I672&lt;&gt;SottocategorieEntrate[[#Headers],[Business Entrate]],$I672&lt;&gt;SottocategorieEntrate[[#Headers],[Varie Entrate]],$I672&lt;&gt;SottocategorieEntrate[[#Headers],[Real Estate]],$I672&lt;&gt;SottocategorieEntrate[[#Headers],[Other]]),"","$ -")</f>
        <v/>
      </c>
      <c r="Q672" s="59" t="str">
        <f>IF(Dati[[#This Row],[Categoria]]="Prelievo","€ -","")</f>
        <v/>
      </c>
      <c r="R672" s="244"/>
      <c r="S672" s="59" t="str">
        <f>IF(Dati[[#This Row],[Categoria]]="Savings",0,"")</f>
        <v/>
      </c>
      <c r="T672" s="59"/>
      <c r="U672" s="59"/>
      <c r="V672" s="59"/>
      <c r="W672" s="59"/>
      <c r="X672" s="59"/>
      <c r="Y672" s="59"/>
      <c r="Z672" s="59"/>
      <c r="AA672" s="59"/>
      <c r="AB672" s="59"/>
      <c r="AC672" s="59"/>
      <c r="AD672" s="59"/>
      <c r="AE672" s="59"/>
      <c r="AF672" s="59"/>
      <c r="AG672" s="59"/>
      <c r="AH672" s="59"/>
      <c r="AI672" s="59" t="str">
        <f>IF(SUM(Dati[[#This Row],[Inv. Business]:[Inv. Cryptocurrency]])=0," ",SUM(Dati[[#This Row],[Inv. Business]:[Inv. Cryptocurrency]]))</f>
        <v xml:space="preserve"> </v>
      </c>
      <c r="AJ672" s="59"/>
      <c r="AK672" s="59"/>
      <c r="AL672" s="59"/>
      <c r="AM672" s="59"/>
    </row>
    <row r="673" spans="2:39" x14ac:dyDescent="0.35">
      <c r="B673" s="237">
        <f t="shared" si="30"/>
        <v>648</v>
      </c>
      <c r="C673" s="49">
        <f>C669+1</f>
        <v>45417</v>
      </c>
      <c r="D673" s="29">
        <f>DAY(Dati[[#This Row],[Data]])</f>
        <v>5</v>
      </c>
      <c r="E673" s="29" t="str">
        <f>IF(DAY(Data!$C$21:$C$1327)&gt;0,TEXT(Data!$C$21:$C$1327, "mmmm"),"")</f>
        <v>maggio</v>
      </c>
      <c r="F673" s="29" t="str">
        <f>IF(DAY(Data!$C$21:$C$1327)&gt;0,TEXT(Data!$C$21:$C$1327, "aaaa"),"")</f>
        <v>2024</v>
      </c>
      <c r="I673" t="str">
        <f>IF(OR(H673=$B$5,H673=$B$6,H673=$B$7,H673=$B$8,H673=$B$9,H673=$B$10,H673=$B$11,H673=$B$12,H673=$B$13,H673=$B$14),SottocategorieUscite[[#Headers],[Fuori Casa]],IF(OR(H673=$C$5,H673=$C$6,H673=$C$7,H673=$C$8,H673=$C$9,H673=$C$10,H673=$C$11,H673=$C$12,H673=$C$13,H673=$C$14),SottocategorieUscite[[#Headers],[Varie Uscite]],IF(OR(H673=$D$5,H673=$D$6,H673=$D$7,H673=$D$8,H673=$D$9,H673=$D$10,H673=$D$11,H673=$D$12,H673=$D$13,H673=$D$14),SottocategorieUscite[[#Headers],[Personali]],IF(OR(H673=$E$5,H673=$E$6,H673=$E$7,H673=$E$8,H673=$E$9,H673=$E$10,H673=$E$11,H673=$E$12,H673=$E$13,H673=$E$14),SottocategorieUscite[[#Headers],[Lavoro]],IF(OR(H673=$F$5,H673=$F$6,H673=$F$7,H673=$F$8,H673=$F$9,H673=$F$10,H673=$F$11,H673=$F$12,H673=$F$13,H673=$F$14),SottocategorieUscite[[#Headers],[Casa]],IF(OR(H673=$G$5,H673=$G$6,H673=$G$7,H673=$G$8,H673=$G$9,H673=$G$10,H673=$G$11,H673=$G$12,H673=$G$13,H673=$G$14),SottocategorieUscite[[#Headers],[Utenze]],IF(OR(H673=$H$5,H673=$H$6,H673=$H$7,H673=$H$8,H673=$H$9,H673=$H$10,H673=$H$11,H673=$H$12,H673=$H$13,H673=$H$14),SottocategorieUscite[[#Headers],[Business Uscite]],IF(OR(H673=$I$5,H673=$I$6,H673=$I$7,H673=$I$8,H673=$I$9,H673=$I$10,H673=$I$11,H673=$I$12,H673=$I$13,H673=$I$14),SottocategorieUscite[[#Headers],[Banca]],IF(OR(H673=K$5,H673=K$6,H673=K$7,H673=K$8,H673=K$9,H673=K$10,H673=K$11,H673=K$12,H673=K$13,H673=K$14),SottocategorieEntrate[[#Headers],[Business Entrate]],IF(OR(H673=L$5,H673=L$6,H673=L$7,H673=L$8,H673=L$9,H673=L$10,H673=L$11,H673=L$12,H673=L$13,H673=L$14),SottocategorieEntrate[[#Headers],[Varie Entrate]],IF(OR(H673=M$5,H673=M$6,H673=M$7,H673=M$8,H673=M$9,H673=M$10,H673=M$11,H673=M$12,H673=M$13,H673=M$14),SottocategorieEntrate[[#Headers],[Real Estate]],IF(OR(H673=N$5,H673=N$6,H673=N$7,H673=N$8,H673=N$9,H673=N$10,H673=N$11,H673=N$12,H673=N$13,H673=N$14),SottocategorieEntrate[[#Headers],[Other]],""))))))))))))</f>
        <v/>
      </c>
      <c r="J673" t="str">
        <f>IF(OR(Dati[[#This Row],[Categoria]]="Bollette",Dati[[#This Row],[Categoria]]="Conto &amp; Carte BNL",Dati[[#This Row],[Categoria]]="Prelievo",Dati[[#This Row],[Categoria]]="Affitto",Dati[[#This Row],[Categoria]]="BNL(Interessi Creditori)"),"Carta",IF(Dati[[#This Row],[Categoria]]&lt;&gt;0,"Cash",""))</f>
        <v/>
      </c>
      <c r="K673" s="59" t="str">
        <f>IF(OR(Data!$I673=SottocategorieUscite[[#Headers],[Fuori Casa]],Data!$I673=SottocategorieUscite[[#Headers],[Varie Uscite]],Data!$I673=SottocategorieUscite[[#Headers],[Personali]],Data!$I673=SottocategorieUscite[[#Headers],[Lavoro]]),"$ -","")</f>
        <v/>
      </c>
      <c r="L673" s="59" t="str">
        <f>IF(OR(Data!$I673=SottocategorieUscite[[#Headers],[Casa]],Data!$I673=SottocategorieUscite[[#Headers],[Utenze]],Data!$I673=SottocategorieUscite[[#Headers],[Business Uscite]],Data!$I673=SottocategorieUscite[[#Headers],[Banca]]),"$ -","")</f>
        <v/>
      </c>
      <c r="M673" s="59" t="str">
        <f>IF(OR($I673&lt;&gt;SottocategorieUscite[[#Headers],[Fuori Casa]],$I673&lt;&gt;SottocategorieUscite[[#Headers],[Varie Uscite]],$I673&lt;&gt;SottocategorieUscite[[#Headers],[Personali]],$I673&lt;&gt;SottocategorieUscite[[#Headers],[Lavoro]],$I673&lt;&gt;SottocategorieUscite[[#Headers],[Casa]],$I673&lt;&gt;SottocategorieUscite[[#Headers],[Utenze]],$I673&lt;&gt;SottocategorieUscite[[#Headers],[Business Uscite]],$I673&lt;&gt;SottocategorieUscite[[#Headers],[Banca]]),"","$ -")</f>
        <v/>
      </c>
      <c r="N673" s="59" t="str">
        <f>IF(OR(Data!$I673=SottocategorieEntrate[[#Headers],[Business Entrate]],Data!$I673=SottocategorieEntrate[[#Headers],[Varie Entrate]]),"$ -","")</f>
        <v/>
      </c>
      <c r="O673" s="59" t="str">
        <f>IF(OR(Data!$I673=SottocategorieEntrate[[#Headers],[Real Estate]],SottocategorieEntrate[[#Headers],[Other]]),"$ -","")</f>
        <v/>
      </c>
      <c r="P673" s="59" t="str">
        <f>IF(OR($I673&lt;&gt;SottocategorieEntrate[[#Headers],[Business Entrate]],$I673&lt;&gt;SottocategorieEntrate[[#Headers],[Varie Entrate]],$I673&lt;&gt;SottocategorieEntrate[[#Headers],[Real Estate]],$I673&lt;&gt;SottocategorieEntrate[[#Headers],[Other]]),"","$ -")</f>
        <v/>
      </c>
      <c r="Q673" s="59" t="str">
        <f>IF(Dati[[#This Row],[Categoria]]="Prelievo","€ -","")</f>
        <v/>
      </c>
      <c r="R673" s="244"/>
      <c r="S673" s="59" t="str">
        <f>IF(Dati[[#This Row],[Categoria]]="Savings",0,"")</f>
        <v/>
      </c>
      <c r="T673" s="59"/>
      <c r="U673" s="59"/>
      <c r="V673" s="59"/>
      <c r="W673" s="59"/>
      <c r="X673" s="59"/>
      <c r="Y673" s="59"/>
      <c r="Z673" s="59"/>
      <c r="AA673" s="59"/>
      <c r="AB673" s="59"/>
      <c r="AC673" s="59"/>
      <c r="AD673" s="59"/>
      <c r="AE673" s="59"/>
      <c r="AF673" s="59"/>
      <c r="AG673" s="59"/>
      <c r="AH673" s="59"/>
      <c r="AI673" s="59" t="str">
        <f>IF(SUM(Dati[[#This Row],[Inv. Business]:[Inv. Cryptocurrency]])=0," ",SUM(Dati[[#This Row],[Inv. Business]:[Inv. Cryptocurrency]]))</f>
        <v xml:space="preserve"> </v>
      </c>
      <c r="AJ673" s="59"/>
      <c r="AK673" s="59"/>
      <c r="AL673" s="59"/>
      <c r="AM673" s="59"/>
    </row>
    <row r="674" spans="2:39" x14ac:dyDescent="0.35">
      <c r="B674" s="237">
        <f t="shared" si="30"/>
        <v>649</v>
      </c>
      <c r="C674" s="49">
        <f t="shared" si="27"/>
        <v>45418</v>
      </c>
      <c r="D674" s="29">
        <f>DAY(Dati[[#This Row],[Data]])</f>
        <v>6</v>
      </c>
      <c r="E674" s="29" t="str">
        <f>IF(DAY(Data!$C$21:$C$1327)&gt;0,TEXT(Data!$C$21:$C$1327, "mmmm"),"")</f>
        <v>maggio</v>
      </c>
      <c r="F674" s="29" t="str">
        <f>IF(DAY(Data!$C$21:$C$1327)&gt;0,TEXT(Data!$C$21:$C$1327, "aaaa"),"")</f>
        <v>2024</v>
      </c>
      <c r="I674" t="str">
        <f>IF(OR(H674=$B$5,H674=$B$6,H674=$B$7,H674=$B$8,H674=$B$9,H674=$B$10,H674=$B$11,H674=$B$12,H674=$B$13,H674=$B$14),SottocategorieUscite[[#Headers],[Fuori Casa]],IF(OR(H674=$C$5,H674=$C$6,H674=$C$7,H674=$C$8,H674=$C$9,H674=$C$10,H674=$C$11,H674=$C$12,H674=$C$13,H674=$C$14),SottocategorieUscite[[#Headers],[Varie Uscite]],IF(OR(H674=$D$5,H674=$D$6,H674=$D$7,H674=$D$8,H674=$D$9,H674=$D$10,H674=$D$11,H674=$D$12,H674=$D$13,H674=$D$14),SottocategorieUscite[[#Headers],[Personali]],IF(OR(H674=$E$5,H674=$E$6,H674=$E$7,H674=$E$8,H674=$E$9,H674=$E$10,H674=$E$11,H674=$E$12,H674=$E$13,H674=$E$14),SottocategorieUscite[[#Headers],[Lavoro]],IF(OR(H674=$F$5,H674=$F$6,H674=$F$7,H674=$F$8,H674=$F$9,H674=$F$10,H674=$F$11,H674=$F$12,H674=$F$13,H674=$F$14),SottocategorieUscite[[#Headers],[Casa]],IF(OR(H674=$G$5,H674=$G$6,H674=$G$7,H674=$G$8,H674=$G$9,H674=$G$10,H674=$G$11,H674=$G$12,H674=$G$13,H674=$G$14),SottocategorieUscite[[#Headers],[Utenze]],IF(OR(H674=$H$5,H674=$H$6,H674=$H$7,H674=$H$8,H674=$H$9,H674=$H$10,H674=$H$11,H674=$H$12,H674=$H$13,H674=$H$14),SottocategorieUscite[[#Headers],[Business Uscite]],IF(OR(H674=$I$5,H674=$I$6,H674=$I$7,H674=$I$8,H674=$I$9,H674=$I$10,H674=$I$11,H674=$I$12,H674=$I$13,H674=$I$14),SottocategorieUscite[[#Headers],[Banca]],IF(OR(H674=K$5,H674=K$6,H674=K$7,H674=K$8,H674=K$9,H674=K$10,H674=K$11,H674=K$12,H674=K$13,H674=K$14),SottocategorieEntrate[[#Headers],[Business Entrate]],IF(OR(H674=L$5,H674=L$6,H674=L$7,H674=L$8,H674=L$9,H674=L$10,H674=L$11,H674=L$12,H674=L$13,H674=L$14),SottocategorieEntrate[[#Headers],[Varie Entrate]],IF(OR(H674=M$5,H674=M$6,H674=M$7,H674=M$8,H674=M$9,H674=M$10,H674=M$11,H674=M$12,H674=M$13,H674=M$14),SottocategorieEntrate[[#Headers],[Real Estate]],IF(OR(H674=N$5,H674=N$6,H674=N$7,H674=N$8,H674=N$9,H674=N$10,H674=N$11,H674=N$12,H674=N$13,H674=N$14),SottocategorieEntrate[[#Headers],[Other]],""))))))))))))</f>
        <v/>
      </c>
      <c r="J674" t="str">
        <f>IF(OR(Dati[[#This Row],[Categoria]]="Bollette",Dati[[#This Row],[Categoria]]="Conto &amp; Carte BNL",Dati[[#This Row],[Categoria]]="Prelievo",Dati[[#This Row],[Categoria]]="Affitto",Dati[[#This Row],[Categoria]]="BNL(Interessi Creditori)"),"Carta",IF(Dati[[#This Row],[Categoria]]&lt;&gt;0,"Cash",""))</f>
        <v/>
      </c>
      <c r="K674" s="59" t="str">
        <f>IF(OR(Data!$I674=SottocategorieUscite[[#Headers],[Fuori Casa]],Data!$I674=SottocategorieUscite[[#Headers],[Varie Uscite]],Data!$I674=SottocategorieUscite[[#Headers],[Personali]],Data!$I674=SottocategorieUscite[[#Headers],[Lavoro]]),"$ -","")</f>
        <v/>
      </c>
      <c r="L674" s="59" t="str">
        <f>IF(OR(Data!$I674=SottocategorieUscite[[#Headers],[Casa]],Data!$I674=SottocategorieUscite[[#Headers],[Utenze]],Data!$I674=SottocategorieUscite[[#Headers],[Business Uscite]],Data!$I674=SottocategorieUscite[[#Headers],[Banca]]),"$ -","")</f>
        <v/>
      </c>
      <c r="M674" s="59" t="str">
        <f>IF(OR($I674&lt;&gt;SottocategorieUscite[[#Headers],[Fuori Casa]],$I674&lt;&gt;SottocategorieUscite[[#Headers],[Varie Uscite]],$I674&lt;&gt;SottocategorieUscite[[#Headers],[Personali]],$I674&lt;&gt;SottocategorieUscite[[#Headers],[Lavoro]],$I674&lt;&gt;SottocategorieUscite[[#Headers],[Casa]],$I674&lt;&gt;SottocategorieUscite[[#Headers],[Utenze]],$I674&lt;&gt;SottocategorieUscite[[#Headers],[Business Uscite]],$I674&lt;&gt;SottocategorieUscite[[#Headers],[Banca]]),"","$ -")</f>
        <v/>
      </c>
      <c r="N674" s="59" t="str">
        <f>IF(OR(Data!$I674=SottocategorieEntrate[[#Headers],[Business Entrate]],Data!$I674=SottocategorieEntrate[[#Headers],[Varie Entrate]]),"$ -","")</f>
        <v/>
      </c>
      <c r="O674" s="59" t="str">
        <f>IF(OR(Data!$I674=SottocategorieEntrate[[#Headers],[Real Estate]],SottocategorieEntrate[[#Headers],[Other]]),"$ -","")</f>
        <v/>
      </c>
      <c r="P674" s="59" t="str">
        <f>IF(OR($I674&lt;&gt;SottocategorieEntrate[[#Headers],[Business Entrate]],$I674&lt;&gt;SottocategorieEntrate[[#Headers],[Varie Entrate]],$I674&lt;&gt;SottocategorieEntrate[[#Headers],[Real Estate]],$I674&lt;&gt;SottocategorieEntrate[[#Headers],[Other]]),"","$ -")</f>
        <v/>
      </c>
      <c r="Q674" s="59" t="str">
        <f>IF(Dati[[#This Row],[Categoria]]="Prelievo","€ -","")</f>
        <v/>
      </c>
      <c r="R674" s="244"/>
      <c r="S674" s="59" t="str">
        <f>IF(Dati[[#This Row],[Categoria]]="Savings",0,"")</f>
        <v/>
      </c>
      <c r="T674" s="59"/>
      <c r="U674" s="59"/>
      <c r="V674" s="59"/>
      <c r="W674" s="59"/>
      <c r="X674" s="59"/>
      <c r="Y674" s="59"/>
      <c r="Z674" s="59"/>
      <c r="AA674" s="59"/>
      <c r="AB674" s="59"/>
      <c r="AC674" s="59"/>
      <c r="AD674" s="59"/>
      <c r="AE674" s="59"/>
      <c r="AF674" s="59"/>
      <c r="AG674" s="59"/>
      <c r="AH674" s="59"/>
      <c r="AI674" s="59" t="str">
        <f>IF(SUM(Dati[[#This Row],[Inv. Business]:[Inv. Cryptocurrency]])=0," ",SUM(Dati[[#This Row],[Inv. Business]:[Inv. Cryptocurrency]]))</f>
        <v xml:space="preserve"> </v>
      </c>
      <c r="AJ674" s="59"/>
      <c r="AK674" s="59"/>
      <c r="AL674" s="59"/>
      <c r="AM674" s="59"/>
    </row>
    <row r="675" spans="2:39" x14ac:dyDescent="0.35">
      <c r="B675" s="237">
        <f t="shared" si="30"/>
        <v>650</v>
      </c>
      <c r="C675" s="49">
        <f t="shared" si="27"/>
        <v>45419</v>
      </c>
      <c r="D675" s="29">
        <f>DAY(Dati[[#This Row],[Data]])</f>
        <v>7</v>
      </c>
      <c r="E675" s="29" t="str">
        <f>IF(DAY(Data!$C$21:$C$1327)&gt;0,TEXT(Data!$C$21:$C$1327, "mmmm"),"")</f>
        <v>maggio</v>
      </c>
      <c r="F675" s="29" t="str">
        <f>IF(DAY(Data!$C$21:$C$1327)&gt;0,TEXT(Data!$C$21:$C$1327, "aaaa"),"")</f>
        <v>2024</v>
      </c>
      <c r="I675" t="str">
        <f>IF(OR(H675=$B$5,H675=$B$6,H675=$B$7,H675=$B$8,H675=$B$9,H675=$B$10,H675=$B$11,H675=$B$12,H675=$B$13,H675=$B$14),SottocategorieUscite[[#Headers],[Fuori Casa]],IF(OR(H675=$C$5,H675=$C$6,H675=$C$7,H675=$C$8,H675=$C$9,H675=$C$10,H675=$C$11,H675=$C$12,H675=$C$13,H675=$C$14),SottocategorieUscite[[#Headers],[Varie Uscite]],IF(OR(H675=$D$5,H675=$D$6,H675=$D$7,H675=$D$8,H675=$D$9,H675=$D$10,H675=$D$11,H675=$D$12,H675=$D$13,H675=$D$14),SottocategorieUscite[[#Headers],[Personali]],IF(OR(H675=$E$5,H675=$E$6,H675=$E$7,H675=$E$8,H675=$E$9,H675=$E$10,H675=$E$11,H675=$E$12,H675=$E$13,H675=$E$14),SottocategorieUscite[[#Headers],[Lavoro]],IF(OR(H675=$F$5,H675=$F$6,H675=$F$7,H675=$F$8,H675=$F$9,H675=$F$10,H675=$F$11,H675=$F$12,H675=$F$13,H675=$F$14),SottocategorieUscite[[#Headers],[Casa]],IF(OR(H675=$G$5,H675=$G$6,H675=$G$7,H675=$G$8,H675=$G$9,H675=$G$10,H675=$G$11,H675=$G$12,H675=$G$13,H675=$G$14),SottocategorieUscite[[#Headers],[Utenze]],IF(OR(H675=$H$5,H675=$H$6,H675=$H$7,H675=$H$8,H675=$H$9,H675=$H$10,H675=$H$11,H675=$H$12,H675=$H$13,H675=$H$14),SottocategorieUscite[[#Headers],[Business Uscite]],IF(OR(H675=$I$5,H675=$I$6,H675=$I$7,H675=$I$8,H675=$I$9,H675=$I$10,H675=$I$11,H675=$I$12,H675=$I$13,H675=$I$14),SottocategorieUscite[[#Headers],[Banca]],IF(OR(H675=K$5,H675=K$6,H675=K$7,H675=K$8,H675=K$9,H675=K$10,H675=K$11,H675=K$12,H675=K$13,H675=K$14),SottocategorieEntrate[[#Headers],[Business Entrate]],IF(OR(H675=L$5,H675=L$6,H675=L$7,H675=L$8,H675=L$9,H675=L$10,H675=L$11,H675=L$12,H675=L$13,H675=L$14),SottocategorieEntrate[[#Headers],[Varie Entrate]],IF(OR(H675=M$5,H675=M$6,H675=M$7,H675=M$8,H675=M$9,H675=M$10,H675=M$11,H675=M$12,H675=M$13,H675=M$14),SottocategorieEntrate[[#Headers],[Real Estate]],IF(OR(H675=N$5,H675=N$6,H675=N$7,H675=N$8,H675=N$9,H675=N$10,H675=N$11,H675=N$12,H675=N$13,H675=N$14),SottocategorieEntrate[[#Headers],[Other]],""))))))))))))</f>
        <v/>
      </c>
      <c r="J675" t="str">
        <f>IF(OR(Dati[[#This Row],[Categoria]]="Bollette",Dati[[#This Row],[Categoria]]="Conto &amp; Carte BNL",Dati[[#This Row],[Categoria]]="Prelievo",Dati[[#This Row],[Categoria]]="Affitto",Dati[[#This Row],[Categoria]]="BNL(Interessi Creditori)"),"Carta",IF(Dati[[#This Row],[Categoria]]&lt;&gt;0,"Cash",""))</f>
        <v/>
      </c>
      <c r="K675" s="59" t="str">
        <f>IF(OR(Data!$I675=SottocategorieUscite[[#Headers],[Fuori Casa]],Data!$I675=SottocategorieUscite[[#Headers],[Varie Uscite]],Data!$I675=SottocategorieUscite[[#Headers],[Personali]],Data!$I675=SottocategorieUscite[[#Headers],[Lavoro]]),"$ -","")</f>
        <v/>
      </c>
      <c r="L675" s="59" t="str">
        <f>IF(OR(Data!$I675=SottocategorieUscite[[#Headers],[Casa]],Data!$I675=SottocategorieUscite[[#Headers],[Utenze]],Data!$I675=SottocategorieUscite[[#Headers],[Business Uscite]],Data!$I675=SottocategorieUscite[[#Headers],[Banca]]),"$ -","")</f>
        <v/>
      </c>
      <c r="M675" s="59" t="str">
        <f>IF(OR($I675&lt;&gt;SottocategorieUscite[[#Headers],[Fuori Casa]],$I675&lt;&gt;SottocategorieUscite[[#Headers],[Varie Uscite]],$I675&lt;&gt;SottocategorieUscite[[#Headers],[Personali]],$I675&lt;&gt;SottocategorieUscite[[#Headers],[Lavoro]],$I675&lt;&gt;SottocategorieUscite[[#Headers],[Casa]],$I675&lt;&gt;SottocategorieUscite[[#Headers],[Utenze]],$I675&lt;&gt;SottocategorieUscite[[#Headers],[Business Uscite]],$I675&lt;&gt;SottocategorieUscite[[#Headers],[Banca]]),"","$ -")</f>
        <v/>
      </c>
      <c r="N675" s="59" t="str">
        <f>IF(OR(Data!$I675=SottocategorieEntrate[[#Headers],[Business Entrate]],Data!$I675=SottocategorieEntrate[[#Headers],[Varie Entrate]]),"$ -","")</f>
        <v/>
      </c>
      <c r="O675" s="59" t="str">
        <f>IF(OR(Data!$I675=SottocategorieEntrate[[#Headers],[Real Estate]],SottocategorieEntrate[[#Headers],[Other]]),"$ -","")</f>
        <v/>
      </c>
      <c r="P675" s="59" t="str">
        <f>IF(OR($I675&lt;&gt;SottocategorieEntrate[[#Headers],[Business Entrate]],$I675&lt;&gt;SottocategorieEntrate[[#Headers],[Varie Entrate]],$I675&lt;&gt;SottocategorieEntrate[[#Headers],[Real Estate]],$I675&lt;&gt;SottocategorieEntrate[[#Headers],[Other]]),"","$ -")</f>
        <v/>
      </c>
      <c r="Q675" s="59" t="str">
        <f>IF(Dati[[#This Row],[Categoria]]="Prelievo","€ -","")</f>
        <v/>
      </c>
      <c r="R675" s="244"/>
      <c r="S675" s="59" t="str">
        <f>IF(Dati[[#This Row],[Categoria]]="Savings",0,"")</f>
        <v/>
      </c>
      <c r="T675" s="59"/>
      <c r="U675" s="59"/>
      <c r="V675" s="59"/>
      <c r="W675" s="59"/>
      <c r="X675" s="59"/>
      <c r="Y675" s="59"/>
      <c r="Z675" s="59"/>
      <c r="AA675" s="59"/>
      <c r="AB675" s="59"/>
      <c r="AC675" s="59"/>
      <c r="AD675" s="59"/>
      <c r="AE675" s="59"/>
      <c r="AF675" s="59"/>
      <c r="AG675" s="59"/>
      <c r="AH675" s="59"/>
      <c r="AI675" s="59" t="str">
        <f>IF(SUM(Dati[[#This Row],[Inv. Business]:[Inv. Cryptocurrency]])=0," ",SUM(Dati[[#This Row],[Inv. Business]:[Inv. Cryptocurrency]]))</f>
        <v xml:space="preserve"> </v>
      </c>
      <c r="AJ675" s="59"/>
      <c r="AK675" s="59"/>
      <c r="AL675" s="59"/>
      <c r="AM675" s="59"/>
    </row>
    <row r="676" spans="2:39" x14ac:dyDescent="0.35">
      <c r="B676" s="237">
        <f>ROW(650:650)</f>
        <v>650</v>
      </c>
      <c r="C676" s="49">
        <f>C674+1</f>
        <v>45419</v>
      </c>
      <c r="D676" s="29">
        <f>DAY(Dati[[#This Row],[Data]])</f>
        <v>7</v>
      </c>
      <c r="E676" s="29" t="str">
        <f>IF(DAY(Data!$C$21:$C$1327)&gt;0,TEXT(Data!$C$21:$C$1327, "mmmm"),"")</f>
        <v>maggio</v>
      </c>
      <c r="F676" s="29" t="str">
        <f>IF(DAY(Data!$C$21:$C$1327)&gt;0,TEXT(Data!$C$21:$C$1327, "aaaa"),"")</f>
        <v>2024</v>
      </c>
      <c r="I676" t="str">
        <f>IF(OR(H676=$B$5,H676=$B$6,H676=$B$7,H676=$B$8,H676=$B$9,H676=$B$10,H676=$B$11,H676=$B$12,H676=$B$13,H676=$B$14),SottocategorieUscite[[#Headers],[Fuori Casa]],IF(OR(H676=$C$5,H676=$C$6,H676=$C$7,H676=$C$8,H676=$C$9,H676=$C$10,H676=$C$11,H676=$C$12,H676=$C$13,H676=$C$14),SottocategorieUscite[[#Headers],[Varie Uscite]],IF(OR(H676=$D$5,H676=$D$6,H676=$D$7,H676=$D$8,H676=$D$9,H676=$D$10,H676=$D$11,H676=$D$12,H676=$D$13,H676=$D$14),SottocategorieUscite[[#Headers],[Personali]],IF(OR(H676=$E$5,H676=$E$6,H676=$E$7,H676=$E$8,H676=$E$9,H676=$E$10,H676=$E$11,H676=$E$12,H676=$E$13,H676=$E$14),SottocategorieUscite[[#Headers],[Lavoro]],IF(OR(H676=$F$5,H676=$F$6,H676=$F$7,H676=$F$8,H676=$F$9,H676=$F$10,H676=$F$11,H676=$F$12,H676=$F$13,H676=$F$14),SottocategorieUscite[[#Headers],[Casa]],IF(OR(H676=$G$5,H676=$G$6,H676=$G$7,H676=$G$8,H676=$G$9,H676=$G$10,H676=$G$11,H676=$G$12,H676=$G$13,H676=$G$14),SottocategorieUscite[[#Headers],[Utenze]],IF(OR(H676=$H$5,H676=$H$6,H676=$H$7,H676=$H$8,H676=$H$9,H676=$H$10,H676=$H$11,H676=$H$12,H676=$H$13,H676=$H$14),SottocategorieUscite[[#Headers],[Business Uscite]],IF(OR(H676=$I$5,H676=$I$6,H676=$I$7,H676=$I$8,H676=$I$9,H676=$I$10,H676=$I$11,H676=$I$12,H676=$I$13,H676=$I$14),SottocategorieUscite[[#Headers],[Banca]],IF(OR(H676=K$5,H676=K$6,H676=K$7,H676=K$8,H676=K$9,H676=K$10,H676=K$11,H676=K$12,H676=K$13,H676=K$14),SottocategorieEntrate[[#Headers],[Business Entrate]],IF(OR(H676=L$5,H676=L$6,H676=L$7,H676=L$8,H676=L$9,H676=L$10,H676=L$11,H676=L$12,H676=L$13,H676=L$14),SottocategorieEntrate[[#Headers],[Varie Entrate]],IF(OR(H676=M$5,H676=M$6,H676=M$7,H676=M$8,H676=M$9,H676=M$10,H676=M$11,H676=M$12,H676=M$13,H676=M$14),SottocategorieEntrate[[#Headers],[Real Estate]],IF(OR(H676=N$5,H676=N$6,H676=N$7,H676=N$8,H676=N$9,H676=N$10,H676=N$11,H676=N$12,H676=N$13,H676=N$14),SottocategorieEntrate[[#Headers],[Other]],""))))))))))))</f>
        <v/>
      </c>
      <c r="J676" t="str">
        <f>IF(OR(Dati[[#This Row],[Categoria]]="Bollette",Dati[[#This Row],[Categoria]]="Conto &amp; Carte BNL",Dati[[#This Row],[Categoria]]="Prelievo",Dati[[#This Row],[Categoria]]="Affitto",Dati[[#This Row],[Categoria]]="BNL(Interessi Creditori)"),"Carta",IF(Dati[[#This Row],[Categoria]]&lt;&gt;0,"Cash",""))</f>
        <v/>
      </c>
      <c r="K676" s="59" t="str">
        <f>IF(OR(Data!$I676=SottocategorieUscite[[#Headers],[Fuori Casa]],Data!$I676=SottocategorieUscite[[#Headers],[Varie Uscite]],Data!$I676=SottocategorieUscite[[#Headers],[Personali]],Data!$I676=SottocategorieUscite[[#Headers],[Lavoro]]),"$ -","")</f>
        <v/>
      </c>
      <c r="L676" s="59" t="str">
        <f>IF(OR(Data!$I676=SottocategorieUscite[[#Headers],[Casa]],Data!$I676=SottocategorieUscite[[#Headers],[Utenze]],Data!$I676=SottocategorieUscite[[#Headers],[Business Uscite]],Data!$I676=SottocategorieUscite[[#Headers],[Banca]]),"$ -","")</f>
        <v/>
      </c>
      <c r="M676" s="59" t="str">
        <f>IF(OR($I676&lt;&gt;SottocategorieUscite[[#Headers],[Fuori Casa]],$I676&lt;&gt;SottocategorieUscite[[#Headers],[Varie Uscite]],$I676&lt;&gt;SottocategorieUscite[[#Headers],[Personali]],$I676&lt;&gt;SottocategorieUscite[[#Headers],[Lavoro]],$I676&lt;&gt;SottocategorieUscite[[#Headers],[Casa]],$I676&lt;&gt;SottocategorieUscite[[#Headers],[Utenze]],$I676&lt;&gt;SottocategorieUscite[[#Headers],[Business Uscite]],$I676&lt;&gt;SottocategorieUscite[[#Headers],[Banca]]),"","$ -")</f>
        <v/>
      </c>
      <c r="N676" s="59" t="str">
        <f>IF(OR(Data!$I676=SottocategorieEntrate[[#Headers],[Business Entrate]],Data!$I676=SottocategorieEntrate[[#Headers],[Varie Entrate]]),"$ -","")</f>
        <v/>
      </c>
      <c r="O676" s="59" t="str">
        <f>IF(OR(Data!$I676=SottocategorieEntrate[[#Headers],[Real Estate]],SottocategorieEntrate[[#Headers],[Other]]),"$ -","")</f>
        <v/>
      </c>
      <c r="P676" s="59" t="str">
        <f>IF(OR($I676&lt;&gt;SottocategorieEntrate[[#Headers],[Business Entrate]],$I676&lt;&gt;SottocategorieEntrate[[#Headers],[Varie Entrate]],$I676&lt;&gt;SottocategorieEntrate[[#Headers],[Real Estate]],$I676&lt;&gt;SottocategorieEntrate[[#Headers],[Other]]),"","$ -")</f>
        <v/>
      </c>
      <c r="Q676" s="59" t="str">
        <f>IF(Dati[[#This Row],[Categoria]]="Prelievo","€ -","")</f>
        <v/>
      </c>
      <c r="R676" s="244"/>
      <c r="S676" s="59" t="str">
        <f>IF(Dati[[#This Row],[Categoria]]="Savings",0,"")</f>
        <v/>
      </c>
      <c r="T676" s="59"/>
      <c r="U676" s="59"/>
      <c r="V676" s="59"/>
      <c r="W676" s="59"/>
      <c r="X676" s="59"/>
      <c r="Y676" s="59"/>
      <c r="Z676" s="59"/>
      <c r="AA676" s="59"/>
      <c r="AB676" s="59"/>
      <c r="AC676" s="59"/>
      <c r="AD676" s="59"/>
      <c r="AE676" s="59"/>
      <c r="AF676" s="59"/>
      <c r="AG676" s="59"/>
      <c r="AH676" s="59"/>
      <c r="AI676" s="59" t="str">
        <f>IF(SUM(Dati[[#This Row],[Inv. Business]:[Inv. Cryptocurrency]])=0," ",SUM(Dati[[#This Row],[Inv. Business]:[Inv. Cryptocurrency]]))</f>
        <v xml:space="preserve"> </v>
      </c>
      <c r="AJ676" s="59"/>
      <c r="AK676" s="59"/>
      <c r="AL676" s="59"/>
      <c r="AM676" s="59"/>
    </row>
    <row r="677" spans="2:39" x14ac:dyDescent="0.35">
      <c r="B677" s="237">
        <f t="shared" ref="B677:B678" si="31">ROW(650:650)</f>
        <v>650</v>
      </c>
      <c r="C677" s="49">
        <f>C674+1</f>
        <v>45419</v>
      </c>
      <c r="D677" s="29">
        <f>DAY(Dati[[#This Row],[Data]])</f>
        <v>7</v>
      </c>
      <c r="E677" s="29" t="str">
        <f>IF(DAY(Data!$C$21:$C$1327)&gt;0,TEXT(Data!$C$21:$C$1327, "mmmm"),"")</f>
        <v>maggio</v>
      </c>
      <c r="F677" s="29" t="str">
        <f>IF(DAY(Data!$C$21:$C$1327)&gt;0,TEXT(Data!$C$21:$C$1327, "aaaa"),"")</f>
        <v>2024</v>
      </c>
      <c r="I677" t="str">
        <f>IF(OR(H677=$B$5,H677=$B$6,H677=$B$7,H677=$B$8,H677=$B$9,H677=$B$10,H677=$B$11,H677=$B$12,H677=$B$13,H677=$B$14),SottocategorieUscite[[#Headers],[Fuori Casa]],IF(OR(H677=$C$5,H677=$C$6,H677=$C$7,H677=$C$8,H677=$C$9,H677=$C$10,H677=$C$11,H677=$C$12,H677=$C$13,H677=$C$14),SottocategorieUscite[[#Headers],[Varie Uscite]],IF(OR(H677=$D$5,H677=$D$6,H677=$D$7,H677=$D$8,H677=$D$9,H677=$D$10,H677=$D$11,H677=$D$12,H677=$D$13,H677=$D$14),SottocategorieUscite[[#Headers],[Personali]],IF(OR(H677=$E$5,H677=$E$6,H677=$E$7,H677=$E$8,H677=$E$9,H677=$E$10,H677=$E$11,H677=$E$12,H677=$E$13,H677=$E$14),SottocategorieUscite[[#Headers],[Lavoro]],IF(OR(H677=$F$5,H677=$F$6,H677=$F$7,H677=$F$8,H677=$F$9,H677=$F$10,H677=$F$11,H677=$F$12,H677=$F$13,H677=$F$14),SottocategorieUscite[[#Headers],[Casa]],IF(OR(H677=$G$5,H677=$G$6,H677=$G$7,H677=$G$8,H677=$G$9,H677=$G$10,H677=$G$11,H677=$G$12,H677=$G$13,H677=$G$14),SottocategorieUscite[[#Headers],[Utenze]],IF(OR(H677=$H$5,H677=$H$6,H677=$H$7,H677=$H$8,H677=$H$9,H677=$H$10,H677=$H$11,H677=$H$12,H677=$H$13,H677=$H$14),SottocategorieUscite[[#Headers],[Business Uscite]],IF(OR(H677=$I$5,H677=$I$6,H677=$I$7,H677=$I$8,H677=$I$9,H677=$I$10,H677=$I$11,H677=$I$12,H677=$I$13,H677=$I$14),SottocategorieUscite[[#Headers],[Banca]],IF(OR(H677=K$5,H677=K$6,H677=K$7,H677=K$8,H677=K$9,H677=K$10,H677=K$11,H677=K$12,H677=K$13,H677=K$14),SottocategorieEntrate[[#Headers],[Business Entrate]],IF(OR(H677=L$5,H677=L$6,H677=L$7,H677=L$8,H677=L$9,H677=L$10,H677=L$11,H677=L$12,H677=L$13,H677=L$14),SottocategorieEntrate[[#Headers],[Varie Entrate]],IF(OR(H677=M$5,H677=M$6,H677=M$7,H677=M$8,H677=M$9,H677=M$10,H677=M$11,H677=M$12,H677=M$13,H677=M$14),SottocategorieEntrate[[#Headers],[Real Estate]],IF(OR(H677=N$5,H677=N$6,H677=N$7,H677=N$8,H677=N$9,H677=N$10,H677=N$11,H677=N$12,H677=N$13,H677=N$14),SottocategorieEntrate[[#Headers],[Other]],""))))))))))))</f>
        <v/>
      </c>
      <c r="J677" t="str">
        <f>IF(OR(Dati[[#This Row],[Categoria]]="Bollette",Dati[[#This Row],[Categoria]]="Conto &amp; Carte BNL",Dati[[#This Row],[Categoria]]="Prelievo",Dati[[#This Row],[Categoria]]="Affitto",Dati[[#This Row],[Categoria]]="BNL(Interessi Creditori)"),"Carta",IF(Dati[[#This Row],[Categoria]]&lt;&gt;0,"Cash",""))</f>
        <v/>
      </c>
      <c r="K677" s="59" t="str">
        <f>IF(OR(Data!$I677=SottocategorieUscite[[#Headers],[Fuori Casa]],Data!$I677=SottocategorieUscite[[#Headers],[Varie Uscite]],Data!$I677=SottocategorieUscite[[#Headers],[Personali]],Data!$I677=SottocategorieUscite[[#Headers],[Lavoro]]),"$ -","")</f>
        <v/>
      </c>
      <c r="L677" s="59" t="str">
        <f>IF(OR(Data!$I677=SottocategorieUscite[[#Headers],[Casa]],Data!$I677=SottocategorieUscite[[#Headers],[Utenze]],Data!$I677=SottocategorieUscite[[#Headers],[Business Uscite]],Data!$I677=SottocategorieUscite[[#Headers],[Banca]]),"$ -","")</f>
        <v/>
      </c>
      <c r="M677" s="59" t="str">
        <f>IF(OR($I677&lt;&gt;SottocategorieUscite[[#Headers],[Fuori Casa]],$I677&lt;&gt;SottocategorieUscite[[#Headers],[Varie Uscite]],$I677&lt;&gt;SottocategorieUscite[[#Headers],[Personali]],$I677&lt;&gt;SottocategorieUscite[[#Headers],[Lavoro]],$I677&lt;&gt;SottocategorieUscite[[#Headers],[Casa]],$I677&lt;&gt;SottocategorieUscite[[#Headers],[Utenze]],$I677&lt;&gt;SottocategorieUscite[[#Headers],[Business Uscite]],$I677&lt;&gt;SottocategorieUscite[[#Headers],[Banca]]),"","$ -")</f>
        <v/>
      </c>
      <c r="N677" s="59" t="str">
        <f>IF(OR(Data!$I677=SottocategorieEntrate[[#Headers],[Business Entrate]],Data!$I677=SottocategorieEntrate[[#Headers],[Varie Entrate]]),"$ -","")</f>
        <v/>
      </c>
      <c r="O677" s="59" t="str">
        <f>IF(OR(Data!$I677=SottocategorieEntrate[[#Headers],[Real Estate]],SottocategorieEntrate[[#Headers],[Other]]),"$ -","")</f>
        <v/>
      </c>
      <c r="P677" s="59" t="str">
        <f>IF(OR($I677&lt;&gt;SottocategorieEntrate[[#Headers],[Business Entrate]],$I677&lt;&gt;SottocategorieEntrate[[#Headers],[Varie Entrate]],$I677&lt;&gt;SottocategorieEntrate[[#Headers],[Real Estate]],$I677&lt;&gt;SottocategorieEntrate[[#Headers],[Other]]),"","$ -")</f>
        <v/>
      </c>
      <c r="Q677" s="59" t="str">
        <f>IF(Dati[[#This Row],[Categoria]]="Prelievo","€ -","")</f>
        <v/>
      </c>
      <c r="R677" s="244"/>
      <c r="S677" s="59" t="str">
        <f>IF(Dati[[#This Row],[Categoria]]="Savings",0,"")</f>
        <v/>
      </c>
      <c r="T677" s="59"/>
      <c r="U677" s="59"/>
      <c r="V677" s="59"/>
      <c r="W677" s="59"/>
      <c r="X677" s="59"/>
      <c r="Y677" s="59"/>
      <c r="Z677" s="59"/>
      <c r="AA677" s="59"/>
      <c r="AB677" s="59"/>
      <c r="AC677" s="59"/>
      <c r="AD677" s="59"/>
      <c r="AE677" s="59"/>
      <c r="AF677" s="59"/>
      <c r="AG677" s="59"/>
      <c r="AH677" s="59"/>
      <c r="AI677" s="59" t="str">
        <f>IF(SUM(Dati[[#This Row],[Inv. Business]:[Inv. Cryptocurrency]])=0," ",SUM(Dati[[#This Row],[Inv. Business]:[Inv. Cryptocurrency]]))</f>
        <v xml:space="preserve"> </v>
      </c>
      <c r="AJ677" s="59"/>
      <c r="AK677" s="59"/>
      <c r="AL677" s="59"/>
      <c r="AM677" s="59"/>
    </row>
    <row r="678" spans="2:39" x14ac:dyDescent="0.35">
      <c r="B678" s="237">
        <f t="shared" si="31"/>
        <v>651</v>
      </c>
      <c r="C678" s="49">
        <f>C675+1</f>
        <v>45420</v>
      </c>
      <c r="D678" s="29">
        <f>DAY(Dati[[#This Row],[Data]])</f>
        <v>8</v>
      </c>
      <c r="E678" s="29" t="str">
        <f>IF(DAY(Data!$C$21:$C$1327)&gt;0,TEXT(Data!$C$21:$C$1327, "mmmm"),"")</f>
        <v>maggio</v>
      </c>
      <c r="F678" s="29" t="str">
        <f>IF(DAY(Data!$C$21:$C$1327)&gt;0,TEXT(Data!$C$21:$C$1327, "aaaa"),"")</f>
        <v>2024</v>
      </c>
      <c r="I678" t="str">
        <f>IF(OR(H678=$B$5,H678=$B$6,H678=$B$7,H678=$B$8,H678=$B$9,H678=$B$10,H678=$B$11,H678=$B$12,H678=$B$13,H678=$B$14),SottocategorieUscite[[#Headers],[Fuori Casa]],IF(OR(H678=$C$5,H678=$C$6,H678=$C$7,H678=$C$8,H678=$C$9,H678=$C$10,H678=$C$11,H678=$C$12,H678=$C$13,H678=$C$14),SottocategorieUscite[[#Headers],[Varie Uscite]],IF(OR(H678=$D$5,H678=$D$6,H678=$D$7,H678=$D$8,H678=$D$9,H678=$D$10,H678=$D$11,H678=$D$12,H678=$D$13,H678=$D$14),SottocategorieUscite[[#Headers],[Personali]],IF(OR(H678=$E$5,H678=$E$6,H678=$E$7,H678=$E$8,H678=$E$9,H678=$E$10,H678=$E$11,H678=$E$12,H678=$E$13,H678=$E$14),SottocategorieUscite[[#Headers],[Lavoro]],IF(OR(H678=$F$5,H678=$F$6,H678=$F$7,H678=$F$8,H678=$F$9,H678=$F$10,H678=$F$11,H678=$F$12,H678=$F$13,H678=$F$14),SottocategorieUscite[[#Headers],[Casa]],IF(OR(H678=$G$5,H678=$G$6,H678=$G$7,H678=$G$8,H678=$G$9,H678=$G$10,H678=$G$11,H678=$G$12,H678=$G$13,H678=$G$14),SottocategorieUscite[[#Headers],[Utenze]],IF(OR(H678=$H$5,H678=$H$6,H678=$H$7,H678=$H$8,H678=$H$9,H678=$H$10,H678=$H$11,H678=$H$12,H678=$H$13,H678=$H$14),SottocategorieUscite[[#Headers],[Business Uscite]],IF(OR(H678=$I$5,H678=$I$6,H678=$I$7,H678=$I$8,H678=$I$9,H678=$I$10,H678=$I$11,H678=$I$12,H678=$I$13,H678=$I$14),SottocategorieUscite[[#Headers],[Banca]],IF(OR(H678=K$5,H678=K$6,H678=K$7,H678=K$8,H678=K$9,H678=K$10,H678=K$11,H678=K$12,H678=K$13,H678=K$14),SottocategorieEntrate[[#Headers],[Business Entrate]],IF(OR(H678=L$5,H678=L$6,H678=L$7,H678=L$8,H678=L$9,H678=L$10,H678=L$11,H678=L$12,H678=L$13,H678=L$14),SottocategorieEntrate[[#Headers],[Varie Entrate]],IF(OR(H678=M$5,H678=M$6,H678=M$7,H678=M$8,H678=M$9,H678=M$10,H678=M$11,H678=M$12,H678=M$13,H678=M$14),SottocategorieEntrate[[#Headers],[Real Estate]],IF(OR(H678=N$5,H678=N$6,H678=N$7,H678=N$8,H678=N$9,H678=N$10,H678=N$11,H678=N$12,H678=N$13,H678=N$14),SottocategorieEntrate[[#Headers],[Other]],""))))))))))))</f>
        <v/>
      </c>
      <c r="J678" t="str">
        <f>IF(OR(Dati[[#This Row],[Categoria]]="Bollette",Dati[[#This Row],[Categoria]]="Conto &amp; Carte BNL",Dati[[#This Row],[Categoria]]="Prelievo",Dati[[#This Row],[Categoria]]="Affitto",Dati[[#This Row],[Categoria]]="BNL(Interessi Creditori)"),"Carta",IF(Dati[[#This Row],[Categoria]]&lt;&gt;0,"Cash",""))</f>
        <v/>
      </c>
      <c r="K678" s="59" t="str">
        <f>IF(OR(Data!$I678=SottocategorieUscite[[#Headers],[Fuori Casa]],Data!$I678=SottocategorieUscite[[#Headers],[Varie Uscite]],Data!$I678=SottocategorieUscite[[#Headers],[Personali]],Data!$I678=SottocategorieUscite[[#Headers],[Lavoro]]),"$ -","")</f>
        <v/>
      </c>
      <c r="L678" s="59" t="str">
        <f>IF(OR(Data!$I678=SottocategorieUscite[[#Headers],[Casa]],Data!$I678=SottocategorieUscite[[#Headers],[Utenze]],Data!$I678=SottocategorieUscite[[#Headers],[Business Uscite]],Data!$I678=SottocategorieUscite[[#Headers],[Banca]]),"$ -","")</f>
        <v/>
      </c>
      <c r="M678" s="59" t="str">
        <f>IF(OR($I678&lt;&gt;SottocategorieUscite[[#Headers],[Fuori Casa]],$I678&lt;&gt;SottocategorieUscite[[#Headers],[Varie Uscite]],$I678&lt;&gt;SottocategorieUscite[[#Headers],[Personali]],$I678&lt;&gt;SottocategorieUscite[[#Headers],[Lavoro]],$I678&lt;&gt;SottocategorieUscite[[#Headers],[Casa]],$I678&lt;&gt;SottocategorieUscite[[#Headers],[Utenze]],$I678&lt;&gt;SottocategorieUscite[[#Headers],[Business Uscite]],$I678&lt;&gt;SottocategorieUscite[[#Headers],[Banca]]),"","$ -")</f>
        <v/>
      </c>
      <c r="N678" s="59" t="str">
        <f>IF(OR(Data!$I678=SottocategorieEntrate[[#Headers],[Business Entrate]],Data!$I678=SottocategorieEntrate[[#Headers],[Varie Entrate]]),"$ -","")</f>
        <v/>
      </c>
      <c r="O678" s="59" t="str">
        <f>IF(OR(Data!$I678=SottocategorieEntrate[[#Headers],[Real Estate]],SottocategorieEntrate[[#Headers],[Other]]),"$ -","")</f>
        <v/>
      </c>
      <c r="P678" s="59" t="str">
        <f>IF(OR($I678&lt;&gt;SottocategorieEntrate[[#Headers],[Business Entrate]],$I678&lt;&gt;SottocategorieEntrate[[#Headers],[Varie Entrate]],$I678&lt;&gt;SottocategorieEntrate[[#Headers],[Real Estate]],$I678&lt;&gt;SottocategorieEntrate[[#Headers],[Other]]),"","$ -")</f>
        <v/>
      </c>
      <c r="Q678" s="59" t="str">
        <f>IF(Dati[[#This Row],[Categoria]]="Prelievo","€ -","")</f>
        <v/>
      </c>
      <c r="R678" s="244"/>
      <c r="S678" s="59" t="str">
        <f>IF(Dati[[#This Row],[Categoria]]="Savings",0,"")</f>
        <v/>
      </c>
      <c r="T678" s="59"/>
      <c r="U678" s="59"/>
      <c r="V678" s="59"/>
      <c r="W678" s="59"/>
      <c r="X678" s="59"/>
      <c r="Y678" s="59"/>
      <c r="Z678" s="59"/>
      <c r="AA678" s="59"/>
      <c r="AB678" s="59"/>
      <c r="AC678" s="59"/>
      <c r="AD678" s="59"/>
      <c r="AE678" s="59"/>
      <c r="AF678" s="59"/>
      <c r="AG678" s="59"/>
      <c r="AH678" s="59"/>
      <c r="AI678" s="59" t="str">
        <f>IF(SUM(Dati[[#This Row],[Inv. Business]:[Inv. Cryptocurrency]])=0," ",SUM(Dati[[#This Row],[Inv. Business]:[Inv. Cryptocurrency]]))</f>
        <v xml:space="preserve"> </v>
      </c>
      <c r="AJ678" s="59"/>
      <c r="AK678" s="59"/>
      <c r="AL678" s="59"/>
      <c r="AM678" s="59"/>
    </row>
    <row r="679" spans="2:39" x14ac:dyDescent="0.35">
      <c r="B679" s="237">
        <f>ROW(651:651)</f>
        <v>651</v>
      </c>
      <c r="C679" s="49">
        <f>C677+1</f>
        <v>45420</v>
      </c>
      <c r="D679" s="29">
        <f>DAY(Dati[[#This Row],[Data]])</f>
        <v>8</v>
      </c>
      <c r="E679" s="29" t="str">
        <f>IF(DAY(Data!$C$21:$C$1327)&gt;0,TEXT(Data!$C$21:$C$1327, "mmmm"),"")</f>
        <v>maggio</v>
      </c>
      <c r="F679" s="29" t="str">
        <f>IF(DAY(Data!$C$21:$C$1327)&gt;0,TEXT(Data!$C$21:$C$1327, "aaaa"),"")</f>
        <v>2024</v>
      </c>
      <c r="I679" t="str">
        <f>IF(OR(H679=$B$5,H679=$B$6,H679=$B$7,H679=$B$8,H679=$B$9,H679=$B$10,H679=$B$11,H679=$B$12,H679=$B$13,H679=$B$14),SottocategorieUscite[[#Headers],[Fuori Casa]],IF(OR(H679=$C$5,H679=$C$6,H679=$C$7,H679=$C$8,H679=$C$9,H679=$C$10,H679=$C$11,H679=$C$12,H679=$C$13,H679=$C$14),SottocategorieUscite[[#Headers],[Varie Uscite]],IF(OR(H679=$D$5,H679=$D$6,H679=$D$7,H679=$D$8,H679=$D$9,H679=$D$10,H679=$D$11,H679=$D$12,H679=$D$13,H679=$D$14),SottocategorieUscite[[#Headers],[Personali]],IF(OR(H679=$E$5,H679=$E$6,H679=$E$7,H679=$E$8,H679=$E$9,H679=$E$10,H679=$E$11,H679=$E$12,H679=$E$13,H679=$E$14),SottocategorieUscite[[#Headers],[Lavoro]],IF(OR(H679=$F$5,H679=$F$6,H679=$F$7,H679=$F$8,H679=$F$9,H679=$F$10,H679=$F$11,H679=$F$12,H679=$F$13,H679=$F$14),SottocategorieUscite[[#Headers],[Casa]],IF(OR(H679=$G$5,H679=$G$6,H679=$G$7,H679=$G$8,H679=$G$9,H679=$G$10,H679=$G$11,H679=$G$12,H679=$G$13,H679=$G$14),SottocategorieUscite[[#Headers],[Utenze]],IF(OR(H679=$H$5,H679=$H$6,H679=$H$7,H679=$H$8,H679=$H$9,H679=$H$10,H679=$H$11,H679=$H$12,H679=$H$13,H679=$H$14),SottocategorieUscite[[#Headers],[Business Uscite]],IF(OR(H679=$I$5,H679=$I$6,H679=$I$7,H679=$I$8,H679=$I$9,H679=$I$10,H679=$I$11,H679=$I$12,H679=$I$13,H679=$I$14),SottocategorieUscite[[#Headers],[Banca]],IF(OR(H679=K$5,H679=K$6,H679=K$7,H679=K$8,H679=K$9,H679=K$10,H679=K$11,H679=K$12,H679=K$13,H679=K$14),SottocategorieEntrate[[#Headers],[Business Entrate]],IF(OR(H679=L$5,H679=L$6,H679=L$7,H679=L$8,H679=L$9,H679=L$10,H679=L$11,H679=L$12,H679=L$13,H679=L$14),SottocategorieEntrate[[#Headers],[Varie Entrate]],IF(OR(H679=M$5,H679=M$6,H679=M$7,H679=M$8,H679=M$9,H679=M$10,H679=M$11,H679=M$12,H679=M$13,H679=M$14),SottocategorieEntrate[[#Headers],[Real Estate]],IF(OR(H679=N$5,H679=N$6,H679=N$7,H679=N$8,H679=N$9,H679=N$10,H679=N$11,H679=N$12,H679=N$13,H679=N$14),SottocategorieEntrate[[#Headers],[Other]],""))))))))))))</f>
        <v/>
      </c>
      <c r="J679" t="str">
        <f>IF(OR(Dati[[#This Row],[Categoria]]="Bollette",Dati[[#This Row],[Categoria]]="Conto &amp; Carte BNL",Dati[[#This Row],[Categoria]]="Prelievo",Dati[[#This Row],[Categoria]]="Affitto",Dati[[#This Row],[Categoria]]="BNL(Interessi Creditori)"),"Carta",IF(Dati[[#This Row],[Categoria]]&lt;&gt;0,"Cash",""))</f>
        <v/>
      </c>
      <c r="K679" s="59" t="str">
        <f>IF(OR(Data!$I679=SottocategorieUscite[[#Headers],[Fuori Casa]],Data!$I679=SottocategorieUscite[[#Headers],[Varie Uscite]],Data!$I679=SottocategorieUscite[[#Headers],[Personali]],Data!$I679=SottocategorieUscite[[#Headers],[Lavoro]]),"$ -","")</f>
        <v/>
      </c>
      <c r="L679" s="59" t="str">
        <f>IF(OR(Data!$I679=SottocategorieUscite[[#Headers],[Casa]],Data!$I679=SottocategorieUscite[[#Headers],[Utenze]],Data!$I679=SottocategorieUscite[[#Headers],[Business Uscite]],Data!$I679=SottocategorieUscite[[#Headers],[Banca]]),"$ -","")</f>
        <v/>
      </c>
      <c r="M679" s="59" t="str">
        <f>IF(OR($I679&lt;&gt;SottocategorieUscite[[#Headers],[Fuori Casa]],$I679&lt;&gt;SottocategorieUscite[[#Headers],[Varie Uscite]],$I679&lt;&gt;SottocategorieUscite[[#Headers],[Personali]],$I679&lt;&gt;SottocategorieUscite[[#Headers],[Lavoro]],$I679&lt;&gt;SottocategorieUscite[[#Headers],[Casa]],$I679&lt;&gt;SottocategorieUscite[[#Headers],[Utenze]],$I679&lt;&gt;SottocategorieUscite[[#Headers],[Business Uscite]],$I679&lt;&gt;SottocategorieUscite[[#Headers],[Banca]]),"","$ -")</f>
        <v/>
      </c>
      <c r="N679" s="59" t="str">
        <f>IF(OR(Data!$I679=SottocategorieEntrate[[#Headers],[Business Entrate]],Data!$I679=SottocategorieEntrate[[#Headers],[Varie Entrate]]),"$ -","")</f>
        <v/>
      </c>
      <c r="O679" s="59" t="str">
        <f>IF(OR(Data!$I679=SottocategorieEntrate[[#Headers],[Real Estate]],SottocategorieEntrate[[#Headers],[Other]]),"$ -","")</f>
        <v/>
      </c>
      <c r="P679" s="59" t="str">
        <f>IF(OR($I679&lt;&gt;SottocategorieEntrate[[#Headers],[Business Entrate]],$I679&lt;&gt;SottocategorieEntrate[[#Headers],[Varie Entrate]],$I679&lt;&gt;SottocategorieEntrate[[#Headers],[Real Estate]],$I679&lt;&gt;SottocategorieEntrate[[#Headers],[Other]]),"","$ -")</f>
        <v/>
      </c>
      <c r="Q679" s="59" t="str">
        <f>IF(Dati[[#This Row],[Categoria]]="Prelievo","€ -","")</f>
        <v/>
      </c>
      <c r="R679" s="244"/>
      <c r="S679" s="59" t="str">
        <f>IF(Dati[[#This Row],[Categoria]]="Savings",0,"")</f>
        <v/>
      </c>
      <c r="T679" s="59"/>
      <c r="U679" s="59"/>
      <c r="V679" s="59"/>
      <c r="W679" s="59"/>
      <c r="X679" s="59"/>
      <c r="Y679" s="59"/>
      <c r="Z679" s="59"/>
      <c r="AA679" s="59"/>
      <c r="AB679" s="59"/>
      <c r="AC679" s="59"/>
      <c r="AD679" s="59"/>
      <c r="AE679" s="59"/>
      <c r="AF679" s="59"/>
      <c r="AG679" s="59"/>
      <c r="AH679" s="59"/>
      <c r="AI679" s="59" t="str">
        <f>IF(SUM(Dati[[#This Row],[Inv. Business]:[Inv. Cryptocurrency]])=0," ",SUM(Dati[[#This Row],[Inv. Business]:[Inv. Cryptocurrency]]))</f>
        <v xml:space="preserve"> </v>
      </c>
      <c r="AJ679" s="59"/>
      <c r="AK679" s="59"/>
      <c r="AL679" s="59"/>
      <c r="AM679" s="59"/>
    </row>
    <row r="680" spans="2:39" x14ac:dyDescent="0.35">
      <c r="B680" s="237">
        <f>ROW(651:651)</f>
        <v>651</v>
      </c>
      <c r="C680" s="49">
        <f>C677+1</f>
        <v>45420</v>
      </c>
      <c r="D680" s="29">
        <f>DAY(Dati[[#This Row],[Data]])</f>
        <v>8</v>
      </c>
      <c r="E680" s="29" t="str">
        <f>IF(DAY(Data!$C$21:$C$1327)&gt;0,TEXT(Data!$C$21:$C$1327, "mmmm"),"")</f>
        <v>maggio</v>
      </c>
      <c r="F680" s="29" t="str">
        <f>IF(DAY(Data!$C$21:$C$1327)&gt;0,TEXT(Data!$C$21:$C$1327, "aaaa"),"")</f>
        <v>2024</v>
      </c>
      <c r="I680" t="str">
        <f>IF(OR(H680=$B$5,H680=$B$6,H680=$B$7,H680=$B$8,H680=$B$9,H680=$B$10,H680=$B$11,H680=$B$12,H680=$B$13,H680=$B$14),SottocategorieUscite[[#Headers],[Fuori Casa]],IF(OR(H680=$C$5,H680=$C$6,H680=$C$7,H680=$C$8,H680=$C$9,H680=$C$10,H680=$C$11,H680=$C$12,H680=$C$13,H680=$C$14),SottocategorieUscite[[#Headers],[Varie Uscite]],IF(OR(H680=$D$5,H680=$D$6,H680=$D$7,H680=$D$8,H680=$D$9,H680=$D$10,H680=$D$11,H680=$D$12,H680=$D$13,H680=$D$14),SottocategorieUscite[[#Headers],[Personali]],IF(OR(H680=$E$5,H680=$E$6,H680=$E$7,H680=$E$8,H680=$E$9,H680=$E$10,H680=$E$11,H680=$E$12,H680=$E$13,H680=$E$14),SottocategorieUscite[[#Headers],[Lavoro]],IF(OR(H680=$F$5,H680=$F$6,H680=$F$7,H680=$F$8,H680=$F$9,H680=$F$10,H680=$F$11,H680=$F$12,H680=$F$13,H680=$F$14),SottocategorieUscite[[#Headers],[Casa]],IF(OR(H680=$G$5,H680=$G$6,H680=$G$7,H680=$G$8,H680=$G$9,H680=$G$10,H680=$G$11,H680=$G$12,H680=$G$13,H680=$G$14),SottocategorieUscite[[#Headers],[Utenze]],IF(OR(H680=$H$5,H680=$H$6,H680=$H$7,H680=$H$8,H680=$H$9,H680=$H$10,H680=$H$11,H680=$H$12,H680=$H$13,H680=$H$14),SottocategorieUscite[[#Headers],[Business Uscite]],IF(OR(H680=$I$5,H680=$I$6,H680=$I$7,H680=$I$8,H680=$I$9,H680=$I$10,H680=$I$11,H680=$I$12,H680=$I$13,H680=$I$14),SottocategorieUscite[[#Headers],[Banca]],IF(OR(H680=K$5,H680=K$6,H680=K$7,H680=K$8,H680=K$9,H680=K$10,H680=K$11,H680=K$12,H680=K$13,H680=K$14),SottocategorieEntrate[[#Headers],[Business Entrate]],IF(OR(H680=L$5,H680=L$6,H680=L$7,H680=L$8,H680=L$9,H680=L$10,H680=L$11,H680=L$12,H680=L$13,H680=L$14),SottocategorieEntrate[[#Headers],[Varie Entrate]],IF(OR(H680=M$5,H680=M$6,H680=M$7,H680=M$8,H680=M$9,H680=M$10,H680=M$11,H680=M$12,H680=M$13,H680=M$14),SottocategorieEntrate[[#Headers],[Real Estate]],IF(OR(H680=N$5,H680=N$6,H680=N$7,H680=N$8,H680=N$9,H680=N$10,H680=N$11,H680=N$12,H680=N$13,H680=N$14),SottocategorieEntrate[[#Headers],[Other]],""))))))))))))</f>
        <v/>
      </c>
      <c r="J680" t="str">
        <f>IF(OR(Dati[[#This Row],[Categoria]]="Bollette",Dati[[#This Row],[Categoria]]="Conto &amp; Carte BNL",Dati[[#This Row],[Categoria]]="Prelievo",Dati[[#This Row],[Categoria]]="Affitto",Dati[[#This Row],[Categoria]]="BNL(Interessi Creditori)"),"Carta",IF(Dati[[#This Row],[Categoria]]&lt;&gt;0,"Cash",""))</f>
        <v/>
      </c>
      <c r="K680" s="59" t="str">
        <f>IF(OR(Data!$I680=SottocategorieUscite[[#Headers],[Fuori Casa]],Data!$I680=SottocategorieUscite[[#Headers],[Varie Uscite]],Data!$I680=SottocategorieUscite[[#Headers],[Personali]],Data!$I680=SottocategorieUscite[[#Headers],[Lavoro]]),"$ -","")</f>
        <v/>
      </c>
      <c r="L680" s="59" t="str">
        <f>IF(OR(Data!$I680=SottocategorieUscite[[#Headers],[Casa]],Data!$I680=SottocategorieUscite[[#Headers],[Utenze]],Data!$I680=SottocategorieUscite[[#Headers],[Business Uscite]],Data!$I680=SottocategorieUscite[[#Headers],[Banca]]),"$ -","")</f>
        <v/>
      </c>
      <c r="M680" s="59" t="str">
        <f>IF(OR($I680&lt;&gt;SottocategorieUscite[[#Headers],[Fuori Casa]],$I680&lt;&gt;SottocategorieUscite[[#Headers],[Varie Uscite]],$I680&lt;&gt;SottocategorieUscite[[#Headers],[Personali]],$I680&lt;&gt;SottocategorieUscite[[#Headers],[Lavoro]],$I680&lt;&gt;SottocategorieUscite[[#Headers],[Casa]],$I680&lt;&gt;SottocategorieUscite[[#Headers],[Utenze]],$I680&lt;&gt;SottocategorieUscite[[#Headers],[Business Uscite]],$I680&lt;&gt;SottocategorieUscite[[#Headers],[Banca]]),"","$ -")</f>
        <v/>
      </c>
      <c r="N680" s="59" t="str">
        <f>IF(OR(Data!$I680=SottocategorieEntrate[[#Headers],[Business Entrate]],Data!$I680=SottocategorieEntrate[[#Headers],[Varie Entrate]]),"$ -","")</f>
        <v/>
      </c>
      <c r="O680" s="59" t="str">
        <f>IF(OR(Data!$I680=SottocategorieEntrate[[#Headers],[Real Estate]],SottocategorieEntrate[[#Headers],[Other]]),"$ -","")</f>
        <v/>
      </c>
      <c r="P680" s="59" t="str">
        <f>IF(OR($I680&lt;&gt;SottocategorieEntrate[[#Headers],[Business Entrate]],$I680&lt;&gt;SottocategorieEntrate[[#Headers],[Varie Entrate]],$I680&lt;&gt;SottocategorieEntrate[[#Headers],[Real Estate]],$I680&lt;&gt;SottocategorieEntrate[[#Headers],[Other]]),"","$ -")</f>
        <v/>
      </c>
      <c r="Q680" s="59" t="str">
        <f>IF(Dati[[#This Row],[Categoria]]="Prelievo","€ -","")</f>
        <v/>
      </c>
      <c r="R680" s="244"/>
      <c r="S680" s="59" t="str">
        <f>IF(Dati[[#This Row],[Categoria]]="Savings",0,"")</f>
        <v/>
      </c>
      <c r="T680" s="59"/>
      <c r="U680" s="59"/>
      <c r="V680" s="59"/>
      <c r="W680" s="59"/>
      <c r="X680" s="59"/>
      <c r="Y680" s="59"/>
      <c r="Z680" s="59"/>
      <c r="AA680" s="59"/>
      <c r="AB680" s="59"/>
      <c r="AC680" s="59"/>
      <c r="AD680" s="59"/>
      <c r="AE680" s="59"/>
      <c r="AF680" s="59"/>
      <c r="AG680" s="59"/>
      <c r="AH680" s="59"/>
      <c r="AI680" s="59" t="str">
        <f>IF(SUM(Dati[[#This Row],[Inv. Business]:[Inv. Cryptocurrency]])=0," ",SUM(Dati[[#This Row],[Inv. Business]:[Inv. Cryptocurrency]]))</f>
        <v xml:space="preserve"> </v>
      </c>
      <c r="AJ680" s="59"/>
      <c r="AK680" s="59"/>
      <c r="AL680" s="59"/>
      <c r="AM680" s="59"/>
    </row>
    <row r="681" spans="2:39" x14ac:dyDescent="0.35">
      <c r="B681" s="237">
        <f>ROW(651:651)</f>
        <v>651</v>
      </c>
      <c r="C681" s="49">
        <f>C677+1</f>
        <v>45420</v>
      </c>
      <c r="D681" s="29">
        <f>DAY(Dati[[#This Row],[Data]])</f>
        <v>8</v>
      </c>
      <c r="E681" s="29" t="str">
        <f>IF(DAY(Data!$C$21:$C$1327)&gt;0,TEXT(Data!$C$21:$C$1327, "mmmm"),"")</f>
        <v>maggio</v>
      </c>
      <c r="F681" s="29" t="str">
        <f>IF(DAY(Data!$C$21:$C$1327)&gt;0,TEXT(Data!$C$21:$C$1327, "aaaa"),"")</f>
        <v>2024</v>
      </c>
      <c r="I681" t="str">
        <f>IF(OR(H681=$B$5,H681=$B$6,H681=$B$7,H681=$B$8,H681=$B$9,H681=$B$10,H681=$B$11,H681=$B$12,H681=$B$13,H681=$B$14),SottocategorieUscite[[#Headers],[Fuori Casa]],IF(OR(H681=$C$5,H681=$C$6,H681=$C$7,H681=$C$8,H681=$C$9,H681=$C$10,H681=$C$11,H681=$C$12,H681=$C$13,H681=$C$14),SottocategorieUscite[[#Headers],[Varie Uscite]],IF(OR(H681=$D$5,H681=$D$6,H681=$D$7,H681=$D$8,H681=$D$9,H681=$D$10,H681=$D$11,H681=$D$12,H681=$D$13,H681=$D$14),SottocategorieUscite[[#Headers],[Personali]],IF(OR(H681=$E$5,H681=$E$6,H681=$E$7,H681=$E$8,H681=$E$9,H681=$E$10,H681=$E$11,H681=$E$12,H681=$E$13,H681=$E$14),SottocategorieUscite[[#Headers],[Lavoro]],IF(OR(H681=$F$5,H681=$F$6,H681=$F$7,H681=$F$8,H681=$F$9,H681=$F$10,H681=$F$11,H681=$F$12,H681=$F$13,H681=$F$14),SottocategorieUscite[[#Headers],[Casa]],IF(OR(H681=$G$5,H681=$G$6,H681=$G$7,H681=$G$8,H681=$G$9,H681=$G$10,H681=$G$11,H681=$G$12,H681=$G$13,H681=$G$14),SottocategorieUscite[[#Headers],[Utenze]],IF(OR(H681=$H$5,H681=$H$6,H681=$H$7,H681=$H$8,H681=$H$9,H681=$H$10,H681=$H$11,H681=$H$12,H681=$H$13,H681=$H$14),SottocategorieUscite[[#Headers],[Business Uscite]],IF(OR(H681=$I$5,H681=$I$6,H681=$I$7,H681=$I$8,H681=$I$9,H681=$I$10,H681=$I$11,H681=$I$12,H681=$I$13,H681=$I$14),SottocategorieUscite[[#Headers],[Banca]],IF(OR(H681=K$5,H681=K$6,H681=K$7,H681=K$8,H681=K$9,H681=K$10,H681=K$11,H681=K$12,H681=K$13,H681=K$14),SottocategorieEntrate[[#Headers],[Business Entrate]],IF(OR(H681=L$5,H681=L$6,H681=L$7,H681=L$8,H681=L$9,H681=L$10,H681=L$11,H681=L$12,H681=L$13,H681=L$14),SottocategorieEntrate[[#Headers],[Varie Entrate]],IF(OR(H681=M$5,H681=M$6,H681=M$7,H681=M$8,H681=M$9,H681=M$10,H681=M$11,H681=M$12,H681=M$13,H681=M$14),SottocategorieEntrate[[#Headers],[Real Estate]],IF(OR(H681=N$5,H681=N$6,H681=N$7,H681=N$8,H681=N$9,H681=N$10,H681=N$11,H681=N$12,H681=N$13,H681=N$14),SottocategorieEntrate[[#Headers],[Other]],""))))))))))))</f>
        <v/>
      </c>
      <c r="J681" t="str">
        <f>IF(OR(Dati[[#This Row],[Categoria]]="Bollette",Dati[[#This Row],[Categoria]]="Conto &amp; Carte BNL",Dati[[#This Row],[Categoria]]="Prelievo",Dati[[#This Row],[Categoria]]="Affitto",Dati[[#This Row],[Categoria]]="BNL(Interessi Creditori)"),"Carta",IF(Dati[[#This Row],[Categoria]]&lt;&gt;0,"Cash",""))</f>
        <v/>
      </c>
      <c r="K681" s="59" t="str">
        <f>IF(OR(Data!$I681=SottocategorieUscite[[#Headers],[Fuori Casa]],Data!$I681=SottocategorieUscite[[#Headers],[Varie Uscite]],Data!$I681=SottocategorieUscite[[#Headers],[Personali]],Data!$I681=SottocategorieUscite[[#Headers],[Lavoro]]),"$ -","")</f>
        <v/>
      </c>
      <c r="L681" s="59" t="str">
        <f>IF(OR(Data!$I681=SottocategorieUscite[[#Headers],[Casa]],Data!$I681=SottocategorieUscite[[#Headers],[Utenze]],Data!$I681=SottocategorieUscite[[#Headers],[Business Uscite]],Data!$I681=SottocategorieUscite[[#Headers],[Banca]]),"$ -","")</f>
        <v/>
      </c>
      <c r="M681" s="59" t="str">
        <f>IF(OR($I681&lt;&gt;SottocategorieUscite[[#Headers],[Fuori Casa]],$I681&lt;&gt;SottocategorieUscite[[#Headers],[Varie Uscite]],$I681&lt;&gt;SottocategorieUscite[[#Headers],[Personali]],$I681&lt;&gt;SottocategorieUscite[[#Headers],[Lavoro]],$I681&lt;&gt;SottocategorieUscite[[#Headers],[Casa]],$I681&lt;&gt;SottocategorieUscite[[#Headers],[Utenze]],$I681&lt;&gt;SottocategorieUscite[[#Headers],[Business Uscite]],$I681&lt;&gt;SottocategorieUscite[[#Headers],[Banca]]),"","$ -")</f>
        <v/>
      </c>
      <c r="N681" s="59" t="str">
        <f>IF(OR(Data!$I681=SottocategorieEntrate[[#Headers],[Business Entrate]],Data!$I681=SottocategorieEntrate[[#Headers],[Varie Entrate]]),"$ -","")</f>
        <v/>
      </c>
      <c r="O681" s="59" t="str">
        <f>IF(OR(Data!$I681=SottocategorieEntrate[[#Headers],[Real Estate]],SottocategorieEntrate[[#Headers],[Other]]),"$ -","")</f>
        <v/>
      </c>
      <c r="P681" s="59" t="str">
        <f>IF(OR($I681&lt;&gt;SottocategorieEntrate[[#Headers],[Business Entrate]],$I681&lt;&gt;SottocategorieEntrate[[#Headers],[Varie Entrate]],$I681&lt;&gt;SottocategorieEntrate[[#Headers],[Real Estate]],$I681&lt;&gt;SottocategorieEntrate[[#Headers],[Other]]),"","$ -")</f>
        <v/>
      </c>
      <c r="Q681" s="59" t="str">
        <f>IF(Dati[[#This Row],[Categoria]]="Prelievo","€ -","")</f>
        <v/>
      </c>
      <c r="R681" s="244"/>
      <c r="S681" s="59" t="str">
        <f>IF(Dati[[#This Row],[Categoria]]="Savings",0,"")</f>
        <v/>
      </c>
      <c r="T681" s="59"/>
      <c r="U681" s="59"/>
      <c r="V681" s="59"/>
      <c r="W681" s="59"/>
      <c r="X681" s="59"/>
      <c r="Y681" s="59"/>
      <c r="Z681" s="59"/>
      <c r="AA681" s="59"/>
      <c r="AB681" s="59"/>
      <c r="AC681" s="59"/>
      <c r="AD681" s="59"/>
      <c r="AE681" s="59"/>
      <c r="AF681" s="59"/>
      <c r="AG681" s="59"/>
      <c r="AH681" s="59"/>
      <c r="AI681" s="59" t="str">
        <f>IF(SUM(Dati[[#This Row],[Inv. Business]:[Inv. Cryptocurrency]])=0," ",SUM(Dati[[#This Row],[Inv. Business]:[Inv. Cryptocurrency]]))</f>
        <v xml:space="preserve"> </v>
      </c>
      <c r="AJ681" s="59"/>
      <c r="AK681" s="59"/>
      <c r="AL681" s="59"/>
      <c r="AM681" s="59"/>
    </row>
    <row r="682" spans="2:39" x14ac:dyDescent="0.35">
      <c r="B682" s="237">
        <f>ROW(651:651)</f>
        <v>651</v>
      </c>
      <c r="C682" s="49">
        <f>C677+1</f>
        <v>45420</v>
      </c>
      <c r="D682" s="29">
        <f>DAY(Dati[[#This Row],[Data]])</f>
        <v>8</v>
      </c>
      <c r="E682" s="29" t="str">
        <f>IF(DAY(Data!$C$21:$C$1327)&gt;0,TEXT(Data!$C$21:$C$1327, "mmmm"),"")</f>
        <v>maggio</v>
      </c>
      <c r="F682" s="29" t="str">
        <f>IF(DAY(Data!$C$21:$C$1327)&gt;0,TEXT(Data!$C$21:$C$1327, "aaaa"),"")</f>
        <v>2024</v>
      </c>
      <c r="I682" t="str">
        <f>IF(OR(H682=$B$5,H682=$B$6,H682=$B$7,H682=$B$8,H682=$B$9,H682=$B$10,H682=$B$11,H682=$B$12,H682=$B$13,H682=$B$14),SottocategorieUscite[[#Headers],[Fuori Casa]],IF(OR(H682=$C$5,H682=$C$6,H682=$C$7,H682=$C$8,H682=$C$9,H682=$C$10,H682=$C$11,H682=$C$12,H682=$C$13,H682=$C$14),SottocategorieUscite[[#Headers],[Varie Uscite]],IF(OR(H682=$D$5,H682=$D$6,H682=$D$7,H682=$D$8,H682=$D$9,H682=$D$10,H682=$D$11,H682=$D$12,H682=$D$13,H682=$D$14),SottocategorieUscite[[#Headers],[Personali]],IF(OR(H682=$E$5,H682=$E$6,H682=$E$7,H682=$E$8,H682=$E$9,H682=$E$10,H682=$E$11,H682=$E$12,H682=$E$13,H682=$E$14),SottocategorieUscite[[#Headers],[Lavoro]],IF(OR(H682=$F$5,H682=$F$6,H682=$F$7,H682=$F$8,H682=$F$9,H682=$F$10,H682=$F$11,H682=$F$12,H682=$F$13,H682=$F$14),SottocategorieUscite[[#Headers],[Casa]],IF(OR(H682=$G$5,H682=$G$6,H682=$G$7,H682=$G$8,H682=$G$9,H682=$G$10,H682=$G$11,H682=$G$12,H682=$G$13,H682=$G$14),SottocategorieUscite[[#Headers],[Utenze]],IF(OR(H682=$H$5,H682=$H$6,H682=$H$7,H682=$H$8,H682=$H$9,H682=$H$10,H682=$H$11,H682=$H$12,H682=$H$13,H682=$H$14),SottocategorieUscite[[#Headers],[Business Uscite]],IF(OR(H682=$I$5,H682=$I$6,H682=$I$7,H682=$I$8,H682=$I$9,H682=$I$10,H682=$I$11,H682=$I$12,H682=$I$13,H682=$I$14),SottocategorieUscite[[#Headers],[Banca]],IF(OR(H682=K$5,H682=K$6,H682=K$7,H682=K$8,H682=K$9,H682=K$10,H682=K$11,H682=K$12,H682=K$13,H682=K$14),SottocategorieEntrate[[#Headers],[Business Entrate]],IF(OR(H682=L$5,H682=L$6,H682=L$7,H682=L$8,H682=L$9,H682=L$10,H682=L$11,H682=L$12,H682=L$13,H682=L$14),SottocategorieEntrate[[#Headers],[Varie Entrate]],IF(OR(H682=M$5,H682=M$6,H682=M$7,H682=M$8,H682=M$9,H682=M$10,H682=M$11,H682=M$12,H682=M$13,H682=M$14),SottocategorieEntrate[[#Headers],[Real Estate]],IF(OR(H682=N$5,H682=N$6,H682=N$7,H682=N$8,H682=N$9,H682=N$10,H682=N$11,H682=N$12,H682=N$13,H682=N$14),SottocategorieEntrate[[#Headers],[Other]],""))))))))))))</f>
        <v/>
      </c>
      <c r="J682" t="str">
        <f>IF(OR(Dati[[#This Row],[Categoria]]="Bollette",Dati[[#This Row],[Categoria]]="Conto &amp; Carte BNL",Dati[[#This Row],[Categoria]]="Prelievo",Dati[[#This Row],[Categoria]]="Affitto",Dati[[#This Row],[Categoria]]="BNL(Interessi Creditori)"),"Carta",IF(Dati[[#This Row],[Categoria]]&lt;&gt;0,"Cash",""))</f>
        <v/>
      </c>
      <c r="K682" s="59" t="str">
        <f>IF(OR(Data!$I682=SottocategorieUscite[[#Headers],[Fuori Casa]],Data!$I682=SottocategorieUscite[[#Headers],[Varie Uscite]],Data!$I682=SottocategorieUscite[[#Headers],[Personali]],Data!$I682=SottocategorieUscite[[#Headers],[Lavoro]]),"$ -","")</f>
        <v/>
      </c>
      <c r="L682" s="59" t="str">
        <f>IF(OR(Data!$I682=SottocategorieUscite[[#Headers],[Casa]],Data!$I682=SottocategorieUscite[[#Headers],[Utenze]],Data!$I682=SottocategorieUscite[[#Headers],[Business Uscite]],Data!$I682=SottocategorieUscite[[#Headers],[Banca]]),"$ -","")</f>
        <v/>
      </c>
      <c r="M682" s="59" t="str">
        <f>IF(OR($I682&lt;&gt;SottocategorieUscite[[#Headers],[Fuori Casa]],$I682&lt;&gt;SottocategorieUscite[[#Headers],[Varie Uscite]],$I682&lt;&gt;SottocategorieUscite[[#Headers],[Personali]],$I682&lt;&gt;SottocategorieUscite[[#Headers],[Lavoro]],$I682&lt;&gt;SottocategorieUscite[[#Headers],[Casa]],$I682&lt;&gt;SottocategorieUscite[[#Headers],[Utenze]],$I682&lt;&gt;SottocategorieUscite[[#Headers],[Business Uscite]],$I682&lt;&gt;SottocategorieUscite[[#Headers],[Banca]]),"","$ -")</f>
        <v/>
      </c>
      <c r="N682" s="59" t="str">
        <f>IF(OR(Data!$I682=SottocategorieEntrate[[#Headers],[Business Entrate]],Data!$I682=SottocategorieEntrate[[#Headers],[Varie Entrate]]),"$ -","")</f>
        <v/>
      </c>
      <c r="O682" s="59" t="str">
        <f>IF(OR(Data!$I682=SottocategorieEntrate[[#Headers],[Real Estate]],SottocategorieEntrate[[#Headers],[Other]]),"$ -","")</f>
        <v/>
      </c>
      <c r="P682" s="59" t="str">
        <f>IF(OR($I682&lt;&gt;SottocategorieEntrate[[#Headers],[Business Entrate]],$I682&lt;&gt;SottocategorieEntrate[[#Headers],[Varie Entrate]],$I682&lt;&gt;SottocategorieEntrate[[#Headers],[Real Estate]],$I682&lt;&gt;SottocategorieEntrate[[#Headers],[Other]]),"","$ -")</f>
        <v/>
      </c>
      <c r="Q682" s="59" t="str">
        <f>IF(Dati[[#This Row],[Categoria]]="Prelievo","€ -","")</f>
        <v/>
      </c>
      <c r="R682" s="244"/>
      <c r="S682" s="59" t="str">
        <f>IF(Dati[[#This Row],[Categoria]]="Savings",0,"")</f>
        <v/>
      </c>
      <c r="T682" s="59"/>
      <c r="U682" s="59"/>
      <c r="V682" s="59"/>
      <c r="W682" s="59"/>
      <c r="X682" s="59"/>
      <c r="Y682" s="59"/>
      <c r="Z682" s="59"/>
      <c r="AA682" s="59"/>
      <c r="AB682" s="59"/>
      <c r="AC682" s="59"/>
      <c r="AD682" s="59"/>
      <c r="AE682" s="59"/>
      <c r="AF682" s="59"/>
      <c r="AG682" s="59"/>
      <c r="AH682" s="59"/>
      <c r="AI682" s="59" t="str">
        <f>IF(SUM(Dati[[#This Row],[Inv. Business]:[Inv. Cryptocurrency]])=0," ",SUM(Dati[[#This Row],[Inv. Business]:[Inv. Cryptocurrency]]))</f>
        <v xml:space="preserve"> </v>
      </c>
      <c r="AJ682" s="59"/>
      <c r="AK682" s="59"/>
      <c r="AL682" s="59"/>
      <c r="AM682" s="59"/>
    </row>
    <row r="683" spans="2:39" x14ac:dyDescent="0.35">
      <c r="B683" s="237">
        <f t="shared" ref="B683:B685" si="32">ROW(651:651)</f>
        <v>651</v>
      </c>
      <c r="C683" s="49">
        <f>C677+1</f>
        <v>45420</v>
      </c>
      <c r="D683" s="29">
        <f>DAY(Dati[[#This Row],[Data]])</f>
        <v>8</v>
      </c>
      <c r="E683" s="29" t="str">
        <f>IF(DAY(Data!$C$21:$C$1327)&gt;0,TEXT(Data!$C$21:$C$1327, "mmmm"),"")</f>
        <v>maggio</v>
      </c>
      <c r="F683" s="29" t="str">
        <f>IF(DAY(Data!$C$21:$C$1327)&gt;0,TEXT(Data!$C$21:$C$1327, "aaaa"),"")</f>
        <v>2024</v>
      </c>
      <c r="I683" t="str">
        <f>IF(OR(H683=$B$5,H683=$B$6,H683=$B$7,H683=$B$8,H683=$B$9,H683=$B$10,H683=$B$11,H683=$B$12,H683=$B$13,H683=$B$14),SottocategorieUscite[[#Headers],[Fuori Casa]],IF(OR(H683=$C$5,H683=$C$6,H683=$C$7,H683=$C$8,H683=$C$9,H683=$C$10,H683=$C$11,H683=$C$12,H683=$C$13,H683=$C$14),SottocategorieUscite[[#Headers],[Varie Uscite]],IF(OR(H683=$D$5,H683=$D$6,H683=$D$7,H683=$D$8,H683=$D$9,H683=$D$10,H683=$D$11,H683=$D$12,H683=$D$13,H683=$D$14),SottocategorieUscite[[#Headers],[Personali]],IF(OR(H683=$E$5,H683=$E$6,H683=$E$7,H683=$E$8,H683=$E$9,H683=$E$10,H683=$E$11,H683=$E$12,H683=$E$13,H683=$E$14),SottocategorieUscite[[#Headers],[Lavoro]],IF(OR(H683=$F$5,H683=$F$6,H683=$F$7,H683=$F$8,H683=$F$9,H683=$F$10,H683=$F$11,H683=$F$12,H683=$F$13,H683=$F$14),SottocategorieUscite[[#Headers],[Casa]],IF(OR(H683=$G$5,H683=$G$6,H683=$G$7,H683=$G$8,H683=$G$9,H683=$G$10,H683=$G$11,H683=$G$12,H683=$G$13,H683=$G$14),SottocategorieUscite[[#Headers],[Utenze]],IF(OR(H683=$H$5,H683=$H$6,H683=$H$7,H683=$H$8,H683=$H$9,H683=$H$10,H683=$H$11,H683=$H$12,H683=$H$13,H683=$H$14),SottocategorieUscite[[#Headers],[Business Uscite]],IF(OR(H683=$I$5,H683=$I$6,H683=$I$7,H683=$I$8,H683=$I$9,H683=$I$10,H683=$I$11,H683=$I$12,H683=$I$13,H683=$I$14),SottocategorieUscite[[#Headers],[Banca]],IF(OR(H683=K$5,H683=K$6,H683=K$7,H683=K$8,H683=K$9,H683=K$10,H683=K$11,H683=K$12,H683=K$13,H683=K$14),SottocategorieEntrate[[#Headers],[Business Entrate]],IF(OR(H683=L$5,H683=L$6,H683=L$7,H683=L$8,H683=L$9,H683=L$10,H683=L$11,H683=L$12,H683=L$13,H683=L$14),SottocategorieEntrate[[#Headers],[Varie Entrate]],IF(OR(H683=M$5,H683=M$6,H683=M$7,H683=M$8,H683=M$9,H683=M$10,H683=M$11,H683=M$12,H683=M$13,H683=M$14),SottocategorieEntrate[[#Headers],[Real Estate]],IF(OR(H683=N$5,H683=N$6,H683=N$7,H683=N$8,H683=N$9,H683=N$10,H683=N$11,H683=N$12,H683=N$13,H683=N$14),SottocategorieEntrate[[#Headers],[Other]],""))))))))))))</f>
        <v/>
      </c>
      <c r="J683" t="str">
        <f>IF(OR(Dati[[#This Row],[Categoria]]="Bollette",Dati[[#This Row],[Categoria]]="Conto &amp; Carte BNL",Dati[[#This Row],[Categoria]]="Prelievo",Dati[[#This Row],[Categoria]]="Affitto",Dati[[#This Row],[Categoria]]="BNL(Interessi Creditori)"),"Carta",IF(Dati[[#This Row],[Categoria]]&lt;&gt;0,"Cash",""))</f>
        <v/>
      </c>
      <c r="K683" s="59" t="str">
        <f>IF(OR(Data!$I683=SottocategorieUscite[[#Headers],[Fuori Casa]],Data!$I683=SottocategorieUscite[[#Headers],[Varie Uscite]],Data!$I683=SottocategorieUscite[[#Headers],[Personali]],Data!$I683=SottocategorieUscite[[#Headers],[Lavoro]]),"$ -","")</f>
        <v/>
      </c>
      <c r="L683" s="59" t="str">
        <f>IF(OR(Data!$I683=SottocategorieUscite[[#Headers],[Casa]],Data!$I683=SottocategorieUscite[[#Headers],[Utenze]],Data!$I683=SottocategorieUscite[[#Headers],[Business Uscite]],Data!$I683=SottocategorieUscite[[#Headers],[Banca]]),"$ -","")</f>
        <v/>
      </c>
      <c r="M683" s="59" t="str">
        <f>IF(OR($I683&lt;&gt;SottocategorieUscite[[#Headers],[Fuori Casa]],$I683&lt;&gt;SottocategorieUscite[[#Headers],[Varie Uscite]],$I683&lt;&gt;SottocategorieUscite[[#Headers],[Personali]],$I683&lt;&gt;SottocategorieUscite[[#Headers],[Lavoro]],$I683&lt;&gt;SottocategorieUscite[[#Headers],[Casa]],$I683&lt;&gt;SottocategorieUscite[[#Headers],[Utenze]],$I683&lt;&gt;SottocategorieUscite[[#Headers],[Business Uscite]],$I683&lt;&gt;SottocategorieUscite[[#Headers],[Banca]]),"","$ -")</f>
        <v/>
      </c>
      <c r="N683" s="59" t="str">
        <f>IF(OR(Data!$I683=SottocategorieEntrate[[#Headers],[Business Entrate]],Data!$I683=SottocategorieEntrate[[#Headers],[Varie Entrate]]),"$ -","")</f>
        <v/>
      </c>
      <c r="O683" s="59" t="str">
        <f>IF(OR(Data!$I683=SottocategorieEntrate[[#Headers],[Real Estate]],SottocategorieEntrate[[#Headers],[Other]]),"$ -","")</f>
        <v/>
      </c>
      <c r="P683" s="59" t="str">
        <f>IF(OR($I683&lt;&gt;SottocategorieEntrate[[#Headers],[Business Entrate]],$I683&lt;&gt;SottocategorieEntrate[[#Headers],[Varie Entrate]],$I683&lt;&gt;SottocategorieEntrate[[#Headers],[Real Estate]],$I683&lt;&gt;SottocategorieEntrate[[#Headers],[Other]]),"","$ -")</f>
        <v/>
      </c>
      <c r="Q683" s="59" t="str">
        <f>IF(Dati[[#This Row],[Categoria]]="Prelievo","€ -","")</f>
        <v/>
      </c>
      <c r="R683" s="244"/>
      <c r="S683" s="59" t="str">
        <f>IF(Dati[[#This Row],[Categoria]]="Savings",0,"")</f>
        <v/>
      </c>
      <c r="T683" s="59"/>
      <c r="U683" s="59"/>
      <c r="V683" s="59"/>
      <c r="W683" s="59"/>
      <c r="X683" s="59"/>
      <c r="Y683" s="59"/>
      <c r="Z683" s="59"/>
      <c r="AA683" s="59"/>
      <c r="AB683" s="59"/>
      <c r="AC683" s="59"/>
      <c r="AD683" s="59"/>
      <c r="AE683" s="59"/>
      <c r="AF683" s="59"/>
      <c r="AG683" s="59"/>
      <c r="AH683" s="59"/>
      <c r="AI683" s="59" t="str">
        <f>IF(SUM(Dati[[#This Row],[Inv. Business]:[Inv. Cryptocurrency]])=0," ",SUM(Dati[[#This Row],[Inv. Business]:[Inv. Cryptocurrency]]))</f>
        <v xml:space="preserve"> </v>
      </c>
      <c r="AJ683" s="59"/>
      <c r="AK683" s="59"/>
      <c r="AL683" s="59"/>
      <c r="AM683" s="59"/>
    </row>
    <row r="684" spans="2:39" x14ac:dyDescent="0.35">
      <c r="B684" s="237">
        <f t="shared" si="32"/>
        <v>652</v>
      </c>
      <c r="C684" s="49">
        <f>C678+1</f>
        <v>45421</v>
      </c>
      <c r="D684" s="29">
        <f>DAY(Dati[[#This Row],[Data]])</f>
        <v>9</v>
      </c>
      <c r="E684" s="29" t="str">
        <f>IF(DAY(Data!$C$21:$C$1327)&gt;0,TEXT(Data!$C$21:$C$1327, "mmmm"),"")</f>
        <v>maggio</v>
      </c>
      <c r="F684" s="29" t="str">
        <f>IF(DAY(Data!$C$21:$C$1327)&gt;0,TEXT(Data!$C$21:$C$1327, "aaaa"),"")</f>
        <v>2024</v>
      </c>
      <c r="I684" t="str">
        <f>IF(OR(H684=$B$5,H684=$B$6,H684=$B$7,H684=$B$8,H684=$B$9,H684=$B$10,H684=$B$11,H684=$B$12,H684=$B$13,H684=$B$14),SottocategorieUscite[[#Headers],[Fuori Casa]],IF(OR(H684=$C$5,H684=$C$6,H684=$C$7,H684=$C$8,H684=$C$9,H684=$C$10,H684=$C$11,H684=$C$12,H684=$C$13,H684=$C$14),SottocategorieUscite[[#Headers],[Varie Uscite]],IF(OR(H684=$D$5,H684=$D$6,H684=$D$7,H684=$D$8,H684=$D$9,H684=$D$10,H684=$D$11,H684=$D$12,H684=$D$13,H684=$D$14),SottocategorieUscite[[#Headers],[Personali]],IF(OR(H684=$E$5,H684=$E$6,H684=$E$7,H684=$E$8,H684=$E$9,H684=$E$10,H684=$E$11,H684=$E$12,H684=$E$13,H684=$E$14),SottocategorieUscite[[#Headers],[Lavoro]],IF(OR(H684=$F$5,H684=$F$6,H684=$F$7,H684=$F$8,H684=$F$9,H684=$F$10,H684=$F$11,H684=$F$12,H684=$F$13,H684=$F$14),SottocategorieUscite[[#Headers],[Casa]],IF(OR(H684=$G$5,H684=$G$6,H684=$G$7,H684=$G$8,H684=$G$9,H684=$G$10,H684=$G$11,H684=$G$12,H684=$G$13,H684=$G$14),SottocategorieUscite[[#Headers],[Utenze]],IF(OR(H684=$H$5,H684=$H$6,H684=$H$7,H684=$H$8,H684=$H$9,H684=$H$10,H684=$H$11,H684=$H$12,H684=$H$13,H684=$H$14),SottocategorieUscite[[#Headers],[Business Uscite]],IF(OR(H684=$I$5,H684=$I$6,H684=$I$7,H684=$I$8,H684=$I$9,H684=$I$10,H684=$I$11,H684=$I$12,H684=$I$13,H684=$I$14),SottocategorieUscite[[#Headers],[Banca]],IF(OR(H684=K$5,H684=K$6,H684=K$7,H684=K$8,H684=K$9,H684=K$10,H684=K$11,H684=K$12,H684=K$13,H684=K$14),SottocategorieEntrate[[#Headers],[Business Entrate]],IF(OR(H684=L$5,H684=L$6,H684=L$7,H684=L$8,H684=L$9,H684=L$10,H684=L$11,H684=L$12,H684=L$13,H684=L$14),SottocategorieEntrate[[#Headers],[Varie Entrate]],IF(OR(H684=M$5,H684=M$6,H684=M$7,H684=M$8,H684=M$9,H684=M$10,H684=M$11,H684=M$12,H684=M$13,H684=M$14),SottocategorieEntrate[[#Headers],[Real Estate]],IF(OR(H684=N$5,H684=N$6,H684=N$7,H684=N$8,H684=N$9,H684=N$10,H684=N$11,H684=N$12,H684=N$13,H684=N$14),SottocategorieEntrate[[#Headers],[Other]],""))))))))))))</f>
        <v/>
      </c>
      <c r="J684" t="str">
        <f>IF(OR(Dati[[#This Row],[Categoria]]="Bollette",Dati[[#This Row],[Categoria]]="Conto &amp; Carte BNL",Dati[[#This Row],[Categoria]]="Prelievo",Dati[[#This Row],[Categoria]]="Affitto",Dati[[#This Row],[Categoria]]="BNL(Interessi Creditori)"),"Carta",IF(Dati[[#This Row],[Categoria]]&lt;&gt;0,"Cash",""))</f>
        <v/>
      </c>
      <c r="K684" s="59" t="str">
        <f>IF(OR(Data!$I684=SottocategorieUscite[[#Headers],[Fuori Casa]],Data!$I684=SottocategorieUscite[[#Headers],[Varie Uscite]],Data!$I684=SottocategorieUscite[[#Headers],[Personali]],Data!$I684=SottocategorieUscite[[#Headers],[Lavoro]]),"$ -","")</f>
        <v/>
      </c>
      <c r="L684" s="59" t="str">
        <f>IF(OR(Data!$I684=SottocategorieUscite[[#Headers],[Casa]],Data!$I684=SottocategorieUscite[[#Headers],[Utenze]],Data!$I684=SottocategorieUscite[[#Headers],[Business Uscite]],Data!$I684=SottocategorieUscite[[#Headers],[Banca]]),"$ -","")</f>
        <v/>
      </c>
      <c r="M684" s="59" t="str">
        <f>IF(OR($I684&lt;&gt;SottocategorieUscite[[#Headers],[Fuori Casa]],$I684&lt;&gt;SottocategorieUscite[[#Headers],[Varie Uscite]],$I684&lt;&gt;SottocategorieUscite[[#Headers],[Personali]],$I684&lt;&gt;SottocategorieUscite[[#Headers],[Lavoro]],$I684&lt;&gt;SottocategorieUscite[[#Headers],[Casa]],$I684&lt;&gt;SottocategorieUscite[[#Headers],[Utenze]],$I684&lt;&gt;SottocategorieUscite[[#Headers],[Business Uscite]],$I684&lt;&gt;SottocategorieUscite[[#Headers],[Banca]]),"","$ -")</f>
        <v/>
      </c>
      <c r="N684" s="59" t="str">
        <f>IF(OR(Data!$I684=SottocategorieEntrate[[#Headers],[Business Entrate]],Data!$I684=SottocategorieEntrate[[#Headers],[Varie Entrate]]),"$ -","")</f>
        <v/>
      </c>
      <c r="O684" s="59" t="str">
        <f>IF(OR(Data!$I684=SottocategorieEntrate[[#Headers],[Real Estate]],SottocategorieEntrate[[#Headers],[Other]]),"$ -","")</f>
        <v/>
      </c>
      <c r="P684" s="59" t="str">
        <f>IF(OR($I684&lt;&gt;SottocategorieEntrate[[#Headers],[Business Entrate]],$I684&lt;&gt;SottocategorieEntrate[[#Headers],[Varie Entrate]],$I684&lt;&gt;SottocategorieEntrate[[#Headers],[Real Estate]],$I684&lt;&gt;SottocategorieEntrate[[#Headers],[Other]]),"","$ -")</f>
        <v/>
      </c>
      <c r="Q684" s="59" t="str">
        <f>IF(Dati[[#This Row],[Categoria]]="Prelievo","€ -","")</f>
        <v/>
      </c>
      <c r="R684" s="244"/>
      <c r="S684" s="59" t="str">
        <f>IF(Dati[[#This Row],[Categoria]]="Savings",0,"")</f>
        <v/>
      </c>
      <c r="T684" s="59"/>
      <c r="U684" s="59"/>
      <c r="V684" s="59"/>
      <c r="W684" s="59"/>
      <c r="X684" s="59"/>
      <c r="Y684" s="59"/>
      <c r="Z684" s="59"/>
      <c r="AA684" s="59"/>
      <c r="AB684" s="59"/>
      <c r="AC684" s="59"/>
      <c r="AD684" s="59"/>
      <c r="AE684" s="59"/>
      <c r="AF684" s="59"/>
      <c r="AG684" s="59"/>
      <c r="AH684" s="59"/>
      <c r="AI684" s="59" t="str">
        <f>IF(SUM(Dati[[#This Row],[Inv. Business]:[Inv. Cryptocurrency]])=0," ",SUM(Dati[[#This Row],[Inv. Business]:[Inv. Cryptocurrency]]))</f>
        <v xml:space="preserve"> </v>
      </c>
      <c r="AJ684" s="59"/>
      <c r="AK684" s="59"/>
      <c r="AL684" s="59"/>
      <c r="AM684" s="59"/>
    </row>
    <row r="685" spans="2:39" x14ac:dyDescent="0.35">
      <c r="B685" s="237">
        <f t="shared" si="32"/>
        <v>653</v>
      </c>
      <c r="C685" s="49">
        <f t="shared" si="27"/>
        <v>45422</v>
      </c>
      <c r="D685" s="29">
        <f>DAY(Dati[[#This Row],[Data]])</f>
        <v>10</v>
      </c>
      <c r="E685" s="29" t="str">
        <f>IF(DAY(Data!$C$21:$C$1327)&gt;0,TEXT(Data!$C$21:$C$1327, "mmmm"),"")</f>
        <v>maggio</v>
      </c>
      <c r="F685" s="29" t="str">
        <f>IF(DAY(Data!$C$21:$C$1327)&gt;0,TEXT(Data!$C$21:$C$1327, "aaaa"),"")</f>
        <v>2024</v>
      </c>
      <c r="I685" t="str">
        <f>IF(OR(H685=$B$5,H685=$B$6,H685=$B$7,H685=$B$8,H685=$B$9,H685=$B$10,H685=$B$11,H685=$B$12,H685=$B$13,H685=$B$14),SottocategorieUscite[[#Headers],[Fuori Casa]],IF(OR(H685=$C$5,H685=$C$6,H685=$C$7,H685=$C$8,H685=$C$9,H685=$C$10,H685=$C$11,H685=$C$12,H685=$C$13,H685=$C$14),SottocategorieUscite[[#Headers],[Varie Uscite]],IF(OR(H685=$D$5,H685=$D$6,H685=$D$7,H685=$D$8,H685=$D$9,H685=$D$10,H685=$D$11,H685=$D$12,H685=$D$13,H685=$D$14),SottocategorieUscite[[#Headers],[Personali]],IF(OR(H685=$E$5,H685=$E$6,H685=$E$7,H685=$E$8,H685=$E$9,H685=$E$10,H685=$E$11,H685=$E$12,H685=$E$13,H685=$E$14),SottocategorieUscite[[#Headers],[Lavoro]],IF(OR(H685=$F$5,H685=$F$6,H685=$F$7,H685=$F$8,H685=$F$9,H685=$F$10,H685=$F$11,H685=$F$12,H685=$F$13,H685=$F$14),SottocategorieUscite[[#Headers],[Casa]],IF(OR(H685=$G$5,H685=$G$6,H685=$G$7,H685=$G$8,H685=$G$9,H685=$G$10,H685=$G$11,H685=$G$12,H685=$G$13,H685=$G$14),SottocategorieUscite[[#Headers],[Utenze]],IF(OR(H685=$H$5,H685=$H$6,H685=$H$7,H685=$H$8,H685=$H$9,H685=$H$10,H685=$H$11,H685=$H$12,H685=$H$13,H685=$H$14),SottocategorieUscite[[#Headers],[Business Uscite]],IF(OR(H685=$I$5,H685=$I$6,H685=$I$7,H685=$I$8,H685=$I$9,H685=$I$10,H685=$I$11,H685=$I$12,H685=$I$13,H685=$I$14),SottocategorieUscite[[#Headers],[Banca]],IF(OR(H685=K$5,H685=K$6,H685=K$7,H685=K$8,H685=K$9,H685=K$10,H685=K$11,H685=K$12,H685=K$13,H685=K$14),SottocategorieEntrate[[#Headers],[Business Entrate]],IF(OR(H685=L$5,H685=L$6,H685=L$7,H685=L$8,H685=L$9,H685=L$10,H685=L$11,H685=L$12,H685=L$13,H685=L$14),SottocategorieEntrate[[#Headers],[Varie Entrate]],IF(OR(H685=M$5,H685=M$6,H685=M$7,H685=M$8,H685=M$9,H685=M$10,H685=M$11,H685=M$12,H685=M$13,H685=M$14),SottocategorieEntrate[[#Headers],[Real Estate]],IF(OR(H685=N$5,H685=N$6,H685=N$7,H685=N$8,H685=N$9,H685=N$10,H685=N$11,H685=N$12,H685=N$13,H685=N$14),SottocategorieEntrate[[#Headers],[Other]],""))))))))))))</f>
        <v/>
      </c>
      <c r="J685" t="str">
        <f>IF(OR(Dati[[#This Row],[Categoria]]="Bollette",Dati[[#This Row],[Categoria]]="Conto &amp; Carte BNL",Dati[[#This Row],[Categoria]]="Prelievo",Dati[[#This Row],[Categoria]]="Affitto",Dati[[#This Row],[Categoria]]="BNL(Interessi Creditori)"),"Carta",IF(Dati[[#This Row],[Categoria]]&lt;&gt;0,"Cash",""))</f>
        <v/>
      </c>
      <c r="K685" s="59" t="str">
        <f>IF(OR(Data!$I685=SottocategorieUscite[[#Headers],[Fuori Casa]],Data!$I685=SottocategorieUscite[[#Headers],[Varie Uscite]],Data!$I685=SottocategorieUscite[[#Headers],[Personali]],Data!$I685=SottocategorieUscite[[#Headers],[Lavoro]]),"$ -","")</f>
        <v/>
      </c>
      <c r="L685" s="59" t="str">
        <f>IF(OR(Data!$I685=SottocategorieUscite[[#Headers],[Casa]],Data!$I685=SottocategorieUscite[[#Headers],[Utenze]],Data!$I685=SottocategorieUscite[[#Headers],[Business Uscite]],Data!$I685=SottocategorieUscite[[#Headers],[Banca]]),"$ -","")</f>
        <v/>
      </c>
      <c r="M685" s="59" t="str">
        <f>IF(OR($I685&lt;&gt;SottocategorieUscite[[#Headers],[Fuori Casa]],$I685&lt;&gt;SottocategorieUscite[[#Headers],[Varie Uscite]],$I685&lt;&gt;SottocategorieUscite[[#Headers],[Personali]],$I685&lt;&gt;SottocategorieUscite[[#Headers],[Lavoro]],$I685&lt;&gt;SottocategorieUscite[[#Headers],[Casa]],$I685&lt;&gt;SottocategorieUscite[[#Headers],[Utenze]],$I685&lt;&gt;SottocategorieUscite[[#Headers],[Business Uscite]],$I685&lt;&gt;SottocategorieUscite[[#Headers],[Banca]]),"","$ -")</f>
        <v/>
      </c>
      <c r="N685" s="59" t="str">
        <f>IF(OR(Data!$I685=SottocategorieEntrate[[#Headers],[Business Entrate]],Data!$I685=SottocategorieEntrate[[#Headers],[Varie Entrate]]),"$ -","")</f>
        <v/>
      </c>
      <c r="O685" s="59" t="str">
        <f>IF(OR(Data!$I685=SottocategorieEntrate[[#Headers],[Real Estate]],SottocategorieEntrate[[#Headers],[Other]]),"$ -","")</f>
        <v/>
      </c>
      <c r="P685" s="59" t="str">
        <f>IF(OR($I685&lt;&gt;SottocategorieEntrate[[#Headers],[Business Entrate]],$I685&lt;&gt;SottocategorieEntrate[[#Headers],[Varie Entrate]],$I685&lt;&gt;SottocategorieEntrate[[#Headers],[Real Estate]],$I685&lt;&gt;SottocategorieEntrate[[#Headers],[Other]]),"","$ -")</f>
        <v/>
      </c>
      <c r="Q685" s="59" t="str">
        <f>IF(Dati[[#This Row],[Categoria]]="Prelievo","€ -","")</f>
        <v/>
      </c>
      <c r="R685" s="244"/>
      <c r="S685" s="59" t="str">
        <f>IF(Dati[[#This Row],[Categoria]]="Savings",0,"")</f>
        <v/>
      </c>
      <c r="T685" s="59"/>
      <c r="U685" s="59"/>
      <c r="V685" s="59"/>
      <c r="W685" s="59"/>
      <c r="X685" s="59"/>
      <c r="Y685" s="59"/>
      <c r="Z685" s="59"/>
      <c r="AA685" s="59"/>
      <c r="AB685" s="59"/>
      <c r="AC685" s="59"/>
      <c r="AD685" s="59"/>
      <c r="AE685" s="59"/>
      <c r="AF685" s="59"/>
      <c r="AG685" s="59"/>
      <c r="AH685" s="59"/>
      <c r="AI685" s="59" t="str">
        <f>IF(SUM(Dati[[#This Row],[Inv. Business]:[Inv. Cryptocurrency]])=0," ",SUM(Dati[[#This Row],[Inv. Business]:[Inv. Cryptocurrency]]))</f>
        <v xml:space="preserve"> </v>
      </c>
      <c r="AJ685" s="59"/>
      <c r="AK685" s="59"/>
      <c r="AL685" s="59"/>
      <c r="AM685" s="59"/>
    </row>
    <row r="686" spans="2:39" x14ac:dyDescent="0.35">
      <c r="B686" s="237">
        <f>ROW(653:653)</f>
        <v>653</v>
      </c>
      <c r="C686" s="49">
        <f>C684+1</f>
        <v>45422</v>
      </c>
      <c r="D686" s="29">
        <f>DAY(Dati[[#This Row],[Data]])</f>
        <v>10</v>
      </c>
      <c r="E686" s="29" t="str">
        <f>IF(DAY(Data!$C$21:$C$1327)&gt;0,TEXT(Data!$C$21:$C$1327, "mmmm"),"")</f>
        <v>maggio</v>
      </c>
      <c r="F686" s="29" t="str">
        <f>IF(DAY(Data!$C$21:$C$1327)&gt;0,TEXT(Data!$C$21:$C$1327, "aaaa"),"")</f>
        <v>2024</v>
      </c>
      <c r="I686" t="str">
        <f>IF(OR(H686=$B$5,H686=$B$6,H686=$B$7,H686=$B$8,H686=$B$9,H686=$B$10,H686=$B$11,H686=$B$12,H686=$B$13,H686=$B$14),SottocategorieUscite[[#Headers],[Fuori Casa]],IF(OR(H686=$C$5,H686=$C$6,H686=$C$7,H686=$C$8,H686=$C$9,H686=$C$10,H686=$C$11,H686=$C$12,H686=$C$13,H686=$C$14),SottocategorieUscite[[#Headers],[Varie Uscite]],IF(OR(H686=$D$5,H686=$D$6,H686=$D$7,H686=$D$8,H686=$D$9,H686=$D$10,H686=$D$11,H686=$D$12,H686=$D$13,H686=$D$14),SottocategorieUscite[[#Headers],[Personali]],IF(OR(H686=$E$5,H686=$E$6,H686=$E$7,H686=$E$8,H686=$E$9,H686=$E$10,H686=$E$11,H686=$E$12,H686=$E$13,H686=$E$14),SottocategorieUscite[[#Headers],[Lavoro]],IF(OR(H686=$F$5,H686=$F$6,H686=$F$7,H686=$F$8,H686=$F$9,H686=$F$10,H686=$F$11,H686=$F$12,H686=$F$13,H686=$F$14),SottocategorieUscite[[#Headers],[Casa]],IF(OR(H686=$G$5,H686=$G$6,H686=$G$7,H686=$G$8,H686=$G$9,H686=$G$10,H686=$G$11,H686=$G$12,H686=$G$13,H686=$G$14),SottocategorieUscite[[#Headers],[Utenze]],IF(OR(H686=$H$5,H686=$H$6,H686=$H$7,H686=$H$8,H686=$H$9,H686=$H$10,H686=$H$11,H686=$H$12,H686=$H$13,H686=$H$14),SottocategorieUscite[[#Headers],[Business Uscite]],IF(OR(H686=$I$5,H686=$I$6,H686=$I$7,H686=$I$8,H686=$I$9,H686=$I$10,H686=$I$11,H686=$I$12,H686=$I$13,H686=$I$14),SottocategorieUscite[[#Headers],[Banca]],IF(OR(H686=K$5,H686=K$6,H686=K$7,H686=K$8,H686=K$9,H686=K$10,H686=K$11,H686=K$12,H686=K$13,H686=K$14),SottocategorieEntrate[[#Headers],[Business Entrate]],IF(OR(H686=L$5,H686=L$6,H686=L$7,H686=L$8,H686=L$9,H686=L$10,H686=L$11,H686=L$12,H686=L$13,H686=L$14),SottocategorieEntrate[[#Headers],[Varie Entrate]],IF(OR(H686=M$5,H686=M$6,H686=M$7,H686=M$8,H686=M$9,H686=M$10,H686=M$11,H686=M$12,H686=M$13,H686=M$14),SottocategorieEntrate[[#Headers],[Real Estate]],IF(OR(H686=N$5,H686=N$6,H686=N$7,H686=N$8,H686=N$9,H686=N$10,H686=N$11,H686=N$12,H686=N$13,H686=N$14),SottocategorieEntrate[[#Headers],[Other]],""))))))))))))</f>
        <v/>
      </c>
      <c r="J686" t="str">
        <f>IF(OR(Dati[[#This Row],[Categoria]]="Bollette",Dati[[#This Row],[Categoria]]="Conto &amp; Carte BNL",Dati[[#This Row],[Categoria]]="Prelievo",Dati[[#This Row],[Categoria]]="Affitto",Dati[[#This Row],[Categoria]]="BNL(Interessi Creditori)"),"Carta",IF(Dati[[#This Row],[Categoria]]&lt;&gt;0,"Cash",""))</f>
        <v/>
      </c>
      <c r="K686" s="59" t="str">
        <f>IF(OR(Data!$I686=SottocategorieUscite[[#Headers],[Fuori Casa]],Data!$I686=SottocategorieUscite[[#Headers],[Varie Uscite]],Data!$I686=SottocategorieUscite[[#Headers],[Personali]],Data!$I686=SottocategorieUscite[[#Headers],[Lavoro]]),"$ -","")</f>
        <v/>
      </c>
      <c r="L686" s="59" t="str">
        <f>IF(OR(Data!$I686=SottocategorieUscite[[#Headers],[Casa]],Data!$I686=SottocategorieUscite[[#Headers],[Utenze]],Data!$I686=SottocategorieUscite[[#Headers],[Business Uscite]],Data!$I686=SottocategorieUscite[[#Headers],[Banca]]),"$ -","")</f>
        <v/>
      </c>
      <c r="M686" s="59" t="str">
        <f>IF(OR($I686&lt;&gt;SottocategorieUscite[[#Headers],[Fuori Casa]],$I686&lt;&gt;SottocategorieUscite[[#Headers],[Varie Uscite]],$I686&lt;&gt;SottocategorieUscite[[#Headers],[Personali]],$I686&lt;&gt;SottocategorieUscite[[#Headers],[Lavoro]],$I686&lt;&gt;SottocategorieUscite[[#Headers],[Casa]],$I686&lt;&gt;SottocategorieUscite[[#Headers],[Utenze]],$I686&lt;&gt;SottocategorieUscite[[#Headers],[Business Uscite]],$I686&lt;&gt;SottocategorieUscite[[#Headers],[Banca]]),"","$ -")</f>
        <v/>
      </c>
      <c r="N686" s="59" t="str">
        <f>IF(OR(Data!$I686=SottocategorieEntrate[[#Headers],[Business Entrate]],Data!$I686=SottocategorieEntrate[[#Headers],[Varie Entrate]]),"$ -","")</f>
        <v/>
      </c>
      <c r="O686" s="59" t="str">
        <f>IF(OR(Data!$I686=SottocategorieEntrate[[#Headers],[Real Estate]],SottocategorieEntrate[[#Headers],[Other]]),"$ -","")</f>
        <v/>
      </c>
      <c r="P686" s="59" t="str">
        <f>IF(OR($I686&lt;&gt;SottocategorieEntrate[[#Headers],[Business Entrate]],$I686&lt;&gt;SottocategorieEntrate[[#Headers],[Varie Entrate]],$I686&lt;&gt;SottocategorieEntrate[[#Headers],[Real Estate]],$I686&lt;&gt;SottocategorieEntrate[[#Headers],[Other]]),"","$ -")</f>
        <v/>
      </c>
      <c r="Q686" s="59" t="str">
        <f>IF(Dati[[#This Row],[Categoria]]="Prelievo","€ -","")</f>
        <v/>
      </c>
      <c r="R686" s="244"/>
      <c r="S686" s="59" t="str">
        <f>IF(Dati[[#This Row],[Categoria]]="Savings",0,"")</f>
        <v/>
      </c>
      <c r="T686" s="59"/>
      <c r="U686" s="59"/>
      <c r="V686" s="59"/>
      <c r="W686" s="59"/>
      <c r="X686" s="59"/>
      <c r="Y686" s="59"/>
      <c r="Z686" s="59"/>
      <c r="AA686" s="59"/>
      <c r="AB686" s="59"/>
      <c r="AC686" s="59"/>
      <c r="AD686" s="59"/>
      <c r="AE686" s="59"/>
      <c r="AF686" s="59"/>
      <c r="AG686" s="59"/>
      <c r="AH686" s="59"/>
      <c r="AI686" s="59" t="str">
        <f>IF(SUM(Dati[[#This Row],[Inv. Business]:[Inv. Cryptocurrency]])=0," ",SUM(Dati[[#This Row],[Inv. Business]:[Inv. Cryptocurrency]]))</f>
        <v xml:space="preserve"> </v>
      </c>
      <c r="AJ686" s="59"/>
      <c r="AK686" s="59"/>
      <c r="AL686" s="59"/>
      <c r="AM686" s="59"/>
    </row>
    <row r="687" spans="2:39" x14ac:dyDescent="0.35">
      <c r="B687" s="237">
        <f>ROW(653:653)</f>
        <v>653</v>
      </c>
      <c r="C687" s="49">
        <f>C684+1</f>
        <v>45422</v>
      </c>
      <c r="D687" s="29">
        <f>DAY(Dati[[#This Row],[Data]])</f>
        <v>10</v>
      </c>
      <c r="E687" s="29" t="str">
        <f>IF(DAY(Data!$C$21:$C$1327)&gt;0,TEXT(Data!$C$21:$C$1327, "mmmm"),"")</f>
        <v>maggio</v>
      </c>
      <c r="F687" s="29" t="str">
        <f>IF(DAY(Data!$C$21:$C$1327)&gt;0,TEXT(Data!$C$21:$C$1327, "aaaa"),"")</f>
        <v>2024</v>
      </c>
      <c r="I687" t="str">
        <f>IF(OR(H687=$B$5,H687=$B$6,H687=$B$7,H687=$B$8,H687=$B$9,H687=$B$10,H687=$B$11,H687=$B$12,H687=$B$13,H687=$B$14),SottocategorieUscite[[#Headers],[Fuori Casa]],IF(OR(H687=$C$5,H687=$C$6,H687=$C$7,H687=$C$8,H687=$C$9,H687=$C$10,H687=$C$11,H687=$C$12,H687=$C$13,H687=$C$14),SottocategorieUscite[[#Headers],[Varie Uscite]],IF(OR(H687=$D$5,H687=$D$6,H687=$D$7,H687=$D$8,H687=$D$9,H687=$D$10,H687=$D$11,H687=$D$12,H687=$D$13,H687=$D$14),SottocategorieUscite[[#Headers],[Personali]],IF(OR(H687=$E$5,H687=$E$6,H687=$E$7,H687=$E$8,H687=$E$9,H687=$E$10,H687=$E$11,H687=$E$12,H687=$E$13,H687=$E$14),SottocategorieUscite[[#Headers],[Lavoro]],IF(OR(H687=$F$5,H687=$F$6,H687=$F$7,H687=$F$8,H687=$F$9,H687=$F$10,H687=$F$11,H687=$F$12,H687=$F$13,H687=$F$14),SottocategorieUscite[[#Headers],[Casa]],IF(OR(H687=$G$5,H687=$G$6,H687=$G$7,H687=$G$8,H687=$G$9,H687=$G$10,H687=$G$11,H687=$G$12,H687=$G$13,H687=$G$14),SottocategorieUscite[[#Headers],[Utenze]],IF(OR(H687=$H$5,H687=$H$6,H687=$H$7,H687=$H$8,H687=$H$9,H687=$H$10,H687=$H$11,H687=$H$12,H687=$H$13,H687=$H$14),SottocategorieUscite[[#Headers],[Business Uscite]],IF(OR(H687=$I$5,H687=$I$6,H687=$I$7,H687=$I$8,H687=$I$9,H687=$I$10,H687=$I$11,H687=$I$12,H687=$I$13,H687=$I$14),SottocategorieUscite[[#Headers],[Banca]],IF(OR(H687=K$5,H687=K$6,H687=K$7,H687=K$8,H687=K$9,H687=K$10,H687=K$11,H687=K$12,H687=K$13,H687=K$14),SottocategorieEntrate[[#Headers],[Business Entrate]],IF(OR(H687=L$5,H687=L$6,H687=L$7,H687=L$8,H687=L$9,H687=L$10,H687=L$11,H687=L$12,H687=L$13,H687=L$14),SottocategorieEntrate[[#Headers],[Varie Entrate]],IF(OR(H687=M$5,H687=M$6,H687=M$7,H687=M$8,H687=M$9,H687=M$10,H687=M$11,H687=M$12,H687=M$13,H687=M$14),SottocategorieEntrate[[#Headers],[Real Estate]],IF(OR(H687=N$5,H687=N$6,H687=N$7,H687=N$8,H687=N$9,H687=N$10,H687=N$11,H687=N$12,H687=N$13,H687=N$14),SottocategorieEntrate[[#Headers],[Other]],""))))))))))))</f>
        <v/>
      </c>
      <c r="J687" t="str">
        <f>IF(OR(Dati[[#This Row],[Categoria]]="Bollette",Dati[[#This Row],[Categoria]]="Conto &amp; Carte BNL",Dati[[#This Row],[Categoria]]="Prelievo",Dati[[#This Row],[Categoria]]="Affitto",Dati[[#This Row],[Categoria]]="BNL(Interessi Creditori)"),"Carta",IF(Dati[[#This Row],[Categoria]]&lt;&gt;0,"Cash",""))</f>
        <v/>
      </c>
      <c r="K687" s="59" t="str">
        <f>IF(OR(Data!$I687=SottocategorieUscite[[#Headers],[Fuori Casa]],Data!$I687=SottocategorieUscite[[#Headers],[Varie Uscite]],Data!$I687=SottocategorieUscite[[#Headers],[Personali]],Data!$I687=SottocategorieUscite[[#Headers],[Lavoro]]),"$ -","")</f>
        <v/>
      </c>
      <c r="L687" s="59" t="str">
        <f>IF(OR(Data!$I687=SottocategorieUscite[[#Headers],[Casa]],Data!$I687=SottocategorieUscite[[#Headers],[Utenze]],Data!$I687=SottocategorieUscite[[#Headers],[Business Uscite]],Data!$I687=SottocategorieUscite[[#Headers],[Banca]]),"$ -","")</f>
        <v/>
      </c>
      <c r="M687" s="59" t="str">
        <f>IF(OR($I687&lt;&gt;SottocategorieUscite[[#Headers],[Fuori Casa]],$I687&lt;&gt;SottocategorieUscite[[#Headers],[Varie Uscite]],$I687&lt;&gt;SottocategorieUscite[[#Headers],[Personali]],$I687&lt;&gt;SottocategorieUscite[[#Headers],[Lavoro]],$I687&lt;&gt;SottocategorieUscite[[#Headers],[Casa]],$I687&lt;&gt;SottocategorieUscite[[#Headers],[Utenze]],$I687&lt;&gt;SottocategorieUscite[[#Headers],[Business Uscite]],$I687&lt;&gt;SottocategorieUscite[[#Headers],[Banca]]),"","$ -")</f>
        <v/>
      </c>
      <c r="N687" s="59" t="str">
        <f>IF(OR(Data!$I687=SottocategorieEntrate[[#Headers],[Business Entrate]],Data!$I687=SottocategorieEntrate[[#Headers],[Varie Entrate]]),"$ -","")</f>
        <v/>
      </c>
      <c r="O687" s="59" t="str">
        <f>IF(OR(Data!$I687=SottocategorieEntrate[[#Headers],[Real Estate]],SottocategorieEntrate[[#Headers],[Other]]),"$ -","")</f>
        <v/>
      </c>
      <c r="P687" s="59" t="str">
        <f>IF(OR($I687&lt;&gt;SottocategorieEntrate[[#Headers],[Business Entrate]],$I687&lt;&gt;SottocategorieEntrate[[#Headers],[Varie Entrate]],$I687&lt;&gt;SottocategorieEntrate[[#Headers],[Real Estate]],$I687&lt;&gt;SottocategorieEntrate[[#Headers],[Other]]),"","$ -")</f>
        <v/>
      </c>
      <c r="Q687" s="59" t="str">
        <f>IF(Dati[[#This Row],[Categoria]]="Prelievo","€ -","")</f>
        <v/>
      </c>
      <c r="R687" s="244"/>
      <c r="S687" s="59" t="str">
        <f>IF(Dati[[#This Row],[Categoria]]="Savings",0,"")</f>
        <v/>
      </c>
      <c r="T687" s="59"/>
      <c r="U687" s="59"/>
      <c r="V687" s="59"/>
      <c r="W687" s="59"/>
      <c r="X687" s="59"/>
      <c r="Y687" s="59"/>
      <c r="Z687" s="59"/>
      <c r="AA687" s="59"/>
      <c r="AB687" s="59"/>
      <c r="AC687" s="59"/>
      <c r="AD687" s="59"/>
      <c r="AE687" s="59"/>
      <c r="AF687" s="59"/>
      <c r="AG687" s="59"/>
      <c r="AH687" s="59"/>
      <c r="AI687" s="59" t="str">
        <f>IF(SUM(Dati[[#This Row],[Inv. Business]:[Inv. Cryptocurrency]])=0," ",SUM(Dati[[#This Row],[Inv. Business]:[Inv. Cryptocurrency]]))</f>
        <v xml:space="preserve"> </v>
      </c>
      <c r="AJ687" s="59"/>
      <c r="AK687" s="59"/>
      <c r="AL687" s="59"/>
      <c r="AM687" s="59"/>
    </row>
    <row r="688" spans="2:39" x14ac:dyDescent="0.35">
      <c r="B688" s="237">
        <f>ROW(653:653)</f>
        <v>653</v>
      </c>
      <c r="C688" s="49">
        <f>C684+1</f>
        <v>45422</v>
      </c>
      <c r="D688" s="29">
        <f>DAY(Dati[[#This Row],[Data]])</f>
        <v>10</v>
      </c>
      <c r="E688" s="29" t="str">
        <f>IF(DAY(Data!$C$21:$C$1327)&gt;0,TEXT(Data!$C$21:$C$1327, "mmmm"),"")</f>
        <v>maggio</v>
      </c>
      <c r="F688" s="29" t="str">
        <f>IF(DAY(Data!$C$21:$C$1327)&gt;0,TEXT(Data!$C$21:$C$1327, "aaaa"),"")</f>
        <v>2024</v>
      </c>
      <c r="I688" t="str">
        <f>IF(OR(H688=$B$5,H688=$B$6,H688=$B$7,H688=$B$8,H688=$B$9,H688=$B$10,H688=$B$11,H688=$B$12,H688=$B$13,H688=$B$14),SottocategorieUscite[[#Headers],[Fuori Casa]],IF(OR(H688=$C$5,H688=$C$6,H688=$C$7,H688=$C$8,H688=$C$9,H688=$C$10,H688=$C$11,H688=$C$12,H688=$C$13,H688=$C$14),SottocategorieUscite[[#Headers],[Varie Uscite]],IF(OR(H688=$D$5,H688=$D$6,H688=$D$7,H688=$D$8,H688=$D$9,H688=$D$10,H688=$D$11,H688=$D$12,H688=$D$13,H688=$D$14),SottocategorieUscite[[#Headers],[Personali]],IF(OR(H688=$E$5,H688=$E$6,H688=$E$7,H688=$E$8,H688=$E$9,H688=$E$10,H688=$E$11,H688=$E$12,H688=$E$13,H688=$E$14),SottocategorieUscite[[#Headers],[Lavoro]],IF(OR(H688=$F$5,H688=$F$6,H688=$F$7,H688=$F$8,H688=$F$9,H688=$F$10,H688=$F$11,H688=$F$12,H688=$F$13,H688=$F$14),SottocategorieUscite[[#Headers],[Casa]],IF(OR(H688=$G$5,H688=$G$6,H688=$G$7,H688=$G$8,H688=$G$9,H688=$G$10,H688=$G$11,H688=$G$12,H688=$G$13,H688=$G$14),SottocategorieUscite[[#Headers],[Utenze]],IF(OR(H688=$H$5,H688=$H$6,H688=$H$7,H688=$H$8,H688=$H$9,H688=$H$10,H688=$H$11,H688=$H$12,H688=$H$13,H688=$H$14),SottocategorieUscite[[#Headers],[Business Uscite]],IF(OR(H688=$I$5,H688=$I$6,H688=$I$7,H688=$I$8,H688=$I$9,H688=$I$10,H688=$I$11,H688=$I$12,H688=$I$13,H688=$I$14),SottocategorieUscite[[#Headers],[Banca]],IF(OR(H688=K$5,H688=K$6,H688=K$7,H688=K$8,H688=K$9,H688=K$10,H688=K$11,H688=K$12,H688=K$13,H688=K$14),SottocategorieEntrate[[#Headers],[Business Entrate]],IF(OR(H688=L$5,H688=L$6,H688=L$7,H688=L$8,H688=L$9,H688=L$10,H688=L$11,H688=L$12,H688=L$13,H688=L$14),SottocategorieEntrate[[#Headers],[Varie Entrate]],IF(OR(H688=M$5,H688=M$6,H688=M$7,H688=M$8,H688=M$9,H688=M$10,H688=M$11,H688=M$12,H688=M$13,H688=M$14),SottocategorieEntrate[[#Headers],[Real Estate]],IF(OR(H688=N$5,H688=N$6,H688=N$7,H688=N$8,H688=N$9,H688=N$10,H688=N$11,H688=N$12,H688=N$13,H688=N$14),SottocategorieEntrate[[#Headers],[Other]],""))))))))))))</f>
        <v/>
      </c>
      <c r="J688" t="str">
        <f>IF(OR(Dati[[#This Row],[Categoria]]="Bollette",Dati[[#This Row],[Categoria]]="Conto &amp; Carte BNL",Dati[[#This Row],[Categoria]]="Prelievo",Dati[[#This Row],[Categoria]]="Affitto",Dati[[#This Row],[Categoria]]="BNL(Interessi Creditori)"),"Carta",IF(Dati[[#This Row],[Categoria]]&lt;&gt;0,"Cash",""))</f>
        <v/>
      </c>
      <c r="K688" s="59" t="str">
        <f>IF(OR(Data!$I688=SottocategorieUscite[[#Headers],[Fuori Casa]],Data!$I688=SottocategorieUscite[[#Headers],[Varie Uscite]],Data!$I688=SottocategorieUscite[[#Headers],[Personali]],Data!$I688=SottocategorieUscite[[#Headers],[Lavoro]]),"$ -","")</f>
        <v/>
      </c>
      <c r="L688" s="59" t="str">
        <f>IF(OR(Data!$I688=SottocategorieUscite[[#Headers],[Casa]],Data!$I688=SottocategorieUscite[[#Headers],[Utenze]],Data!$I688=SottocategorieUscite[[#Headers],[Business Uscite]],Data!$I688=SottocategorieUscite[[#Headers],[Banca]]),"$ -","")</f>
        <v/>
      </c>
      <c r="M688" s="59" t="str">
        <f>IF(OR($I688&lt;&gt;SottocategorieUscite[[#Headers],[Fuori Casa]],$I688&lt;&gt;SottocategorieUscite[[#Headers],[Varie Uscite]],$I688&lt;&gt;SottocategorieUscite[[#Headers],[Personali]],$I688&lt;&gt;SottocategorieUscite[[#Headers],[Lavoro]],$I688&lt;&gt;SottocategorieUscite[[#Headers],[Casa]],$I688&lt;&gt;SottocategorieUscite[[#Headers],[Utenze]],$I688&lt;&gt;SottocategorieUscite[[#Headers],[Business Uscite]],$I688&lt;&gt;SottocategorieUscite[[#Headers],[Banca]]),"","$ -")</f>
        <v/>
      </c>
      <c r="N688" s="59" t="str">
        <f>IF(OR(Data!$I688=SottocategorieEntrate[[#Headers],[Business Entrate]],Data!$I688=SottocategorieEntrate[[#Headers],[Varie Entrate]]),"$ -","")</f>
        <v/>
      </c>
      <c r="O688" s="59" t="str">
        <f>IF(OR(Data!$I688=SottocategorieEntrate[[#Headers],[Real Estate]],SottocategorieEntrate[[#Headers],[Other]]),"$ -","")</f>
        <v/>
      </c>
      <c r="P688" s="59" t="str">
        <f>IF(OR($I688&lt;&gt;SottocategorieEntrate[[#Headers],[Business Entrate]],$I688&lt;&gt;SottocategorieEntrate[[#Headers],[Varie Entrate]],$I688&lt;&gt;SottocategorieEntrate[[#Headers],[Real Estate]],$I688&lt;&gt;SottocategorieEntrate[[#Headers],[Other]]),"","$ -")</f>
        <v/>
      </c>
      <c r="Q688" s="59" t="str">
        <f>IF(Dati[[#This Row],[Categoria]]="Prelievo","€ -","")</f>
        <v/>
      </c>
      <c r="R688" s="244"/>
      <c r="S688" s="59" t="str">
        <f>IF(Dati[[#This Row],[Categoria]]="Savings",0,"")</f>
        <v/>
      </c>
      <c r="T688" s="59"/>
      <c r="U688" s="59"/>
      <c r="V688" s="59"/>
      <c r="W688" s="59"/>
      <c r="X688" s="59"/>
      <c r="Y688" s="59"/>
      <c r="Z688" s="59"/>
      <c r="AA688" s="59"/>
      <c r="AB688" s="59"/>
      <c r="AC688" s="59"/>
      <c r="AD688" s="59"/>
      <c r="AE688" s="59"/>
      <c r="AF688" s="59"/>
      <c r="AG688" s="59"/>
      <c r="AH688" s="59"/>
      <c r="AI688" s="59" t="str">
        <f>IF(SUM(Dati[[#This Row],[Inv. Business]:[Inv. Cryptocurrency]])=0," ",SUM(Dati[[#This Row],[Inv. Business]:[Inv. Cryptocurrency]]))</f>
        <v xml:space="preserve"> </v>
      </c>
      <c r="AJ688" s="59"/>
      <c r="AK688" s="59"/>
      <c r="AL688" s="59"/>
      <c r="AM688" s="59"/>
    </row>
    <row r="689" spans="2:39" x14ac:dyDescent="0.35">
      <c r="B689" s="237">
        <f t="shared" ref="B689:B694" si="33">ROW(653:653)</f>
        <v>653</v>
      </c>
      <c r="C689" s="49">
        <f>C684+1</f>
        <v>45422</v>
      </c>
      <c r="D689" s="29">
        <f>DAY(Dati[[#This Row],[Data]])</f>
        <v>10</v>
      </c>
      <c r="E689" s="29" t="str">
        <f>IF(DAY(Data!$C$21:$C$1327)&gt;0,TEXT(Data!$C$21:$C$1327, "mmmm"),"")</f>
        <v>maggio</v>
      </c>
      <c r="F689" s="29" t="str">
        <f>IF(DAY(Data!$C$21:$C$1327)&gt;0,TEXT(Data!$C$21:$C$1327, "aaaa"),"")</f>
        <v>2024</v>
      </c>
      <c r="I689" t="str">
        <f>IF(OR(H689=$B$5,H689=$B$6,H689=$B$7,H689=$B$8,H689=$B$9,H689=$B$10,H689=$B$11,H689=$B$12,H689=$B$13,H689=$B$14),SottocategorieUscite[[#Headers],[Fuori Casa]],IF(OR(H689=$C$5,H689=$C$6,H689=$C$7,H689=$C$8,H689=$C$9,H689=$C$10,H689=$C$11,H689=$C$12,H689=$C$13,H689=$C$14),SottocategorieUscite[[#Headers],[Varie Uscite]],IF(OR(H689=$D$5,H689=$D$6,H689=$D$7,H689=$D$8,H689=$D$9,H689=$D$10,H689=$D$11,H689=$D$12,H689=$D$13,H689=$D$14),SottocategorieUscite[[#Headers],[Personali]],IF(OR(H689=$E$5,H689=$E$6,H689=$E$7,H689=$E$8,H689=$E$9,H689=$E$10,H689=$E$11,H689=$E$12,H689=$E$13,H689=$E$14),SottocategorieUscite[[#Headers],[Lavoro]],IF(OR(H689=$F$5,H689=$F$6,H689=$F$7,H689=$F$8,H689=$F$9,H689=$F$10,H689=$F$11,H689=$F$12,H689=$F$13,H689=$F$14),SottocategorieUscite[[#Headers],[Casa]],IF(OR(H689=$G$5,H689=$G$6,H689=$G$7,H689=$G$8,H689=$G$9,H689=$G$10,H689=$G$11,H689=$G$12,H689=$G$13,H689=$G$14),SottocategorieUscite[[#Headers],[Utenze]],IF(OR(H689=$H$5,H689=$H$6,H689=$H$7,H689=$H$8,H689=$H$9,H689=$H$10,H689=$H$11,H689=$H$12,H689=$H$13,H689=$H$14),SottocategorieUscite[[#Headers],[Business Uscite]],IF(OR(H689=$I$5,H689=$I$6,H689=$I$7,H689=$I$8,H689=$I$9,H689=$I$10,H689=$I$11,H689=$I$12,H689=$I$13,H689=$I$14),SottocategorieUscite[[#Headers],[Banca]],IF(OR(H689=K$5,H689=K$6,H689=K$7,H689=K$8,H689=K$9,H689=K$10,H689=K$11,H689=K$12,H689=K$13,H689=K$14),SottocategorieEntrate[[#Headers],[Business Entrate]],IF(OR(H689=L$5,H689=L$6,H689=L$7,H689=L$8,H689=L$9,H689=L$10,H689=L$11,H689=L$12,H689=L$13,H689=L$14),SottocategorieEntrate[[#Headers],[Varie Entrate]],IF(OR(H689=M$5,H689=M$6,H689=M$7,H689=M$8,H689=M$9,H689=M$10,H689=M$11,H689=M$12,H689=M$13,H689=M$14),SottocategorieEntrate[[#Headers],[Real Estate]],IF(OR(H689=N$5,H689=N$6,H689=N$7,H689=N$8,H689=N$9,H689=N$10,H689=N$11,H689=N$12,H689=N$13,H689=N$14),SottocategorieEntrate[[#Headers],[Other]],""))))))))))))</f>
        <v/>
      </c>
      <c r="J689" t="str">
        <f>IF(OR(Dati[[#This Row],[Categoria]]="Bollette",Dati[[#This Row],[Categoria]]="Conto &amp; Carte BNL",Dati[[#This Row],[Categoria]]="Prelievo",Dati[[#This Row],[Categoria]]="Affitto",Dati[[#This Row],[Categoria]]="BNL(Interessi Creditori)"),"Carta",IF(Dati[[#This Row],[Categoria]]&lt;&gt;0,"Cash",""))</f>
        <v/>
      </c>
      <c r="K689" s="59" t="str">
        <f>IF(OR(Data!$I689=SottocategorieUscite[[#Headers],[Fuori Casa]],Data!$I689=SottocategorieUscite[[#Headers],[Varie Uscite]],Data!$I689=SottocategorieUscite[[#Headers],[Personali]],Data!$I689=SottocategorieUscite[[#Headers],[Lavoro]]),"$ -","")</f>
        <v/>
      </c>
      <c r="L689" s="59" t="str">
        <f>IF(OR(Data!$I689=SottocategorieUscite[[#Headers],[Casa]],Data!$I689=SottocategorieUscite[[#Headers],[Utenze]],Data!$I689=SottocategorieUscite[[#Headers],[Business Uscite]],Data!$I689=SottocategorieUscite[[#Headers],[Banca]]),"$ -","")</f>
        <v/>
      </c>
      <c r="M689" s="59" t="str">
        <f>IF(OR($I689&lt;&gt;SottocategorieUscite[[#Headers],[Fuori Casa]],$I689&lt;&gt;SottocategorieUscite[[#Headers],[Varie Uscite]],$I689&lt;&gt;SottocategorieUscite[[#Headers],[Personali]],$I689&lt;&gt;SottocategorieUscite[[#Headers],[Lavoro]],$I689&lt;&gt;SottocategorieUscite[[#Headers],[Casa]],$I689&lt;&gt;SottocategorieUscite[[#Headers],[Utenze]],$I689&lt;&gt;SottocategorieUscite[[#Headers],[Business Uscite]],$I689&lt;&gt;SottocategorieUscite[[#Headers],[Banca]]),"","$ -")</f>
        <v/>
      </c>
      <c r="N689" s="59" t="str">
        <f>IF(OR(Data!$I689=SottocategorieEntrate[[#Headers],[Business Entrate]],Data!$I689=SottocategorieEntrate[[#Headers],[Varie Entrate]]),"$ -","")</f>
        <v/>
      </c>
      <c r="O689" s="59" t="str">
        <f>IF(OR(Data!$I689=SottocategorieEntrate[[#Headers],[Real Estate]],SottocategorieEntrate[[#Headers],[Other]]),"$ -","")</f>
        <v/>
      </c>
      <c r="P689" s="59" t="str">
        <f>IF(OR($I689&lt;&gt;SottocategorieEntrate[[#Headers],[Business Entrate]],$I689&lt;&gt;SottocategorieEntrate[[#Headers],[Varie Entrate]],$I689&lt;&gt;SottocategorieEntrate[[#Headers],[Real Estate]],$I689&lt;&gt;SottocategorieEntrate[[#Headers],[Other]]),"","$ -")</f>
        <v/>
      </c>
      <c r="Q689" s="59" t="str">
        <f>IF(Dati[[#This Row],[Categoria]]="Prelievo","€ -","")</f>
        <v/>
      </c>
      <c r="R689" s="244"/>
      <c r="S689" s="59" t="str">
        <f>IF(Dati[[#This Row],[Categoria]]="Savings",0,"")</f>
        <v/>
      </c>
      <c r="T689" s="59"/>
      <c r="U689" s="59"/>
      <c r="V689" s="59"/>
      <c r="W689" s="59"/>
      <c r="X689" s="59"/>
      <c r="Y689" s="59"/>
      <c r="Z689" s="59"/>
      <c r="AA689" s="59"/>
      <c r="AB689" s="59"/>
      <c r="AC689" s="59"/>
      <c r="AD689" s="59"/>
      <c r="AE689" s="59"/>
      <c r="AF689" s="59"/>
      <c r="AG689" s="59"/>
      <c r="AH689" s="59"/>
      <c r="AI689" s="59" t="str">
        <f>IF(SUM(Dati[[#This Row],[Inv. Business]:[Inv. Cryptocurrency]])=0," ",SUM(Dati[[#This Row],[Inv. Business]:[Inv. Cryptocurrency]]))</f>
        <v xml:space="preserve"> </v>
      </c>
      <c r="AJ689" s="59"/>
      <c r="AK689" s="59"/>
      <c r="AL689" s="59"/>
      <c r="AM689" s="59"/>
    </row>
    <row r="690" spans="2:39" x14ac:dyDescent="0.35">
      <c r="B690" s="237">
        <f t="shared" si="33"/>
        <v>654</v>
      </c>
      <c r="C690" s="49">
        <f>C685+1</f>
        <v>45423</v>
      </c>
      <c r="D690" s="29">
        <f>DAY(Dati[[#This Row],[Data]])</f>
        <v>11</v>
      </c>
      <c r="E690" s="29" t="str">
        <f>IF(DAY(Data!$C$21:$C$1327)&gt;0,TEXT(Data!$C$21:$C$1327, "mmmm"),"")</f>
        <v>maggio</v>
      </c>
      <c r="F690" s="29" t="str">
        <f>IF(DAY(Data!$C$21:$C$1327)&gt;0,TEXT(Data!$C$21:$C$1327, "aaaa"),"")</f>
        <v>2024</v>
      </c>
      <c r="I690" t="str">
        <f>IF(OR(H690=$B$5,H690=$B$6,H690=$B$7,H690=$B$8,H690=$B$9,H690=$B$10,H690=$B$11,H690=$B$12,H690=$B$13,H690=$B$14),SottocategorieUscite[[#Headers],[Fuori Casa]],IF(OR(H690=$C$5,H690=$C$6,H690=$C$7,H690=$C$8,H690=$C$9,H690=$C$10,H690=$C$11,H690=$C$12,H690=$C$13,H690=$C$14),SottocategorieUscite[[#Headers],[Varie Uscite]],IF(OR(H690=$D$5,H690=$D$6,H690=$D$7,H690=$D$8,H690=$D$9,H690=$D$10,H690=$D$11,H690=$D$12,H690=$D$13,H690=$D$14),SottocategorieUscite[[#Headers],[Personali]],IF(OR(H690=$E$5,H690=$E$6,H690=$E$7,H690=$E$8,H690=$E$9,H690=$E$10,H690=$E$11,H690=$E$12,H690=$E$13,H690=$E$14),SottocategorieUscite[[#Headers],[Lavoro]],IF(OR(H690=$F$5,H690=$F$6,H690=$F$7,H690=$F$8,H690=$F$9,H690=$F$10,H690=$F$11,H690=$F$12,H690=$F$13,H690=$F$14),SottocategorieUscite[[#Headers],[Casa]],IF(OR(H690=$G$5,H690=$G$6,H690=$G$7,H690=$G$8,H690=$G$9,H690=$G$10,H690=$G$11,H690=$G$12,H690=$G$13,H690=$G$14),SottocategorieUscite[[#Headers],[Utenze]],IF(OR(H690=$H$5,H690=$H$6,H690=$H$7,H690=$H$8,H690=$H$9,H690=$H$10,H690=$H$11,H690=$H$12,H690=$H$13,H690=$H$14),SottocategorieUscite[[#Headers],[Business Uscite]],IF(OR(H690=$I$5,H690=$I$6,H690=$I$7,H690=$I$8,H690=$I$9,H690=$I$10,H690=$I$11,H690=$I$12,H690=$I$13,H690=$I$14),SottocategorieUscite[[#Headers],[Banca]],IF(OR(H690=K$5,H690=K$6,H690=K$7,H690=K$8,H690=K$9,H690=K$10,H690=K$11,H690=K$12,H690=K$13,H690=K$14),SottocategorieEntrate[[#Headers],[Business Entrate]],IF(OR(H690=L$5,H690=L$6,H690=L$7,H690=L$8,H690=L$9,H690=L$10,H690=L$11,H690=L$12,H690=L$13,H690=L$14),SottocategorieEntrate[[#Headers],[Varie Entrate]],IF(OR(H690=M$5,H690=M$6,H690=M$7,H690=M$8,H690=M$9,H690=M$10,H690=M$11,H690=M$12,H690=M$13,H690=M$14),SottocategorieEntrate[[#Headers],[Real Estate]],IF(OR(H690=N$5,H690=N$6,H690=N$7,H690=N$8,H690=N$9,H690=N$10,H690=N$11,H690=N$12,H690=N$13,H690=N$14),SottocategorieEntrate[[#Headers],[Other]],""))))))))))))</f>
        <v/>
      </c>
      <c r="J690" t="str">
        <f>IF(OR(Dati[[#This Row],[Categoria]]="Bollette",Dati[[#This Row],[Categoria]]="Conto &amp; Carte BNL",Dati[[#This Row],[Categoria]]="Prelievo",Dati[[#This Row],[Categoria]]="Affitto",Dati[[#This Row],[Categoria]]="BNL(Interessi Creditori)"),"Carta",IF(Dati[[#This Row],[Categoria]]&lt;&gt;0,"Cash",""))</f>
        <v/>
      </c>
      <c r="K690" s="59" t="str">
        <f>IF(OR(Data!$I690=SottocategorieUscite[[#Headers],[Fuori Casa]],Data!$I690=SottocategorieUscite[[#Headers],[Varie Uscite]],Data!$I690=SottocategorieUscite[[#Headers],[Personali]],Data!$I690=SottocategorieUscite[[#Headers],[Lavoro]]),"$ -","")</f>
        <v/>
      </c>
      <c r="L690" s="59" t="str">
        <f>IF(OR(Data!$I690=SottocategorieUscite[[#Headers],[Casa]],Data!$I690=SottocategorieUscite[[#Headers],[Utenze]],Data!$I690=SottocategorieUscite[[#Headers],[Business Uscite]],Data!$I690=SottocategorieUscite[[#Headers],[Banca]]),"$ -","")</f>
        <v/>
      </c>
      <c r="M690" s="59" t="str">
        <f>IF(OR($I690&lt;&gt;SottocategorieUscite[[#Headers],[Fuori Casa]],$I690&lt;&gt;SottocategorieUscite[[#Headers],[Varie Uscite]],$I690&lt;&gt;SottocategorieUscite[[#Headers],[Personali]],$I690&lt;&gt;SottocategorieUscite[[#Headers],[Lavoro]],$I690&lt;&gt;SottocategorieUscite[[#Headers],[Casa]],$I690&lt;&gt;SottocategorieUscite[[#Headers],[Utenze]],$I690&lt;&gt;SottocategorieUscite[[#Headers],[Business Uscite]],$I690&lt;&gt;SottocategorieUscite[[#Headers],[Banca]]),"","$ -")</f>
        <v/>
      </c>
      <c r="N690" s="59" t="str">
        <f>IF(OR(Data!$I690=SottocategorieEntrate[[#Headers],[Business Entrate]],Data!$I690=SottocategorieEntrate[[#Headers],[Varie Entrate]]),"$ -","")</f>
        <v/>
      </c>
      <c r="O690" s="59" t="str">
        <f>IF(OR(Data!$I690=SottocategorieEntrate[[#Headers],[Real Estate]],SottocategorieEntrate[[#Headers],[Other]]),"$ -","")</f>
        <v/>
      </c>
      <c r="P690" s="59" t="str">
        <f>IF(OR($I690&lt;&gt;SottocategorieEntrate[[#Headers],[Business Entrate]],$I690&lt;&gt;SottocategorieEntrate[[#Headers],[Varie Entrate]],$I690&lt;&gt;SottocategorieEntrate[[#Headers],[Real Estate]],$I690&lt;&gt;SottocategorieEntrate[[#Headers],[Other]]),"","$ -")</f>
        <v/>
      </c>
      <c r="Q690" s="59" t="str">
        <f>IF(Dati[[#This Row],[Categoria]]="Prelievo","€ -","")</f>
        <v/>
      </c>
      <c r="R690" s="244"/>
      <c r="S690" s="59" t="str">
        <f>IF(Dati[[#This Row],[Categoria]]="Savings",0,"")</f>
        <v/>
      </c>
      <c r="T690" s="59"/>
      <c r="U690" s="59"/>
      <c r="V690" s="59"/>
      <c r="W690" s="59"/>
      <c r="X690" s="59"/>
      <c r="Y690" s="59"/>
      <c r="Z690" s="59"/>
      <c r="AA690" s="59"/>
      <c r="AB690" s="59"/>
      <c r="AC690" s="59"/>
      <c r="AD690" s="59"/>
      <c r="AE690" s="59"/>
      <c r="AF690" s="59"/>
      <c r="AG690" s="59"/>
      <c r="AH690" s="59"/>
      <c r="AI690" s="59" t="str">
        <f>IF(SUM(Dati[[#This Row],[Inv. Business]:[Inv. Cryptocurrency]])=0," ",SUM(Dati[[#This Row],[Inv. Business]:[Inv. Cryptocurrency]]))</f>
        <v xml:space="preserve"> </v>
      </c>
      <c r="AJ690" s="59"/>
      <c r="AK690" s="59"/>
      <c r="AL690" s="59"/>
      <c r="AM690" s="59"/>
    </row>
    <row r="691" spans="2:39" x14ac:dyDescent="0.35">
      <c r="B691" s="237">
        <f t="shared" si="33"/>
        <v>655</v>
      </c>
      <c r="C691" s="49">
        <f t="shared" si="27"/>
        <v>45424</v>
      </c>
      <c r="D691" s="29">
        <f>DAY(Dati[[#This Row],[Data]])</f>
        <v>12</v>
      </c>
      <c r="E691" s="29" t="str">
        <f>IF(DAY(Data!$C$21:$C$1327)&gt;0,TEXT(Data!$C$21:$C$1327, "mmmm"),"")</f>
        <v>maggio</v>
      </c>
      <c r="F691" s="29" t="str">
        <f>IF(DAY(Data!$C$21:$C$1327)&gt;0,TEXT(Data!$C$21:$C$1327, "aaaa"),"")</f>
        <v>2024</v>
      </c>
      <c r="I691" t="str">
        <f>IF(OR(H691=$B$5,H691=$B$6,H691=$B$7,H691=$B$8,H691=$B$9,H691=$B$10,H691=$B$11,H691=$B$12,H691=$B$13,H691=$B$14),SottocategorieUscite[[#Headers],[Fuori Casa]],IF(OR(H691=$C$5,H691=$C$6,H691=$C$7,H691=$C$8,H691=$C$9,H691=$C$10,H691=$C$11,H691=$C$12,H691=$C$13,H691=$C$14),SottocategorieUscite[[#Headers],[Varie Uscite]],IF(OR(H691=$D$5,H691=$D$6,H691=$D$7,H691=$D$8,H691=$D$9,H691=$D$10,H691=$D$11,H691=$D$12,H691=$D$13,H691=$D$14),SottocategorieUscite[[#Headers],[Personali]],IF(OR(H691=$E$5,H691=$E$6,H691=$E$7,H691=$E$8,H691=$E$9,H691=$E$10,H691=$E$11,H691=$E$12,H691=$E$13,H691=$E$14),SottocategorieUscite[[#Headers],[Lavoro]],IF(OR(H691=$F$5,H691=$F$6,H691=$F$7,H691=$F$8,H691=$F$9,H691=$F$10,H691=$F$11,H691=$F$12,H691=$F$13,H691=$F$14),SottocategorieUscite[[#Headers],[Casa]],IF(OR(H691=$G$5,H691=$G$6,H691=$G$7,H691=$G$8,H691=$G$9,H691=$G$10,H691=$G$11,H691=$G$12,H691=$G$13,H691=$G$14),SottocategorieUscite[[#Headers],[Utenze]],IF(OR(H691=$H$5,H691=$H$6,H691=$H$7,H691=$H$8,H691=$H$9,H691=$H$10,H691=$H$11,H691=$H$12,H691=$H$13,H691=$H$14),SottocategorieUscite[[#Headers],[Business Uscite]],IF(OR(H691=$I$5,H691=$I$6,H691=$I$7,H691=$I$8,H691=$I$9,H691=$I$10,H691=$I$11,H691=$I$12,H691=$I$13,H691=$I$14),SottocategorieUscite[[#Headers],[Banca]],IF(OR(H691=K$5,H691=K$6,H691=K$7,H691=K$8,H691=K$9,H691=K$10,H691=K$11,H691=K$12,H691=K$13,H691=K$14),SottocategorieEntrate[[#Headers],[Business Entrate]],IF(OR(H691=L$5,H691=L$6,H691=L$7,H691=L$8,H691=L$9,H691=L$10,H691=L$11,H691=L$12,H691=L$13,H691=L$14),SottocategorieEntrate[[#Headers],[Varie Entrate]],IF(OR(H691=M$5,H691=M$6,H691=M$7,H691=M$8,H691=M$9,H691=M$10,H691=M$11,H691=M$12,H691=M$13,H691=M$14),SottocategorieEntrate[[#Headers],[Real Estate]],IF(OR(H691=N$5,H691=N$6,H691=N$7,H691=N$8,H691=N$9,H691=N$10,H691=N$11,H691=N$12,H691=N$13,H691=N$14),SottocategorieEntrate[[#Headers],[Other]],""))))))))))))</f>
        <v/>
      </c>
      <c r="J691" t="str">
        <f>IF(OR(Dati[[#This Row],[Categoria]]="Bollette",Dati[[#This Row],[Categoria]]="Conto &amp; Carte BNL",Dati[[#This Row],[Categoria]]="Prelievo",Dati[[#This Row],[Categoria]]="Affitto",Dati[[#This Row],[Categoria]]="BNL(Interessi Creditori)"),"Carta",IF(Dati[[#This Row],[Categoria]]&lt;&gt;0,"Cash",""))</f>
        <v/>
      </c>
      <c r="K691" s="59" t="str">
        <f>IF(OR(Data!$I691=SottocategorieUscite[[#Headers],[Fuori Casa]],Data!$I691=SottocategorieUscite[[#Headers],[Varie Uscite]],Data!$I691=SottocategorieUscite[[#Headers],[Personali]],Data!$I691=SottocategorieUscite[[#Headers],[Lavoro]]),"$ -","")</f>
        <v/>
      </c>
      <c r="L691" s="59" t="str">
        <f>IF(OR(Data!$I691=SottocategorieUscite[[#Headers],[Casa]],Data!$I691=SottocategorieUscite[[#Headers],[Utenze]],Data!$I691=SottocategorieUscite[[#Headers],[Business Uscite]],Data!$I691=SottocategorieUscite[[#Headers],[Banca]]),"$ -","")</f>
        <v/>
      </c>
      <c r="M691" s="59" t="str">
        <f>IF(OR($I691&lt;&gt;SottocategorieUscite[[#Headers],[Fuori Casa]],$I691&lt;&gt;SottocategorieUscite[[#Headers],[Varie Uscite]],$I691&lt;&gt;SottocategorieUscite[[#Headers],[Personali]],$I691&lt;&gt;SottocategorieUscite[[#Headers],[Lavoro]],$I691&lt;&gt;SottocategorieUscite[[#Headers],[Casa]],$I691&lt;&gt;SottocategorieUscite[[#Headers],[Utenze]],$I691&lt;&gt;SottocategorieUscite[[#Headers],[Business Uscite]],$I691&lt;&gt;SottocategorieUscite[[#Headers],[Banca]]),"","$ -")</f>
        <v/>
      </c>
      <c r="N691" s="59" t="str">
        <f>IF(OR(Data!$I691=SottocategorieEntrate[[#Headers],[Business Entrate]],Data!$I691=SottocategorieEntrate[[#Headers],[Varie Entrate]]),"$ -","")</f>
        <v/>
      </c>
      <c r="O691" s="59" t="str">
        <f>IF(OR(Data!$I691=SottocategorieEntrate[[#Headers],[Real Estate]],SottocategorieEntrate[[#Headers],[Other]]),"$ -","")</f>
        <v/>
      </c>
      <c r="P691" s="59" t="str">
        <f>IF(OR($I691&lt;&gt;SottocategorieEntrate[[#Headers],[Business Entrate]],$I691&lt;&gt;SottocategorieEntrate[[#Headers],[Varie Entrate]],$I691&lt;&gt;SottocategorieEntrate[[#Headers],[Real Estate]],$I691&lt;&gt;SottocategorieEntrate[[#Headers],[Other]]),"","$ -")</f>
        <v/>
      </c>
      <c r="Q691" s="59" t="str">
        <f>IF(Dati[[#This Row],[Categoria]]="Prelievo","€ -","")</f>
        <v/>
      </c>
      <c r="R691" s="244"/>
      <c r="S691" s="59" t="str">
        <f>IF(Dati[[#This Row],[Categoria]]="Savings",0,"")</f>
        <v/>
      </c>
      <c r="T691" s="59"/>
      <c r="U691" s="59"/>
      <c r="V691" s="59"/>
      <c r="W691" s="59"/>
      <c r="X691" s="59"/>
      <c r="Y691" s="59"/>
      <c r="Z691" s="59"/>
      <c r="AA691" s="59"/>
      <c r="AB691" s="59"/>
      <c r="AC691" s="59"/>
      <c r="AD691" s="59"/>
      <c r="AE691" s="59"/>
      <c r="AF691" s="59"/>
      <c r="AG691" s="59"/>
      <c r="AH691" s="59"/>
      <c r="AI691" s="59" t="str">
        <f>IF(SUM(Dati[[#This Row],[Inv. Business]:[Inv. Cryptocurrency]])=0," ",SUM(Dati[[#This Row],[Inv. Business]:[Inv. Cryptocurrency]]))</f>
        <v xml:space="preserve"> </v>
      </c>
      <c r="AJ691" s="59"/>
      <c r="AK691" s="59"/>
      <c r="AL691" s="59"/>
      <c r="AM691" s="59"/>
    </row>
    <row r="692" spans="2:39" x14ac:dyDescent="0.35">
      <c r="B692" s="237">
        <f t="shared" si="33"/>
        <v>656</v>
      </c>
      <c r="C692" s="49">
        <f t="shared" si="27"/>
        <v>45425</v>
      </c>
      <c r="D692" s="29">
        <f>DAY(Dati[[#This Row],[Data]])</f>
        <v>13</v>
      </c>
      <c r="E692" s="29" t="str">
        <f>IF(DAY(Data!$C$21:$C$1327)&gt;0,TEXT(Data!$C$21:$C$1327, "mmmm"),"")</f>
        <v>maggio</v>
      </c>
      <c r="F692" s="29" t="str">
        <f>IF(DAY(Data!$C$21:$C$1327)&gt;0,TEXT(Data!$C$21:$C$1327, "aaaa"),"")</f>
        <v>2024</v>
      </c>
      <c r="I692" t="str">
        <f>IF(OR(H692=$B$5,H692=$B$6,H692=$B$7,H692=$B$8,H692=$B$9,H692=$B$10,H692=$B$11,H692=$B$12,H692=$B$13,H692=$B$14),SottocategorieUscite[[#Headers],[Fuori Casa]],IF(OR(H692=$C$5,H692=$C$6,H692=$C$7,H692=$C$8,H692=$C$9,H692=$C$10,H692=$C$11,H692=$C$12,H692=$C$13,H692=$C$14),SottocategorieUscite[[#Headers],[Varie Uscite]],IF(OR(H692=$D$5,H692=$D$6,H692=$D$7,H692=$D$8,H692=$D$9,H692=$D$10,H692=$D$11,H692=$D$12,H692=$D$13,H692=$D$14),SottocategorieUscite[[#Headers],[Personali]],IF(OR(H692=$E$5,H692=$E$6,H692=$E$7,H692=$E$8,H692=$E$9,H692=$E$10,H692=$E$11,H692=$E$12,H692=$E$13,H692=$E$14),SottocategorieUscite[[#Headers],[Lavoro]],IF(OR(H692=$F$5,H692=$F$6,H692=$F$7,H692=$F$8,H692=$F$9,H692=$F$10,H692=$F$11,H692=$F$12,H692=$F$13,H692=$F$14),SottocategorieUscite[[#Headers],[Casa]],IF(OR(H692=$G$5,H692=$G$6,H692=$G$7,H692=$G$8,H692=$G$9,H692=$G$10,H692=$G$11,H692=$G$12,H692=$G$13,H692=$G$14),SottocategorieUscite[[#Headers],[Utenze]],IF(OR(H692=$H$5,H692=$H$6,H692=$H$7,H692=$H$8,H692=$H$9,H692=$H$10,H692=$H$11,H692=$H$12,H692=$H$13,H692=$H$14),SottocategorieUscite[[#Headers],[Business Uscite]],IF(OR(H692=$I$5,H692=$I$6,H692=$I$7,H692=$I$8,H692=$I$9,H692=$I$10,H692=$I$11,H692=$I$12,H692=$I$13,H692=$I$14),SottocategorieUscite[[#Headers],[Banca]],IF(OR(H692=K$5,H692=K$6,H692=K$7,H692=K$8,H692=K$9,H692=K$10,H692=K$11,H692=K$12,H692=K$13,H692=K$14),SottocategorieEntrate[[#Headers],[Business Entrate]],IF(OR(H692=L$5,H692=L$6,H692=L$7,H692=L$8,H692=L$9,H692=L$10,H692=L$11,H692=L$12,H692=L$13,H692=L$14),SottocategorieEntrate[[#Headers],[Varie Entrate]],IF(OR(H692=M$5,H692=M$6,H692=M$7,H692=M$8,H692=M$9,H692=M$10,H692=M$11,H692=M$12,H692=M$13,H692=M$14),SottocategorieEntrate[[#Headers],[Real Estate]],IF(OR(H692=N$5,H692=N$6,H692=N$7,H692=N$8,H692=N$9,H692=N$10,H692=N$11,H692=N$12,H692=N$13,H692=N$14),SottocategorieEntrate[[#Headers],[Other]],""))))))))))))</f>
        <v/>
      </c>
      <c r="J692" t="str">
        <f>IF(OR(Dati[[#This Row],[Categoria]]="Bollette",Dati[[#This Row],[Categoria]]="Conto &amp; Carte BNL",Dati[[#This Row],[Categoria]]="Prelievo",Dati[[#This Row],[Categoria]]="Affitto",Dati[[#This Row],[Categoria]]="BNL(Interessi Creditori)"),"Carta",IF(Dati[[#This Row],[Categoria]]&lt;&gt;0,"Cash",""))</f>
        <v/>
      </c>
      <c r="K692" s="59" t="str">
        <f>IF(OR(Data!$I692=SottocategorieUscite[[#Headers],[Fuori Casa]],Data!$I692=SottocategorieUscite[[#Headers],[Varie Uscite]],Data!$I692=SottocategorieUscite[[#Headers],[Personali]],Data!$I692=SottocategorieUscite[[#Headers],[Lavoro]]),"$ -","")</f>
        <v/>
      </c>
      <c r="L692" s="59" t="str">
        <f>IF(OR(Data!$I692=SottocategorieUscite[[#Headers],[Casa]],Data!$I692=SottocategorieUscite[[#Headers],[Utenze]],Data!$I692=SottocategorieUscite[[#Headers],[Business Uscite]],Data!$I692=SottocategorieUscite[[#Headers],[Banca]]),"$ -","")</f>
        <v/>
      </c>
      <c r="M692" s="59" t="str">
        <f>IF(OR($I692&lt;&gt;SottocategorieUscite[[#Headers],[Fuori Casa]],$I692&lt;&gt;SottocategorieUscite[[#Headers],[Varie Uscite]],$I692&lt;&gt;SottocategorieUscite[[#Headers],[Personali]],$I692&lt;&gt;SottocategorieUscite[[#Headers],[Lavoro]],$I692&lt;&gt;SottocategorieUscite[[#Headers],[Casa]],$I692&lt;&gt;SottocategorieUscite[[#Headers],[Utenze]],$I692&lt;&gt;SottocategorieUscite[[#Headers],[Business Uscite]],$I692&lt;&gt;SottocategorieUscite[[#Headers],[Banca]]),"","$ -")</f>
        <v/>
      </c>
      <c r="N692" s="59" t="str">
        <f>IF(OR(Data!$I692=SottocategorieEntrate[[#Headers],[Business Entrate]],Data!$I692=SottocategorieEntrate[[#Headers],[Varie Entrate]]),"$ -","")</f>
        <v/>
      </c>
      <c r="O692" s="59" t="str">
        <f>IF(OR(Data!$I692=SottocategorieEntrate[[#Headers],[Real Estate]],SottocategorieEntrate[[#Headers],[Other]]),"$ -","")</f>
        <v/>
      </c>
      <c r="P692" s="59" t="str">
        <f>IF(OR($I692&lt;&gt;SottocategorieEntrate[[#Headers],[Business Entrate]],$I692&lt;&gt;SottocategorieEntrate[[#Headers],[Varie Entrate]],$I692&lt;&gt;SottocategorieEntrate[[#Headers],[Real Estate]],$I692&lt;&gt;SottocategorieEntrate[[#Headers],[Other]]),"","$ -")</f>
        <v/>
      </c>
      <c r="Q692" s="59" t="str">
        <f>IF(Dati[[#This Row],[Categoria]]="Prelievo","€ -","")</f>
        <v/>
      </c>
      <c r="R692" s="244"/>
      <c r="S692" s="59" t="str">
        <f>IF(Dati[[#This Row],[Categoria]]="Savings",0,"")</f>
        <v/>
      </c>
      <c r="T692" s="59"/>
      <c r="U692" s="59"/>
      <c r="V692" s="59"/>
      <c r="W692" s="59"/>
      <c r="X692" s="59"/>
      <c r="Y692" s="59"/>
      <c r="Z692" s="59"/>
      <c r="AA692" s="59"/>
      <c r="AB692" s="59"/>
      <c r="AC692" s="59"/>
      <c r="AD692" s="59"/>
      <c r="AE692" s="59"/>
      <c r="AF692" s="59"/>
      <c r="AG692" s="59"/>
      <c r="AH692" s="59"/>
      <c r="AI692" s="59" t="str">
        <f>IF(SUM(Dati[[#This Row],[Inv. Business]:[Inv. Cryptocurrency]])=0," ",SUM(Dati[[#This Row],[Inv. Business]:[Inv. Cryptocurrency]]))</f>
        <v xml:space="preserve"> </v>
      </c>
      <c r="AJ692" s="59"/>
      <c r="AK692" s="59"/>
      <c r="AL692" s="59"/>
      <c r="AM692" s="59"/>
    </row>
    <row r="693" spans="2:39" x14ac:dyDescent="0.35">
      <c r="B693" s="237">
        <f t="shared" si="33"/>
        <v>657</v>
      </c>
      <c r="C693" s="49">
        <f t="shared" si="27"/>
        <v>45426</v>
      </c>
      <c r="D693" s="29">
        <f>DAY(Dati[[#This Row],[Data]])</f>
        <v>14</v>
      </c>
      <c r="E693" s="29" t="str">
        <f>IF(DAY(Data!$C$21:$C$1327)&gt;0,TEXT(Data!$C$21:$C$1327, "mmmm"),"")</f>
        <v>maggio</v>
      </c>
      <c r="F693" s="29" t="str">
        <f>IF(DAY(Data!$C$21:$C$1327)&gt;0,TEXT(Data!$C$21:$C$1327, "aaaa"),"")</f>
        <v>2024</v>
      </c>
      <c r="I693" t="str">
        <f>IF(OR(H693=$B$5,H693=$B$6,H693=$B$7,H693=$B$8,H693=$B$9,H693=$B$10,H693=$B$11,H693=$B$12,H693=$B$13,H693=$B$14),SottocategorieUscite[[#Headers],[Fuori Casa]],IF(OR(H693=$C$5,H693=$C$6,H693=$C$7,H693=$C$8,H693=$C$9,H693=$C$10,H693=$C$11,H693=$C$12,H693=$C$13,H693=$C$14),SottocategorieUscite[[#Headers],[Varie Uscite]],IF(OR(H693=$D$5,H693=$D$6,H693=$D$7,H693=$D$8,H693=$D$9,H693=$D$10,H693=$D$11,H693=$D$12,H693=$D$13,H693=$D$14),SottocategorieUscite[[#Headers],[Personali]],IF(OR(H693=$E$5,H693=$E$6,H693=$E$7,H693=$E$8,H693=$E$9,H693=$E$10,H693=$E$11,H693=$E$12,H693=$E$13,H693=$E$14),SottocategorieUscite[[#Headers],[Lavoro]],IF(OR(H693=$F$5,H693=$F$6,H693=$F$7,H693=$F$8,H693=$F$9,H693=$F$10,H693=$F$11,H693=$F$12,H693=$F$13,H693=$F$14),SottocategorieUscite[[#Headers],[Casa]],IF(OR(H693=$G$5,H693=$G$6,H693=$G$7,H693=$G$8,H693=$G$9,H693=$G$10,H693=$G$11,H693=$G$12,H693=$G$13,H693=$G$14),SottocategorieUscite[[#Headers],[Utenze]],IF(OR(H693=$H$5,H693=$H$6,H693=$H$7,H693=$H$8,H693=$H$9,H693=$H$10,H693=$H$11,H693=$H$12,H693=$H$13,H693=$H$14),SottocategorieUscite[[#Headers],[Business Uscite]],IF(OR(H693=$I$5,H693=$I$6,H693=$I$7,H693=$I$8,H693=$I$9,H693=$I$10,H693=$I$11,H693=$I$12,H693=$I$13,H693=$I$14),SottocategorieUscite[[#Headers],[Banca]],IF(OR(H693=K$5,H693=K$6,H693=K$7,H693=K$8,H693=K$9,H693=K$10,H693=K$11,H693=K$12,H693=K$13,H693=K$14),SottocategorieEntrate[[#Headers],[Business Entrate]],IF(OR(H693=L$5,H693=L$6,H693=L$7,H693=L$8,H693=L$9,H693=L$10,H693=L$11,H693=L$12,H693=L$13,H693=L$14),SottocategorieEntrate[[#Headers],[Varie Entrate]],IF(OR(H693=M$5,H693=M$6,H693=M$7,H693=M$8,H693=M$9,H693=M$10,H693=M$11,H693=M$12,H693=M$13,H693=M$14),SottocategorieEntrate[[#Headers],[Real Estate]],IF(OR(H693=N$5,H693=N$6,H693=N$7,H693=N$8,H693=N$9,H693=N$10,H693=N$11,H693=N$12,H693=N$13,H693=N$14),SottocategorieEntrate[[#Headers],[Other]],""))))))))))))</f>
        <v/>
      </c>
      <c r="J693" t="str">
        <f>IF(OR(Dati[[#This Row],[Categoria]]="Bollette",Dati[[#This Row],[Categoria]]="Conto &amp; Carte BNL",Dati[[#This Row],[Categoria]]="Prelievo",Dati[[#This Row],[Categoria]]="Affitto",Dati[[#This Row],[Categoria]]="BNL(Interessi Creditori)"),"Carta",IF(Dati[[#This Row],[Categoria]]&lt;&gt;0,"Cash",""))</f>
        <v/>
      </c>
      <c r="K693" s="59" t="str">
        <f>IF(OR(Data!$I693=SottocategorieUscite[[#Headers],[Fuori Casa]],Data!$I693=SottocategorieUscite[[#Headers],[Varie Uscite]],Data!$I693=SottocategorieUscite[[#Headers],[Personali]],Data!$I693=SottocategorieUscite[[#Headers],[Lavoro]]),"$ -","")</f>
        <v/>
      </c>
      <c r="L693" s="59" t="str">
        <f>IF(OR(Data!$I693=SottocategorieUscite[[#Headers],[Casa]],Data!$I693=SottocategorieUscite[[#Headers],[Utenze]],Data!$I693=SottocategorieUscite[[#Headers],[Business Uscite]],Data!$I693=SottocategorieUscite[[#Headers],[Banca]]),"$ -","")</f>
        <v/>
      </c>
      <c r="M693" s="59" t="str">
        <f>IF(OR($I693&lt;&gt;SottocategorieUscite[[#Headers],[Fuori Casa]],$I693&lt;&gt;SottocategorieUscite[[#Headers],[Varie Uscite]],$I693&lt;&gt;SottocategorieUscite[[#Headers],[Personali]],$I693&lt;&gt;SottocategorieUscite[[#Headers],[Lavoro]],$I693&lt;&gt;SottocategorieUscite[[#Headers],[Casa]],$I693&lt;&gt;SottocategorieUscite[[#Headers],[Utenze]],$I693&lt;&gt;SottocategorieUscite[[#Headers],[Business Uscite]],$I693&lt;&gt;SottocategorieUscite[[#Headers],[Banca]]),"","$ -")</f>
        <v/>
      </c>
      <c r="N693" s="59" t="str">
        <f>IF(OR(Data!$I693=SottocategorieEntrate[[#Headers],[Business Entrate]],Data!$I693=SottocategorieEntrate[[#Headers],[Varie Entrate]]),"$ -","")</f>
        <v/>
      </c>
      <c r="O693" s="59" t="str">
        <f>IF(OR(Data!$I693=SottocategorieEntrate[[#Headers],[Real Estate]],SottocategorieEntrate[[#Headers],[Other]]),"$ -","")</f>
        <v/>
      </c>
      <c r="P693" s="59" t="str">
        <f>IF(OR($I693&lt;&gt;SottocategorieEntrate[[#Headers],[Business Entrate]],$I693&lt;&gt;SottocategorieEntrate[[#Headers],[Varie Entrate]],$I693&lt;&gt;SottocategorieEntrate[[#Headers],[Real Estate]],$I693&lt;&gt;SottocategorieEntrate[[#Headers],[Other]]),"","$ -")</f>
        <v/>
      </c>
      <c r="Q693" s="59" t="str">
        <f>IF(Dati[[#This Row],[Categoria]]="Prelievo","€ -","")</f>
        <v/>
      </c>
      <c r="R693" s="244"/>
      <c r="S693" s="59" t="str">
        <f>IF(Dati[[#This Row],[Categoria]]="Savings",0,"")</f>
        <v/>
      </c>
      <c r="T693" s="59"/>
      <c r="U693" s="59"/>
      <c r="V693" s="59"/>
      <c r="W693" s="59"/>
      <c r="X693" s="59"/>
      <c r="Y693" s="59"/>
      <c r="Z693" s="59"/>
      <c r="AA693" s="59"/>
      <c r="AB693" s="59"/>
      <c r="AC693" s="59"/>
      <c r="AD693" s="59"/>
      <c r="AE693" s="59"/>
      <c r="AF693" s="59"/>
      <c r="AG693" s="59"/>
      <c r="AH693" s="59"/>
      <c r="AI693" s="59" t="str">
        <f>IF(SUM(Dati[[#This Row],[Inv. Business]:[Inv. Cryptocurrency]])=0," ",SUM(Dati[[#This Row],[Inv. Business]:[Inv. Cryptocurrency]]))</f>
        <v xml:space="preserve"> </v>
      </c>
      <c r="AJ693" s="59"/>
      <c r="AK693" s="59"/>
      <c r="AL693" s="59"/>
      <c r="AM693" s="59"/>
    </row>
    <row r="694" spans="2:39" x14ac:dyDescent="0.35">
      <c r="B694" s="237">
        <f t="shared" si="33"/>
        <v>658</v>
      </c>
      <c r="C694" s="49">
        <f t="shared" si="27"/>
        <v>45427</v>
      </c>
      <c r="D694" s="29">
        <f>DAY(Dati[[#This Row],[Data]])</f>
        <v>15</v>
      </c>
      <c r="E694" s="29" t="str">
        <f>IF(DAY(Data!$C$21:$C$1327)&gt;0,TEXT(Data!$C$21:$C$1327, "mmmm"),"")</f>
        <v>maggio</v>
      </c>
      <c r="F694" s="29" t="str">
        <f>IF(DAY(Data!$C$21:$C$1327)&gt;0,TEXT(Data!$C$21:$C$1327, "aaaa"),"")</f>
        <v>2024</v>
      </c>
      <c r="I694" t="str">
        <f>IF(OR(H694=$B$5,H694=$B$6,H694=$B$7,H694=$B$8,H694=$B$9,H694=$B$10,H694=$B$11,H694=$B$12,H694=$B$13,H694=$B$14),SottocategorieUscite[[#Headers],[Fuori Casa]],IF(OR(H694=$C$5,H694=$C$6,H694=$C$7,H694=$C$8,H694=$C$9,H694=$C$10,H694=$C$11,H694=$C$12,H694=$C$13,H694=$C$14),SottocategorieUscite[[#Headers],[Varie Uscite]],IF(OR(H694=$D$5,H694=$D$6,H694=$D$7,H694=$D$8,H694=$D$9,H694=$D$10,H694=$D$11,H694=$D$12,H694=$D$13,H694=$D$14),SottocategorieUscite[[#Headers],[Personali]],IF(OR(H694=$E$5,H694=$E$6,H694=$E$7,H694=$E$8,H694=$E$9,H694=$E$10,H694=$E$11,H694=$E$12,H694=$E$13,H694=$E$14),SottocategorieUscite[[#Headers],[Lavoro]],IF(OR(H694=$F$5,H694=$F$6,H694=$F$7,H694=$F$8,H694=$F$9,H694=$F$10,H694=$F$11,H694=$F$12,H694=$F$13,H694=$F$14),SottocategorieUscite[[#Headers],[Casa]],IF(OR(H694=$G$5,H694=$G$6,H694=$G$7,H694=$G$8,H694=$G$9,H694=$G$10,H694=$G$11,H694=$G$12,H694=$G$13,H694=$G$14),SottocategorieUscite[[#Headers],[Utenze]],IF(OR(H694=$H$5,H694=$H$6,H694=$H$7,H694=$H$8,H694=$H$9,H694=$H$10,H694=$H$11,H694=$H$12,H694=$H$13,H694=$H$14),SottocategorieUscite[[#Headers],[Business Uscite]],IF(OR(H694=$I$5,H694=$I$6,H694=$I$7,H694=$I$8,H694=$I$9,H694=$I$10,H694=$I$11,H694=$I$12,H694=$I$13,H694=$I$14),SottocategorieUscite[[#Headers],[Banca]],IF(OR(H694=K$5,H694=K$6,H694=K$7,H694=K$8,H694=K$9,H694=K$10,H694=K$11,H694=K$12,H694=K$13,H694=K$14),SottocategorieEntrate[[#Headers],[Business Entrate]],IF(OR(H694=L$5,H694=L$6,H694=L$7,H694=L$8,H694=L$9,H694=L$10,H694=L$11,H694=L$12,H694=L$13,H694=L$14),SottocategorieEntrate[[#Headers],[Varie Entrate]],IF(OR(H694=M$5,H694=M$6,H694=M$7,H694=M$8,H694=M$9,H694=M$10,H694=M$11,H694=M$12,H694=M$13,H694=M$14),SottocategorieEntrate[[#Headers],[Real Estate]],IF(OR(H694=N$5,H694=N$6,H694=N$7,H694=N$8,H694=N$9,H694=N$10,H694=N$11,H694=N$12,H694=N$13,H694=N$14),SottocategorieEntrate[[#Headers],[Other]],""))))))))))))</f>
        <v/>
      </c>
      <c r="J694" t="str">
        <f>IF(OR(Dati[[#This Row],[Categoria]]="Bollette",Dati[[#This Row],[Categoria]]="Conto &amp; Carte BNL",Dati[[#This Row],[Categoria]]="Prelievo",Dati[[#This Row],[Categoria]]="Affitto",Dati[[#This Row],[Categoria]]="BNL(Interessi Creditori)"),"Carta",IF(Dati[[#This Row],[Categoria]]&lt;&gt;0,"Cash",""))</f>
        <v/>
      </c>
      <c r="K694" s="59" t="str">
        <f>IF(OR(Data!$I694=SottocategorieUscite[[#Headers],[Fuori Casa]],Data!$I694=SottocategorieUscite[[#Headers],[Varie Uscite]],Data!$I694=SottocategorieUscite[[#Headers],[Personali]],Data!$I694=SottocategorieUscite[[#Headers],[Lavoro]]),"$ -","")</f>
        <v/>
      </c>
      <c r="L694" s="59" t="str">
        <f>IF(OR(Data!$I694=SottocategorieUscite[[#Headers],[Casa]],Data!$I694=SottocategorieUscite[[#Headers],[Utenze]],Data!$I694=SottocategorieUscite[[#Headers],[Business Uscite]],Data!$I694=SottocategorieUscite[[#Headers],[Banca]]),"$ -","")</f>
        <v/>
      </c>
      <c r="M694" s="59" t="str">
        <f>IF(OR($I694&lt;&gt;SottocategorieUscite[[#Headers],[Fuori Casa]],$I694&lt;&gt;SottocategorieUscite[[#Headers],[Varie Uscite]],$I694&lt;&gt;SottocategorieUscite[[#Headers],[Personali]],$I694&lt;&gt;SottocategorieUscite[[#Headers],[Lavoro]],$I694&lt;&gt;SottocategorieUscite[[#Headers],[Casa]],$I694&lt;&gt;SottocategorieUscite[[#Headers],[Utenze]],$I694&lt;&gt;SottocategorieUscite[[#Headers],[Business Uscite]],$I694&lt;&gt;SottocategorieUscite[[#Headers],[Banca]]),"","$ -")</f>
        <v/>
      </c>
      <c r="N694" s="59" t="str">
        <f>IF(OR(Data!$I694=SottocategorieEntrate[[#Headers],[Business Entrate]],Data!$I694=SottocategorieEntrate[[#Headers],[Varie Entrate]]),"$ -","")</f>
        <v/>
      </c>
      <c r="O694" s="59" t="str">
        <f>IF(OR(Data!$I694=SottocategorieEntrate[[#Headers],[Real Estate]],SottocategorieEntrate[[#Headers],[Other]]),"$ -","")</f>
        <v/>
      </c>
      <c r="P694" s="59" t="str">
        <f>IF(OR($I694&lt;&gt;SottocategorieEntrate[[#Headers],[Business Entrate]],$I694&lt;&gt;SottocategorieEntrate[[#Headers],[Varie Entrate]],$I694&lt;&gt;SottocategorieEntrate[[#Headers],[Real Estate]],$I694&lt;&gt;SottocategorieEntrate[[#Headers],[Other]]),"","$ -")</f>
        <v/>
      </c>
      <c r="Q694" s="59" t="str">
        <f>IF(Dati[[#This Row],[Categoria]]="Prelievo","€ -","")</f>
        <v/>
      </c>
      <c r="R694" s="244"/>
      <c r="S694" s="59" t="str">
        <f>IF(Dati[[#This Row],[Categoria]]="Savings",0,"")</f>
        <v/>
      </c>
      <c r="T694" s="59"/>
      <c r="U694" s="59"/>
      <c r="V694" s="59"/>
      <c r="W694" s="59"/>
      <c r="X694" s="59"/>
      <c r="Y694" s="59"/>
      <c r="Z694" s="59"/>
      <c r="AA694" s="59"/>
      <c r="AB694" s="59"/>
      <c r="AC694" s="59"/>
      <c r="AD694" s="59"/>
      <c r="AE694" s="59"/>
      <c r="AF694" s="59"/>
      <c r="AG694" s="59"/>
      <c r="AH694" s="59"/>
      <c r="AI694" s="59" t="str">
        <f>IF(SUM(Dati[[#This Row],[Inv. Business]:[Inv. Cryptocurrency]])=0," ",SUM(Dati[[#This Row],[Inv. Business]:[Inv. Cryptocurrency]]))</f>
        <v xml:space="preserve"> </v>
      </c>
      <c r="AJ694" s="59"/>
      <c r="AK694" s="59"/>
      <c r="AL694" s="59"/>
      <c r="AM694" s="59"/>
    </row>
    <row r="695" spans="2:39" x14ac:dyDescent="0.35">
      <c r="B695" s="237">
        <f>ROW(658:658)</f>
        <v>658</v>
      </c>
      <c r="C695" s="49">
        <f>C693+1</f>
        <v>45427</v>
      </c>
      <c r="D695" s="29">
        <f>DAY(Dati[[#This Row],[Data]])</f>
        <v>15</v>
      </c>
      <c r="E695" s="29" t="str">
        <f>IF(DAY(Data!$C$21:$C$1327)&gt;0,TEXT(Data!$C$21:$C$1327, "mmmm"),"")</f>
        <v>maggio</v>
      </c>
      <c r="F695" s="29" t="str">
        <f>IF(DAY(Data!$C$21:$C$1327)&gt;0,TEXT(Data!$C$21:$C$1327, "aaaa"),"")</f>
        <v>2024</v>
      </c>
      <c r="I695" t="str">
        <f>IF(OR(H695=$B$5,H695=$B$6,H695=$B$7,H695=$B$8,H695=$B$9,H695=$B$10,H695=$B$11,H695=$B$12,H695=$B$13,H695=$B$14),SottocategorieUscite[[#Headers],[Fuori Casa]],IF(OR(H695=$C$5,H695=$C$6,H695=$C$7,H695=$C$8,H695=$C$9,H695=$C$10,H695=$C$11,H695=$C$12,H695=$C$13,H695=$C$14),SottocategorieUscite[[#Headers],[Varie Uscite]],IF(OR(H695=$D$5,H695=$D$6,H695=$D$7,H695=$D$8,H695=$D$9,H695=$D$10,H695=$D$11,H695=$D$12,H695=$D$13,H695=$D$14),SottocategorieUscite[[#Headers],[Personali]],IF(OR(H695=$E$5,H695=$E$6,H695=$E$7,H695=$E$8,H695=$E$9,H695=$E$10,H695=$E$11,H695=$E$12,H695=$E$13,H695=$E$14),SottocategorieUscite[[#Headers],[Lavoro]],IF(OR(H695=$F$5,H695=$F$6,H695=$F$7,H695=$F$8,H695=$F$9,H695=$F$10,H695=$F$11,H695=$F$12,H695=$F$13,H695=$F$14),SottocategorieUscite[[#Headers],[Casa]],IF(OR(H695=$G$5,H695=$G$6,H695=$G$7,H695=$G$8,H695=$G$9,H695=$G$10,H695=$G$11,H695=$G$12,H695=$G$13,H695=$G$14),SottocategorieUscite[[#Headers],[Utenze]],IF(OR(H695=$H$5,H695=$H$6,H695=$H$7,H695=$H$8,H695=$H$9,H695=$H$10,H695=$H$11,H695=$H$12,H695=$H$13,H695=$H$14),SottocategorieUscite[[#Headers],[Business Uscite]],IF(OR(H695=$I$5,H695=$I$6,H695=$I$7,H695=$I$8,H695=$I$9,H695=$I$10,H695=$I$11,H695=$I$12,H695=$I$13,H695=$I$14),SottocategorieUscite[[#Headers],[Banca]],IF(OR(H695=K$5,H695=K$6,H695=K$7,H695=K$8,H695=K$9,H695=K$10,H695=K$11,H695=K$12,H695=K$13,H695=K$14),SottocategorieEntrate[[#Headers],[Business Entrate]],IF(OR(H695=L$5,H695=L$6,H695=L$7,H695=L$8,H695=L$9,H695=L$10,H695=L$11,H695=L$12,H695=L$13,H695=L$14),SottocategorieEntrate[[#Headers],[Varie Entrate]],IF(OR(H695=M$5,H695=M$6,H695=M$7,H695=M$8,H695=M$9,H695=M$10,H695=M$11,H695=M$12,H695=M$13,H695=M$14),SottocategorieEntrate[[#Headers],[Real Estate]],IF(OR(H695=N$5,H695=N$6,H695=N$7,H695=N$8,H695=N$9,H695=N$10,H695=N$11,H695=N$12,H695=N$13,H695=N$14),SottocategorieEntrate[[#Headers],[Other]],""))))))))))))</f>
        <v/>
      </c>
      <c r="J695" t="str">
        <f>IF(OR(Dati[[#This Row],[Categoria]]="Bollette",Dati[[#This Row],[Categoria]]="Conto &amp; Carte BNL",Dati[[#This Row],[Categoria]]="Prelievo",Dati[[#This Row],[Categoria]]="Affitto",Dati[[#This Row],[Categoria]]="BNL(Interessi Creditori)"),"Carta",IF(Dati[[#This Row],[Categoria]]&lt;&gt;0,"Cash",""))</f>
        <v/>
      </c>
      <c r="K695" s="59" t="str">
        <f>IF(OR(Data!$I695=SottocategorieUscite[[#Headers],[Fuori Casa]],Data!$I695=SottocategorieUscite[[#Headers],[Varie Uscite]],Data!$I695=SottocategorieUscite[[#Headers],[Personali]],Data!$I695=SottocategorieUscite[[#Headers],[Lavoro]]),"$ -","")</f>
        <v/>
      </c>
      <c r="L695" s="59" t="str">
        <f>IF(OR(Data!$I695=SottocategorieUscite[[#Headers],[Casa]],Data!$I695=SottocategorieUscite[[#Headers],[Utenze]],Data!$I695=SottocategorieUscite[[#Headers],[Business Uscite]],Data!$I695=SottocategorieUscite[[#Headers],[Banca]]),"$ -","")</f>
        <v/>
      </c>
      <c r="M695" s="59" t="str">
        <f>IF(OR($I695&lt;&gt;SottocategorieUscite[[#Headers],[Fuori Casa]],$I695&lt;&gt;SottocategorieUscite[[#Headers],[Varie Uscite]],$I695&lt;&gt;SottocategorieUscite[[#Headers],[Personali]],$I695&lt;&gt;SottocategorieUscite[[#Headers],[Lavoro]],$I695&lt;&gt;SottocategorieUscite[[#Headers],[Casa]],$I695&lt;&gt;SottocategorieUscite[[#Headers],[Utenze]],$I695&lt;&gt;SottocategorieUscite[[#Headers],[Business Uscite]],$I695&lt;&gt;SottocategorieUscite[[#Headers],[Banca]]),"","$ -")</f>
        <v/>
      </c>
      <c r="N695" s="59" t="str">
        <f>IF(OR(Data!$I695=SottocategorieEntrate[[#Headers],[Business Entrate]],Data!$I695=SottocategorieEntrate[[#Headers],[Varie Entrate]]),"$ -","")</f>
        <v/>
      </c>
      <c r="O695" s="59" t="str">
        <f>IF(OR(Data!$I695=SottocategorieEntrate[[#Headers],[Real Estate]],SottocategorieEntrate[[#Headers],[Other]]),"$ -","")</f>
        <v/>
      </c>
      <c r="P695" s="59" t="str">
        <f>IF(OR($I695&lt;&gt;SottocategorieEntrate[[#Headers],[Business Entrate]],$I695&lt;&gt;SottocategorieEntrate[[#Headers],[Varie Entrate]],$I695&lt;&gt;SottocategorieEntrate[[#Headers],[Real Estate]],$I695&lt;&gt;SottocategorieEntrate[[#Headers],[Other]]),"","$ -")</f>
        <v/>
      </c>
      <c r="Q695" s="59" t="str">
        <f>IF(Dati[[#This Row],[Categoria]]="Prelievo","€ -","")</f>
        <v/>
      </c>
      <c r="R695" s="244"/>
      <c r="S695" s="59" t="str">
        <f>IF(Dati[[#This Row],[Categoria]]="Savings",0,"")</f>
        <v/>
      </c>
      <c r="T695" s="59"/>
      <c r="U695" s="59"/>
      <c r="V695" s="59"/>
      <c r="W695" s="59"/>
      <c r="X695" s="59"/>
      <c r="Y695" s="59"/>
      <c r="Z695" s="59"/>
      <c r="AA695" s="59"/>
      <c r="AB695" s="59"/>
      <c r="AC695" s="59"/>
      <c r="AD695" s="59"/>
      <c r="AE695" s="59"/>
      <c r="AF695" s="59"/>
      <c r="AG695" s="59"/>
      <c r="AH695" s="59"/>
      <c r="AI695" s="59" t="str">
        <f>IF(SUM(Dati[[#This Row],[Inv. Business]:[Inv. Cryptocurrency]])=0," ",SUM(Dati[[#This Row],[Inv. Business]:[Inv. Cryptocurrency]]))</f>
        <v xml:space="preserve"> </v>
      </c>
      <c r="AJ695" s="59"/>
      <c r="AK695" s="59"/>
      <c r="AL695" s="59"/>
      <c r="AM695" s="59"/>
    </row>
    <row r="696" spans="2:39" x14ac:dyDescent="0.35">
      <c r="B696" s="237">
        <f>ROW(658:658)</f>
        <v>658</v>
      </c>
      <c r="C696" s="49">
        <f>C693+1</f>
        <v>45427</v>
      </c>
      <c r="D696" s="29">
        <f>DAY(Dati[[#This Row],[Data]])</f>
        <v>15</v>
      </c>
      <c r="E696" s="29" t="str">
        <f>IF(DAY(Data!$C$21:$C$1327)&gt;0,TEXT(Data!$C$21:$C$1327, "mmmm"),"")</f>
        <v>maggio</v>
      </c>
      <c r="F696" s="29" t="str">
        <f>IF(DAY(Data!$C$21:$C$1327)&gt;0,TEXT(Data!$C$21:$C$1327, "aaaa"),"")</f>
        <v>2024</v>
      </c>
      <c r="I696" t="str">
        <f>IF(OR(H696=$B$5,H696=$B$6,H696=$B$7,H696=$B$8,H696=$B$9,H696=$B$10,H696=$B$11,H696=$B$12,H696=$B$13,H696=$B$14),SottocategorieUscite[[#Headers],[Fuori Casa]],IF(OR(H696=$C$5,H696=$C$6,H696=$C$7,H696=$C$8,H696=$C$9,H696=$C$10,H696=$C$11,H696=$C$12,H696=$C$13,H696=$C$14),SottocategorieUscite[[#Headers],[Varie Uscite]],IF(OR(H696=$D$5,H696=$D$6,H696=$D$7,H696=$D$8,H696=$D$9,H696=$D$10,H696=$D$11,H696=$D$12,H696=$D$13,H696=$D$14),SottocategorieUscite[[#Headers],[Personali]],IF(OR(H696=$E$5,H696=$E$6,H696=$E$7,H696=$E$8,H696=$E$9,H696=$E$10,H696=$E$11,H696=$E$12,H696=$E$13,H696=$E$14),SottocategorieUscite[[#Headers],[Lavoro]],IF(OR(H696=$F$5,H696=$F$6,H696=$F$7,H696=$F$8,H696=$F$9,H696=$F$10,H696=$F$11,H696=$F$12,H696=$F$13,H696=$F$14),SottocategorieUscite[[#Headers],[Casa]],IF(OR(H696=$G$5,H696=$G$6,H696=$G$7,H696=$G$8,H696=$G$9,H696=$G$10,H696=$G$11,H696=$G$12,H696=$G$13,H696=$G$14),SottocategorieUscite[[#Headers],[Utenze]],IF(OR(H696=$H$5,H696=$H$6,H696=$H$7,H696=$H$8,H696=$H$9,H696=$H$10,H696=$H$11,H696=$H$12,H696=$H$13,H696=$H$14),SottocategorieUscite[[#Headers],[Business Uscite]],IF(OR(H696=$I$5,H696=$I$6,H696=$I$7,H696=$I$8,H696=$I$9,H696=$I$10,H696=$I$11,H696=$I$12,H696=$I$13,H696=$I$14),SottocategorieUscite[[#Headers],[Banca]],IF(OR(H696=K$5,H696=K$6,H696=K$7,H696=K$8,H696=K$9,H696=K$10,H696=K$11,H696=K$12,H696=K$13,H696=K$14),SottocategorieEntrate[[#Headers],[Business Entrate]],IF(OR(H696=L$5,H696=L$6,H696=L$7,H696=L$8,H696=L$9,H696=L$10,H696=L$11,H696=L$12,H696=L$13,H696=L$14),SottocategorieEntrate[[#Headers],[Varie Entrate]],IF(OR(H696=M$5,H696=M$6,H696=M$7,H696=M$8,H696=M$9,H696=M$10,H696=M$11,H696=M$12,H696=M$13,H696=M$14),SottocategorieEntrate[[#Headers],[Real Estate]],IF(OR(H696=N$5,H696=N$6,H696=N$7,H696=N$8,H696=N$9,H696=N$10,H696=N$11,H696=N$12,H696=N$13,H696=N$14),SottocategorieEntrate[[#Headers],[Other]],""))))))))))))</f>
        <v/>
      </c>
      <c r="J696" t="str">
        <f>IF(OR(Dati[[#This Row],[Categoria]]="Bollette",Dati[[#This Row],[Categoria]]="Conto &amp; Carte BNL",Dati[[#This Row],[Categoria]]="Prelievo",Dati[[#This Row],[Categoria]]="Affitto",Dati[[#This Row],[Categoria]]="BNL(Interessi Creditori)"),"Carta",IF(Dati[[#This Row],[Categoria]]&lt;&gt;0,"Cash",""))</f>
        <v/>
      </c>
      <c r="K696" s="59" t="str">
        <f>IF(OR(Data!$I696=SottocategorieUscite[[#Headers],[Fuori Casa]],Data!$I696=SottocategorieUscite[[#Headers],[Varie Uscite]],Data!$I696=SottocategorieUscite[[#Headers],[Personali]],Data!$I696=SottocategorieUscite[[#Headers],[Lavoro]]),"$ -","")</f>
        <v/>
      </c>
      <c r="L696" s="59" t="str">
        <f>IF(OR(Data!$I696=SottocategorieUscite[[#Headers],[Casa]],Data!$I696=SottocategorieUscite[[#Headers],[Utenze]],Data!$I696=SottocategorieUscite[[#Headers],[Business Uscite]],Data!$I696=SottocategorieUscite[[#Headers],[Banca]]),"$ -","")</f>
        <v/>
      </c>
      <c r="M696" s="59" t="str">
        <f>IF(OR($I696&lt;&gt;SottocategorieUscite[[#Headers],[Fuori Casa]],$I696&lt;&gt;SottocategorieUscite[[#Headers],[Varie Uscite]],$I696&lt;&gt;SottocategorieUscite[[#Headers],[Personali]],$I696&lt;&gt;SottocategorieUscite[[#Headers],[Lavoro]],$I696&lt;&gt;SottocategorieUscite[[#Headers],[Casa]],$I696&lt;&gt;SottocategorieUscite[[#Headers],[Utenze]],$I696&lt;&gt;SottocategorieUscite[[#Headers],[Business Uscite]],$I696&lt;&gt;SottocategorieUscite[[#Headers],[Banca]]),"","$ -")</f>
        <v/>
      </c>
      <c r="N696" s="59" t="str">
        <f>IF(OR(Data!$I696=SottocategorieEntrate[[#Headers],[Business Entrate]],Data!$I696=SottocategorieEntrate[[#Headers],[Varie Entrate]]),"$ -","")</f>
        <v/>
      </c>
      <c r="O696" s="59" t="str">
        <f>IF(OR(Data!$I696=SottocategorieEntrate[[#Headers],[Real Estate]],SottocategorieEntrate[[#Headers],[Other]]),"$ -","")</f>
        <v/>
      </c>
      <c r="P696" s="59" t="str">
        <f>IF(OR($I696&lt;&gt;SottocategorieEntrate[[#Headers],[Business Entrate]],$I696&lt;&gt;SottocategorieEntrate[[#Headers],[Varie Entrate]],$I696&lt;&gt;SottocategorieEntrate[[#Headers],[Real Estate]],$I696&lt;&gt;SottocategorieEntrate[[#Headers],[Other]]),"","$ -")</f>
        <v/>
      </c>
      <c r="Q696" s="59" t="str">
        <f>IF(Dati[[#This Row],[Categoria]]="Prelievo","€ -","")</f>
        <v/>
      </c>
      <c r="R696" s="244"/>
      <c r="S696" s="59" t="str">
        <f>IF(Dati[[#This Row],[Categoria]]="Savings",0,"")</f>
        <v/>
      </c>
      <c r="T696" s="59"/>
      <c r="U696" s="59"/>
      <c r="V696" s="59"/>
      <c r="W696" s="59"/>
      <c r="X696" s="59"/>
      <c r="Y696" s="59"/>
      <c r="Z696" s="59"/>
      <c r="AA696" s="59"/>
      <c r="AB696" s="59"/>
      <c r="AC696" s="59"/>
      <c r="AD696" s="59"/>
      <c r="AE696" s="59"/>
      <c r="AF696" s="59"/>
      <c r="AG696" s="59"/>
      <c r="AH696" s="59"/>
      <c r="AI696" s="59" t="str">
        <f>IF(SUM(Dati[[#This Row],[Inv. Business]:[Inv. Cryptocurrency]])=0," ",SUM(Dati[[#This Row],[Inv. Business]:[Inv. Cryptocurrency]]))</f>
        <v xml:space="preserve"> </v>
      </c>
      <c r="AJ696" s="59"/>
      <c r="AK696" s="59"/>
      <c r="AL696" s="59"/>
      <c r="AM696" s="59"/>
    </row>
    <row r="697" spans="2:39" x14ac:dyDescent="0.35">
      <c r="B697" s="237">
        <f>ROW(658:658)</f>
        <v>658</v>
      </c>
      <c r="C697" s="49">
        <f>C693+1</f>
        <v>45427</v>
      </c>
      <c r="D697" s="29">
        <f>DAY(Dati[[#This Row],[Data]])</f>
        <v>15</v>
      </c>
      <c r="E697" s="29" t="str">
        <f>IF(DAY(Data!$C$21:$C$1327)&gt;0,TEXT(Data!$C$21:$C$1327, "mmmm"),"")</f>
        <v>maggio</v>
      </c>
      <c r="F697" s="29" t="str">
        <f>IF(DAY(Data!$C$21:$C$1327)&gt;0,TEXT(Data!$C$21:$C$1327, "aaaa"),"")</f>
        <v>2024</v>
      </c>
      <c r="I697" t="str">
        <f>IF(OR(H697=$B$5,H697=$B$6,H697=$B$7,H697=$B$8,H697=$B$9,H697=$B$10,H697=$B$11,H697=$B$12,H697=$B$13,H697=$B$14),SottocategorieUscite[[#Headers],[Fuori Casa]],IF(OR(H697=$C$5,H697=$C$6,H697=$C$7,H697=$C$8,H697=$C$9,H697=$C$10,H697=$C$11,H697=$C$12,H697=$C$13,H697=$C$14),SottocategorieUscite[[#Headers],[Varie Uscite]],IF(OR(H697=$D$5,H697=$D$6,H697=$D$7,H697=$D$8,H697=$D$9,H697=$D$10,H697=$D$11,H697=$D$12,H697=$D$13,H697=$D$14),SottocategorieUscite[[#Headers],[Personali]],IF(OR(H697=$E$5,H697=$E$6,H697=$E$7,H697=$E$8,H697=$E$9,H697=$E$10,H697=$E$11,H697=$E$12,H697=$E$13,H697=$E$14),SottocategorieUscite[[#Headers],[Lavoro]],IF(OR(H697=$F$5,H697=$F$6,H697=$F$7,H697=$F$8,H697=$F$9,H697=$F$10,H697=$F$11,H697=$F$12,H697=$F$13,H697=$F$14),SottocategorieUscite[[#Headers],[Casa]],IF(OR(H697=$G$5,H697=$G$6,H697=$G$7,H697=$G$8,H697=$G$9,H697=$G$10,H697=$G$11,H697=$G$12,H697=$G$13,H697=$G$14),SottocategorieUscite[[#Headers],[Utenze]],IF(OR(H697=$H$5,H697=$H$6,H697=$H$7,H697=$H$8,H697=$H$9,H697=$H$10,H697=$H$11,H697=$H$12,H697=$H$13,H697=$H$14),SottocategorieUscite[[#Headers],[Business Uscite]],IF(OR(H697=$I$5,H697=$I$6,H697=$I$7,H697=$I$8,H697=$I$9,H697=$I$10,H697=$I$11,H697=$I$12,H697=$I$13,H697=$I$14),SottocategorieUscite[[#Headers],[Banca]],IF(OR(H697=K$5,H697=K$6,H697=K$7,H697=K$8,H697=K$9,H697=K$10,H697=K$11,H697=K$12,H697=K$13,H697=K$14),SottocategorieEntrate[[#Headers],[Business Entrate]],IF(OR(H697=L$5,H697=L$6,H697=L$7,H697=L$8,H697=L$9,H697=L$10,H697=L$11,H697=L$12,H697=L$13,H697=L$14),SottocategorieEntrate[[#Headers],[Varie Entrate]],IF(OR(H697=M$5,H697=M$6,H697=M$7,H697=M$8,H697=M$9,H697=M$10,H697=M$11,H697=M$12,H697=M$13,H697=M$14),SottocategorieEntrate[[#Headers],[Real Estate]],IF(OR(H697=N$5,H697=N$6,H697=N$7,H697=N$8,H697=N$9,H697=N$10,H697=N$11,H697=N$12,H697=N$13,H697=N$14),SottocategorieEntrate[[#Headers],[Other]],""))))))))))))</f>
        <v/>
      </c>
      <c r="J697" t="str">
        <f>IF(OR(Dati[[#This Row],[Categoria]]="Bollette",Dati[[#This Row],[Categoria]]="Conto &amp; Carte BNL",Dati[[#This Row],[Categoria]]="Prelievo",Dati[[#This Row],[Categoria]]="Affitto",Dati[[#This Row],[Categoria]]="BNL(Interessi Creditori)"),"Carta",IF(Dati[[#This Row],[Categoria]]&lt;&gt;0,"Cash",""))</f>
        <v/>
      </c>
      <c r="K697" s="59" t="str">
        <f>IF(OR(Data!$I697=SottocategorieUscite[[#Headers],[Fuori Casa]],Data!$I697=SottocategorieUscite[[#Headers],[Varie Uscite]],Data!$I697=SottocategorieUscite[[#Headers],[Personali]],Data!$I697=SottocategorieUscite[[#Headers],[Lavoro]]),"$ -","")</f>
        <v/>
      </c>
      <c r="L697" s="59" t="str">
        <f>IF(OR(Data!$I697=SottocategorieUscite[[#Headers],[Casa]],Data!$I697=SottocategorieUscite[[#Headers],[Utenze]],Data!$I697=SottocategorieUscite[[#Headers],[Business Uscite]],Data!$I697=SottocategorieUscite[[#Headers],[Banca]]),"$ -","")</f>
        <v/>
      </c>
      <c r="M697" s="59" t="str">
        <f>IF(OR($I697&lt;&gt;SottocategorieUscite[[#Headers],[Fuori Casa]],$I697&lt;&gt;SottocategorieUscite[[#Headers],[Varie Uscite]],$I697&lt;&gt;SottocategorieUscite[[#Headers],[Personali]],$I697&lt;&gt;SottocategorieUscite[[#Headers],[Lavoro]],$I697&lt;&gt;SottocategorieUscite[[#Headers],[Casa]],$I697&lt;&gt;SottocategorieUscite[[#Headers],[Utenze]],$I697&lt;&gt;SottocategorieUscite[[#Headers],[Business Uscite]],$I697&lt;&gt;SottocategorieUscite[[#Headers],[Banca]]),"","$ -")</f>
        <v/>
      </c>
      <c r="N697" s="59" t="str">
        <f>IF(OR(Data!$I697=SottocategorieEntrate[[#Headers],[Business Entrate]],Data!$I697=SottocategorieEntrate[[#Headers],[Varie Entrate]]),"$ -","")</f>
        <v/>
      </c>
      <c r="O697" s="59" t="str">
        <f>IF(OR(Data!$I697=SottocategorieEntrate[[#Headers],[Real Estate]],SottocategorieEntrate[[#Headers],[Other]]),"$ -","")</f>
        <v/>
      </c>
      <c r="P697" s="59" t="str">
        <f>IF(OR($I697&lt;&gt;SottocategorieEntrate[[#Headers],[Business Entrate]],$I697&lt;&gt;SottocategorieEntrate[[#Headers],[Varie Entrate]],$I697&lt;&gt;SottocategorieEntrate[[#Headers],[Real Estate]],$I697&lt;&gt;SottocategorieEntrate[[#Headers],[Other]]),"","$ -")</f>
        <v/>
      </c>
      <c r="Q697" s="59" t="str">
        <f>IF(Dati[[#This Row],[Categoria]]="Prelievo","€ -","")</f>
        <v/>
      </c>
      <c r="R697" s="244"/>
      <c r="S697" s="59" t="str">
        <f>IF(Dati[[#This Row],[Categoria]]="Savings",0,"")</f>
        <v/>
      </c>
      <c r="T697" s="59"/>
      <c r="U697" s="59"/>
      <c r="V697" s="59"/>
      <c r="W697" s="59"/>
      <c r="X697" s="59"/>
      <c r="Y697" s="59"/>
      <c r="Z697" s="59"/>
      <c r="AA697" s="59"/>
      <c r="AB697" s="59"/>
      <c r="AC697" s="59"/>
      <c r="AD697" s="59"/>
      <c r="AE697" s="59"/>
      <c r="AF697" s="59"/>
      <c r="AG697" s="59"/>
      <c r="AH697" s="59"/>
      <c r="AI697" s="59" t="str">
        <f>IF(SUM(Dati[[#This Row],[Inv. Business]:[Inv. Cryptocurrency]])=0," ",SUM(Dati[[#This Row],[Inv. Business]:[Inv. Cryptocurrency]]))</f>
        <v xml:space="preserve"> </v>
      </c>
      <c r="AJ697" s="59"/>
      <c r="AK697" s="59"/>
      <c r="AL697" s="59"/>
      <c r="AM697" s="59"/>
    </row>
    <row r="698" spans="2:39" x14ac:dyDescent="0.35">
      <c r="B698" s="237">
        <f>ROW(658:658)</f>
        <v>658</v>
      </c>
      <c r="C698" s="49">
        <f>C693+1</f>
        <v>45427</v>
      </c>
      <c r="D698" s="29">
        <f>DAY(Dati[[#This Row],[Data]])</f>
        <v>15</v>
      </c>
      <c r="E698" s="29" t="str">
        <f>IF(DAY(Data!$C$21:$C$1327)&gt;0,TEXT(Data!$C$21:$C$1327, "mmmm"),"")</f>
        <v>maggio</v>
      </c>
      <c r="F698" s="29" t="str">
        <f>IF(DAY(Data!$C$21:$C$1327)&gt;0,TEXT(Data!$C$21:$C$1327, "aaaa"),"")</f>
        <v>2024</v>
      </c>
      <c r="I698" t="str">
        <f>IF(OR(H698=$B$5,H698=$B$6,H698=$B$7,H698=$B$8,H698=$B$9,H698=$B$10,H698=$B$11,H698=$B$12,H698=$B$13,H698=$B$14),SottocategorieUscite[[#Headers],[Fuori Casa]],IF(OR(H698=$C$5,H698=$C$6,H698=$C$7,H698=$C$8,H698=$C$9,H698=$C$10,H698=$C$11,H698=$C$12,H698=$C$13,H698=$C$14),SottocategorieUscite[[#Headers],[Varie Uscite]],IF(OR(H698=$D$5,H698=$D$6,H698=$D$7,H698=$D$8,H698=$D$9,H698=$D$10,H698=$D$11,H698=$D$12,H698=$D$13,H698=$D$14),SottocategorieUscite[[#Headers],[Personali]],IF(OR(H698=$E$5,H698=$E$6,H698=$E$7,H698=$E$8,H698=$E$9,H698=$E$10,H698=$E$11,H698=$E$12,H698=$E$13,H698=$E$14),SottocategorieUscite[[#Headers],[Lavoro]],IF(OR(H698=$F$5,H698=$F$6,H698=$F$7,H698=$F$8,H698=$F$9,H698=$F$10,H698=$F$11,H698=$F$12,H698=$F$13,H698=$F$14),SottocategorieUscite[[#Headers],[Casa]],IF(OR(H698=$G$5,H698=$G$6,H698=$G$7,H698=$G$8,H698=$G$9,H698=$G$10,H698=$G$11,H698=$G$12,H698=$G$13,H698=$G$14),SottocategorieUscite[[#Headers],[Utenze]],IF(OR(H698=$H$5,H698=$H$6,H698=$H$7,H698=$H$8,H698=$H$9,H698=$H$10,H698=$H$11,H698=$H$12,H698=$H$13,H698=$H$14),SottocategorieUscite[[#Headers],[Business Uscite]],IF(OR(H698=$I$5,H698=$I$6,H698=$I$7,H698=$I$8,H698=$I$9,H698=$I$10,H698=$I$11,H698=$I$12,H698=$I$13,H698=$I$14),SottocategorieUscite[[#Headers],[Banca]],IF(OR(H698=K$5,H698=K$6,H698=K$7,H698=K$8,H698=K$9,H698=K$10,H698=K$11,H698=K$12,H698=K$13,H698=K$14),SottocategorieEntrate[[#Headers],[Business Entrate]],IF(OR(H698=L$5,H698=L$6,H698=L$7,H698=L$8,H698=L$9,H698=L$10,H698=L$11,H698=L$12,H698=L$13,H698=L$14),SottocategorieEntrate[[#Headers],[Varie Entrate]],IF(OR(H698=M$5,H698=M$6,H698=M$7,H698=M$8,H698=M$9,H698=M$10,H698=M$11,H698=M$12,H698=M$13,H698=M$14),SottocategorieEntrate[[#Headers],[Real Estate]],IF(OR(H698=N$5,H698=N$6,H698=N$7,H698=N$8,H698=N$9,H698=N$10,H698=N$11,H698=N$12,H698=N$13,H698=N$14),SottocategorieEntrate[[#Headers],[Other]],""))))))))))))</f>
        <v/>
      </c>
      <c r="J698" t="str">
        <f>IF(OR(Dati[[#This Row],[Categoria]]="Bollette",Dati[[#This Row],[Categoria]]="Conto &amp; Carte BNL",Dati[[#This Row],[Categoria]]="Prelievo",Dati[[#This Row],[Categoria]]="Affitto",Dati[[#This Row],[Categoria]]="BNL(Interessi Creditori)"),"Carta",IF(Dati[[#This Row],[Categoria]]&lt;&gt;0,"Cash",""))</f>
        <v/>
      </c>
      <c r="K698" s="59" t="str">
        <f>IF(OR(Data!$I698=SottocategorieUscite[[#Headers],[Fuori Casa]],Data!$I698=SottocategorieUscite[[#Headers],[Varie Uscite]],Data!$I698=SottocategorieUscite[[#Headers],[Personali]],Data!$I698=SottocategorieUscite[[#Headers],[Lavoro]]),"$ -","")</f>
        <v/>
      </c>
      <c r="L698" s="59" t="str">
        <f>IF(OR(Data!$I698=SottocategorieUscite[[#Headers],[Casa]],Data!$I698=SottocategorieUscite[[#Headers],[Utenze]],Data!$I698=SottocategorieUscite[[#Headers],[Business Uscite]],Data!$I698=SottocategorieUscite[[#Headers],[Banca]]),"$ -","")</f>
        <v/>
      </c>
      <c r="M698" s="59" t="str">
        <f>IF(OR($I698&lt;&gt;SottocategorieUscite[[#Headers],[Fuori Casa]],$I698&lt;&gt;SottocategorieUscite[[#Headers],[Varie Uscite]],$I698&lt;&gt;SottocategorieUscite[[#Headers],[Personali]],$I698&lt;&gt;SottocategorieUscite[[#Headers],[Lavoro]],$I698&lt;&gt;SottocategorieUscite[[#Headers],[Casa]],$I698&lt;&gt;SottocategorieUscite[[#Headers],[Utenze]],$I698&lt;&gt;SottocategorieUscite[[#Headers],[Business Uscite]],$I698&lt;&gt;SottocategorieUscite[[#Headers],[Banca]]),"","$ -")</f>
        <v/>
      </c>
      <c r="N698" s="59" t="str">
        <f>IF(OR(Data!$I698=SottocategorieEntrate[[#Headers],[Business Entrate]],Data!$I698=SottocategorieEntrate[[#Headers],[Varie Entrate]]),"$ -","")</f>
        <v/>
      </c>
      <c r="O698" s="59" t="str">
        <f>IF(OR(Data!$I698=SottocategorieEntrate[[#Headers],[Real Estate]],SottocategorieEntrate[[#Headers],[Other]]),"$ -","")</f>
        <v/>
      </c>
      <c r="P698" s="59" t="str">
        <f>IF(OR($I698&lt;&gt;SottocategorieEntrate[[#Headers],[Business Entrate]],$I698&lt;&gt;SottocategorieEntrate[[#Headers],[Varie Entrate]],$I698&lt;&gt;SottocategorieEntrate[[#Headers],[Real Estate]],$I698&lt;&gt;SottocategorieEntrate[[#Headers],[Other]]),"","$ -")</f>
        <v/>
      </c>
      <c r="Q698" s="59" t="str">
        <f>IF(Dati[[#This Row],[Categoria]]="Prelievo","€ -","")</f>
        <v/>
      </c>
      <c r="R698" s="244"/>
      <c r="S698" s="59" t="str">
        <f>IF(Dati[[#This Row],[Categoria]]="Savings",0,"")</f>
        <v/>
      </c>
      <c r="T698" s="59"/>
      <c r="U698" s="59"/>
      <c r="V698" s="59"/>
      <c r="W698" s="59"/>
      <c r="X698" s="59"/>
      <c r="Y698" s="59"/>
      <c r="Z698" s="59"/>
      <c r="AA698" s="59"/>
      <c r="AB698" s="59"/>
      <c r="AC698" s="59"/>
      <c r="AD698" s="59"/>
      <c r="AE698" s="59"/>
      <c r="AF698" s="59"/>
      <c r="AG698" s="59"/>
      <c r="AH698" s="59"/>
      <c r="AI698" s="59" t="str">
        <f>IF(SUM(Dati[[#This Row],[Inv. Business]:[Inv. Cryptocurrency]])=0," ",SUM(Dati[[#This Row],[Inv. Business]:[Inv. Cryptocurrency]]))</f>
        <v xml:space="preserve"> </v>
      </c>
      <c r="AJ698" s="59"/>
      <c r="AK698" s="59"/>
      <c r="AL698" s="59"/>
      <c r="AM698" s="59"/>
    </row>
    <row r="699" spans="2:39" x14ac:dyDescent="0.35">
      <c r="B699" s="237">
        <f>ROW(659:659)</f>
        <v>659</v>
      </c>
      <c r="C699" s="49">
        <f>C694+1</f>
        <v>45428</v>
      </c>
      <c r="D699" s="29">
        <f>DAY(Dati[[#This Row],[Data]])</f>
        <v>16</v>
      </c>
      <c r="E699" s="29" t="str">
        <f>IF(DAY(Data!$C$21:$C$1327)&gt;0,TEXT(Data!$C$21:$C$1327, "mmmm"),"")</f>
        <v>maggio</v>
      </c>
      <c r="F699" s="29" t="str">
        <f>IF(DAY(Data!$C$21:$C$1327)&gt;0,TEXT(Data!$C$21:$C$1327, "aaaa"),"")</f>
        <v>2024</v>
      </c>
      <c r="I699" t="str">
        <f>IF(OR(H699=$B$5,H699=$B$6,H699=$B$7,H699=$B$8,H699=$B$9,H699=$B$10,H699=$B$11,H699=$B$12,H699=$B$13,H699=$B$14),SottocategorieUscite[[#Headers],[Fuori Casa]],IF(OR(H699=$C$5,H699=$C$6,H699=$C$7,H699=$C$8,H699=$C$9,H699=$C$10,H699=$C$11,H699=$C$12,H699=$C$13,H699=$C$14),SottocategorieUscite[[#Headers],[Varie Uscite]],IF(OR(H699=$D$5,H699=$D$6,H699=$D$7,H699=$D$8,H699=$D$9,H699=$D$10,H699=$D$11,H699=$D$12,H699=$D$13,H699=$D$14),SottocategorieUscite[[#Headers],[Personali]],IF(OR(H699=$E$5,H699=$E$6,H699=$E$7,H699=$E$8,H699=$E$9,H699=$E$10,H699=$E$11,H699=$E$12,H699=$E$13,H699=$E$14),SottocategorieUscite[[#Headers],[Lavoro]],IF(OR(H699=$F$5,H699=$F$6,H699=$F$7,H699=$F$8,H699=$F$9,H699=$F$10,H699=$F$11,H699=$F$12,H699=$F$13,H699=$F$14),SottocategorieUscite[[#Headers],[Casa]],IF(OR(H699=$G$5,H699=$G$6,H699=$G$7,H699=$G$8,H699=$G$9,H699=$G$10,H699=$G$11,H699=$G$12,H699=$G$13,H699=$G$14),SottocategorieUscite[[#Headers],[Utenze]],IF(OR(H699=$H$5,H699=$H$6,H699=$H$7,H699=$H$8,H699=$H$9,H699=$H$10,H699=$H$11,H699=$H$12,H699=$H$13,H699=$H$14),SottocategorieUscite[[#Headers],[Business Uscite]],IF(OR(H699=$I$5,H699=$I$6,H699=$I$7,H699=$I$8,H699=$I$9,H699=$I$10,H699=$I$11,H699=$I$12,H699=$I$13,H699=$I$14),SottocategorieUscite[[#Headers],[Banca]],IF(OR(H699=K$5,H699=K$6,H699=K$7,H699=K$8,H699=K$9,H699=K$10,H699=K$11,H699=K$12,H699=K$13,H699=K$14),SottocategorieEntrate[[#Headers],[Business Entrate]],IF(OR(H699=L$5,H699=L$6,H699=L$7,H699=L$8,H699=L$9,H699=L$10,H699=L$11,H699=L$12,H699=L$13,H699=L$14),SottocategorieEntrate[[#Headers],[Varie Entrate]],IF(OR(H699=M$5,H699=M$6,H699=M$7,H699=M$8,H699=M$9,H699=M$10,H699=M$11,H699=M$12,H699=M$13,H699=M$14),SottocategorieEntrate[[#Headers],[Real Estate]],IF(OR(H699=N$5,H699=N$6,H699=N$7,H699=N$8,H699=N$9,H699=N$10,H699=N$11,H699=N$12,H699=N$13,H699=N$14),SottocategorieEntrate[[#Headers],[Other]],""))))))))))))</f>
        <v/>
      </c>
      <c r="J699" t="str">
        <f>IF(OR(Dati[[#This Row],[Categoria]]="Bollette",Dati[[#This Row],[Categoria]]="Conto &amp; Carte BNL",Dati[[#This Row],[Categoria]]="Prelievo",Dati[[#This Row],[Categoria]]="Affitto",Dati[[#This Row],[Categoria]]="BNL(Interessi Creditori)"),"Carta",IF(Dati[[#This Row],[Categoria]]&lt;&gt;0,"Cash",""))</f>
        <v/>
      </c>
      <c r="K699" s="59" t="str">
        <f>IF(OR(Data!$I699=SottocategorieUscite[[#Headers],[Fuori Casa]],Data!$I699=SottocategorieUscite[[#Headers],[Varie Uscite]],Data!$I699=SottocategorieUscite[[#Headers],[Personali]],Data!$I699=SottocategorieUscite[[#Headers],[Lavoro]]),"$ -","")</f>
        <v/>
      </c>
      <c r="L699" s="59" t="str">
        <f>IF(OR(Data!$I699=SottocategorieUscite[[#Headers],[Casa]],Data!$I699=SottocategorieUscite[[#Headers],[Utenze]],Data!$I699=SottocategorieUscite[[#Headers],[Business Uscite]],Data!$I699=SottocategorieUscite[[#Headers],[Banca]]),"$ -","")</f>
        <v/>
      </c>
      <c r="M699" s="59" t="str">
        <f>IF(OR($I699&lt;&gt;SottocategorieUscite[[#Headers],[Fuori Casa]],$I699&lt;&gt;SottocategorieUscite[[#Headers],[Varie Uscite]],$I699&lt;&gt;SottocategorieUscite[[#Headers],[Personali]],$I699&lt;&gt;SottocategorieUscite[[#Headers],[Lavoro]],$I699&lt;&gt;SottocategorieUscite[[#Headers],[Casa]],$I699&lt;&gt;SottocategorieUscite[[#Headers],[Utenze]],$I699&lt;&gt;SottocategorieUscite[[#Headers],[Business Uscite]],$I699&lt;&gt;SottocategorieUscite[[#Headers],[Banca]]),"","$ -")</f>
        <v/>
      </c>
      <c r="N699" s="59" t="str">
        <f>IF(OR(Data!$I699=SottocategorieEntrate[[#Headers],[Business Entrate]],Data!$I699=SottocategorieEntrate[[#Headers],[Varie Entrate]]),"$ -","")</f>
        <v/>
      </c>
      <c r="O699" s="59" t="str">
        <f>IF(OR(Data!$I699=SottocategorieEntrate[[#Headers],[Real Estate]],SottocategorieEntrate[[#Headers],[Other]]),"$ -","")</f>
        <v/>
      </c>
      <c r="P699" s="59" t="str">
        <f>IF(OR($I699&lt;&gt;SottocategorieEntrate[[#Headers],[Business Entrate]],$I699&lt;&gt;SottocategorieEntrate[[#Headers],[Varie Entrate]],$I699&lt;&gt;SottocategorieEntrate[[#Headers],[Real Estate]],$I699&lt;&gt;SottocategorieEntrate[[#Headers],[Other]]),"","$ -")</f>
        <v/>
      </c>
      <c r="Q699" s="59" t="str">
        <f>IF(Dati[[#This Row],[Categoria]]="Prelievo","€ -","")</f>
        <v/>
      </c>
      <c r="R699" s="244"/>
      <c r="S699" s="59" t="str">
        <f>IF(Dati[[#This Row],[Categoria]]="Savings",0,"")</f>
        <v/>
      </c>
      <c r="T699" s="59"/>
      <c r="U699" s="59"/>
      <c r="V699" s="59"/>
      <c r="W699" s="59"/>
      <c r="X699" s="59"/>
      <c r="Y699" s="59"/>
      <c r="Z699" s="59"/>
      <c r="AA699" s="59"/>
      <c r="AB699" s="59"/>
      <c r="AC699" s="59"/>
      <c r="AD699" s="59"/>
      <c r="AE699" s="59"/>
      <c r="AF699" s="59"/>
      <c r="AG699" s="59"/>
      <c r="AH699" s="59"/>
      <c r="AI699" s="59" t="str">
        <f>IF(SUM(Dati[[#This Row],[Inv. Business]:[Inv. Cryptocurrency]])=0," ",SUM(Dati[[#This Row],[Inv. Business]:[Inv. Cryptocurrency]]))</f>
        <v xml:space="preserve"> </v>
      </c>
      <c r="AJ699" s="59"/>
      <c r="AK699" s="59"/>
      <c r="AL699" s="59"/>
      <c r="AM699" s="59"/>
    </row>
    <row r="700" spans="2:39" x14ac:dyDescent="0.35">
      <c r="B700" s="237">
        <f t="shared" ref="B700:B705" si="34">ROW(661:661)</f>
        <v>661</v>
      </c>
      <c r="C700" s="49">
        <f t="shared" si="27"/>
        <v>45429</v>
      </c>
      <c r="D700" s="29">
        <f>DAY(Dati[[#This Row],[Data]])</f>
        <v>17</v>
      </c>
      <c r="E700" s="29" t="str">
        <f>IF(DAY(Data!$C$21:$C$1327)&gt;0,TEXT(Data!$C$21:$C$1327, "mmmm"),"")</f>
        <v>maggio</v>
      </c>
      <c r="F700" s="29" t="str">
        <f>IF(DAY(Data!$C$21:$C$1327)&gt;0,TEXT(Data!$C$21:$C$1327, "aaaa"),"")</f>
        <v>2024</v>
      </c>
      <c r="I700" t="str">
        <f>IF(OR(H700=$B$5,H700=$B$6,H700=$B$7,H700=$B$8,H700=$B$9,H700=$B$10,H700=$B$11,H700=$B$12,H700=$B$13,H700=$B$14),SottocategorieUscite[[#Headers],[Fuori Casa]],IF(OR(H700=$C$5,H700=$C$6,H700=$C$7,H700=$C$8,H700=$C$9,H700=$C$10,H700=$C$11,H700=$C$12,H700=$C$13,H700=$C$14),SottocategorieUscite[[#Headers],[Varie Uscite]],IF(OR(H700=$D$5,H700=$D$6,H700=$D$7,H700=$D$8,H700=$D$9,H700=$D$10,H700=$D$11,H700=$D$12,H700=$D$13,H700=$D$14),SottocategorieUscite[[#Headers],[Personali]],IF(OR(H700=$E$5,H700=$E$6,H700=$E$7,H700=$E$8,H700=$E$9,H700=$E$10,H700=$E$11,H700=$E$12,H700=$E$13,H700=$E$14),SottocategorieUscite[[#Headers],[Lavoro]],IF(OR(H700=$F$5,H700=$F$6,H700=$F$7,H700=$F$8,H700=$F$9,H700=$F$10,H700=$F$11,H700=$F$12,H700=$F$13,H700=$F$14),SottocategorieUscite[[#Headers],[Casa]],IF(OR(H700=$G$5,H700=$G$6,H700=$G$7,H700=$G$8,H700=$G$9,H700=$G$10,H700=$G$11,H700=$G$12,H700=$G$13,H700=$G$14),SottocategorieUscite[[#Headers],[Utenze]],IF(OR(H700=$H$5,H700=$H$6,H700=$H$7,H700=$H$8,H700=$H$9,H700=$H$10,H700=$H$11,H700=$H$12,H700=$H$13,H700=$H$14),SottocategorieUscite[[#Headers],[Business Uscite]],IF(OR(H700=$I$5,H700=$I$6,H700=$I$7,H700=$I$8,H700=$I$9,H700=$I$10,H700=$I$11,H700=$I$12,H700=$I$13,H700=$I$14),SottocategorieUscite[[#Headers],[Banca]],IF(OR(H700=K$5,H700=K$6,H700=K$7,H700=K$8,H700=K$9,H700=K$10,H700=K$11,H700=K$12,H700=K$13,H700=K$14),SottocategorieEntrate[[#Headers],[Business Entrate]],IF(OR(H700=L$5,H700=L$6,H700=L$7,H700=L$8,H700=L$9,H700=L$10,H700=L$11,H700=L$12,H700=L$13,H700=L$14),SottocategorieEntrate[[#Headers],[Varie Entrate]],IF(OR(H700=M$5,H700=M$6,H700=M$7,H700=M$8,H700=M$9,H700=M$10,H700=M$11,H700=M$12,H700=M$13,H700=M$14),SottocategorieEntrate[[#Headers],[Real Estate]],IF(OR(H700=N$5,H700=N$6,H700=N$7,H700=N$8,H700=N$9,H700=N$10,H700=N$11,H700=N$12,H700=N$13,H700=N$14),SottocategorieEntrate[[#Headers],[Other]],""))))))))))))</f>
        <v/>
      </c>
      <c r="J700" t="str">
        <f>IF(OR(Dati[[#This Row],[Categoria]]="Bollette",Dati[[#This Row],[Categoria]]="Conto &amp; Carte BNL",Dati[[#This Row],[Categoria]]="Prelievo",Dati[[#This Row],[Categoria]]="Affitto",Dati[[#This Row],[Categoria]]="BNL(Interessi Creditori)"),"Carta",IF(Dati[[#This Row],[Categoria]]&lt;&gt;0,"Cash",""))</f>
        <v/>
      </c>
      <c r="K700" s="59" t="str">
        <f>IF(OR(Data!$I700=SottocategorieUscite[[#Headers],[Fuori Casa]],Data!$I700=SottocategorieUscite[[#Headers],[Varie Uscite]],Data!$I700=SottocategorieUscite[[#Headers],[Personali]],Data!$I700=SottocategorieUscite[[#Headers],[Lavoro]]),"$ -","")</f>
        <v/>
      </c>
      <c r="L700" s="59" t="str">
        <f>IF(OR(Data!$I700=SottocategorieUscite[[#Headers],[Casa]],Data!$I700=SottocategorieUscite[[#Headers],[Utenze]],Data!$I700=SottocategorieUscite[[#Headers],[Business Uscite]],Data!$I700=SottocategorieUscite[[#Headers],[Banca]]),"$ -","")</f>
        <v/>
      </c>
      <c r="M700" s="59" t="str">
        <f>IF(OR($I700&lt;&gt;SottocategorieUscite[[#Headers],[Fuori Casa]],$I700&lt;&gt;SottocategorieUscite[[#Headers],[Varie Uscite]],$I700&lt;&gt;SottocategorieUscite[[#Headers],[Personali]],$I700&lt;&gt;SottocategorieUscite[[#Headers],[Lavoro]],$I700&lt;&gt;SottocategorieUscite[[#Headers],[Casa]],$I700&lt;&gt;SottocategorieUscite[[#Headers],[Utenze]],$I700&lt;&gt;SottocategorieUscite[[#Headers],[Business Uscite]],$I700&lt;&gt;SottocategorieUscite[[#Headers],[Banca]]),"","$ -")</f>
        <v/>
      </c>
      <c r="N700" s="59" t="str">
        <f>IF(OR(Data!$I700=SottocategorieEntrate[[#Headers],[Business Entrate]],Data!$I700=SottocategorieEntrate[[#Headers],[Varie Entrate]]),"$ -","")</f>
        <v/>
      </c>
      <c r="O700" s="59" t="str">
        <f>IF(OR(Data!$I700=SottocategorieEntrate[[#Headers],[Real Estate]],SottocategorieEntrate[[#Headers],[Other]]),"$ -","")</f>
        <v/>
      </c>
      <c r="P700" s="59" t="str">
        <f>IF(OR($I700&lt;&gt;SottocategorieEntrate[[#Headers],[Business Entrate]],$I700&lt;&gt;SottocategorieEntrate[[#Headers],[Varie Entrate]],$I700&lt;&gt;SottocategorieEntrate[[#Headers],[Real Estate]],$I700&lt;&gt;SottocategorieEntrate[[#Headers],[Other]]),"","$ -")</f>
        <v/>
      </c>
      <c r="Q700" s="59" t="str">
        <f>IF(Dati[[#This Row],[Categoria]]="Prelievo","€ -","")</f>
        <v/>
      </c>
      <c r="R700" s="244"/>
      <c r="S700" s="59" t="str">
        <f>IF(Dati[[#This Row],[Categoria]]="Savings",0,"")</f>
        <v/>
      </c>
      <c r="T700" s="59"/>
      <c r="U700" s="59"/>
      <c r="V700" s="59"/>
      <c r="W700" s="59"/>
      <c r="X700" s="59"/>
      <c r="Y700" s="59"/>
      <c r="Z700" s="59"/>
      <c r="AA700" s="59"/>
      <c r="AB700" s="59"/>
      <c r="AC700" s="59"/>
      <c r="AD700" s="59"/>
      <c r="AE700" s="59"/>
      <c r="AF700" s="59"/>
      <c r="AG700" s="59"/>
      <c r="AH700" s="59"/>
      <c r="AI700" s="59" t="str">
        <f>IF(SUM(Dati[[#This Row],[Inv. Business]:[Inv. Cryptocurrency]])=0," ",SUM(Dati[[#This Row],[Inv. Business]:[Inv. Cryptocurrency]]))</f>
        <v xml:space="preserve"> </v>
      </c>
      <c r="AJ700" s="59"/>
      <c r="AK700" s="59"/>
      <c r="AL700" s="59"/>
      <c r="AM700" s="59"/>
    </row>
    <row r="701" spans="2:39" x14ac:dyDescent="0.35">
      <c r="B701" s="237">
        <f t="shared" si="34"/>
        <v>662</v>
      </c>
      <c r="C701" s="49">
        <f t="shared" si="27"/>
        <v>45430</v>
      </c>
      <c r="D701" s="29">
        <f>DAY(Dati[[#This Row],[Data]])</f>
        <v>18</v>
      </c>
      <c r="E701" s="29" t="str">
        <f>IF(DAY(Data!$C$21:$C$1327)&gt;0,TEXT(Data!$C$21:$C$1327, "mmmm"),"")</f>
        <v>maggio</v>
      </c>
      <c r="F701" s="29" t="str">
        <f>IF(DAY(Data!$C$21:$C$1327)&gt;0,TEXT(Data!$C$21:$C$1327, "aaaa"),"")</f>
        <v>2024</v>
      </c>
      <c r="I701" t="str">
        <f>IF(OR(H701=$B$5,H701=$B$6,H701=$B$7,H701=$B$8,H701=$B$9,H701=$B$10,H701=$B$11,H701=$B$12,H701=$B$13,H701=$B$14),SottocategorieUscite[[#Headers],[Fuori Casa]],IF(OR(H701=$C$5,H701=$C$6,H701=$C$7,H701=$C$8,H701=$C$9,H701=$C$10,H701=$C$11,H701=$C$12,H701=$C$13,H701=$C$14),SottocategorieUscite[[#Headers],[Varie Uscite]],IF(OR(H701=$D$5,H701=$D$6,H701=$D$7,H701=$D$8,H701=$D$9,H701=$D$10,H701=$D$11,H701=$D$12,H701=$D$13,H701=$D$14),SottocategorieUscite[[#Headers],[Personali]],IF(OR(H701=$E$5,H701=$E$6,H701=$E$7,H701=$E$8,H701=$E$9,H701=$E$10,H701=$E$11,H701=$E$12,H701=$E$13,H701=$E$14),SottocategorieUscite[[#Headers],[Lavoro]],IF(OR(H701=$F$5,H701=$F$6,H701=$F$7,H701=$F$8,H701=$F$9,H701=$F$10,H701=$F$11,H701=$F$12,H701=$F$13,H701=$F$14),SottocategorieUscite[[#Headers],[Casa]],IF(OR(H701=$G$5,H701=$G$6,H701=$G$7,H701=$G$8,H701=$G$9,H701=$G$10,H701=$G$11,H701=$G$12,H701=$G$13,H701=$G$14),SottocategorieUscite[[#Headers],[Utenze]],IF(OR(H701=$H$5,H701=$H$6,H701=$H$7,H701=$H$8,H701=$H$9,H701=$H$10,H701=$H$11,H701=$H$12,H701=$H$13,H701=$H$14),SottocategorieUscite[[#Headers],[Business Uscite]],IF(OR(H701=$I$5,H701=$I$6,H701=$I$7,H701=$I$8,H701=$I$9,H701=$I$10,H701=$I$11,H701=$I$12,H701=$I$13,H701=$I$14),SottocategorieUscite[[#Headers],[Banca]],IF(OR(H701=K$5,H701=K$6,H701=K$7,H701=K$8,H701=K$9,H701=K$10,H701=K$11,H701=K$12,H701=K$13,H701=K$14),SottocategorieEntrate[[#Headers],[Business Entrate]],IF(OR(H701=L$5,H701=L$6,H701=L$7,H701=L$8,H701=L$9,H701=L$10,H701=L$11,H701=L$12,H701=L$13,H701=L$14),SottocategorieEntrate[[#Headers],[Varie Entrate]],IF(OR(H701=M$5,H701=M$6,H701=M$7,H701=M$8,H701=M$9,H701=M$10,H701=M$11,H701=M$12,H701=M$13,H701=M$14),SottocategorieEntrate[[#Headers],[Real Estate]],IF(OR(H701=N$5,H701=N$6,H701=N$7,H701=N$8,H701=N$9,H701=N$10,H701=N$11,H701=N$12,H701=N$13,H701=N$14),SottocategorieEntrate[[#Headers],[Other]],""))))))))))))</f>
        <v/>
      </c>
      <c r="J701" t="str">
        <f>IF(OR(Dati[[#This Row],[Categoria]]="Bollette",Dati[[#This Row],[Categoria]]="Conto &amp; Carte BNL",Dati[[#This Row],[Categoria]]="Prelievo",Dati[[#This Row],[Categoria]]="Affitto",Dati[[#This Row],[Categoria]]="BNL(Interessi Creditori)"),"Carta",IF(Dati[[#This Row],[Categoria]]&lt;&gt;0,"Cash",""))</f>
        <v/>
      </c>
      <c r="K701" s="59" t="str">
        <f>IF(OR(Data!$I701=SottocategorieUscite[[#Headers],[Fuori Casa]],Data!$I701=SottocategorieUscite[[#Headers],[Varie Uscite]],Data!$I701=SottocategorieUscite[[#Headers],[Personali]],Data!$I701=SottocategorieUscite[[#Headers],[Lavoro]]),"$ -","")</f>
        <v/>
      </c>
      <c r="L701" s="59" t="str">
        <f>IF(OR(Data!$I701=SottocategorieUscite[[#Headers],[Casa]],Data!$I701=SottocategorieUscite[[#Headers],[Utenze]],Data!$I701=SottocategorieUscite[[#Headers],[Business Uscite]],Data!$I701=SottocategorieUscite[[#Headers],[Banca]]),"$ -","")</f>
        <v/>
      </c>
      <c r="M701" s="59" t="str">
        <f>IF(OR($I701&lt;&gt;SottocategorieUscite[[#Headers],[Fuori Casa]],$I701&lt;&gt;SottocategorieUscite[[#Headers],[Varie Uscite]],$I701&lt;&gt;SottocategorieUscite[[#Headers],[Personali]],$I701&lt;&gt;SottocategorieUscite[[#Headers],[Lavoro]],$I701&lt;&gt;SottocategorieUscite[[#Headers],[Casa]],$I701&lt;&gt;SottocategorieUscite[[#Headers],[Utenze]],$I701&lt;&gt;SottocategorieUscite[[#Headers],[Business Uscite]],$I701&lt;&gt;SottocategorieUscite[[#Headers],[Banca]]),"","$ -")</f>
        <v/>
      </c>
      <c r="N701" s="59" t="str">
        <f>IF(OR(Data!$I701=SottocategorieEntrate[[#Headers],[Business Entrate]],Data!$I701=SottocategorieEntrate[[#Headers],[Varie Entrate]]),"$ -","")</f>
        <v/>
      </c>
      <c r="O701" s="59" t="str">
        <f>IF(OR(Data!$I701=SottocategorieEntrate[[#Headers],[Real Estate]],SottocategorieEntrate[[#Headers],[Other]]),"$ -","")</f>
        <v/>
      </c>
      <c r="P701" s="59" t="str">
        <f>IF(OR($I701&lt;&gt;SottocategorieEntrate[[#Headers],[Business Entrate]],$I701&lt;&gt;SottocategorieEntrate[[#Headers],[Varie Entrate]],$I701&lt;&gt;SottocategorieEntrate[[#Headers],[Real Estate]],$I701&lt;&gt;SottocategorieEntrate[[#Headers],[Other]]),"","$ -")</f>
        <v/>
      </c>
      <c r="Q701" s="59" t="str">
        <f>IF(Dati[[#This Row],[Categoria]]="Prelievo","€ -","")</f>
        <v/>
      </c>
      <c r="R701" s="244"/>
      <c r="S701" s="59" t="str">
        <f>IF(Dati[[#This Row],[Categoria]]="Savings",0,"")</f>
        <v/>
      </c>
      <c r="T701" s="59"/>
      <c r="U701" s="59"/>
      <c r="V701" s="59"/>
      <c r="W701" s="59"/>
      <c r="X701" s="59"/>
      <c r="Y701" s="59"/>
      <c r="Z701" s="59"/>
      <c r="AA701" s="59"/>
      <c r="AB701" s="59"/>
      <c r="AC701" s="59"/>
      <c r="AD701" s="59"/>
      <c r="AE701" s="59"/>
      <c r="AF701" s="59"/>
      <c r="AG701" s="59"/>
      <c r="AH701" s="59"/>
      <c r="AI701" s="59" t="str">
        <f>IF(SUM(Dati[[#This Row],[Inv. Business]:[Inv. Cryptocurrency]])=0," ",SUM(Dati[[#This Row],[Inv. Business]:[Inv. Cryptocurrency]]))</f>
        <v xml:space="preserve"> </v>
      </c>
      <c r="AJ701" s="59"/>
      <c r="AK701" s="59"/>
      <c r="AL701" s="59"/>
      <c r="AM701" s="59"/>
    </row>
    <row r="702" spans="2:39" x14ac:dyDescent="0.35">
      <c r="B702" s="237">
        <f t="shared" si="34"/>
        <v>663</v>
      </c>
      <c r="C702" s="49">
        <f t="shared" si="27"/>
        <v>45431</v>
      </c>
      <c r="D702" s="29">
        <f>DAY(Dati[[#This Row],[Data]])</f>
        <v>19</v>
      </c>
      <c r="E702" s="29" t="str">
        <f>IF(DAY(Data!$C$21:$C$1327)&gt;0,TEXT(Data!$C$21:$C$1327, "mmmm"),"")</f>
        <v>maggio</v>
      </c>
      <c r="F702" s="29" t="str">
        <f>IF(DAY(Data!$C$21:$C$1327)&gt;0,TEXT(Data!$C$21:$C$1327, "aaaa"),"")</f>
        <v>2024</v>
      </c>
      <c r="I702" t="str">
        <f>IF(OR(H702=$B$5,H702=$B$6,H702=$B$7,H702=$B$8,H702=$B$9,H702=$B$10,H702=$B$11,H702=$B$12,H702=$B$13,H702=$B$14),SottocategorieUscite[[#Headers],[Fuori Casa]],IF(OR(H702=$C$5,H702=$C$6,H702=$C$7,H702=$C$8,H702=$C$9,H702=$C$10,H702=$C$11,H702=$C$12,H702=$C$13,H702=$C$14),SottocategorieUscite[[#Headers],[Varie Uscite]],IF(OR(H702=$D$5,H702=$D$6,H702=$D$7,H702=$D$8,H702=$D$9,H702=$D$10,H702=$D$11,H702=$D$12,H702=$D$13,H702=$D$14),SottocategorieUscite[[#Headers],[Personali]],IF(OR(H702=$E$5,H702=$E$6,H702=$E$7,H702=$E$8,H702=$E$9,H702=$E$10,H702=$E$11,H702=$E$12,H702=$E$13,H702=$E$14),SottocategorieUscite[[#Headers],[Lavoro]],IF(OR(H702=$F$5,H702=$F$6,H702=$F$7,H702=$F$8,H702=$F$9,H702=$F$10,H702=$F$11,H702=$F$12,H702=$F$13,H702=$F$14),SottocategorieUscite[[#Headers],[Casa]],IF(OR(H702=$G$5,H702=$G$6,H702=$G$7,H702=$G$8,H702=$G$9,H702=$G$10,H702=$G$11,H702=$G$12,H702=$G$13,H702=$G$14),SottocategorieUscite[[#Headers],[Utenze]],IF(OR(H702=$H$5,H702=$H$6,H702=$H$7,H702=$H$8,H702=$H$9,H702=$H$10,H702=$H$11,H702=$H$12,H702=$H$13,H702=$H$14),SottocategorieUscite[[#Headers],[Business Uscite]],IF(OR(H702=$I$5,H702=$I$6,H702=$I$7,H702=$I$8,H702=$I$9,H702=$I$10,H702=$I$11,H702=$I$12,H702=$I$13,H702=$I$14),SottocategorieUscite[[#Headers],[Banca]],IF(OR(H702=K$5,H702=K$6,H702=K$7,H702=K$8,H702=K$9,H702=K$10,H702=K$11,H702=K$12,H702=K$13,H702=K$14),SottocategorieEntrate[[#Headers],[Business Entrate]],IF(OR(H702=L$5,H702=L$6,H702=L$7,H702=L$8,H702=L$9,H702=L$10,H702=L$11,H702=L$12,H702=L$13,H702=L$14),SottocategorieEntrate[[#Headers],[Varie Entrate]],IF(OR(H702=M$5,H702=M$6,H702=M$7,H702=M$8,H702=M$9,H702=M$10,H702=M$11,H702=M$12,H702=M$13,H702=M$14),SottocategorieEntrate[[#Headers],[Real Estate]],IF(OR(H702=N$5,H702=N$6,H702=N$7,H702=N$8,H702=N$9,H702=N$10,H702=N$11,H702=N$12,H702=N$13,H702=N$14),SottocategorieEntrate[[#Headers],[Other]],""))))))))))))</f>
        <v/>
      </c>
      <c r="J702" t="str">
        <f>IF(OR(Dati[[#This Row],[Categoria]]="Bollette",Dati[[#This Row],[Categoria]]="Conto &amp; Carte BNL",Dati[[#This Row],[Categoria]]="Prelievo",Dati[[#This Row],[Categoria]]="Affitto",Dati[[#This Row],[Categoria]]="BNL(Interessi Creditori)"),"Carta",IF(Dati[[#This Row],[Categoria]]&lt;&gt;0,"Cash",""))</f>
        <v/>
      </c>
      <c r="K702" s="59" t="str">
        <f>IF(OR(Data!$I702=SottocategorieUscite[[#Headers],[Fuori Casa]],Data!$I702=SottocategorieUscite[[#Headers],[Varie Uscite]],Data!$I702=SottocategorieUscite[[#Headers],[Personali]],Data!$I702=SottocategorieUscite[[#Headers],[Lavoro]]),"$ -","")</f>
        <v/>
      </c>
      <c r="L702" s="59" t="str">
        <f>IF(OR(Data!$I702=SottocategorieUscite[[#Headers],[Casa]],Data!$I702=SottocategorieUscite[[#Headers],[Utenze]],Data!$I702=SottocategorieUscite[[#Headers],[Business Uscite]],Data!$I702=SottocategorieUscite[[#Headers],[Banca]]),"$ -","")</f>
        <v/>
      </c>
      <c r="M702" s="59" t="str">
        <f>IF(OR($I702&lt;&gt;SottocategorieUscite[[#Headers],[Fuori Casa]],$I702&lt;&gt;SottocategorieUscite[[#Headers],[Varie Uscite]],$I702&lt;&gt;SottocategorieUscite[[#Headers],[Personali]],$I702&lt;&gt;SottocategorieUscite[[#Headers],[Lavoro]],$I702&lt;&gt;SottocategorieUscite[[#Headers],[Casa]],$I702&lt;&gt;SottocategorieUscite[[#Headers],[Utenze]],$I702&lt;&gt;SottocategorieUscite[[#Headers],[Business Uscite]],$I702&lt;&gt;SottocategorieUscite[[#Headers],[Banca]]),"","$ -")</f>
        <v/>
      </c>
      <c r="N702" s="59" t="str">
        <f>IF(OR(Data!$I702=SottocategorieEntrate[[#Headers],[Business Entrate]],Data!$I702=SottocategorieEntrate[[#Headers],[Varie Entrate]]),"$ -","")</f>
        <v/>
      </c>
      <c r="O702" s="59" t="str">
        <f>IF(OR(Data!$I702=SottocategorieEntrate[[#Headers],[Real Estate]],SottocategorieEntrate[[#Headers],[Other]]),"$ -","")</f>
        <v/>
      </c>
      <c r="P702" s="59" t="str">
        <f>IF(OR($I702&lt;&gt;SottocategorieEntrate[[#Headers],[Business Entrate]],$I702&lt;&gt;SottocategorieEntrate[[#Headers],[Varie Entrate]],$I702&lt;&gt;SottocategorieEntrate[[#Headers],[Real Estate]],$I702&lt;&gt;SottocategorieEntrate[[#Headers],[Other]]),"","$ -")</f>
        <v/>
      </c>
      <c r="Q702" s="59" t="str">
        <f>IF(Dati[[#This Row],[Categoria]]="Prelievo","€ -","")</f>
        <v/>
      </c>
      <c r="R702" s="244"/>
      <c r="S702" s="59" t="str">
        <f>IF(Dati[[#This Row],[Categoria]]="Savings",0,"")</f>
        <v/>
      </c>
      <c r="T702" s="59"/>
      <c r="U702" s="59"/>
      <c r="V702" s="59"/>
      <c r="W702" s="59"/>
      <c r="X702" s="59"/>
      <c r="Y702" s="59"/>
      <c r="Z702" s="59"/>
      <c r="AA702" s="59"/>
      <c r="AB702" s="59"/>
      <c r="AC702" s="59"/>
      <c r="AD702" s="59"/>
      <c r="AE702" s="59"/>
      <c r="AF702" s="59"/>
      <c r="AG702" s="59"/>
      <c r="AH702" s="59"/>
      <c r="AI702" s="59" t="str">
        <f>IF(SUM(Dati[[#This Row],[Inv. Business]:[Inv. Cryptocurrency]])=0," ",SUM(Dati[[#This Row],[Inv. Business]:[Inv. Cryptocurrency]]))</f>
        <v xml:space="preserve"> </v>
      </c>
      <c r="AJ702" s="59"/>
      <c r="AK702" s="59"/>
      <c r="AL702" s="59"/>
      <c r="AM702" s="59"/>
    </row>
    <row r="703" spans="2:39" x14ac:dyDescent="0.35">
      <c r="B703" s="237">
        <f t="shared" si="34"/>
        <v>664</v>
      </c>
      <c r="C703" s="49">
        <f t="shared" si="27"/>
        <v>45432</v>
      </c>
      <c r="D703" s="29">
        <f>DAY(Dati[[#This Row],[Data]])</f>
        <v>20</v>
      </c>
      <c r="E703" s="29" t="str">
        <f>IF(DAY(Data!$C$21:$C$1327)&gt;0,TEXT(Data!$C$21:$C$1327, "mmmm"),"")</f>
        <v>maggio</v>
      </c>
      <c r="F703" s="29" t="str">
        <f>IF(DAY(Data!$C$21:$C$1327)&gt;0,TEXT(Data!$C$21:$C$1327, "aaaa"),"")</f>
        <v>2024</v>
      </c>
      <c r="I703" t="str">
        <f>IF(OR(H703=$B$5,H703=$B$6,H703=$B$7,H703=$B$8,H703=$B$9,H703=$B$10,H703=$B$11,H703=$B$12,H703=$B$13,H703=$B$14),SottocategorieUscite[[#Headers],[Fuori Casa]],IF(OR(H703=$C$5,H703=$C$6,H703=$C$7,H703=$C$8,H703=$C$9,H703=$C$10,H703=$C$11,H703=$C$12,H703=$C$13,H703=$C$14),SottocategorieUscite[[#Headers],[Varie Uscite]],IF(OR(H703=$D$5,H703=$D$6,H703=$D$7,H703=$D$8,H703=$D$9,H703=$D$10,H703=$D$11,H703=$D$12,H703=$D$13,H703=$D$14),SottocategorieUscite[[#Headers],[Personali]],IF(OR(H703=$E$5,H703=$E$6,H703=$E$7,H703=$E$8,H703=$E$9,H703=$E$10,H703=$E$11,H703=$E$12,H703=$E$13,H703=$E$14),SottocategorieUscite[[#Headers],[Lavoro]],IF(OR(H703=$F$5,H703=$F$6,H703=$F$7,H703=$F$8,H703=$F$9,H703=$F$10,H703=$F$11,H703=$F$12,H703=$F$13,H703=$F$14),SottocategorieUscite[[#Headers],[Casa]],IF(OR(H703=$G$5,H703=$G$6,H703=$G$7,H703=$G$8,H703=$G$9,H703=$G$10,H703=$G$11,H703=$G$12,H703=$G$13,H703=$G$14),SottocategorieUscite[[#Headers],[Utenze]],IF(OR(H703=$H$5,H703=$H$6,H703=$H$7,H703=$H$8,H703=$H$9,H703=$H$10,H703=$H$11,H703=$H$12,H703=$H$13,H703=$H$14),SottocategorieUscite[[#Headers],[Business Uscite]],IF(OR(H703=$I$5,H703=$I$6,H703=$I$7,H703=$I$8,H703=$I$9,H703=$I$10,H703=$I$11,H703=$I$12,H703=$I$13,H703=$I$14),SottocategorieUscite[[#Headers],[Banca]],IF(OR(H703=K$5,H703=K$6,H703=K$7,H703=K$8,H703=K$9,H703=K$10,H703=K$11,H703=K$12,H703=K$13,H703=K$14),SottocategorieEntrate[[#Headers],[Business Entrate]],IF(OR(H703=L$5,H703=L$6,H703=L$7,H703=L$8,H703=L$9,H703=L$10,H703=L$11,H703=L$12,H703=L$13,H703=L$14),SottocategorieEntrate[[#Headers],[Varie Entrate]],IF(OR(H703=M$5,H703=M$6,H703=M$7,H703=M$8,H703=M$9,H703=M$10,H703=M$11,H703=M$12,H703=M$13,H703=M$14),SottocategorieEntrate[[#Headers],[Real Estate]],IF(OR(H703=N$5,H703=N$6,H703=N$7,H703=N$8,H703=N$9,H703=N$10,H703=N$11,H703=N$12,H703=N$13,H703=N$14),SottocategorieEntrate[[#Headers],[Other]],""))))))))))))</f>
        <v/>
      </c>
      <c r="J703" t="str">
        <f>IF(OR(Dati[[#This Row],[Categoria]]="Bollette",Dati[[#This Row],[Categoria]]="Conto &amp; Carte BNL",Dati[[#This Row],[Categoria]]="Prelievo",Dati[[#This Row],[Categoria]]="Affitto",Dati[[#This Row],[Categoria]]="BNL(Interessi Creditori)"),"Carta",IF(Dati[[#This Row],[Categoria]]&lt;&gt;0,"Cash",""))</f>
        <v/>
      </c>
      <c r="K703" s="59" t="str">
        <f>IF(OR(Data!$I703=SottocategorieUscite[[#Headers],[Fuori Casa]],Data!$I703=SottocategorieUscite[[#Headers],[Varie Uscite]],Data!$I703=SottocategorieUscite[[#Headers],[Personali]],Data!$I703=SottocategorieUscite[[#Headers],[Lavoro]]),"$ -","")</f>
        <v/>
      </c>
      <c r="L703" s="59" t="str">
        <f>IF(OR(Data!$I703=SottocategorieUscite[[#Headers],[Casa]],Data!$I703=SottocategorieUscite[[#Headers],[Utenze]],Data!$I703=SottocategorieUscite[[#Headers],[Business Uscite]],Data!$I703=SottocategorieUscite[[#Headers],[Banca]]),"$ -","")</f>
        <v/>
      </c>
      <c r="M703" s="59" t="str">
        <f>IF(OR($I703&lt;&gt;SottocategorieUscite[[#Headers],[Fuori Casa]],$I703&lt;&gt;SottocategorieUscite[[#Headers],[Varie Uscite]],$I703&lt;&gt;SottocategorieUscite[[#Headers],[Personali]],$I703&lt;&gt;SottocategorieUscite[[#Headers],[Lavoro]],$I703&lt;&gt;SottocategorieUscite[[#Headers],[Casa]],$I703&lt;&gt;SottocategorieUscite[[#Headers],[Utenze]],$I703&lt;&gt;SottocategorieUscite[[#Headers],[Business Uscite]],$I703&lt;&gt;SottocategorieUscite[[#Headers],[Banca]]),"","$ -")</f>
        <v/>
      </c>
      <c r="N703" s="59" t="str">
        <f>IF(OR(Data!$I703=SottocategorieEntrate[[#Headers],[Business Entrate]],Data!$I703=SottocategorieEntrate[[#Headers],[Varie Entrate]]),"$ -","")</f>
        <v/>
      </c>
      <c r="O703" s="59" t="str">
        <f>IF(OR(Data!$I703=SottocategorieEntrate[[#Headers],[Real Estate]],SottocategorieEntrate[[#Headers],[Other]]),"$ -","")</f>
        <v/>
      </c>
      <c r="P703" s="59" t="str">
        <f>IF(OR($I703&lt;&gt;SottocategorieEntrate[[#Headers],[Business Entrate]],$I703&lt;&gt;SottocategorieEntrate[[#Headers],[Varie Entrate]],$I703&lt;&gt;SottocategorieEntrate[[#Headers],[Real Estate]],$I703&lt;&gt;SottocategorieEntrate[[#Headers],[Other]]),"","$ -")</f>
        <v/>
      </c>
      <c r="Q703" s="59" t="str">
        <f>IF(Dati[[#This Row],[Categoria]]="Prelievo","€ -","")</f>
        <v/>
      </c>
      <c r="R703" s="244"/>
      <c r="S703" s="59" t="str">
        <f>IF(Dati[[#This Row],[Categoria]]="Savings",0,"")</f>
        <v/>
      </c>
      <c r="T703" s="59"/>
      <c r="U703" s="59"/>
      <c r="V703" s="59"/>
      <c r="W703" s="59"/>
      <c r="X703" s="59"/>
      <c r="Y703" s="59"/>
      <c r="Z703" s="59"/>
      <c r="AA703" s="59"/>
      <c r="AB703" s="59"/>
      <c r="AC703" s="59"/>
      <c r="AD703" s="59"/>
      <c r="AE703" s="59"/>
      <c r="AF703" s="59"/>
      <c r="AG703" s="59"/>
      <c r="AH703" s="59"/>
      <c r="AI703" s="59" t="str">
        <f>IF(SUM(Dati[[#This Row],[Inv. Business]:[Inv. Cryptocurrency]])=0," ",SUM(Dati[[#This Row],[Inv. Business]:[Inv. Cryptocurrency]]))</f>
        <v xml:space="preserve"> </v>
      </c>
      <c r="AJ703" s="59"/>
      <c r="AK703" s="59"/>
      <c r="AL703" s="59"/>
      <c r="AM703" s="59"/>
    </row>
    <row r="704" spans="2:39" x14ac:dyDescent="0.35">
      <c r="B704" s="237">
        <f t="shared" si="34"/>
        <v>665</v>
      </c>
      <c r="C704" s="49">
        <f t="shared" si="27"/>
        <v>45433</v>
      </c>
      <c r="D704" s="29">
        <f>DAY(Dati[[#This Row],[Data]])</f>
        <v>21</v>
      </c>
      <c r="E704" s="29" t="str">
        <f>IF(DAY(Data!$C$21:$C$1327)&gt;0,TEXT(Data!$C$21:$C$1327, "mmmm"),"")</f>
        <v>maggio</v>
      </c>
      <c r="F704" s="29" t="str">
        <f>IF(DAY(Data!$C$21:$C$1327)&gt;0,TEXT(Data!$C$21:$C$1327, "aaaa"),"")</f>
        <v>2024</v>
      </c>
      <c r="I704" t="str">
        <f>IF(OR(H704=$B$5,H704=$B$6,H704=$B$7,H704=$B$8,H704=$B$9,H704=$B$10,H704=$B$11,H704=$B$12,H704=$B$13,H704=$B$14),SottocategorieUscite[[#Headers],[Fuori Casa]],IF(OR(H704=$C$5,H704=$C$6,H704=$C$7,H704=$C$8,H704=$C$9,H704=$C$10,H704=$C$11,H704=$C$12,H704=$C$13,H704=$C$14),SottocategorieUscite[[#Headers],[Varie Uscite]],IF(OR(H704=$D$5,H704=$D$6,H704=$D$7,H704=$D$8,H704=$D$9,H704=$D$10,H704=$D$11,H704=$D$12,H704=$D$13,H704=$D$14),SottocategorieUscite[[#Headers],[Personali]],IF(OR(H704=$E$5,H704=$E$6,H704=$E$7,H704=$E$8,H704=$E$9,H704=$E$10,H704=$E$11,H704=$E$12,H704=$E$13,H704=$E$14),SottocategorieUscite[[#Headers],[Lavoro]],IF(OR(H704=$F$5,H704=$F$6,H704=$F$7,H704=$F$8,H704=$F$9,H704=$F$10,H704=$F$11,H704=$F$12,H704=$F$13,H704=$F$14),SottocategorieUscite[[#Headers],[Casa]],IF(OR(H704=$G$5,H704=$G$6,H704=$G$7,H704=$G$8,H704=$G$9,H704=$G$10,H704=$G$11,H704=$G$12,H704=$G$13,H704=$G$14),SottocategorieUscite[[#Headers],[Utenze]],IF(OR(H704=$H$5,H704=$H$6,H704=$H$7,H704=$H$8,H704=$H$9,H704=$H$10,H704=$H$11,H704=$H$12,H704=$H$13,H704=$H$14),SottocategorieUscite[[#Headers],[Business Uscite]],IF(OR(H704=$I$5,H704=$I$6,H704=$I$7,H704=$I$8,H704=$I$9,H704=$I$10,H704=$I$11,H704=$I$12,H704=$I$13,H704=$I$14),SottocategorieUscite[[#Headers],[Banca]],IF(OR(H704=K$5,H704=K$6,H704=K$7,H704=K$8,H704=K$9,H704=K$10,H704=K$11,H704=K$12,H704=K$13,H704=K$14),SottocategorieEntrate[[#Headers],[Business Entrate]],IF(OR(H704=L$5,H704=L$6,H704=L$7,H704=L$8,H704=L$9,H704=L$10,H704=L$11,H704=L$12,H704=L$13,H704=L$14),SottocategorieEntrate[[#Headers],[Varie Entrate]],IF(OR(H704=M$5,H704=M$6,H704=M$7,H704=M$8,H704=M$9,H704=M$10,H704=M$11,H704=M$12,H704=M$13,H704=M$14),SottocategorieEntrate[[#Headers],[Real Estate]],IF(OR(H704=N$5,H704=N$6,H704=N$7,H704=N$8,H704=N$9,H704=N$10,H704=N$11,H704=N$12,H704=N$13,H704=N$14),SottocategorieEntrate[[#Headers],[Other]],""))))))))))))</f>
        <v/>
      </c>
      <c r="J704" t="str">
        <f>IF(OR(Dati[[#This Row],[Categoria]]="Bollette",Dati[[#This Row],[Categoria]]="Conto &amp; Carte BNL",Dati[[#This Row],[Categoria]]="Prelievo",Dati[[#This Row],[Categoria]]="Affitto",Dati[[#This Row],[Categoria]]="BNL(Interessi Creditori)"),"Carta",IF(Dati[[#This Row],[Categoria]]&lt;&gt;0,"Cash",""))</f>
        <v/>
      </c>
      <c r="K704" s="59" t="str">
        <f>IF(OR(Data!$I704=SottocategorieUscite[[#Headers],[Fuori Casa]],Data!$I704=SottocategorieUscite[[#Headers],[Varie Uscite]],Data!$I704=SottocategorieUscite[[#Headers],[Personali]],Data!$I704=SottocategorieUscite[[#Headers],[Lavoro]]),"$ -","")</f>
        <v/>
      </c>
      <c r="L704" s="59" t="str">
        <f>IF(OR(Data!$I704=SottocategorieUscite[[#Headers],[Casa]],Data!$I704=SottocategorieUscite[[#Headers],[Utenze]],Data!$I704=SottocategorieUscite[[#Headers],[Business Uscite]],Data!$I704=SottocategorieUscite[[#Headers],[Banca]]),"$ -","")</f>
        <v/>
      </c>
      <c r="M704" s="59" t="str">
        <f>IF(OR($I704&lt;&gt;SottocategorieUscite[[#Headers],[Fuori Casa]],$I704&lt;&gt;SottocategorieUscite[[#Headers],[Varie Uscite]],$I704&lt;&gt;SottocategorieUscite[[#Headers],[Personali]],$I704&lt;&gt;SottocategorieUscite[[#Headers],[Lavoro]],$I704&lt;&gt;SottocategorieUscite[[#Headers],[Casa]],$I704&lt;&gt;SottocategorieUscite[[#Headers],[Utenze]],$I704&lt;&gt;SottocategorieUscite[[#Headers],[Business Uscite]],$I704&lt;&gt;SottocategorieUscite[[#Headers],[Banca]]),"","$ -")</f>
        <v/>
      </c>
      <c r="N704" s="59" t="str">
        <f>IF(OR(Data!$I704=SottocategorieEntrate[[#Headers],[Business Entrate]],Data!$I704=SottocategorieEntrate[[#Headers],[Varie Entrate]]),"$ -","")</f>
        <v/>
      </c>
      <c r="O704" s="59" t="str">
        <f>IF(OR(Data!$I704=SottocategorieEntrate[[#Headers],[Real Estate]],SottocategorieEntrate[[#Headers],[Other]]),"$ -","")</f>
        <v/>
      </c>
      <c r="P704" s="59" t="str">
        <f>IF(OR($I704&lt;&gt;SottocategorieEntrate[[#Headers],[Business Entrate]],$I704&lt;&gt;SottocategorieEntrate[[#Headers],[Varie Entrate]],$I704&lt;&gt;SottocategorieEntrate[[#Headers],[Real Estate]],$I704&lt;&gt;SottocategorieEntrate[[#Headers],[Other]]),"","$ -")</f>
        <v/>
      </c>
      <c r="Q704" s="59" t="str">
        <f>IF(Dati[[#This Row],[Categoria]]="Prelievo","€ -","")</f>
        <v/>
      </c>
      <c r="R704" s="244"/>
      <c r="S704" s="59" t="str">
        <f>IF(Dati[[#This Row],[Categoria]]="Savings",0,"")</f>
        <v/>
      </c>
      <c r="T704" s="59"/>
      <c r="U704" s="59"/>
      <c r="V704" s="59"/>
      <c r="W704" s="59"/>
      <c r="X704" s="59"/>
      <c r="Y704" s="59"/>
      <c r="Z704" s="59"/>
      <c r="AA704" s="59"/>
      <c r="AB704" s="59"/>
      <c r="AC704" s="59"/>
      <c r="AD704" s="59"/>
      <c r="AE704" s="59"/>
      <c r="AF704" s="59"/>
      <c r="AG704" s="59"/>
      <c r="AH704" s="59"/>
      <c r="AI704" s="59" t="str">
        <f>IF(SUM(Dati[[#This Row],[Inv. Business]:[Inv. Cryptocurrency]])=0," ",SUM(Dati[[#This Row],[Inv. Business]:[Inv. Cryptocurrency]]))</f>
        <v xml:space="preserve"> </v>
      </c>
      <c r="AJ704" s="59"/>
      <c r="AK704" s="59"/>
      <c r="AL704" s="59"/>
      <c r="AM704" s="59"/>
    </row>
    <row r="705" spans="2:39" x14ac:dyDescent="0.35">
      <c r="B705" s="237">
        <f t="shared" si="34"/>
        <v>666</v>
      </c>
      <c r="C705" s="49">
        <f t="shared" si="27"/>
        <v>45434</v>
      </c>
      <c r="D705" s="29">
        <f>DAY(Dati[[#This Row],[Data]])</f>
        <v>22</v>
      </c>
      <c r="E705" s="29" t="str">
        <f>IF(DAY(Data!$C$21:$C$1327)&gt;0,TEXT(Data!$C$21:$C$1327, "mmmm"),"")</f>
        <v>maggio</v>
      </c>
      <c r="F705" s="29" t="str">
        <f>IF(DAY(Data!$C$21:$C$1327)&gt;0,TEXT(Data!$C$21:$C$1327, "aaaa"),"")</f>
        <v>2024</v>
      </c>
      <c r="I705" t="str">
        <f>IF(OR(H705=$B$5,H705=$B$6,H705=$B$7,H705=$B$8,H705=$B$9,H705=$B$10,H705=$B$11,H705=$B$12,H705=$B$13,H705=$B$14),SottocategorieUscite[[#Headers],[Fuori Casa]],IF(OR(H705=$C$5,H705=$C$6,H705=$C$7,H705=$C$8,H705=$C$9,H705=$C$10,H705=$C$11,H705=$C$12,H705=$C$13,H705=$C$14),SottocategorieUscite[[#Headers],[Varie Uscite]],IF(OR(H705=$D$5,H705=$D$6,H705=$D$7,H705=$D$8,H705=$D$9,H705=$D$10,H705=$D$11,H705=$D$12,H705=$D$13,H705=$D$14),SottocategorieUscite[[#Headers],[Personali]],IF(OR(H705=$E$5,H705=$E$6,H705=$E$7,H705=$E$8,H705=$E$9,H705=$E$10,H705=$E$11,H705=$E$12,H705=$E$13,H705=$E$14),SottocategorieUscite[[#Headers],[Lavoro]],IF(OR(H705=$F$5,H705=$F$6,H705=$F$7,H705=$F$8,H705=$F$9,H705=$F$10,H705=$F$11,H705=$F$12,H705=$F$13,H705=$F$14),SottocategorieUscite[[#Headers],[Casa]],IF(OR(H705=$G$5,H705=$G$6,H705=$G$7,H705=$G$8,H705=$G$9,H705=$G$10,H705=$G$11,H705=$G$12,H705=$G$13,H705=$G$14),SottocategorieUscite[[#Headers],[Utenze]],IF(OR(H705=$H$5,H705=$H$6,H705=$H$7,H705=$H$8,H705=$H$9,H705=$H$10,H705=$H$11,H705=$H$12,H705=$H$13,H705=$H$14),SottocategorieUscite[[#Headers],[Business Uscite]],IF(OR(H705=$I$5,H705=$I$6,H705=$I$7,H705=$I$8,H705=$I$9,H705=$I$10,H705=$I$11,H705=$I$12,H705=$I$13,H705=$I$14),SottocategorieUscite[[#Headers],[Banca]],IF(OR(H705=K$5,H705=K$6,H705=K$7,H705=K$8,H705=K$9,H705=K$10,H705=K$11,H705=K$12,H705=K$13,H705=K$14),SottocategorieEntrate[[#Headers],[Business Entrate]],IF(OR(H705=L$5,H705=L$6,H705=L$7,H705=L$8,H705=L$9,H705=L$10,H705=L$11,H705=L$12,H705=L$13,H705=L$14),SottocategorieEntrate[[#Headers],[Varie Entrate]],IF(OR(H705=M$5,H705=M$6,H705=M$7,H705=M$8,H705=M$9,H705=M$10,H705=M$11,H705=M$12,H705=M$13,H705=M$14),SottocategorieEntrate[[#Headers],[Real Estate]],IF(OR(H705=N$5,H705=N$6,H705=N$7,H705=N$8,H705=N$9,H705=N$10,H705=N$11,H705=N$12,H705=N$13,H705=N$14),SottocategorieEntrate[[#Headers],[Other]],""))))))))))))</f>
        <v/>
      </c>
      <c r="J705" t="str">
        <f>IF(OR(Dati[[#This Row],[Categoria]]="Bollette",Dati[[#This Row],[Categoria]]="Conto &amp; Carte BNL",Dati[[#This Row],[Categoria]]="Prelievo",Dati[[#This Row],[Categoria]]="Affitto",Dati[[#This Row],[Categoria]]="BNL(Interessi Creditori)"),"Carta",IF(Dati[[#This Row],[Categoria]]&lt;&gt;0,"Cash",""))</f>
        <v/>
      </c>
      <c r="K705" s="59" t="str">
        <f>IF(OR(Data!$I705=SottocategorieUscite[[#Headers],[Fuori Casa]],Data!$I705=SottocategorieUscite[[#Headers],[Varie Uscite]],Data!$I705=SottocategorieUscite[[#Headers],[Personali]],Data!$I705=SottocategorieUscite[[#Headers],[Lavoro]]),"$ -","")</f>
        <v/>
      </c>
      <c r="L705" s="59" t="str">
        <f>IF(OR(Data!$I705=SottocategorieUscite[[#Headers],[Casa]],Data!$I705=SottocategorieUscite[[#Headers],[Utenze]],Data!$I705=SottocategorieUscite[[#Headers],[Business Uscite]],Data!$I705=SottocategorieUscite[[#Headers],[Banca]]),"$ -","")</f>
        <v/>
      </c>
      <c r="M705" s="59" t="str">
        <f>IF(OR($I705&lt;&gt;SottocategorieUscite[[#Headers],[Fuori Casa]],$I705&lt;&gt;SottocategorieUscite[[#Headers],[Varie Uscite]],$I705&lt;&gt;SottocategorieUscite[[#Headers],[Personali]],$I705&lt;&gt;SottocategorieUscite[[#Headers],[Lavoro]],$I705&lt;&gt;SottocategorieUscite[[#Headers],[Casa]],$I705&lt;&gt;SottocategorieUscite[[#Headers],[Utenze]],$I705&lt;&gt;SottocategorieUscite[[#Headers],[Business Uscite]],$I705&lt;&gt;SottocategorieUscite[[#Headers],[Banca]]),"","$ -")</f>
        <v/>
      </c>
      <c r="N705" s="59" t="str">
        <f>IF(OR(Data!$I705=SottocategorieEntrate[[#Headers],[Business Entrate]],Data!$I705=SottocategorieEntrate[[#Headers],[Varie Entrate]]),"$ -","")</f>
        <v/>
      </c>
      <c r="O705" s="59" t="str">
        <f>IF(OR(Data!$I705=SottocategorieEntrate[[#Headers],[Real Estate]],SottocategorieEntrate[[#Headers],[Other]]),"$ -","")</f>
        <v/>
      </c>
      <c r="P705" s="59" t="str">
        <f>IF(OR($I705&lt;&gt;SottocategorieEntrate[[#Headers],[Business Entrate]],$I705&lt;&gt;SottocategorieEntrate[[#Headers],[Varie Entrate]],$I705&lt;&gt;SottocategorieEntrate[[#Headers],[Real Estate]],$I705&lt;&gt;SottocategorieEntrate[[#Headers],[Other]]),"","$ -")</f>
        <v/>
      </c>
      <c r="Q705" s="59" t="str">
        <f>IF(Dati[[#This Row],[Categoria]]="Prelievo","€ -","")</f>
        <v/>
      </c>
      <c r="R705" s="244"/>
      <c r="S705" s="59" t="str">
        <f>IF(Dati[[#This Row],[Categoria]]="Savings",0,"")</f>
        <v/>
      </c>
      <c r="T705" s="59"/>
      <c r="U705" s="59"/>
      <c r="V705" s="59"/>
      <c r="W705" s="59"/>
      <c r="X705" s="59"/>
      <c r="Y705" s="59"/>
      <c r="Z705" s="59"/>
      <c r="AA705" s="59"/>
      <c r="AB705" s="59"/>
      <c r="AC705" s="59"/>
      <c r="AD705" s="59"/>
      <c r="AE705" s="59"/>
      <c r="AF705" s="59"/>
      <c r="AG705" s="59"/>
      <c r="AH705" s="59"/>
      <c r="AI705" s="59" t="str">
        <f>IF(SUM(Dati[[#This Row],[Inv. Business]:[Inv. Cryptocurrency]])=0," ",SUM(Dati[[#This Row],[Inv. Business]:[Inv. Cryptocurrency]]))</f>
        <v xml:space="preserve"> </v>
      </c>
      <c r="AJ705" s="59"/>
      <c r="AK705" s="59"/>
      <c r="AL705" s="59"/>
      <c r="AM705" s="59"/>
    </row>
    <row r="706" spans="2:39" x14ac:dyDescent="0.35">
      <c r="B706" s="237">
        <f>ROW(668:668)</f>
        <v>668</v>
      </c>
      <c r="C706" s="49">
        <f t="shared" si="27"/>
        <v>45435</v>
      </c>
      <c r="D706" s="29">
        <f>DAY(Dati[[#This Row],[Data]])</f>
        <v>23</v>
      </c>
      <c r="E706" s="29" t="str">
        <f>IF(DAY(Data!$C$21:$C$1327)&gt;0,TEXT(Data!$C$21:$C$1327, "mmmm"),"")</f>
        <v>maggio</v>
      </c>
      <c r="F706" s="29" t="str">
        <f>IF(DAY(Data!$C$21:$C$1327)&gt;0,TEXT(Data!$C$21:$C$1327, "aaaa"),"")</f>
        <v>2024</v>
      </c>
      <c r="I706" t="str">
        <f>IF(OR(H706=$B$5,H706=$B$6,H706=$B$7,H706=$B$8,H706=$B$9,H706=$B$10,H706=$B$11,H706=$B$12,H706=$B$13,H706=$B$14),SottocategorieUscite[[#Headers],[Fuori Casa]],IF(OR(H706=$C$5,H706=$C$6,H706=$C$7,H706=$C$8,H706=$C$9,H706=$C$10,H706=$C$11,H706=$C$12,H706=$C$13,H706=$C$14),SottocategorieUscite[[#Headers],[Varie Uscite]],IF(OR(H706=$D$5,H706=$D$6,H706=$D$7,H706=$D$8,H706=$D$9,H706=$D$10,H706=$D$11,H706=$D$12,H706=$D$13,H706=$D$14),SottocategorieUscite[[#Headers],[Personali]],IF(OR(H706=$E$5,H706=$E$6,H706=$E$7,H706=$E$8,H706=$E$9,H706=$E$10,H706=$E$11,H706=$E$12,H706=$E$13,H706=$E$14),SottocategorieUscite[[#Headers],[Lavoro]],IF(OR(H706=$F$5,H706=$F$6,H706=$F$7,H706=$F$8,H706=$F$9,H706=$F$10,H706=$F$11,H706=$F$12,H706=$F$13,H706=$F$14),SottocategorieUscite[[#Headers],[Casa]],IF(OR(H706=$G$5,H706=$G$6,H706=$G$7,H706=$G$8,H706=$G$9,H706=$G$10,H706=$G$11,H706=$G$12,H706=$G$13,H706=$G$14),SottocategorieUscite[[#Headers],[Utenze]],IF(OR(H706=$H$5,H706=$H$6,H706=$H$7,H706=$H$8,H706=$H$9,H706=$H$10,H706=$H$11,H706=$H$12,H706=$H$13,H706=$H$14),SottocategorieUscite[[#Headers],[Business Uscite]],IF(OR(H706=$I$5,H706=$I$6,H706=$I$7,H706=$I$8,H706=$I$9,H706=$I$10,H706=$I$11,H706=$I$12,H706=$I$13,H706=$I$14),SottocategorieUscite[[#Headers],[Banca]],IF(OR(H706=K$5,H706=K$6,H706=K$7,H706=K$8,H706=K$9,H706=K$10,H706=K$11,H706=K$12,H706=K$13,H706=K$14),SottocategorieEntrate[[#Headers],[Business Entrate]],IF(OR(H706=L$5,H706=L$6,H706=L$7,H706=L$8,H706=L$9,H706=L$10,H706=L$11,H706=L$12,H706=L$13,H706=L$14),SottocategorieEntrate[[#Headers],[Varie Entrate]],IF(OR(H706=M$5,H706=M$6,H706=M$7,H706=M$8,H706=M$9,H706=M$10,H706=M$11,H706=M$12,H706=M$13,H706=M$14),SottocategorieEntrate[[#Headers],[Real Estate]],IF(OR(H706=N$5,H706=N$6,H706=N$7,H706=N$8,H706=N$9,H706=N$10,H706=N$11,H706=N$12,H706=N$13,H706=N$14),SottocategorieEntrate[[#Headers],[Other]],""))))))))))))</f>
        <v/>
      </c>
      <c r="J706" t="str">
        <f>IF(OR(Dati[[#This Row],[Categoria]]="Bollette",Dati[[#This Row],[Categoria]]="Conto &amp; Carte BNL",Dati[[#This Row],[Categoria]]="Prelievo",Dati[[#This Row],[Categoria]]="Affitto",Dati[[#This Row],[Categoria]]="BNL(Interessi Creditori)"),"Carta",IF(Dati[[#This Row],[Categoria]]&lt;&gt;0,"Cash",""))</f>
        <v/>
      </c>
      <c r="K706" s="59" t="str">
        <f>IF(OR(Data!$I706=SottocategorieUscite[[#Headers],[Fuori Casa]],Data!$I706=SottocategorieUscite[[#Headers],[Varie Uscite]],Data!$I706=SottocategorieUscite[[#Headers],[Personali]],Data!$I706=SottocategorieUscite[[#Headers],[Lavoro]]),"$ -","")</f>
        <v/>
      </c>
      <c r="L706" s="59" t="str">
        <f>IF(OR(Data!$I706=SottocategorieUscite[[#Headers],[Casa]],Data!$I706=SottocategorieUscite[[#Headers],[Utenze]],Data!$I706=SottocategorieUscite[[#Headers],[Business Uscite]],Data!$I706=SottocategorieUscite[[#Headers],[Banca]]),"$ -","")</f>
        <v/>
      </c>
      <c r="M706" s="59" t="str">
        <f>IF(OR($I706&lt;&gt;SottocategorieUscite[[#Headers],[Fuori Casa]],$I706&lt;&gt;SottocategorieUscite[[#Headers],[Varie Uscite]],$I706&lt;&gt;SottocategorieUscite[[#Headers],[Personali]],$I706&lt;&gt;SottocategorieUscite[[#Headers],[Lavoro]],$I706&lt;&gt;SottocategorieUscite[[#Headers],[Casa]],$I706&lt;&gt;SottocategorieUscite[[#Headers],[Utenze]],$I706&lt;&gt;SottocategorieUscite[[#Headers],[Business Uscite]],$I706&lt;&gt;SottocategorieUscite[[#Headers],[Banca]]),"","$ -")</f>
        <v/>
      </c>
      <c r="N706" s="59" t="str">
        <f>IF(OR(Data!$I706=SottocategorieEntrate[[#Headers],[Business Entrate]],Data!$I706=SottocategorieEntrate[[#Headers],[Varie Entrate]]),"$ -","")</f>
        <v/>
      </c>
      <c r="O706" s="59" t="str">
        <f>IF(OR(Data!$I706=SottocategorieEntrate[[#Headers],[Real Estate]],SottocategorieEntrate[[#Headers],[Other]]),"$ -","")</f>
        <v/>
      </c>
      <c r="P706" s="59" t="str">
        <f>IF(OR($I706&lt;&gt;SottocategorieEntrate[[#Headers],[Business Entrate]],$I706&lt;&gt;SottocategorieEntrate[[#Headers],[Varie Entrate]],$I706&lt;&gt;SottocategorieEntrate[[#Headers],[Real Estate]],$I706&lt;&gt;SottocategorieEntrate[[#Headers],[Other]]),"","$ -")</f>
        <v/>
      </c>
      <c r="Q706" s="59" t="str">
        <f>IF(Dati[[#This Row],[Categoria]]="Prelievo","€ -","")</f>
        <v/>
      </c>
      <c r="R706" s="244"/>
      <c r="S706" s="59" t="str">
        <f>IF(Dati[[#This Row],[Categoria]]="Savings",0,"")</f>
        <v/>
      </c>
      <c r="T706" s="59"/>
      <c r="U706" s="59"/>
      <c r="V706" s="59"/>
      <c r="W706" s="59"/>
      <c r="X706" s="59"/>
      <c r="Y706" s="59"/>
      <c r="Z706" s="59"/>
      <c r="AA706" s="59"/>
      <c r="AB706" s="59"/>
      <c r="AC706" s="59"/>
      <c r="AD706" s="59"/>
      <c r="AE706" s="59"/>
      <c r="AF706" s="59"/>
      <c r="AG706" s="59"/>
      <c r="AH706" s="59"/>
      <c r="AI706" s="59" t="str">
        <f>IF(SUM(Dati[[#This Row],[Inv. Business]:[Inv. Cryptocurrency]])=0," ",SUM(Dati[[#This Row],[Inv. Business]:[Inv. Cryptocurrency]]))</f>
        <v xml:space="preserve"> </v>
      </c>
      <c r="AJ706" s="59"/>
      <c r="AK706" s="59"/>
      <c r="AL706" s="59"/>
      <c r="AM706" s="59"/>
    </row>
    <row r="707" spans="2:39" x14ac:dyDescent="0.35">
      <c r="B707" s="237">
        <f>ROW(669:669)</f>
        <v>669</v>
      </c>
      <c r="C707" s="49">
        <f t="shared" si="27"/>
        <v>45436</v>
      </c>
      <c r="D707" s="29">
        <f>DAY(Dati[[#This Row],[Data]])</f>
        <v>24</v>
      </c>
      <c r="E707" s="29" t="str">
        <f>IF(DAY(Data!$C$21:$C$1327)&gt;0,TEXT(Data!$C$21:$C$1327, "mmmm"),"")</f>
        <v>maggio</v>
      </c>
      <c r="F707" s="29" t="str">
        <f>IF(DAY(Data!$C$21:$C$1327)&gt;0,TEXT(Data!$C$21:$C$1327, "aaaa"),"")</f>
        <v>2024</v>
      </c>
      <c r="I707" t="str">
        <f>IF(OR(H707=$B$5,H707=$B$6,H707=$B$7,H707=$B$8,H707=$B$9,H707=$B$10,H707=$B$11,H707=$B$12,H707=$B$13,H707=$B$14),SottocategorieUscite[[#Headers],[Fuori Casa]],IF(OR(H707=$C$5,H707=$C$6,H707=$C$7,H707=$C$8,H707=$C$9,H707=$C$10,H707=$C$11,H707=$C$12,H707=$C$13,H707=$C$14),SottocategorieUscite[[#Headers],[Varie Uscite]],IF(OR(H707=$D$5,H707=$D$6,H707=$D$7,H707=$D$8,H707=$D$9,H707=$D$10,H707=$D$11,H707=$D$12,H707=$D$13,H707=$D$14),SottocategorieUscite[[#Headers],[Personali]],IF(OR(H707=$E$5,H707=$E$6,H707=$E$7,H707=$E$8,H707=$E$9,H707=$E$10,H707=$E$11,H707=$E$12,H707=$E$13,H707=$E$14),SottocategorieUscite[[#Headers],[Lavoro]],IF(OR(H707=$F$5,H707=$F$6,H707=$F$7,H707=$F$8,H707=$F$9,H707=$F$10,H707=$F$11,H707=$F$12,H707=$F$13,H707=$F$14),SottocategorieUscite[[#Headers],[Casa]],IF(OR(H707=$G$5,H707=$G$6,H707=$G$7,H707=$G$8,H707=$G$9,H707=$G$10,H707=$G$11,H707=$G$12,H707=$G$13,H707=$G$14),SottocategorieUscite[[#Headers],[Utenze]],IF(OR(H707=$H$5,H707=$H$6,H707=$H$7,H707=$H$8,H707=$H$9,H707=$H$10,H707=$H$11,H707=$H$12,H707=$H$13,H707=$H$14),SottocategorieUscite[[#Headers],[Business Uscite]],IF(OR(H707=$I$5,H707=$I$6,H707=$I$7,H707=$I$8,H707=$I$9,H707=$I$10,H707=$I$11,H707=$I$12,H707=$I$13,H707=$I$14),SottocategorieUscite[[#Headers],[Banca]],IF(OR(H707=K$5,H707=K$6,H707=K$7,H707=K$8,H707=K$9,H707=K$10,H707=K$11,H707=K$12,H707=K$13,H707=K$14),SottocategorieEntrate[[#Headers],[Business Entrate]],IF(OR(H707=L$5,H707=L$6,H707=L$7,H707=L$8,H707=L$9,H707=L$10,H707=L$11,H707=L$12,H707=L$13,H707=L$14),SottocategorieEntrate[[#Headers],[Varie Entrate]],IF(OR(H707=M$5,H707=M$6,H707=M$7,H707=M$8,H707=M$9,H707=M$10,H707=M$11,H707=M$12,H707=M$13,H707=M$14),SottocategorieEntrate[[#Headers],[Real Estate]],IF(OR(H707=N$5,H707=N$6,H707=N$7,H707=N$8,H707=N$9,H707=N$10,H707=N$11,H707=N$12,H707=N$13,H707=N$14),SottocategorieEntrate[[#Headers],[Other]],""))))))))))))</f>
        <v/>
      </c>
      <c r="J707" t="str">
        <f>IF(OR(Dati[[#This Row],[Categoria]]="Bollette",Dati[[#This Row],[Categoria]]="Conto &amp; Carte BNL",Dati[[#This Row],[Categoria]]="Prelievo",Dati[[#This Row],[Categoria]]="Affitto",Dati[[#This Row],[Categoria]]="BNL(Interessi Creditori)"),"Carta",IF(Dati[[#This Row],[Categoria]]&lt;&gt;0,"Cash",""))</f>
        <v/>
      </c>
      <c r="K707" s="59" t="str">
        <f>IF(OR(Data!$I707=SottocategorieUscite[[#Headers],[Fuori Casa]],Data!$I707=SottocategorieUscite[[#Headers],[Varie Uscite]],Data!$I707=SottocategorieUscite[[#Headers],[Personali]],Data!$I707=SottocategorieUscite[[#Headers],[Lavoro]]),"$ -","")</f>
        <v/>
      </c>
      <c r="L707" s="59" t="str">
        <f>IF(OR(Data!$I707=SottocategorieUscite[[#Headers],[Casa]],Data!$I707=SottocategorieUscite[[#Headers],[Utenze]],Data!$I707=SottocategorieUscite[[#Headers],[Business Uscite]],Data!$I707=SottocategorieUscite[[#Headers],[Banca]]),"$ -","")</f>
        <v/>
      </c>
      <c r="M707" s="59" t="str">
        <f>IF(OR($I707&lt;&gt;SottocategorieUscite[[#Headers],[Fuori Casa]],$I707&lt;&gt;SottocategorieUscite[[#Headers],[Varie Uscite]],$I707&lt;&gt;SottocategorieUscite[[#Headers],[Personali]],$I707&lt;&gt;SottocategorieUscite[[#Headers],[Lavoro]],$I707&lt;&gt;SottocategorieUscite[[#Headers],[Casa]],$I707&lt;&gt;SottocategorieUscite[[#Headers],[Utenze]],$I707&lt;&gt;SottocategorieUscite[[#Headers],[Business Uscite]],$I707&lt;&gt;SottocategorieUscite[[#Headers],[Banca]]),"","$ -")</f>
        <v/>
      </c>
      <c r="N707" s="59" t="str">
        <f>IF(OR(Data!$I707=SottocategorieEntrate[[#Headers],[Business Entrate]],Data!$I707=SottocategorieEntrate[[#Headers],[Varie Entrate]]),"$ -","")</f>
        <v/>
      </c>
      <c r="O707" s="59" t="str">
        <f>IF(OR(Data!$I707=SottocategorieEntrate[[#Headers],[Real Estate]],SottocategorieEntrate[[#Headers],[Other]]),"$ -","")</f>
        <v/>
      </c>
      <c r="P707" s="59" t="str">
        <f>IF(OR($I707&lt;&gt;SottocategorieEntrate[[#Headers],[Business Entrate]],$I707&lt;&gt;SottocategorieEntrate[[#Headers],[Varie Entrate]],$I707&lt;&gt;SottocategorieEntrate[[#Headers],[Real Estate]],$I707&lt;&gt;SottocategorieEntrate[[#Headers],[Other]]),"","$ -")</f>
        <v/>
      </c>
      <c r="Q707" s="59" t="str">
        <f>IF(Dati[[#This Row],[Categoria]]="Prelievo","€ -","")</f>
        <v/>
      </c>
      <c r="R707" s="244"/>
      <c r="S707" s="59" t="str">
        <f>IF(Dati[[#This Row],[Categoria]]="Savings",0,"")</f>
        <v/>
      </c>
      <c r="T707" s="59"/>
      <c r="U707" s="59"/>
      <c r="V707" s="59"/>
      <c r="W707" s="59"/>
      <c r="X707" s="59"/>
      <c r="Y707" s="59"/>
      <c r="Z707" s="59"/>
      <c r="AA707" s="59"/>
      <c r="AB707" s="59"/>
      <c r="AC707" s="59"/>
      <c r="AD707" s="59"/>
      <c r="AE707" s="59"/>
      <c r="AF707" s="59"/>
      <c r="AG707" s="59"/>
      <c r="AH707" s="59"/>
      <c r="AI707" s="59" t="str">
        <f>IF(SUM(Dati[[#This Row],[Inv. Business]:[Inv. Cryptocurrency]])=0," ",SUM(Dati[[#This Row],[Inv. Business]:[Inv. Cryptocurrency]]))</f>
        <v xml:space="preserve"> </v>
      </c>
      <c r="AJ707" s="59"/>
      <c r="AK707" s="59"/>
      <c r="AL707" s="59"/>
      <c r="AM707" s="59"/>
    </row>
    <row r="708" spans="2:39" x14ac:dyDescent="0.35">
      <c r="B708" s="237">
        <f>ROW(673:673)</f>
        <v>673</v>
      </c>
      <c r="C708" s="49">
        <f t="shared" si="27"/>
        <v>45437</v>
      </c>
      <c r="D708" s="29">
        <f>DAY(Dati[[#This Row],[Data]])</f>
        <v>25</v>
      </c>
      <c r="E708" s="29" t="str">
        <f>IF(DAY(Data!$C$21:$C$1327)&gt;0,TEXT(Data!$C$21:$C$1327, "mmmm"),"")</f>
        <v>maggio</v>
      </c>
      <c r="F708" s="29" t="str">
        <f>IF(DAY(Data!$C$21:$C$1327)&gt;0,TEXT(Data!$C$21:$C$1327, "aaaa"),"")</f>
        <v>2024</v>
      </c>
      <c r="I708" t="str">
        <f>IF(OR(H708=$B$5,H708=$B$6,H708=$B$7,H708=$B$8,H708=$B$9,H708=$B$10,H708=$B$11,H708=$B$12,H708=$B$13,H708=$B$14),SottocategorieUscite[[#Headers],[Fuori Casa]],IF(OR(H708=$C$5,H708=$C$6,H708=$C$7,H708=$C$8,H708=$C$9,H708=$C$10,H708=$C$11,H708=$C$12,H708=$C$13,H708=$C$14),SottocategorieUscite[[#Headers],[Varie Uscite]],IF(OR(H708=$D$5,H708=$D$6,H708=$D$7,H708=$D$8,H708=$D$9,H708=$D$10,H708=$D$11,H708=$D$12,H708=$D$13,H708=$D$14),SottocategorieUscite[[#Headers],[Personali]],IF(OR(H708=$E$5,H708=$E$6,H708=$E$7,H708=$E$8,H708=$E$9,H708=$E$10,H708=$E$11,H708=$E$12,H708=$E$13,H708=$E$14),SottocategorieUscite[[#Headers],[Lavoro]],IF(OR(H708=$F$5,H708=$F$6,H708=$F$7,H708=$F$8,H708=$F$9,H708=$F$10,H708=$F$11,H708=$F$12,H708=$F$13,H708=$F$14),SottocategorieUscite[[#Headers],[Casa]],IF(OR(H708=$G$5,H708=$G$6,H708=$G$7,H708=$G$8,H708=$G$9,H708=$G$10,H708=$G$11,H708=$G$12,H708=$G$13,H708=$G$14),SottocategorieUscite[[#Headers],[Utenze]],IF(OR(H708=$H$5,H708=$H$6,H708=$H$7,H708=$H$8,H708=$H$9,H708=$H$10,H708=$H$11,H708=$H$12,H708=$H$13,H708=$H$14),SottocategorieUscite[[#Headers],[Business Uscite]],IF(OR(H708=$I$5,H708=$I$6,H708=$I$7,H708=$I$8,H708=$I$9,H708=$I$10,H708=$I$11,H708=$I$12,H708=$I$13,H708=$I$14),SottocategorieUscite[[#Headers],[Banca]],IF(OR(H708=K$5,H708=K$6,H708=K$7,H708=K$8,H708=K$9,H708=K$10,H708=K$11,H708=K$12,H708=K$13,H708=K$14),SottocategorieEntrate[[#Headers],[Business Entrate]],IF(OR(H708=L$5,H708=L$6,H708=L$7,H708=L$8,H708=L$9,H708=L$10,H708=L$11,H708=L$12,H708=L$13,H708=L$14),SottocategorieEntrate[[#Headers],[Varie Entrate]],IF(OR(H708=M$5,H708=M$6,H708=M$7,H708=M$8,H708=M$9,H708=M$10,H708=M$11,H708=M$12,H708=M$13,H708=M$14),SottocategorieEntrate[[#Headers],[Real Estate]],IF(OR(H708=N$5,H708=N$6,H708=N$7,H708=N$8,H708=N$9,H708=N$10,H708=N$11,H708=N$12,H708=N$13,H708=N$14),SottocategorieEntrate[[#Headers],[Other]],""))))))))))))</f>
        <v/>
      </c>
      <c r="J708" t="str">
        <f>IF(OR(Dati[[#This Row],[Categoria]]="Bollette",Dati[[#This Row],[Categoria]]="Conto &amp; Carte BNL",Dati[[#This Row],[Categoria]]="Prelievo",Dati[[#This Row],[Categoria]]="Affitto",Dati[[#This Row],[Categoria]]="BNL(Interessi Creditori)"),"Carta",IF(Dati[[#This Row],[Categoria]]&lt;&gt;0,"Cash",""))</f>
        <v/>
      </c>
      <c r="K708" s="59" t="str">
        <f>IF(OR(Data!$I708=SottocategorieUscite[[#Headers],[Fuori Casa]],Data!$I708=SottocategorieUscite[[#Headers],[Varie Uscite]],Data!$I708=SottocategorieUscite[[#Headers],[Personali]],Data!$I708=SottocategorieUscite[[#Headers],[Lavoro]]),"$ -","")</f>
        <v/>
      </c>
      <c r="L708" s="59" t="str">
        <f>IF(OR(Data!$I708=SottocategorieUscite[[#Headers],[Casa]],Data!$I708=SottocategorieUscite[[#Headers],[Utenze]],Data!$I708=SottocategorieUscite[[#Headers],[Business Uscite]],Data!$I708=SottocategorieUscite[[#Headers],[Banca]]),"$ -","")</f>
        <v/>
      </c>
      <c r="M708" s="59" t="str">
        <f>IF(OR($I708&lt;&gt;SottocategorieUscite[[#Headers],[Fuori Casa]],$I708&lt;&gt;SottocategorieUscite[[#Headers],[Varie Uscite]],$I708&lt;&gt;SottocategorieUscite[[#Headers],[Personali]],$I708&lt;&gt;SottocategorieUscite[[#Headers],[Lavoro]],$I708&lt;&gt;SottocategorieUscite[[#Headers],[Casa]],$I708&lt;&gt;SottocategorieUscite[[#Headers],[Utenze]],$I708&lt;&gt;SottocategorieUscite[[#Headers],[Business Uscite]],$I708&lt;&gt;SottocategorieUscite[[#Headers],[Banca]]),"","$ -")</f>
        <v/>
      </c>
      <c r="N708" s="59" t="str">
        <f>IF(OR(Data!$I708=SottocategorieEntrate[[#Headers],[Business Entrate]],Data!$I708=SottocategorieEntrate[[#Headers],[Varie Entrate]]),"$ -","")</f>
        <v/>
      </c>
      <c r="O708" s="59" t="str">
        <f>IF(OR(Data!$I708=SottocategorieEntrate[[#Headers],[Real Estate]],SottocategorieEntrate[[#Headers],[Other]]),"$ -","")</f>
        <v/>
      </c>
      <c r="P708" s="59" t="str">
        <f>IF(OR($I708&lt;&gt;SottocategorieEntrate[[#Headers],[Business Entrate]],$I708&lt;&gt;SottocategorieEntrate[[#Headers],[Varie Entrate]],$I708&lt;&gt;SottocategorieEntrate[[#Headers],[Real Estate]],$I708&lt;&gt;SottocategorieEntrate[[#Headers],[Other]]),"","$ -")</f>
        <v/>
      </c>
      <c r="Q708" s="59" t="str">
        <f>IF(Dati[[#This Row],[Categoria]]="Prelievo","€ -","")</f>
        <v/>
      </c>
      <c r="R708" s="244"/>
      <c r="S708" s="59" t="str">
        <f>IF(Dati[[#This Row],[Categoria]]="Savings",0,"")</f>
        <v/>
      </c>
      <c r="T708" s="59"/>
      <c r="U708" s="59"/>
      <c r="V708" s="59"/>
      <c r="W708" s="59"/>
      <c r="X708" s="59"/>
      <c r="Y708" s="59"/>
      <c r="Z708" s="59"/>
      <c r="AA708" s="59"/>
      <c r="AB708" s="59"/>
      <c r="AC708" s="59"/>
      <c r="AD708" s="59"/>
      <c r="AE708" s="59"/>
      <c r="AF708" s="59"/>
      <c r="AG708" s="59"/>
      <c r="AH708" s="59"/>
      <c r="AI708" s="59" t="str">
        <f>IF(SUM(Dati[[#This Row],[Inv. Business]:[Inv. Cryptocurrency]])=0," ",SUM(Dati[[#This Row],[Inv. Business]:[Inv. Cryptocurrency]]))</f>
        <v xml:space="preserve"> </v>
      </c>
      <c r="AJ708" s="59"/>
      <c r="AK708" s="59"/>
      <c r="AL708" s="59"/>
      <c r="AM708" s="59"/>
    </row>
    <row r="709" spans="2:39" x14ac:dyDescent="0.35">
      <c r="B709" s="237">
        <f>ROW(674:674)</f>
        <v>674</v>
      </c>
      <c r="C709" s="49">
        <f t="shared" ref="C709:C772" si="35">C708+1</f>
        <v>45438</v>
      </c>
      <c r="D709" s="29">
        <f>DAY(Dati[[#This Row],[Data]])</f>
        <v>26</v>
      </c>
      <c r="E709" s="29" t="str">
        <f>IF(DAY(Data!$C$21:$C$1327)&gt;0,TEXT(Data!$C$21:$C$1327, "mmmm"),"")</f>
        <v>maggio</v>
      </c>
      <c r="F709" s="29" t="str">
        <f>IF(DAY(Data!$C$21:$C$1327)&gt;0,TEXT(Data!$C$21:$C$1327, "aaaa"),"")</f>
        <v>2024</v>
      </c>
      <c r="I709" t="str">
        <f>IF(OR(H709=$B$5,H709=$B$6,H709=$B$7,H709=$B$8,H709=$B$9,H709=$B$10,H709=$B$11,H709=$B$12,H709=$B$13,H709=$B$14),SottocategorieUscite[[#Headers],[Fuori Casa]],IF(OR(H709=$C$5,H709=$C$6,H709=$C$7,H709=$C$8,H709=$C$9,H709=$C$10,H709=$C$11,H709=$C$12,H709=$C$13,H709=$C$14),SottocategorieUscite[[#Headers],[Varie Uscite]],IF(OR(H709=$D$5,H709=$D$6,H709=$D$7,H709=$D$8,H709=$D$9,H709=$D$10,H709=$D$11,H709=$D$12,H709=$D$13,H709=$D$14),SottocategorieUscite[[#Headers],[Personali]],IF(OR(H709=$E$5,H709=$E$6,H709=$E$7,H709=$E$8,H709=$E$9,H709=$E$10,H709=$E$11,H709=$E$12,H709=$E$13,H709=$E$14),SottocategorieUscite[[#Headers],[Lavoro]],IF(OR(H709=$F$5,H709=$F$6,H709=$F$7,H709=$F$8,H709=$F$9,H709=$F$10,H709=$F$11,H709=$F$12,H709=$F$13,H709=$F$14),SottocategorieUscite[[#Headers],[Casa]],IF(OR(H709=$G$5,H709=$G$6,H709=$G$7,H709=$G$8,H709=$G$9,H709=$G$10,H709=$G$11,H709=$G$12,H709=$G$13,H709=$G$14),SottocategorieUscite[[#Headers],[Utenze]],IF(OR(H709=$H$5,H709=$H$6,H709=$H$7,H709=$H$8,H709=$H$9,H709=$H$10,H709=$H$11,H709=$H$12,H709=$H$13,H709=$H$14),SottocategorieUscite[[#Headers],[Business Uscite]],IF(OR(H709=$I$5,H709=$I$6,H709=$I$7,H709=$I$8,H709=$I$9,H709=$I$10,H709=$I$11,H709=$I$12,H709=$I$13,H709=$I$14),SottocategorieUscite[[#Headers],[Banca]],IF(OR(H709=K$5,H709=K$6,H709=K$7,H709=K$8,H709=K$9,H709=K$10,H709=K$11,H709=K$12,H709=K$13,H709=K$14),SottocategorieEntrate[[#Headers],[Business Entrate]],IF(OR(H709=L$5,H709=L$6,H709=L$7,H709=L$8,H709=L$9,H709=L$10,H709=L$11,H709=L$12,H709=L$13,H709=L$14),SottocategorieEntrate[[#Headers],[Varie Entrate]],IF(OR(H709=M$5,H709=M$6,H709=M$7,H709=M$8,H709=M$9,H709=M$10,H709=M$11,H709=M$12,H709=M$13,H709=M$14),SottocategorieEntrate[[#Headers],[Real Estate]],IF(OR(H709=N$5,H709=N$6,H709=N$7,H709=N$8,H709=N$9,H709=N$10,H709=N$11,H709=N$12,H709=N$13,H709=N$14),SottocategorieEntrate[[#Headers],[Other]],""))))))))))))</f>
        <v/>
      </c>
      <c r="J709" t="str">
        <f>IF(OR(Dati[[#This Row],[Categoria]]="Bollette",Dati[[#This Row],[Categoria]]="Conto &amp; Carte BNL",Dati[[#This Row],[Categoria]]="Prelievo",Dati[[#This Row],[Categoria]]="Affitto",Dati[[#This Row],[Categoria]]="BNL(Interessi Creditori)"),"Carta",IF(Dati[[#This Row],[Categoria]]&lt;&gt;0,"Cash",""))</f>
        <v/>
      </c>
      <c r="K709" s="59" t="str">
        <f>IF(OR(Data!$I709=SottocategorieUscite[[#Headers],[Fuori Casa]],Data!$I709=SottocategorieUscite[[#Headers],[Varie Uscite]],Data!$I709=SottocategorieUscite[[#Headers],[Personali]],Data!$I709=SottocategorieUscite[[#Headers],[Lavoro]]),"$ -","")</f>
        <v/>
      </c>
      <c r="L709" s="59" t="str">
        <f>IF(OR(Data!$I709=SottocategorieUscite[[#Headers],[Casa]],Data!$I709=SottocategorieUscite[[#Headers],[Utenze]],Data!$I709=SottocategorieUscite[[#Headers],[Business Uscite]],Data!$I709=SottocategorieUscite[[#Headers],[Banca]]),"$ -","")</f>
        <v/>
      </c>
      <c r="M709" s="59" t="str">
        <f>IF(OR($I709&lt;&gt;SottocategorieUscite[[#Headers],[Fuori Casa]],$I709&lt;&gt;SottocategorieUscite[[#Headers],[Varie Uscite]],$I709&lt;&gt;SottocategorieUscite[[#Headers],[Personali]],$I709&lt;&gt;SottocategorieUscite[[#Headers],[Lavoro]],$I709&lt;&gt;SottocategorieUscite[[#Headers],[Casa]],$I709&lt;&gt;SottocategorieUscite[[#Headers],[Utenze]],$I709&lt;&gt;SottocategorieUscite[[#Headers],[Business Uscite]],$I709&lt;&gt;SottocategorieUscite[[#Headers],[Banca]]),"","$ -")</f>
        <v/>
      </c>
      <c r="N709" s="59" t="str">
        <f>IF(OR(Data!$I709=SottocategorieEntrate[[#Headers],[Business Entrate]],Data!$I709=SottocategorieEntrate[[#Headers],[Varie Entrate]]),"$ -","")</f>
        <v/>
      </c>
      <c r="O709" s="59" t="str">
        <f>IF(OR(Data!$I709=SottocategorieEntrate[[#Headers],[Real Estate]],SottocategorieEntrate[[#Headers],[Other]]),"$ -","")</f>
        <v/>
      </c>
      <c r="P709" s="59" t="str">
        <f>IF(OR($I709&lt;&gt;SottocategorieEntrate[[#Headers],[Business Entrate]],$I709&lt;&gt;SottocategorieEntrate[[#Headers],[Varie Entrate]],$I709&lt;&gt;SottocategorieEntrate[[#Headers],[Real Estate]],$I709&lt;&gt;SottocategorieEntrate[[#Headers],[Other]]),"","$ -")</f>
        <v/>
      </c>
      <c r="Q709" s="59" t="str">
        <f>IF(Dati[[#This Row],[Categoria]]="Prelievo","€ -","")</f>
        <v/>
      </c>
      <c r="R709" s="244"/>
      <c r="S709" s="59" t="str">
        <f>IF(Dati[[#This Row],[Categoria]]="Savings",0,"")</f>
        <v/>
      </c>
      <c r="T709" s="59"/>
      <c r="U709" s="59"/>
      <c r="V709" s="59"/>
      <c r="W709" s="59"/>
      <c r="X709" s="59"/>
      <c r="Y709" s="59"/>
      <c r="Z709" s="59"/>
      <c r="AA709" s="59"/>
      <c r="AB709" s="59"/>
      <c r="AC709" s="59"/>
      <c r="AD709" s="59"/>
      <c r="AE709" s="59"/>
      <c r="AF709" s="59"/>
      <c r="AG709" s="59"/>
      <c r="AH709" s="59"/>
      <c r="AI709" s="59" t="str">
        <f>IF(SUM(Dati[[#This Row],[Inv. Business]:[Inv. Cryptocurrency]])=0," ",SUM(Dati[[#This Row],[Inv. Business]:[Inv. Cryptocurrency]]))</f>
        <v xml:space="preserve"> </v>
      </c>
      <c r="AJ709" s="59"/>
      <c r="AK709" s="59"/>
      <c r="AL709" s="59"/>
      <c r="AM709" s="59"/>
    </row>
    <row r="710" spans="2:39" x14ac:dyDescent="0.35">
      <c r="B710" s="237">
        <f>ROW(675:675)</f>
        <v>675</v>
      </c>
      <c r="C710" s="49">
        <f t="shared" si="35"/>
        <v>45439</v>
      </c>
      <c r="D710" s="29">
        <f>DAY(Dati[[#This Row],[Data]])</f>
        <v>27</v>
      </c>
      <c r="E710" s="29" t="str">
        <f>IF(DAY(Data!$C$21:$C$1327)&gt;0,TEXT(Data!$C$21:$C$1327, "mmmm"),"")</f>
        <v>maggio</v>
      </c>
      <c r="F710" s="29" t="str">
        <f>IF(DAY(Data!$C$21:$C$1327)&gt;0,TEXT(Data!$C$21:$C$1327, "aaaa"),"")</f>
        <v>2024</v>
      </c>
      <c r="I710" t="str">
        <f>IF(OR(H710=$B$5,H710=$B$6,H710=$B$7,H710=$B$8,H710=$B$9,H710=$B$10,H710=$B$11,H710=$B$12,H710=$B$13,H710=$B$14),SottocategorieUscite[[#Headers],[Fuori Casa]],IF(OR(H710=$C$5,H710=$C$6,H710=$C$7,H710=$C$8,H710=$C$9,H710=$C$10,H710=$C$11,H710=$C$12,H710=$C$13,H710=$C$14),SottocategorieUscite[[#Headers],[Varie Uscite]],IF(OR(H710=$D$5,H710=$D$6,H710=$D$7,H710=$D$8,H710=$D$9,H710=$D$10,H710=$D$11,H710=$D$12,H710=$D$13,H710=$D$14),SottocategorieUscite[[#Headers],[Personali]],IF(OR(H710=$E$5,H710=$E$6,H710=$E$7,H710=$E$8,H710=$E$9,H710=$E$10,H710=$E$11,H710=$E$12,H710=$E$13,H710=$E$14),SottocategorieUscite[[#Headers],[Lavoro]],IF(OR(H710=$F$5,H710=$F$6,H710=$F$7,H710=$F$8,H710=$F$9,H710=$F$10,H710=$F$11,H710=$F$12,H710=$F$13,H710=$F$14),SottocategorieUscite[[#Headers],[Casa]],IF(OR(H710=$G$5,H710=$G$6,H710=$G$7,H710=$G$8,H710=$G$9,H710=$G$10,H710=$G$11,H710=$G$12,H710=$G$13,H710=$G$14),SottocategorieUscite[[#Headers],[Utenze]],IF(OR(H710=$H$5,H710=$H$6,H710=$H$7,H710=$H$8,H710=$H$9,H710=$H$10,H710=$H$11,H710=$H$12,H710=$H$13,H710=$H$14),SottocategorieUscite[[#Headers],[Business Uscite]],IF(OR(H710=$I$5,H710=$I$6,H710=$I$7,H710=$I$8,H710=$I$9,H710=$I$10,H710=$I$11,H710=$I$12,H710=$I$13,H710=$I$14),SottocategorieUscite[[#Headers],[Banca]],IF(OR(H710=K$5,H710=K$6,H710=K$7,H710=K$8,H710=K$9,H710=K$10,H710=K$11,H710=K$12,H710=K$13,H710=K$14),SottocategorieEntrate[[#Headers],[Business Entrate]],IF(OR(H710=L$5,H710=L$6,H710=L$7,H710=L$8,H710=L$9,H710=L$10,H710=L$11,H710=L$12,H710=L$13,H710=L$14),SottocategorieEntrate[[#Headers],[Varie Entrate]],IF(OR(H710=M$5,H710=M$6,H710=M$7,H710=M$8,H710=M$9,H710=M$10,H710=M$11,H710=M$12,H710=M$13,H710=M$14),SottocategorieEntrate[[#Headers],[Real Estate]],IF(OR(H710=N$5,H710=N$6,H710=N$7,H710=N$8,H710=N$9,H710=N$10,H710=N$11,H710=N$12,H710=N$13,H710=N$14),SottocategorieEntrate[[#Headers],[Other]],""))))))))))))</f>
        <v/>
      </c>
      <c r="J710" t="str">
        <f>IF(OR(Dati[[#This Row],[Categoria]]="Bollette",Dati[[#This Row],[Categoria]]="Conto &amp; Carte BNL",Dati[[#This Row],[Categoria]]="Prelievo",Dati[[#This Row],[Categoria]]="Affitto",Dati[[#This Row],[Categoria]]="BNL(Interessi Creditori)"),"Carta",IF(Dati[[#This Row],[Categoria]]&lt;&gt;0,"Cash",""))</f>
        <v/>
      </c>
      <c r="K710" s="59" t="str">
        <f>IF(OR(Data!$I710=SottocategorieUscite[[#Headers],[Fuori Casa]],Data!$I710=SottocategorieUscite[[#Headers],[Varie Uscite]],Data!$I710=SottocategorieUscite[[#Headers],[Personali]],Data!$I710=SottocategorieUscite[[#Headers],[Lavoro]]),"$ -","")</f>
        <v/>
      </c>
      <c r="L710" s="59" t="str">
        <f>IF(OR(Data!$I710=SottocategorieUscite[[#Headers],[Casa]],Data!$I710=SottocategorieUscite[[#Headers],[Utenze]],Data!$I710=SottocategorieUscite[[#Headers],[Business Uscite]],Data!$I710=SottocategorieUscite[[#Headers],[Banca]]),"$ -","")</f>
        <v/>
      </c>
      <c r="M710" s="59" t="str">
        <f>IF(OR($I710&lt;&gt;SottocategorieUscite[[#Headers],[Fuori Casa]],$I710&lt;&gt;SottocategorieUscite[[#Headers],[Varie Uscite]],$I710&lt;&gt;SottocategorieUscite[[#Headers],[Personali]],$I710&lt;&gt;SottocategorieUscite[[#Headers],[Lavoro]],$I710&lt;&gt;SottocategorieUscite[[#Headers],[Casa]],$I710&lt;&gt;SottocategorieUscite[[#Headers],[Utenze]],$I710&lt;&gt;SottocategorieUscite[[#Headers],[Business Uscite]],$I710&lt;&gt;SottocategorieUscite[[#Headers],[Banca]]),"","$ -")</f>
        <v/>
      </c>
      <c r="N710" s="59" t="str">
        <f>IF(OR(Data!$I710=SottocategorieEntrate[[#Headers],[Business Entrate]],Data!$I710=SottocategorieEntrate[[#Headers],[Varie Entrate]]),"$ -","")</f>
        <v/>
      </c>
      <c r="O710" s="59" t="str">
        <f>IF(OR(Data!$I710=SottocategorieEntrate[[#Headers],[Real Estate]],SottocategorieEntrate[[#Headers],[Other]]),"$ -","")</f>
        <v/>
      </c>
      <c r="P710" s="59" t="str">
        <f>IF(OR($I710&lt;&gt;SottocategorieEntrate[[#Headers],[Business Entrate]],$I710&lt;&gt;SottocategorieEntrate[[#Headers],[Varie Entrate]],$I710&lt;&gt;SottocategorieEntrate[[#Headers],[Real Estate]],$I710&lt;&gt;SottocategorieEntrate[[#Headers],[Other]]),"","$ -")</f>
        <v/>
      </c>
      <c r="Q710" s="59" t="str">
        <f>IF(Dati[[#This Row],[Categoria]]="Prelievo","€ -","")</f>
        <v/>
      </c>
      <c r="R710" s="244"/>
      <c r="S710" s="59" t="str">
        <f>IF(Dati[[#This Row],[Categoria]]="Savings",0,"")</f>
        <v/>
      </c>
      <c r="T710" s="59"/>
      <c r="U710" s="59"/>
      <c r="V710" s="59"/>
      <c r="W710" s="59"/>
      <c r="X710" s="59"/>
      <c r="Y710" s="59"/>
      <c r="Z710" s="59"/>
      <c r="AA710" s="59"/>
      <c r="AB710" s="59"/>
      <c r="AC710" s="59"/>
      <c r="AD710" s="59"/>
      <c r="AE710" s="59"/>
      <c r="AF710" s="59"/>
      <c r="AG710" s="59"/>
      <c r="AH710" s="59"/>
      <c r="AI710" s="59" t="str">
        <f>IF(SUM(Dati[[#This Row],[Inv. Business]:[Inv. Cryptocurrency]])=0," ",SUM(Dati[[#This Row],[Inv. Business]:[Inv. Cryptocurrency]]))</f>
        <v xml:space="preserve"> </v>
      </c>
      <c r="AJ710" s="59"/>
      <c r="AK710" s="59"/>
      <c r="AL710" s="59"/>
      <c r="AM710" s="59"/>
    </row>
    <row r="711" spans="2:39" x14ac:dyDescent="0.35">
      <c r="B711" s="237">
        <f>ROW(678:678)</f>
        <v>678</v>
      </c>
      <c r="C711" s="49">
        <f t="shared" si="35"/>
        <v>45440</v>
      </c>
      <c r="D711" s="29">
        <f>DAY(Dati[[#This Row],[Data]])</f>
        <v>28</v>
      </c>
      <c r="E711" s="29" t="str">
        <f>IF(DAY(Data!$C$21:$C$1327)&gt;0,TEXT(Data!$C$21:$C$1327, "mmmm"),"")</f>
        <v>maggio</v>
      </c>
      <c r="F711" s="29" t="str">
        <f>IF(DAY(Data!$C$21:$C$1327)&gt;0,TEXT(Data!$C$21:$C$1327, "aaaa"),"")</f>
        <v>2024</v>
      </c>
      <c r="I711" t="str">
        <f>IF(OR(H711=$B$5,H711=$B$6,H711=$B$7,H711=$B$8,H711=$B$9,H711=$B$10,H711=$B$11,H711=$B$12,H711=$B$13,H711=$B$14),SottocategorieUscite[[#Headers],[Fuori Casa]],IF(OR(H711=$C$5,H711=$C$6,H711=$C$7,H711=$C$8,H711=$C$9,H711=$C$10,H711=$C$11,H711=$C$12,H711=$C$13,H711=$C$14),SottocategorieUscite[[#Headers],[Varie Uscite]],IF(OR(H711=$D$5,H711=$D$6,H711=$D$7,H711=$D$8,H711=$D$9,H711=$D$10,H711=$D$11,H711=$D$12,H711=$D$13,H711=$D$14),SottocategorieUscite[[#Headers],[Personali]],IF(OR(H711=$E$5,H711=$E$6,H711=$E$7,H711=$E$8,H711=$E$9,H711=$E$10,H711=$E$11,H711=$E$12,H711=$E$13,H711=$E$14),SottocategorieUscite[[#Headers],[Lavoro]],IF(OR(H711=$F$5,H711=$F$6,H711=$F$7,H711=$F$8,H711=$F$9,H711=$F$10,H711=$F$11,H711=$F$12,H711=$F$13,H711=$F$14),SottocategorieUscite[[#Headers],[Casa]],IF(OR(H711=$G$5,H711=$G$6,H711=$G$7,H711=$G$8,H711=$G$9,H711=$G$10,H711=$G$11,H711=$G$12,H711=$G$13,H711=$G$14),SottocategorieUscite[[#Headers],[Utenze]],IF(OR(H711=$H$5,H711=$H$6,H711=$H$7,H711=$H$8,H711=$H$9,H711=$H$10,H711=$H$11,H711=$H$12,H711=$H$13,H711=$H$14),SottocategorieUscite[[#Headers],[Business Uscite]],IF(OR(H711=$I$5,H711=$I$6,H711=$I$7,H711=$I$8,H711=$I$9,H711=$I$10,H711=$I$11,H711=$I$12,H711=$I$13,H711=$I$14),SottocategorieUscite[[#Headers],[Banca]],IF(OR(H711=K$5,H711=K$6,H711=K$7,H711=K$8,H711=K$9,H711=K$10,H711=K$11,H711=K$12,H711=K$13,H711=K$14),SottocategorieEntrate[[#Headers],[Business Entrate]],IF(OR(H711=L$5,H711=L$6,H711=L$7,H711=L$8,H711=L$9,H711=L$10,H711=L$11,H711=L$12,H711=L$13,H711=L$14),SottocategorieEntrate[[#Headers],[Varie Entrate]],IF(OR(H711=M$5,H711=M$6,H711=M$7,H711=M$8,H711=M$9,H711=M$10,H711=M$11,H711=M$12,H711=M$13,H711=M$14),SottocategorieEntrate[[#Headers],[Real Estate]],IF(OR(H711=N$5,H711=N$6,H711=N$7,H711=N$8,H711=N$9,H711=N$10,H711=N$11,H711=N$12,H711=N$13,H711=N$14),SottocategorieEntrate[[#Headers],[Other]],""))))))))))))</f>
        <v/>
      </c>
      <c r="J711" t="str">
        <f>IF(OR(Dati[[#This Row],[Categoria]]="Bollette",Dati[[#This Row],[Categoria]]="Conto &amp; Carte BNL",Dati[[#This Row],[Categoria]]="Prelievo",Dati[[#This Row],[Categoria]]="Affitto",Dati[[#This Row],[Categoria]]="BNL(Interessi Creditori)"),"Carta",IF(Dati[[#This Row],[Categoria]]&lt;&gt;0,"Cash",""))</f>
        <v/>
      </c>
      <c r="K711" s="59" t="str">
        <f>IF(OR(Data!$I711=SottocategorieUscite[[#Headers],[Fuori Casa]],Data!$I711=SottocategorieUscite[[#Headers],[Varie Uscite]],Data!$I711=SottocategorieUscite[[#Headers],[Personali]],Data!$I711=SottocategorieUscite[[#Headers],[Lavoro]]),"$ -","")</f>
        <v/>
      </c>
      <c r="L711" s="59" t="str">
        <f>IF(OR(Data!$I711=SottocategorieUscite[[#Headers],[Casa]],Data!$I711=SottocategorieUscite[[#Headers],[Utenze]],Data!$I711=SottocategorieUscite[[#Headers],[Business Uscite]],Data!$I711=SottocategorieUscite[[#Headers],[Banca]]),"$ -","")</f>
        <v/>
      </c>
      <c r="M711" s="59" t="str">
        <f>IF(OR($I711&lt;&gt;SottocategorieUscite[[#Headers],[Fuori Casa]],$I711&lt;&gt;SottocategorieUscite[[#Headers],[Varie Uscite]],$I711&lt;&gt;SottocategorieUscite[[#Headers],[Personali]],$I711&lt;&gt;SottocategorieUscite[[#Headers],[Lavoro]],$I711&lt;&gt;SottocategorieUscite[[#Headers],[Casa]],$I711&lt;&gt;SottocategorieUscite[[#Headers],[Utenze]],$I711&lt;&gt;SottocategorieUscite[[#Headers],[Business Uscite]],$I711&lt;&gt;SottocategorieUscite[[#Headers],[Banca]]),"","$ -")</f>
        <v/>
      </c>
      <c r="N711" s="59" t="str">
        <f>IF(OR(Data!$I711=SottocategorieEntrate[[#Headers],[Business Entrate]],Data!$I711=SottocategorieEntrate[[#Headers],[Varie Entrate]]),"$ -","")</f>
        <v/>
      </c>
      <c r="O711" s="59" t="str">
        <f>IF(OR(Data!$I711=SottocategorieEntrate[[#Headers],[Real Estate]],SottocategorieEntrate[[#Headers],[Other]]),"$ -","")</f>
        <v/>
      </c>
      <c r="P711" s="59" t="str">
        <f>IF(OR($I711&lt;&gt;SottocategorieEntrate[[#Headers],[Business Entrate]],$I711&lt;&gt;SottocategorieEntrate[[#Headers],[Varie Entrate]],$I711&lt;&gt;SottocategorieEntrate[[#Headers],[Real Estate]],$I711&lt;&gt;SottocategorieEntrate[[#Headers],[Other]]),"","$ -")</f>
        <v/>
      </c>
      <c r="Q711" s="59" t="str">
        <f>IF(Dati[[#This Row],[Categoria]]="Prelievo","€ -","")</f>
        <v/>
      </c>
      <c r="R711" s="244"/>
      <c r="S711" s="59" t="str">
        <f>IF(Dati[[#This Row],[Categoria]]="Savings",0,"")</f>
        <v/>
      </c>
      <c r="T711" s="59"/>
      <c r="U711" s="59"/>
      <c r="V711" s="59"/>
      <c r="W711" s="59"/>
      <c r="X711" s="59"/>
      <c r="Y711" s="59"/>
      <c r="Z711" s="59"/>
      <c r="AA711" s="59"/>
      <c r="AB711" s="59"/>
      <c r="AC711" s="59"/>
      <c r="AD711" s="59"/>
      <c r="AE711" s="59"/>
      <c r="AF711" s="59"/>
      <c r="AG711" s="59"/>
      <c r="AH711" s="59"/>
      <c r="AI711" s="59" t="str">
        <f>IF(SUM(Dati[[#This Row],[Inv. Business]:[Inv. Cryptocurrency]])=0," ",SUM(Dati[[#This Row],[Inv. Business]:[Inv. Cryptocurrency]]))</f>
        <v xml:space="preserve"> </v>
      </c>
      <c r="AJ711" s="59"/>
      <c r="AK711" s="59"/>
      <c r="AL711" s="59"/>
      <c r="AM711" s="59"/>
    </row>
    <row r="712" spans="2:39" x14ac:dyDescent="0.35">
      <c r="B712" s="237">
        <f>ROW(684:684)</f>
        <v>684</v>
      </c>
      <c r="C712" s="49">
        <f t="shared" si="35"/>
        <v>45441</v>
      </c>
      <c r="D712" s="29">
        <f>DAY(Dati[[#This Row],[Data]])</f>
        <v>29</v>
      </c>
      <c r="E712" s="29" t="str">
        <f>IF(DAY(Data!$C$21:$C$1327)&gt;0,TEXT(Data!$C$21:$C$1327, "mmmm"),"")</f>
        <v>maggio</v>
      </c>
      <c r="F712" s="29" t="str">
        <f>IF(DAY(Data!$C$21:$C$1327)&gt;0,TEXT(Data!$C$21:$C$1327, "aaaa"),"")</f>
        <v>2024</v>
      </c>
      <c r="I712" t="str">
        <f>IF(OR(H712=$B$5,H712=$B$6,H712=$B$7,H712=$B$8,H712=$B$9,H712=$B$10,H712=$B$11,H712=$B$12,H712=$B$13,H712=$B$14),SottocategorieUscite[[#Headers],[Fuori Casa]],IF(OR(H712=$C$5,H712=$C$6,H712=$C$7,H712=$C$8,H712=$C$9,H712=$C$10,H712=$C$11,H712=$C$12,H712=$C$13,H712=$C$14),SottocategorieUscite[[#Headers],[Varie Uscite]],IF(OR(H712=$D$5,H712=$D$6,H712=$D$7,H712=$D$8,H712=$D$9,H712=$D$10,H712=$D$11,H712=$D$12,H712=$D$13,H712=$D$14),SottocategorieUscite[[#Headers],[Personali]],IF(OR(H712=$E$5,H712=$E$6,H712=$E$7,H712=$E$8,H712=$E$9,H712=$E$10,H712=$E$11,H712=$E$12,H712=$E$13,H712=$E$14),SottocategorieUscite[[#Headers],[Lavoro]],IF(OR(H712=$F$5,H712=$F$6,H712=$F$7,H712=$F$8,H712=$F$9,H712=$F$10,H712=$F$11,H712=$F$12,H712=$F$13,H712=$F$14),SottocategorieUscite[[#Headers],[Casa]],IF(OR(H712=$G$5,H712=$G$6,H712=$G$7,H712=$G$8,H712=$G$9,H712=$G$10,H712=$G$11,H712=$G$12,H712=$G$13,H712=$G$14),SottocategorieUscite[[#Headers],[Utenze]],IF(OR(H712=$H$5,H712=$H$6,H712=$H$7,H712=$H$8,H712=$H$9,H712=$H$10,H712=$H$11,H712=$H$12,H712=$H$13,H712=$H$14),SottocategorieUscite[[#Headers],[Business Uscite]],IF(OR(H712=$I$5,H712=$I$6,H712=$I$7,H712=$I$8,H712=$I$9,H712=$I$10,H712=$I$11,H712=$I$12,H712=$I$13,H712=$I$14),SottocategorieUscite[[#Headers],[Banca]],IF(OR(H712=K$5,H712=K$6,H712=K$7,H712=K$8,H712=K$9,H712=K$10,H712=K$11,H712=K$12,H712=K$13,H712=K$14),SottocategorieEntrate[[#Headers],[Business Entrate]],IF(OR(H712=L$5,H712=L$6,H712=L$7,H712=L$8,H712=L$9,H712=L$10,H712=L$11,H712=L$12,H712=L$13,H712=L$14),SottocategorieEntrate[[#Headers],[Varie Entrate]],IF(OR(H712=M$5,H712=M$6,H712=M$7,H712=M$8,H712=M$9,H712=M$10,H712=M$11,H712=M$12,H712=M$13,H712=M$14),SottocategorieEntrate[[#Headers],[Real Estate]],IF(OR(H712=N$5,H712=N$6,H712=N$7,H712=N$8,H712=N$9,H712=N$10,H712=N$11,H712=N$12,H712=N$13,H712=N$14),SottocategorieEntrate[[#Headers],[Other]],""))))))))))))</f>
        <v/>
      </c>
      <c r="J712" t="str">
        <f>IF(OR(Dati[[#This Row],[Categoria]]="Bollette",Dati[[#This Row],[Categoria]]="Conto &amp; Carte BNL",Dati[[#This Row],[Categoria]]="Prelievo",Dati[[#This Row],[Categoria]]="Affitto",Dati[[#This Row],[Categoria]]="BNL(Interessi Creditori)"),"Carta",IF(Dati[[#This Row],[Categoria]]&lt;&gt;0,"Cash",""))</f>
        <v/>
      </c>
      <c r="K712" s="59" t="str">
        <f>IF(OR(Data!$I712=SottocategorieUscite[[#Headers],[Fuori Casa]],Data!$I712=SottocategorieUscite[[#Headers],[Varie Uscite]],Data!$I712=SottocategorieUscite[[#Headers],[Personali]],Data!$I712=SottocategorieUscite[[#Headers],[Lavoro]]),"$ -","")</f>
        <v/>
      </c>
      <c r="L712" s="59" t="str">
        <f>IF(OR(Data!$I712=SottocategorieUscite[[#Headers],[Casa]],Data!$I712=SottocategorieUscite[[#Headers],[Utenze]],Data!$I712=SottocategorieUscite[[#Headers],[Business Uscite]],Data!$I712=SottocategorieUscite[[#Headers],[Banca]]),"$ -","")</f>
        <v/>
      </c>
      <c r="M712" s="59" t="str">
        <f>IF(OR($I712&lt;&gt;SottocategorieUscite[[#Headers],[Fuori Casa]],$I712&lt;&gt;SottocategorieUscite[[#Headers],[Varie Uscite]],$I712&lt;&gt;SottocategorieUscite[[#Headers],[Personali]],$I712&lt;&gt;SottocategorieUscite[[#Headers],[Lavoro]],$I712&lt;&gt;SottocategorieUscite[[#Headers],[Casa]],$I712&lt;&gt;SottocategorieUscite[[#Headers],[Utenze]],$I712&lt;&gt;SottocategorieUscite[[#Headers],[Business Uscite]],$I712&lt;&gt;SottocategorieUscite[[#Headers],[Banca]]),"","$ -")</f>
        <v/>
      </c>
      <c r="N712" s="59" t="str">
        <f>IF(OR(Data!$I712=SottocategorieEntrate[[#Headers],[Business Entrate]],Data!$I712=SottocategorieEntrate[[#Headers],[Varie Entrate]]),"$ -","")</f>
        <v/>
      </c>
      <c r="O712" s="59" t="str">
        <f>IF(OR(Data!$I712=SottocategorieEntrate[[#Headers],[Real Estate]],SottocategorieEntrate[[#Headers],[Other]]),"$ -","")</f>
        <v/>
      </c>
      <c r="P712" s="59" t="str">
        <f>IF(OR($I712&lt;&gt;SottocategorieEntrate[[#Headers],[Business Entrate]],$I712&lt;&gt;SottocategorieEntrate[[#Headers],[Varie Entrate]],$I712&lt;&gt;SottocategorieEntrate[[#Headers],[Real Estate]],$I712&lt;&gt;SottocategorieEntrate[[#Headers],[Other]]),"","$ -")</f>
        <v/>
      </c>
      <c r="Q712" s="59" t="str">
        <f>IF(Dati[[#This Row],[Categoria]]="Prelievo","€ -","")</f>
        <v/>
      </c>
      <c r="R712" s="244"/>
      <c r="S712" s="59" t="str">
        <f>IF(Dati[[#This Row],[Categoria]]="Savings",0,"")</f>
        <v/>
      </c>
      <c r="T712" s="59"/>
      <c r="U712" s="59"/>
      <c r="V712" s="59"/>
      <c r="W712" s="59"/>
      <c r="X712" s="59"/>
      <c r="Y712" s="59"/>
      <c r="Z712" s="59"/>
      <c r="AA712" s="59"/>
      <c r="AB712" s="59"/>
      <c r="AC712" s="59"/>
      <c r="AD712" s="59"/>
      <c r="AE712" s="59"/>
      <c r="AF712" s="59"/>
      <c r="AG712" s="59"/>
      <c r="AH712" s="59"/>
      <c r="AI712" s="59" t="str">
        <f>IF(SUM(Dati[[#This Row],[Inv. Business]:[Inv. Cryptocurrency]])=0," ",SUM(Dati[[#This Row],[Inv. Business]:[Inv. Cryptocurrency]]))</f>
        <v xml:space="preserve"> </v>
      </c>
      <c r="AJ712" s="59"/>
      <c r="AK712" s="59"/>
      <c r="AL712" s="59"/>
      <c r="AM712" s="59"/>
    </row>
    <row r="713" spans="2:39" x14ac:dyDescent="0.35">
      <c r="B713" s="237">
        <f>ROW(685:685)</f>
        <v>685</v>
      </c>
      <c r="C713" s="49">
        <f t="shared" si="35"/>
        <v>45442</v>
      </c>
      <c r="D713" s="29">
        <f>DAY(Dati[[#This Row],[Data]])</f>
        <v>30</v>
      </c>
      <c r="E713" s="29" t="str">
        <f>IF(DAY(Data!$C$21:$C$1327)&gt;0,TEXT(Data!$C$21:$C$1327, "mmmm"),"")</f>
        <v>maggio</v>
      </c>
      <c r="F713" s="29" t="str">
        <f>IF(DAY(Data!$C$21:$C$1327)&gt;0,TEXT(Data!$C$21:$C$1327, "aaaa"),"")</f>
        <v>2024</v>
      </c>
      <c r="I713" t="str">
        <f>IF(OR(H713=$B$5,H713=$B$6,H713=$B$7,H713=$B$8,H713=$B$9,H713=$B$10,H713=$B$11,H713=$B$12,H713=$B$13,H713=$B$14),SottocategorieUscite[[#Headers],[Fuori Casa]],IF(OR(H713=$C$5,H713=$C$6,H713=$C$7,H713=$C$8,H713=$C$9,H713=$C$10,H713=$C$11,H713=$C$12,H713=$C$13,H713=$C$14),SottocategorieUscite[[#Headers],[Varie Uscite]],IF(OR(H713=$D$5,H713=$D$6,H713=$D$7,H713=$D$8,H713=$D$9,H713=$D$10,H713=$D$11,H713=$D$12,H713=$D$13,H713=$D$14),SottocategorieUscite[[#Headers],[Personali]],IF(OR(H713=$E$5,H713=$E$6,H713=$E$7,H713=$E$8,H713=$E$9,H713=$E$10,H713=$E$11,H713=$E$12,H713=$E$13,H713=$E$14),SottocategorieUscite[[#Headers],[Lavoro]],IF(OR(H713=$F$5,H713=$F$6,H713=$F$7,H713=$F$8,H713=$F$9,H713=$F$10,H713=$F$11,H713=$F$12,H713=$F$13,H713=$F$14),SottocategorieUscite[[#Headers],[Casa]],IF(OR(H713=$G$5,H713=$G$6,H713=$G$7,H713=$G$8,H713=$G$9,H713=$G$10,H713=$G$11,H713=$G$12,H713=$G$13,H713=$G$14),SottocategorieUscite[[#Headers],[Utenze]],IF(OR(H713=$H$5,H713=$H$6,H713=$H$7,H713=$H$8,H713=$H$9,H713=$H$10,H713=$H$11,H713=$H$12,H713=$H$13,H713=$H$14),SottocategorieUscite[[#Headers],[Business Uscite]],IF(OR(H713=$I$5,H713=$I$6,H713=$I$7,H713=$I$8,H713=$I$9,H713=$I$10,H713=$I$11,H713=$I$12,H713=$I$13,H713=$I$14),SottocategorieUscite[[#Headers],[Banca]],IF(OR(H713=K$5,H713=K$6,H713=K$7,H713=K$8,H713=K$9,H713=K$10,H713=K$11,H713=K$12,H713=K$13,H713=K$14),SottocategorieEntrate[[#Headers],[Business Entrate]],IF(OR(H713=L$5,H713=L$6,H713=L$7,H713=L$8,H713=L$9,H713=L$10,H713=L$11,H713=L$12,H713=L$13,H713=L$14),SottocategorieEntrate[[#Headers],[Varie Entrate]],IF(OR(H713=M$5,H713=M$6,H713=M$7,H713=M$8,H713=M$9,H713=M$10,H713=M$11,H713=M$12,H713=M$13,H713=M$14),SottocategorieEntrate[[#Headers],[Real Estate]],IF(OR(H713=N$5,H713=N$6,H713=N$7,H713=N$8,H713=N$9,H713=N$10,H713=N$11,H713=N$12,H713=N$13,H713=N$14),SottocategorieEntrate[[#Headers],[Other]],""))))))))))))</f>
        <v/>
      </c>
      <c r="J713" t="str">
        <f>IF(OR(Dati[[#This Row],[Categoria]]="Bollette",Dati[[#This Row],[Categoria]]="Conto &amp; Carte BNL",Dati[[#This Row],[Categoria]]="Prelievo",Dati[[#This Row],[Categoria]]="Affitto",Dati[[#This Row],[Categoria]]="BNL(Interessi Creditori)"),"Carta",IF(Dati[[#This Row],[Categoria]]&lt;&gt;0,"Cash",""))</f>
        <v/>
      </c>
      <c r="K713" s="59" t="str">
        <f>IF(OR(Data!$I713=SottocategorieUscite[[#Headers],[Fuori Casa]],Data!$I713=SottocategorieUscite[[#Headers],[Varie Uscite]],Data!$I713=SottocategorieUscite[[#Headers],[Personali]],Data!$I713=SottocategorieUscite[[#Headers],[Lavoro]]),"$ -","")</f>
        <v/>
      </c>
      <c r="L713" s="59" t="str">
        <f>IF(OR(Data!$I713=SottocategorieUscite[[#Headers],[Casa]],Data!$I713=SottocategorieUscite[[#Headers],[Utenze]],Data!$I713=SottocategorieUscite[[#Headers],[Business Uscite]],Data!$I713=SottocategorieUscite[[#Headers],[Banca]]),"$ -","")</f>
        <v/>
      </c>
      <c r="M713" s="59" t="str">
        <f>IF(OR($I713&lt;&gt;SottocategorieUscite[[#Headers],[Fuori Casa]],$I713&lt;&gt;SottocategorieUscite[[#Headers],[Varie Uscite]],$I713&lt;&gt;SottocategorieUscite[[#Headers],[Personali]],$I713&lt;&gt;SottocategorieUscite[[#Headers],[Lavoro]],$I713&lt;&gt;SottocategorieUscite[[#Headers],[Casa]],$I713&lt;&gt;SottocategorieUscite[[#Headers],[Utenze]],$I713&lt;&gt;SottocategorieUscite[[#Headers],[Business Uscite]],$I713&lt;&gt;SottocategorieUscite[[#Headers],[Banca]]),"","$ -")</f>
        <v/>
      </c>
      <c r="N713" s="59" t="str">
        <f>IF(OR(Data!$I713=SottocategorieEntrate[[#Headers],[Business Entrate]],Data!$I713=SottocategorieEntrate[[#Headers],[Varie Entrate]]),"$ -","")</f>
        <v/>
      </c>
      <c r="O713" s="59" t="str">
        <f>IF(OR(Data!$I713=SottocategorieEntrate[[#Headers],[Real Estate]],SottocategorieEntrate[[#Headers],[Other]]),"$ -","")</f>
        <v/>
      </c>
      <c r="P713" s="59" t="str">
        <f>IF(OR($I713&lt;&gt;SottocategorieEntrate[[#Headers],[Business Entrate]],$I713&lt;&gt;SottocategorieEntrate[[#Headers],[Varie Entrate]],$I713&lt;&gt;SottocategorieEntrate[[#Headers],[Real Estate]],$I713&lt;&gt;SottocategorieEntrate[[#Headers],[Other]]),"","$ -")</f>
        <v/>
      </c>
      <c r="Q713" s="59" t="str">
        <f>IF(Dati[[#This Row],[Categoria]]="Prelievo","€ -","")</f>
        <v/>
      </c>
      <c r="R713" s="244"/>
      <c r="S713" s="59" t="str">
        <f>IF(Dati[[#This Row],[Categoria]]="Savings",0,"")</f>
        <v/>
      </c>
      <c r="T713" s="59"/>
      <c r="U713" s="59"/>
      <c r="V713" s="59"/>
      <c r="W713" s="59"/>
      <c r="X713" s="59"/>
      <c r="Y713" s="59"/>
      <c r="Z713" s="59"/>
      <c r="AA713" s="59"/>
      <c r="AB713" s="59"/>
      <c r="AC713" s="59"/>
      <c r="AD713" s="59"/>
      <c r="AE713" s="59"/>
      <c r="AF713" s="59"/>
      <c r="AG713" s="59"/>
      <c r="AH713" s="59"/>
      <c r="AI713" s="59" t="str">
        <f>IF(SUM(Dati[[#This Row],[Inv. Business]:[Inv. Cryptocurrency]])=0," ",SUM(Dati[[#This Row],[Inv. Business]:[Inv. Cryptocurrency]]))</f>
        <v xml:space="preserve"> </v>
      </c>
      <c r="AJ713" s="59"/>
      <c r="AK713" s="59"/>
      <c r="AL713" s="59"/>
      <c r="AM713" s="59"/>
    </row>
    <row r="714" spans="2:39" x14ac:dyDescent="0.35">
      <c r="B714" s="237">
        <f>ROW(690:690)</f>
        <v>690</v>
      </c>
      <c r="C714" s="49">
        <f t="shared" si="35"/>
        <v>45443</v>
      </c>
      <c r="D714" s="29">
        <f>DAY(Dati[[#This Row],[Data]])</f>
        <v>31</v>
      </c>
      <c r="E714" s="29" t="str">
        <f>IF(DAY(Data!$C$21:$C$1327)&gt;0,TEXT(Data!$C$21:$C$1327, "mmmm"),"")</f>
        <v>maggio</v>
      </c>
      <c r="F714" s="29" t="str">
        <f>IF(DAY(Data!$C$21:$C$1327)&gt;0,TEXT(Data!$C$21:$C$1327, "aaaa"),"")</f>
        <v>2024</v>
      </c>
      <c r="I714" t="str">
        <f>IF(OR(H714=$B$5,H714=$B$6,H714=$B$7,H714=$B$8,H714=$B$9,H714=$B$10,H714=$B$11,H714=$B$12,H714=$B$13,H714=$B$14),SottocategorieUscite[[#Headers],[Fuori Casa]],IF(OR(H714=$C$5,H714=$C$6,H714=$C$7,H714=$C$8,H714=$C$9,H714=$C$10,H714=$C$11,H714=$C$12,H714=$C$13,H714=$C$14),SottocategorieUscite[[#Headers],[Varie Uscite]],IF(OR(H714=$D$5,H714=$D$6,H714=$D$7,H714=$D$8,H714=$D$9,H714=$D$10,H714=$D$11,H714=$D$12,H714=$D$13,H714=$D$14),SottocategorieUscite[[#Headers],[Personali]],IF(OR(H714=$E$5,H714=$E$6,H714=$E$7,H714=$E$8,H714=$E$9,H714=$E$10,H714=$E$11,H714=$E$12,H714=$E$13,H714=$E$14),SottocategorieUscite[[#Headers],[Lavoro]],IF(OR(H714=$F$5,H714=$F$6,H714=$F$7,H714=$F$8,H714=$F$9,H714=$F$10,H714=$F$11,H714=$F$12,H714=$F$13,H714=$F$14),SottocategorieUscite[[#Headers],[Casa]],IF(OR(H714=$G$5,H714=$G$6,H714=$G$7,H714=$G$8,H714=$G$9,H714=$G$10,H714=$G$11,H714=$G$12,H714=$G$13,H714=$G$14),SottocategorieUscite[[#Headers],[Utenze]],IF(OR(H714=$H$5,H714=$H$6,H714=$H$7,H714=$H$8,H714=$H$9,H714=$H$10,H714=$H$11,H714=$H$12,H714=$H$13,H714=$H$14),SottocategorieUscite[[#Headers],[Business Uscite]],IF(OR(H714=$I$5,H714=$I$6,H714=$I$7,H714=$I$8,H714=$I$9,H714=$I$10,H714=$I$11,H714=$I$12,H714=$I$13,H714=$I$14),SottocategorieUscite[[#Headers],[Banca]],IF(OR(H714=K$5,H714=K$6,H714=K$7,H714=K$8,H714=K$9,H714=K$10,H714=K$11,H714=K$12,H714=K$13,H714=K$14),SottocategorieEntrate[[#Headers],[Business Entrate]],IF(OR(H714=L$5,H714=L$6,H714=L$7,H714=L$8,H714=L$9,H714=L$10,H714=L$11,H714=L$12,H714=L$13,H714=L$14),SottocategorieEntrate[[#Headers],[Varie Entrate]],IF(OR(H714=M$5,H714=M$6,H714=M$7,H714=M$8,H714=M$9,H714=M$10,H714=M$11,H714=M$12,H714=M$13,H714=M$14),SottocategorieEntrate[[#Headers],[Real Estate]],IF(OR(H714=N$5,H714=N$6,H714=N$7,H714=N$8,H714=N$9,H714=N$10,H714=N$11,H714=N$12,H714=N$13,H714=N$14),SottocategorieEntrate[[#Headers],[Other]],""))))))))))))</f>
        <v/>
      </c>
      <c r="J714" t="str">
        <f>IF(OR(Dati[[#This Row],[Categoria]]="Bollette",Dati[[#This Row],[Categoria]]="Conto &amp; Carte BNL",Dati[[#This Row],[Categoria]]="Prelievo",Dati[[#This Row],[Categoria]]="Affitto",Dati[[#This Row],[Categoria]]="BNL(Interessi Creditori)"),"Carta",IF(Dati[[#This Row],[Categoria]]&lt;&gt;0,"Cash",""))</f>
        <v/>
      </c>
      <c r="K714" s="59" t="str">
        <f>IF(OR(Data!$I714=SottocategorieUscite[[#Headers],[Fuori Casa]],Data!$I714=SottocategorieUscite[[#Headers],[Varie Uscite]],Data!$I714=SottocategorieUscite[[#Headers],[Personali]],Data!$I714=SottocategorieUscite[[#Headers],[Lavoro]]),"$ -","")</f>
        <v/>
      </c>
      <c r="L714" s="59" t="str">
        <f>IF(OR(Data!$I714=SottocategorieUscite[[#Headers],[Casa]],Data!$I714=SottocategorieUscite[[#Headers],[Utenze]],Data!$I714=SottocategorieUscite[[#Headers],[Business Uscite]],Data!$I714=SottocategorieUscite[[#Headers],[Banca]]),"$ -","")</f>
        <v/>
      </c>
      <c r="M714" s="59" t="str">
        <f>IF(OR($I714&lt;&gt;SottocategorieUscite[[#Headers],[Fuori Casa]],$I714&lt;&gt;SottocategorieUscite[[#Headers],[Varie Uscite]],$I714&lt;&gt;SottocategorieUscite[[#Headers],[Personali]],$I714&lt;&gt;SottocategorieUscite[[#Headers],[Lavoro]],$I714&lt;&gt;SottocategorieUscite[[#Headers],[Casa]],$I714&lt;&gt;SottocategorieUscite[[#Headers],[Utenze]],$I714&lt;&gt;SottocategorieUscite[[#Headers],[Business Uscite]],$I714&lt;&gt;SottocategorieUscite[[#Headers],[Banca]]),"","$ -")</f>
        <v/>
      </c>
      <c r="N714" s="59" t="str">
        <f>IF(OR(Data!$I714=SottocategorieEntrate[[#Headers],[Business Entrate]],Data!$I714=SottocategorieEntrate[[#Headers],[Varie Entrate]]),"$ -","")</f>
        <v/>
      </c>
      <c r="O714" s="59" t="str">
        <f>IF(OR(Data!$I714=SottocategorieEntrate[[#Headers],[Real Estate]],SottocategorieEntrate[[#Headers],[Other]]),"$ -","")</f>
        <v/>
      </c>
      <c r="P714" s="59" t="str">
        <f>IF(OR($I714&lt;&gt;SottocategorieEntrate[[#Headers],[Business Entrate]],$I714&lt;&gt;SottocategorieEntrate[[#Headers],[Varie Entrate]],$I714&lt;&gt;SottocategorieEntrate[[#Headers],[Real Estate]],$I714&lt;&gt;SottocategorieEntrate[[#Headers],[Other]]),"","$ -")</f>
        <v/>
      </c>
      <c r="Q714" s="59" t="str">
        <f>IF(Dati[[#This Row],[Categoria]]="Prelievo","€ -","")</f>
        <v/>
      </c>
      <c r="R714" s="244"/>
      <c r="S714" s="59" t="str">
        <f>IF(Dati[[#This Row],[Categoria]]="Savings",0,"")</f>
        <v/>
      </c>
      <c r="T714" s="59"/>
      <c r="U714" s="59"/>
      <c r="V714" s="59"/>
      <c r="W714" s="59"/>
      <c r="X714" s="59"/>
      <c r="Y714" s="59"/>
      <c r="Z714" s="59"/>
      <c r="AA714" s="59"/>
      <c r="AB714" s="59"/>
      <c r="AC714" s="59"/>
      <c r="AD714" s="59"/>
      <c r="AE714" s="59"/>
      <c r="AF714" s="59"/>
      <c r="AG714" s="59"/>
      <c r="AH714" s="59"/>
      <c r="AI714" s="59" t="str">
        <f>IF(SUM(Dati[[#This Row],[Inv. Business]:[Inv. Cryptocurrency]])=0," ",SUM(Dati[[#This Row],[Inv. Business]:[Inv. Cryptocurrency]]))</f>
        <v xml:space="preserve"> </v>
      </c>
      <c r="AJ714" s="59"/>
      <c r="AK714" s="59"/>
      <c r="AL714" s="59"/>
      <c r="AM714" s="59"/>
    </row>
    <row r="715" spans="2:39" x14ac:dyDescent="0.35">
      <c r="B715" s="237">
        <f>ROW(691:691)</f>
        <v>691</v>
      </c>
      <c r="C715" s="49">
        <f t="shared" si="35"/>
        <v>45444</v>
      </c>
      <c r="D715" s="29">
        <f>DAY(Dati[[#This Row],[Data]])</f>
        <v>1</v>
      </c>
      <c r="E715" s="29" t="str">
        <f>IF(DAY(Data!$C$21:$C$1327)&gt;0,TEXT(Data!$C$21:$C$1327, "mmmm"),"")</f>
        <v>giugno</v>
      </c>
      <c r="F715" s="29" t="str">
        <f>IF(DAY(Data!$C$21:$C$1327)&gt;0,TEXT(Data!$C$21:$C$1327, "aaaa"),"")</f>
        <v>2024</v>
      </c>
      <c r="I715" t="str">
        <f>IF(OR(H715=$B$5,H715=$B$6,H715=$B$7,H715=$B$8,H715=$B$9,H715=$B$10,H715=$B$11,H715=$B$12,H715=$B$13,H715=$B$14),SottocategorieUscite[[#Headers],[Fuori Casa]],IF(OR(H715=$C$5,H715=$C$6,H715=$C$7,H715=$C$8,H715=$C$9,H715=$C$10,H715=$C$11,H715=$C$12,H715=$C$13,H715=$C$14),SottocategorieUscite[[#Headers],[Varie Uscite]],IF(OR(H715=$D$5,H715=$D$6,H715=$D$7,H715=$D$8,H715=$D$9,H715=$D$10,H715=$D$11,H715=$D$12,H715=$D$13,H715=$D$14),SottocategorieUscite[[#Headers],[Personali]],IF(OR(H715=$E$5,H715=$E$6,H715=$E$7,H715=$E$8,H715=$E$9,H715=$E$10,H715=$E$11,H715=$E$12,H715=$E$13,H715=$E$14),SottocategorieUscite[[#Headers],[Lavoro]],IF(OR(H715=$F$5,H715=$F$6,H715=$F$7,H715=$F$8,H715=$F$9,H715=$F$10,H715=$F$11,H715=$F$12,H715=$F$13,H715=$F$14),SottocategorieUscite[[#Headers],[Casa]],IF(OR(H715=$G$5,H715=$G$6,H715=$G$7,H715=$G$8,H715=$G$9,H715=$G$10,H715=$G$11,H715=$G$12,H715=$G$13,H715=$G$14),SottocategorieUscite[[#Headers],[Utenze]],IF(OR(H715=$H$5,H715=$H$6,H715=$H$7,H715=$H$8,H715=$H$9,H715=$H$10,H715=$H$11,H715=$H$12,H715=$H$13,H715=$H$14),SottocategorieUscite[[#Headers],[Business Uscite]],IF(OR(H715=$I$5,H715=$I$6,H715=$I$7,H715=$I$8,H715=$I$9,H715=$I$10,H715=$I$11,H715=$I$12,H715=$I$13,H715=$I$14),SottocategorieUscite[[#Headers],[Banca]],IF(OR(H715=K$5,H715=K$6,H715=K$7,H715=K$8,H715=K$9,H715=K$10,H715=K$11,H715=K$12,H715=K$13,H715=K$14),SottocategorieEntrate[[#Headers],[Business Entrate]],IF(OR(H715=L$5,H715=L$6,H715=L$7,H715=L$8,H715=L$9,H715=L$10,H715=L$11,H715=L$12,H715=L$13,H715=L$14),SottocategorieEntrate[[#Headers],[Varie Entrate]],IF(OR(H715=M$5,H715=M$6,H715=M$7,H715=M$8,H715=M$9,H715=M$10,H715=M$11,H715=M$12,H715=M$13,H715=M$14),SottocategorieEntrate[[#Headers],[Real Estate]],IF(OR(H715=N$5,H715=N$6,H715=N$7,H715=N$8,H715=N$9,H715=N$10,H715=N$11,H715=N$12,H715=N$13,H715=N$14),SottocategorieEntrate[[#Headers],[Other]],""))))))))))))</f>
        <v/>
      </c>
      <c r="J715" t="str">
        <f>IF(OR(Dati[[#This Row],[Categoria]]="Bollette",Dati[[#This Row],[Categoria]]="Conto &amp; Carte BNL",Dati[[#This Row],[Categoria]]="Prelievo",Dati[[#This Row],[Categoria]]="Affitto",Dati[[#This Row],[Categoria]]="BNL(Interessi Creditori)"),"Carta",IF(Dati[[#This Row],[Categoria]]&lt;&gt;0,"Cash",""))</f>
        <v/>
      </c>
      <c r="K715" s="59" t="str">
        <f>IF(OR(Data!$I715=SottocategorieUscite[[#Headers],[Fuori Casa]],Data!$I715=SottocategorieUscite[[#Headers],[Varie Uscite]],Data!$I715=SottocategorieUscite[[#Headers],[Personali]],Data!$I715=SottocategorieUscite[[#Headers],[Lavoro]]),"$ -","")</f>
        <v/>
      </c>
      <c r="L715" s="59" t="str">
        <f>IF(OR(Data!$I715=SottocategorieUscite[[#Headers],[Casa]],Data!$I715=SottocategorieUscite[[#Headers],[Utenze]],Data!$I715=SottocategorieUscite[[#Headers],[Business Uscite]],Data!$I715=SottocategorieUscite[[#Headers],[Banca]]),"$ -","")</f>
        <v/>
      </c>
      <c r="M715" s="59" t="str">
        <f>IF(OR($I715&lt;&gt;SottocategorieUscite[[#Headers],[Fuori Casa]],$I715&lt;&gt;SottocategorieUscite[[#Headers],[Varie Uscite]],$I715&lt;&gt;SottocategorieUscite[[#Headers],[Personali]],$I715&lt;&gt;SottocategorieUscite[[#Headers],[Lavoro]],$I715&lt;&gt;SottocategorieUscite[[#Headers],[Casa]],$I715&lt;&gt;SottocategorieUscite[[#Headers],[Utenze]],$I715&lt;&gt;SottocategorieUscite[[#Headers],[Business Uscite]],$I715&lt;&gt;SottocategorieUscite[[#Headers],[Banca]]),"","$ -")</f>
        <v/>
      </c>
      <c r="N715" s="59" t="str">
        <f>IF(OR(Data!$I715=SottocategorieEntrate[[#Headers],[Business Entrate]],Data!$I715=SottocategorieEntrate[[#Headers],[Varie Entrate]]),"$ -","")</f>
        <v/>
      </c>
      <c r="O715" s="59" t="str">
        <f>IF(OR(Data!$I715=SottocategorieEntrate[[#Headers],[Real Estate]],SottocategorieEntrate[[#Headers],[Other]]),"$ -","")</f>
        <v/>
      </c>
      <c r="P715" s="59" t="str">
        <f>IF(OR($I715&lt;&gt;SottocategorieEntrate[[#Headers],[Business Entrate]],$I715&lt;&gt;SottocategorieEntrate[[#Headers],[Varie Entrate]],$I715&lt;&gt;SottocategorieEntrate[[#Headers],[Real Estate]],$I715&lt;&gt;SottocategorieEntrate[[#Headers],[Other]]),"","$ -")</f>
        <v/>
      </c>
      <c r="Q715" s="59" t="str">
        <f>IF(Dati[[#This Row],[Categoria]]="Prelievo","€ -","")</f>
        <v/>
      </c>
      <c r="R715" s="244"/>
      <c r="S715" s="59" t="str">
        <f>IF(Dati[[#This Row],[Categoria]]="Savings",0,"")</f>
        <v/>
      </c>
      <c r="T715" s="59"/>
      <c r="U715" s="59"/>
      <c r="V715" s="59"/>
      <c r="W715" s="59"/>
      <c r="X715" s="59"/>
      <c r="Y715" s="59"/>
      <c r="Z715" s="59"/>
      <c r="AA715" s="59"/>
      <c r="AB715" s="59"/>
      <c r="AC715" s="59"/>
      <c r="AD715" s="59"/>
      <c r="AE715" s="59"/>
      <c r="AF715" s="59"/>
      <c r="AG715" s="59"/>
      <c r="AH715" s="59"/>
      <c r="AI715" s="59" t="str">
        <f>IF(SUM(Dati[[#This Row],[Inv. Business]:[Inv. Cryptocurrency]])=0," ",SUM(Dati[[#This Row],[Inv. Business]:[Inv. Cryptocurrency]]))</f>
        <v xml:space="preserve"> </v>
      </c>
      <c r="AJ715" s="59"/>
      <c r="AK715" s="59"/>
      <c r="AL715" s="59"/>
      <c r="AM715" s="59"/>
    </row>
    <row r="716" spans="2:39" x14ac:dyDescent="0.35">
      <c r="B716" s="237">
        <f>ROW(692:692)</f>
        <v>692</v>
      </c>
      <c r="C716" s="49">
        <f t="shared" si="35"/>
        <v>45445</v>
      </c>
      <c r="D716" s="29">
        <f>DAY(Dati[[#This Row],[Data]])</f>
        <v>2</v>
      </c>
      <c r="E716" s="29" t="str">
        <f>IF(DAY(Data!$C$21:$C$1327)&gt;0,TEXT(Data!$C$21:$C$1327, "mmmm"),"")</f>
        <v>giugno</v>
      </c>
      <c r="F716" s="29" t="str">
        <f>IF(DAY(Data!$C$21:$C$1327)&gt;0,TEXT(Data!$C$21:$C$1327, "aaaa"),"")</f>
        <v>2024</v>
      </c>
      <c r="I716" t="str">
        <f>IF(OR(H716=$B$5,H716=$B$6,H716=$B$7,H716=$B$8,H716=$B$9,H716=$B$10,H716=$B$11,H716=$B$12,H716=$B$13,H716=$B$14),SottocategorieUscite[[#Headers],[Fuori Casa]],IF(OR(H716=$C$5,H716=$C$6,H716=$C$7,H716=$C$8,H716=$C$9,H716=$C$10,H716=$C$11,H716=$C$12,H716=$C$13,H716=$C$14),SottocategorieUscite[[#Headers],[Varie Uscite]],IF(OR(H716=$D$5,H716=$D$6,H716=$D$7,H716=$D$8,H716=$D$9,H716=$D$10,H716=$D$11,H716=$D$12,H716=$D$13,H716=$D$14),SottocategorieUscite[[#Headers],[Personali]],IF(OR(H716=$E$5,H716=$E$6,H716=$E$7,H716=$E$8,H716=$E$9,H716=$E$10,H716=$E$11,H716=$E$12,H716=$E$13,H716=$E$14),SottocategorieUscite[[#Headers],[Lavoro]],IF(OR(H716=$F$5,H716=$F$6,H716=$F$7,H716=$F$8,H716=$F$9,H716=$F$10,H716=$F$11,H716=$F$12,H716=$F$13,H716=$F$14),SottocategorieUscite[[#Headers],[Casa]],IF(OR(H716=$G$5,H716=$G$6,H716=$G$7,H716=$G$8,H716=$G$9,H716=$G$10,H716=$G$11,H716=$G$12,H716=$G$13,H716=$G$14),SottocategorieUscite[[#Headers],[Utenze]],IF(OR(H716=$H$5,H716=$H$6,H716=$H$7,H716=$H$8,H716=$H$9,H716=$H$10,H716=$H$11,H716=$H$12,H716=$H$13,H716=$H$14),SottocategorieUscite[[#Headers],[Business Uscite]],IF(OR(H716=$I$5,H716=$I$6,H716=$I$7,H716=$I$8,H716=$I$9,H716=$I$10,H716=$I$11,H716=$I$12,H716=$I$13,H716=$I$14),SottocategorieUscite[[#Headers],[Banca]],IF(OR(H716=K$5,H716=K$6,H716=K$7,H716=K$8,H716=K$9,H716=K$10,H716=K$11,H716=K$12,H716=K$13,H716=K$14),SottocategorieEntrate[[#Headers],[Business Entrate]],IF(OR(H716=L$5,H716=L$6,H716=L$7,H716=L$8,H716=L$9,H716=L$10,H716=L$11,H716=L$12,H716=L$13,H716=L$14),SottocategorieEntrate[[#Headers],[Varie Entrate]],IF(OR(H716=M$5,H716=M$6,H716=M$7,H716=M$8,H716=M$9,H716=M$10,H716=M$11,H716=M$12,H716=M$13,H716=M$14),SottocategorieEntrate[[#Headers],[Real Estate]],IF(OR(H716=N$5,H716=N$6,H716=N$7,H716=N$8,H716=N$9,H716=N$10,H716=N$11,H716=N$12,H716=N$13,H716=N$14),SottocategorieEntrate[[#Headers],[Other]],""))))))))))))</f>
        <v/>
      </c>
      <c r="J716" t="str">
        <f>IF(OR(Dati[[#This Row],[Categoria]]="Bollette",Dati[[#This Row],[Categoria]]="Conto &amp; Carte BNL",Dati[[#This Row],[Categoria]]="Prelievo",Dati[[#This Row],[Categoria]]="Affitto",Dati[[#This Row],[Categoria]]="BNL(Interessi Creditori)"),"Carta",IF(Dati[[#This Row],[Categoria]]&lt;&gt;0,"Cash",""))</f>
        <v/>
      </c>
      <c r="K716" s="59" t="str">
        <f>IF(OR(Data!$I716=SottocategorieUscite[[#Headers],[Fuori Casa]],Data!$I716=SottocategorieUscite[[#Headers],[Varie Uscite]],Data!$I716=SottocategorieUscite[[#Headers],[Personali]],Data!$I716=SottocategorieUscite[[#Headers],[Lavoro]]),"$ -","")</f>
        <v/>
      </c>
      <c r="L716" s="59" t="str">
        <f>IF(OR(Data!$I716=SottocategorieUscite[[#Headers],[Casa]],Data!$I716=SottocategorieUscite[[#Headers],[Utenze]],Data!$I716=SottocategorieUscite[[#Headers],[Business Uscite]],Data!$I716=SottocategorieUscite[[#Headers],[Banca]]),"$ -","")</f>
        <v/>
      </c>
      <c r="M716" s="59" t="str">
        <f>IF(OR($I716&lt;&gt;SottocategorieUscite[[#Headers],[Fuori Casa]],$I716&lt;&gt;SottocategorieUscite[[#Headers],[Varie Uscite]],$I716&lt;&gt;SottocategorieUscite[[#Headers],[Personali]],$I716&lt;&gt;SottocategorieUscite[[#Headers],[Lavoro]],$I716&lt;&gt;SottocategorieUscite[[#Headers],[Casa]],$I716&lt;&gt;SottocategorieUscite[[#Headers],[Utenze]],$I716&lt;&gt;SottocategorieUscite[[#Headers],[Business Uscite]],$I716&lt;&gt;SottocategorieUscite[[#Headers],[Banca]]),"","$ -")</f>
        <v/>
      </c>
      <c r="N716" s="59" t="str">
        <f>IF(OR(Data!$I716=SottocategorieEntrate[[#Headers],[Business Entrate]],Data!$I716=SottocategorieEntrate[[#Headers],[Varie Entrate]]),"$ -","")</f>
        <v/>
      </c>
      <c r="O716" s="59" t="str">
        <f>IF(OR(Data!$I716=SottocategorieEntrate[[#Headers],[Real Estate]],SottocategorieEntrate[[#Headers],[Other]]),"$ -","")</f>
        <v/>
      </c>
      <c r="P716" s="59" t="str">
        <f>IF(OR($I716&lt;&gt;SottocategorieEntrate[[#Headers],[Business Entrate]],$I716&lt;&gt;SottocategorieEntrate[[#Headers],[Varie Entrate]],$I716&lt;&gt;SottocategorieEntrate[[#Headers],[Real Estate]],$I716&lt;&gt;SottocategorieEntrate[[#Headers],[Other]]),"","$ -")</f>
        <v/>
      </c>
      <c r="Q716" s="59" t="str">
        <f>IF(Dati[[#This Row],[Categoria]]="Prelievo","€ -","")</f>
        <v/>
      </c>
      <c r="R716" s="244"/>
      <c r="S716" s="59" t="str">
        <f>IF(Dati[[#This Row],[Categoria]]="Savings",0,"")</f>
        <v/>
      </c>
      <c r="T716" s="59"/>
      <c r="U716" s="59"/>
      <c r="V716" s="59"/>
      <c r="W716" s="59"/>
      <c r="X716" s="59"/>
      <c r="Y716" s="59"/>
      <c r="Z716" s="59"/>
      <c r="AA716" s="59"/>
      <c r="AB716" s="59"/>
      <c r="AC716" s="59"/>
      <c r="AD716" s="59"/>
      <c r="AE716" s="59"/>
      <c r="AF716" s="59"/>
      <c r="AG716" s="59"/>
      <c r="AH716" s="59"/>
      <c r="AI716" s="59" t="str">
        <f>IF(SUM(Dati[[#This Row],[Inv. Business]:[Inv. Cryptocurrency]])=0," ",SUM(Dati[[#This Row],[Inv. Business]:[Inv. Cryptocurrency]]))</f>
        <v xml:space="preserve"> </v>
      </c>
      <c r="AJ716" s="59"/>
      <c r="AK716" s="59"/>
      <c r="AL716" s="59"/>
      <c r="AM716" s="59"/>
    </row>
    <row r="717" spans="2:39" x14ac:dyDescent="0.35">
      <c r="B717" s="237">
        <f>ROW(693:693)</f>
        <v>693</v>
      </c>
      <c r="C717" s="49">
        <f t="shared" si="35"/>
        <v>45446</v>
      </c>
      <c r="D717" s="29">
        <f>DAY(Dati[[#This Row],[Data]])</f>
        <v>3</v>
      </c>
      <c r="E717" s="29" t="str">
        <f>IF(DAY(Data!$C$21:$C$1327)&gt;0,TEXT(Data!$C$21:$C$1327, "mmmm"),"")</f>
        <v>giugno</v>
      </c>
      <c r="F717" s="29" t="str">
        <f>IF(DAY(Data!$C$21:$C$1327)&gt;0,TEXT(Data!$C$21:$C$1327, "aaaa"),"")</f>
        <v>2024</v>
      </c>
      <c r="I717" t="str">
        <f>IF(OR(H717=$B$5,H717=$B$6,H717=$B$7,H717=$B$8,H717=$B$9,H717=$B$10,H717=$B$11,H717=$B$12,H717=$B$13,H717=$B$14),SottocategorieUscite[[#Headers],[Fuori Casa]],IF(OR(H717=$C$5,H717=$C$6,H717=$C$7,H717=$C$8,H717=$C$9,H717=$C$10,H717=$C$11,H717=$C$12,H717=$C$13,H717=$C$14),SottocategorieUscite[[#Headers],[Varie Uscite]],IF(OR(H717=$D$5,H717=$D$6,H717=$D$7,H717=$D$8,H717=$D$9,H717=$D$10,H717=$D$11,H717=$D$12,H717=$D$13,H717=$D$14),SottocategorieUscite[[#Headers],[Personali]],IF(OR(H717=$E$5,H717=$E$6,H717=$E$7,H717=$E$8,H717=$E$9,H717=$E$10,H717=$E$11,H717=$E$12,H717=$E$13,H717=$E$14),SottocategorieUscite[[#Headers],[Lavoro]],IF(OR(H717=$F$5,H717=$F$6,H717=$F$7,H717=$F$8,H717=$F$9,H717=$F$10,H717=$F$11,H717=$F$12,H717=$F$13,H717=$F$14),SottocategorieUscite[[#Headers],[Casa]],IF(OR(H717=$G$5,H717=$G$6,H717=$G$7,H717=$G$8,H717=$G$9,H717=$G$10,H717=$G$11,H717=$G$12,H717=$G$13,H717=$G$14),SottocategorieUscite[[#Headers],[Utenze]],IF(OR(H717=$H$5,H717=$H$6,H717=$H$7,H717=$H$8,H717=$H$9,H717=$H$10,H717=$H$11,H717=$H$12,H717=$H$13,H717=$H$14),SottocategorieUscite[[#Headers],[Business Uscite]],IF(OR(H717=$I$5,H717=$I$6,H717=$I$7,H717=$I$8,H717=$I$9,H717=$I$10,H717=$I$11,H717=$I$12,H717=$I$13,H717=$I$14),SottocategorieUscite[[#Headers],[Banca]],IF(OR(H717=K$5,H717=K$6,H717=K$7,H717=K$8,H717=K$9,H717=K$10,H717=K$11,H717=K$12,H717=K$13,H717=K$14),SottocategorieEntrate[[#Headers],[Business Entrate]],IF(OR(H717=L$5,H717=L$6,H717=L$7,H717=L$8,H717=L$9,H717=L$10,H717=L$11,H717=L$12,H717=L$13,H717=L$14),SottocategorieEntrate[[#Headers],[Varie Entrate]],IF(OR(H717=M$5,H717=M$6,H717=M$7,H717=M$8,H717=M$9,H717=M$10,H717=M$11,H717=M$12,H717=M$13,H717=M$14),SottocategorieEntrate[[#Headers],[Real Estate]],IF(OR(H717=N$5,H717=N$6,H717=N$7,H717=N$8,H717=N$9,H717=N$10,H717=N$11,H717=N$12,H717=N$13,H717=N$14),SottocategorieEntrate[[#Headers],[Other]],""))))))))))))</f>
        <v/>
      </c>
      <c r="J717" t="str">
        <f>IF(OR(Dati[[#This Row],[Categoria]]="Bollette",Dati[[#This Row],[Categoria]]="Conto &amp; Carte BNL",Dati[[#This Row],[Categoria]]="Prelievo",Dati[[#This Row],[Categoria]]="Affitto",Dati[[#This Row],[Categoria]]="BNL(Interessi Creditori)"),"Carta",IF(Dati[[#This Row],[Categoria]]&lt;&gt;0,"Cash",""))</f>
        <v/>
      </c>
      <c r="K717" s="59" t="str">
        <f>IF(OR(Data!$I717=SottocategorieUscite[[#Headers],[Fuori Casa]],Data!$I717=SottocategorieUscite[[#Headers],[Varie Uscite]],Data!$I717=SottocategorieUscite[[#Headers],[Personali]],Data!$I717=SottocategorieUscite[[#Headers],[Lavoro]]),"$ -","")</f>
        <v/>
      </c>
      <c r="L717" s="59" t="str">
        <f>IF(OR(Data!$I717=SottocategorieUscite[[#Headers],[Casa]],Data!$I717=SottocategorieUscite[[#Headers],[Utenze]],Data!$I717=SottocategorieUscite[[#Headers],[Business Uscite]],Data!$I717=SottocategorieUscite[[#Headers],[Banca]]),"$ -","")</f>
        <v/>
      </c>
      <c r="M717" s="59" t="str">
        <f>IF(OR($I717&lt;&gt;SottocategorieUscite[[#Headers],[Fuori Casa]],$I717&lt;&gt;SottocategorieUscite[[#Headers],[Varie Uscite]],$I717&lt;&gt;SottocategorieUscite[[#Headers],[Personali]],$I717&lt;&gt;SottocategorieUscite[[#Headers],[Lavoro]],$I717&lt;&gt;SottocategorieUscite[[#Headers],[Casa]],$I717&lt;&gt;SottocategorieUscite[[#Headers],[Utenze]],$I717&lt;&gt;SottocategorieUscite[[#Headers],[Business Uscite]],$I717&lt;&gt;SottocategorieUscite[[#Headers],[Banca]]),"","$ -")</f>
        <v/>
      </c>
      <c r="N717" s="59" t="str">
        <f>IF(OR(Data!$I717=SottocategorieEntrate[[#Headers],[Business Entrate]],Data!$I717=SottocategorieEntrate[[#Headers],[Varie Entrate]]),"$ -","")</f>
        <v/>
      </c>
      <c r="O717" s="59" t="str">
        <f>IF(OR(Data!$I717=SottocategorieEntrate[[#Headers],[Real Estate]],SottocategorieEntrate[[#Headers],[Other]]),"$ -","")</f>
        <v/>
      </c>
      <c r="P717" s="59" t="str">
        <f>IF(OR($I717&lt;&gt;SottocategorieEntrate[[#Headers],[Business Entrate]],$I717&lt;&gt;SottocategorieEntrate[[#Headers],[Varie Entrate]],$I717&lt;&gt;SottocategorieEntrate[[#Headers],[Real Estate]],$I717&lt;&gt;SottocategorieEntrate[[#Headers],[Other]]),"","$ -")</f>
        <v/>
      </c>
      <c r="Q717" s="59" t="str">
        <f>IF(Dati[[#This Row],[Categoria]]="Prelievo","€ -","")</f>
        <v/>
      </c>
      <c r="R717" s="244"/>
      <c r="S717" s="59" t="str">
        <f>IF(Dati[[#This Row],[Categoria]]="Savings",0,"")</f>
        <v/>
      </c>
      <c r="T717" s="59"/>
      <c r="U717" s="59"/>
      <c r="V717" s="59"/>
      <c r="W717" s="59"/>
      <c r="X717" s="59"/>
      <c r="Y717" s="59"/>
      <c r="Z717" s="59"/>
      <c r="AA717" s="59"/>
      <c r="AB717" s="59"/>
      <c r="AC717" s="59"/>
      <c r="AD717" s="59"/>
      <c r="AE717" s="59"/>
      <c r="AF717" s="59"/>
      <c r="AG717" s="59"/>
      <c r="AH717" s="59"/>
      <c r="AI717" s="59" t="str">
        <f>IF(SUM(Dati[[#This Row],[Inv. Business]:[Inv. Cryptocurrency]])=0," ",SUM(Dati[[#This Row],[Inv. Business]:[Inv. Cryptocurrency]]))</f>
        <v xml:space="preserve"> </v>
      </c>
      <c r="AJ717" s="59"/>
      <c r="AK717" s="59"/>
      <c r="AL717" s="59"/>
      <c r="AM717" s="59"/>
    </row>
    <row r="718" spans="2:39" x14ac:dyDescent="0.35">
      <c r="B718" s="237">
        <f>ROW(694:694)</f>
        <v>694</v>
      </c>
      <c r="C718" s="49">
        <f t="shared" si="35"/>
        <v>45447</v>
      </c>
      <c r="D718" s="29">
        <f>DAY(Dati[[#This Row],[Data]])</f>
        <v>4</v>
      </c>
      <c r="E718" s="29" t="str">
        <f>IF(DAY(Data!$C$21:$C$1327)&gt;0,TEXT(Data!$C$21:$C$1327, "mmmm"),"")</f>
        <v>giugno</v>
      </c>
      <c r="F718" s="29" t="str">
        <f>IF(DAY(Data!$C$21:$C$1327)&gt;0,TEXT(Data!$C$21:$C$1327, "aaaa"),"")</f>
        <v>2024</v>
      </c>
      <c r="I718" t="str">
        <f>IF(OR(H718=$B$5,H718=$B$6,H718=$B$7,H718=$B$8,H718=$B$9,H718=$B$10,H718=$B$11,H718=$B$12,H718=$B$13,H718=$B$14),SottocategorieUscite[[#Headers],[Fuori Casa]],IF(OR(H718=$C$5,H718=$C$6,H718=$C$7,H718=$C$8,H718=$C$9,H718=$C$10,H718=$C$11,H718=$C$12,H718=$C$13,H718=$C$14),SottocategorieUscite[[#Headers],[Varie Uscite]],IF(OR(H718=$D$5,H718=$D$6,H718=$D$7,H718=$D$8,H718=$D$9,H718=$D$10,H718=$D$11,H718=$D$12,H718=$D$13,H718=$D$14),SottocategorieUscite[[#Headers],[Personali]],IF(OR(H718=$E$5,H718=$E$6,H718=$E$7,H718=$E$8,H718=$E$9,H718=$E$10,H718=$E$11,H718=$E$12,H718=$E$13,H718=$E$14),SottocategorieUscite[[#Headers],[Lavoro]],IF(OR(H718=$F$5,H718=$F$6,H718=$F$7,H718=$F$8,H718=$F$9,H718=$F$10,H718=$F$11,H718=$F$12,H718=$F$13,H718=$F$14),SottocategorieUscite[[#Headers],[Casa]],IF(OR(H718=$G$5,H718=$G$6,H718=$G$7,H718=$G$8,H718=$G$9,H718=$G$10,H718=$G$11,H718=$G$12,H718=$G$13,H718=$G$14),SottocategorieUscite[[#Headers],[Utenze]],IF(OR(H718=$H$5,H718=$H$6,H718=$H$7,H718=$H$8,H718=$H$9,H718=$H$10,H718=$H$11,H718=$H$12,H718=$H$13,H718=$H$14),SottocategorieUscite[[#Headers],[Business Uscite]],IF(OR(H718=$I$5,H718=$I$6,H718=$I$7,H718=$I$8,H718=$I$9,H718=$I$10,H718=$I$11,H718=$I$12,H718=$I$13,H718=$I$14),SottocategorieUscite[[#Headers],[Banca]],IF(OR(H718=K$5,H718=K$6,H718=K$7,H718=K$8,H718=K$9,H718=K$10,H718=K$11,H718=K$12,H718=K$13,H718=K$14),SottocategorieEntrate[[#Headers],[Business Entrate]],IF(OR(H718=L$5,H718=L$6,H718=L$7,H718=L$8,H718=L$9,H718=L$10,H718=L$11,H718=L$12,H718=L$13,H718=L$14),SottocategorieEntrate[[#Headers],[Varie Entrate]],IF(OR(H718=M$5,H718=M$6,H718=M$7,H718=M$8,H718=M$9,H718=M$10,H718=M$11,H718=M$12,H718=M$13,H718=M$14),SottocategorieEntrate[[#Headers],[Real Estate]],IF(OR(H718=N$5,H718=N$6,H718=N$7,H718=N$8,H718=N$9,H718=N$10,H718=N$11,H718=N$12,H718=N$13,H718=N$14),SottocategorieEntrate[[#Headers],[Other]],""))))))))))))</f>
        <v/>
      </c>
      <c r="J718" t="str">
        <f>IF(OR(Dati[[#This Row],[Categoria]]="Bollette",Dati[[#This Row],[Categoria]]="Conto &amp; Carte BNL",Dati[[#This Row],[Categoria]]="Prelievo",Dati[[#This Row],[Categoria]]="Affitto",Dati[[#This Row],[Categoria]]="BNL(Interessi Creditori)"),"Carta",IF(Dati[[#This Row],[Categoria]]&lt;&gt;0,"Cash",""))</f>
        <v/>
      </c>
      <c r="K718" s="59" t="str">
        <f>IF(OR(Data!$I718=SottocategorieUscite[[#Headers],[Fuori Casa]],Data!$I718=SottocategorieUscite[[#Headers],[Varie Uscite]],Data!$I718=SottocategorieUscite[[#Headers],[Personali]],Data!$I718=SottocategorieUscite[[#Headers],[Lavoro]]),"$ -","")</f>
        <v/>
      </c>
      <c r="L718" s="59" t="str">
        <f>IF(OR(Data!$I718=SottocategorieUscite[[#Headers],[Casa]],Data!$I718=SottocategorieUscite[[#Headers],[Utenze]],Data!$I718=SottocategorieUscite[[#Headers],[Business Uscite]],Data!$I718=SottocategorieUscite[[#Headers],[Banca]]),"$ -","")</f>
        <v/>
      </c>
      <c r="M718" s="59" t="str">
        <f>IF(OR($I718&lt;&gt;SottocategorieUscite[[#Headers],[Fuori Casa]],$I718&lt;&gt;SottocategorieUscite[[#Headers],[Varie Uscite]],$I718&lt;&gt;SottocategorieUscite[[#Headers],[Personali]],$I718&lt;&gt;SottocategorieUscite[[#Headers],[Lavoro]],$I718&lt;&gt;SottocategorieUscite[[#Headers],[Casa]],$I718&lt;&gt;SottocategorieUscite[[#Headers],[Utenze]],$I718&lt;&gt;SottocategorieUscite[[#Headers],[Business Uscite]],$I718&lt;&gt;SottocategorieUscite[[#Headers],[Banca]]),"","$ -")</f>
        <v/>
      </c>
      <c r="N718" s="59" t="str">
        <f>IF(OR(Data!$I718=SottocategorieEntrate[[#Headers],[Business Entrate]],Data!$I718=SottocategorieEntrate[[#Headers],[Varie Entrate]]),"$ -","")</f>
        <v/>
      </c>
      <c r="O718" s="59" t="str">
        <f>IF(OR(Data!$I718=SottocategorieEntrate[[#Headers],[Real Estate]],SottocategorieEntrate[[#Headers],[Other]]),"$ -","")</f>
        <v/>
      </c>
      <c r="P718" s="59" t="str">
        <f>IF(OR($I718&lt;&gt;SottocategorieEntrate[[#Headers],[Business Entrate]],$I718&lt;&gt;SottocategorieEntrate[[#Headers],[Varie Entrate]],$I718&lt;&gt;SottocategorieEntrate[[#Headers],[Real Estate]],$I718&lt;&gt;SottocategorieEntrate[[#Headers],[Other]]),"","$ -")</f>
        <v/>
      </c>
      <c r="Q718" s="59" t="str">
        <f>IF(Dati[[#This Row],[Categoria]]="Prelievo","€ -","")</f>
        <v/>
      </c>
      <c r="R718" s="244"/>
      <c r="S718" s="59" t="str">
        <f>IF(Dati[[#This Row],[Categoria]]="Savings",0,"")</f>
        <v/>
      </c>
      <c r="T718" s="59"/>
      <c r="U718" s="59"/>
      <c r="V718" s="59"/>
      <c r="W718" s="59"/>
      <c r="X718" s="59"/>
      <c r="Y718" s="59"/>
      <c r="Z718" s="59"/>
      <c r="AA718" s="59"/>
      <c r="AB718" s="59"/>
      <c r="AC718" s="59"/>
      <c r="AD718" s="59"/>
      <c r="AE718" s="59"/>
      <c r="AF718" s="59"/>
      <c r="AG718" s="59"/>
      <c r="AH718" s="59"/>
      <c r="AI718" s="59" t="str">
        <f>IF(SUM(Dati[[#This Row],[Inv. Business]:[Inv. Cryptocurrency]])=0," ",SUM(Dati[[#This Row],[Inv. Business]:[Inv. Cryptocurrency]]))</f>
        <v xml:space="preserve"> </v>
      </c>
      <c r="AJ718" s="59"/>
      <c r="AK718" s="59"/>
      <c r="AL718" s="59"/>
      <c r="AM718" s="59"/>
    </row>
    <row r="719" spans="2:39" x14ac:dyDescent="0.35">
      <c r="B719" s="237">
        <f t="shared" ref="B719:B724" si="36">ROW(699:699)</f>
        <v>699</v>
      </c>
      <c r="C719" s="49">
        <f t="shared" si="35"/>
        <v>45448</v>
      </c>
      <c r="D719" s="29">
        <f>DAY(Dati[[#This Row],[Data]])</f>
        <v>5</v>
      </c>
      <c r="E719" s="29" t="str">
        <f>IF(DAY(Data!$C$21:$C$1327)&gt;0,TEXT(Data!$C$21:$C$1327, "mmmm"),"")</f>
        <v>giugno</v>
      </c>
      <c r="F719" s="29" t="str">
        <f>IF(DAY(Data!$C$21:$C$1327)&gt;0,TEXT(Data!$C$21:$C$1327, "aaaa"),"")</f>
        <v>2024</v>
      </c>
      <c r="I719" t="str">
        <f>IF(OR(H719=$B$5,H719=$B$6,H719=$B$7,H719=$B$8,H719=$B$9,H719=$B$10,H719=$B$11,H719=$B$12,H719=$B$13,H719=$B$14),SottocategorieUscite[[#Headers],[Fuori Casa]],IF(OR(H719=$C$5,H719=$C$6,H719=$C$7,H719=$C$8,H719=$C$9,H719=$C$10,H719=$C$11,H719=$C$12,H719=$C$13,H719=$C$14),SottocategorieUscite[[#Headers],[Varie Uscite]],IF(OR(H719=$D$5,H719=$D$6,H719=$D$7,H719=$D$8,H719=$D$9,H719=$D$10,H719=$D$11,H719=$D$12,H719=$D$13,H719=$D$14),SottocategorieUscite[[#Headers],[Personali]],IF(OR(H719=$E$5,H719=$E$6,H719=$E$7,H719=$E$8,H719=$E$9,H719=$E$10,H719=$E$11,H719=$E$12,H719=$E$13,H719=$E$14),SottocategorieUscite[[#Headers],[Lavoro]],IF(OR(H719=$F$5,H719=$F$6,H719=$F$7,H719=$F$8,H719=$F$9,H719=$F$10,H719=$F$11,H719=$F$12,H719=$F$13,H719=$F$14),SottocategorieUscite[[#Headers],[Casa]],IF(OR(H719=$G$5,H719=$G$6,H719=$G$7,H719=$G$8,H719=$G$9,H719=$G$10,H719=$G$11,H719=$G$12,H719=$G$13,H719=$G$14),SottocategorieUscite[[#Headers],[Utenze]],IF(OR(H719=$H$5,H719=$H$6,H719=$H$7,H719=$H$8,H719=$H$9,H719=$H$10,H719=$H$11,H719=$H$12,H719=$H$13,H719=$H$14),SottocategorieUscite[[#Headers],[Business Uscite]],IF(OR(H719=$I$5,H719=$I$6,H719=$I$7,H719=$I$8,H719=$I$9,H719=$I$10,H719=$I$11,H719=$I$12,H719=$I$13,H719=$I$14),SottocategorieUscite[[#Headers],[Banca]],IF(OR(H719=K$5,H719=K$6,H719=K$7,H719=K$8,H719=K$9,H719=K$10,H719=K$11,H719=K$12,H719=K$13,H719=K$14),SottocategorieEntrate[[#Headers],[Business Entrate]],IF(OR(H719=L$5,H719=L$6,H719=L$7,H719=L$8,H719=L$9,H719=L$10,H719=L$11,H719=L$12,H719=L$13,H719=L$14),SottocategorieEntrate[[#Headers],[Varie Entrate]],IF(OR(H719=M$5,H719=M$6,H719=M$7,H719=M$8,H719=M$9,H719=M$10,H719=M$11,H719=M$12,H719=M$13,H719=M$14),SottocategorieEntrate[[#Headers],[Real Estate]],IF(OR(H719=N$5,H719=N$6,H719=N$7,H719=N$8,H719=N$9,H719=N$10,H719=N$11,H719=N$12,H719=N$13,H719=N$14),SottocategorieEntrate[[#Headers],[Other]],""))))))))))))</f>
        <v/>
      </c>
      <c r="J719" t="str">
        <f>IF(OR(Dati[[#This Row],[Categoria]]="Bollette",Dati[[#This Row],[Categoria]]="Conto &amp; Carte BNL",Dati[[#This Row],[Categoria]]="Prelievo",Dati[[#This Row],[Categoria]]="Affitto",Dati[[#This Row],[Categoria]]="BNL(Interessi Creditori)"),"Carta",IF(Dati[[#This Row],[Categoria]]&lt;&gt;0,"Cash",""))</f>
        <v/>
      </c>
      <c r="K719" s="59" t="str">
        <f>IF(OR(Data!$I719=SottocategorieUscite[[#Headers],[Fuori Casa]],Data!$I719=SottocategorieUscite[[#Headers],[Varie Uscite]],Data!$I719=SottocategorieUscite[[#Headers],[Personali]],Data!$I719=SottocategorieUscite[[#Headers],[Lavoro]]),"$ -","")</f>
        <v/>
      </c>
      <c r="L719" s="59" t="str">
        <f>IF(OR(Data!$I719=SottocategorieUscite[[#Headers],[Casa]],Data!$I719=SottocategorieUscite[[#Headers],[Utenze]],Data!$I719=SottocategorieUscite[[#Headers],[Business Uscite]],Data!$I719=SottocategorieUscite[[#Headers],[Banca]]),"$ -","")</f>
        <v/>
      </c>
      <c r="M719" s="59" t="str">
        <f>IF(OR($I719&lt;&gt;SottocategorieUscite[[#Headers],[Fuori Casa]],$I719&lt;&gt;SottocategorieUscite[[#Headers],[Varie Uscite]],$I719&lt;&gt;SottocategorieUscite[[#Headers],[Personali]],$I719&lt;&gt;SottocategorieUscite[[#Headers],[Lavoro]],$I719&lt;&gt;SottocategorieUscite[[#Headers],[Casa]],$I719&lt;&gt;SottocategorieUscite[[#Headers],[Utenze]],$I719&lt;&gt;SottocategorieUscite[[#Headers],[Business Uscite]],$I719&lt;&gt;SottocategorieUscite[[#Headers],[Banca]]),"","$ -")</f>
        <v/>
      </c>
      <c r="N719" s="59" t="str">
        <f>IF(OR(Data!$I719=SottocategorieEntrate[[#Headers],[Business Entrate]],Data!$I719=SottocategorieEntrate[[#Headers],[Varie Entrate]]),"$ -","")</f>
        <v/>
      </c>
      <c r="O719" s="59" t="str">
        <f>IF(OR(Data!$I719=SottocategorieEntrate[[#Headers],[Real Estate]],SottocategorieEntrate[[#Headers],[Other]]),"$ -","")</f>
        <v/>
      </c>
      <c r="P719" s="59" t="str">
        <f>IF(OR($I719&lt;&gt;SottocategorieEntrate[[#Headers],[Business Entrate]],$I719&lt;&gt;SottocategorieEntrate[[#Headers],[Varie Entrate]],$I719&lt;&gt;SottocategorieEntrate[[#Headers],[Real Estate]],$I719&lt;&gt;SottocategorieEntrate[[#Headers],[Other]]),"","$ -")</f>
        <v/>
      </c>
      <c r="Q719" s="59" t="str">
        <f>IF(Dati[[#This Row],[Categoria]]="Prelievo","€ -","")</f>
        <v/>
      </c>
      <c r="R719" s="244"/>
      <c r="S719" s="59" t="str">
        <f>IF(Dati[[#This Row],[Categoria]]="Savings",0,"")</f>
        <v/>
      </c>
      <c r="T719" s="59"/>
      <c r="U719" s="59"/>
      <c r="V719" s="59"/>
      <c r="W719" s="59"/>
      <c r="X719" s="59"/>
      <c r="Y719" s="59"/>
      <c r="Z719" s="59"/>
      <c r="AA719" s="59"/>
      <c r="AB719" s="59"/>
      <c r="AC719" s="59"/>
      <c r="AD719" s="59"/>
      <c r="AE719" s="59"/>
      <c r="AF719" s="59"/>
      <c r="AG719" s="59"/>
      <c r="AH719" s="59"/>
      <c r="AI719" s="59" t="str">
        <f>IF(SUM(Dati[[#This Row],[Inv. Business]:[Inv. Cryptocurrency]])=0," ",SUM(Dati[[#This Row],[Inv. Business]:[Inv. Cryptocurrency]]))</f>
        <v xml:space="preserve"> </v>
      </c>
      <c r="AJ719" s="59"/>
      <c r="AK719" s="59"/>
      <c r="AL719" s="59"/>
      <c r="AM719" s="59"/>
    </row>
    <row r="720" spans="2:39" x14ac:dyDescent="0.35">
      <c r="B720" s="237">
        <f t="shared" si="36"/>
        <v>700</v>
      </c>
      <c r="C720" s="49">
        <f t="shared" si="35"/>
        <v>45449</v>
      </c>
      <c r="D720" s="29">
        <f>DAY(Dati[[#This Row],[Data]])</f>
        <v>6</v>
      </c>
      <c r="E720" s="29" t="str">
        <f>IF(DAY(Data!$C$21:$C$1327)&gt;0,TEXT(Data!$C$21:$C$1327, "mmmm"),"")</f>
        <v>giugno</v>
      </c>
      <c r="F720" s="29" t="str">
        <f>IF(DAY(Data!$C$21:$C$1327)&gt;0,TEXT(Data!$C$21:$C$1327, "aaaa"),"")</f>
        <v>2024</v>
      </c>
      <c r="I720" t="str">
        <f>IF(OR(H720=$B$5,H720=$B$6,H720=$B$7,H720=$B$8,H720=$B$9,H720=$B$10,H720=$B$11,H720=$B$12,H720=$B$13,H720=$B$14),SottocategorieUscite[[#Headers],[Fuori Casa]],IF(OR(H720=$C$5,H720=$C$6,H720=$C$7,H720=$C$8,H720=$C$9,H720=$C$10,H720=$C$11,H720=$C$12,H720=$C$13,H720=$C$14),SottocategorieUscite[[#Headers],[Varie Uscite]],IF(OR(H720=$D$5,H720=$D$6,H720=$D$7,H720=$D$8,H720=$D$9,H720=$D$10,H720=$D$11,H720=$D$12,H720=$D$13,H720=$D$14),SottocategorieUscite[[#Headers],[Personali]],IF(OR(H720=$E$5,H720=$E$6,H720=$E$7,H720=$E$8,H720=$E$9,H720=$E$10,H720=$E$11,H720=$E$12,H720=$E$13,H720=$E$14),SottocategorieUscite[[#Headers],[Lavoro]],IF(OR(H720=$F$5,H720=$F$6,H720=$F$7,H720=$F$8,H720=$F$9,H720=$F$10,H720=$F$11,H720=$F$12,H720=$F$13,H720=$F$14),SottocategorieUscite[[#Headers],[Casa]],IF(OR(H720=$G$5,H720=$G$6,H720=$G$7,H720=$G$8,H720=$G$9,H720=$G$10,H720=$G$11,H720=$G$12,H720=$G$13,H720=$G$14),SottocategorieUscite[[#Headers],[Utenze]],IF(OR(H720=$H$5,H720=$H$6,H720=$H$7,H720=$H$8,H720=$H$9,H720=$H$10,H720=$H$11,H720=$H$12,H720=$H$13,H720=$H$14),SottocategorieUscite[[#Headers],[Business Uscite]],IF(OR(H720=$I$5,H720=$I$6,H720=$I$7,H720=$I$8,H720=$I$9,H720=$I$10,H720=$I$11,H720=$I$12,H720=$I$13,H720=$I$14),SottocategorieUscite[[#Headers],[Banca]],IF(OR(H720=K$5,H720=K$6,H720=K$7,H720=K$8,H720=K$9,H720=K$10,H720=K$11,H720=K$12,H720=K$13,H720=K$14),SottocategorieEntrate[[#Headers],[Business Entrate]],IF(OR(H720=L$5,H720=L$6,H720=L$7,H720=L$8,H720=L$9,H720=L$10,H720=L$11,H720=L$12,H720=L$13,H720=L$14),SottocategorieEntrate[[#Headers],[Varie Entrate]],IF(OR(H720=M$5,H720=M$6,H720=M$7,H720=M$8,H720=M$9,H720=M$10,H720=M$11,H720=M$12,H720=M$13,H720=M$14),SottocategorieEntrate[[#Headers],[Real Estate]],IF(OR(H720=N$5,H720=N$6,H720=N$7,H720=N$8,H720=N$9,H720=N$10,H720=N$11,H720=N$12,H720=N$13,H720=N$14),SottocategorieEntrate[[#Headers],[Other]],""))))))))))))</f>
        <v/>
      </c>
      <c r="J720" t="str">
        <f>IF(OR(Dati[[#This Row],[Categoria]]="Bollette",Dati[[#This Row],[Categoria]]="Conto &amp; Carte BNL",Dati[[#This Row],[Categoria]]="Prelievo",Dati[[#This Row],[Categoria]]="Affitto",Dati[[#This Row],[Categoria]]="BNL(Interessi Creditori)"),"Carta",IF(Dati[[#This Row],[Categoria]]&lt;&gt;0,"Cash",""))</f>
        <v/>
      </c>
      <c r="K720" s="59" t="str">
        <f>IF(OR(Data!$I720=SottocategorieUscite[[#Headers],[Fuori Casa]],Data!$I720=SottocategorieUscite[[#Headers],[Varie Uscite]],Data!$I720=SottocategorieUscite[[#Headers],[Personali]],Data!$I720=SottocategorieUscite[[#Headers],[Lavoro]]),"$ -","")</f>
        <v/>
      </c>
      <c r="L720" s="59" t="str">
        <f>IF(OR(Data!$I720=SottocategorieUscite[[#Headers],[Casa]],Data!$I720=SottocategorieUscite[[#Headers],[Utenze]],Data!$I720=SottocategorieUscite[[#Headers],[Business Uscite]],Data!$I720=SottocategorieUscite[[#Headers],[Banca]]),"$ -","")</f>
        <v/>
      </c>
      <c r="M720" s="59" t="str">
        <f>IF(OR($I720&lt;&gt;SottocategorieUscite[[#Headers],[Fuori Casa]],$I720&lt;&gt;SottocategorieUscite[[#Headers],[Varie Uscite]],$I720&lt;&gt;SottocategorieUscite[[#Headers],[Personali]],$I720&lt;&gt;SottocategorieUscite[[#Headers],[Lavoro]],$I720&lt;&gt;SottocategorieUscite[[#Headers],[Casa]],$I720&lt;&gt;SottocategorieUscite[[#Headers],[Utenze]],$I720&lt;&gt;SottocategorieUscite[[#Headers],[Business Uscite]],$I720&lt;&gt;SottocategorieUscite[[#Headers],[Banca]]),"","$ -")</f>
        <v/>
      </c>
      <c r="N720" s="59" t="str">
        <f>IF(OR(Data!$I720=SottocategorieEntrate[[#Headers],[Business Entrate]],Data!$I720=SottocategorieEntrate[[#Headers],[Varie Entrate]]),"$ -","")</f>
        <v/>
      </c>
      <c r="O720" s="59" t="str">
        <f>IF(OR(Data!$I720=SottocategorieEntrate[[#Headers],[Real Estate]],SottocategorieEntrate[[#Headers],[Other]]),"$ -","")</f>
        <v/>
      </c>
      <c r="P720" s="59" t="str">
        <f>IF(OR($I720&lt;&gt;SottocategorieEntrate[[#Headers],[Business Entrate]],$I720&lt;&gt;SottocategorieEntrate[[#Headers],[Varie Entrate]],$I720&lt;&gt;SottocategorieEntrate[[#Headers],[Real Estate]],$I720&lt;&gt;SottocategorieEntrate[[#Headers],[Other]]),"","$ -")</f>
        <v/>
      </c>
      <c r="Q720" s="59" t="str">
        <f>IF(Dati[[#This Row],[Categoria]]="Prelievo","€ -","")</f>
        <v/>
      </c>
      <c r="R720" s="244"/>
      <c r="S720" s="59" t="str">
        <f>IF(Dati[[#This Row],[Categoria]]="Savings",0,"")</f>
        <v/>
      </c>
      <c r="T720" s="59"/>
      <c r="U720" s="59"/>
      <c r="V720" s="59"/>
      <c r="W720" s="59"/>
      <c r="X720" s="59"/>
      <c r="Y720" s="59"/>
      <c r="Z720" s="59"/>
      <c r="AA720" s="59"/>
      <c r="AB720" s="59"/>
      <c r="AC720" s="59"/>
      <c r="AD720" s="59"/>
      <c r="AE720" s="59"/>
      <c r="AF720" s="59"/>
      <c r="AG720" s="59"/>
      <c r="AH720" s="59"/>
      <c r="AI720" s="59" t="str">
        <f>IF(SUM(Dati[[#This Row],[Inv. Business]:[Inv. Cryptocurrency]])=0," ",SUM(Dati[[#This Row],[Inv. Business]:[Inv. Cryptocurrency]]))</f>
        <v xml:space="preserve"> </v>
      </c>
      <c r="AJ720" s="59"/>
      <c r="AK720" s="59"/>
      <c r="AL720" s="59"/>
      <c r="AM720" s="59"/>
    </row>
    <row r="721" spans="2:39" x14ac:dyDescent="0.35">
      <c r="B721" s="237">
        <f t="shared" si="36"/>
        <v>701</v>
      </c>
      <c r="C721" s="49">
        <f t="shared" si="35"/>
        <v>45450</v>
      </c>
      <c r="D721" s="29">
        <f>DAY(Dati[[#This Row],[Data]])</f>
        <v>7</v>
      </c>
      <c r="E721" s="29" t="str">
        <f>IF(DAY(Data!$C$21:$C$1327)&gt;0,TEXT(Data!$C$21:$C$1327, "mmmm"),"")</f>
        <v>giugno</v>
      </c>
      <c r="F721" s="29" t="str">
        <f>IF(DAY(Data!$C$21:$C$1327)&gt;0,TEXT(Data!$C$21:$C$1327, "aaaa"),"")</f>
        <v>2024</v>
      </c>
      <c r="I721" t="str">
        <f>IF(OR(H721=$B$5,H721=$B$6,H721=$B$7,H721=$B$8,H721=$B$9,H721=$B$10,H721=$B$11,H721=$B$12,H721=$B$13,H721=$B$14),SottocategorieUscite[[#Headers],[Fuori Casa]],IF(OR(H721=$C$5,H721=$C$6,H721=$C$7,H721=$C$8,H721=$C$9,H721=$C$10,H721=$C$11,H721=$C$12,H721=$C$13,H721=$C$14),SottocategorieUscite[[#Headers],[Varie Uscite]],IF(OR(H721=$D$5,H721=$D$6,H721=$D$7,H721=$D$8,H721=$D$9,H721=$D$10,H721=$D$11,H721=$D$12,H721=$D$13,H721=$D$14),SottocategorieUscite[[#Headers],[Personali]],IF(OR(H721=$E$5,H721=$E$6,H721=$E$7,H721=$E$8,H721=$E$9,H721=$E$10,H721=$E$11,H721=$E$12,H721=$E$13,H721=$E$14),SottocategorieUscite[[#Headers],[Lavoro]],IF(OR(H721=$F$5,H721=$F$6,H721=$F$7,H721=$F$8,H721=$F$9,H721=$F$10,H721=$F$11,H721=$F$12,H721=$F$13,H721=$F$14),SottocategorieUscite[[#Headers],[Casa]],IF(OR(H721=$G$5,H721=$G$6,H721=$G$7,H721=$G$8,H721=$G$9,H721=$G$10,H721=$G$11,H721=$G$12,H721=$G$13,H721=$G$14),SottocategorieUscite[[#Headers],[Utenze]],IF(OR(H721=$H$5,H721=$H$6,H721=$H$7,H721=$H$8,H721=$H$9,H721=$H$10,H721=$H$11,H721=$H$12,H721=$H$13,H721=$H$14),SottocategorieUscite[[#Headers],[Business Uscite]],IF(OR(H721=$I$5,H721=$I$6,H721=$I$7,H721=$I$8,H721=$I$9,H721=$I$10,H721=$I$11,H721=$I$12,H721=$I$13,H721=$I$14),SottocategorieUscite[[#Headers],[Banca]],IF(OR(H721=K$5,H721=K$6,H721=K$7,H721=K$8,H721=K$9,H721=K$10,H721=K$11,H721=K$12,H721=K$13,H721=K$14),SottocategorieEntrate[[#Headers],[Business Entrate]],IF(OR(H721=L$5,H721=L$6,H721=L$7,H721=L$8,H721=L$9,H721=L$10,H721=L$11,H721=L$12,H721=L$13,H721=L$14),SottocategorieEntrate[[#Headers],[Varie Entrate]],IF(OR(H721=M$5,H721=M$6,H721=M$7,H721=M$8,H721=M$9,H721=M$10,H721=M$11,H721=M$12,H721=M$13,H721=M$14),SottocategorieEntrate[[#Headers],[Real Estate]],IF(OR(H721=N$5,H721=N$6,H721=N$7,H721=N$8,H721=N$9,H721=N$10,H721=N$11,H721=N$12,H721=N$13,H721=N$14),SottocategorieEntrate[[#Headers],[Other]],""))))))))))))</f>
        <v/>
      </c>
      <c r="J721" t="str">
        <f>IF(OR(Dati[[#This Row],[Categoria]]="Bollette",Dati[[#This Row],[Categoria]]="Conto &amp; Carte BNL",Dati[[#This Row],[Categoria]]="Prelievo",Dati[[#This Row],[Categoria]]="Affitto",Dati[[#This Row],[Categoria]]="BNL(Interessi Creditori)"),"Carta",IF(Dati[[#This Row],[Categoria]]&lt;&gt;0,"Cash",""))</f>
        <v/>
      </c>
      <c r="K721" s="59" t="str">
        <f>IF(OR(Data!$I721=SottocategorieUscite[[#Headers],[Fuori Casa]],Data!$I721=SottocategorieUscite[[#Headers],[Varie Uscite]],Data!$I721=SottocategorieUscite[[#Headers],[Personali]],Data!$I721=SottocategorieUscite[[#Headers],[Lavoro]]),"$ -","")</f>
        <v/>
      </c>
      <c r="L721" s="59" t="str">
        <f>IF(OR(Data!$I721=SottocategorieUscite[[#Headers],[Casa]],Data!$I721=SottocategorieUscite[[#Headers],[Utenze]],Data!$I721=SottocategorieUscite[[#Headers],[Business Uscite]],Data!$I721=SottocategorieUscite[[#Headers],[Banca]]),"$ -","")</f>
        <v/>
      </c>
      <c r="M721" s="59" t="str">
        <f>IF(OR($I721&lt;&gt;SottocategorieUscite[[#Headers],[Fuori Casa]],$I721&lt;&gt;SottocategorieUscite[[#Headers],[Varie Uscite]],$I721&lt;&gt;SottocategorieUscite[[#Headers],[Personali]],$I721&lt;&gt;SottocategorieUscite[[#Headers],[Lavoro]],$I721&lt;&gt;SottocategorieUscite[[#Headers],[Casa]],$I721&lt;&gt;SottocategorieUscite[[#Headers],[Utenze]],$I721&lt;&gt;SottocategorieUscite[[#Headers],[Business Uscite]],$I721&lt;&gt;SottocategorieUscite[[#Headers],[Banca]]),"","$ -")</f>
        <v/>
      </c>
      <c r="N721" s="59" t="str">
        <f>IF(OR(Data!$I721=SottocategorieEntrate[[#Headers],[Business Entrate]],Data!$I721=SottocategorieEntrate[[#Headers],[Varie Entrate]]),"$ -","")</f>
        <v/>
      </c>
      <c r="O721" s="59" t="str">
        <f>IF(OR(Data!$I721=SottocategorieEntrate[[#Headers],[Real Estate]],SottocategorieEntrate[[#Headers],[Other]]),"$ -","")</f>
        <v/>
      </c>
      <c r="P721" s="59" t="str">
        <f>IF(OR($I721&lt;&gt;SottocategorieEntrate[[#Headers],[Business Entrate]],$I721&lt;&gt;SottocategorieEntrate[[#Headers],[Varie Entrate]],$I721&lt;&gt;SottocategorieEntrate[[#Headers],[Real Estate]],$I721&lt;&gt;SottocategorieEntrate[[#Headers],[Other]]),"","$ -")</f>
        <v/>
      </c>
      <c r="Q721" s="59" t="str">
        <f>IF(Dati[[#This Row],[Categoria]]="Prelievo","€ -","")</f>
        <v/>
      </c>
      <c r="R721" s="244"/>
      <c r="S721" s="59" t="str">
        <f>IF(Dati[[#This Row],[Categoria]]="Savings",0,"")</f>
        <v/>
      </c>
      <c r="T721" s="59"/>
      <c r="U721" s="59"/>
      <c r="V721" s="59"/>
      <c r="W721" s="59"/>
      <c r="X721" s="59"/>
      <c r="Y721" s="59"/>
      <c r="Z721" s="59"/>
      <c r="AA721" s="59"/>
      <c r="AB721" s="59"/>
      <c r="AC721" s="59"/>
      <c r="AD721" s="59"/>
      <c r="AE721" s="59"/>
      <c r="AF721" s="59"/>
      <c r="AG721" s="59"/>
      <c r="AH721" s="59"/>
      <c r="AI721" s="59" t="str">
        <f>IF(SUM(Dati[[#This Row],[Inv. Business]:[Inv. Cryptocurrency]])=0," ",SUM(Dati[[#This Row],[Inv. Business]:[Inv. Cryptocurrency]]))</f>
        <v xml:space="preserve"> </v>
      </c>
      <c r="AJ721" s="59"/>
      <c r="AK721" s="59"/>
      <c r="AL721" s="59"/>
      <c r="AM721" s="59"/>
    </row>
    <row r="722" spans="2:39" x14ac:dyDescent="0.35">
      <c r="B722" s="237">
        <f t="shared" si="36"/>
        <v>702</v>
      </c>
      <c r="C722" s="49">
        <f t="shared" si="35"/>
        <v>45451</v>
      </c>
      <c r="D722" s="29">
        <f>DAY(Dati[[#This Row],[Data]])</f>
        <v>8</v>
      </c>
      <c r="E722" s="29" t="str">
        <f>IF(DAY(Data!$C$21:$C$1327)&gt;0,TEXT(Data!$C$21:$C$1327, "mmmm"),"")</f>
        <v>giugno</v>
      </c>
      <c r="F722" s="29" t="str">
        <f>IF(DAY(Data!$C$21:$C$1327)&gt;0,TEXT(Data!$C$21:$C$1327, "aaaa"),"")</f>
        <v>2024</v>
      </c>
      <c r="I722" t="str">
        <f>IF(OR(H722=$B$5,H722=$B$6,H722=$B$7,H722=$B$8,H722=$B$9,H722=$B$10,H722=$B$11,H722=$B$12,H722=$B$13,H722=$B$14),SottocategorieUscite[[#Headers],[Fuori Casa]],IF(OR(H722=$C$5,H722=$C$6,H722=$C$7,H722=$C$8,H722=$C$9,H722=$C$10,H722=$C$11,H722=$C$12,H722=$C$13,H722=$C$14),SottocategorieUscite[[#Headers],[Varie Uscite]],IF(OR(H722=$D$5,H722=$D$6,H722=$D$7,H722=$D$8,H722=$D$9,H722=$D$10,H722=$D$11,H722=$D$12,H722=$D$13,H722=$D$14),SottocategorieUscite[[#Headers],[Personali]],IF(OR(H722=$E$5,H722=$E$6,H722=$E$7,H722=$E$8,H722=$E$9,H722=$E$10,H722=$E$11,H722=$E$12,H722=$E$13,H722=$E$14),SottocategorieUscite[[#Headers],[Lavoro]],IF(OR(H722=$F$5,H722=$F$6,H722=$F$7,H722=$F$8,H722=$F$9,H722=$F$10,H722=$F$11,H722=$F$12,H722=$F$13,H722=$F$14),SottocategorieUscite[[#Headers],[Casa]],IF(OR(H722=$G$5,H722=$G$6,H722=$G$7,H722=$G$8,H722=$G$9,H722=$G$10,H722=$G$11,H722=$G$12,H722=$G$13,H722=$G$14),SottocategorieUscite[[#Headers],[Utenze]],IF(OR(H722=$H$5,H722=$H$6,H722=$H$7,H722=$H$8,H722=$H$9,H722=$H$10,H722=$H$11,H722=$H$12,H722=$H$13,H722=$H$14),SottocategorieUscite[[#Headers],[Business Uscite]],IF(OR(H722=$I$5,H722=$I$6,H722=$I$7,H722=$I$8,H722=$I$9,H722=$I$10,H722=$I$11,H722=$I$12,H722=$I$13,H722=$I$14),SottocategorieUscite[[#Headers],[Banca]],IF(OR(H722=K$5,H722=K$6,H722=K$7,H722=K$8,H722=K$9,H722=K$10,H722=K$11,H722=K$12,H722=K$13,H722=K$14),SottocategorieEntrate[[#Headers],[Business Entrate]],IF(OR(H722=L$5,H722=L$6,H722=L$7,H722=L$8,H722=L$9,H722=L$10,H722=L$11,H722=L$12,H722=L$13,H722=L$14),SottocategorieEntrate[[#Headers],[Varie Entrate]],IF(OR(H722=M$5,H722=M$6,H722=M$7,H722=M$8,H722=M$9,H722=M$10,H722=M$11,H722=M$12,H722=M$13,H722=M$14),SottocategorieEntrate[[#Headers],[Real Estate]],IF(OR(H722=N$5,H722=N$6,H722=N$7,H722=N$8,H722=N$9,H722=N$10,H722=N$11,H722=N$12,H722=N$13,H722=N$14),SottocategorieEntrate[[#Headers],[Other]],""))))))))))))</f>
        <v/>
      </c>
      <c r="J722" t="str">
        <f>IF(OR(Dati[[#This Row],[Categoria]]="Bollette",Dati[[#This Row],[Categoria]]="Conto &amp; Carte BNL",Dati[[#This Row],[Categoria]]="Prelievo",Dati[[#This Row],[Categoria]]="Affitto",Dati[[#This Row],[Categoria]]="BNL(Interessi Creditori)"),"Carta",IF(Dati[[#This Row],[Categoria]]&lt;&gt;0,"Cash",""))</f>
        <v/>
      </c>
      <c r="K722" s="59" t="str">
        <f>IF(OR(Data!$I722=SottocategorieUscite[[#Headers],[Fuori Casa]],Data!$I722=SottocategorieUscite[[#Headers],[Varie Uscite]],Data!$I722=SottocategorieUscite[[#Headers],[Personali]],Data!$I722=SottocategorieUscite[[#Headers],[Lavoro]]),"$ -","")</f>
        <v/>
      </c>
      <c r="L722" s="59" t="str">
        <f>IF(OR(Data!$I722=SottocategorieUscite[[#Headers],[Casa]],Data!$I722=SottocategorieUscite[[#Headers],[Utenze]],Data!$I722=SottocategorieUscite[[#Headers],[Business Uscite]],Data!$I722=SottocategorieUscite[[#Headers],[Banca]]),"$ -","")</f>
        <v/>
      </c>
      <c r="M722" s="59" t="str">
        <f>IF(OR($I722&lt;&gt;SottocategorieUscite[[#Headers],[Fuori Casa]],$I722&lt;&gt;SottocategorieUscite[[#Headers],[Varie Uscite]],$I722&lt;&gt;SottocategorieUscite[[#Headers],[Personali]],$I722&lt;&gt;SottocategorieUscite[[#Headers],[Lavoro]],$I722&lt;&gt;SottocategorieUscite[[#Headers],[Casa]],$I722&lt;&gt;SottocategorieUscite[[#Headers],[Utenze]],$I722&lt;&gt;SottocategorieUscite[[#Headers],[Business Uscite]],$I722&lt;&gt;SottocategorieUscite[[#Headers],[Banca]]),"","$ -")</f>
        <v/>
      </c>
      <c r="N722" s="59" t="str">
        <f>IF(OR(Data!$I722=SottocategorieEntrate[[#Headers],[Business Entrate]],Data!$I722=SottocategorieEntrate[[#Headers],[Varie Entrate]]),"$ -","")</f>
        <v/>
      </c>
      <c r="O722" s="59" t="str">
        <f>IF(OR(Data!$I722=SottocategorieEntrate[[#Headers],[Real Estate]],SottocategorieEntrate[[#Headers],[Other]]),"$ -","")</f>
        <v/>
      </c>
      <c r="P722" s="59" t="str">
        <f>IF(OR($I722&lt;&gt;SottocategorieEntrate[[#Headers],[Business Entrate]],$I722&lt;&gt;SottocategorieEntrate[[#Headers],[Varie Entrate]],$I722&lt;&gt;SottocategorieEntrate[[#Headers],[Real Estate]],$I722&lt;&gt;SottocategorieEntrate[[#Headers],[Other]]),"","$ -")</f>
        <v/>
      </c>
      <c r="Q722" s="59" t="str">
        <f>IF(Dati[[#This Row],[Categoria]]="Prelievo","€ -","")</f>
        <v/>
      </c>
      <c r="R722" s="244"/>
      <c r="S722" s="59" t="str">
        <f>IF(Dati[[#This Row],[Categoria]]="Savings",0,"")</f>
        <v/>
      </c>
      <c r="T722" s="59"/>
      <c r="U722" s="59"/>
      <c r="V722" s="59"/>
      <c r="W722" s="59"/>
      <c r="X722" s="59"/>
      <c r="Y722" s="59"/>
      <c r="Z722" s="59"/>
      <c r="AA722" s="59"/>
      <c r="AB722" s="59"/>
      <c r="AC722" s="59"/>
      <c r="AD722" s="59"/>
      <c r="AE722" s="59"/>
      <c r="AF722" s="59"/>
      <c r="AG722" s="59"/>
      <c r="AH722" s="59"/>
      <c r="AI722" s="59" t="str">
        <f>IF(SUM(Dati[[#This Row],[Inv. Business]:[Inv. Cryptocurrency]])=0," ",SUM(Dati[[#This Row],[Inv. Business]:[Inv. Cryptocurrency]]))</f>
        <v xml:space="preserve"> </v>
      </c>
      <c r="AJ722" s="59"/>
      <c r="AK722" s="59"/>
      <c r="AL722" s="59"/>
      <c r="AM722" s="59"/>
    </row>
    <row r="723" spans="2:39" x14ac:dyDescent="0.35">
      <c r="B723" s="237">
        <f t="shared" si="36"/>
        <v>703</v>
      </c>
      <c r="C723" s="49">
        <f t="shared" si="35"/>
        <v>45452</v>
      </c>
      <c r="D723" s="29">
        <f>DAY(Dati[[#This Row],[Data]])</f>
        <v>9</v>
      </c>
      <c r="E723" s="29" t="str">
        <f>IF(DAY(Data!$C$21:$C$1327)&gt;0,TEXT(Data!$C$21:$C$1327, "mmmm"),"")</f>
        <v>giugno</v>
      </c>
      <c r="F723" s="29" t="str">
        <f>IF(DAY(Data!$C$21:$C$1327)&gt;0,TEXT(Data!$C$21:$C$1327, "aaaa"),"")</f>
        <v>2024</v>
      </c>
      <c r="I723" t="str">
        <f>IF(OR(H723=$B$5,H723=$B$6,H723=$B$7,H723=$B$8,H723=$B$9,H723=$B$10,H723=$B$11,H723=$B$12,H723=$B$13,H723=$B$14),SottocategorieUscite[[#Headers],[Fuori Casa]],IF(OR(H723=$C$5,H723=$C$6,H723=$C$7,H723=$C$8,H723=$C$9,H723=$C$10,H723=$C$11,H723=$C$12,H723=$C$13,H723=$C$14),SottocategorieUscite[[#Headers],[Varie Uscite]],IF(OR(H723=$D$5,H723=$D$6,H723=$D$7,H723=$D$8,H723=$D$9,H723=$D$10,H723=$D$11,H723=$D$12,H723=$D$13,H723=$D$14),SottocategorieUscite[[#Headers],[Personali]],IF(OR(H723=$E$5,H723=$E$6,H723=$E$7,H723=$E$8,H723=$E$9,H723=$E$10,H723=$E$11,H723=$E$12,H723=$E$13,H723=$E$14),SottocategorieUscite[[#Headers],[Lavoro]],IF(OR(H723=$F$5,H723=$F$6,H723=$F$7,H723=$F$8,H723=$F$9,H723=$F$10,H723=$F$11,H723=$F$12,H723=$F$13,H723=$F$14),SottocategorieUscite[[#Headers],[Casa]],IF(OR(H723=$G$5,H723=$G$6,H723=$G$7,H723=$G$8,H723=$G$9,H723=$G$10,H723=$G$11,H723=$G$12,H723=$G$13,H723=$G$14),SottocategorieUscite[[#Headers],[Utenze]],IF(OR(H723=$H$5,H723=$H$6,H723=$H$7,H723=$H$8,H723=$H$9,H723=$H$10,H723=$H$11,H723=$H$12,H723=$H$13,H723=$H$14),SottocategorieUscite[[#Headers],[Business Uscite]],IF(OR(H723=$I$5,H723=$I$6,H723=$I$7,H723=$I$8,H723=$I$9,H723=$I$10,H723=$I$11,H723=$I$12,H723=$I$13,H723=$I$14),SottocategorieUscite[[#Headers],[Banca]],IF(OR(H723=K$5,H723=K$6,H723=K$7,H723=K$8,H723=K$9,H723=K$10,H723=K$11,H723=K$12,H723=K$13,H723=K$14),SottocategorieEntrate[[#Headers],[Business Entrate]],IF(OR(H723=L$5,H723=L$6,H723=L$7,H723=L$8,H723=L$9,H723=L$10,H723=L$11,H723=L$12,H723=L$13,H723=L$14),SottocategorieEntrate[[#Headers],[Varie Entrate]],IF(OR(H723=M$5,H723=M$6,H723=M$7,H723=M$8,H723=M$9,H723=M$10,H723=M$11,H723=M$12,H723=M$13,H723=M$14),SottocategorieEntrate[[#Headers],[Real Estate]],IF(OR(H723=N$5,H723=N$6,H723=N$7,H723=N$8,H723=N$9,H723=N$10,H723=N$11,H723=N$12,H723=N$13,H723=N$14),SottocategorieEntrate[[#Headers],[Other]],""))))))))))))</f>
        <v/>
      </c>
      <c r="J723" t="str">
        <f>IF(OR(Dati[[#This Row],[Categoria]]="Bollette",Dati[[#This Row],[Categoria]]="Conto &amp; Carte BNL",Dati[[#This Row],[Categoria]]="Prelievo",Dati[[#This Row],[Categoria]]="Affitto",Dati[[#This Row],[Categoria]]="BNL(Interessi Creditori)"),"Carta",IF(Dati[[#This Row],[Categoria]]&lt;&gt;0,"Cash",""))</f>
        <v/>
      </c>
      <c r="K723" s="59" t="str">
        <f>IF(OR(Data!$I723=SottocategorieUscite[[#Headers],[Fuori Casa]],Data!$I723=SottocategorieUscite[[#Headers],[Varie Uscite]],Data!$I723=SottocategorieUscite[[#Headers],[Personali]],Data!$I723=SottocategorieUscite[[#Headers],[Lavoro]]),"$ -","")</f>
        <v/>
      </c>
      <c r="L723" s="59" t="str">
        <f>IF(OR(Data!$I723=SottocategorieUscite[[#Headers],[Casa]],Data!$I723=SottocategorieUscite[[#Headers],[Utenze]],Data!$I723=SottocategorieUscite[[#Headers],[Business Uscite]],Data!$I723=SottocategorieUscite[[#Headers],[Banca]]),"$ -","")</f>
        <v/>
      </c>
      <c r="M723" s="59" t="str">
        <f>IF(OR($I723&lt;&gt;SottocategorieUscite[[#Headers],[Fuori Casa]],$I723&lt;&gt;SottocategorieUscite[[#Headers],[Varie Uscite]],$I723&lt;&gt;SottocategorieUscite[[#Headers],[Personali]],$I723&lt;&gt;SottocategorieUscite[[#Headers],[Lavoro]],$I723&lt;&gt;SottocategorieUscite[[#Headers],[Casa]],$I723&lt;&gt;SottocategorieUscite[[#Headers],[Utenze]],$I723&lt;&gt;SottocategorieUscite[[#Headers],[Business Uscite]],$I723&lt;&gt;SottocategorieUscite[[#Headers],[Banca]]),"","$ -")</f>
        <v/>
      </c>
      <c r="N723" s="59" t="str">
        <f>IF(OR(Data!$I723=SottocategorieEntrate[[#Headers],[Business Entrate]],Data!$I723=SottocategorieEntrate[[#Headers],[Varie Entrate]]),"$ -","")</f>
        <v/>
      </c>
      <c r="O723" s="59" t="str">
        <f>IF(OR(Data!$I723=SottocategorieEntrate[[#Headers],[Real Estate]],SottocategorieEntrate[[#Headers],[Other]]),"$ -","")</f>
        <v/>
      </c>
      <c r="P723" s="59" t="str">
        <f>IF(OR($I723&lt;&gt;SottocategorieEntrate[[#Headers],[Business Entrate]],$I723&lt;&gt;SottocategorieEntrate[[#Headers],[Varie Entrate]],$I723&lt;&gt;SottocategorieEntrate[[#Headers],[Real Estate]],$I723&lt;&gt;SottocategorieEntrate[[#Headers],[Other]]),"","$ -")</f>
        <v/>
      </c>
      <c r="Q723" s="59" t="str">
        <f>IF(Dati[[#This Row],[Categoria]]="Prelievo","€ -","")</f>
        <v/>
      </c>
      <c r="R723" s="244"/>
      <c r="S723" s="59" t="str">
        <f>IF(Dati[[#This Row],[Categoria]]="Savings",0,"")</f>
        <v/>
      </c>
      <c r="T723" s="59"/>
      <c r="U723" s="59"/>
      <c r="V723" s="59"/>
      <c r="W723" s="59"/>
      <c r="X723" s="59"/>
      <c r="Y723" s="59"/>
      <c r="Z723" s="59"/>
      <c r="AA723" s="59"/>
      <c r="AB723" s="59"/>
      <c r="AC723" s="59"/>
      <c r="AD723" s="59"/>
      <c r="AE723" s="59"/>
      <c r="AF723" s="59"/>
      <c r="AG723" s="59"/>
      <c r="AH723" s="59"/>
      <c r="AI723" s="59" t="str">
        <f>IF(SUM(Dati[[#This Row],[Inv. Business]:[Inv. Cryptocurrency]])=0," ",SUM(Dati[[#This Row],[Inv. Business]:[Inv. Cryptocurrency]]))</f>
        <v xml:space="preserve"> </v>
      </c>
      <c r="AJ723" s="59"/>
      <c r="AK723" s="59"/>
      <c r="AL723" s="59"/>
      <c r="AM723" s="59"/>
    </row>
    <row r="724" spans="2:39" x14ac:dyDescent="0.35">
      <c r="B724" s="237">
        <f t="shared" si="36"/>
        <v>704</v>
      </c>
      <c r="C724" s="49">
        <f t="shared" si="35"/>
        <v>45453</v>
      </c>
      <c r="D724" s="29">
        <f>DAY(Dati[[#This Row],[Data]])</f>
        <v>10</v>
      </c>
      <c r="E724" s="29" t="str">
        <f>IF(DAY(Data!$C$21:$C$1327)&gt;0,TEXT(Data!$C$21:$C$1327, "mmmm"),"")</f>
        <v>giugno</v>
      </c>
      <c r="F724" s="29" t="str">
        <f>IF(DAY(Data!$C$21:$C$1327)&gt;0,TEXT(Data!$C$21:$C$1327, "aaaa"),"")</f>
        <v>2024</v>
      </c>
      <c r="I724" t="str">
        <f>IF(OR(H724=$B$5,H724=$B$6,H724=$B$7,H724=$B$8,H724=$B$9,H724=$B$10,H724=$B$11,H724=$B$12,H724=$B$13,H724=$B$14),SottocategorieUscite[[#Headers],[Fuori Casa]],IF(OR(H724=$C$5,H724=$C$6,H724=$C$7,H724=$C$8,H724=$C$9,H724=$C$10,H724=$C$11,H724=$C$12,H724=$C$13,H724=$C$14),SottocategorieUscite[[#Headers],[Varie Uscite]],IF(OR(H724=$D$5,H724=$D$6,H724=$D$7,H724=$D$8,H724=$D$9,H724=$D$10,H724=$D$11,H724=$D$12,H724=$D$13,H724=$D$14),SottocategorieUscite[[#Headers],[Personali]],IF(OR(H724=$E$5,H724=$E$6,H724=$E$7,H724=$E$8,H724=$E$9,H724=$E$10,H724=$E$11,H724=$E$12,H724=$E$13,H724=$E$14),SottocategorieUscite[[#Headers],[Lavoro]],IF(OR(H724=$F$5,H724=$F$6,H724=$F$7,H724=$F$8,H724=$F$9,H724=$F$10,H724=$F$11,H724=$F$12,H724=$F$13,H724=$F$14),SottocategorieUscite[[#Headers],[Casa]],IF(OR(H724=$G$5,H724=$G$6,H724=$G$7,H724=$G$8,H724=$G$9,H724=$G$10,H724=$G$11,H724=$G$12,H724=$G$13,H724=$G$14),SottocategorieUscite[[#Headers],[Utenze]],IF(OR(H724=$H$5,H724=$H$6,H724=$H$7,H724=$H$8,H724=$H$9,H724=$H$10,H724=$H$11,H724=$H$12,H724=$H$13,H724=$H$14),SottocategorieUscite[[#Headers],[Business Uscite]],IF(OR(H724=$I$5,H724=$I$6,H724=$I$7,H724=$I$8,H724=$I$9,H724=$I$10,H724=$I$11,H724=$I$12,H724=$I$13,H724=$I$14),SottocategorieUscite[[#Headers],[Banca]],IF(OR(H724=K$5,H724=K$6,H724=K$7,H724=K$8,H724=K$9,H724=K$10,H724=K$11,H724=K$12,H724=K$13,H724=K$14),SottocategorieEntrate[[#Headers],[Business Entrate]],IF(OR(H724=L$5,H724=L$6,H724=L$7,H724=L$8,H724=L$9,H724=L$10,H724=L$11,H724=L$12,H724=L$13,H724=L$14),SottocategorieEntrate[[#Headers],[Varie Entrate]],IF(OR(H724=M$5,H724=M$6,H724=M$7,H724=M$8,H724=M$9,H724=M$10,H724=M$11,H724=M$12,H724=M$13,H724=M$14),SottocategorieEntrate[[#Headers],[Real Estate]],IF(OR(H724=N$5,H724=N$6,H724=N$7,H724=N$8,H724=N$9,H724=N$10,H724=N$11,H724=N$12,H724=N$13,H724=N$14),SottocategorieEntrate[[#Headers],[Other]],""))))))))))))</f>
        <v/>
      </c>
      <c r="J724" t="str">
        <f>IF(OR(Dati[[#This Row],[Categoria]]="Bollette",Dati[[#This Row],[Categoria]]="Conto &amp; Carte BNL",Dati[[#This Row],[Categoria]]="Prelievo",Dati[[#This Row],[Categoria]]="Affitto",Dati[[#This Row],[Categoria]]="BNL(Interessi Creditori)"),"Carta",IF(Dati[[#This Row],[Categoria]]&lt;&gt;0,"Cash",""))</f>
        <v/>
      </c>
      <c r="K724" s="59" t="str">
        <f>IF(OR(Data!$I724=SottocategorieUscite[[#Headers],[Fuori Casa]],Data!$I724=SottocategorieUscite[[#Headers],[Varie Uscite]],Data!$I724=SottocategorieUscite[[#Headers],[Personali]],Data!$I724=SottocategorieUscite[[#Headers],[Lavoro]]),"$ -","")</f>
        <v/>
      </c>
      <c r="L724" s="59" t="str">
        <f>IF(OR(Data!$I724=SottocategorieUscite[[#Headers],[Casa]],Data!$I724=SottocategorieUscite[[#Headers],[Utenze]],Data!$I724=SottocategorieUscite[[#Headers],[Business Uscite]],Data!$I724=SottocategorieUscite[[#Headers],[Banca]]),"$ -","")</f>
        <v/>
      </c>
      <c r="M724" s="59" t="str">
        <f>IF(OR($I724&lt;&gt;SottocategorieUscite[[#Headers],[Fuori Casa]],$I724&lt;&gt;SottocategorieUscite[[#Headers],[Varie Uscite]],$I724&lt;&gt;SottocategorieUscite[[#Headers],[Personali]],$I724&lt;&gt;SottocategorieUscite[[#Headers],[Lavoro]],$I724&lt;&gt;SottocategorieUscite[[#Headers],[Casa]],$I724&lt;&gt;SottocategorieUscite[[#Headers],[Utenze]],$I724&lt;&gt;SottocategorieUscite[[#Headers],[Business Uscite]],$I724&lt;&gt;SottocategorieUscite[[#Headers],[Banca]]),"","$ -")</f>
        <v/>
      </c>
      <c r="N724" s="59" t="str">
        <f>IF(OR(Data!$I724=SottocategorieEntrate[[#Headers],[Business Entrate]],Data!$I724=SottocategorieEntrate[[#Headers],[Varie Entrate]]),"$ -","")</f>
        <v/>
      </c>
      <c r="O724" s="59" t="str">
        <f>IF(OR(Data!$I724=SottocategorieEntrate[[#Headers],[Real Estate]],SottocategorieEntrate[[#Headers],[Other]]),"$ -","")</f>
        <v/>
      </c>
      <c r="P724" s="59" t="str">
        <f>IF(OR($I724&lt;&gt;SottocategorieEntrate[[#Headers],[Business Entrate]],$I724&lt;&gt;SottocategorieEntrate[[#Headers],[Varie Entrate]],$I724&lt;&gt;SottocategorieEntrate[[#Headers],[Real Estate]],$I724&lt;&gt;SottocategorieEntrate[[#Headers],[Other]]),"","$ -")</f>
        <v/>
      </c>
      <c r="Q724" s="59" t="str">
        <f>IF(Dati[[#This Row],[Categoria]]="Prelievo","€ -","")</f>
        <v/>
      </c>
      <c r="R724" s="244"/>
      <c r="S724" s="59" t="str">
        <f>IF(Dati[[#This Row],[Categoria]]="Savings",0,"")</f>
        <v/>
      </c>
      <c r="T724" s="59"/>
      <c r="U724" s="59"/>
      <c r="V724" s="59"/>
      <c r="W724" s="59"/>
      <c r="X724" s="59"/>
      <c r="Y724" s="59"/>
      <c r="Z724" s="59"/>
      <c r="AA724" s="59"/>
      <c r="AB724" s="59"/>
      <c r="AC724" s="59"/>
      <c r="AD724" s="59"/>
      <c r="AE724" s="59"/>
      <c r="AF724" s="59"/>
      <c r="AG724" s="59"/>
      <c r="AH724" s="59"/>
      <c r="AI724" s="59" t="str">
        <f>IF(SUM(Dati[[#This Row],[Inv. Business]:[Inv. Cryptocurrency]])=0," ",SUM(Dati[[#This Row],[Inv. Business]:[Inv. Cryptocurrency]]))</f>
        <v xml:space="preserve"> </v>
      </c>
      <c r="AJ724" s="59"/>
      <c r="AK724" s="59"/>
      <c r="AL724" s="59"/>
      <c r="AM724" s="59"/>
    </row>
    <row r="725" spans="2:39" x14ac:dyDescent="0.35">
      <c r="B725" s="237">
        <f t="shared" ref="B725:B756" si="37">ROW(705:705)</f>
        <v>705</v>
      </c>
      <c r="C725" s="49">
        <f t="shared" si="35"/>
        <v>45454</v>
      </c>
      <c r="D725" s="29">
        <f>DAY(Dati[[#This Row],[Data]])</f>
        <v>11</v>
      </c>
      <c r="E725" s="29" t="str">
        <f>IF(DAY(Data!$C$21:$C$1327)&gt;0,TEXT(Data!$C$21:$C$1327, "mmmm"),"")</f>
        <v>giugno</v>
      </c>
      <c r="F725" s="29" t="str">
        <f>IF(DAY(Data!$C$21:$C$1327)&gt;0,TEXT(Data!$C$21:$C$1327, "aaaa"),"")</f>
        <v>2024</v>
      </c>
      <c r="I725" t="str">
        <f>IF(OR(H725=$B$5,H725=$B$6,H725=$B$7,H725=$B$8,H725=$B$9,H725=$B$10,H725=$B$11,H725=$B$12,H725=$B$13,H725=$B$14),SottocategorieUscite[[#Headers],[Fuori Casa]],IF(OR(H725=$C$5,H725=$C$6,H725=$C$7,H725=$C$8,H725=$C$9,H725=$C$10,H725=$C$11,H725=$C$12,H725=$C$13,H725=$C$14),SottocategorieUscite[[#Headers],[Varie Uscite]],IF(OR(H725=$D$5,H725=$D$6,H725=$D$7,H725=$D$8,H725=$D$9,H725=$D$10,H725=$D$11,H725=$D$12,H725=$D$13,H725=$D$14),SottocategorieUscite[[#Headers],[Personali]],IF(OR(H725=$E$5,H725=$E$6,H725=$E$7,H725=$E$8,H725=$E$9,H725=$E$10,H725=$E$11,H725=$E$12,H725=$E$13,H725=$E$14),SottocategorieUscite[[#Headers],[Lavoro]],IF(OR(H725=$F$5,H725=$F$6,H725=$F$7,H725=$F$8,H725=$F$9,H725=$F$10,H725=$F$11,H725=$F$12,H725=$F$13,H725=$F$14),SottocategorieUscite[[#Headers],[Casa]],IF(OR(H725=$G$5,H725=$G$6,H725=$G$7,H725=$G$8,H725=$G$9,H725=$G$10,H725=$G$11,H725=$G$12,H725=$G$13,H725=$G$14),SottocategorieUscite[[#Headers],[Utenze]],IF(OR(H725=$H$5,H725=$H$6,H725=$H$7,H725=$H$8,H725=$H$9,H725=$H$10,H725=$H$11,H725=$H$12,H725=$H$13,H725=$H$14),SottocategorieUscite[[#Headers],[Business Uscite]],IF(OR(H725=$I$5,H725=$I$6,H725=$I$7,H725=$I$8,H725=$I$9,H725=$I$10,H725=$I$11,H725=$I$12,H725=$I$13,H725=$I$14),SottocategorieUscite[[#Headers],[Banca]],IF(OR(H725=K$5,H725=K$6,H725=K$7,H725=K$8,H725=K$9,H725=K$10,H725=K$11,H725=K$12,H725=K$13,H725=K$14),SottocategorieEntrate[[#Headers],[Business Entrate]],IF(OR(H725=L$5,H725=L$6,H725=L$7,H725=L$8,H725=L$9,H725=L$10,H725=L$11,H725=L$12,H725=L$13,H725=L$14),SottocategorieEntrate[[#Headers],[Varie Entrate]],IF(OR(H725=M$5,H725=M$6,H725=M$7,H725=M$8,H725=M$9,H725=M$10,H725=M$11,H725=M$12,H725=M$13,H725=M$14),SottocategorieEntrate[[#Headers],[Real Estate]],IF(OR(H725=N$5,H725=N$6,H725=N$7,H725=N$8,H725=N$9,H725=N$10,H725=N$11,H725=N$12,H725=N$13,H725=N$14),SottocategorieEntrate[[#Headers],[Other]],""))))))))))))</f>
        <v/>
      </c>
      <c r="J725" t="str">
        <f>IF(OR(Dati[[#This Row],[Categoria]]="Bollette",Dati[[#This Row],[Categoria]]="Conto &amp; Carte BNL",Dati[[#This Row],[Categoria]]="Prelievo",Dati[[#This Row],[Categoria]]="Affitto",Dati[[#This Row],[Categoria]]="BNL(Interessi Creditori)"),"Carta",IF(Dati[[#This Row],[Categoria]]&lt;&gt;0,"Cash",""))</f>
        <v/>
      </c>
      <c r="K725" s="59" t="str">
        <f>IF(OR(Data!$I725=SottocategorieUscite[[#Headers],[Fuori Casa]],Data!$I725=SottocategorieUscite[[#Headers],[Varie Uscite]],Data!$I725=SottocategorieUscite[[#Headers],[Personali]],Data!$I725=SottocategorieUscite[[#Headers],[Lavoro]]),"$ -","")</f>
        <v/>
      </c>
      <c r="L725" s="59" t="str">
        <f>IF(OR(Data!$I725=SottocategorieUscite[[#Headers],[Casa]],Data!$I725=SottocategorieUscite[[#Headers],[Utenze]],Data!$I725=SottocategorieUscite[[#Headers],[Business Uscite]],Data!$I725=SottocategorieUscite[[#Headers],[Banca]]),"$ -","")</f>
        <v/>
      </c>
      <c r="M725" s="59" t="str">
        <f>IF(OR($I725&lt;&gt;SottocategorieUscite[[#Headers],[Fuori Casa]],$I725&lt;&gt;SottocategorieUscite[[#Headers],[Varie Uscite]],$I725&lt;&gt;SottocategorieUscite[[#Headers],[Personali]],$I725&lt;&gt;SottocategorieUscite[[#Headers],[Lavoro]],$I725&lt;&gt;SottocategorieUscite[[#Headers],[Casa]],$I725&lt;&gt;SottocategorieUscite[[#Headers],[Utenze]],$I725&lt;&gt;SottocategorieUscite[[#Headers],[Business Uscite]],$I725&lt;&gt;SottocategorieUscite[[#Headers],[Banca]]),"","$ -")</f>
        <v/>
      </c>
      <c r="N725" s="59" t="str">
        <f>IF(OR(Data!$I725=SottocategorieEntrate[[#Headers],[Business Entrate]],Data!$I725=SottocategorieEntrate[[#Headers],[Varie Entrate]]),"$ -","")</f>
        <v/>
      </c>
      <c r="O725" s="59" t="str">
        <f>IF(OR(Data!$I725=SottocategorieEntrate[[#Headers],[Real Estate]],SottocategorieEntrate[[#Headers],[Other]]),"$ -","")</f>
        <v/>
      </c>
      <c r="P725" s="59" t="str">
        <f>IF(OR($I725&lt;&gt;SottocategorieEntrate[[#Headers],[Business Entrate]],$I725&lt;&gt;SottocategorieEntrate[[#Headers],[Varie Entrate]],$I725&lt;&gt;SottocategorieEntrate[[#Headers],[Real Estate]],$I725&lt;&gt;SottocategorieEntrate[[#Headers],[Other]]),"","$ -")</f>
        <v/>
      </c>
      <c r="Q725" s="59" t="str">
        <f>IF(Dati[[#This Row],[Categoria]]="Prelievo","€ -","")</f>
        <v/>
      </c>
      <c r="R725" s="244"/>
      <c r="S725" s="59" t="str">
        <f>IF(Dati[[#This Row],[Categoria]]="Savings",0,"")</f>
        <v/>
      </c>
      <c r="T725" s="59"/>
      <c r="U725" s="59"/>
      <c r="V725" s="59"/>
      <c r="W725" s="59"/>
      <c r="X725" s="59"/>
      <c r="Y725" s="59"/>
      <c r="Z725" s="59"/>
      <c r="AA725" s="59"/>
      <c r="AB725" s="59"/>
      <c r="AC725" s="59"/>
      <c r="AD725" s="59"/>
      <c r="AE725" s="59"/>
      <c r="AF725" s="59"/>
      <c r="AG725" s="59"/>
      <c r="AH725" s="59"/>
      <c r="AI725" s="59" t="str">
        <f>IF(SUM(Dati[[#This Row],[Inv. Business]:[Inv. Cryptocurrency]])=0," ",SUM(Dati[[#This Row],[Inv. Business]:[Inv. Cryptocurrency]]))</f>
        <v xml:space="preserve"> </v>
      </c>
      <c r="AJ725" s="59"/>
      <c r="AK725" s="59"/>
      <c r="AL725" s="59"/>
      <c r="AM725" s="59"/>
    </row>
    <row r="726" spans="2:39" x14ac:dyDescent="0.35">
      <c r="B726" s="237">
        <f t="shared" si="37"/>
        <v>706</v>
      </c>
      <c r="C726" s="49">
        <f t="shared" si="35"/>
        <v>45455</v>
      </c>
      <c r="D726" s="29">
        <f>DAY(Dati[[#This Row],[Data]])</f>
        <v>12</v>
      </c>
      <c r="E726" s="29" t="str">
        <f>IF(DAY(Data!$C$21:$C$1327)&gt;0,TEXT(Data!$C$21:$C$1327, "mmmm"),"")</f>
        <v>giugno</v>
      </c>
      <c r="F726" s="29" t="str">
        <f>IF(DAY(Data!$C$21:$C$1327)&gt;0,TEXT(Data!$C$21:$C$1327, "aaaa"),"")</f>
        <v>2024</v>
      </c>
      <c r="I726" t="str">
        <f>IF(OR(H726=$B$5,H726=$B$6,H726=$B$7,H726=$B$8,H726=$B$9,H726=$B$10,H726=$B$11,H726=$B$12,H726=$B$13,H726=$B$14),SottocategorieUscite[[#Headers],[Fuori Casa]],IF(OR(H726=$C$5,H726=$C$6,H726=$C$7,H726=$C$8,H726=$C$9,H726=$C$10,H726=$C$11,H726=$C$12,H726=$C$13,H726=$C$14),SottocategorieUscite[[#Headers],[Varie Uscite]],IF(OR(H726=$D$5,H726=$D$6,H726=$D$7,H726=$D$8,H726=$D$9,H726=$D$10,H726=$D$11,H726=$D$12,H726=$D$13,H726=$D$14),SottocategorieUscite[[#Headers],[Personali]],IF(OR(H726=$E$5,H726=$E$6,H726=$E$7,H726=$E$8,H726=$E$9,H726=$E$10,H726=$E$11,H726=$E$12,H726=$E$13,H726=$E$14),SottocategorieUscite[[#Headers],[Lavoro]],IF(OR(H726=$F$5,H726=$F$6,H726=$F$7,H726=$F$8,H726=$F$9,H726=$F$10,H726=$F$11,H726=$F$12,H726=$F$13,H726=$F$14),SottocategorieUscite[[#Headers],[Casa]],IF(OR(H726=$G$5,H726=$G$6,H726=$G$7,H726=$G$8,H726=$G$9,H726=$G$10,H726=$G$11,H726=$G$12,H726=$G$13,H726=$G$14),SottocategorieUscite[[#Headers],[Utenze]],IF(OR(H726=$H$5,H726=$H$6,H726=$H$7,H726=$H$8,H726=$H$9,H726=$H$10,H726=$H$11,H726=$H$12,H726=$H$13,H726=$H$14),SottocategorieUscite[[#Headers],[Business Uscite]],IF(OR(H726=$I$5,H726=$I$6,H726=$I$7,H726=$I$8,H726=$I$9,H726=$I$10,H726=$I$11,H726=$I$12,H726=$I$13,H726=$I$14),SottocategorieUscite[[#Headers],[Banca]],IF(OR(H726=K$5,H726=K$6,H726=K$7,H726=K$8,H726=K$9,H726=K$10,H726=K$11,H726=K$12,H726=K$13,H726=K$14),SottocategorieEntrate[[#Headers],[Business Entrate]],IF(OR(H726=L$5,H726=L$6,H726=L$7,H726=L$8,H726=L$9,H726=L$10,H726=L$11,H726=L$12,H726=L$13,H726=L$14),SottocategorieEntrate[[#Headers],[Varie Entrate]],IF(OR(H726=M$5,H726=M$6,H726=M$7,H726=M$8,H726=M$9,H726=M$10,H726=M$11,H726=M$12,H726=M$13,H726=M$14),SottocategorieEntrate[[#Headers],[Real Estate]],IF(OR(H726=N$5,H726=N$6,H726=N$7,H726=N$8,H726=N$9,H726=N$10,H726=N$11,H726=N$12,H726=N$13,H726=N$14),SottocategorieEntrate[[#Headers],[Other]],""))))))))))))</f>
        <v/>
      </c>
      <c r="J726" t="str">
        <f>IF(OR(Dati[[#This Row],[Categoria]]="Bollette",Dati[[#This Row],[Categoria]]="Conto &amp; Carte BNL",Dati[[#This Row],[Categoria]]="Prelievo",Dati[[#This Row],[Categoria]]="Affitto",Dati[[#This Row],[Categoria]]="BNL(Interessi Creditori)"),"Carta",IF(Dati[[#This Row],[Categoria]]&lt;&gt;0,"Cash",""))</f>
        <v/>
      </c>
      <c r="K726" s="59" t="str">
        <f>IF(OR(Data!$I726=SottocategorieUscite[[#Headers],[Fuori Casa]],Data!$I726=SottocategorieUscite[[#Headers],[Varie Uscite]],Data!$I726=SottocategorieUscite[[#Headers],[Personali]],Data!$I726=SottocategorieUscite[[#Headers],[Lavoro]]),"$ -","")</f>
        <v/>
      </c>
      <c r="L726" s="59" t="str">
        <f>IF(OR(Data!$I726=SottocategorieUscite[[#Headers],[Casa]],Data!$I726=SottocategorieUscite[[#Headers],[Utenze]],Data!$I726=SottocategorieUscite[[#Headers],[Business Uscite]],Data!$I726=SottocategorieUscite[[#Headers],[Banca]]),"$ -","")</f>
        <v/>
      </c>
      <c r="M726" s="59" t="str">
        <f>IF(OR($I726&lt;&gt;SottocategorieUscite[[#Headers],[Fuori Casa]],$I726&lt;&gt;SottocategorieUscite[[#Headers],[Varie Uscite]],$I726&lt;&gt;SottocategorieUscite[[#Headers],[Personali]],$I726&lt;&gt;SottocategorieUscite[[#Headers],[Lavoro]],$I726&lt;&gt;SottocategorieUscite[[#Headers],[Casa]],$I726&lt;&gt;SottocategorieUscite[[#Headers],[Utenze]],$I726&lt;&gt;SottocategorieUscite[[#Headers],[Business Uscite]],$I726&lt;&gt;SottocategorieUscite[[#Headers],[Banca]]),"","$ -")</f>
        <v/>
      </c>
      <c r="N726" s="59" t="str">
        <f>IF(OR(Data!$I726=SottocategorieEntrate[[#Headers],[Business Entrate]],Data!$I726=SottocategorieEntrate[[#Headers],[Varie Entrate]]),"$ -","")</f>
        <v/>
      </c>
      <c r="O726" s="59" t="str">
        <f>IF(OR(Data!$I726=SottocategorieEntrate[[#Headers],[Real Estate]],SottocategorieEntrate[[#Headers],[Other]]),"$ -","")</f>
        <v/>
      </c>
      <c r="P726" s="59" t="str">
        <f>IF(OR($I726&lt;&gt;SottocategorieEntrate[[#Headers],[Business Entrate]],$I726&lt;&gt;SottocategorieEntrate[[#Headers],[Varie Entrate]],$I726&lt;&gt;SottocategorieEntrate[[#Headers],[Real Estate]],$I726&lt;&gt;SottocategorieEntrate[[#Headers],[Other]]),"","$ -")</f>
        <v/>
      </c>
      <c r="Q726" s="59" t="str">
        <f>IF(Dati[[#This Row],[Categoria]]="Prelievo","€ -","")</f>
        <v/>
      </c>
      <c r="R726" s="244"/>
      <c r="S726" s="59" t="str">
        <f>IF(Dati[[#This Row],[Categoria]]="Savings",0,"")</f>
        <v/>
      </c>
      <c r="T726" s="59"/>
      <c r="U726" s="59"/>
      <c r="V726" s="59"/>
      <c r="W726" s="59"/>
      <c r="X726" s="59"/>
      <c r="Y726" s="59"/>
      <c r="Z726" s="59"/>
      <c r="AA726" s="59"/>
      <c r="AB726" s="59"/>
      <c r="AC726" s="59"/>
      <c r="AD726" s="59"/>
      <c r="AE726" s="59"/>
      <c r="AF726" s="59"/>
      <c r="AG726" s="59"/>
      <c r="AH726" s="59"/>
      <c r="AI726" s="59" t="str">
        <f>IF(SUM(Dati[[#This Row],[Inv. Business]:[Inv. Cryptocurrency]])=0," ",SUM(Dati[[#This Row],[Inv. Business]:[Inv. Cryptocurrency]]))</f>
        <v xml:space="preserve"> </v>
      </c>
      <c r="AJ726" s="59"/>
      <c r="AK726" s="59"/>
      <c r="AL726" s="59"/>
      <c r="AM726" s="59"/>
    </row>
    <row r="727" spans="2:39" x14ac:dyDescent="0.35">
      <c r="B727" s="237">
        <f t="shared" si="37"/>
        <v>707</v>
      </c>
      <c r="C727" s="49">
        <f t="shared" si="35"/>
        <v>45456</v>
      </c>
      <c r="D727" s="29">
        <f>DAY(Dati[[#This Row],[Data]])</f>
        <v>13</v>
      </c>
      <c r="E727" s="29" t="str">
        <f>IF(DAY(Data!$C$21:$C$1327)&gt;0,TEXT(Data!$C$21:$C$1327, "mmmm"),"")</f>
        <v>giugno</v>
      </c>
      <c r="F727" s="29" t="str">
        <f>IF(DAY(Data!$C$21:$C$1327)&gt;0,TEXT(Data!$C$21:$C$1327, "aaaa"),"")</f>
        <v>2024</v>
      </c>
      <c r="I727" t="str">
        <f>IF(OR(H727=$B$5,H727=$B$6,H727=$B$7,H727=$B$8,H727=$B$9,H727=$B$10,H727=$B$11,H727=$B$12,H727=$B$13,H727=$B$14),SottocategorieUscite[[#Headers],[Fuori Casa]],IF(OR(H727=$C$5,H727=$C$6,H727=$C$7,H727=$C$8,H727=$C$9,H727=$C$10,H727=$C$11,H727=$C$12,H727=$C$13,H727=$C$14),SottocategorieUscite[[#Headers],[Varie Uscite]],IF(OR(H727=$D$5,H727=$D$6,H727=$D$7,H727=$D$8,H727=$D$9,H727=$D$10,H727=$D$11,H727=$D$12,H727=$D$13,H727=$D$14),SottocategorieUscite[[#Headers],[Personali]],IF(OR(H727=$E$5,H727=$E$6,H727=$E$7,H727=$E$8,H727=$E$9,H727=$E$10,H727=$E$11,H727=$E$12,H727=$E$13,H727=$E$14),SottocategorieUscite[[#Headers],[Lavoro]],IF(OR(H727=$F$5,H727=$F$6,H727=$F$7,H727=$F$8,H727=$F$9,H727=$F$10,H727=$F$11,H727=$F$12,H727=$F$13,H727=$F$14),SottocategorieUscite[[#Headers],[Casa]],IF(OR(H727=$G$5,H727=$G$6,H727=$G$7,H727=$G$8,H727=$G$9,H727=$G$10,H727=$G$11,H727=$G$12,H727=$G$13,H727=$G$14),SottocategorieUscite[[#Headers],[Utenze]],IF(OR(H727=$H$5,H727=$H$6,H727=$H$7,H727=$H$8,H727=$H$9,H727=$H$10,H727=$H$11,H727=$H$12,H727=$H$13,H727=$H$14),SottocategorieUscite[[#Headers],[Business Uscite]],IF(OR(H727=$I$5,H727=$I$6,H727=$I$7,H727=$I$8,H727=$I$9,H727=$I$10,H727=$I$11,H727=$I$12,H727=$I$13,H727=$I$14),SottocategorieUscite[[#Headers],[Banca]],IF(OR(H727=K$5,H727=K$6,H727=K$7,H727=K$8,H727=K$9,H727=K$10,H727=K$11,H727=K$12,H727=K$13,H727=K$14),SottocategorieEntrate[[#Headers],[Business Entrate]],IF(OR(H727=L$5,H727=L$6,H727=L$7,H727=L$8,H727=L$9,H727=L$10,H727=L$11,H727=L$12,H727=L$13,H727=L$14),SottocategorieEntrate[[#Headers],[Varie Entrate]],IF(OR(H727=M$5,H727=M$6,H727=M$7,H727=M$8,H727=M$9,H727=M$10,H727=M$11,H727=M$12,H727=M$13,H727=M$14),SottocategorieEntrate[[#Headers],[Real Estate]],IF(OR(H727=N$5,H727=N$6,H727=N$7,H727=N$8,H727=N$9,H727=N$10,H727=N$11,H727=N$12,H727=N$13,H727=N$14),SottocategorieEntrate[[#Headers],[Other]],""))))))))))))</f>
        <v/>
      </c>
      <c r="J727" t="str">
        <f>IF(OR(Dati[[#This Row],[Categoria]]="Bollette",Dati[[#This Row],[Categoria]]="Conto &amp; Carte BNL",Dati[[#This Row],[Categoria]]="Prelievo",Dati[[#This Row],[Categoria]]="Affitto",Dati[[#This Row],[Categoria]]="BNL(Interessi Creditori)"),"Carta",IF(Dati[[#This Row],[Categoria]]&lt;&gt;0,"Cash",""))</f>
        <v/>
      </c>
      <c r="K727" s="59" t="str">
        <f>IF(OR(Data!$I727=SottocategorieUscite[[#Headers],[Fuori Casa]],Data!$I727=SottocategorieUscite[[#Headers],[Varie Uscite]],Data!$I727=SottocategorieUscite[[#Headers],[Personali]],Data!$I727=SottocategorieUscite[[#Headers],[Lavoro]]),"$ -","")</f>
        <v/>
      </c>
      <c r="L727" s="59" t="str">
        <f>IF(OR(Data!$I727=SottocategorieUscite[[#Headers],[Casa]],Data!$I727=SottocategorieUscite[[#Headers],[Utenze]],Data!$I727=SottocategorieUscite[[#Headers],[Business Uscite]],Data!$I727=SottocategorieUscite[[#Headers],[Banca]]),"$ -","")</f>
        <v/>
      </c>
      <c r="M727" s="59" t="str">
        <f>IF(OR($I727&lt;&gt;SottocategorieUscite[[#Headers],[Fuori Casa]],$I727&lt;&gt;SottocategorieUscite[[#Headers],[Varie Uscite]],$I727&lt;&gt;SottocategorieUscite[[#Headers],[Personali]],$I727&lt;&gt;SottocategorieUscite[[#Headers],[Lavoro]],$I727&lt;&gt;SottocategorieUscite[[#Headers],[Casa]],$I727&lt;&gt;SottocategorieUscite[[#Headers],[Utenze]],$I727&lt;&gt;SottocategorieUscite[[#Headers],[Business Uscite]],$I727&lt;&gt;SottocategorieUscite[[#Headers],[Banca]]),"","$ -")</f>
        <v/>
      </c>
      <c r="N727" s="59" t="str">
        <f>IF(OR(Data!$I727=SottocategorieEntrate[[#Headers],[Business Entrate]],Data!$I727=SottocategorieEntrate[[#Headers],[Varie Entrate]]),"$ -","")</f>
        <v/>
      </c>
      <c r="O727" s="59" t="str">
        <f>IF(OR(Data!$I727=SottocategorieEntrate[[#Headers],[Real Estate]],SottocategorieEntrate[[#Headers],[Other]]),"$ -","")</f>
        <v/>
      </c>
      <c r="P727" s="59" t="str">
        <f>IF(OR($I727&lt;&gt;SottocategorieEntrate[[#Headers],[Business Entrate]],$I727&lt;&gt;SottocategorieEntrate[[#Headers],[Varie Entrate]],$I727&lt;&gt;SottocategorieEntrate[[#Headers],[Real Estate]],$I727&lt;&gt;SottocategorieEntrate[[#Headers],[Other]]),"","$ -")</f>
        <v/>
      </c>
      <c r="Q727" s="59" t="str">
        <f>IF(Dati[[#This Row],[Categoria]]="Prelievo","€ -","")</f>
        <v/>
      </c>
      <c r="R727" s="244"/>
      <c r="S727" s="59" t="str">
        <f>IF(Dati[[#This Row],[Categoria]]="Savings",0,"")</f>
        <v/>
      </c>
      <c r="T727" s="59"/>
      <c r="U727" s="59"/>
      <c r="V727" s="59"/>
      <c r="W727" s="59"/>
      <c r="X727" s="59"/>
      <c r="Y727" s="59"/>
      <c r="Z727" s="59"/>
      <c r="AA727" s="59"/>
      <c r="AB727" s="59"/>
      <c r="AC727" s="59"/>
      <c r="AD727" s="59"/>
      <c r="AE727" s="59"/>
      <c r="AF727" s="59"/>
      <c r="AG727" s="59"/>
      <c r="AH727" s="59"/>
      <c r="AI727" s="59" t="str">
        <f>IF(SUM(Dati[[#This Row],[Inv. Business]:[Inv. Cryptocurrency]])=0," ",SUM(Dati[[#This Row],[Inv. Business]:[Inv. Cryptocurrency]]))</f>
        <v xml:space="preserve"> </v>
      </c>
      <c r="AJ727" s="59"/>
      <c r="AK727" s="59"/>
      <c r="AL727" s="59"/>
      <c r="AM727" s="59"/>
    </row>
    <row r="728" spans="2:39" x14ac:dyDescent="0.35">
      <c r="B728" s="237">
        <f t="shared" si="37"/>
        <v>708</v>
      </c>
      <c r="C728" s="49">
        <f t="shared" si="35"/>
        <v>45457</v>
      </c>
      <c r="D728" s="29">
        <f>DAY(Dati[[#This Row],[Data]])</f>
        <v>14</v>
      </c>
      <c r="E728" s="29" t="str">
        <f>IF(DAY(Data!$C$21:$C$1327)&gt;0,TEXT(Data!$C$21:$C$1327, "mmmm"),"")</f>
        <v>giugno</v>
      </c>
      <c r="F728" s="29" t="str">
        <f>IF(DAY(Data!$C$21:$C$1327)&gt;0,TEXT(Data!$C$21:$C$1327, "aaaa"),"")</f>
        <v>2024</v>
      </c>
      <c r="I728" t="str">
        <f>IF(OR(H728=$B$5,H728=$B$6,H728=$B$7,H728=$B$8,H728=$B$9,H728=$B$10,H728=$B$11,H728=$B$12,H728=$B$13,H728=$B$14),SottocategorieUscite[[#Headers],[Fuori Casa]],IF(OR(H728=$C$5,H728=$C$6,H728=$C$7,H728=$C$8,H728=$C$9,H728=$C$10,H728=$C$11,H728=$C$12,H728=$C$13,H728=$C$14),SottocategorieUscite[[#Headers],[Varie Uscite]],IF(OR(H728=$D$5,H728=$D$6,H728=$D$7,H728=$D$8,H728=$D$9,H728=$D$10,H728=$D$11,H728=$D$12,H728=$D$13,H728=$D$14),SottocategorieUscite[[#Headers],[Personali]],IF(OR(H728=$E$5,H728=$E$6,H728=$E$7,H728=$E$8,H728=$E$9,H728=$E$10,H728=$E$11,H728=$E$12,H728=$E$13,H728=$E$14),SottocategorieUscite[[#Headers],[Lavoro]],IF(OR(H728=$F$5,H728=$F$6,H728=$F$7,H728=$F$8,H728=$F$9,H728=$F$10,H728=$F$11,H728=$F$12,H728=$F$13,H728=$F$14),SottocategorieUscite[[#Headers],[Casa]],IF(OR(H728=$G$5,H728=$G$6,H728=$G$7,H728=$G$8,H728=$G$9,H728=$G$10,H728=$G$11,H728=$G$12,H728=$G$13,H728=$G$14),SottocategorieUscite[[#Headers],[Utenze]],IF(OR(H728=$H$5,H728=$H$6,H728=$H$7,H728=$H$8,H728=$H$9,H728=$H$10,H728=$H$11,H728=$H$12,H728=$H$13,H728=$H$14),SottocategorieUscite[[#Headers],[Business Uscite]],IF(OR(H728=$I$5,H728=$I$6,H728=$I$7,H728=$I$8,H728=$I$9,H728=$I$10,H728=$I$11,H728=$I$12,H728=$I$13,H728=$I$14),SottocategorieUscite[[#Headers],[Banca]],IF(OR(H728=K$5,H728=K$6,H728=K$7,H728=K$8,H728=K$9,H728=K$10,H728=K$11,H728=K$12,H728=K$13,H728=K$14),SottocategorieEntrate[[#Headers],[Business Entrate]],IF(OR(H728=L$5,H728=L$6,H728=L$7,H728=L$8,H728=L$9,H728=L$10,H728=L$11,H728=L$12,H728=L$13,H728=L$14),SottocategorieEntrate[[#Headers],[Varie Entrate]],IF(OR(H728=M$5,H728=M$6,H728=M$7,H728=M$8,H728=M$9,H728=M$10,H728=M$11,H728=M$12,H728=M$13,H728=M$14),SottocategorieEntrate[[#Headers],[Real Estate]],IF(OR(H728=N$5,H728=N$6,H728=N$7,H728=N$8,H728=N$9,H728=N$10,H728=N$11,H728=N$12,H728=N$13,H728=N$14),SottocategorieEntrate[[#Headers],[Other]],""))))))))))))</f>
        <v/>
      </c>
      <c r="J728" t="str">
        <f>IF(OR(Dati[[#This Row],[Categoria]]="Bollette",Dati[[#This Row],[Categoria]]="Conto &amp; Carte BNL",Dati[[#This Row],[Categoria]]="Prelievo",Dati[[#This Row],[Categoria]]="Affitto",Dati[[#This Row],[Categoria]]="BNL(Interessi Creditori)"),"Carta",IF(Dati[[#This Row],[Categoria]]&lt;&gt;0,"Cash",""))</f>
        <v/>
      </c>
      <c r="K728" s="59" t="str">
        <f>IF(OR(Data!$I728=SottocategorieUscite[[#Headers],[Fuori Casa]],Data!$I728=SottocategorieUscite[[#Headers],[Varie Uscite]],Data!$I728=SottocategorieUscite[[#Headers],[Personali]],Data!$I728=SottocategorieUscite[[#Headers],[Lavoro]]),"$ -","")</f>
        <v/>
      </c>
      <c r="L728" s="59" t="str">
        <f>IF(OR(Data!$I728=SottocategorieUscite[[#Headers],[Casa]],Data!$I728=SottocategorieUscite[[#Headers],[Utenze]],Data!$I728=SottocategorieUscite[[#Headers],[Business Uscite]],Data!$I728=SottocategorieUscite[[#Headers],[Banca]]),"$ -","")</f>
        <v/>
      </c>
      <c r="M728" s="59" t="str">
        <f>IF(OR($I728&lt;&gt;SottocategorieUscite[[#Headers],[Fuori Casa]],$I728&lt;&gt;SottocategorieUscite[[#Headers],[Varie Uscite]],$I728&lt;&gt;SottocategorieUscite[[#Headers],[Personali]],$I728&lt;&gt;SottocategorieUscite[[#Headers],[Lavoro]],$I728&lt;&gt;SottocategorieUscite[[#Headers],[Casa]],$I728&lt;&gt;SottocategorieUscite[[#Headers],[Utenze]],$I728&lt;&gt;SottocategorieUscite[[#Headers],[Business Uscite]],$I728&lt;&gt;SottocategorieUscite[[#Headers],[Banca]]),"","$ -")</f>
        <v/>
      </c>
      <c r="N728" s="59" t="str">
        <f>IF(OR(Data!$I728=SottocategorieEntrate[[#Headers],[Business Entrate]],Data!$I728=SottocategorieEntrate[[#Headers],[Varie Entrate]]),"$ -","")</f>
        <v/>
      </c>
      <c r="O728" s="59" t="str">
        <f>IF(OR(Data!$I728=SottocategorieEntrate[[#Headers],[Real Estate]],SottocategorieEntrate[[#Headers],[Other]]),"$ -","")</f>
        <v/>
      </c>
      <c r="P728" s="59" t="str">
        <f>IF(OR($I728&lt;&gt;SottocategorieEntrate[[#Headers],[Business Entrate]],$I728&lt;&gt;SottocategorieEntrate[[#Headers],[Varie Entrate]],$I728&lt;&gt;SottocategorieEntrate[[#Headers],[Real Estate]],$I728&lt;&gt;SottocategorieEntrate[[#Headers],[Other]]),"","$ -")</f>
        <v/>
      </c>
      <c r="Q728" s="59" t="str">
        <f>IF(Dati[[#This Row],[Categoria]]="Prelievo","€ -","")</f>
        <v/>
      </c>
      <c r="R728" s="244"/>
      <c r="S728" s="59" t="str">
        <f>IF(Dati[[#This Row],[Categoria]]="Savings",0,"")</f>
        <v/>
      </c>
      <c r="T728" s="59"/>
      <c r="U728" s="59"/>
      <c r="V728" s="59"/>
      <c r="W728" s="59"/>
      <c r="X728" s="59"/>
      <c r="Y728" s="59"/>
      <c r="Z728" s="59"/>
      <c r="AA728" s="59"/>
      <c r="AB728" s="59"/>
      <c r="AC728" s="59"/>
      <c r="AD728" s="59"/>
      <c r="AE728" s="59"/>
      <c r="AF728" s="59"/>
      <c r="AG728" s="59"/>
      <c r="AH728" s="59"/>
      <c r="AI728" s="59" t="str">
        <f>IF(SUM(Dati[[#This Row],[Inv. Business]:[Inv. Cryptocurrency]])=0," ",SUM(Dati[[#This Row],[Inv. Business]:[Inv. Cryptocurrency]]))</f>
        <v xml:space="preserve"> </v>
      </c>
      <c r="AJ728" s="59"/>
      <c r="AK728" s="59"/>
      <c r="AL728" s="59"/>
      <c r="AM728" s="59"/>
    </row>
    <row r="729" spans="2:39" x14ac:dyDescent="0.35">
      <c r="B729" s="237">
        <f t="shared" si="37"/>
        <v>709</v>
      </c>
      <c r="C729" s="49">
        <f t="shared" si="35"/>
        <v>45458</v>
      </c>
      <c r="D729" s="29">
        <f>DAY(Dati[[#This Row],[Data]])</f>
        <v>15</v>
      </c>
      <c r="E729" s="29" t="str">
        <f>IF(DAY(Data!$C$21:$C$1327)&gt;0,TEXT(Data!$C$21:$C$1327, "mmmm"),"")</f>
        <v>giugno</v>
      </c>
      <c r="F729" s="29" t="str">
        <f>IF(DAY(Data!$C$21:$C$1327)&gt;0,TEXT(Data!$C$21:$C$1327, "aaaa"),"")</f>
        <v>2024</v>
      </c>
      <c r="I729" t="str">
        <f>IF(OR(H729=$B$5,H729=$B$6,H729=$B$7,H729=$B$8,H729=$B$9,H729=$B$10,H729=$B$11,H729=$B$12,H729=$B$13,H729=$B$14),SottocategorieUscite[[#Headers],[Fuori Casa]],IF(OR(H729=$C$5,H729=$C$6,H729=$C$7,H729=$C$8,H729=$C$9,H729=$C$10,H729=$C$11,H729=$C$12,H729=$C$13,H729=$C$14),SottocategorieUscite[[#Headers],[Varie Uscite]],IF(OR(H729=$D$5,H729=$D$6,H729=$D$7,H729=$D$8,H729=$D$9,H729=$D$10,H729=$D$11,H729=$D$12,H729=$D$13,H729=$D$14),SottocategorieUscite[[#Headers],[Personali]],IF(OR(H729=$E$5,H729=$E$6,H729=$E$7,H729=$E$8,H729=$E$9,H729=$E$10,H729=$E$11,H729=$E$12,H729=$E$13,H729=$E$14),SottocategorieUscite[[#Headers],[Lavoro]],IF(OR(H729=$F$5,H729=$F$6,H729=$F$7,H729=$F$8,H729=$F$9,H729=$F$10,H729=$F$11,H729=$F$12,H729=$F$13,H729=$F$14),SottocategorieUscite[[#Headers],[Casa]],IF(OR(H729=$G$5,H729=$G$6,H729=$G$7,H729=$G$8,H729=$G$9,H729=$G$10,H729=$G$11,H729=$G$12,H729=$G$13,H729=$G$14),SottocategorieUscite[[#Headers],[Utenze]],IF(OR(H729=$H$5,H729=$H$6,H729=$H$7,H729=$H$8,H729=$H$9,H729=$H$10,H729=$H$11,H729=$H$12,H729=$H$13,H729=$H$14),SottocategorieUscite[[#Headers],[Business Uscite]],IF(OR(H729=$I$5,H729=$I$6,H729=$I$7,H729=$I$8,H729=$I$9,H729=$I$10,H729=$I$11,H729=$I$12,H729=$I$13,H729=$I$14),SottocategorieUscite[[#Headers],[Banca]],IF(OR(H729=K$5,H729=K$6,H729=K$7,H729=K$8,H729=K$9,H729=K$10,H729=K$11,H729=K$12,H729=K$13,H729=K$14),SottocategorieEntrate[[#Headers],[Business Entrate]],IF(OR(H729=L$5,H729=L$6,H729=L$7,H729=L$8,H729=L$9,H729=L$10,H729=L$11,H729=L$12,H729=L$13,H729=L$14),SottocategorieEntrate[[#Headers],[Varie Entrate]],IF(OR(H729=M$5,H729=M$6,H729=M$7,H729=M$8,H729=M$9,H729=M$10,H729=M$11,H729=M$12,H729=M$13,H729=M$14),SottocategorieEntrate[[#Headers],[Real Estate]],IF(OR(H729=N$5,H729=N$6,H729=N$7,H729=N$8,H729=N$9,H729=N$10,H729=N$11,H729=N$12,H729=N$13,H729=N$14),SottocategorieEntrate[[#Headers],[Other]],""))))))))))))</f>
        <v/>
      </c>
      <c r="J729" t="str">
        <f>IF(OR(Dati[[#This Row],[Categoria]]="Bollette",Dati[[#This Row],[Categoria]]="Conto &amp; Carte BNL",Dati[[#This Row],[Categoria]]="Prelievo",Dati[[#This Row],[Categoria]]="Affitto",Dati[[#This Row],[Categoria]]="BNL(Interessi Creditori)"),"Carta",IF(Dati[[#This Row],[Categoria]]&lt;&gt;0,"Cash",""))</f>
        <v/>
      </c>
      <c r="K729" s="59" t="str">
        <f>IF(OR(Data!$I729=SottocategorieUscite[[#Headers],[Fuori Casa]],Data!$I729=SottocategorieUscite[[#Headers],[Varie Uscite]],Data!$I729=SottocategorieUscite[[#Headers],[Personali]],Data!$I729=SottocategorieUscite[[#Headers],[Lavoro]]),"$ -","")</f>
        <v/>
      </c>
      <c r="L729" s="59" t="str">
        <f>IF(OR(Data!$I729=SottocategorieUscite[[#Headers],[Casa]],Data!$I729=SottocategorieUscite[[#Headers],[Utenze]],Data!$I729=SottocategorieUscite[[#Headers],[Business Uscite]],Data!$I729=SottocategorieUscite[[#Headers],[Banca]]),"$ -","")</f>
        <v/>
      </c>
      <c r="M729" s="59" t="str">
        <f>IF(OR($I729&lt;&gt;SottocategorieUscite[[#Headers],[Fuori Casa]],$I729&lt;&gt;SottocategorieUscite[[#Headers],[Varie Uscite]],$I729&lt;&gt;SottocategorieUscite[[#Headers],[Personali]],$I729&lt;&gt;SottocategorieUscite[[#Headers],[Lavoro]],$I729&lt;&gt;SottocategorieUscite[[#Headers],[Casa]],$I729&lt;&gt;SottocategorieUscite[[#Headers],[Utenze]],$I729&lt;&gt;SottocategorieUscite[[#Headers],[Business Uscite]],$I729&lt;&gt;SottocategorieUscite[[#Headers],[Banca]]),"","$ -")</f>
        <v/>
      </c>
      <c r="N729" s="59" t="str">
        <f>IF(OR(Data!$I729=SottocategorieEntrate[[#Headers],[Business Entrate]],Data!$I729=SottocategorieEntrate[[#Headers],[Varie Entrate]]),"$ -","")</f>
        <v/>
      </c>
      <c r="O729" s="59" t="str">
        <f>IF(OR(Data!$I729=SottocategorieEntrate[[#Headers],[Real Estate]],SottocategorieEntrate[[#Headers],[Other]]),"$ -","")</f>
        <v/>
      </c>
      <c r="P729" s="59" t="str">
        <f>IF(OR($I729&lt;&gt;SottocategorieEntrate[[#Headers],[Business Entrate]],$I729&lt;&gt;SottocategorieEntrate[[#Headers],[Varie Entrate]],$I729&lt;&gt;SottocategorieEntrate[[#Headers],[Real Estate]],$I729&lt;&gt;SottocategorieEntrate[[#Headers],[Other]]),"","$ -")</f>
        <v/>
      </c>
      <c r="Q729" s="59" t="str">
        <f>IF(Dati[[#This Row],[Categoria]]="Prelievo","€ -","")</f>
        <v/>
      </c>
      <c r="R729" s="244"/>
      <c r="S729" s="59" t="str">
        <f>IF(Dati[[#This Row],[Categoria]]="Savings",0,"")</f>
        <v/>
      </c>
      <c r="T729" s="59"/>
      <c r="U729" s="59"/>
      <c r="V729" s="59"/>
      <c r="W729" s="59"/>
      <c r="X729" s="59"/>
      <c r="Y729" s="59"/>
      <c r="Z729" s="59"/>
      <c r="AA729" s="59"/>
      <c r="AB729" s="59"/>
      <c r="AC729" s="59"/>
      <c r="AD729" s="59"/>
      <c r="AE729" s="59"/>
      <c r="AF729" s="59"/>
      <c r="AG729" s="59"/>
      <c r="AH729" s="59"/>
      <c r="AI729" s="59" t="str">
        <f>IF(SUM(Dati[[#This Row],[Inv. Business]:[Inv. Cryptocurrency]])=0," ",SUM(Dati[[#This Row],[Inv. Business]:[Inv. Cryptocurrency]]))</f>
        <v xml:space="preserve"> </v>
      </c>
      <c r="AJ729" s="59"/>
      <c r="AK729" s="59"/>
      <c r="AL729" s="59"/>
      <c r="AM729" s="59"/>
    </row>
    <row r="730" spans="2:39" x14ac:dyDescent="0.35">
      <c r="B730" s="237">
        <f t="shared" si="37"/>
        <v>710</v>
      </c>
      <c r="C730" s="49">
        <f t="shared" si="35"/>
        <v>45459</v>
      </c>
      <c r="D730" s="29">
        <f>DAY(Dati[[#This Row],[Data]])</f>
        <v>16</v>
      </c>
      <c r="E730" s="29" t="str">
        <f>IF(DAY(Data!$C$21:$C$1327)&gt;0,TEXT(Data!$C$21:$C$1327, "mmmm"),"")</f>
        <v>giugno</v>
      </c>
      <c r="F730" s="29" t="str">
        <f>IF(DAY(Data!$C$21:$C$1327)&gt;0,TEXT(Data!$C$21:$C$1327, "aaaa"),"")</f>
        <v>2024</v>
      </c>
      <c r="I730" t="str">
        <f>IF(OR(H730=$B$5,H730=$B$6,H730=$B$7,H730=$B$8,H730=$B$9,H730=$B$10,H730=$B$11,H730=$B$12,H730=$B$13,H730=$B$14),SottocategorieUscite[[#Headers],[Fuori Casa]],IF(OR(H730=$C$5,H730=$C$6,H730=$C$7,H730=$C$8,H730=$C$9,H730=$C$10,H730=$C$11,H730=$C$12,H730=$C$13,H730=$C$14),SottocategorieUscite[[#Headers],[Varie Uscite]],IF(OR(H730=$D$5,H730=$D$6,H730=$D$7,H730=$D$8,H730=$D$9,H730=$D$10,H730=$D$11,H730=$D$12,H730=$D$13,H730=$D$14),SottocategorieUscite[[#Headers],[Personali]],IF(OR(H730=$E$5,H730=$E$6,H730=$E$7,H730=$E$8,H730=$E$9,H730=$E$10,H730=$E$11,H730=$E$12,H730=$E$13,H730=$E$14),SottocategorieUscite[[#Headers],[Lavoro]],IF(OR(H730=$F$5,H730=$F$6,H730=$F$7,H730=$F$8,H730=$F$9,H730=$F$10,H730=$F$11,H730=$F$12,H730=$F$13,H730=$F$14),SottocategorieUscite[[#Headers],[Casa]],IF(OR(H730=$G$5,H730=$G$6,H730=$G$7,H730=$G$8,H730=$G$9,H730=$G$10,H730=$G$11,H730=$G$12,H730=$G$13,H730=$G$14),SottocategorieUscite[[#Headers],[Utenze]],IF(OR(H730=$H$5,H730=$H$6,H730=$H$7,H730=$H$8,H730=$H$9,H730=$H$10,H730=$H$11,H730=$H$12,H730=$H$13,H730=$H$14),SottocategorieUscite[[#Headers],[Business Uscite]],IF(OR(H730=$I$5,H730=$I$6,H730=$I$7,H730=$I$8,H730=$I$9,H730=$I$10,H730=$I$11,H730=$I$12,H730=$I$13,H730=$I$14),SottocategorieUscite[[#Headers],[Banca]],IF(OR(H730=K$5,H730=K$6,H730=K$7,H730=K$8,H730=K$9,H730=K$10,H730=K$11,H730=K$12,H730=K$13,H730=K$14),SottocategorieEntrate[[#Headers],[Business Entrate]],IF(OR(H730=L$5,H730=L$6,H730=L$7,H730=L$8,H730=L$9,H730=L$10,H730=L$11,H730=L$12,H730=L$13,H730=L$14),SottocategorieEntrate[[#Headers],[Varie Entrate]],IF(OR(H730=M$5,H730=M$6,H730=M$7,H730=M$8,H730=M$9,H730=M$10,H730=M$11,H730=M$12,H730=M$13,H730=M$14),SottocategorieEntrate[[#Headers],[Real Estate]],IF(OR(H730=N$5,H730=N$6,H730=N$7,H730=N$8,H730=N$9,H730=N$10,H730=N$11,H730=N$12,H730=N$13,H730=N$14),SottocategorieEntrate[[#Headers],[Other]],""))))))))))))</f>
        <v/>
      </c>
      <c r="J730" t="str">
        <f>IF(OR(Dati[[#This Row],[Categoria]]="Bollette",Dati[[#This Row],[Categoria]]="Conto &amp; Carte BNL",Dati[[#This Row],[Categoria]]="Prelievo",Dati[[#This Row],[Categoria]]="Affitto",Dati[[#This Row],[Categoria]]="BNL(Interessi Creditori)"),"Carta",IF(Dati[[#This Row],[Categoria]]&lt;&gt;0,"Cash",""))</f>
        <v/>
      </c>
      <c r="K730" s="59" t="str">
        <f>IF(OR(Data!$I730=SottocategorieUscite[[#Headers],[Fuori Casa]],Data!$I730=SottocategorieUscite[[#Headers],[Varie Uscite]],Data!$I730=SottocategorieUscite[[#Headers],[Personali]],Data!$I730=SottocategorieUscite[[#Headers],[Lavoro]]),"$ -","")</f>
        <v/>
      </c>
      <c r="L730" s="59" t="str">
        <f>IF(OR(Data!$I730=SottocategorieUscite[[#Headers],[Casa]],Data!$I730=SottocategorieUscite[[#Headers],[Utenze]],Data!$I730=SottocategorieUscite[[#Headers],[Business Uscite]],Data!$I730=SottocategorieUscite[[#Headers],[Banca]]),"$ -","")</f>
        <v/>
      </c>
      <c r="M730" s="59" t="str">
        <f>IF(OR($I730&lt;&gt;SottocategorieUscite[[#Headers],[Fuori Casa]],$I730&lt;&gt;SottocategorieUscite[[#Headers],[Varie Uscite]],$I730&lt;&gt;SottocategorieUscite[[#Headers],[Personali]],$I730&lt;&gt;SottocategorieUscite[[#Headers],[Lavoro]],$I730&lt;&gt;SottocategorieUscite[[#Headers],[Casa]],$I730&lt;&gt;SottocategorieUscite[[#Headers],[Utenze]],$I730&lt;&gt;SottocategorieUscite[[#Headers],[Business Uscite]],$I730&lt;&gt;SottocategorieUscite[[#Headers],[Banca]]),"","$ -")</f>
        <v/>
      </c>
      <c r="N730" s="59" t="str">
        <f>IF(OR(Data!$I730=SottocategorieEntrate[[#Headers],[Business Entrate]],Data!$I730=SottocategorieEntrate[[#Headers],[Varie Entrate]]),"$ -","")</f>
        <v/>
      </c>
      <c r="O730" s="59" t="str">
        <f>IF(OR(Data!$I730=SottocategorieEntrate[[#Headers],[Real Estate]],SottocategorieEntrate[[#Headers],[Other]]),"$ -","")</f>
        <v/>
      </c>
      <c r="P730" s="59" t="str">
        <f>IF(OR($I730&lt;&gt;SottocategorieEntrate[[#Headers],[Business Entrate]],$I730&lt;&gt;SottocategorieEntrate[[#Headers],[Varie Entrate]],$I730&lt;&gt;SottocategorieEntrate[[#Headers],[Real Estate]],$I730&lt;&gt;SottocategorieEntrate[[#Headers],[Other]]),"","$ -")</f>
        <v/>
      </c>
      <c r="Q730" s="59" t="str">
        <f>IF(Dati[[#This Row],[Categoria]]="Prelievo","€ -","")</f>
        <v/>
      </c>
      <c r="R730" s="244"/>
      <c r="S730" s="59" t="str">
        <f>IF(Dati[[#This Row],[Categoria]]="Savings",0,"")</f>
        <v/>
      </c>
      <c r="T730" s="59"/>
      <c r="U730" s="59"/>
      <c r="V730" s="59"/>
      <c r="W730" s="59"/>
      <c r="X730" s="59"/>
      <c r="Y730" s="59"/>
      <c r="Z730" s="59"/>
      <c r="AA730" s="59"/>
      <c r="AB730" s="59"/>
      <c r="AC730" s="59"/>
      <c r="AD730" s="59"/>
      <c r="AE730" s="59"/>
      <c r="AF730" s="59"/>
      <c r="AG730" s="59"/>
      <c r="AH730" s="59"/>
      <c r="AI730" s="59" t="str">
        <f>IF(SUM(Dati[[#This Row],[Inv. Business]:[Inv. Cryptocurrency]])=0," ",SUM(Dati[[#This Row],[Inv. Business]:[Inv. Cryptocurrency]]))</f>
        <v xml:space="preserve"> </v>
      </c>
      <c r="AJ730" s="59"/>
      <c r="AK730" s="59"/>
      <c r="AL730" s="59"/>
      <c r="AM730" s="59"/>
    </row>
    <row r="731" spans="2:39" x14ac:dyDescent="0.35">
      <c r="B731" s="237">
        <f t="shared" si="37"/>
        <v>711</v>
      </c>
      <c r="C731" s="49">
        <f t="shared" si="35"/>
        <v>45460</v>
      </c>
      <c r="D731" s="29">
        <f>DAY(Dati[[#This Row],[Data]])</f>
        <v>17</v>
      </c>
      <c r="E731" s="29" t="str">
        <f>IF(DAY(Data!$C$21:$C$1327)&gt;0,TEXT(Data!$C$21:$C$1327, "mmmm"),"")</f>
        <v>giugno</v>
      </c>
      <c r="F731" s="29" t="str">
        <f>IF(DAY(Data!$C$21:$C$1327)&gt;0,TEXT(Data!$C$21:$C$1327, "aaaa"),"")</f>
        <v>2024</v>
      </c>
      <c r="I731" t="str">
        <f>IF(OR(H731=$B$5,H731=$B$6,H731=$B$7,H731=$B$8,H731=$B$9,H731=$B$10,H731=$B$11,H731=$B$12,H731=$B$13,H731=$B$14),SottocategorieUscite[[#Headers],[Fuori Casa]],IF(OR(H731=$C$5,H731=$C$6,H731=$C$7,H731=$C$8,H731=$C$9,H731=$C$10,H731=$C$11,H731=$C$12,H731=$C$13,H731=$C$14),SottocategorieUscite[[#Headers],[Varie Uscite]],IF(OR(H731=$D$5,H731=$D$6,H731=$D$7,H731=$D$8,H731=$D$9,H731=$D$10,H731=$D$11,H731=$D$12,H731=$D$13,H731=$D$14),SottocategorieUscite[[#Headers],[Personali]],IF(OR(H731=$E$5,H731=$E$6,H731=$E$7,H731=$E$8,H731=$E$9,H731=$E$10,H731=$E$11,H731=$E$12,H731=$E$13,H731=$E$14),SottocategorieUscite[[#Headers],[Lavoro]],IF(OR(H731=$F$5,H731=$F$6,H731=$F$7,H731=$F$8,H731=$F$9,H731=$F$10,H731=$F$11,H731=$F$12,H731=$F$13,H731=$F$14),SottocategorieUscite[[#Headers],[Casa]],IF(OR(H731=$G$5,H731=$G$6,H731=$G$7,H731=$G$8,H731=$G$9,H731=$G$10,H731=$G$11,H731=$G$12,H731=$G$13,H731=$G$14),SottocategorieUscite[[#Headers],[Utenze]],IF(OR(H731=$H$5,H731=$H$6,H731=$H$7,H731=$H$8,H731=$H$9,H731=$H$10,H731=$H$11,H731=$H$12,H731=$H$13,H731=$H$14),SottocategorieUscite[[#Headers],[Business Uscite]],IF(OR(H731=$I$5,H731=$I$6,H731=$I$7,H731=$I$8,H731=$I$9,H731=$I$10,H731=$I$11,H731=$I$12,H731=$I$13,H731=$I$14),SottocategorieUscite[[#Headers],[Banca]],IF(OR(H731=K$5,H731=K$6,H731=K$7,H731=K$8,H731=K$9,H731=K$10,H731=K$11,H731=K$12,H731=K$13,H731=K$14),SottocategorieEntrate[[#Headers],[Business Entrate]],IF(OR(H731=L$5,H731=L$6,H731=L$7,H731=L$8,H731=L$9,H731=L$10,H731=L$11,H731=L$12,H731=L$13,H731=L$14),SottocategorieEntrate[[#Headers],[Varie Entrate]],IF(OR(H731=M$5,H731=M$6,H731=M$7,H731=M$8,H731=M$9,H731=M$10,H731=M$11,H731=M$12,H731=M$13,H731=M$14),SottocategorieEntrate[[#Headers],[Real Estate]],IF(OR(H731=N$5,H731=N$6,H731=N$7,H731=N$8,H731=N$9,H731=N$10,H731=N$11,H731=N$12,H731=N$13,H731=N$14),SottocategorieEntrate[[#Headers],[Other]],""))))))))))))</f>
        <v/>
      </c>
      <c r="J731" t="str">
        <f>IF(OR(Dati[[#This Row],[Categoria]]="Bollette",Dati[[#This Row],[Categoria]]="Conto &amp; Carte BNL",Dati[[#This Row],[Categoria]]="Prelievo",Dati[[#This Row],[Categoria]]="Affitto",Dati[[#This Row],[Categoria]]="BNL(Interessi Creditori)"),"Carta",IF(Dati[[#This Row],[Categoria]]&lt;&gt;0,"Cash",""))</f>
        <v/>
      </c>
      <c r="K731" s="59" t="str">
        <f>IF(OR(Data!$I731=SottocategorieUscite[[#Headers],[Fuori Casa]],Data!$I731=SottocategorieUscite[[#Headers],[Varie Uscite]],Data!$I731=SottocategorieUscite[[#Headers],[Personali]],Data!$I731=SottocategorieUscite[[#Headers],[Lavoro]]),"$ -","")</f>
        <v/>
      </c>
      <c r="L731" s="59" t="str">
        <f>IF(OR(Data!$I731=SottocategorieUscite[[#Headers],[Casa]],Data!$I731=SottocategorieUscite[[#Headers],[Utenze]],Data!$I731=SottocategorieUscite[[#Headers],[Business Uscite]],Data!$I731=SottocategorieUscite[[#Headers],[Banca]]),"$ -","")</f>
        <v/>
      </c>
      <c r="M731" s="59" t="str">
        <f>IF(OR($I731&lt;&gt;SottocategorieUscite[[#Headers],[Fuori Casa]],$I731&lt;&gt;SottocategorieUscite[[#Headers],[Varie Uscite]],$I731&lt;&gt;SottocategorieUscite[[#Headers],[Personali]],$I731&lt;&gt;SottocategorieUscite[[#Headers],[Lavoro]],$I731&lt;&gt;SottocategorieUscite[[#Headers],[Casa]],$I731&lt;&gt;SottocategorieUscite[[#Headers],[Utenze]],$I731&lt;&gt;SottocategorieUscite[[#Headers],[Business Uscite]],$I731&lt;&gt;SottocategorieUscite[[#Headers],[Banca]]),"","$ -")</f>
        <v/>
      </c>
      <c r="N731" s="59" t="str">
        <f>IF(OR(Data!$I731=SottocategorieEntrate[[#Headers],[Business Entrate]],Data!$I731=SottocategorieEntrate[[#Headers],[Varie Entrate]]),"$ -","")</f>
        <v/>
      </c>
      <c r="O731" s="59" t="str">
        <f>IF(OR(Data!$I731=SottocategorieEntrate[[#Headers],[Real Estate]],SottocategorieEntrate[[#Headers],[Other]]),"$ -","")</f>
        <v/>
      </c>
      <c r="P731" s="59" t="str">
        <f>IF(OR($I731&lt;&gt;SottocategorieEntrate[[#Headers],[Business Entrate]],$I731&lt;&gt;SottocategorieEntrate[[#Headers],[Varie Entrate]],$I731&lt;&gt;SottocategorieEntrate[[#Headers],[Real Estate]],$I731&lt;&gt;SottocategorieEntrate[[#Headers],[Other]]),"","$ -")</f>
        <v/>
      </c>
      <c r="Q731" s="59" t="str">
        <f>IF(Dati[[#This Row],[Categoria]]="Prelievo","€ -","")</f>
        <v/>
      </c>
      <c r="R731" s="244"/>
      <c r="S731" s="59" t="str">
        <f>IF(Dati[[#This Row],[Categoria]]="Savings",0,"")</f>
        <v/>
      </c>
      <c r="T731" s="59"/>
      <c r="U731" s="59"/>
      <c r="V731" s="59"/>
      <c r="W731" s="59"/>
      <c r="X731" s="59"/>
      <c r="Y731" s="59"/>
      <c r="Z731" s="59"/>
      <c r="AA731" s="59"/>
      <c r="AB731" s="59"/>
      <c r="AC731" s="59"/>
      <c r="AD731" s="59"/>
      <c r="AE731" s="59"/>
      <c r="AF731" s="59"/>
      <c r="AG731" s="59"/>
      <c r="AH731" s="59"/>
      <c r="AI731" s="59" t="str">
        <f>IF(SUM(Dati[[#This Row],[Inv. Business]:[Inv. Cryptocurrency]])=0," ",SUM(Dati[[#This Row],[Inv. Business]:[Inv. Cryptocurrency]]))</f>
        <v xml:space="preserve"> </v>
      </c>
      <c r="AJ731" s="59"/>
      <c r="AK731" s="59"/>
      <c r="AL731" s="59"/>
      <c r="AM731" s="59"/>
    </row>
    <row r="732" spans="2:39" x14ac:dyDescent="0.35">
      <c r="B732" s="237">
        <f t="shared" si="37"/>
        <v>712</v>
      </c>
      <c r="C732" s="49">
        <f t="shared" si="35"/>
        <v>45461</v>
      </c>
      <c r="D732" s="29">
        <f>DAY(Dati[[#This Row],[Data]])</f>
        <v>18</v>
      </c>
      <c r="E732" s="29" t="str">
        <f>IF(DAY(Data!$C$21:$C$1327)&gt;0,TEXT(Data!$C$21:$C$1327, "mmmm"),"")</f>
        <v>giugno</v>
      </c>
      <c r="F732" s="29" t="str">
        <f>IF(DAY(Data!$C$21:$C$1327)&gt;0,TEXT(Data!$C$21:$C$1327, "aaaa"),"")</f>
        <v>2024</v>
      </c>
      <c r="I732" t="str">
        <f>IF(OR(H732=$B$5,H732=$B$6,H732=$B$7,H732=$B$8,H732=$B$9,H732=$B$10,H732=$B$11,H732=$B$12,H732=$B$13,H732=$B$14),SottocategorieUscite[[#Headers],[Fuori Casa]],IF(OR(H732=$C$5,H732=$C$6,H732=$C$7,H732=$C$8,H732=$C$9,H732=$C$10,H732=$C$11,H732=$C$12,H732=$C$13,H732=$C$14),SottocategorieUscite[[#Headers],[Varie Uscite]],IF(OR(H732=$D$5,H732=$D$6,H732=$D$7,H732=$D$8,H732=$D$9,H732=$D$10,H732=$D$11,H732=$D$12,H732=$D$13,H732=$D$14),SottocategorieUscite[[#Headers],[Personali]],IF(OR(H732=$E$5,H732=$E$6,H732=$E$7,H732=$E$8,H732=$E$9,H732=$E$10,H732=$E$11,H732=$E$12,H732=$E$13,H732=$E$14),SottocategorieUscite[[#Headers],[Lavoro]],IF(OR(H732=$F$5,H732=$F$6,H732=$F$7,H732=$F$8,H732=$F$9,H732=$F$10,H732=$F$11,H732=$F$12,H732=$F$13,H732=$F$14),SottocategorieUscite[[#Headers],[Casa]],IF(OR(H732=$G$5,H732=$G$6,H732=$G$7,H732=$G$8,H732=$G$9,H732=$G$10,H732=$G$11,H732=$G$12,H732=$G$13,H732=$G$14),SottocategorieUscite[[#Headers],[Utenze]],IF(OR(H732=$H$5,H732=$H$6,H732=$H$7,H732=$H$8,H732=$H$9,H732=$H$10,H732=$H$11,H732=$H$12,H732=$H$13,H732=$H$14),SottocategorieUscite[[#Headers],[Business Uscite]],IF(OR(H732=$I$5,H732=$I$6,H732=$I$7,H732=$I$8,H732=$I$9,H732=$I$10,H732=$I$11,H732=$I$12,H732=$I$13,H732=$I$14),SottocategorieUscite[[#Headers],[Banca]],IF(OR(H732=K$5,H732=K$6,H732=K$7,H732=K$8,H732=K$9,H732=K$10,H732=K$11,H732=K$12,H732=K$13,H732=K$14),SottocategorieEntrate[[#Headers],[Business Entrate]],IF(OR(H732=L$5,H732=L$6,H732=L$7,H732=L$8,H732=L$9,H732=L$10,H732=L$11,H732=L$12,H732=L$13,H732=L$14),SottocategorieEntrate[[#Headers],[Varie Entrate]],IF(OR(H732=M$5,H732=M$6,H732=M$7,H732=M$8,H732=M$9,H732=M$10,H732=M$11,H732=M$12,H732=M$13,H732=M$14),SottocategorieEntrate[[#Headers],[Real Estate]],IF(OR(H732=N$5,H732=N$6,H732=N$7,H732=N$8,H732=N$9,H732=N$10,H732=N$11,H732=N$12,H732=N$13,H732=N$14),SottocategorieEntrate[[#Headers],[Other]],""))))))))))))</f>
        <v/>
      </c>
      <c r="J732" t="str">
        <f>IF(OR(Dati[[#This Row],[Categoria]]="Bollette",Dati[[#This Row],[Categoria]]="Conto &amp; Carte BNL",Dati[[#This Row],[Categoria]]="Prelievo",Dati[[#This Row],[Categoria]]="Affitto",Dati[[#This Row],[Categoria]]="BNL(Interessi Creditori)"),"Carta",IF(Dati[[#This Row],[Categoria]]&lt;&gt;0,"Cash",""))</f>
        <v/>
      </c>
      <c r="K732" s="59" t="str">
        <f>IF(OR(Data!$I732=SottocategorieUscite[[#Headers],[Fuori Casa]],Data!$I732=SottocategorieUscite[[#Headers],[Varie Uscite]],Data!$I732=SottocategorieUscite[[#Headers],[Personali]],Data!$I732=SottocategorieUscite[[#Headers],[Lavoro]]),"$ -","")</f>
        <v/>
      </c>
      <c r="L732" s="59" t="str">
        <f>IF(OR(Data!$I732=SottocategorieUscite[[#Headers],[Casa]],Data!$I732=SottocategorieUscite[[#Headers],[Utenze]],Data!$I732=SottocategorieUscite[[#Headers],[Business Uscite]],Data!$I732=SottocategorieUscite[[#Headers],[Banca]]),"$ -","")</f>
        <v/>
      </c>
      <c r="M732" s="59" t="str">
        <f>IF(OR($I732&lt;&gt;SottocategorieUscite[[#Headers],[Fuori Casa]],$I732&lt;&gt;SottocategorieUscite[[#Headers],[Varie Uscite]],$I732&lt;&gt;SottocategorieUscite[[#Headers],[Personali]],$I732&lt;&gt;SottocategorieUscite[[#Headers],[Lavoro]],$I732&lt;&gt;SottocategorieUscite[[#Headers],[Casa]],$I732&lt;&gt;SottocategorieUscite[[#Headers],[Utenze]],$I732&lt;&gt;SottocategorieUscite[[#Headers],[Business Uscite]],$I732&lt;&gt;SottocategorieUscite[[#Headers],[Banca]]),"","$ -")</f>
        <v/>
      </c>
      <c r="N732" s="59" t="str">
        <f>IF(OR(Data!$I732=SottocategorieEntrate[[#Headers],[Business Entrate]],Data!$I732=SottocategorieEntrate[[#Headers],[Varie Entrate]]),"$ -","")</f>
        <v/>
      </c>
      <c r="O732" s="59" t="str">
        <f>IF(OR(Data!$I732=SottocategorieEntrate[[#Headers],[Real Estate]],SottocategorieEntrate[[#Headers],[Other]]),"$ -","")</f>
        <v/>
      </c>
      <c r="P732" s="59" t="str">
        <f>IF(OR($I732&lt;&gt;SottocategorieEntrate[[#Headers],[Business Entrate]],$I732&lt;&gt;SottocategorieEntrate[[#Headers],[Varie Entrate]],$I732&lt;&gt;SottocategorieEntrate[[#Headers],[Real Estate]],$I732&lt;&gt;SottocategorieEntrate[[#Headers],[Other]]),"","$ -")</f>
        <v/>
      </c>
      <c r="Q732" s="59" t="str">
        <f>IF(Dati[[#This Row],[Categoria]]="Prelievo","€ -","")</f>
        <v/>
      </c>
      <c r="R732" s="244"/>
      <c r="S732" s="59" t="str">
        <f>IF(Dati[[#This Row],[Categoria]]="Savings",0,"")</f>
        <v/>
      </c>
      <c r="T732" s="59"/>
      <c r="U732" s="59"/>
      <c r="V732" s="59"/>
      <c r="W732" s="59"/>
      <c r="X732" s="59"/>
      <c r="Y732" s="59"/>
      <c r="Z732" s="59"/>
      <c r="AA732" s="59"/>
      <c r="AB732" s="59"/>
      <c r="AC732" s="59"/>
      <c r="AD732" s="59"/>
      <c r="AE732" s="59"/>
      <c r="AF732" s="59"/>
      <c r="AG732" s="59"/>
      <c r="AH732" s="59"/>
      <c r="AI732" s="59" t="str">
        <f>IF(SUM(Dati[[#This Row],[Inv. Business]:[Inv. Cryptocurrency]])=0," ",SUM(Dati[[#This Row],[Inv. Business]:[Inv. Cryptocurrency]]))</f>
        <v xml:space="preserve"> </v>
      </c>
      <c r="AJ732" s="59"/>
      <c r="AK732" s="59"/>
      <c r="AL732" s="59"/>
      <c r="AM732" s="59"/>
    </row>
    <row r="733" spans="2:39" x14ac:dyDescent="0.35">
      <c r="B733" s="237">
        <f t="shared" si="37"/>
        <v>713</v>
      </c>
      <c r="C733" s="49">
        <f t="shared" si="35"/>
        <v>45462</v>
      </c>
      <c r="D733" s="29">
        <f>DAY(Dati[[#This Row],[Data]])</f>
        <v>19</v>
      </c>
      <c r="E733" s="29" t="str">
        <f>IF(DAY(Data!$C$21:$C$1327)&gt;0,TEXT(Data!$C$21:$C$1327, "mmmm"),"")</f>
        <v>giugno</v>
      </c>
      <c r="F733" s="29" t="str">
        <f>IF(DAY(Data!$C$21:$C$1327)&gt;0,TEXT(Data!$C$21:$C$1327, "aaaa"),"")</f>
        <v>2024</v>
      </c>
      <c r="I733" t="str">
        <f>IF(OR(H733=$B$5,H733=$B$6,H733=$B$7,H733=$B$8,H733=$B$9,H733=$B$10,H733=$B$11,H733=$B$12,H733=$B$13,H733=$B$14),SottocategorieUscite[[#Headers],[Fuori Casa]],IF(OR(H733=$C$5,H733=$C$6,H733=$C$7,H733=$C$8,H733=$C$9,H733=$C$10,H733=$C$11,H733=$C$12,H733=$C$13,H733=$C$14),SottocategorieUscite[[#Headers],[Varie Uscite]],IF(OR(H733=$D$5,H733=$D$6,H733=$D$7,H733=$D$8,H733=$D$9,H733=$D$10,H733=$D$11,H733=$D$12,H733=$D$13,H733=$D$14),SottocategorieUscite[[#Headers],[Personali]],IF(OR(H733=$E$5,H733=$E$6,H733=$E$7,H733=$E$8,H733=$E$9,H733=$E$10,H733=$E$11,H733=$E$12,H733=$E$13,H733=$E$14),SottocategorieUscite[[#Headers],[Lavoro]],IF(OR(H733=$F$5,H733=$F$6,H733=$F$7,H733=$F$8,H733=$F$9,H733=$F$10,H733=$F$11,H733=$F$12,H733=$F$13,H733=$F$14),SottocategorieUscite[[#Headers],[Casa]],IF(OR(H733=$G$5,H733=$G$6,H733=$G$7,H733=$G$8,H733=$G$9,H733=$G$10,H733=$G$11,H733=$G$12,H733=$G$13,H733=$G$14),SottocategorieUscite[[#Headers],[Utenze]],IF(OR(H733=$H$5,H733=$H$6,H733=$H$7,H733=$H$8,H733=$H$9,H733=$H$10,H733=$H$11,H733=$H$12,H733=$H$13,H733=$H$14),SottocategorieUscite[[#Headers],[Business Uscite]],IF(OR(H733=$I$5,H733=$I$6,H733=$I$7,H733=$I$8,H733=$I$9,H733=$I$10,H733=$I$11,H733=$I$12,H733=$I$13,H733=$I$14),SottocategorieUscite[[#Headers],[Banca]],IF(OR(H733=K$5,H733=K$6,H733=K$7,H733=K$8,H733=K$9,H733=K$10,H733=K$11,H733=K$12,H733=K$13,H733=K$14),SottocategorieEntrate[[#Headers],[Business Entrate]],IF(OR(H733=L$5,H733=L$6,H733=L$7,H733=L$8,H733=L$9,H733=L$10,H733=L$11,H733=L$12,H733=L$13,H733=L$14),SottocategorieEntrate[[#Headers],[Varie Entrate]],IF(OR(H733=M$5,H733=M$6,H733=M$7,H733=M$8,H733=M$9,H733=M$10,H733=M$11,H733=M$12,H733=M$13,H733=M$14),SottocategorieEntrate[[#Headers],[Real Estate]],IF(OR(H733=N$5,H733=N$6,H733=N$7,H733=N$8,H733=N$9,H733=N$10,H733=N$11,H733=N$12,H733=N$13,H733=N$14),SottocategorieEntrate[[#Headers],[Other]],""))))))))))))</f>
        <v/>
      </c>
      <c r="J733" t="str">
        <f>IF(OR(Dati[[#This Row],[Categoria]]="Bollette",Dati[[#This Row],[Categoria]]="Conto &amp; Carte BNL",Dati[[#This Row],[Categoria]]="Prelievo",Dati[[#This Row],[Categoria]]="Affitto",Dati[[#This Row],[Categoria]]="BNL(Interessi Creditori)"),"Carta",IF(Dati[[#This Row],[Categoria]]&lt;&gt;0,"Cash",""))</f>
        <v/>
      </c>
      <c r="K733" s="59" t="str">
        <f>IF(OR(Data!$I733=SottocategorieUscite[[#Headers],[Fuori Casa]],Data!$I733=SottocategorieUscite[[#Headers],[Varie Uscite]],Data!$I733=SottocategorieUscite[[#Headers],[Personali]],Data!$I733=SottocategorieUscite[[#Headers],[Lavoro]]),"$ -","")</f>
        <v/>
      </c>
      <c r="L733" s="59" t="str">
        <f>IF(OR(Data!$I733=SottocategorieUscite[[#Headers],[Casa]],Data!$I733=SottocategorieUscite[[#Headers],[Utenze]],Data!$I733=SottocategorieUscite[[#Headers],[Business Uscite]],Data!$I733=SottocategorieUscite[[#Headers],[Banca]]),"$ -","")</f>
        <v/>
      </c>
      <c r="M733" s="59" t="str">
        <f>IF(OR($I733&lt;&gt;SottocategorieUscite[[#Headers],[Fuori Casa]],$I733&lt;&gt;SottocategorieUscite[[#Headers],[Varie Uscite]],$I733&lt;&gt;SottocategorieUscite[[#Headers],[Personali]],$I733&lt;&gt;SottocategorieUscite[[#Headers],[Lavoro]],$I733&lt;&gt;SottocategorieUscite[[#Headers],[Casa]],$I733&lt;&gt;SottocategorieUscite[[#Headers],[Utenze]],$I733&lt;&gt;SottocategorieUscite[[#Headers],[Business Uscite]],$I733&lt;&gt;SottocategorieUscite[[#Headers],[Banca]]),"","$ -")</f>
        <v/>
      </c>
      <c r="N733" s="59" t="str">
        <f>IF(OR(Data!$I733=SottocategorieEntrate[[#Headers],[Business Entrate]],Data!$I733=SottocategorieEntrate[[#Headers],[Varie Entrate]]),"$ -","")</f>
        <v/>
      </c>
      <c r="O733" s="59" t="str">
        <f>IF(OR(Data!$I733=SottocategorieEntrate[[#Headers],[Real Estate]],SottocategorieEntrate[[#Headers],[Other]]),"$ -","")</f>
        <v/>
      </c>
      <c r="P733" s="59" t="str">
        <f>IF(OR($I733&lt;&gt;SottocategorieEntrate[[#Headers],[Business Entrate]],$I733&lt;&gt;SottocategorieEntrate[[#Headers],[Varie Entrate]],$I733&lt;&gt;SottocategorieEntrate[[#Headers],[Real Estate]],$I733&lt;&gt;SottocategorieEntrate[[#Headers],[Other]]),"","$ -")</f>
        <v/>
      </c>
      <c r="Q733" s="59" t="str">
        <f>IF(Dati[[#This Row],[Categoria]]="Prelievo","€ -","")</f>
        <v/>
      </c>
      <c r="R733" s="244"/>
      <c r="S733" s="59" t="str">
        <f>IF(Dati[[#This Row],[Categoria]]="Savings",0,"")</f>
        <v/>
      </c>
      <c r="T733" s="59"/>
      <c r="U733" s="59"/>
      <c r="V733" s="59"/>
      <c r="W733" s="59"/>
      <c r="X733" s="59"/>
      <c r="Y733" s="59"/>
      <c r="Z733" s="59"/>
      <c r="AA733" s="59"/>
      <c r="AB733" s="59"/>
      <c r="AC733" s="59"/>
      <c r="AD733" s="59"/>
      <c r="AE733" s="59"/>
      <c r="AF733" s="59"/>
      <c r="AG733" s="59"/>
      <c r="AH733" s="59"/>
      <c r="AI733" s="59" t="str">
        <f>IF(SUM(Dati[[#This Row],[Inv. Business]:[Inv. Cryptocurrency]])=0," ",SUM(Dati[[#This Row],[Inv. Business]:[Inv. Cryptocurrency]]))</f>
        <v xml:space="preserve"> </v>
      </c>
      <c r="AJ733" s="59"/>
      <c r="AK733" s="59"/>
      <c r="AL733" s="59"/>
      <c r="AM733" s="59"/>
    </row>
    <row r="734" spans="2:39" x14ac:dyDescent="0.35">
      <c r="B734" s="237">
        <f t="shared" si="37"/>
        <v>714</v>
      </c>
      <c r="C734" s="49">
        <f t="shared" si="35"/>
        <v>45463</v>
      </c>
      <c r="D734" s="29">
        <f>DAY(Dati[[#This Row],[Data]])</f>
        <v>20</v>
      </c>
      <c r="E734" s="29" t="str">
        <f>IF(DAY(Data!$C$21:$C$1327)&gt;0,TEXT(Data!$C$21:$C$1327, "mmmm"),"")</f>
        <v>giugno</v>
      </c>
      <c r="F734" s="29" t="str">
        <f>IF(DAY(Data!$C$21:$C$1327)&gt;0,TEXT(Data!$C$21:$C$1327, "aaaa"),"")</f>
        <v>2024</v>
      </c>
      <c r="I734" t="str">
        <f>IF(OR(H734=$B$5,H734=$B$6,H734=$B$7,H734=$B$8,H734=$B$9,H734=$B$10,H734=$B$11,H734=$B$12,H734=$B$13,H734=$B$14),SottocategorieUscite[[#Headers],[Fuori Casa]],IF(OR(H734=$C$5,H734=$C$6,H734=$C$7,H734=$C$8,H734=$C$9,H734=$C$10,H734=$C$11,H734=$C$12,H734=$C$13,H734=$C$14),SottocategorieUscite[[#Headers],[Varie Uscite]],IF(OR(H734=$D$5,H734=$D$6,H734=$D$7,H734=$D$8,H734=$D$9,H734=$D$10,H734=$D$11,H734=$D$12,H734=$D$13,H734=$D$14),SottocategorieUscite[[#Headers],[Personali]],IF(OR(H734=$E$5,H734=$E$6,H734=$E$7,H734=$E$8,H734=$E$9,H734=$E$10,H734=$E$11,H734=$E$12,H734=$E$13,H734=$E$14),SottocategorieUscite[[#Headers],[Lavoro]],IF(OR(H734=$F$5,H734=$F$6,H734=$F$7,H734=$F$8,H734=$F$9,H734=$F$10,H734=$F$11,H734=$F$12,H734=$F$13,H734=$F$14),SottocategorieUscite[[#Headers],[Casa]],IF(OR(H734=$G$5,H734=$G$6,H734=$G$7,H734=$G$8,H734=$G$9,H734=$G$10,H734=$G$11,H734=$G$12,H734=$G$13,H734=$G$14),SottocategorieUscite[[#Headers],[Utenze]],IF(OR(H734=$H$5,H734=$H$6,H734=$H$7,H734=$H$8,H734=$H$9,H734=$H$10,H734=$H$11,H734=$H$12,H734=$H$13,H734=$H$14),SottocategorieUscite[[#Headers],[Business Uscite]],IF(OR(H734=$I$5,H734=$I$6,H734=$I$7,H734=$I$8,H734=$I$9,H734=$I$10,H734=$I$11,H734=$I$12,H734=$I$13,H734=$I$14),SottocategorieUscite[[#Headers],[Banca]],IF(OR(H734=K$5,H734=K$6,H734=K$7,H734=K$8,H734=K$9,H734=K$10,H734=K$11,H734=K$12,H734=K$13,H734=K$14),SottocategorieEntrate[[#Headers],[Business Entrate]],IF(OR(H734=L$5,H734=L$6,H734=L$7,H734=L$8,H734=L$9,H734=L$10,H734=L$11,H734=L$12,H734=L$13,H734=L$14),SottocategorieEntrate[[#Headers],[Varie Entrate]],IF(OR(H734=M$5,H734=M$6,H734=M$7,H734=M$8,H734=M$9,H734=M$10,H734=M$11,H734=M$12,H734=M$13,H734=M$14),SottocategorieEntrate[[#Headers],[Real Estate]],IF(OR(H734=N$5,H734=N$6,H734=N$7,H734=N$8,H734=N$9,H734=N$10,H734=N$11,H734=N$12,H734=N$13,H734=N$14),SottocategorieEntrate[[#Headers],[Other]],""))))))))))))</f>
        <v/>
      </c>
      <c r="J734" t="str">
        <f>IF(OR(Dati[[#This Row],[Categoria]]="Bollette",Dati[[#This Row],[Categoria]]="Conto &amp; Carte BNL",Dati[[#This Row],[Categoria]]="Prelievo",Dati[[#This Row],[Categoria]]="Affitto",Dati[[#This Row],[Categoria]]="BNL(Interessi Creditori)"),"Carta",IF(Dati[[#This Row],[Categoria]]&lt;&gt;0,"Cash",""))</f>
        <v/>
      </c>
      <c r="K734" s="59" t="str">
        <f>IF(OR(Data!$I734=SottocategorieUscite[[#Headers],[Fuori Casa]],Data!$I734=SottocategorieUscite[[#Headers],[Varie Uscite]],Data!$I734=SottocategorieUscite[[#Headers],[Personali]],Data!$I734=SottocategorieUscite[[#Headers],[Lavoro]]),"$ -","")</f>
        <v/>
      </c>
      <c r="L734" s="59" t="str">
        <f>IF(OR(Data!$I734=SottocategorieUscite[[#Headers],[Casa]],Data!$I734=SottocategorieUscite[[#Headers],[Utenze]],Data!$I734=SottocategorieUscite[[#Headers],[Business Uscite]],Data!$I734=SottocategorieUscite[[#Headers],[Banca]]),"$ -","")</f>
        <v/>
      </c>
      <c r="M734" s="59" t="str">
        <f>IF(OR($I734&lt;&gt;SottocategorieUscite[[#Headers],[Fuori Casa]],$I734&lt;&gt;SottocategorieUscite[[#Headers],[Varie Uscite]],$I734&lt;&gt;SottocategorieUscite[[#Headers],[Personali]],$I734&lt;&gt;SottocategorieUscite[[#Headers],[Lavoro]],$I734&lt;&gt;SottocategorieUscite[[#Headers],[Casa]],$I734&lt;&gt;SottocategorieUscite[[#Headers],[Utenze]],$I734&lt;&gt;SottocategorieUscite[[#Headers],[Business Uscite]],$I734&lt;&gt;SottocategorieUscite[[#Headers],[Banca]]),"","$ -")</f>
        <v/>
      </c>
      <c r="N734" s="59" t="str">
        <f>IF(OR(Data!$I734=SottocategorieEntrate[[#Headers],[Business Entrate]],Data!$I734=SottocategorieEntrate[[#Headers],[Varie Entrate]]),"$ -","")</f>
        <v/>
      </c>
      <c r="O734" s="59" t="str">
        <f>IF(OR(Data!$I734=SottocategorieEntrate[[#Headers],[Real Estate]],SottocategorieEntrate[[#Headers],[Other]]),"$ -","")</f>
        <v/>
      </c>
      <c r="P734" s="59" t="str">
        <f>IF(OR($I734&lt;&gt;SottocategorieEntrate[[#Headers],[Business Entrate]],$I734&lt;&gt;SottocategorieEntrate[[#Headers],[Varie Entrate]],$I734&lt;&gt;SottocategorieEntrate[[#Headers],[Real Estate]],$I734&lt;&gt;SottocategorieEntrate[[#Headers],[Other]]),"","$ -")</f>
        <v/>
      </c>
      <c r="Q734" s="59" t="str">
        <f>IF(Dati[[#This Row],[Categoria]]="Prelievo","€ -","")</f>
        <v/>
      </c>
      <c r="R734" s="244"/>
      <c r="S734" s="59" t="str">
        <f>IF(Dati[[#This Row],[Categoria]]="Savings",0,"")</f>
        <v/>
      </c>
      <c r="T734" s="59"/>
      <c r="U734" s="59"/>
      <c r="V734" s="59"/>
      <c r="W734" s="59"/>
      <c r="X734" s="59"/>
      <c r="Y734" s="59"/>
      <c r="Z734" s="59"/>
      <c r="AA734" s="59"/>
      <c r="AB734" s="59"/>
      <c r="AC734" s="59"/>
      <c r="AD734" s="59"/>
      <c r="AE734" s="59"/>
      <c r="AF734" s="59"/>
      <c r="AG734" s="59"/>
      <c r="AH734" s="59"/>
      <c r="AI734" s="59" t="str">
        <f>IF(SUM(Dati[[#This Row],[Inv. Business]:[Inv. Cryptocurrency]])=0," ",SUM(Dati[[#This Row],[Inv. Business]:[Inv. Cryptocurrency]]))</f>
        <v xml:space="preserve"> </v>
      </c>
      <c r="AJ734" s="59"/>
      <c r="AK734" s="59"/>
      <c r="AL734" s="59"/>
      <c r="AM734" s="59"/>
    </row>
    <row r="735" spans="2:39" x14ac:dyDescent="0.35">
      <c r="B735" s="237">
        <f t="shared" si="37"/>
        <v>715</v>
      </c>
      <c r="C735" s="49">
        <f t="shared" si="35"/>
        <v>45464</v>
      </c>
      <c r="D735" s="29">
        <f>DAY(Dati[[#This Row],[Data]])</f>
        <v>21</v>
      </c>
      <c r="E735" s="29" t="str">
        <f>IF(DAY(Data!$C$21:$C$1327)&gt;0,TEXT(Data!$C$21:$C$1327, "mmmm"),"")</f>
        <v>giugno</v>
      </c>
      <c r="F735" s="29" t="str">
        <f>IF(DAY(Data!$C$21:$C$1327)&gt;0,TEXT(Data!$C$21:$C$1327, "aaaa"),"")</f>
        <v>2024</v>
      </c>
      <c r="I735" t="str">
        <f>IF(OR(H735=$B$5,H735=$B$6,H735=$B$7,H735=$B$8,H735=$B$9,H735=$B$10,H735=$B$11,H735=$B$12,H735=$B$13,H735=$B$14),SottocategorieUscite[[#Headers],[Fuori Casa]],IF(OR(H735=$C$5,H735=$C$6,H735=$C$7,H735=$C$8,H735=$C$9,H735=$C$10,H735=$C$11,H735=$C$12,H735=$C$13,H735=$C$14),SottocategorieUscite[[#Headers],[Varie Uscite]],IF(OR(H735=$D$5,H735=$D$6,H735=$D$7,H735=$D$8,H735=$D$9,H735=$D$10,H735=$D$11,H735=$D$12,H735=$D$13,H735=$D$14),SottocategorieUscite[[#Headers],[Personali]],IF(OR(H735=$E$5,H735=$E$6,H735=$E$7,H735=$E$8,H735=$E$9,H735=$E$10,H735=$E$11,H735=$E$12,H735=$E$13,H735=$E$14),SottocategorieUscite[[#Headers],[Lavoro]],IF(OR(H735=$F$5,H735=$F$6,H735=$F$7,H735=$F$8,H735=$F$9,H735=$F$10,H735=$F$11,H735=$F$12,H735=$F$13,H735=$F$14),SottocategorieUscite[[#Headers],[Casa]],IF(OR(H735=$G$5,H735=$G$6,H735=$G$7,H735=$G$8,H735=$G$9,H735=$G$10,H735=$G$11,H735=$G$12,H735=$G$13,H735=$G$14),SottocategorieUscite[[#Headers],[Utenze]],IF(OR(H735=$H$5,H735=$H$6,H735=$H$7,H735=$H$8,H735=$H$9,H735=$H$10,H735=$H$11,H735=$H$12,H735=$H$13,H735=$H$14),SottocategorieUscite[[#Headers],[Business Uscite]],IF(OR(H735=$I$5,H735=$I$6,H735=$I$7,H735=$I$8,H735=$I$9,H735=$I$10,H735=$I$11,H735=$I$12,H735=$I$13,H735=$I$14),SottocategorieUscite[[#Headers],[Banca]],IF(OR(H735=K$5,H735=K$6,H735=K$7,H735=K$8,H735=K$9,H735=K$10,H735=K$11,H735=K$12,H735=K$13,H735=K$14),SottocategorieEntrate[[#Headers],[Business Entrate]],IF(OR(H735=L$5,H735=L$6,H735=L$7,H735=L$8,H735=L$9,H735=L$10,H735=L$11,H735=L$12,H735=L$13,H735=L$14),SottocategorieEntrate[[#Headers],[Varie Entrate]],IF(OR(H735=M$5,H735=M$6,H735=M$7,H735=M$8,H735=M$9,H735=M$10,H735=M$11,H735=M$12,H735=M$13,H735=M$14),SottocategorieEntrate[[#Headers],[Real Estate]],IF(OR(H735=N$5,H735=N$6,H735=N$7,H735=N$8,H735=N$9,H735=N$10,H735=N$11,H735=N$12,H735=N$13,H735=N$14),SottocategorieEntrate[[#Headers],[Other]],""))))))))))))</f>
        <v/>
      </c>
      <c r="J735" t="str">
        <f>IF(OR(Dati[[#This Row],[Categoria]]="Bollette",Dati[[#This Row],[Categoria]]="Conto &amp; Carte BNL",Dati[[#This Row],[Categoria]]="Prelievo",Dati[[#This Row],[Categoria]]="Affitto",Dati[[#This Row],[Categoria]]="BNL(Interessi Creditori)"),"Carta",IF(Dati[[#This Row],[Categoria]]&lt;&gt;0,"Cash",""))</f>
        <v/>
      </c>
      <c r="K735" s="59" t="str">
        <f>IF(OR(Data!$I735=SottocategorieUscite[[#Headers],[Fuori Casa]],Data!$I735=SottocategorieUscite[[#Headers],[Varie Uscite]],Data!$I735=SottocategorieUscite[[#Headers],[Personali]],Data!$I735=SottocategorieUscite[[#Headers],[Lavoro]]),"$ -","")</f>
        <v/>
      </c>
      <c r="L735" s="59" t="str">
        <f>IF(OR(Data!$I735=SottocategorieUscite[[#Headers],[Casa]],Data!$I735=SottocategorieUscite[[#Headers],[Utenze]],Data!$I735=SottocategorieUscite[[#Headers],[Business Uscite]],Data!$I735=SottocategorieUscite[[#Headers],[Banca]]),"$ -","")</f>
        <v/>
      </c>
      <c r="M735" s="59" t="str">
        <f>IF(OR($I735&lt;&gt;SottocategorieUscite[[#Headers],[Fuori Casa]],$I735&lt;&gt;SottocategorieUscite[[#Headers],[Varie Uscite]],$I735&lt;&gt;SottocategorieUscite[[#Headers],[Personali]],$I735&lt;&gt;SottocategorieUscite[[#Headers],[Lavoro]],$I735&lt;&gt;SottocategorieUscite[[#Headers],[Casa]],$I735&lt;&gt;SottocategorieUscite[[#Headers],[Utenze]],$I735&lt;&gt;SottocategorieUscite[[#Headers],[Business Uscite]],$I735&lt;&gt;SottocategorieUscite[[#Headers],[Banca]]),"","$ -")</f>
        <v/>
      </c>
      <c r="N735" s="59" t="str">
        <f>IF(OR(Data!$I735=SottocategorieEntrate[[#Headers],[Business Entrate]],Data!$I735=SottocategorieEntrate[[#Headers],[Varie Entrate]]),"$ -","")</f>
        <v/>
      </c>
      <c r="O735" s="59" t="str">
        <f>IF(OR(Data!$I735=SottocategorieEntrate[[#Headers],[Real Estate]],SottocategorieEntrate[[#Headers],[Other]]),"$ -","")</f>
        <v/>
      </c>
      <c r="P735" s="59" t="str">
        <f>IF(OR($I735&lt;&gt;SottocategorieEntrate[[#Headers],[Business Entrate]],$I735&lt;&gt;SottocategorieEntrate[[#Headers],[Varie Entrate]],$I735&lt;&gt;SottocategorieEntrate[[#Headers],[Real Estate]],$I735&lt;&gt;SottocategorieEntrate[[#Headers],[Other]]),"","$ -")</f>
        <v/>
      </c>
      <c r="Q735" s="59" t="str">
        <f>IF(Dati[[#This Row],[Categoria]]="Prelievo","€ -","")</f>
        <v/>
      </c>
      <c r="R735" s="244"/>
      <c r="S735" s="59" t="str">
        <f>IF(Dati[[#This Row],[Categoria]]="Savings",0,"")</f>
        <v/>
      </c>
      <c r="T735" s="59"/>
      <c r="U735" s="59"/>
      <c r="V735" s="59"/>
      <c r="W735" s="59"/>
      <c r="X735" s="59"/>
      <c r="Y735" s="59"/>
      <c r="Z735" s="59"/>
      <c r="AA735" s="59"/>
      <c r="AB735" s="59"/>
      <c r="AC735" s="59"/>
      <c r="AD735" s="59"/>
      <c r="AE735" s="59"/>
      <c r="AF735" s="59"/>
      <c r="AG735" s="59"/>
      <c r="AH735" s="59"/>
      <c r="AI735" s="59" t="str">
        <f>IF(SUM(Dati[[#This Row],[Inv. Business]:[Inv. Cryptocurrency]])=0," ",SUM(Dati[[#This Row],[Inv. Business]:[Inv. Cryptocurrency]]))</f>
        <v xml:space="preserve"> </v>
      </c>
      <c r="AJ735" s="59"/>
      <c r="AK735" s="59"/>
      <c r="AL735" s="59"/>
      <c r="AM735" s="59"/>
    </row>
    <row r="736" spans="2:39" x14ac:dyDescent="0.35">
      <c r="B736" s="237">
        <f t="shared" si="37"/>
        <v>716</v>
      </c>
      <c r="C736" s="49">
        <f t="shared" si="35"/>
        <v>45465</v>
      </c>
      <c r="D736" s="29">
        <f>DAY(Dati[[#This Row],[Data]])</f>
        <v>22</v>
      </c>
      <c r="E736" s="29" t="str">
        <f>IF(DAY(Data!$C$21:$C$1327)&gt;0,TEXT(Data!$C$21:$C$1327, "mmmm"),"")</f>
        <v>giugno</v>
      </c>
      <c r="F736" s="29" t="str">
        <f>IF(DAY(Data!$C$21:$C$1327)&gt;0,TEXT(Data!$C$21:$C$1327, "aaaa"),"")</f>
        <v>2024</v>
      </c>
      <c r="I736" t="str">
        <f>IF(OR(H736=$B$5,H736=$B$6,H736=$B$7,H736=$B$8,H736=$B$9,H736=$B$10,H736=$B$11,H736=$B$12,H736=$B$13,H736=$B$14),SottocategorieUscite[[#Headers],[Fuori Casa]],IF(OR(H736=$C$5,H736=$C$6,H736=$C$7,H736=$C$8,H736=$C$9,H736=$C$10,H736=$C$11,H736=$C$12,H736=$C$13,H736=$C$14),SottocategorieUscite[[#Headers],[Varie Uscite]],IF(OR(H736=$D$5,H736=$D$6,H736=$D$7,H736=$D$8,H736=$D$9,H736=$D$10,H736=$D$11,H736=$D$12,H736=$D$13,H736=$D$14),SottocategorieUscite[[#Headers],[Personali]],IF(OR(H736=$E$5,H736=$E$6,H736=$E$7,H736=$E$8,H736=$E$9,H736=$E$10,H736=$E$11,H736=$E$12,H736=$E$13,H736=$E$14),SottocategorieUscite[[#Headers],[Lavoro]],IF(OR(H736=$F$5,H736=$F$6,H736=$F$7,H736=$F$8,H736=$F$9,H736=$F$10,H736=$F$11,H736=$F$12,H736=$F$13,H736=$F$14),SottocategorieUscite[[#Headers],[Casa]],IF(OR(H736=$G$5,H736=$G$6,H736=$G$7,H736=$G$8,H736=$G$9,H736=$G$10,H736=$G$11,H736=$G$12,H736=$G$13,H736=$G$14),SottocategorieUscite[[#Headers],[Utenze]],IF(OR(H736=$H$5,H736=$H$6,H736=$H$7,H736=$H$8,H736=$H$9,H736=$H$10,H736=$H$11,H736=$H$12,H736=$H$13,H736=$H$14),SottocategorieUscite[[#Headers],[Business Uscite]],IF(OR(H736=$I$5,H736=$I$6,H736=$I$7,H736=$I$8,H736=$I$9,H736=$I$10,H736=$I$11,H736=$I$12,H736=$I$13,H736=$I$14),SottocategorieUscite[[#Headers],[Banca]],IF(OR(H736=K$5,H736=K$6,H736=K$7,H736=K$8,H736=K$9,H736=K$10,H736=K$11,H736=K$12,H736=K$13,H736=K$14),SottocategorieEntrate[[#Headers],[Business Entrate]],IF(OR(H736=L$5,H736=L$6,H736=L$7,H736=L$8,H736=L$9,H736=L$10,H736=L$11,H736=L$12,H736=L$13,H736=L$14),SottocategorieEntrate[[#Headers],[Varie Entrate]],IF(OR(H736=M$5,H736=M$6,H736=M$7,H736=M$8,H736=M$9,H736=M$10,H736=M$11,H736=M$12,H736=M$13,H736=M$14),SottocategorieEntrate[[#Headers],[Real Estate]],IF(OR(H736=N$5,H736=N$6,H736=N$7,H736=N$8,H736=N$9,H736=N$10,H736=N$11,H736=N$12,H736=N$13,H736=N$14),SottocategorieEntrate[[#Headers],[Other]],""))))))))))))</f>
        <v/>
      </c>
      <c r="J736" t="str">
        <f>IF(OR(Dati[[#This Row],[Categoria]]="Bollette",Dati[[#This Row],[Categoria]]="Conto &amp; Carte BNL",Dati[[#This Row],[Categoria]]="Prelievo",Dati[[#This Row],[Categoria]]="Affitto",Dati[[#This Row],[Categoria]]="BNL(Interessi Creditori)"),"Carta",IF(Dati[[#This Row],[Categoria]]&lt;&gt;0,"Cash",""))</f>
        <v/>
      </c>
      <c r="K736" s="59" t="str">
        <f>IF(OR(Data!$I736=SottocategorieUscite[[#Headers],[Fuori Casa]],Data!$I736=SottocategorieUscite[[#Headers],[Varie Uscite]],Data!$I736=SottocategorieUscite[[#Headers],[Personali]],Data!$I736=SottocategorieUscite[[#Headers],[Lavoro]]),"$ -","")</f>
        <v/>
      </c>
      <c r="L736" s="59" t="str">
        <f>IF(OR(Data!$I736=SottocategorieUscite[[#Headers],[Casa]],Data!$I736=SottocategorieUscite[[#Headers],[Utenze]],Data!$I736=SottocategorieUscite[[#Headers],[Business Uscite]],Data!$I736=SottocategorieUscite[[#Headers],[Banca]]),"$ -","")</f>
        <v/>
      </c>
      <c r="M736" s="59" t="str">
        <f>IF(OR($I736&lt;&gt;SottocategorieUscite[[#Headers],[Fuori Casa]],$I736&lt;&gt;SottocategorieUscite[[#Headers],[Varie Uscite]],$I736&lt;&gt;SottocategorieUscite[[#Headers],[Personali]],$I736&lt;&gt;SottocategorieUscite[[#Headers],[Lavoro]],$I736&lt;&gt;SottocategorieUscite[[#Headers],[Casa]],$I736&lt;&gt;SottocategorieUscite[[#Headers],[Utenze]],$I736&lt;&gt;SottocategorieUscite[[#Headers],[Business Uscite]],$I736&lt;&gt;SottocategorieUscite[[#Headers],[Banca]]),"","$ -")</f>
        <v/>
      </c>
      <c r="N736" s="59" t="str">
        <f>IF(OR(Data!$I736=SottocategorieEntrate[[#Headers],[Business Entrate]],Data!$I736=SottocategorieEntrate[[#Headers],[Varie Entrate]]),"$ -","")</f>
        <v/>
      </c>
      <c r="O736" s="59" t="str">
        <f>IF(OR(Data!$I736=SottocategorieEntrate[[#Headers],[Real Estate]],SottocategorieEntrate[[#Headers],[Other]]),"$ -","")</f>
        <v/>
      </c>
      <c r="P736" s="59" t="str">
        <f>IF(OR($I736&lt;&gt;SottocategorieEntrate[[#Headers],[Business Entrate]],$I736&lt;&gt;SottocategorieEntrate[[#Headers],[Varie Entrate]],$I736&lt;&gt;SottocategorieEntrate[[#Headers],[Real Estate]],$I736&lt;&gt;SottocategorieEntrate[[#Headers],[Other]]),"","$ -")</f>
        <v/>
      </c>
      <c r="Q736" s="59" t="str">
        <f>IF(Dati[[#This Row],[Categoria]]="Prelievo","€ -","")</f>
        <v/>
      </c>
      <c r="R736" s="244"/>
      <c r="S736" s="59" t="str">
        <f>IF(Dati[[#This Row],[Categoria]]="Savings",0,"")</f>
        <v/>
      </c>
      <c r="T736" s="59"/>
      <c r="U736" s="59"/>
      <c r="V736" s="59"/>
      <c r="W736" s="59"/>
      <c r="X736" s="59"/>
      <c r="Y736" s="59"/>
      <c r="Z736" s="59"/>
      <c r="AA736" s="59"/>
      <c r="AB736" s="59"/>
      <c r="AC736" s="59"/>
      <c r="AD736" s="59"/>
      <c r="AE736" s="59"/>
      <c r="AF736" s="59"/>
      <c r="AG736" s="59"/>
      <c r="AH736" s="59"/>
      <c r="AI736" s="59" t="str">
        <f>IF(SUM(Dati[[#This Row],[Inv. Business]:[Inv. Cryptocurrency]])=0," ",SUM(Dati[[#This Row],[Inv. Business]:[Inv. Cryptocurrency]]))</f>
        <v xml:space="preserve"> </v>
      </c>
      <c r="AJ736" s="59"/>
      <c r="AK736" s="59"/>
      <c r="AL736" s="59"/>
      <c r="AM736" s="59"/>
    </row>
    <row r="737" spans="2:39" x14ac:dyDescent="0.35">
      <c r="B737" s="237">
        <f t="shared" si="37"/>
        <v>717</v>
      </c>
      <c r="C737" s="49">
        <f t="shared" si="35"/>
        <v>45466</v>
      </c>
      <c r="D737" s="29">
        <f>DAY(Dati[[#This Row],[Data]])</f>
        <v>23</v>
      </c>
      <c r="E737" s="29" t="str">
        <f>IF(DAY(Data!$C$21:$C$1327)&gt;0,TEXT(Data!$C$21:$C$1327, "mmmm"),"")</f>
        <v>giugno</v>
      </c>
      <c r="F737" s="29" t="str">
        <f>IF(DAY(Data!$C$21:$C$1327)&gt;0,TEXT(Data!$C$21:$C$1327, "aaaa"),"")</f>
        <v>2024</v>
      </c>
      <c r="I737" t="str">
        <f>IF(OR(H737=$B$5,H737=$B$6,H737=$B$7,H737=$B$8,H737=$B$9,H737=$B$10,H737=$B$11,H737=$B$12,H737=$B$13,H737=$B$14),SottocategorieUscite[[#Headers],[Fuori Casa]],IF(OR(H737=$C$5,H737=$C$6,H737=$C$7,H737=$C$8,H737=$C$9,H737=$C$10,H737=$C$11,H737=$C$12,H737=$C$13,H737=$C$14),SottocategorieUscite[[#Headers],[Varie Uscite]],IF(OR(H737=$D$5,H737=$D$6,H737=$D$7,H737=$D$8,H737=$D$9,H737=$D$10,H737=$D$11,H737=$D$12,H737=$D$13,H737=$D$14),SottocategorieUscite[[#Headers],[Personali]],IF(OR(H737=$E$5,H737=$E$6,H737=$E$7,H737=$E$8,H737=$E$9,H737=$E$10,H737=$E$11,H737=$E$12,H737=$E$13,H737=$E$14),SottocategorieUscite[[#Headers],[Lavoro]],IF(OR(H737=$F$5,H737=$F$6,H737=$F$7,H737=$F$8,H737=$F$9,H737=$F$10,H737=$F$11,H737=$F$12,H737=$F$13,H737=$F$14),SottocategorieUscite[[#Headers],[Casa]],IF(OR(H737=$G$5,H737=$G$6,H737=$G$7,H737=$G$8,H737=$G$9,H737=$G$10,H737=$G$11,H737=$G$12,H737=$G$13,H737=$G$14),SottocategorieUscite[[#Headers],[Utenze]],IF(OR(H737=$H$5,H737=$H$6,H737=$H$7,H737=$H$8,H737=$H$9,H737=$H$10,H737=$H$11,H737=$H$12,H737=$H$13,H737=$H$14),SottocategorieUscite[[#Headers],[Business Uscite]],IF(OR(H737=$I$5,H737=$I$6,H737=$I$7,H737=$I$8,H737=$I$9,H737=$I$10,H737=$I$11,H737=$I$12,H737=$I$13,H737=$I$14),SottocategorieUscite[[#Headers],[Banca]],IF(OR(H737=K$5,H737=K$6,H737=K$7,H737=K$8,H737=K$9,H737=K$10,H737=K$11,H737=K$12,H737=K$13,H737=K$14),SottocategorieEntrate[[#Headers],[Business Entrate]],IF(OR(H737=L$5,H737=L$6,H737=L$7,H737=L$8,H737=L$9,H737=L$10,H737=L$11,H737=L$12,H737=L$13,H737=L$14),SottocategorieEntrate[[#Headers],[Varie Entrate]],IF(OR(H737=M$5,H737=M$6,H737=M$7,H737=M$8,H737=M$9,H737=M$10,H737=M$11,H737=M$12,H737=M$13,H737=M$14),SottocategorieEntrate[[#Headers],[Real Estate]],IF(OR(H737=N$5,H737=N$6,H737=N$7,H737=N$8,H737=N$9,H737=N$10,H737=N$11,H737=N$12,H737=N$13,H737=N$14),SottocategorieEntrate[[#Headers],[Other]],""))))))))))))</f>
        <v/>
      </c>
      <c r="J737" t="str">
        <f>IF(OR(Dati[[#This Row],[Categoria]]="Bollette",Dati[[#This Row],[Categoria]]="Conto &amp; Carte BNL",Dati[[#This Row],[Categoria]]="Prelievo",Dati[[#This Row],[Categoria]]="Affitto",Dati[[#This Row],[Categoria]]="BNL(Interessi Creditori)"),"Carta",IF(Dati[[#This Row],[Categoria]]&lt;&gt;0,"Cash",""))</f>
        <v/>
      </c>
      <c r="K737" s="59" t="str">
        <f>IF(OR(Data!$I737=SottocategorieUscite[[#Headers],[Fuori Casa]],Data!$I737=SottocategorieUscite[[#Headers],[Varie Uscite]],Data!$I737=SottocategorieUscite[[#Headers],[Personali]],Data!$I737=SottocategorieUscite[[#Headers],[Lavoro]]),"$ -","")</f>
        <v/>
      </c>
      <c r="L737" s="59" t="str">
        <f>IF(OR(Data!$I737=SottocategorieUscite[[#Headers],[Casa]],Data!$I737=SottocategorieUscite[[#Headers],[Utenze]],Data!$I737=SottocategorieUscite[[#Headers],[Business Uscite]],Data!$I737=SottocategorieUscite[[#Headers],[Banca]]),"$ -","")</f>
        <v/>
      </c>
      <c r="M737" s="59" t="str">
        <f>IF(OR($I737&lt;&gt;SottocategorieUscite[[#Headers],[Fuori Casa]],$I737&lt;&gt;SottocategorieUscite[[#Headers],[Varie Uscite]],$I737&lt;&gt;SottocategorieUscite[[#Headers],[Personali]],$I737&lt;&gt;SottocategorieUscite[[#Headers],[Lavoro]],$I737&lt;&gt;SottocategorieUscite[[#Headers],[Casa]],$I737&lt;&gt;SottocategorieUscite[[#Headers],[Utenze]],$I737&lt;&gt;SottocategorieUscite[[#Headers],[Business Uscite]],$I737&lt;&gt;SottocategorieUscite[[#Headers],[Banca]]),"","$ -")</f>
        <v/>
      </c>
      <c r="N737" s="59" t="str">
        <f>IF(OR(Data!$I737=SottocategorieEntrate[[#Headers],[Business Entrate]],Data!$I737=SottocategorieEntrate[[#Headers],[Varie Entrate]]),"$ -","")</f>
        <v/>
      </c>
      <c r="O737" s="59" t="str">
        <f>IF(OR(Data!$I737=SottocategorieEntrate[[#Headers],[Real Estate]],SottocategorieEntrate[[#Headers],[Other]]),"$ -","")</f>
        <v/>
      </c>
      <c r="P737" s="59" t="str">
        <f>IF(OR($I737&lt;&gt;SottocategorieEntrate[[#Headers],[Business Entrate]],$I737&lt;&gt;SottocategorieEntrate[[#Headers],[Varie Entrate]],$I737&lt;&gt;SottocategorieEntrate[[#Headers],[Real Estate]],$I737&lt;&gt;SottocategorieEntrate[[#Headers],[Other]]),"","$ -")</f>
        <v/>
      </c>
      <c r="Q737" s="59" t="str">
        <f>IF(Dati[[#This Row],[Categoria]]="Prelievo","€ -","")</f>
        <v/>
      </c>
      <c r="R737" s="244"/>
      <c r="S737" s="59" t="str">
        <f>IF(Dati[[#This Row],[Categoria]]="Savings",0,"")</f>
        <v/>
      </c>
      <c r="T737" s="59"/>
      <c r="U737" s="59"/>
      <c r="V737" s="59"/>
      <c r="W737" s="59"/>
      <c r="X737" s="59"/>
      <c r="Y737" s="59"/>
      <c r="Z737" s="59"/>
      <c r="AA737" s="59"/>
      <c r="AB737" s="59"/>
      <c r="AC737" s="59"/>
      <c r="AD737" s="59"/>
      <c r="AE737" s="59"/>
      <c r="AF737" s="59"/>
      <c r="AG737" s="59"/>
      <c r="AH737" s="59"/>
      <c r="AI737" s="59" t="str">
        <f>IF(SUM(Dati[[#This Row],[Inv. Business]:[Inv. Cryptocurrency]])=0," ",SUM(Dati[[#This Row],[Inv. Business]:[Inv. Cryptocurrency]]))</f>
        <v xml:space="preserve"> </v>
      </c>
      <c r="AJ737" s="59"/>
      <c r="AK737" s="59"/>
      <c r="AL737" s="59"/>
      <c r="AM737" s="59"/>
    </row>
    <row r="738" spans="2:39" x14ac:dyDescent="0.35">
      <c r="B738" s="237">
        <f t="shared" si="37"/>
        <v>718</v>
      </c>
      <c r="C738" s="49">
        <f t="shared" si="35"/>
        <v>45467</v>
      </c>
      <c r="D738" s="29">
        <f>DAY(Dati[[#This Row],[Data]])</f>
        <v>24</v>
      </c>
      <c r="E738" s="29" t="str">
        <f>IF(DAY(Data!$C$21:$C$1327)&gt;0,TEXT(Data!$C$21:$C$1327, "mmmm"),"")</f>
        <v>giugno</v>
      </c>
      <c r="F738" s="29" t="str">
        <f>IF(DAY(Data!$C$21:$C$1327)&gt;0,TEXT(Data!$C$21:$C$1327, "aaaa"),"")</f>
        <v>2024</v>
      </c>
      <c r="I738" t="str">
        <f>IF(OR(H738=$B$5,H738=$B$6,H738=$B$7,H738=$B$8,H738=$B$9,H738=$B$10,H738=$B$11,H738=$B$12,H738=$B$13,H738=$B$14),SottocategorieUscite[[#Headers],[Fuori Casa]],IF(OR(H738=$C$5,H738=$C$6,H738=$C$7,H738=$C$8,H738=$C$9,H738=$C$10,H738=$C$11,H738=$C$12,H738=$C$13,H738=$C$14),SottocategorieUscite[[#Headers],[Varie Uscite]],IF(OR(H738=$D$5,H738=$D$6,H738=$D$7,H738=$D$8,H738=$D$9,H738=$D$10,H738=$D$11,H738=$D$12,H738=$D$13,H738=$D$14),SottocategorieUscite[[#Headers],[Personali]],IF(OR(H738=$E$5,H738=$E$6,H738=$E$7,H738=$E$8,H738=$E$9,H738=$E$10,H738=$E$11,H738=$E$12,H738=$E$13,H738=$E$14),SottocategorieUscite[[#Headers],[Lavoro]],IF(OR(H738=$F$5,H738=$F$6,H738=$F$7,H738=$F$8,H738=$F$9,H738=$F$10,H738=$F$11,H738=$F$12,H738=$F$13,H738=$F$14),SottocategorieUscite[[#Headers],[Casa]],IF(OR(H738=$G$5,H738=$G$6,H738=$G$7,H738=$G$8,H738=$G$9,H738=$G$10,H738=$G$11,H738=$G$12,H738=$G$13,H738=$G$14),SottocategorieUscite[[#Headers],[Utenze]],IF(OR(H738=$H$5,H738=$H$6,H738=$H$7,H738=$H$8,H738=$H$9,H738=$H$10,H738=$H$11,H738=$H$12,H738=$H$13,H738=$H$14),SottocategorieUscite[[#Headers],[Business Uscite]],IF(OR(H738=$I$5,H738=$I$6,H738=$I$7,H738=$I$8,H738=$I$9,H738=$I$10,H738=$I$11,H738=$I$12,H738=$I$13,H738=$I$14),SottocategorieUscite[[#Headers],[Banca]],IF(OR(H738=K$5,H738=K$6,H738=K$7,H738=K$8,H738=K$9,H738=K$10,H738=K$11,H738=K$12,H738=K$13,H738=K$14),SottocategorieEntrate[[#Headers],[Business Entrate]],IF(OR(H738=L$5,H738=L$6,H738=L$7,H738=L$8,H738=L$9,H738=L$10,H738=L$11,H738=L$12,H738=L$13,H738=L$14),SottocategorieEntrate[[#Headers],[Varie Entrate]],IF(OR(H738=M$5,H738=M$6,H738=M$7,H738=M$8,H738=M$9,H738=M$10,H738=M$11,H738=M$12,H738=M$13,H738=M$14),SottocategorieEntrate[[#Headers],[Real Estate]],IF(OR(H738=N$5,H738=N$6,H738=N$7,H738=N$8,H738=N$9,H738=N$10,H738=N$11,H738=N$12,H738=N$13,H738=N$14),SottocategorieEntrate[[#Headers],[Other]],""))))))))))))</f>
        <v/>
      </c>
      <c r="J738" t="str">
        <f>IF(OR(Dati[[#This Row],[Categoria]]="Bollette",Dati[[#This Row],[Categoria]]="Conto &amp; Carte BNL",Dati[[#This Row],[Categoria]]="Prelievo",Dati[[#This Row],[Categoria]]="Affitto",Dati[[#This Row],[Categoria]]="BNL(Interessi Creditori)"),"Carta",IF(Dati[[#This Row],[Categoria]]&lt;&gt;0,"Cash",""))</f>
        <v/>
      </c>
      <c r="K738" s="59" t="str">
        <f>IF(OR(Data!$I738=SottocategorieUscite[[#Headers],[Fuori Casa]],Data!$I738=SottocategorieUscite[[#Headers],[Varie Uscite]],Data!$I738=SottocategorieUscite[[#Headers],[Personali]],Data!$I738=SottocategorieUscite[[#Headers],[Lavoro]]),"$ -","")</f>
        <v/>
      </c>
      <c r="L738" s="59" t="str">
        <f>IF(OR(Data!$I738=SottocategorieUscite[[#Headers],[Casa]],Data!$I738=SottocategorieUscite[[#Headers],[Utenze]],Data!$I738=SottocategorieUscite[[#Headers],[Business Uscite]],Data!$I738=SottocategorieUscite[[#Headers],[Banca]]),"$ -","")</f>
        <v/>
      </c>
      <c r="M738" s="59" t="str">
        <f>IF(OR($I738&lt;&gt;SottocategorieUscite[[#Headers],[Fuori Casa]],$I738&lt;&gt;SottocategorieUscite[[#Headers],[Varie Uscite]],$I738&lt;&gt;SottocategorieUscite[[#Headers],[Personali]],$I738&lt;&gt;SottocategorieUscite[[#Headers],[Lavoro]],$I738&lt;&gt;SottocategorieUscite[[#Headers],[Casa]],$I738&lt;&gt;SottocategorieUscite[[#Headers],[Utenze]],$I738&lt;&gt;SottocategorieUscite[[#Headers],[Business Uscite]],$I738&lt;&gt;SottocategorieUscite[[#Headers],[Banca]]),"","$ -")</f>
        <v/>
      </c>
      <c r="N738" s="59" t="str">
        <f>IF(OR(Data!$I738=SottocategorieEntrate[[#Headers],[Business Entrate]],Data!$I738=SottocategorieEntrate[[#Headers],[Varie Entrate]]),"$ -","")</f>
        <v/>
      </c>
      <c r="O738" s="59" t="str">
        <f>IF(OR(Data!$I738=SottocategorieEntrate[[#Headers],[Real Estate]],SottocategorieEntrate[[#Headers],[Other]]),"$ -","")</f>
        <v/>
      </c>
      <c r="P738" s="59" t="str">
        <f>IF(OR($I738&lt;&gt;SottocategorieEntrate[[#Headers],[Business Entrate]],$I738&lt;&gt;SottocategorieEntrate[[#Headers],[Varie Entrate]],$I738&lt;&gt;SottocategorieEntrate[[#Headers],[Real Estate]],$I738&lt;&gt;SottocategorieEntrate[[#Headers],[Other]]),"","$ -")</f>
        <v/>
      </c>
      <c r="Q738" s="59" t="str">
        <f>IF(Dati[[#This Row],[Categoria]]="Prelievo","€ -","")</f>
        <v/>
      </c>
      <c r="R738" s="244"/>
      <c r="S738" s="59" t="str">
        <f>IF(Dati[[#This Row],[Categoria]]="Savings",0,"")</f>
        <v/>
      </c>
      <c r="T738" s="59"/>
      <c r="U738" s="59"/>
      <c r="V738" s="59"/>
      <c r="W738" s="59"/>
      <c r="X738" s="59"/>
      <c r="Y738" s="59"/>
      <c r="Z738" s="59"/>
      <c r="AA738" s="59"/>
      <c r="AB738" s="59"/>
      <c r="AC738" s="59"/>
      <c r="AD738" s="59"/>
      <c r="AE738" s="59"/>
      <c r="AF738" s="59"/>
      <c r="AG738" s="59"/>
      <c r="AH738" s="59"/>
      <c r="AI738" s="59" t="str">
        <f>IF(SUM(Dati[[#This Row],[Inv. Business]:[Inv. Cryptocurrency]])=0," ",SUM(Dati[[#This Row],[Inv. Business]:[Inv. Cryptocurrency]]))</f>
        <v xml:space="preserve"> </v>
      </c>
      <c r="AJ738" s="59"/>
      <c r="AK738" s="59"/>
      <c r="AL738" s="59"/>
      <c r="AM738" s="59"/>
    </row>
    <row r="739" spans="2:39" x14ac:dyDescent="0.35">
      <c r="B739" s="237">
        <f t="shared" si="37"/>
        <v>719</v>
      </c>
      <c r="C739" s="49">
        <f t="shared" si="35"/>
        <v>45468</v>
      </c>
      <c r="D739" s="29">
        <f>DAY(Dati[[#This Row],[Data]])</f>
        <v>25</v>
      </c>
      <c r="E739" s="29" t="str">
        <f>IF(DAY(Data!$C$21:$C$1327)&gt;0,TEXT(Data!$C$21:$C$1327, "mmmm"),"")</f>
        <v>giugno</v>
      </c>
      <c r="F739" s="29" t="str">
        <f>IF(DAY(Data!$C$21:$C$1327)&gt;0,TEXT(Data!$C$21:$C$1327, "aaaa"),"")</f>
        <v>2024</v>
      </c>
      <c r="I739" t="str">
        <f>IF(OR(H739=$B$5,H739=$B$6,H739=$B$7,H739=$B$8,H739=$B$9,H739=$B$10,H739=$B$11,H739=$B$12,H739=$B$13,H739=$B$14),SottocategorieUscite[[#Headers],[Fuori Casa]],IF(OR(H739=$C$5,H739=$C$6,H739=$C$7,H739=$C$8,H739=$C$9,H739=$C$10,H739=$C$11,H739=$C$12,H739=$C$13,H739=$C$14),SottocategorieUscite[[#Headers],[Varie Uscite]],IF(OR(H739=$D$5,H739=$D$6,H739=$D$7,H739=$D$8,H739=$D$9,H739=$D$10,H739=$D$11,H739=$D$12,H739=$D$13,H739=$D$14),SottocategorieUscite[[#Headers],[Personali]],IF(OR(H739=$E$5,H739=$E$6,H739=$E$7,H739=$E$8,H739=$E$9,H739=$E$10,H739=$E$11,H739=$E$12,H739=$E$13,H739=$E$14),SottocategorieUscite[[#Headers],[Lavoro]],IF(OR(H739=$F$5,H739=$F$6,H739=$F$7,H739=$F$8,H739=$F$9,H739=$F$10,H739=$F$11,H739=$F$12,H739=$F$13,H739=$F$14),SottocategorieUscite[[#Headers],[Casa]],IF(OR(H739=$G$5,H739=$G$6,H739=$G$7,H739=$G$8,H739=$G$9,H739=$G$10,H739=$G$11,H739=$G$12,H739=$G$13,H739=$G$14),SottocategorieUscite[[#Headers],[Utenze]],IF(OR(H739=$H$5,H739=$H$6,H739=$H$7,H739=$H$8,H739=$H$9,H739=$H$10,H739=$H$11,H739=$H$12,H739=$H$13,H739=$H$14),SottocategorieUscite[[#Headers],[Business Uscite]],IF(OR(H739=$I$5,H739=$I$6,H739=$I$7,H739=$I$8,H739=$I$9,H739=$I$10,H739=$I$11,H739=$I$12,H739=$I$13,H739=$I$14),SottocategorieUscite[[#Headers],[Banca]],IF(OR(H739=K$5,H739=K$6,H739=K$7,H739=K$8,H739=K$9,H739=K$10,H739=K$11,H739=K$12,H739=K$13,H739=K$14),SottocategorieEntrate[[#Headers],[Business Entrate]],IF(OR(H739=L$5,H739=L$6,H739=L$7,H739=L$8,H739=L$9,H739=L$10,H739=L$11,H739=L$12,H739=L$13,H739=L$14),SottocategorieEntrate[[#Headers],[Varie Entrate]],IF(OR(H739=M$5,H739=M$6,H739=M$7,H739=M$8,H739=M$9,H739=M$10,H739=M$11,H739=M$12,H739=M$13,H739=M$14),SottocategorieEntrate[[#Headers],[Real Estate]],IF(OR(H739=N$5,H739=N$6,H739=N$7,H739=N$8,H739=N$9,H739=N$10,H739=N$11,H739=N$12,H739=N$13,H739=N$14),SottocategorieEntrate[[#Headers],[Other]],""))))))))))))</f>
        <v/>
      </c>
      <c r="J739" t="str">
        <f>IF(OR(Dati[[#This Row],[Categoria]]="Bollette",Dati[[#This Row],[Categoria]]="Conto &amp; Carte BNL",Dati[[#This Row],[Categoria]]="Prelievo",Dati[[#This Row],[Categoria]]="Affitto",Dati[[#This Row],[Categoria]]="BNL(Interessi Creditori)"),"Carta",IF(Dati[[#This Row],[Categoria]]&lt;&gt;0,"Cash",""))</f>
        <v/>
      </c>
      <c r="K739" s="59" t="str">
        <f>IF(OR(Data!$I739=SottocategorieUscite[[#Headers],[Fuori Casa]],Data!$I739=SottocategorieUscite[[#Headers],[Varie Uscite]],Data!$I739=SottocategorieUscite[[#Headers],[Personali]],Data!$I739=SottocategorieUscite[[#Headers],[Lavoro]]),"$ -","")</f>
        <v/>
      </c>
      <c r="L739" s="59" t="str">
        <f>IF(OR(Data!$I739=SottocategorieUscite[[#Headers],[Casa]],Data!$I739=SottocategorieUscite[[#Headers],[Utenze]],Data!$I739=SottocategorieUscite[[#Headers],[Business Uscite]],Data!$I739=SottocategorieUscite[[#Headers],[Banca]]),"$ -","")</f>
        <v/>
      </c>
      <c r="M739" s="59" t="str">
        <f>IF(OR($I739&lt;&gt;SottocategorieUscite[[#Headers],[Fuori Casa]],$I739&lt;&gt;SottocategorieUscite[[#Headers],[Varie Uscite]],$I739&lt;&gt;SottocategorieUscite[[#Headers],[Personali]],$I739&lt;&gt;SottocategorieUscite[[#Headers],[Lavoro]],$I739&lt;&gt;SottocategorieUscite[[#Headers],[Casa]],$I739&lt;&gt;SottocategorieUscite[[#Headers],[Utenze]],$I739&lt;&gt;SottocategorieUscite[[#Headers],[Business Uscite]],$I739&lt;&gt;SottocategorieUscite[[#Headers],[Banca]]),"","$ -")</f>
        <v/>
      </c>
      <c r="N739" s="59" t="str">
        <f>IF(OR(Data!$I739=SottocategorieEntrate[[#Headers],[Business Entrate]],Data!$I739=SottocategorieEntrate[[#Headers],[Varie Entrate]]),"$ -","")</f>
        <v/>
      </c>
      <c r="O739" s="59" t="str">
        <f>IF(OR(Data!$I739=SottocategorieEntrate[[#Headers],[Real Estate]],SottocategorieEntrate[[#Headers],[Other]]),"$ -","")</f>
        <v/>
      </c>
      <c r="P739" s="59" t="str">
        <f>IF(OR($I739&lt;&gt;SottocategorieEntrate[[#Headers],[Business Entrate]],$I739&lt;&gt;SottocategorieEntrate[[#Headers],[Varie Entrate]],$I739&lt;&gt;SottocategorieEntrate[[#Headers],[Real Estate]],$I739&lt;&gt;SottocategorieEntrate[[#Headers],[Other]]),"","$ -")</f>
        <v/>
      </c>
      <c r="Q739" s="59" t="str">
        <f>IF(Dati[[#This Row],[Categoria]]="Prelievo","€ -","")</f>
        <v/>
      </c>
      <c r="R739" s="244"/>
      <c r="S739" s="59" t="str">
        <f>IF(Dati[[#This Row],[Categoria]]="Savings",0,"")</f>
        <v/>
      </c>
      <c r="T739" s="59"/>
      <c r="U739" s="59"/>
      <c r="V739" s="59"/>
      <c r="W739" s="59"/>
      <c r="X739" s="59"/>
      <c r="Y739" s="59"/>
      <c r="Z739" s="59"/>
      <c r="AA739" s="59"/>
      <c r="AB739" s="59"/>
      <c r="AC739" s="59"/>
      <c r="AD739" s="59"/>
      <c r="AE739" s="59"/>
      <c r="AF739" s="59"/>
      <c r="AG739" s="59"/>
      <c r="AH739" s="59"/>
      <c r="AI739" s="59" t="str">
        <f>IF(SUM(Dati[[#This Row],[Inv. Business]:[Inv. Cryptocurrency]])=0," ",SUM(Dati[[#This Row],[Inv. Business]:[Inv. Cryptocurrency]]))</f>
        <v xml:space="preserve"> </v>
      </c>
      <c r="AJ739" s="59"/>
      <c r="AK739" s="59"/>
      <c r="AL739" s="59"/>
      <c r="AM739" s="59"/>
    </row>
    <row r="740" spans="2:39" x14ac:dyDescent="0.35">
      <c r="B740" s="237">
        <f t="shared" si="37"/>
        <v>720</v>
      </c>
      <c r="C740" s="49">
        <f t="shared" si="35"/>
        <v>45469</v>
      </c>
      <c r="D740" s="29">
        <f>DAY(Dati[[#This Row],[Data]])</f>
        <v>26</v>
      </c>
      <c r="E740" s="29" t="str">
        <f>IF(DAY(Data!$C$21:$C$1327)&gt;0,TEXT(Data!$C$21:$C$1327, "mmmm"),"")</f>
        <v>giugno</v>
      </c>
      <c r="F740" s="29" t="str">
        <f>IF(DAY(Data!$C$21:$C$1327)&gt;0,TEXT(Data!$C$21:$C$1327, "aaaa"),"")</f>
        <v>2024</v>
      </c>
      <c r="I740" t="str">
        <f>IF(OR(H740=$B$5,H740=$B$6,H740=$B$7,H740=$B$8,H740=$B$9,H740=$B$10,H740=$B$11,H740=$B$12,H740=$B$13,H740=$B$14),SottocategorieUscite[[#Headers],[Fuori Casa]],IF(OR(H740=$C$5,H740=$C$6,H740=$C$7,H740=$C$8,H740=$C$9,H740=$C$10,H740=$C$11,H740=$C$12,H740=$C$13,H740=$C$14),SottocategorieUscite[[#Headers],[Varie Uscite]],IF(OR(H740=$D$5,H740=$D$6,H740=$D$7,H740=$D$8,H740=$D$9,H740=$D$10,H740=$D$11,H740=$D$12,H740=$D$13,H740=$D$14),SottocategorieUscite[[#Headers],[Personali]],IF(OR(H740=$E$5,H740=$E$6,H740=$E$7,H740=$E$8,H740=$E$9,H740=$E$10,H740=$E$11,H740=$E$12,H740=$E$13,H740=$E$14),SottocategorieUscite[[#Headers],[Lavoro]],IF(OR(H740=$F$5,H740=$F$6,H740=$F$7,H740=$F$8,H740=$F$9,H740=$F$10,H740=$F$11,H740=$F$12,H740=$F$13,H740=$F$14),SottocategorieUscite[[#Headers],[Casa]],IF(OR(H740=$G$5,H740=$G$6,H740=$G$7,H740=$G$8,H740=$G$9,H740=$G$10,H740=$G$11,H740=$G$12,H740=$G$13,H740=$G$14),SottocategorieUscite[[#Headers],[Utenze]],IF(OR(H740=$H$5,H740=$H$6,H740=$H$7,H740=$H$8,H740=$H$9,H740=$H$10,H740=$H$11,H740=$H$12,H740=$H$13,H740=$H$14),SottocategorieUscite[[#Headers],[Business Uscite]],IF(OR(H740=$I$5,H740=$I$6,H740=$I$7,H740=$I$8,H740=$I$9,H740=$I$10,H740=$I$11,H740=$I$12,H740=$I$13,H740=$I$14),SottocategorieUscite[[#Headers],[Banca]],IF(OR(H740=K$5,H740=K$6,H740=K$7,H740=K$8,H740=K$9,H740=K$10,H740=K$11,H740=K$12,H740=K$13,H740=K$14),SottocategorieEntrate[[#Headers],[Business Entrate]],IF(OR(H740=L$5,H740=L$6,H740=L$7,H740=L$8,H740=L$9,H740=L$10,H740=L$11,H740=L$12,H740=L$13,H740=L$14),SottocategorieEntrate[[#Headers],[Varie Entrate]],IF(OR(H740=M$5,H740=M$6,H740=M$7,H740=M$8,H740=M$9,H740=M$10,H740=M$11,H740=M$12,H740=M$13,H740=M$14),SottocategorieEntrate[[#Headers],[Real Estate]],IF(OR(H740=N$5,H740=N$6,H740=N$7,H740=N$8,H740=N$9,H740=N$10,H740=N$11,H740=N$12,H740=N$13,H740=N$14),SottocategorieEntrate[[#Headers],[Other]],""))))))))))))</f>
        <v/>
      </c>
      <c r="J740" t="str">
        <f>IF(OR(Dati[[#This Row],[Categoria]]="Bollette",Dati[[#This Row],[Categoria]]="Conto &amp; Carte BNL",Dati[[#This Row],[Categoria]]="Prelievo",Dati[[#This Row],[Categoria]]="Affitto",Dati[[#This Row],[Categoria]]="BNL(Interessi Creditori)"),"Carta",IF(Dati[[#This Row],[Categoria]]&lt;&gt;0,"Cash",""))</f>
        <v/>
      </c>
      <c r="K740" s="59" t="str">
        <f>IF(OR(Data!$I740=SottocategorieUscite[[#Headers],[Fuori Casa]],Data!$I740=SottocategorieUscite[[#Headers],[Varie Uscite]],Data!$I740=SottocategorieUscite[[#Headers],[Personali]],Data!$I740=SottocategorieUscite[[#Headers],[Lavoro]]),"$ -","")</f>
        <v/>
      </c>
      <c r="L740" s="59" t="str">
        <f>IF(OR(Data!$I740=SottocategorieUscite[[#Headers],[Casa]],Data!$I740=SottocategorieUscite[[#Headers],[Utenze]],Data!$I740=SottocategorieUscite[[#Headers],[Business Uscite]],Data!$I740=SottocategorieUscite[[#Headers],[Banca]]),"$ -","")</f>
        <v/>
      </c>
      <c r="M740" s="59" t="str">
        <f>IF(OR($I740&lt;&gt;SottocategorieUscite[[#Headers],[Fuori Casa]],$I740&lt;&gt;SottocategorieUscite[[#Headers],[Varie Uscite]],$I740&lt;&gt;SottocategorieUscite[[#Headers],[Personali]],$I740&lt;&gt;SottocategorieUscite[[#Headers],[Lavoro]],$I740&lt;&gt;SottocategorieUscite[[#Headers],[Casa]],$I740&lt;&gt;SottocategorieUscite[[#Headers],[Utenze]],$I740&lt;&gt;SottocategorieUscite[[#Headers],[Business Uscite]],$I740&lt;&gt;SottocategorieUscite[[#Headers],[Banca]]),"","$ -")</f>
        <v/>
      </c>
      <c r="N740" s="59" t="str">
        <f>IF(OR(Data!$I740=SottocategorieEntrate[[#Headers],[Business Entrate]],Data!$I740=SottocategorieEntrate[[#Headers],[Varie Entrate]]),"$ -","")</f>
        <v/>
      </c>
      <c r="O740" s="59" t="str">
        <f>IF(OR(Data!$I740=SottocategorieEntrate[[#Headers],[Real Estate]],SottocategorieEntrate[[#Headers],[Other]]),"$ -","")</f>
        <v/>
      </c>
      <c r="P740" s="59" t="str">
        <f>IF(OR($I740&lt;&gt;SottocategorieEntrate[[#Headers],[Business Entrate]],$I740&lt;&gt;SottocategorieEntrate[[#Headers],[Varie Entrate]],$I740&lt;&gt;SottocategorieEntrate[[#Headers],[Real Estate]],$I740&lt;&gt;SottocategorieEntrate[[#Headers],[Other]]),"","$ -")</f>
        <v/>
      </c>
      <c r="Q740" s="59" t="str">
        <f>IF(Dati[[#This Row],[Categoria]]="Prelievo","€ -","")</f>
        <v/>
      </c>
      <c r="R740" s="244"/>
      <c r="S740" s="59" t="str">
        <f>IF(Dati[[#This Row],[Categoria]]="Savings",0,"")</f>
        <v/>
      </c>
      <c r="T740" s="59"/>
      <c r="U740" s="59"/>
      <c r="V740" s="59"/>
      <c r="W740" s="59"/>
      <c r="X740" s="59"/>
      <c r="Y740" s="59"/>
      <c r="Z740" s="59"/>
      <c r="AA740" s="59"/>
      <c r="AB740" s="59"/>
      <c r="AC740" s="59"/>
      <c r="AD740" s="59"/>
      <c r="AE740" s="59"/>
      <c r="AF740" s="59"/>
      <c r="AG740" s="59"/>
      <c r="AH740" s="59"/>
      <c r="AI740" s="59" t="str">
        <f>IF(SUM(Dati[[#This Row],[Inv. Business]:[Inv. Cryptocurrency]])=0," ",SUM(Dati[[#This Row],[Inv. Business]:[Inv. Cryptocurrency]]))</f>
        <v xml:space="preserve"> </v>
      </c>
      <c r="AJ740" s="59"/>
      <c r="AK740" s="59"/>
      <c r="AL740" s="59"/>
      <c r="AM740" s="59"/>
    </row>
    <row r="741" spans="2:39" x14ac:dyDescent="0.35">
      <c r="B741" s="237">
        <f t="shared" si="37"/>
        <v>721</v>
      </c>
      <c r="C741" s="49">
        <f t="shared" si="35"/>
        <v>45470</v>
      </c>
      <c r="D741" s="29">
        <f>DAY(Dati[[#This Row],[Data]])</f>
        <v>27</v>
      </c>
      <c r="E741" s="29" t="str">
        <f>IF(DAY(Data!$C$21:$C$1327)&gt;0,TEXT(Data!$C$21:$C$1327, "mmmm"),"")</f>
        <v>giugno</v>
      </c>
      <c r="F741" s="29" t="str">
        <f>IF(DAY(Data!$C$21:$C$1327)&gt;0,TEXT(Data!$C$21:$C$1327, "aaaa"),"")</f>
        <v>2024</v>
      </c>
      <c r="I741" t="str">
        <f>IF(OR(H741=$B$5,H741=$B$6,H741=$B$7,H741=$B$8,H741=$B$9,H741=$B$10,H741=$B$11,H741=$B$12,H741=$B$13,H741=$B$14),SottocategorieUscite[[#Headers],[Fuori Casa]],IF(OR(H741=$C$5,H741=$C$6,H741=$C$7,H741=$C$8,H741=$C$9,H741=$C$10,H741=$C$11,H741=$C$12,H741=$C$13,H741=$C$14),SottocategorieUscite[[#Headers],[Varie Uscite]],IF(OR(H741=$D$5,H741=$D$6,H741=$D$7,H741=$D$8,H741=$D$9,H741=$D$10,H741=$D$11,H741=$D$12,H741=$D$13,H741=$D$14),SottocategorieUscite[[#Headers],[Personali]],IF(OR(H741=$E$5,H741=$E$6,H741=$E$7,H741=$E$8,H741=$E$9,H741=$E$10,H741=$E$11,H741=$E$12,H741=$E$13,H741=$E$14),SottocategorieUscite[[#Headers],[Lavoro]],IF(OR(H741=$F$5,H741=$F$6,H741=$F$7,H741=$F$8,H741=$F$9,H741=$F$10,H741=$F$11,H741=$F$12,H741=$F$13,H741=$F$14),SottocategorieUscite[[#Headers],[Casa]],IF(OR(H741=$G$5,H741=$G$6,H741=$G$7,H741=$G$8,H741=$G$9,H741=$G$10,H741=$G$11,H741=$G$12,H741=$G$13,H741=$G$14),SottocategorieUscite[[#Headers],[Utenze]],IF(OR(H741=$H$5,H741=$H$6,H741=$H$7,H741=$H$8,H741=$H$9,H741=$H$10,H741=$H$11,H741=$H$12,H741=$H$13,H741=$H$14),SottocategorieUscite[[#Headers],[Business Uscite]],IF(OR(H741=$I$5,H741=$I$6,H741=$I$7,H741=$I$8,H741=$I$9,H741=$I$10,H741=$I$11,H741=$I$12,H741=$I$13,H741=$I$14),SottocategorieUscite[[#Headers],[Banca]],IF(OR(H741=K$5,H741=K$6,H741=K$7,H741=K$8,H741=K$9,H741=K$10,H741=K$11,H741=K$12,H741=K$13,H741=K$14),SottocategorieEntrate[[#Headers],[Business Entrate]],IF(OR(H741=L$5,H741=L$6,H741=L$7,H741=L$8,H741=L$9,H741=L$10,H741=L$11,H741=L$12,H741=L$13,H741=L$14),SottocategorieEntrate[[#Headers],[Varie Entrate]],IF(OR(H741=M$5,H741=M$6,H741=M$7,H741=M$8,H741=M$9,H741=M$10,H741=M$11,H741=M$12,H741=M$13,H741=M$14),SottocategorieEntrate[[#Headers],[Real Estate]],IF(OR(H741=N$5,H741=N$6,H741=N$7,H741=N$8,H741=N$9,H741=N$10,H741=N$11,H741=N$12,H741=N$13,H741=N$14),SottocategorieEntrate[[#Headers],[Other]],""))))))))))))</f>
        <v/>
      </c>
      <c r="J741" t="str">
        <f>IF(OR(Dati[[#This Row],[Categoria]]="Bollette",Dati[[#This Row],[Categoria]]="Conto &amp; Carte BNL",Dati[[#This Row],[Categoria]]="Prelievo",Dati[[#This Row],[Categoria]]="Affitto",Dati[[#This Row],[Categoria]]="BNL(Interessi Creditori)"),"Carta",IF(Dati[[#This Row],[Categoria]]&lt;&gt;0,"Cash",""))</f>
        <v/>
      </c>
      <c r="K741" s="59" t="str">
        <f>IF(OR(Data!$I741=SottocategorieUscite[[#Headers],[Fuori Casa]],Data!$I741=SottocategorieUscite[[#Headers],[Varie Uscite]],Data!$I741=SottocategorieUscite[[#Headers],[Personali]],Data!$I741=SottocategorieUscite[[#Headers],[Lavoro]]),"$ -","")</f>
        <v/>
      </c>
      <c r="L741" s="59" t="str">
        <f>IF(OR(Data!$I741=SottocategorieUscite[[#Headers],[Casa]],Data!$I741=SottocategorieUscite[[#Headers],[Utenze]],Data!$I741=SottocategorieUscite[[#Headers],[Business Uscite]],Data!$I741=SottocategorieUscite[[#Headers],[Banca]]),"$ -","")</f>
        <v/>
      </c>
      <c r="M741" s="59" t="str">
        <f>IF(OR($I741&lt;&gt;SottocategorieUscite[[#Headers],[Fuori Casa]],$I741&lt;&gt;SottocategorieUscite[[#Headers],[Varie Uscite]],$I741&lt;&gt;SottocategorieUscite[[#Headers],[Personali]],$I741&lt;&gt;SottocategorieUscite[[#Headers],[Lavoro]],$I741&lt;&gt;SottocategorieUscite[[#Headers],[Casa]],$I741&lt;&gt;SottocategorieUscite[[#Headers],[Utenze]],$I741&lt;&gt;SottocategorieUscite[[#Headers],[Business Uscite]],$I741&lt;&gt;SottocategorieUscite[[#Headers],[Banca]]),"","$ -")</f>
        <v/>
      </c>
      <c r="N741" s="59" t="str">
        <f>IF(OR(Data!$I741=SottocategorieEntrate[[#Headers],[Business Entrate]],Data!$I741=SottocategorieEntrate[[#Headers],[Varie Entrate]]),"$ -","")</f>
        <v/>
      </c>
      <c r="O741" s="59" t="str">
        <f>IF(OR(Data!$I741=SottocategorieEntrate[[#Headers],[Real Estate]],SottocategorieEntrate[[#Headers],[Other]]),"$ -","")</f>
        <v/>
      </c>
      <c r="P741" s="59" t="str">
        <f>IF(OR($I741&lt;&gt;SottocategorieEntrate[[#Headers],[Business Entrate]],$I741&lt;&gt;SottocategorieEntrate[[#Headers],[Varie Entrate]],$I741&lt;&gt;SottocategorieEntrate[[#Headers],[Real Estate]],$I741&lt;&gt;SottocategorieEntrate[[#Headers],[Other]]),"","$ -")</f>
        <v/>
      </c>
      <c r="Q741" s="59" t="str">
        <f>IF(Dati[[#This Row],[Categoria]]="Prelievo","€ -","")</f>
        <v/>
      </c>
      <c r="R741" s="244"/>
      <c r="S741" s="59" t="str">
        <f>IF(Dati[[#This Row],[Categoria]]="Savings",0,"")</f>
        <v/>
      </c>
      <c r="T741" s="59"/>
      <c r="U741" s="59"/>
      <c r="V741" s="59"/>
      <c r="W741" s="59"/>
      <c r="X741" s="59"/>
      <c r="Y741" s="59"/>
      <c r="Z741" s="59"/>
      <c r="AA741" s="59"/>
      <c r="AB741" s="59"/>
      <c r="AC741" s="59"/>
      <c r="AD741" s="59"/>
      <c r="AE741" s="59"/>
      <c r="AF741" s="59"/>
      <c r="AG741" s="59"/>
      <c r="AH741" s="59"/>
      <c r="AI741" s="59" t="str">
        <f>IF(SUM(Dati[[#This Row],[Inv. Business]:[Inv. Cryptocurrency]])=0," ",SUM(Dati[[#This Row],[Inv. Business]:[Inv. Cryptocurrency]]))</f>
        <v xml:space="preserve"> </v>
      </c>
      <c r="AJ741" s="59"/>
      <c r="AK741" s="59"/>
      <c r="AL741" s="59"/>
      <c r="AM741" s="59"/>
    </row>
    <row r="742" spans="2:39" x14ac:dyDescent="0.35">
      <c r="B742" s="237">
        <f t="shared" si="37"/>
        <v>722</v>
      </c>
      <c r="C742" s="49">
        <f t="shared" si="35"/>
        <v>45471</v>
      </c>
      <c r="D742" s="29">
        <f>DAY(Dati[[#This Row],[Data]])</f>
        <v>28</v>
      </c>
      <c r="E742" s="29" t="str">
        <f>IF(DAY(Data!$C$21:$C$1327)&gt;0,TEXT(Data!$C$21:$C$1327, "mmmm"),"")</f>
        <v>giugno</v>
      </c>
      <c r="F742" s="29" t="str">
        <f>IF(DAY(Data!$C$21:$C$1327)&gt;0,TEXT(Data!$C$21:$C$1327, "aaaa"),"")</f>
        <v>2024</v>
      </c>
      <c r="I742" t="str">
        <f>IF(OR(H742=$B$5,H742=$B$6,H742=$B$7,H742=$B$8,H742=$B$9,H742=$B$10,H742=$B$11,H742=$B$12,H742=$B$13,H742=$B$14),SottocategorieUscite[[#Headers],[Fuori Casa]],IF(OR(H742=$C$5,H742=$C$6,H742=$C$7,H742=$C$8,H742=$C$9,H742=$C$10,H742=$C$11,H742=$C$12,H742=$C$13,H742=$C$14),SottocategorieUscite[[#Headers],[Varie Uscite]],IF(OR(H742=$D$5,H742=$D$6,H742=$D$7,H742=$D$8,H742=$D$9,H742=$D$10,H742=$D$11,H742=$D$12,H742=$D$13,H742=$D$14),SottocategorieUscite[[#Headers],[Personali]],IF(OR(H742=$E$5,H742=$E$6,H742=$E$7,H742=$E$8,H742=$E$9,H742=$E$10,H742=$E$11,H742=$E$12,H742=$E$13,H742=$E$14),SottocategorieUscite[[#Headers],[Lavoro]],IF(OR(H742=$F$5,H742=$F$6,H742=$F$7,H742=$F$8,H742=$F$9,H742=$F$10,H742=$F$11,H742=$F$12,H742=$F$13,H742=$F$14),SottocategorieUscite[[#Headers],[Casa]],IF(OR(H742=$G$5,H742=$G$6,H742=$G$7,H742=$G$8,H742=$G$9,H742=$G$10,H742=$G$11,H742=$G$12,H742=$G$13,H742=$G$14),SottocategorieUscite[[#Headers],[Utenze]],IF(OR(H742=$H$5,H742=$H$6,H742=$H$7,H742=$H$8,H742=$H$9,H742=$H$10,H742=$H$11,H742=$H$12,H742=$H$13,H742=$H$14),SottocategorieUscite[[#Headers],[Business Uscite]],IF(OR(H742=$I$5,H742=$I$6,H742=$I$7,H742=$I$8,H742=$I$9,H742=$I$10,H742=$I$11,H742=$I$12,H742=$I$13,H742=$I$14),SottocategorieUscite[[#Headers],[Banca]],IF(OR(H742=K$5,H742=K$6,H742=K$7,H742=K$8,H742=K$9,H742=K$10,H742=K$11,H742=K$12,H742=K$13,H742=K$14),SottocategorieEntrate[[#Headers],[Business Entrate]],IF(OR(H742=L$5,H742=L$6,H742=L$7,H742=L$8,H742=L$9,H742=L$10,H742=L$11,H742=L$12,H742=L$13,H742=L$14),SottocategorieEntrate[[#Headers],[Varie Entrate]],IF(OR(H742=M$5,H742=M$6,H742=M$7,H742=M$8,H742=M$9,H742=M$10,H742=M$11,H742=M$12,H742=M$13,H742=M$14),SottocategorieEntrate[[#Headers],[Real Estate]],IF(OR(H742=N$5,H742=N$6,H742=N$7,H742=N$8,H742=N$9,H742=N$10,H742=N$11,H742=N$12,H742=N$13,H742=N$14),SottocategorieEntrate[[#Headers],[Other]],""))))))))))))</f>
        <v/>
      </c>
      <c r="J742" t="str">
        <f>IF(OR(Dati[[#This Row],[Categoria]]="Bollette",Dati[[#This Row],[Categoria]]="Conto &amp; Carte BNL",Dati[[#This Row],[Categoria]]="Prelievo",Dati[[#This Row],[Categoria]]="Affitto",Dati[[#This Row],[Categoria]]="BNL(Interessi Creditori)"),"Carta",IF(Dati[[#This Row],[Categoria]]&lt;&gt;0,"Cash",""))</f>
        <v/>
      </c>
      <c r="K742" s="59" t="str">
        <f>IF(OR(Data!$I742=SottocategorieUscite[[#Headers],[Fuori Casa]],Data!$I742=SottocategorieUscite[[#Headers],[Varie Uscite]],Data!$I742=SottocategorieUscite[[#Headers],[Personali]],Data!$I742=SottocategorieUscite[[#Headers],[Lavoro]]),"$ -","")</f>
        <v/>
      </c>
      <c r="L742" s="59" t="str">
        <f>IF(OR(Data!$I742=SottocategorieUscite[[#Headers],[Casa]],Data!$I742=SottocategorieUscite[[#Headers],[Utenze]],Data!$I742=SottocategorieUscite[[#Headers],[Business Uscite]],Data!$I742=SottocategorieUscite[[#Headers],[Banca]]),"$ -","")</f>
        <v/>
      </c>
      <c r="M742" s="59" t="str">
        <f>IF(OR($I742&lt;&gt;SottocategorieUscite[[#Headers],[Fuori Casa]],$I742&lt;&gt;SottocategorieUscite[[#Headers],[Varie Uscite]],$I742&lt;&gt;SottocategorieUscite[[#Headers],[Personali]],$I742&lt;&gt;SottocategorieUscite[[#Headers],[Lavoro]],$I742&lt;&gt;SottocategorieUscite[[#Headers],[Casa]],$I742&lt;&gt;SottocategorieUscite[[#Headers],[Utenze]],$I742&lt;&gt;SottocategorieUscite[[#Headers],[Business Uscite]],$I742&lt;&gt;SottocategorieUscite[[#Headers],[Banca]]),"","$ -")</f>
        <v/>
      </c>
      <c r="N742" s="59" t="str">
        <f>IF(OR(Data!$I742=SottocategorieEntrate[[#Headers],[Business Entrate]],Data!$I742=SottocategorieEntrate[[#Headers],[Varie Entrate]]),"$ -","")</f>
        <v/>
      </c>
      <c r="O742" s="59" t="str">
        <f>IF(OR(Data!$I742=SottocategorieEntrate[[#Headers],[Real Estate]],SottocategorieEntrate[[#Headers],[Other]]),"$ -","")</f>
        <v/>
      </c>
      <c r="P742" s="59" t="str">
        <f>IF(OR($I742&lt;&gt;SottocategorieEntrate[[#Headers],[Business Entrate]],$I742&lt;&gt;SottocategorieEntrate[[#Headers],[Varie Entrate]],$I742&lt;&gt;SottocategorieEntrate[[#Headers],[Real Estate]],$I742&lt;&gt;SottocategorieEntrate[[#Headers],[Other]]),"","$ -")</f>
        <v/>
      </c>
      <c r="Q742" s="59" t="str">
        <f>IF(Dati[[#This Row],[Categoria]]="Prelievo","€ -","")</f>
        <v/>
      </c>
      <c r="R742" s="244"/>
      <c r="S742" s="59" t="str">
        <f>IF(Dati[[#This Row],[Categoria]]="Savings",0,"")</f>
        <v/>
      </c>
      <c r="T742" s="59"/>
      <c r="U742" s="59"/>
      <c r="V742" s="59"/>
      <c r="W742" s="59"/>
      <c r="X742" s="59"/>
      <c r="Y742" s="59"/>
      <c r="Z742" s="59"/>
      <c r="AA742" s="59"/>
      <c r="AB742" s="59"/>
      <c r="AC742" s="59"/>
      <c r="AD742" s="59"/>
      <c r="AE742" s="59"/>
      <c r="AF742" s="59"/>
      <c r="AG742" s="59"/>
      <c r="AH742" s="59"/>
      <c r="AI742" s="59" t="str">
        <f>IF(SUM(Dati[[#This Row],[Inv. Business]:[Inv. Cryptocurrency]])=0," ",SUM(Dati[[#This Row],[Inv. Business]:[Inv. Cryptocurrency]]))</f>
        <v xml:space="preserve"> </v>
      </c>
      <c r="AJ742" s="59"/>
      <c r="AK742" s="59"/>
      <c r="AL742" s="59"/>
      <c r="AM742" s="59"/>
    </row>
    <row r="743" spans="2:39" x14ac:dyDescent="0.35">
      <c r="B743" s="237">
        <f t="shared" si="37"/>
        <v>723</v>
      </c>
      <c r="C743" s="49">
        <f t="shared" si="35"/>
        <v>45472</v>
      </c>
      <c r="D743" s="29">
        <f>DAY(Dati[[#This Row],[Data]])</f>
        <v>29</v>
      </c>
      <c r="E743" s="29" t="str">
        <f>IF(DAY(Data!$C$21:$C$1327)&gt;0,TEXT(Data!$C$21:$C$1327, "mmmm"),"")</f>
        <v>giugno</v>
      </c>
      <c r="F743" s="29" t="str">
        <f>IF(DAY(Data!$C$21:$C$1327)&gt;0,TEXT(Data!$C$21:$C$1327, "aaaa"),"")</f>
        <v>2024</v>
      </c>
      <c r="I743" t="str">
        <f>IF(OR(H743=$B$5,H743=$B$6,H743=$B$7,H743=$B$8,H743=$B$9,H743=$B$10,H743=$B$11,H743=$B$12,H743=$B$13,H743=$B$14),SottocategorieUscite[[#Headers],[Fuori Casa]],IF(OR(H743=$C$5,H743=$C$6,H743=$C$7,H743=$C$8,H743=$C$9,H743=$C$10,H743=$C$11,H743=$C$12,H743=$C$13,H743=$C$14),SottocategorieUscite[[#Headers],[Varie Uscite]],IF(OR(H743=$D$5,H743=$D$6,H743=$D$7,H743=$D$8,H743=$D$9,H743=$D$10,H743=$D$11,H743=$D$12,H743=$D$13,H743=$D$14),SottocategorieUscite[[#Headers],[Personali]],IF(OR(H743=$E$5,H743=$E$6,H743=$E$7,H743=$E$8,H743=$E$9,H743=$E$10,H743=$E$11,H743=$E$12,H743=$E$13,H743=$E$14),SottocategorieUscite[[#Headers],[Lavoro]],IF(OR(H743=$F$5,H743=$F$6,H743=$F$7,H743=$F$8,H743=$F$9,H743=$F$10,H743=$F$11,H743=$F$12,H743=$F$13,H743=$F$14),SottocategorieUscite[[#Headers],[Casa]],IF(OR(H743=$G$5,H743=$G$6,H743=$G$7,H743=$G$8,H743=$G$9,H743=$G$10,H743=$G$11,H743=$G$12,H743=$G$13,H743=$G$14),SottocategorieUscite[[#Headers],[Utenze]],IF(OR(H743=$H$5,H743=$H$6,H743=$H$7,H743=$H$8,H743=$H$9,H743=$H$10,H743=$H$11,H743=$H$12,H743=$H$13,H743=$H$14),SottocategorieUscite[[#Headers],[Business Uscite]],IF(OR(H743=$I$5,H743=$I$6,H743=$I$7,H743=$I$8,H743=$I$9,H743=$I$10,H743=$I$11,H743=$I$12,H743=$I$13,H743=$I$14),SottocategorieUscite[[#Headers],[Banca]],IF(OR(H743=K$5,H743=K$6,H743=K$7,H743=K$8,H743=K$9,H743=K$10,H743=K$11,H743=K$12,H743=K$13,H743=K$14),SottocategorieEntrate[[#Headers],[Business Entrate]],IF(OR(H743=L$5,H743=L$6,H743=L$7,H743=L$8,H743=L$9,H743=L$10,H743=L$11,H743=L$12,H743=L$13,H743=L$14),SottocategorieEntrate[[#Headers],[Varie Entrate]],IF(OR(H743=M$5,H743=M$6,H743=M$7,H743=M$8,H743=M$9,H743=M$10,H743=M$11,H743=M$12,H743=M$13,H743=M$14),SottocategorieEntrate[[#Headers],[Real Estate]],IF(OR(H743=N$5,H743=N$6,H743=N$7,H743=N$8,H743=N$9,H743=N$10,H743=N$11,H743=N$12,H743=N$13,H743=N$14),SottocategorieEntrate[[#Headers],[Other]],""))))))))))))</f>
        <v/>
      </c>
      <c r="J743" t="str">
        <f>IF(OR(Dati[[#This Row],[Categoria]]="Bollette",Dati[[#This Row],[Categoria]]="Conto &amp; Carte BNL",Dati[[#This Row],[Categoria]]="Prelievo",Dati[[#This Row],[Categoria]]="Affitto",Dati[[#This Row],[Categoria]]="BNL(Interessi Creditori)"),"Carta",IF(Dati[[#This Row],[Categoria]]&lt;&gt;0,"Cash",""))</f>
        <v/>
      </c>
      <c r="K743" s="59" t="str">
        <f>IF(OR(Data!$I743=SottocategorieUscite[[#Headers],[Fuori Casa]],Data!$I743=SottocategorieUscite[[#Headers],[Varie Uscite]],Data!$I743=SottocategorieUscite[[#Headers],[Personali]],Data!$I743=SottocategorieUscite[[#Headers],[Lavoro]]),"$ -","")</f>
        <v/>
      </c>
      <c r="L743" s="59" t="str">
        <f>IF(OR(Data!$I743=SottocategorieUscite[[#Headers],[Casa]],Data!$I743=SottocategorieUscite[[#Headers],[Utenze]],Data!$I743=SottocategorieUscite[[#Headers],[Business Uscite]],Data!$I743=SottocategorieUscite[[#Headers],[Banca]]),"$ -","")</f>
        <v/>
      </c>
      <c r="M743" s="59" t="str">
        <f>IF(OR($I743&lt;&gt;SottocategorieUscite[[#Headers],[Fuori Casa]],$I743&lt;&gt;SottocategorieUscite[[#Headers],[Varie Uscite]],$I743&lt;&gt;SottocategorieUscite[[#Headers],[Personali]],$I743&lt;&gt;SottocategorieUscite[[#Headers],[Lavoro]],$I743&lt;&gt;SottocategorieUscite[[#Headers],[Casa]],$I743&lt;&gt;SottocategorieUscite[[#Headers],[Utenze]],$I743&lt;&gt;SottocategorieUscite[[#Headers],[Business Uscite]],$I743&lt;&gt;SottocategorieUscite[[#Headers],[Banca]]),"","$ -")</f>
        <v/>
      </c>
      <c r="N743" s="59" t="str">
        <f>IF(OR(Data!$I743=SottocategorieEntrate[[#Headers],[Business Entrate]],Data!$I743=SottocategorieEntrate[[#Headers],[Varie Entrate]]),"$ -","")</f>
        <v/>
      </c>
      <c r="O743" s="59" t="str">
        <f>IF(OR(Data!$I743=SottocategorieEntrate[[#Headers],[Real Estate]],SottocategorieEntrate[[#Headers],[Other]]),"$ -","")</f>
        <v/>
      </c>
      <c r="P743" s="59" t="str">
        <f>IF(OR($I743&lt;&gt;SottocategorieEntrate[[#Headers],[Business Entrate]],$I743&lt;&gt;SottocategorieEntrate[[#Headers],[Varie Entrate]],$I743&lt;&gt;SottocategorieEntrate[[#Headers],[Real Estate]],$I743&lt;&gt;SottocategorieEntrate[[#Headers],[Other]]),"","$ -")</f>
        <v/>
      </c>
      <c r="Q743" s="59" t="str">
        <f>IF(Dati[[#This Row],[Categoria]]="Prelievo","€ -","")</f>
        <v/>
      </c>
      <c r="R743" s="244"/>
      <c r="S743" s="59" t="str">
        <f>IF(Dati[[#This Row],[Categoria]]="Savings",0,"")</f>
        <v/>
      </c>
      <c r="T743" s="59"/>
      <c r="U743" s="59"/>
      <c r="V743" s="59"/>
      <c r="W743" s="59"/>
      <c r="X743" s="59"/>
      <c r="Y743" s="59"/>
      <c r="Z743" s="59"/>
      <c r="AA743" s="59"/>
      <c r="AB743" s="59"/>
      <c r="AC743" s="59"/>
      <c r="AD743" s="59"/>
      <c r="AE743" s="59"/>
      <c r="AF743" s="59"/>
      <c r="AG743" s="59"/>
      <c r="AH743" s="59"/>
      <c r="AI743" s="59" t="str">
        <f>IF(SUM(Dati[[#This Row],[Inv. Business]:[Inv. Cryptocurrency]])=0," ",SUM(Dati[[#This Row],[Inv. Business]:[Inv. Cryptocurrency]]))</f>
        <v xml:space="preserve"> </v>
      </c>
      <c r="AJ743" s="59"/>
      <c r="AK743" s="59"/>
      <c r="AL743" s="59"/>
      <c r="AM743" s="59"/>
    </row>
    <row r="744" spans="2:39" x14ac:dyDescent="0.35">
      <c r="B744" s="237">
        <f t="shared" si="37"/>
        <v>724</v>
      </c>
      <c r="C744" s="49">
        <f t="shared" si="35"/>
        <v>45473</v>
      </c>
      <c r="D744" s="29">
        <f>DAY(Dati[[#This Row],[Data]])</f>
        <v>30</v>
      </c>
      <c r="E744" s="29" t="str">
        <f>IF(DAY(Data!$C$21:$C$1327)&gt;0,TEXT(Data!$C$21:$C$1327, "mmmm"),"")</f>
        <v>giugno</v>
      </c>
      <c r="F744" s="29" t="str">
        <f>IF(DAY(Data!$C$21:$C$1327)&gt;0,TEXT(Data!$C$21:$C$1327, "aaaa"),"")</f>
        <v>2024</v>
      </c>
      <c r="I744" t="str">
        <f>IF(OR(H744=$B$5,H744=$B$6,H744=$B$7,H744=$B$8,H744=$B$9,H744=$B$10,H744=$B$11,H744=$B$12,H744=$B$13,H744=$B$14),SottocategorieUscite[[#Headers],[Fuori Casa]],IF(OR(H744=$C$5,H744=$C$6,H744=$C$7,H744=$C$8,H744=$C$9,H744=$C$10,H744=$C$11,H744=$C$12,H744=$C$13,H744=$C$14),SottocategorieUscite[[#Headers],[Varie Uscite]],IF(OR(H744=$D$5,H744=$D$6,H744=$D$7,H744=$D$8,H744=$D$9,H744=$D$10,H744=$D$11,H744=$D$12,H744=$D$13,H744=$D$14),SottocategorieUscite[[#Headers],[Personali]],IF(OR(H744=$E$5,H744=$E$6,H744=$E$7,H744=$E$8,H744=$E$9,H744=$E$10,H744=$E$11,H744=$E$12,H744=$E$13,H744=$E$14),SottocategorieUscite[[#Headers],[Lavoro]],IF(OR(H744=$F$5,H744=$F$6,H744=$F$7,H744=$F$8,H744=$F$9,H744=$F$10,H744=$F$11,H744=$F$12,H744=$F$13,H744=$F$14),SottocategorieUscite[[#Headers],[Casa]],IF(OR(H744=$G$5,H744=$G$6,H744=$G$7,H744=$G$8,H744=$G$9,H744=$G$10,H744=$G$11,H744=$G$12,H744=$G$13,H744=$G$14),SottocategorieUscite[[#Headers],[Utenze]],IF(OR(H744=$H$5,H744=$H$6,H744=$H$7,H744=$H$8,H744=$H$9,H744=$H$10,H744=$H$11,H744=$H$12,H744=$H$13,H744=$H$14),SottocategorieUscite[[#Headers],[Business Uscite]],IF(OR(H744=$I$5,H744=$I$6,H744=$I$7,H744=$I$8,H744=$I$9,H744=$I$10,H744=$I$11,H744=$I$12,H744=$I$13,H744=$I$14),SottocategorieUscite[[#Headers],[Banca]],IF(OR(H744=K$5,H744=K$6,H744=K$7,H744=K$8,H744=K$9,H744=K$10,H744=K$11,H744=K$12,H744=K$13,H744=K$14),SottocategorieEntrate[[#Headers],[Business Entrate]],IF(OR(H744=L$5,H744=L$6,H744=L$7,H744=L$8,H744=L$9,H744=L$10,H744=L$11,H744=L$12,H744=L$13,H744=L$14),SottocategorieEntrate[[#Headers],[Varie Entrate]],IF(OR(H744=M$5,H744=M$6,H744=M$7,H744=M$8,H744=M$9,H744=M$10,H744=M$11,H744=M$12,H744=M$13,H744=M$14),SottocategorieEntrate[[#Headers],[Real Estate]],IF(OR(H744=N$5,H744=N$6,H744=N$7,H744=N$8,H744=N$9,H744=N$10,H744=N$11,H744=N$12,H744=N$13,H744=N$14),SottocategorieEntrate[[#Headers],[Other]],""))))))))))))</f>
        <v/>
      </c>
      <c r="J744" t="str">
        <f>IF(OR(Dati[[#This Row],[Categoria]]="Bollette",Dati[[#This Row],[Categoria]]="Conto &amp; Carte BNL",Dati[[#This Row],[Categoria]]="Prelievo",Dati[[#This Row],[Categoria]]="Affitto",Dati[[#This Row],[Categoria]]="BNL(Interessi Creditori)"),"Carta",IF(Dati[[#This Row],[Categoria]]&lt;&gt;0,"Cash",""))</f>
        <v/>
      </c>
      <c r="K744" s="59" t="str">
        <f>IF(OR(Data!$I744=SottocategorieUscite[[#Headers],[Fuori Casa]],Data!$I744=SottocategorieUscite[[#Headers],[Varie Uscite]],Data!$I744=SottocategorieUscite[[#Headers],[Personali]],Data!$I744=SottocategorieUscite[[#Headers],[Lavoro]]),"$ -","")</f>
        <v/>
      </c>
      <c r="L744" s="59" t="str">
        <f>IF(OR(Data!$I744=SottocategorieUscite[[#Headers],[Casa]],Data!$I744=SottocategorieUscite[[#Headers],[Utenze]],Data!$I744=SottocategorieUscite[[#Headers],[Business Uscite]],Data!$I744=SottocategorieUscite[[#Headers],[Banca]]),"$ -","")</f>
        <v/>
      </c>
      <c r="M744" s="59" t="str">
        <f>IF(OR($I744&lt;&gt;SottocategorieUscite[[#Headers],[Fuori Casa]],$I744&lt;&gt;SottocategorieUscite[[#Headers],[Varie Uscite]],$I744&lt;&gt;SottocategorieUscite[[#Headers],[Personali]],$I744&lt;&gt;SottocategorieUscite[[#Headers],[Lavoro]],$I744&lt;&gt;SottocategorieUscite[[#Headers],[Casa]],$I744&lt;&gt;SottocategorieUscite[[#Headers],[Utenze]],$I744&lt;&gt;SottocategorieUscite[[#Headers],[Business Uscite]],$I744&lt;&gt;SottocategorieUscite[[#Headers],[Banca]]),"","$ -")</f>
        <v/>
      </c>
      <c r="N744" s="59" t="str">
        <f>IF(OR(Data!$I744=SottocategorieEntrate[[#Headers],[Business Entrate]],Data!$I744=SottocategorieEntrate[[#Headers],[Varie Entrate]]),"$ -","")</f>
        <v/>
      </c>
      <c r="O744" s="59" t="str">
        <f>IF(OR(Data!$I744=SottocategorieEntrate[[#Headers],[Real Estate]],SottocategorieEntrate[[#Headers],[Other]]),"$ -","")</f>
        <v/>
      </c>
      <c r="P744" s="59" t="str">
        <f>IF(OR($I744&lt;&gt;SottocategorieEntrate[[#Headers],[Business Entrate]],$I744&lt;&gt;SottocategorieEntrate[[#Headers],[Varie Entrate]],$I744&lt;&gt;SottocategorieEntrate[[#Headers],[Real Estate]],$I744&lt;&gt;SottocategorieEntrate[[#Headers],[Other]]),"","$ -")</f>
        <v/>
      </c>
      <c r="Q744" s="59" t="str">
        <f>IF(Dati[[#This Row],[Categoria]]="Prelievo","€ -","")</f>
        <v/>
      </c>
      <c r="R744" s="244"/>
      <c r="S744" s="59" t="str">
        <f>IF(Dati[[#This Row],[Categoria]]="Savings",0,"")</f>
        <v/>
      </c>
      <c r="T744" s="59"/>
      <c r="U744" s="59"/>
      <c r="V744" s="59"/>
      <c r="W744" s="59"/>
      <c r="X744" s="59"/>
      <c r="Y744" s="59"/>
      <c r="Z744" s="59"/>
      <c r="AA744" s="59"/>
      <c r="AB744" s="59"/>
      <c r="AC744" s="59"/>
      <c r="AD744" s="59"/>
      <c r="AE744" s="59"/>
      <c r="AF744" s="59"/>
      <c r="AG744" s="59"/>
      <c r="AH744" s="59"/>
      <c r="AI744" s="59" t="str">
        <f>IF(SUM(Dati[[#This Row],[Inv. Business]:[Inv. Cryptocurrency]])=0," ",SUM(Dati[[#This Row],[Inv. Business]:[Inv. Cryptocurrency]]))</f>
        <v xml:space="preserve"> </v>
      </c>
      <c r="AJ744" s="59"/>
      <c r="AK744" s="59"/>
      <c r="AL744" s="59"/>
      <c r="AM744" s="59"/>
    </row>
    <row r="745" spans="2:39" x14ac:dyDescent="0.35">
      <c r="B745" s="237">
        <f t="shared" si="37"/>
        <v>725</v>
      </c>
      <c r="C745" s="49">
        <f t="shared" si="35"/>
        <v>45474</v>
      </c>
      <c r="D745" s="29">
        <f>DAY(Dati[[#This Row],[Data]])</f>
        <v>1</v>
      </c>
      <c r="E745" s="29" t="str">
        <f>IF(DAY(Data!$C$21:$C$1327)&gt;0,TEXT(Data!$C$21:$C$1327, "mmmm"),"")</f>
        <v>luglio</v>
      </c>
      <c r="F745" s="29" t="str">
        <f>IF(DAY(Data!$C$21:$C$1327)&gt;0,TEXT(Data!$C$21:$C$1327, "aaaa"),"")</f>
        <v>2024</v>
      </c>
      <c r="I745" t="str">
        <f>IF(OR(H745=$B$5,H745=$B$6,H745=$B$7,H745=$B$8,H745=$B$9,H745=$B$10,H745=$B$11,H745=$B$12,H745=$B$13,H745=$B$14),SottocategorieUscite[[#Headers],[Fuori Casa]],IF(OR(H745=$C$5,H745=$C$6,H745=$C$7,H745=$C$8,H745=$C$9,H745=$C$10,H745=$C$11,H745=$C$12,H745=$C$13,H745=$C$14),SottocategorieUscite[[#Headers],[Varie Uscite]],IF(OR(H745=$D$5,H745=$D$6,H745=$D$7,H745=$D$8,H745=$D$9,H745=$D$10,H745=$D$11,H745=$D$12,H745=$D$13,H745=$D$14),SottocategorieUscite[[#Headers],[Personali]],IF(OR(H745=$E$5,H745=$E$6,H745=$E$7,H745=$E$8,H745=$E$9,H745=$E$10,H745=$E$11,H745=$E$12,H745=$E$13,H745=$E$14),SottocategorieUscite[[#Headers],[Lavoro]],IF(OR(H745=$F$5,H745=$F$6,H745=$F$7,H745=$F$8,H745=$F$9,H745=$F$10,H745=$F$11,H745=$F$12,H745=$F$13,H745=$F$14),SottocategorieUscite[[#Headers],[Casa]],IF(OR(H745=$G$5,H745=$G$6,H745=$G$7,H745=$G$8,H745=$G$9,H745=$G$10,H745=$G$11,H745=$G$12,H745=$G$13,H745=$G$14),SottocategorieUscite[[#Headers],[Utenze]],IF(OR(H745=$H$5,H745=$H$6,H745=$H$7,H745=$H$8,H745=$H$9,H745=$H$10,H745=$H$11,H745=$H$12,H745=$H$13,H745=$H$14),SottocategorieUscite[[#Headers],[Business Uscite]],IF(OR(H745=$I$5,H745=$I$6,H745=$I$7,H745=$I$8,H745=$I$9,H745=$I$10,H745=$I$11,H745=$I$12,H745=$I$13,H745=$I$14),SottocategorieUscite[[#Headers],[Banca]],IF(OR(H745=K$5,H745=K$6,H745=K$7,H745=K$8,H745=K$9,H745=K$10,H745=K$11,H745=K$12,H745=K$13,H745=K$14),SottocategorieEntrate[[#Headers],[Business Entrate]],IF(OR(H745=L$5,H745=L$6,H745=L$7,H745=L$8,H745=L$9,H745=L$10,H745=L$11,H745=L$12,H745=L$13,H745=L$14),SottocategorieEntrate[[#Headers],[Varie Entrate]],IF(OR(H745=M$5,H745=M$6,H745=M$7,H745=M$8,H745=M$9,H745=M$10,H745=M$11,H745=M$12,H745=M$13,H745=M$14),SottocategorieEntrate[[#Headers],[Real Estate]],IF(OR(H745=N$5,H745=N$6,H745=N$7,H745=N$8,H745=N$9,H745=N$10,H745=N$11,H745=N$12,H745=N$13,H745=N$14),SottocategorieEntrate[[#Headers],[Other]],""))))))))))))</f>
        <v/>
      </c>
      <c r="J745" t="str">
        <f>IF(OR(Dati[[#This Row],[Categoria]]="Bollette",Dati[[#This Row],[Categoria]]="Conto &amp; Carte BNL",Dati[[#This Row],[Categoria]]="Prelievo",Dati[[#This Row],[Categoria]]="Affitto",Dati[[#This Row],[Categoria]]="BNL(Interessi Creditori)"),"Carta",IF(Dati[[#This Row],[Categoria]]&lt;&gt;0,"Cash",""))</f>
        <v/>
      </c>
      <c r="K745" s="59" t="str">
        <f>IF(OR(Data!$I745=SottocategorieUscite[[#Headers],[Fuori Casa]],Data!$I745=SottocategorieUscite[[#Headers],[Varie Uscite]],Data!$I745=SottocategorieUscite[[#Headers],[Personali]],Data!$I745=SottocategorieUscite[[#Headers],[Lavoro]]),"$ -","")</f>
        <v/>
      </c>
      <c r="L745" s="59" t="str">
        <f>IF(OR(Data!$I745=SottocategorieUscite[[#Headers],[Casa]],Data!$I745=SottocategorieUscite[[#Headers],[Utenze]],Data!$I745=SottocategorieUscite[[#Headers],[Business Uscite]],Data!$I745=SottocategorieUscite[[#Headers],[Banca]]),"$ -","")</f>
        <v/>
      </c>
      <c r="M745" s="59" t="str">
        <f>IF(OR($I745&lt;&gt;SottocategorieUscite[[#Headers],[Fuori Casa]],$I745&lt;&gt;SottocategorieUscite[[#Headers],[Varie Uscite]],$I745&lt;&gt;SottocategorieUscite[[#Headers],[Personali]],$I745&lt;&gt;SottocategorieUscite[[#Headers],[Lavoro]],$I745&lt;&gt;SottocategorieUscite[[#Headers],[Casa]],$I745&lt;&gt;SottocategorieUscite[[#Headers],[Utenze]],$I745&lt;&gt;SottocategorieUscite[[#Headers],[Business Uscite]],$I745&lt;&gt;SottocategorieUscite[[#Headers],[Banca]]),"","$ -")</f>
        <v/>
      </c>
      <c r="N745" s="59" t="str">
        <f>IF(OR(Data!$I745=SottocategorieEntrate[[#Headers],[Business Entrate]],Data!$I745=SottocategorieEntrate[[#Headers],[Varie Entrate]]),"$ -","")</f>
        <v/>
      </c>
      <c r="O745" s="59" t="str">
        <f>IF(OR(Data!$I745=SottocategorieEntrate[[#Headers],[Real Estate]],SottocategorieEntrate[[#Headers],[Other]]),"$ -","")</f>
        <v/>
      </c>
      <c r="P745" s="59" t="str">
        <f>IF(OR($I745&lt;&gt;SottocategorieEntrate[[#Headers],[Business Entrate]],$I745&lt;&gt;SottocategorieEntrate[[#Headers],[Varie Entrate]],$I745&lt;&gt;SottocategorieEntrate[[#Headers],[Real Estate]],$I745&lt;&gt;SottocategorieEntrate[[#Headers],[Other]]),"","$ -")</f>
        <v/>
      </c>
      <c r="Q745" s="59" t="str">
        <f>IF(Dati[[#This Row],[Categoria]]="Prelievo","€ -","")</f>
        <v/>
      </c>
      <c r="R745" s="244"/>
      <c r="S745" s="59" t="str">
        <f>IF(Dati[[#This Row],[Categoria]]="Savings",0,"")</f>
        <v/>
      </c>
      <c r="T745" s="59"/>
      <c r="U745" s="59"/>
      <c r="V745" s="59"/>
      <c r="W745" s="59"/>
      <c r="X745" s="59"/>
      <c r="Y745" s="59"/>
      <c r="Z745" s="59"/>
      <c r="AA745" s="59"/>
      <c r="AB745" s="59"/>
      <c r="AC745" s="59"/>
      <c r="AD745" s="59"/>
      <c r="AE745" s="59"/>
      <c r="AF745" s="59"/>
      <c r="AG745" s="59"/>
      <c r="AH745" s="59"/>
      <c r="AI745" s="59" t="str">
        <f>IF(SUM(Dati[[#This Row],[Inv. Business]:[Inv. Cryptocurrency]])=0," ",SUM(Dati[[#This Row],[Inv. Business]:[Inv. Cryptocurrency]]))</f>
        <v xml:space="preserve"> </v>
      </c>
      <c r="AJ745" s="59"/>
      <c r="AK745" s="59"/>
      <c r="AL745" s="59"/>
      <c r="AM745" s="59"/>
    </row>
    <row r="746" spans="2:39" x14ac:dyDescent="0.35">
      <c r="B746" s="237">
        <f t="shared" si="37"/>
        <v>726</v>
      </c>
      <c r="C746" s="49">
        <f t="shared" si="35"/>
        <v>45475</v>
      </c>
      <c r="D746" s="29">
        <f>DAY(Dati[[#This Row],[Data]])</f>
        <v>2</v>
      </c>
      <c r="E746" s="29" t="str">
        <f>IF(DAY(Data!$C$21:$C$1327)&gt;0,TEXT(Data!$C$21:$C$1327, "mmmm"),"")</f>
        <v>luglio</v>
      </c>
      <c r="F746" s="29" t="str">
        <f>IF(DAY(Data!$C$21:$C$1327)&gt;0,TEXT(Data!$C$21:$C$1327, "aaaa"),"")</f>
        <v>2024</v>
      </c>
      <c r="I746" t="str">
        <f>IF(OR(H746=$B$5,H746=$B$6,H746=$B$7,H746=$B$8,H746=$B$9,H746=$B$10,H746=$B$11,H746=$B$12,H746=$B$13,H746=$B$14),SottocategorieUscite[[#Headers],[Fuori Casa]],IF(OR(H746=$C$5,H746=$C$6,H746=$C$7,H746=$C$8,H746=$C$9,H746=$C$10,H746=$C$11,H746=$C$12,H746=$C$13,H746=$C$14),SottocategorieUscite[[#Headers],[Varie Uscite]],IF(OR(H746=$D$5,H746=$D$6,H746=$D$7,H746=$D$8,H746=$D$9,H746=$D$10,H746=$D$11,H746=$D$12,H746=$D$13,H746=$D$14),SottocategorieUscite[[#Headers],[Personali]],IF(OR(H746=$E$5,H746=$E$6,H746=$E$7,H746=$E$8,H746=$E$9,H746=$E$10,H746=$E$11,H746=$E$12,H746=$E$13,H746=$E$14),SottocategorieUscite[[#Headers],[Lavoro]],IF(OR(H746=$F$5,H746=$F$6,H746=$F$7,H746=$F$8,H746=$F$9,H746=$F$10,H746=$F$11,H746=$F$12,H746=$F$13,H746=$F$14),SottocategorieUscite[[#Headers],[Casa]],IF(OR(H746=$G$5,H746=$G$6,H746=$G$7,H746=$G$8,H746=$G$9,H746=$G$10,H746=$G$11,H746=$G$12,H746=$G$13,H746=$G$14),SottocategorieUscite[[#Headers],[Utenze]],IF(OR(H746=$H$5,H746=$H$6,H746=$H$7,H746=$H$8,H746=$H$9,H746=$H$10,H746=$H$11,H746=$H$12,H746=$H$13,H746=$H$14),SottocategorieUscite[[#Headers],[Business Uscite]],IF(OR(H746=$I$5,H746=$I$6,H746=$I$7,H746=$I$8,H746=$I$9,H746=$I$10,H746=$I$11,H746=$I$12,H746=$I$13,H746=$I$14),SottocategorieUscite[[#Headers],[Banca]],IF(OR(H746=K$5,H746=K$6,H746=K$7,H746=K$8,H746=K$9,H746=K$10,H746=K$11,H746=K$12,H746=K$13,H746=K$14),SottocategorieEntrate[[#Headers],[Business Entrate]],IF(OR(H746=L$5,H746=L$6,H746=L$7,H746=L$8,H746=L$9,H746=L$10,H746=L$11,H746=L$12,H746=L$13,H746=L$14),SottocategorieEntrate[[#Headers],[Varie Entrate]],IF(OR(H746=M$5,H746=M$6,H746=M$7,H746=M$8,H746=M$9,H746=M$10,H746=M$11,H746=M$12,H746=M$13,H746=M$14),SottocategorieEntrate[[#Headers],[Real Estate]],IF(OR(H746=N$5,H746=N$6,H746=N$7,H746=N$8,H746=N$9,H746=N$10,H746=N$11,H746=N$12,H746=N$13,H746=N$14),SottocategorieEntrate[[#Headers],[Other]],""))))))))))))</f>
        <v/>
      </c>
      <c r="J746" t="str">
        <f>IF(OR(Dati[[#This Row],[Categoria]]="Bollette",Dati[[#This Row],[Categoria]]="Conto &amp; Carte BNL",Dati[[#This Row],[Categoria]]="Prelievo",Dati[[#This Row],[Categoria]]="Affitto",Dati[[#This Row],[Categoria]]="BNL(Interessi Creditori)"),"Carta",IF(Dati[[#This Row],[Categoria]]&lt;&gt;0,"Cash",""))</f>
        <v/>
      </c>
      <c r="K746" s="59" t="str">
        <f>IF(OR(Data!$I746=SottocategorieUscite[[#Headers],[Fuori Casa]],Data!$I746=SottocategorieUscite[[#Headers],[Varie Uscite]],Data!$I746=SottocategorieUscite[[#Headers],[Personali]],Data!$I746=SottocategorieUscite[[#Headers],[Lavoro]]),"$ -","")</f>
        <v/>
      </c>
      <c r="L746" s="59" t="str">
        <f>IF(OR(Data!$I746=SottocategorieUscite[[#Headers],[Casa]],Data!$I746=SottocategorieUscite[[#Headers],[Utenze]],Data!$I746=SottocategorieUscite[[#Headers],[Business Uscite]],Data!$I746=SottocategorieUscite[[#Headers],[Banca]]),"$ -","")</f>
        <v/>
      </c>
      <c r="M746" s="59" t="str">
        <f>IF(OR($I746&lt;&gt;SottocategorieUscite[[#Headers],[Fuori Casa]],$I746&lt;&gt;SottocategorieUscite[[#Headers],[Varie Uscite]],$I746&lt;&gt;SottocategorieUscite[[#Headers],[Personali]],$I746&lt;&gt;SottocategorieUscite[[#Headers],[Lavoro]],$I746&lt;&gt;SottocategorieUscite[[#Headers],[Casa]],$I746&lt;&gt;SottocategorieUscite[[#Headers],[Utenze]],$I746&lt;&gt;SottocategorieUscite[[#Headers],[Business Uscite]],$I746&lt;&gt;SottocategorieUscite[[#Headers],[Banca]]),"","$ -")</f>
        <v/>
      </c>
      <c r="N746" s="59" t="str">
        <f>IF(OR(Data!$I746=SottocategorieEntrate[[#Headers],[Business Entrate]],Data!$I746=SottocategorieEntrate[[#Headers],[Varie Entrate]]),"$ -","")</f>
        <v/>
      </c>
      <c r="O746" s="59" t="str">
        <f>IF(OR(Data!$I746=SottocategorieEntrate[[#Headers],[Real Estate]],SottocategorieEntrate[[#Headers],[Other]]),"$ -","")</f>
        <v/>
      </c>
      <c r="P746" s="59" t="str">
        <f>IF(OR($I746&lt;&gt;SottocategorieEntrate[[#Headers],[Business Entrate]],$I746&lt;&gt;SottocategorieEntrate[[#Headers],[Varie Entrate]],$I746&lt;&gt;SottocategorieEntrate[[#Headers],[Real Estate]],$I746&lt;&gt;SottocategorieEntrate[[#Headers],[Other]]),"","$ -")</f>
        <v/>
      </c>
      <c r="Q746" s="59" t="str">
        <f>IF(Dati[[#This Row],[Categoria]]="Prelievo","€ -","")</f>
        <v/>
      </c>
      <c r="R746" s="244"/>
      <c r="S746" s="59" t="str">
        <f>IF(Dati[[#This Row],[Categoria]]="Savings",0,"")</f>
        <v/>
      </c>
      <c r="T746" s="59"/>
      <c r="U746" s="59"/>
      <c r="V746" s="59"/>
      <c r="W746" s="59"/>
      <c r="X746" s="59"/>
      <c r="Y746" s="59"/>
      <c r="Z746" s="59"/>
      <c r="AA746" s="59"/>
      <c r="AB746" s="59"/>
      <c r="AC746" s="59"/>
      <c r="AD746" s="59"/>
      <c r="AE746" s="59"/>
      <c r="AF746" s="59"/>
      <c r="AG746" s="59"/>
      <c r="AH746" s="59"/>
      <c r="AI746" s="59" t="str">
        <f>IF(SUM(Dati[[#This Row],[Inv. Business]:[Inv. Cryptocurrency]])=0," ",SUM(Dati[[#This Row],[Inv. Business]:[Inv. Cryptocurrency]]))</f>
        <v xml:space="preserve"> </v>
      </c>
      <c r="AJ746" s="59"/>
      <c r="AK746" s="59"/>
      <c r="AL746" s="59"/>
      <c r="AM746" s="59"/>
    </row>
    <row r="747" spans="2:39" x14ac:dyDescent="0.35">
      <c r="B747" s="237">
        <f t="shared" si="37"/>
        <v>727</v>
      </c>
      <c r="C747" s="49">
        <f t="shared" si="35"/>
        <v>45476</v>
      </c>
      <c r="D747" s="29">
        <f>DAY(Dati[[#This Row],[Data]])</f>
        <v>3</v>
      </c>
      <c r="E747" s="29" t="str">
        <f>IF(DAY(Data!$C$21:$C$1327)&gt;0,TEXT(Data!$C$21:$C$1327, "mmmm"),"")</f>
        <v>luglio</v>
      </c>
      <c r="F747" s="29" t="str">
        <f>IF(DAY(Data!$C$21:$C$1327)&gt;0,TEXT(Data!$C$21:$C$1327, "aaaa"),"")</f>
        <v>2024</v>
      </c>
      <c r="I747" t="str">
        <f>IF(OR(H747=$B$5,H747=$B$6,H747=$B$7,H747=$B$8,H747=$B$9,H747=$B$10,H747=$B$11,H747=$B$12,H747=$B$13,H747=$B$14),SottocategorieUscite[[#Headers],[Fuori Casa]],IF(OR(H747=$C$5,H747=$C$6,H747=$C$7,H747=$C$8,H747=$C$9,H747=$C$10,H747=$C$11,H747=$C$12,H747=$C$13,H747=$C$14),SottocategorieUscite[[#Headers],[Varie Uscite]],IF(OR(H747=$D$5,H747=$D$6,H747=$D$7,H747=$D$8,H747=$D$9,H747=$D$10,H747=$D$11,H747=$D$12,H747=$D$13,H747=$D$14),SottocategorieUscite[[#Headers],[Personali]],IF(OR(H747=$E$5,H747=$E$6,H747=$E$7,H747=$E$8,H747=$E$9,H747=$E$10,H747=$E$11,H747=$E$12,H747=$E$13,H747=$E$14),SottocategorieUscite[[#Headers],[Lavoro]],IF(OR(H747=$F$5,H747=$F$6,H747=$F$7,H747=$F$8,H747=$F$9,H747=$F$10,H747=$F$11,H747=$F$12,H747=$F$13,H747=$F$14),SottocategorieUscite[[#Headers],[Casa]],IF(OR(H747=$G$5,H747=$G$6,H747=$G$7,H747=$G$8,H747=$G$9,H747=$G$10,H747=$G$11,H747=$G$12,H747=$G$13,H747=$G$14),SottocategorieUscite[[#Headers],[Utenze]],IF(OR(H747=$H$5,H747=$H$6,H747=$H$7,H747=$H$8,H747=$H$9,H747=$H$10,H747=$H$11,H747=$H$12,H747=$H$13,H747=$H$14),SottocategorieUscite[[#Headers],[Business Uscite]],IF(OR(H747=$I$5,H747=$I$6,H747=$I$7,H747=$I$8,H747=$I$9,H747=$I$10,H747=$I$11,H747=$I$12,H747=$I$13,H747=$I$14),SottocategorieUscite[[#Headers],[Banca]],IF(OR(H747=K$5,H747=K$6,H747=K$7,H747=K$8,H747=K$9,H747=K$10,H747=K$11,H747=K$12,H747=K$13,H747=K$14),SottocategorieEntrate[[#Headers],[Business Entrate]],IF(OR(H747=L$5,H747=L$6,H747=L$7,H747=L$8,H747=L$9,H747=L$10,H747=L$11,H747=L$12,H747=L$13,H747=L$14),SottocategorieEntrate[[#Headers],[Varie Entrate]],IF(OR(H747=M$5,H747=M$6,H747=M$7,H747=M$8,H747=M$9,H747=M$10,H747=M$11,H747=M$12,H747=M$13,H747=M$14),SottocategorieEntrate[[#Headers],[Real Estate]],IF(OR(H747=N$5,H747=N$6,H747=N$7,H747=N$8,H747=N$9,H747=N$10,H747=N$11,H747=N$12,H747=N$13,H747=N$14),SottocategorieEntrate[[#Headers],[Other]],""))))))))))))</f>
        <v/>
      </c>
      <c r="J747" t="str">
        <f>IF(OR(Dati[[#This Row],[Categoria]]="Bollette",Dati[[#This Row],[Categoria]]="Conto &amp; Carte BNL",Dati[[#This Row],[Categoria]]="Prelievo",Dati[[#This Row],[Categoria]]="Affitto",Dati[[#This Row],[Categoria]]="BNL(Interessi Creditori)"),"Carta",IF(Dati[[#This Row],[Categoria]]&lt;&gt;0,"Cash",""))</f>
        <v/>
      </c>
      <c r="K747" s="59" t="str">
        <f>IF(OR(Data!$I747=SottocategorieUscite[[#Headers],[Fuori Casa]],Data!$I747=SottocategorieUscite[[#Headers],[Varie Uscite]],Data!$I747=SottocategorieUscite[[#Headers],[Personali]],Data!$I747=SottocategorieUscite[[#Headers],[Lavoro]]),"$ -","")</f>
        <v/>
      </c>
      <c r="L747" s="59" t="str">
        <f>IF(OR(Data!$I747=SottocategorieUscite[[#Headers],[Casa]],Data!$I747=SottocategorieUscite[[#Headers],[Utenze]],Data!$I747=SottocategorieUscite[[#Headers],[Business Uscite]],Data!$I747=SottocategorieUscite[[#Headers],[Banca]]),"$ -","")</f>
        <v/>
      </c>
      <c r="M747" s="59" t="str">
        <f>IF(OR($I747&lt;&gt;SottocategorieUscite[[#Headers],[Fuori Casa]],$I747&lt;&gt;SottocategorieUscite[[#Headers],[Varie Uscite]],$I747&lt;&gt;SottocategorieUscite[[#Headers],[Personali]],$I747&lt;&gt;SottocategorieUscite[[#Headers],[Lavoro]],$I747&lt;&gt;SottocategorieUscite[[#Headers],[Casa]],$I747&lt;&gt;SottocategorieUscite[[#Headers],[Utenze]],$I747&lt;&gt;SottocategorieUscite[[#Headers],[Business Uscite]],$I747&lt;&gt;SottocategorieUscite[[#Headers],[Banca]]),"","$ -")</f>
        <v/>
      </c>
      <c r="N747" s="59" t="str">
        <f>IF(OR(Data!$I747=SottocategorieEntrate[[#Headers],[Business Entrate]],Data!$I747=SottocategorieEntrate[[#Headers],[Varie Entrate]]),"$ -","")</f>
        <v/>
      </c>
      <c r="O747" s="59" t="str">
        <f>IF(OR(Data!$I747=SottocategorieEntrate[[#Headers],[Real Estate]],SottocategorieEntrate[[#Headers],[Other]]),"$ -","")</f>
        <v/>
      </c>
      <c r="P747" s="59" t="str">
        <f>IF(OR($I747&lt;&gt;SottocategorieEntrate[[#Headers],[Business Entrate]],$I747&lt;&gt;SottocategorieEntrate[[#Headers],[Varie Entrate]],$I747&lt;&gt;SottocategorieEntrate[[#Headers],[Real Estate]],$I747&lt;&gt;SottocategorieEntrate[[#Headers],[Other]]),"","$ -")</f>
        <v/>
      </c>
      <c r="Q747" s="59" t="str">
        <f>IF(Dati[[#This Row],[Categoria]]="Prelievo","€ -","")</f>
        <v/>
      </c>
      <c r="R747" s="244"/>
      <c r="S747" s="59" t="str">
        <f>IF(Dati[[#This Row],[Categoria]]="Savings",0,"")</f>
        <v/>
      </c>
      <c r="T747" s="59"/>
      <c r="U747" s="59"/>
      <c r="V747" s="59"/>
      <c r="W747" s="59"/>
      <c r="X747" s="59"/>
      <c r="Y747" s="59"/>
      <c r="Z747" s="59"/>
      <c r="AA747" s="59"/>
      <c r="AB747" s="59"/>
      <c r="AC747" s="59"/>
      <c r="AD747" s="59"/>
      <c r="AE747" s="59"/>
      <c r="AF747" s="59"/>
      <c r="AG747" s="59"/>
      <c r="AH747" s="59"/>
      <c r="AI747" s="59" t="str">
        <f>IF(SUM(Dati[[#This Row],[Inv. Business]:[Inv. Cryptocurrency]])=0," ",SUM(Dati[[#This Row],[Inv. Business]:[Inv. Cryptocurrency]]))</f>
        <v xml:space="preserve"> </v>
      </c>
      <c r="AJ747" s="59"/>
      <c r="AK747" s="59"/>
      <c r="AL747" s="59"/>
      <c r="AM747" s="59"/>
    </row>
    <row r="748" spans="2:39" x14ac:dyDescent="0.35">
      <c r="B748" s="237">
        <f t="shared" si="37"/>
        <v>728</v>
      </c>
      <c r="C748" s="49">
        <f t="shared" si="35"/>
        <v>45477</v>
      </c>
      <c r="D748" s="29">
        <f>DAY(Dati[[#This Row],[Data]])</f>
        <v>4</v>
      </c>
      <c r="E748" s="29" t="str">
        <f>IF(DAY(Data!$C$21:$C$1327)&gt;0,TEXT(Data!$C$21:$C$1327, "mmmm"),"")</f>
        <v>luglio</v>
      </c>
      <c r="F748" s="29" t="str">
        <f>IF(DAY(Data!$C$21:$C$1327)&gt;0,TEXT(Data!$C$21:$C$1327, "aaaa"),"")</f>
        <v>2024</v>
      </c>
      <c r="I748" t="str">
        <f>IF(OR(H748=$B$5,H748=$B$6,H748=$B$7,H748=$B$8,H748=$B$9,H748=$B$10,H748=$B$11,H748=$B$12,H748=$B$13,H748=$B$14),SottocategorieUscite[[#Headers],[Fuori Casa]],IF(OR(H748=$C$5,H748=$C$6,H748=$C$7,H748=$C$8,H748=$C$9,H748=$C$10,H748=$C$11,H748=$C$12,H748=$C$13,H748=$C$14),SottocategorieUscite[[#Headers],[Varie Uscite]],IF(OR(H748=$D$5,H748=$D$6,H748=$D$7,H748=$D$8,H748=$D$9,H748=$D$10,H748=$D$11,H748=$D$12,H748=$D$13,H748=$D$14),SottocategorieUscite[[#Headers],[Personali]],IF(OR(H748=$E$5,H748=$E$6,H748=$E$7,H748=$E$8,H748=$E$9,H748=$E$10,H748=$E$11,H748=$E$12,H748=$E$13,H748=$E$14),SottocategorieUscite[[#Headers],[Lavoro]],IF(OR(H748=$F$5,H748=$F$6,H748=$F$7,H748=$F$8,H748=$F$9,H748=$F$10,H748=$F$11,H748=$F$12,H748=$F$13,H748=$F$14),SottocategorieUscite[[#Headers],[Casa]],IF(OR(H748=$G$5,H748=$G$6,H748=$G$7,H748=$G$8,H748=$G$9,H748=$G$10,H748=$G$11,H748=$G$12,H748=$G$13,H748=$G$14),SottocategorieUscite[[#Headers],[Utenze]],IF(OR(H748=$H$5,H748=$H$6,H748=$H$7,H748=$H$8,H748=$H$9,H748=$H$10,H748=$H$11,H748=$H$12,H748=$H$13,H748=$H$14),SottocategorieUscite[[#Headers],[Business Uscite]],IF(OR(H748=$I$5,H748=$I$6,H748=$I$7,H748=$I$8,H748=$I$9,H748=$I$10,H748=$I$11,H748=$I$12,H748=$I$13,H748=$I$14),SottocategorieUscite[[#Headers],[Banca]],IF(OR(H748=K$5,H748=K$6,H748=K$7,H748=K$8,H748=K$9,H748=K$10,H748=K$11,H748=K$12,H748=K$13,H748=K$14),SottocategorieEntrate[[#Headers],[Business Entrate]],IF(OR(H748=L$5,H748=L$6,H748=L$7,H748=L$8,H748=L$9,H748=L$10,H748=L$11,H748=L$12,H748=L$13,H748=L$14),SottocategorieEntrate[[#Headers],[Varie Entrate]],IF(OR(H748=M$5,H748=M$6,H748=M$7,H748=M$8,H748=M$9,H748=M$10,H748=M$11,H748=M$12,H748=M$13,H748=M$14),SottocategorieEntrate[[#Headers],[Real Estate]],IF(OR(H748=N$5,H748=N$6,H748=N$7,H748=N$8,H748=N$9,H748=N$10,H748=N$11,H748=N$12,H748=N$13,H748=N$14),SottocategorieEntrate[[#Headers],[Other]],""))))))))))))</f>
        <v/>
      </c>
      <c r="J748" t="str">
        <f>IF(OR(Dati[[#This Row],[Categoria]]="Bollette",Dati[[#This Row],[Categoria]]="Conto &amp; Carte BNL",Dati[[#This Row],[Categoria]]="Prelievo",Dati[[#This Row],[Categoria]]="Affitto",Dati[[#This Row],[Categoria]]="BNL(Interessi Creditori)"),"Carta",IF(Dati[[#This Row],[Categoria]]&lt;&gt;0,"Cash",""))</f>
        <v/>
      </c>
      <c r="K748" s="59" t="str">
        <f>IF(OR(Data!$I748=SottocategorieUscite[[#Headers],[Fuori Casa]],Data!$I748=SottocategorieUscite[[#Headers],[Varie Uscite]],Data!$I748=SottocategorieUscite[[#Headers],[Personali]],Data!$I748=SottocategorieUscite[[#Headers],[Lavoro]]),"$ -","")</f>
        <v/>
      </c>
      <c r="L748" s="59" t="str">
        <f>IF(OR(Data!$I748=SottocategorieUscite[[#Headers],[Casa]],Data!$I748=SottocategorieUscite[[#Headers],[Utenze]],Data!$I748=SottocategorieUscite[[#Headers],[Business Uscite]],Data!$I748=SottocategorieUscite[[#Headers],[Banca]]),"$ -","")</f>
        <v/>
      </c>
      <c r="M748" s="59" t="str">
        <f>IF(OR($I748&lt;&gt;SottocategorieUscite[[#Headers],[Fuori Casa]],$I748&lt;&gt;SottocategorieUscite[[#Headers],[Varie Uscite]],$I748&lt;&gt;SottocategorieUscite[[#Headers],[Personali]],$I748&lt;&gt;SottocategorieUscite[[#Headers],[Lavoro]],$I748&lt;&gt;SottocategorieUscite[[#Headers],[Casa]],$I748&lt;&gt;SottocategorieUscite[[#Headers],[Utenze]],$I748&lt;&gt;SottocategorieUscite[[#Headers],[Business Uscite]],$I748&lt;&gt;SottocategorieUscite[[#Headers],[Banca]]),"","$ -")</f>
        <v/>
      </c>
      <c r="N748" s="59" t="str">
        <f>IF(OR(Data!$I748=SottocategorieEntrate[[#Headers],[Business Entrate]],Data!$I748=SottocategorieEntrate[[#Headers],[Varie Entrate]]),"$ -","")</f>
        <v/>
      </c>
      <c r="O748" s="59" t="str">
        <f>IF(OR(Data!$I748=SottocategorieEntrate[[#Headers],[Real Estate]],SottocategorieEntrate[[#Headers],[Other]]),"$ -","")</f>
        <v/>
      </c>
      <c r="P748" s="59" t="str">
        <f>IF(OR($I748&lt;&gt;SottocategorieEntrate[[#Headers],[Business Entrate]],$I748&lt;&gt;SottocategorieEntrate[[#Headers],[Varie Entrate]],$I748&lt;&gt;SottocategorieEntrate[[#Headers],[Real Estate]],$I748&lt;&gt;SottocategorieEntrate[[#Headers],[Other]]),"","$ -")</f>
        <v/>
      </c>
      <c r="Q748" s="59" t="str">
        <f>IF(Dati[[#This Row],[Categoria]]="Prelievo","€ -","")</f>
        <v/>
      </c>
      <c r="R748" s="244"/>
      <c r="S748" s="59" t="str">
        <f>IF(Dati[[#This Row],[Categoria]]="Savings",0,"")</f>
        <v/>
      </c>
      <c r="T748" s="59"/>
      <c r="U748" s="59"/>
      <c r="V748" s="59"/>
      <c r="W748" s="59"/>
      <c r="X748" s="59"/>
      <c r="Y748" s="59"/>
      <c r="Z748" s="59"/>
      <c r="AA748" s="59"/>
      <c r="AB748" s="59"/>
      <c r="AC748" s="59"/>
      <c r="AD748" s="59"/>
      <c r="AE748" s="59"/>
      <c r="AF748" s="59"/>
      <c r="AG748" s="59"/>
      <c r="AH748" s="59"/>
      <c r="AI748" s="59" t="str">
        <f>IF(SUM(Dati[[#This Row],[Inv. Business]:[Inv. Cryptocurrency]])=0," ",SUM(Dati[[#This Row],[Inv. Business]:[Inv. Cryptocurrency]]))</f>
        <v xml:space="preserve"> </v>
      </c>
      <c r="AJ748" s="59"/>
      <c r="AK748" s="59"/>
      <c r="AL748" s="59"/>
      <c r="AM748" s="59"/>
    </row>
    <row r="749" spans="2:39" x14ac:dyDescent="0.35">
      <c r="B749" s="237">
        <f t="shared" si="37"/>
        <v>729</v>
      </c>
      <c r="C749" s="49">
        <f t="shared" si="35"/>
        <v>45478</v>
      </c>
      <c r="D749" s="29">
        <f>DAY(Dati[[#This Row],[Data]])</f>
        <v>5</v>
      </c>
      <c r="E749" s="29" t="str">
        <f>IF(DAY(Data!$C$21:$C$1327)&gt;0,TEXT(Data!$C$21:$C$1327, "mmmm"),"")</f>
        <v>luglio</v>
      </c>
      <c r="F749" s="29" t="str">
        <f>IF(DAY(Data!$C$21:$C$1327)&gt;0,TEXT(Data!$C$21:$C$1327, "aaaa"),"")</f>
        <v>2024</v>
      </c>
      <c r="I749" t="str">
        <f>IF(OR(H749=$B$5,H749=$B$6,H749=$B$7,H749=$B$8,H749=$B$9,H749=$B$10,H749=$B$11,H749=$B$12,H749=$B$13,H749=$B$14),SottocategorieUscite[[#Headers],[Fuori Casa]],IF(OR(H749=$C$5,H749=$C$6,H749=$C$7,H749=$C$8,H749=$C$9,H749=$C$10,H749=$C$11,H749=$C$12,H749=$C$13,H749=$C$14),SottocategorieUscite[[#Headers],[Varie Uscite]],IF(OR(H749=$D$5,H749=$D$6,H749=$D$7,H749=$D$8,H749=$D$9,H749=$D$10,H749=$D$11,H749=$D$12,H749=$D$13,H749=$D$14),SottocategorieUscite[[#Headers],[Personali]],IF(OR(H749=$E$5,H749=$E$6,H749=$E$7,H749=$E$8,H749=$E$9,H749=$E$10,H749=$E$11,H749=$E$12,H749=$E$13,H749=$E$14),SottocategorieUscite[[#Headers],[Lavoro]],IF(OR(H749=$F$5,H749=$F$6,H749=$F$7,H749=$F$8,H749=$F$9,H749=$F$10,H749=$F$11,H749=$F$12,H749=$F$13,H749=$F$14),SottocategorieUscite[[#Headers],[Casa]],IF(OR(H749=$G$5,H749=$G$6,H749=$G$7,H749=$G$8,H749=$G$9,H749=$G$10,H749=$G$11,H749=$G$12,H749=$G$13,H749=$G$14),SottocategorieUscite[[#Headers],[Utenze]],IF(OR(H749=$H$5,H749=$H$6,H749=$H$7,H749=$H$8,H749=$H$9,H749=$H$10,H749=$H$11,H749=$H$12,H749=$H$13,H749=$H$14),SottocategorieUscite[[#Headers],[Business Uscite]],IF(OR(H749=$I$5,H749=$I$6,H749=$I$7,H749=$I$8,H749=$I$9,H749=$I$10,H749=$I$11,H749=$I$12,H749=$I$13,H749=$I$14),SottocategorieUscite[[#Headers],[Banca]],IF(OR(H749=K$5,H749=K$6,H749=K$7,H749=K$8,H749=K$9,H749=K$10,H749=K$11,H749=K$12,H749=K$13,H749=K$14),SottocategorieEntrate[[#Headers],[Business Entrate]],IF(OR(H749=L$5,H749=L$6,H749=L$7,H749=L$8,H749=L$9,H749=L$10,H749=L$11,H749=L$12,H749=L$13,H749=L$14),SottocategorieEntrate[[#Headers],[Varie Entrate]],IF(OR(H749=M$5,H749=M$6,H749=M$7,H749=M$8,H749=M$9,H749=M$10,H749=M$11,H749=M$12,H749=M$13,H749=M$14),SottocategorieEntrate[[#Headers],[Real Estate]],IF(OR(H749=N$5,H749=N$6,H749=N$7,H749=N$8,H749=N$9,H749=N$10,H749=N$11,H749=N$12,H749=N$13,H749=N$14),SottocategorieEntrate[[#Headers],[Other]],""))))))))))))</f>
        <v/>
      </c>
      <c r="J749" t="str">
        <f>IF(OR(Dati[[#This Row],[Categoria]]="Bollette",Dati[[#This Row],[Categoria]]="Conto &amp; Carte BNL",Dati[[#This Row],[Categoria]]="Prelievo",Dati[[#This Row],[Categoria]]="Affitto",Dati[[#This Row],[Categoria]]="BNL(Interessi Creditori)"),"Carta",IF(Dati[[#This Row],[Categoria]]&lt;&gt;0,"Cash",""))</f>
        <v/>
      </c>
      <c r="K749" s="59" t="str">
        <f>IF(OR(Data!$I749=SottocategorieUscite[[#Headers],[Fuori Casa]],Data!$I749=SottocategorieUscite[[#Headers],[Varie Uscite]],Data!$I749=SottocategorieUscite[[#Headers],[Personali]],Data!$I749=SottocategorieUscite[[#Headers],[Lavoro]]),"$ -","")</f>
        <v/>
      </c>
      <c r="L749" s="59" t="str">
        <f>IF(OR(Data!$I749=SottocategorieUscite[[#Headers],[Casa]],Data!$I749=SottocategorieUscite[[#Headers],[Utenze]],Data!$I749=SottocategorieUscite[[#Headers],[Business Uscite]],Data!$I749=SottocategorieUscite[[#Headers],[Banca]]),"$ -","")</f>
        <v/>
      </c>
      <c r="M749" s="59" t="str">
        <f>IF(OR($I749&lt;&gt;SottocategorieUscite[[#Headers],[Fuori Casa]],$I749&lt;&gt;SottocategorieUscite[[#Headers],[Varie Uscite]],$I749&lt;&gt;SottocategorieUscite[[#Headers],[Personali]],$I749&lt;&gt;SottocategorieUscite[[#Headers],[Lavoro]],$I749&lt;&gt;SottocategorieUscite[[#Headers],[Casa]],$I749&lt;&gt;SottocategorieUscite[[#Headers],[Utenze]],$I749&lt;&gt;SottocategorieUscite[[#Headers],[Business Uscite]],$I749&lt;&gt;SottocategorieUscite[[#Headers],[Banca]]),"","$ -")</f>
        <v/>
      </c>
      <c r="N749" s="59" t="str">
        <f>IF(OR(Data!$I749=SottocategorieEntrate[[#Headers],[Business Entrate]],Data!$I749=SottocategorieEntrate[[#Headers],[Varie Entrate]]),"$ -","")</f>
        <v/>
      </c>
      <c r="O749" s="59" t="str">
        <f>IF(OR(Data!$I749=SottocategorieEntrate[[#Headers],[Real Estate]],SottocategorieEntrate[[#Headers],[Other]]),"$ -","")</f>
        <v/>
      </c>
      <c r="P749" s="59" t="str">
        <f>IF(OR($I749&lt;&gt;SottocategorieEntrate[[#Headers],[Business Entrate]],$I749&lt;&gt;SottocategorieEntrate[[#Headers],[Varie Entrate]],$I749&lt;&gt;SottocategorieEntrate[[#Headers],[Real Estate]],$I749&lt;&gt;SottocategorieEntrate[[#Headers],[Other]]),"","$ -")</f>
        <v/>
      </c>
      <c r="Q749" s="59" t="str">
        <f>IF(Dati[[#This Row],[Categoria]]="Prelievo","€ -","")</f>
        <v/>
      </c>
      <c r="R749" s="244"/>
      <c r="S749" s="59" t="str">
        <f>IF(Dati[[#This Row],[Categoria]]="Savings",0,"")</f>
        <v/>
      </c>
      <c r="T749" s="59"/>
      <c r="U749" s="59"/>
      <c r="V749" s="59"/>
      <c r="W749" s="59"/>
      <c r="X749" s="59"/>
      <c r="Y749" s="59"/>
      <c r="Z749" s="59"/>
      <c r="AA749" s="59"/>
      <c r="AB749" s="59"/>
      <c r="AC749" s="59"/>
      <c r="AD749" s="59"/>
      <c r="AE749" s="59"/>
      <c r="AF749" s="59"/>
      <c r="AG749" s="59"/>
      <c r="AH749" s="59"/>
      <c r="AI749" s="59" t="str">
        <f>IF(SUM(Dati[[#This Row],[Inv. Business]:[Inv. Cryptocurrency]])=0," ",SUM(Dati[[#This Row],[Inv. Business]:[Inv. Cryptocurrency]]))</f>
        <v xml:space="preserve"> </v>
      </c>
      <c r="AJ749" s="59"/>
      <c r="AK749" s="59"/>
      <c r="AL749" s="59"/>
      <c r="AM749" s="59"/>
    </row>
    <row r="750" spans="2:39" x14ac:dyDescent="0.35">
      <c r="B750" s="237">
        <f t="shared" si="37"/>
        <v>730</v>
      </c>
      <c r="C750" s="49">
        <f t="shared" si="35"/>
        <v>45479</v>
      </c>
      <c r="D750" s="29">
        <f>DAY(Dati[[#This Row],[Data]])</f>
        <v>6</v>
      </c>
      <c r="E750" s="29" t="str">
        <f>IF(DAY(Data!$C$21:$C$1327)&gt;0,TEXT(Data!$C$21:$C$1327, "mmmm"),"")</f>
        <v>luglio</v>
      </c>
      <c r="F750" s="29" t="str">
        <f>IF(DAY(Data!$C$21:$C$1327)&gt;0,TEXT(Data!$C$21:$C$1327, "aaaa"),"")</f>
        <v>2024</v>
      </c>
      <c r="I750" t="str">
        <f>IF(OR(H750=$B$5,H750=$B$6,H750=$B$7,H750=$B$8,H750=$B$9,H750=$B$10,H750=$B$11,H750=$B$12,H750=$B$13,H750=$B$14),SottocategorieUscite[[#Headers],[Fuori Casa]],IF(OR(H750=$C$5,H750=$C$6,H750=$C$7,H750=$C$8,H750=$C$9,H750=$C$10,H750=$C$11,H750=$C$12,H750=$C$13,H750=$C$14),SottocategorieUscite[[#Headers],[Varie Uscite]],IF(OR(H750=$D$5,H750=$D$6,H750=$D$7,H750=$D$8,H750=$D$9,H750=$D$10,H750=$D$11,H750=$D$12,H750=$D$13,H750=$D$14),SottocategorieUscite[[#Headers],[Personali]],IF(OR(H750=$E$5,H750=$E$6,H750=$E$7,H750=$E$8,H750=$E$9,H750=$E$10,H750=$E$11,H750=$E$12,H750=$E$13,H750=$E$14),SottocategorieUscite[[#Headers],[Lavoro]],IF(OR(H750=$F$5,H750=$F$6,H750=$F$7,H750=$F$8,H750=$F$9,H750=$F$10,H750=$F$11,H750=$F$12,H750=$F$13,H750=$F$14),SottocategorieUscite[[#Headers],[Casa]],IF(OR(H750=$G$5,H750=$G$6,H750=$G$7,H750=$G$8,H750=$G$9,H750=$G$10,H750=$G$11,H750=$G$12,H750=$G$13,H750=$G$14),SottocategorieUscite[[#Headers],[Utenze]],IF(OR(H750=$H$5,H750=$H$6,H750=$H$7,H750=$H$8,H750=$H$9,H750=$H$10,H750=$H$11,H750=$H$12,H750=$H$13,H750=$H$14),SottocategorieUscite[[#Headers],[Business Uscite]],IF(OR(H750=$I$5,H750=$I$6,H750=$I$7,H750=$I$8,H750=$I$9,H750=$I$10,H750=$I$11,H750=$I$12,H750=$I$13,H750=$I$14),SottocategorieUscite[[#Headers],[Banca]],IF(OR(H750=K$5,H750=K$6,H750=K$7,H750=K$8,H750=K$9,H750=K$10,H750=K$11,H750=K$12,H750=K$13,H750=K$14),SottocategorieEntrate[[#Headers],[Business Entrate]],IF(OR(H750=L$5,H750=L$6,H750=L$7,H750=L$8,H750=L$9,H750=L$10,H750=L$11,H750=L$12,H750=L$13,H750=L$14),SottocategorieEntrate[[#Headers],[Varie Entrate]],IF(OR(H750=M$5,H750=M$6,H750=M$7,H750=M$8,H750=M$9,H750=M$10,H750=M$11,H750=M$12,H750=M$13,H750=M$14),SottocategorieEntrate[[#Headers],[Real Estate]],IF(OR(H750=N$5,H750=N$6,H750=N$7,H750=N$8,H750=N$9,H750=N$10,H750=N$11,H750=N$12,H750=N$13,H750=N$14),SottocategorieEntrate[[#Headers],[Other]],""))))))))))))</f>
        <v/>
      </c>
      <c r="J750" t="str">
        <f>IF(OR(Dati[[#This Row],[Categoria]]="Bollette",Dati[[#This Row],[Categoria]]="Conto &amp; Carte BNL",Dati[[#This Row],[Categoria]]="Prelievo",Dati[[#This Row],[Categoria]]="Affitto",Dati[[#This Row],[Categoria]]="BNL(Interessi Creditori)"),"Carta",IF(Dati[[#This Row],[Categoria]]&lt;&gt;0,"Cash",""))</f>
        <v/>
      </c>
      <c r="K750" s="59" t="str">
        <f>IF(OR(Data!$I750=SottocategorieUscite[[#Headers],[Fuori Casa]],Data!$I750=SottocategorieUscite[[#Headers],[Varie Uscite]],Data!$I750=SottocategorieUscite[[#Headers],[Personali]],Data!$I750=SottocategorieUscite[[#Headers],[Lavoro]]),"$ -","")</f>
        <v/>
      </c>
      <c r="L750" s="59" t="str">
        <f>IF(OR(Data!$I750=SottocategorieUscite[[#Headers],[Casa]],Data!$I750=SottocategorieUscite[[#Headers],[Utenze]],Data!$I750=SottocategorieUscite[[#Headers],[Business Uscite]],Data!$I750=SottocategorieUscite[[#Headers],[Banca]]),"$ -","")</f>
        <v/>
      </c>
      <c r="M750" s="59" t="str">
        <f>IF(OR($I750&lt;&gt;SottocategorieUscite[[#Headers],[Fuori Casa]],$I750&lt;&gt;SottocategorieUscite[[#Headers],[Varie Uscite]],$I750&lt;&gt;SottocategorieUscite[[#Headers],[Personali]],$I750&lt;&gt;SottocategorieUscite[[#Headers],[Lavoro]],$I750&lt;&gt;SottocategorieUscite[[#Headers],[Casa]],$I750&lt;&gt;SottocategorieUscite[[#Headers],[Utenze]],$I750&lt;&gt;SottocategorieUscite[[#Headers],[Business Uscite]],$I750&lt;&gt;SottocategorieUscite[[#Headers],[Banca]]),"","$ -")</f>
        <v/>
      </c>
      <c r="N750" s="59" t="str">
        <f>IF(OR(Data!$I750=SottocategorieEntrate[[#Headers],[Business Entrate]],Data!$I750=SottocategorieEntrate[[#Headers],[Varie Entrate]]),"$ -","")</f>
        <v/>
      </c>
      <c r="O750" s="59" t="str">
        <f>IF(OR(Data!$I750=SottocategorieEntrate[[#Headers],[Real Estate]],SottocategorieEntrate[[#Headers],[Other]]),"$ -","")</f>
        <v/>
      </c>
      <c r="P750" s="59" t="str">
        <f>IF(OR($I750&lt;&gt;SottocategorieEntrate[[#Headers],[Business Entrate]],$I750&lt;&gt;SottocategorieEntrate[[#Headers],[Varie Entrate]],$I750&lt;&gt;SottocategorieEntrate[[#Headers],[Real Estate]],$I750&lt;&gt;SottocategorieEntrate[[#Headers],[Other]]),"","$ -")</f>
        <v/>
      </c>
      <c r="Q750" s="59" t="str">
        <f>IF(Dati[[#This Row],[Categoria]]="Prelievo","€ -","")</f>
        <v/>
      </c>
      <c r="R750" s="244"/>
      <c r="S750" s="59" t="str">
        <f>IF(Dati[[#This Row],[Categoria]]="Savings",0,"")</f>
        <v/>
      </c>
      <c r="T750" s="59"/>
      <c r="U750" s="59"/>
      <c r="V750" s="59"/>
      <c r="W750" s="59"/>
      <c r="X750" s="59"/>
      <c r="Y750" s="59"/>
      <c r="Z750" s="59"/>
      <c r="AA750" s="59"/>
      <c r="AB750" s="59"/>
      <c r="AC750" s="59"/>
      <c r="AD750" s="59"/>
      <c r="AE750" s="59"/>
      <c r="AF750" s="59"/>
      <c r="AG750" s="59"/>
      <c r="AH750" s="59"/>
      <c r="AI750" s="59" t="str">
        <f>IF(SUM(Dati[[#This Row],[Inv. Business]:[Inv. Cryptocurrency]])=0," ",SUM(Dati[[#This Row],[Inv. Business]:[Inv. Cryptocurrency]]))</f>
        <v xml:space="preserve"> </v>
      </c>
      <c r="AJ750" s="59"/>
      <c r="AK750" s="59"/>
      <c r="AL750" s="59"/>
      <c r="AM750" s="59"/>
    </row>
    <row r="751" spans="2:39" x14ac:dyDescent="0.35">
      <c r="B751" s="237">
        <f t="shared" si="37"/>
        <v>731</v>
      </c>
      <c r="C751" s="49">
        <f t="shared" si="35"/>
        <v>45480</v>
      </c>
      <c r="D751" s="29">
        <f>DAY(Dati[[#This Row],[Data]])</f>
        <v>7</v>
      </c>
      <c r="E751" s="29" t="str">
        <f>IF(DAY(Data!$C$21:$C$1327)&gt;0,TEXT(Data!$C$21:$C$1327, "mmmm"),"")</f>
        <v>luglio</v>
      </c>
      <c r="F751" s="29" t="str">
        <f>IF(DAY(Data!$C$21:$C$1327)&gt;0,TEXT(Data!$C$21:$C$1327, "aaaa"),"")</f>
        <v>2024</v>
      </c>
      <c r="I751" t="str">
        <f>IF(OR(H751=$B$5,H751=$B$6,H751=$B$7,H751=$B$8,H751=$B$9,H751=$B$10,H751=$B$11,H751=$B$12,H751=$B$13,H751=$B$14),SottocategorieUscite[[#Headers],[Fuori Casa]],IF(OR(H751=$C$5,H751=$C$6,H751=$C$7,H751=$C$8,H751=$C$9,H751=$C$10,H751=$C$11,H751=$C$12,H751=$C$13,H751=$C$14),SottocategorieUscite[[#Headers],[Varie Uscite]],IF(OR(H751=$D$5,H751=$D$6,H751=$D$7,H751=$D$8,H751=$D$9,H751=$D$10,H751=$D$11,H751=$D$12,H751=$D$13,H751=$D$14),SottocategorieUscite[[#Headers],[Personali]],IF(OR(H751=$E$5,H751=$E$6,H751=$E$7,H751=$E$8,H751=$E$9,H751=$E$10,H751=$E$11,H751=$E$12,H751=$E$13,H751=$E$14),SottocategorieUscite[[#Headers],[Lavoro]],IF(OR(H751=$F$5,H751=$F$6,H751=$F$7,H751=$F$8,H751=$F$9,H751=$F$10,H751=$F$11,H751=$F$12,H751=$F$13,H751=$F$14),SottocategorieUscite[[#Headers],[Casa]],IF(OR(H751=$G$5,H751=$G$6,H751=$G$7,H751=$G$8,H751=$G$9,H751=$G$10,H751=$G$11,H751=$G$12,H751=$G$13,H751=$G$14),SottocategorieUscite[[#Headers],[Utenze]],IF(OR(H751=$H$5,H751=$H$6,H751=$H$7,H751=$H$8,H751=$H$9,H751=$H$10,H751=$H$11,H751=$H$12,H751=$H$13,H751=$H$14),SottocategorieUscite[[#Headers],[Business Uscite]],IF(OR(H751=$I$5,H751=$I$6,H751=$I$7,H751=$I$8,H751=$I$9,H751=$I$10,H751=$I$11,H751=$I$12,H751=$I$13,H751=$I$14),SottocategorieUscite[[#Headers],[Banca]],IF(OR(H751=K$5,H751=K$6,H751=K$7,H751=K$8,H751=K$9,H751=K$10,H751=K$11,H751=K$12,H751=K$13,H751=K$14),SottocategorieEntrate[[#Headers],[Business Entrate]],IF(OR(H751=L$5,H751=L$6,H751=L$7,H751=L$8,H751=L$9,H751=L$10,H751=L$11,H751=L$12,H751=L$13,H751=L$14),SottocategorieEntrate[[#Headers],[Varie Entrate]],IF(OR(H751=M$5,H751=M$6,H751=M$7,H751=M$8,H751=M$9,H751=M$10,H751=M$11,H751=M$12,H751=M$13,H751=M$14),SottocategorieEntrate[[#Headers],[Real Estate]],IF(OR(H751=N$5,H751=N$6,H751=N$7,H751=N$8,H751=N$9,H751=N$10,H751=N$11,H751=N$12,H751=N$13,H751=N$14),SottocategorieEntrate[[#Headers],[Other]],""))))))))))))</f>
        <v/>
      </c>
      <c r="J751" t="str">
        <f>IF(OR(Dati[[#This Row],[Categoria]]="Bollette",Dati[[#This Row],[Categoria]]="Conto &amp; Carte BNL",Dati[[#This Row],[Categoria]]="Prelievo",Dati[[#This Row],[Categoria]]="Affitto",Dati[[#This Row],[Categoria]]="BNL(Interessi Creditori)"),"Carta",IF(Dati[[#This Row],[Categoria]]&lt;&gt;0,"Cash",""))</f>
        <v/>
      </c>
      <c r="K751" s="59" t="str">
        <f>IF(OR(Data!$I751=SottocategorieUscite[[#Headers],[Fuori Casa]],Data!$I751=SottocategorieUscite[[#Headers],[Varie Uscite]],Data!$I751=SottocategorieUscite[[#Headers],[Personali]],Data!$I751=SottocategorieUscite[[#Headers],[Lavoro]]),"$ -","")</f>
        <v/>
      </c>
      <c r="L751" s="59" t="str">
        <f>IF(OR(Data!$I751=SottocategorieUscite[[#Headers],[Casa]],Data!$I751=SottocategorieUscite[[#Headers],[Utenze]],Data!$I751=SottocategorieUscite[[#Headers],[Business Uscite]],Data!$I751=SottocategorieUscite[[#Headers],[Banca]]),"$ -","")</f>
        <v/>
      </c>
      <c r="M751" s="59" t="str">
        <f>IF(OR($I751&lt;&gt;SottocategorieUscite[[#Headers],[Fuori Casa]],$I751&lt;&gt;SottocategorieUscite[[#Headers],[Varie Uscite]],$I751&lt;&gt;SottocategorieUscite[[#Headers],[Personali]],$I751&lt;&gt;SottocategorieUscite[[#Headers],[Lavoro]],$I751&lt;&gt;SottocategorieUscite[[#Headers],[Casa]],$I751&lt;&gt;SottocategorieUscite[[#Headers],[Utenze]],$I751&lt;&gt;SottocategorieUscite[[#Headers],[Business Uscite]],$I751&lt;&gt;SottocategorieUscite[[#Headers],[Banca]]),"","$ -")</f>
        <v/>
      </c>
      <c r="N751" s="59" t="str">
        <f>IF(OR(Data!$I751=SottocategorieEntrate[[#Headers],[Business Entrate]],Data!$I751=SottocategorieEntrate[[#Headers],[Varie Entrate]]),"$ -","")</f>
        <v/>
      </c>
      <c r="O751" s="59" t="str">
        <f>IF(OR(Data!$I751=SottocategorieEntrate[[#Headers],[Real Estate]],SottocategorieEntrate[[#Headers],[Other]]),"$ -","")</f>
        <v/>
      </c>
      <c r="P751" s="59" t="str">
        <f>IF(OR($I751&lt;&gt;SottocategorieEntrate[[#Headers],[Business Entrate]],$I751&lt;&gt;SottocategorieEntrate[[#Headers],[Varie Entrate]],$I751&lt;&gt;SottocategorieEntrate[[#Headers],[Real Estate]],$I751&lt;&gt;SottocategorieEntrate[[#Headers],[Other]]),"","$ -")</f>
        <v/>
      </c>
      <c r="Q751" s="59" t="str">
        <f>IF(Dati[[#This Row],[Categoria]]="Prelievo","€ -","")</f>
        <v/>
      </c>
      <c r="R751" s="244"/>
      <c r="S751" s="59" t="str">
        <f>IF(Dati[[#This Row],[Categoria]]="Savings",0,"")</f>
        <v/>
      </c>
      <c r="T751" s="59"/>
      <c r="U751" s="59"/>
      <c r="V751" s="59"/>
      <c r="W751" s="59"/>
      <c r="X751" s="59"/>
      <c r="Y751" s="59"/>
      <c r="Z751" s="59"/>
      <c r="AA751" s="59"/>
      <c r="AB751" s="59"/>
      <c r="AC751" s="59"/>
      <c r="AD751" s="59"/>
      <c r="AE751" s="59"/>
      <c r="AF751" s="59"/>
      <c r="AG751" s="59"/>
      <c r="AH751" s="59"/>
      <c r="AI751" s="59" t="str">
        <f>IF(SUM(Dati[[#This Row],[Inv. Business]:[Inv. Cryptocurrency]])=0," ",SUM(Dati[[#This Row],[Inv. Business]:[Inv. Cryptocurrency]]))</f>
        <v xml:space="preserve"> </v>
      </c>
      <c r="AJ751" s="59"/>
      <c r="AK751" s="59"/>
      <c r="AL751" s="59"/>
      <c r="AM751" s="59"/>
    </row>
    <row r="752" spans="2:39" x14ac:dyDescent="0.35">
      <c r="B752" s="237">
        <f t="shared" si="37"/>
        <v>732</v>
      </c>
      <c r="C752" s="49">
        <f t="shared" si="35"/>
        <v>45481</v>
      </c>
      <c r="D752" s="29">
        <f>DAY(Dati[[#This Row],[Data]])</f>
        <v>8</v>
      </c>
      <c r="E752" s="29" t="str">
        <f>IF(DAY(Data!$C$21:$C$1327)&gt;0,TEXT(Data!$C$21:$C$1327, "mmmm"),"")</f>
        <v>luglio</v>
      </c>
      <c r="F752" s="29" t="str">
        <f>IF(DAY(Data!$C$21:$C$1327)&gt;0,TEXT(Data!$C$21:$C$1327, "aaaa"),"")</f>
        <v>2024</v>
      </c>
      <c r="I752" t="str">
        <f>IF(OR(H752=$B$5,H752=$B$6,H752=$B$7,H752=$B$8,H752=$B$9,H752=$B$10,H752=$B$11,H752=$B$12,H752=$B$13,H752=$B$14),SottocategorieUscite[[#Headers],[Fuori Casa]],IF(OR(H752=$C$5,H752=$C$6,H752=$C$7,H752=$C$8,H752=$C$9,H752=$C$10,H752=$C$11,H752=$C$12,H752=$C$13,H752=$C$14),SottocategorieUscite[[#Headers],[Varie Uscite]],IF(OR(H752=$D$5,H752=$D$6,H752=$D$7,H752=$D$8,H752=$D$9,H752=$D$10,H752=$D$11,H752=$D$12,H752=$D$13,H752=$D$14),SottocategorieUscite[[#Headers],[Personali]],IF(OR(H752=$E$5,H752=$E$6,H752=$E$7,H752=$E$8,H752=$E$9,H752=$E$10,H752=$E$11,H752=$E$12,H752=$E$13,H752=$E$14),SottocategorieUscite[[#Headers],[Lavoro]],IF(OR(H752=$F$5,H752=$F$6,H752=$F$7,H752=$F$8,H752=$F$9,H752=$F$10,H752=$F$11,H752=$F$12,H752=$F$13,H752=$F$14),SottocategorieUscite[[#Headers],[Casa]],IF(OR(H752=$G$5,H752=$G$6,H752=$G$7,H752=$G$8,H752=$G$9,H752=$G$10,H752=$G$11,H752=$G$12,H752=$G$13,H752=$G$14),SottocategorieUscite[[#Headers],[Utenze]],IF(OR(H752=$H$5,H752=$H$6,H752=$H$7,H752=$H$8,H752=$H$9,H752=$H$10,H752=$H$11,H752=$H$12,H752=$H$13,H752=$H$14),SottocategorieUscite[[#Headers],[Business Uscite]],IF(OR(H752=$I$5,H752=$I$6,H752=$I$7,H752=$I$8,H752=$I$9,H752=$I$10,H752=$I$11,H752=$I$12,H752=$I$13,H752=$I$14),SottocategorieUscite[[#Headers],[Banca]],IF(OR(H752=K$5,H752=K$6,H752=K$7,H752=K$8,H752=K$9,H752=K$10,H752=K$11,H752=K$12,H752=K$13,H752=K$14),SottocategorieEntrate[[#Headers],[Business Entrate]],IF(OR(H752=L$5,H752=L$6,H752=L$7,H752=L$8,H752=L$9,H752=L$10,H752=L$11,H752=L$12,H752=L$13,H752=L$14),SottocategorieEntrate[[#Headers],[Varie Entrate]],IF(OR(H752=M$5,H752=M$6,H752=M$7,H752=M$8,H752=M$9,H752=M$10,H752=M$11,H752=M$12,H752=M$13,H752=M$14),SottocategorieEntrate[[#Headers],[Real Estate]],IF(OR(H752=N$5,H752=N$6,H752=N$7,H752=N$8,H752=N$9,H752=N$10,H752=N$11,H752=N$12,H752=N$13,H752=N$14),SottocategorieEntrate[[#Headers],[Other]],""))))))))))))</f>
        <v/>
      </c>
      <c r="J752" t="str">
        <f>IF(OR(Dati[[#This Row],[Categoria]]="Bollette",Dati[[#This Row],[Categoria]]="Conto &amp; Carte BNL",Dati[[#This Row],[Categoria]]="Prelievo",Dati[[#This Row],[Categoria]]="Affitto",Dati[[#This Row],[Categoria]]="BNL(Interessi Creditori)"),"Carta",IF(Dati[[#This Row],[Categoria]]&lt;&gt;0,"Cash",""))</f>
        <v/>
      </c>
      <c r="K752" s="59" t="str">
        <f>IF(OR(Data!$I752=SottocategorieUscite[[#Headers],[Fuori Casa]],Data!$I752=SottocategorieUscite[[#Headers],[Varie Uscite]],Data!$I752=SottocategorieUscite[[#Headers],[Personali]],Data!$I752=SottocategorieUscite[[#Headers],[Lavoro]]),"$ -","")</f>
        <v/>
      </c>
      <c r="L752" s="59" t="str">
        <f>IF(OR(Data!$I752=SottocategorieUscite[[#Headers],[Casa]],Data!$I752=SottocategorieUscite[[#Headers],[Utenze]],Data!$I752=SottocategorieUscite[[#Headers],[Business Uscite]],Data!$I752=SottocategorieUscite[[#Headers],[Banca]]),"$ -","")</f>
        <v/>
      </c>
      <c r="M752" s="59" t="str">
        <f>IF(OR($I752&lt;&gt;SottocategorieUscite[[#Headers],[Fuori Casa]],$I752&lt;&gt;SottocategorieUscite[[#Headers],[Varie Uscite]],$I752&lt;&gt;SottocategorieUscite[[#Headers],[Personali]],$I752&lt;&gt;SottocategorieUscite[[#Headers],[Lavoro]],$I752&lt;&gt;SottocategorieUscite[[#Headers],[Casa]],$I752&lt;&gt;SottocategorieUscite[[#Headers],[Utenze]],$I752&lt;&gt;SottocategorieUscite[[#Headers],[Business Uscite]],$I752&lt;&gt;SottocategorieUscite[[#Headers],[Banca]]),"","$ -")</f>
        <v/>
      </c>
      <c r="N752" s="59" t="str">
        <f>IF(OR(Data!$I752=SottocategorieEntrate[[#Headers],[Business Entrate]],Data!$I752=SottocategorieEntrate[[#Headers],[Varie Entrate]]),"$ -","")</f>
        <v/>
      </c>
      <c r="O752" s="59" t="str">
        <f>IF(OR(Data!$I752=SottocategorieEntrate[[#Headers],[Real Estate]],SottocategorieEntrate[[#Headers],[Other]]),"$ -","")</f>
        <v/>
      </c>
      <c r="P752" s="59" t="str">
        <f>IF(OR($I752&lt;&gt;SottocategorieEntrate[[#Headers],[Business Entrate]],$I752&lt;&gt;SottocategorieEntrate[[#Headers],[Varie Entrate]],$I752&lt;&gt;SottocategorieEntrate[[#Headers],[Real Estate]],$I752&lt;&gt;SottocategorieEntrate[[#Headers],[Other]]),"","$ -")</f>
        <v/>
      </c>
      <c r="Q752" s="59" t="str">
        <f>IF(Dati[[#This Row],[Categoria]]="Prelievo","€ -","")</f>
        <v/>
      </c>
      <c r="R752" s="244"/>
      <c r="S752" s="59" t="str">
        <f>IF(Dati[[#This Row],[Categoria]]="Savings",0,"")</f>
        <v/>
      </c>
      <c r="T752" s="59"/>
      <c r="U752" s="59"/>
      <c r="V752" s="59"/>
      <c r="W752" s="59"/>
      <c r="X752" s="59"/>
      <c r="Y752" s="59"/>
      <c r="Z752" s="59"/>
      <c r="AA752" s="59"/>
      <c r="AB752" s="59"/>
      <c r="AC752" s="59"/>
      <c r="AD752" s="59"/>
      <c r="AE752" s="59"/>
      <c r="AF752" s="59"/>
      <c r="AG752" s="59"/>
      <c r="AH752" s="59"/>
      <c r="AI752" s="59" t="str">
        <f>IF(SUM(Dati[[#This Row],[Inv. Business]:[Inv. Cryptocurrency]])=0," ",SUM(Dati[[#This Row],[Inv. Business]:[Inv. Cryptocurrency]]))</f>
        <v xml:space="preserve"> </v>
      </c>
      <c r="AJ752" s="59"/>
      <c r="AK752" s="59"/>
      <c r="AL752" s="59"/>
      <c r="AM752" s="59"/>
    </row>
    <row r="753" spans="2:39" x14ac:dyDescent="0.35">
      <c r="B753" s="237">
        <f t="shared" si="37"/>
        <v>733</v>
      </c>
      <c r="C753" s="49">
        <f t="shared" si="35"/>
        <v>45482</v>
      </c>
      <c r="D753" s="29">
        <f>DAY(Dati[[#This Row],[Data]])</f>
        <v>9</v>
      </c>
      <c r="E753" s="29" t="str">
        <f>IF(DAY(Data!$C$21:$C$1327)&gt;0,TEXT(Data!$C$21:$C$1327, "mmmm"),"")</f>
        <v>luglio</v>
      </c>
      <c r="F753" s="29" t="str">
        <f>IF(DAY(Data!$C$21:$C$1327)&gt;0,TEXT(Data!$C$21:$C$1327, "aaaa"),"")</f>
        <v>2024</v>
      </c>
      <c r="I753" t="str">
        <f>IF(OR(H753=$B$5,H753=$B$6,H753=$B$7,H753=$B$8,H753=$B$9,H753=$B$10,H753=$B$11,H753=$B$12,H753=$B$13,H753=$B$14),SottocategorieUscite[[#Headers],[Fuori Casa]],IF(OR(H753=$C$5,H753=$C$6,H753=$C$7,H753=$C$8,H753=$C$9,H753=$C$10,H753=$C$11,H753=$C$12,H753=$C$13,H753=$C$14),SottocategorieUscite[[#Headers],[Varie Uscite]],IF(OR(H753=$D$5,H753=$D$6,H753=$D$7,H753=$D$8,H753=$D$9,H753=$D$10,H753=$D$11,H753=$D$12,H753=$D$13,H753=$D$14),SottocategorieUscite[[#Headers],[Personali]],IF(OR(H753=$E$5,H753=$E$6,H753=$E$7,H753=$E$8,H753=$E$9,H753=$E$10,H753=$E$11,H753=$E$12,H753=$E$13,H753=$E$14),SottocategorieUscite[[#Headers],[Lavoro]],IF(OR(H753=$F$5,H753=$F$6,H753=$F$7,H753=$F$8,H753=$F$9,H753=$F$10,H753=$F$11,H753=$F$12,H753=$F$13,H753=$F$14),SottocategorieUscite[[#Headers],[Casa]],IF(OR(H753=$G$5,H753=$G$6,H753=$G$7,H753=$G$8,H753=$G$9,H753=$G$10,H753=$G$11,H753=$G$12,H753=$G$13,H753=$G$14),SottocategorieUscite[[#Headers],[Utenze]],IF(OR(H753=$H$5,H753=$H$6,H753=$H$7,H753=$H$8,H753=$H$9,H753=$H$10,H753=$H$11,H753=$H$12,H753=$H$13,H753=$H$14),SottocategorieUscite[[#Headers],[Business Uscite]],IF(OR(H753=$I$5,H753=$I$6,H753=$I$7,H753=$I$8,H753=$I$9,H753=$I$10,H753=$I$11,H753=$I$12,H753=$I$13,H753=$I$14),SottocategorieUscite[[#Headers],[Banca]],IF(OR(H753=K$5,H753=K$6,H753=K$7,H753=K$8,H753=K$9,H753=K$10,H753=K$11,H753=K$12,H753=K$13,H753=K$14),SottocategorieEntrate[[#Headers],[Business Entrate]],IF(OR(H753=L$5,H753=L$6,H753=L$7,H753=L$8,H753=L$9,H753=L$10,H753=L$11,H753=L$12,H753=L$13,H753=L$14),SottocategorieEntrate[[#Headers],[Varie Entrate]],IF(OR(H753=M$5,H753=M$6,H753=M$7,H753=M$8,H753=M$9,H753=M$10,H753=M$11,H753=M$12,H753=M$13,H753=M$14),SottocategorieEntrate[[#Headers],[Real Estate]],IF(OR(H753=N$5,H753=N$6,H753=N$7,H753=N$8,H753=N$9,H753=N$10,H753=N$11,H753=N$12,H753=N$13,H753=N$14),SottocategorieEntrate[[#Headers],[Other]],""))))))))))))</f>
        <v/>
      </c>
      <c r="J753" t="str">
        <f>IF(OR(Dati[[#This Row],[Categoria]]="Bollette",Dati[[#This Row],[Categoria]]="Conto &amp; Carte BNL",Dati[[#This Row],[Categoria]]="Prelievo",Dati[[#This Row],[Categoria]]="Affitto",Dati[[#This Row],[Categoria]]="BNL(Interessi Creditori)"),"Carta",IF(Dati[[#This Row],[Categoria]]&lt;&gt;0,"Cash",""))</f>
        <v/>
      </c>
      <c r="K753" s="59" t="str">
        <f>IF(OR(Data!$I753=SottocategorieUscite[[#Headers],[Fuori Casa]],Data!$I753=SottocategorieUscite[[#Headers],[Varie Uscite]],Data!$I753=SottocategorieUscite[[#Headers],[Personali]],Data!$I753=SottocategorieUscite[[#Headers],[Lavoro]]),"$ -","")</f>
        <v/>
      </c>
      <c r="L753" s="59" t="str">
        <f>IF(OR(Data!$I753=SottocategorieUscite[[#Headers],[Casa]],Data!$I753=SottocategorieUscite[[#Headers],[Utenze]],Data!$I753=SottocategorieUscite[[#Headers],[Business Uscite]],Data!$I753=SottocategorieUscite[[#Headers],[Banca]]),"$ -","")</f>
        <v/>
      </c>
      <c r="M753" s="59" t="str">
        <f>IF(OR($I753&lt;&gt;SottocategorieUscite[[#Headers],[Fuori Casa]],$I753&lt;&gt;SottocategorieUscite[[#Headers],[Varie Uscite]],$I753&lt;&gt;SottocategorieUscite[[#Headers],[Personali]],$I753&lt;&gt;SottocategorieUscite[[#Headers],[Lavoro]],$I753&lt;&gt;SottocategorieUscite[[#Headers],[Casa]],$I753&lt;&gt;SottocategorieUscite[[#Headers],[Utenze]],$I753&lt;&gt;SottocategorieUscite[[#Headers],[Business Uscite]],$I753&lt;&gt;SottocategorieUscite[[#Headers],[Banca]]),"","$ -")</f>
        <v/>
      </c>
      <c r="N753" s="59" t="str">
        <f>IF(OR(Data!$I753=SottocategorieEntrate[[#Headers],[Business Entrate]],Data!$I753=SottocategorieEntrate[[#Headers],[Varie Entrate]]),"$ -","")</f>
        <v/>
      </c>
      <c r="O753" s="59" t="str">
        <f>IF(OR(Data!$I753=SottocategorieEntrate[[#Headers],[Real Estate]],SottocategorieEntrate[[#Headers],[Other]]),"$ -","")</f>
        <v/>
      </c>
      <c r="P753" s="59" t="str">
        <f>IF(OR($I753&lt;&gt;SottocategorieEntrate[[#Headers],[Business Entrate]],$I753&lt;&gt;SottocategorieEntrate[[#Headers],[Varie Entrate]],$I753&lt;&gt;SottocategorieEntrate[[#Headers],[Real Estate]],$I753&lt;&gt;SottocategorieEntrate[[#Headers],[Other]]),"","$ -")</f>
        <v/>
      </c>
      <c r="Q753" s="59" t="str">
        <f>IF(Dati[[#This Row],[Categoria]]="Prelievo","€ -","")</f>
        <v/>
      </c>
      <c r="R753" s="244"/>
      <c r="S753" s="59" t="str">
        <f>IF(Dati[[#This Row],[Categoria]]="Savings",0,"")</f>
        <v/>
      </c>
      <c r="T753" s="59"/>
      <c r="U753" s="59"/>
      <c r="V753" s="59"/>
      <c r="W753" s="59"/>
      <c r="X753" s="59"/>
      <c r="Y753" s="59"/>
      <c r="Z753" s="59"/>
      <c r="AA753" s="59"/>
      <c r="AB753" s="59"/>
      <c r="AC753" s="59"/>
      <c r="AD753" s="59"/>
      <c r="AE753" s="59"/>
      <c r="AF753" s="59"/>
      <c r="AG753" s="59"/>
      <c r="AH753" s="59"/>
      <c r="AI753" s="59" t="str">
        <f>IF(SUM(Dati[[#This Row],[Inv. Business]:[Inv. Cryptocurrency]])=0," ",SUM(Dati[[#This Row],[Inv. Business]:[Inv. Cryptocurrency]]))</f>
        <v xml:space="preserve"> </v>
      </c>
      <c r="AJ753" s="59"/>
      <c r="AK753" s="59"/>
      <c r="AL753" s="59"/>
      <c r="AM753" s="59"/>
    </row>
    <row r="754" spans="2:39" x14ac:dyDescent="0.35">
      <c r="B754" s="237">
        <f t="shared" si="37"/>
        <v>734</v>
      </c>
      <c r="C754" s="49">
        <f t="shared" si="35"/>
        <v>45483</v>
      </c>
      <c r="D754" s="29">
        <f>DAY(Dati[[#This Row],[Data]])</f>
        <v>10</v>
      </c>
      <c r="E754" s="29" t="str">
        <f>IF(DAY(Data!$C$21:$C$1327)&gt;0,TEXT(Data!$C$21:$C$1327, "mmmm"),"")</f>
        <v>luglio</v>
      </c>
      <c r="F754" s="29" t="str">
        <f>IF(DAY(Data!$C$21:$C$1327)&gt;0,TEXT(Data!$C$21:$C$1327, "aaaa"),"")</f>
        <v>2024</v>
      </c>
      <c r="I754" t="str">
        <f>IF(OR(H754=$B$5,H754=$B$6,H754=$B$7,H754=$B$8,H754=$B$9,H754=$B$10,H754=$B$11,H754=$B$12,H754=$B$13,H754=$B$14),SottocategorieUscite[[#Headers],[Fuori Casa]],IF(OR(H754=$C$5,H754=$C$6,H754=$C$7,H754=$C$8,H754=$C$9,H754=$C$10,H754=$C$11,H754=$C$12,H754=$C$13,H754=$C$14),SottocategorieUscite[[#Headers],[Varie Uscite]],IF(OR(H754=$D$5,H754=$D$6,H754=$D$7,H754=$D$8,H754=$D$9,H754=$D$10,H754=$D$11,H754=$D$12,H754=$D$13,H754=$D$14),SottocategorieUscite[[#Headers],[Personali]],IF(OR(H754=$E$5,H754=$E$6,H754=$E$7,H754=$E$8,H754=$E$9,H754=$E$10,H754=$E$11,H754=$E$12,H754=$E$13,H754=$E$14),SottocategorieUscite[[#Headers],[Lavoro]],IF(OR(H754=$F$5,H754=$F$6,H754=$F$7,H754=$F$8,H754=$F$9,H754=$F$10,H754=$F$11,H754=$F$12,H754=$F$13,H754=$F$14),SottocategorieUscite[[#Headers],[Casa]],IF(OR(H754=$G$5,H754=$G$6,H754=$G$7,H754=$G$8,H754=$G$9,H754=$G$10,H754=$G$11,H754=$G$12,H754=$G$13,H754=$G$14),SottocategorieUscite[[#Headers],[Utenze]],IF(OR(H754=$H$5,H754=$H$6,H754=$H$7,H754=$H$8,H754=$H$9,H754=$H$10,H754=$H$11,H754=$H$12,H754=$H$13,H754=$H$14),SottocategorieUscite[[#Headers],[Business Uscite]],IF(OR(H754=$I$5,H754=$I$6,H754=$I$7,H754=$I$8,H754=$I$9,H754=$I$10,H754=$I$11,H754=$I$12,H754=$I$13,H754=$I$14),SottocategorieUscite[[#Headers],[Banca]],IF(OR(H754=K$5,H754=K$6,H754=K$7,H754=K$8,H754=K$9,H754=K$10,H754=K$11,H754=K$12,H754=K$13,H754=K$14),SottocategorieEntrate[[#Headers],[Business Entrate]],IF(OR(H754=L$5,H754=L$6,H754=L$7,H754=L$8,H754=L$9,H754=L$10,H754=L$11,H754=L$12,H754=L$13,H754=L$14),SottocategorieEntrate[[#Headers],[Varie Entrate]],IF(OR(H754=M$5,H754=M$6,H754=M$7,H754=M$8,H754=M$9,H754=M$10,H754=M$11,H754=M$12,H754=M$13,H754=M$14),SottocategorieEntrate[[#Headers],[Real Estate]],IF(OR(H754=N$5,H754=N$6,H754=N$7,H754=N$8,H754=N$9,H754=N$10,H754=N$11,H754=N$12,H754=N$13,H754=N$14),SottocategorieEntrate[[#Headers],[Other]],""))))))))))))</f>
        <v/>
      </c>
      <c r="J754" t="str">
        <f>IF(OR(Dati[[#This Row],[Categoria]]="Bollette",Dati[[#This Row],[Categoria]]="Conto &amp; Carte BNL",Dati[[#This Row],[Categoria]]="Prelievo",Dati[[#This Row],[Categoria]]="Affitto",Dati[[#This Row],[Categoria]]="BNL(Interessi Creditori)"),"Carta",IF(Dati[[#This Row],[Categoria]]&lt;&gt;0,"Cash",""))</f>
        <v/>
      </c>
      <c r="K754" s="59" t="str">
        <f>IF(OR(Data!$I754=SottocategorieUscite[[#Headers],[Fuori Casa]],Data!$I754=SottocategorieUscite[[#Headers],[Varie Uscite]],Data!$I754=SottocategorieUscite[[#Headers],[Personali]],Data!$I754=SottocategorieUscite[[#Headers],[Lavoro]]),"$ -","")</f>
        <v/>
      </c>
      <c r="L754" s="59" t="str">
        <f>IF(OR(Data!$I754=SottocategorieUscite[[#Headers],[Casa]],Data!$I754=SottocategorieUscite[[#Headers],[Utenze]],Data!$I754=SottocategorieUscite[[#Headers],[Business Uscite]],Data!$I754=SottocategorieUscite[[#Headers],[Banca]]),"$ -","")</f>
        <v/>
      </c>
      <c r="M754" s="59" t="str">
        <f>IF(OR($I754&lt;&gt;SottocategorieUscite[[#Headers],[Fuori Casa]],$I754&lt;&gt;SottocategorieUscite[[#Headers],[Varie Uscite]],$I754&lt;&gt;SottocategorieUscite[[#Headers],[Personali]],$I754&lt;&gt;SottocategorieUscite[[#Headers],[Lavoro]],$I754&lt;&gt;SottocategorieUscite[[#Headers],[Casa]],$I754&lt;&gt;SottocategorieUscite[[#Headers],[Utenze]],$I754&lt;&gt;SottocategorieUscite[[#Headers],[Business Uscite]],$I754&lt;&gt;SottocategorieUscite[[#Headers],[Banca]]),"","$ -")</f>
        <v/>
      </c>
      <c r="N754" s="59" t="str">
        <f>IF(OR(Data!$I754=SottocategorieEntrate[[#Headers],[Business Entrate]],Data!$I754=SottocategorieEntrate[[#Headers],[Varie Entrate]]),"$ -","")</f>
        <v/>
      </c>
      <c r="O754" s="59" t="str">
        <f>IF(OR(Data!$I754=SottocategorieEntrate[[#Headers],[Real Estate]],SottocategorieEntrate[[#Headers],[Other]]),"$ -","")</f>
        <v/>
      </c>
      <c r="P754" s="59" t="str">
        <f>IF(OR($I754&lt;&gt;SottocategorieEntrate[[#Headers],[Business Entrate]],$I754&lt;&gt;SottocategorieEntrate[[#Headers],[Varie Entrate]],$I754&lt;&gt;SottocategorieEntrate[[#Headers],[Real Estate]],$I754&lt;&gt;SottocategorieEntrate[[#Headers],[Other]]),"","$ -")</f>
        <v/>
      </c>
      <c r="Q754" s="59" t="str">
        <f>IF(Dati[[#This Row],[Categoria]]="Prelievo","€ -","")</f>
        <v/>
      </c>
      <c r="R754" s="244"/>
      <c r="S754" s="59" t="str">
        <f>IF(Dati[[#This Row],[Categoria]]="Savings",0,"")</f>
        <v/>
      </c>
      <c r="T754" s="59"/>
      <c r="U754" s="59"/>
      <c r="V754" s="59"/>
      <c r="W754" s="59"/>
      <c r="X754" s="59"/>
      <c r="Y754" s="59"/>
      <c r="Z754" s="59"/>
      <c r="AA754" s="59"/>
      <c r="AB754" s="59"/>
      <c r="AC754" s="59"/>
      <c r="AD754" s="59"/>
      <c r="AE754" s="59"/>
      <c r="AF754" s="59"/>
      <c r="AG754" s="59"/>
      <c r="AH754" s="59"/>
      <c r="AI754" s="59" t="str">
        <f>IF(SUM(Dati[[#This Row],[Inv. Business]:[Inv. Cryptocurrency]])=0," ",SUM(Dati[[#This Row],[Inv. Business]:[Inv. Cryptocurrency]]))</f>
        <v xml:space="preserve"> </v>
      </c>
      <c r="AJ754" s="59"/>
      <c r="AK754" s="59"/>
      <c r="AL754" s="59"/>
      <c r="AM754" s="59"/>
    </row>
    <row r="755" spans="2:39" x14ac:dyDescent="0.35">
      <c r="B755" s="237">
        <f t="shared" si="37"/>
        <v>735</v>
      </c>
      <c r="C755" s="49">
        <f t="shared" si="35"/>
        <v>45484</v>
      </c>
      <c r="D755" s="29">
        <f>DAY(Dati[[#This Row],[Data]])</f>
        <v>11</v>
      </c>
      <c r="E755" s="29" t="str">
        <f>IF(DAY(Data!$C$21:$C$1327)&gt;0,TEXT(Data!$C$21:$C$1327, "mmmm"),"")</f>
        <v>luglio</v>
      </c>
      <c r="F755" s="29" t="str">
        <f>IF(DAY(Data!$C$21:$C$1327)&gt;0,TEXT(Data!$C$21:$C$1327, "aaaa"),"")</f>
        <v>2024</v>
      </c>
      <c r="I755" t="str">
        <f>IF(OR(H755=$B$5,H755=$B$6,H755=$B$7,H755=$B$8,H755=$B$9,H755=$B$10,H755=$B$11,H755=$B$12,H755=$B$13,H755=$B$14),SottocategorieUscite[[#Headers],[Fuori Casa]],IF(OR(H755=$C$5,H755=$C$6,H755=$C$7,H755=$C$8,H755=$C$9,H755=$C$10,H755=$C$11,H755=$C$12,H755=$C$13,H755=$C$14),SottocategorieUscite[[#Headers],[Varie Uscite]],IF(OR(H755=$D$5,H755=$D$6,H755=$D$7,H755=$D$8,H755=$D$9,H755=$D$10,H755=$D$11,H755=$D$12,H755=$D$13,H755=$D$14),SottocategorieUscite[[#Headers],[Personali]],IF(OR(H755=$E$5,H755=$E$6,H755=$E$7,H755=$E$8,H755=$E$9,H755=$E$10,H755=$E$11,H755=$E$12,H755=$E$13,H755=$E$14),SottocategorieUscite[[#Headers],[Lavoro]],IF(OR(H755=$F$5,H755=$F$6,H755=$F$7,H755=$F$8,H755=$F$9,H755=$F$10,H755=$F$11,H755=$F$12,H755=$F$13,H755=$F$14),SottocategorieUscite[[#Headers],[Casa]],IF(OR(H755=$G$5,H755=$G$6,H755=$G$7,H755=$G$8,H755=$G$9,H755=$G$10,H755=$G$11,H755=$G$12,H755=$G$13,H755=$G$14),SottocategorieUscite[[#Headers],[Utenze]],IF(OR(H755=$H$5,H755=$H$6,H755=$H$7,H755=$H$8,H755=$H$9,H755=$H$10,H755=$H$11,H755=$H$12,H755=$H$13,H755=$H$14),SottocategorieUscite[[#Headers],[Business Uscite]],IF(OR(H755=$I$5,H755=$I$6,H755=$I$7,H755=$I$8,H755=$I$9,H755=$I$10,H755=$I$11,H755=$I$12,H755=$I$13,H755=$I$14),SottocategorieUscite[[#Headers],[Banca]],IF(OR(H755=K$5,H755=K$6,H755=K$7,H755=K$8,H755=K$9,H755=K$10,H755=K$11,H755=K$12,H755=K$13,H755=K$14),SottocategorieEntrate[[#Headers],[Business Entrate]],IF(OR(H755=L$5,H755=L$6,H755=L$7,H755=L$8,H755=L$9,H755=L$10,H755=L$11,H755=L$12,H755=L$13,H755=L$14),SottocategorieEntrate[[#Headers],[Varie Entrate]],IF(OR(H755=M$5,H755=M$6,H755=M$7,H755=M$8,H755=M$9,H755=M$10,H755=M$11,H755=M$12,H755=M$13,H755=M$14),SottocategorieEntrate[[#Headers],[Real Estate]],IF(OR(H755=N$5,H755=N$6,H755=N$7,H755=N$8,H755=N$9,H755=N$10,H755=N$11,H755=N$12,H755=N$13,H755=N$14),SottocategorieEntrate[[#Headers],[Other]],""))))))))))))</f>
        <v/>
      </c>
      <c r="J755" t="str">
        <f>IF(OR(Dati[[#This Row],[Categoria]]="Bollette",Dati[[#This Row],[Categoria]]="Conto &amp; Carte BNL",Dati[[#This Row],[Categoria]]="Prelievo",Dati[[#This Row],[Categoria]]="Affitto",Dati[[#This Row],[Categoria]]="BNL(Interessi Creditori)"),"Carta",IF(Dati[[#This Row],[Categoria]]&lt;&gt;0,"Cash",""))</f>
        <v/>
      </c>
      <c r="K755" s="59" t="str">
        <f>IF(OR(Data!$I755=SottocategorieUscite[[#Headers],[Fuori Casa]],Data!$I755=SottocategorieUscite[[#Headers],[Varie Uscite]],Data!$I755=SottocategorieUscite[[#Headers],[Personali]],Data!$I755=SottocategorieUscite[[#Headers],[Lavoro]]),"$ -","")</f>
        <v/>
      </c>
      <c r="L755" s="59" t="str">
        <f>IF(OR(Data!$I755=SottocategorieUscite[[#Headers],[Casa]],Data!$I755=SottocategorieUscite[[#Headers],[Utenze]],Data!$I755=SottocategorieUscite[[#Headers],[Business Uscite]],Data!$I755=SottocategorieUscite[[#Headers],[Banca]]),"$ -","")</f>
        <v/>
      </c>
      <c r="M755" s="59" t="str">
        <f>IF(OR($I755&lt;&gt;SottocategorieUscite[[#Headers],[Fuori Casa]],$I755&lt;&gt;SottocategorieUscite[[#Headers],[Varie Uscite]],$I755&lt;&gt;SottocategorieUscite[[#Headers],[Personali]],$I755&lt;&gt;SottocategorieUscite[[#Headers],[Lavoro]],$I755&lt;&gt;SottocategorieUscite[[#Headers],[Casa]],$I755&lt;&gt;SottocategorieUscite[[#Headers],[Utenze]],$I755&lt;&gt;SottocategorieUscite[[#Headers],[Business Uscite]],$I755&lt;&gt;SottocategorieUscite[[#Headers],[Banca]]),"","$ -")</f>
        <v/>
      </c>
      <c r="N755" s="59" t="str">
        <f>IF(OR(Data!$I755=SottocategorieEntrate[[#Headers],[Business Entrate]],Data!$I755=SottocategorieEntrate[[#Headers],[Varie Entrate]]),"$ -","")</f>
        <v/>
      </c>
      <c r="O755" s="59" t="str">
        <f>IF(OR(Data!$I755=SottocategorieEntrate[[#Headers],[Real Estate]],SottocategorieEntrate[[#Headers],[Other]]),"$ -","")</f>
        <v/>
      </c>
      <c r="P755" s="59" t="str">
        <f>IF(OR($I755&lt;&gt;SottocategorieEntrate[[#Headers],[Business Entrate]],$I755&lt;&gt;SottocategorieEntrate[[#Headers],[Varie Entrate]],$I755&lt;&gt;SottocategorieEntrate[[#Headers],[Real Estate]],$I755&lt;&gt;SottocategorieEntrate[[#Headers],[Other]]),"","$ -")</f>
        <v/>
      </c>
      <c r="Q755" s="59" t="str">
        <f>IF(Dati[[#This Row],[Categoria]]="Prelievo","€ -","")</f>
        <v/>
      </c>
      <c r="R755" s="244"/>
      <c r="S755" s="59" t="str">
        <f>IF(Dati[[#This Row],[Categoria]]="Savings",0,"")</f>
        <v/>
      </c>
      <c r="T755" s="59"/>
      <c r="U755" s="59"/>
      <c r="V755" s="59"/>
      <c r="W755" s="59"/>
      <c r="X755" s="59"/>
      <c r="Y755" s="59"/>
      <c r="Z755" s="59"/>
      <c r="AA755" s="59"/>
      <c r="AB755" s="59"/>
      <c r="AC755" s="59"/>
      <c r="AD755" s="59"/>
      <c r="AE755" s="59"/>
      <c r="AF755" s="59"/>
      <c r="AG755" s="59"/>
      <c r="AH755" s="59"/>
      <c r="AI755" s="59" t="str">
        <f>IF(SUM(Dati[[#This Row],[Inv. Business]:[Inv. Cryptocurrency]])=0," ",SUM(Dati[[#This Row],[Inv. Business]:[Inv. Cryptocurrency]]))</f>
        <v xml:space="preserve"> </v>
      </c>
      <c r="AJ755" s="59"/>
      <c r="AK755" s="59"/>
      <c r="AL755" s="59"/>
      <c r="AM755" s="59"/>
    </row>
    <row r="756" spans="2:39" x14ac:dyDescent="0.35">
      <c r="B756" s="237">
        <f t="shared" si="37"/>
        <v>736</v>
      </c>
      <c r="C756" s="49">
        <f t="shared" si="35"/>
        <v>45485</v>
      </c>
      <c r="D756" s="29">
        <f>DAY(Dati[[#This Row],[Data]])</f>
        <v>12</v>
      </c>
      <c r="E756" s="29" t="str">
        <f>IF(DAY(Data!$C$21:$C$1327)&gt;0,TEXT(Data!$C$21:$C$1327, "mmmm"),"")</f>
        <v>luglio</v>
      </c>
      <c r="F756" s="29" t="str">
        <f>IF(DAY(Data!$C$21:$C$1327)&gt;0,TEXT(Data!$C$21:$C$1327, "aaaa"),"")</f>
        <v>2024</v>
      </c>
      <c r="I756" t="str">
        <f>IF(OR(H756=$B$5,H756=$B$6,H756=$B$7,H756=$B$8,H756=$B$9,H756=$B$10,H756=$B$11,H756=$B$12,H756=$B$13,H756=$B$14),SottocategorieUscite[[#Headers],[Fuori Casa]],IF(OR(H756=$C$5,H756=$C$6,H756=$C$7,H756=$C$8,H756=$C$9,H756=$C$10,H756=$C$11,H756=$C$12,H756=$C$13,H756=$C$14),SottocategorieUscite[[#Headers],[Varie Uscite]],IF(OR(H756=$D$5,H756=$D$6,H756=$D$7,H756=$D$8,H756=$D$9,H756=$D$10,H756=$D$11,H756=$D$12,H756=$D$13,H756=$D$14),SottocategorieUscite[[#Headers],[Personali]],IF(OR(H756=$E$5,H756=$E$6,H756=$E$7,H756=$E$8,H756=$E$9,H756=$E$10,H756=$E$11,H756=$E$12,H756=$E$13,H756=$E$14),SottocategorieUscite[[#Headers],[Lavoro]],IF(OR(H756=$F$5,H756=$F$6,H756=$F$7,H756=$F$8,H756=$F$9,H756=$F$10,H756=$F$11,H756=$F$12,H756=$F$13,H756=$F$14),SottocategorieUscite[[#Headers],[Casa]],IF(OR(H756=$G$5,H756=$G$6,H756=$G$7,H756=$G$8,H756=$G$9,H756=$G$10,H756=$G$11,H756=$G$12,H756=$G$13,H756=$G$14),SottocategorieUscite[[#Headers],[Utenze]],IF(OR(H756=$H$5,H756=$H$6,H756=$H$7,H756=$H$8,H756=$H$9,H756=$H$10,H756=$H$11,H756=$H$12,H756=$H$13,H756=$H$14),SottocategorieUscite[[#Headers],[Business Uscite]],IF(OR(H756=$I$5,H756=$I$6,H756=$I$7,H756=$I$8,H756=$I$9,H756=$I$10,H756=$I$11,H756=$I$12,H756=$I$13,H756=$I$14),SottocategorieUscite[[#Headers],[Banca]],IF(OR(H756=K$5,H756=K$6,H756=K$7,H756=K$8,H756=K$9,H756=K$10,H756=K$11,H756=K$12,H756=K$13,H756=K$14),SottocategorieEntrate[[#Headers],[Business Entrate]],IF(OR(H756=L$5,H756=L$6,H756=L$7,H756=L$8,H756=L$9,H756=L$10,H756=L$11,H756=L$12,H756=L$13,H756=L$14),SottocategorieEntrate[[#Headers],[Varie Entrate]],IF(OR(H756=M$5,H756=M$6,H756=M$7,H756=M$8,H756=M$9,H756=M$10,H756=M$11,H756=M$12,H756=M$13,H756=M$14),SottocategorieEntrate[[#Headers],[Real Estate]],IF(OR(H756=N$5,H756=N$6,H756=N$7,H756=N$8,H756=N$9,H756=N$10,H756=N$11,H756=N$12,H756=N$13,H756=N$14),SottocategorieEntrate[[#Headers],[Other]],""))))))))))))</f>
        <v/>
      </c>
      <c r="J756" t="str">
        <f>IF(OR(Dati[[#This Row],[Categoria]]="Bollette",Dati[[#This Row],[Categoria]]="Conto &amp; Carte BNL",Dati[[#This Row],[Categoria]]="Prelievo",Dati[[#This Row],[Categoria]]="Affitto",Dati[[#This Row],[Categoria]]="BNL(Interessi Creditori)"),"Carta",IF(Dati[[#This Row],[Categoria]]&lt;&gt;0,"Cash",""))</f>
        <v/>
      </c>
      <c r="K756" s="59" t="str">
        <f>IF(OR(Data!$I756=SottocategorieUscite[[#Headers],[Fuori Casa]],Data!$I756=SottocategorieUscite[[#Headers],[Varie Uscite]],Data!$I756=SottocategorieUscite[[#Headers],[Personali]],Data!$I756=SottocategorieUscite[[#Headers],[Lavoro]]),"$ -","")</f>
        <v/>
      </c>
      <c r="L756" s="59" t="str">
        <f>IF(OR(Data!$I756=SottocategorieUscite[[#Headers],[Casa]],Data!$I756=SottocategorieUscite[[#Headers],[Utenze]],Data!$I756=SottocategorieUscite[[#Headers],[Business Uscite]],Data!$I756=SottocategorieUscite[[#Headers],[Banca]]),"$ -","")</f>
        <v/>
      </c>
      <c r="M756" s="59" t="str">
        <f>IF(OR($I756&lt;&gt;SottocategorieUscite[[#Headers],[Fuori Casa]],$I756&lt;&gt;SottocategorieUscite[[#Headers],[Varie Uscite]],$I756&lt;&gt;SottocategorieUscite[[#Headers],[Personali]],$I756&lt;&gt;SottocategorieUscite[[#Headers],[Lavoro]],$I756&lt;&gt;SottocategorieUscite[[#Headers],[Casa]],$I756&lt;&gt;SottocategorieUscite[[#Headers],[Utenze]],$I756&lt;&gt;SottocategorieUscite[[#Headers],[Business Uscite]],$I756&lt;&gt;SottocategorieUscite[[#Headers],[Banca]]),"","$ -")</f>
        <v/>
      </c>
      <c r="N756" s="59" t="str">
        <f>IF(OR(Data!$I756=SottocategorieEntrate[[#Headers],[Business Entrate]],Data!$I756=SottocategorieEntrate[[#Headers],[Varie Entrate]]),"$ -","")</f>
        <v/>
      </c>
      <c r="O756" s="59" t="str">
        <f>IF(OR(Data!$I756=SottocategorieEntrate[[#Headers],[Real Estate]],SottocategorieEntrate[[#Headers],[Other]]),"$ -","")</f>
        <v/>
      </c>
      <c r="P756" s="59" t="str">
        <f>IF(OR($I756&lt;&gt;SottocategorieEntrate[[#Headers],[Business Entrate]],$I756&lt;&gt;SottocategorieEntrate[[#Headers],[Varie Entrate]],$I756&lt;&gt;SottocategorieEntrate[[#Headers],[Real Estate]],$I756&lt;&gt;SottocategorieEntrate[[#Headers],[Other]]),"","$ -")</f>
        <v/>
      </c>
      <c r="Q756" s="59" t="str">
        <f>IF(Dati[[#This Row],[Categoria]]="Prelievo","€ -","")</f>
        <v/>
      </c>
      <c r="R756" s="244"/>
      <c r="S756" s="59" t="str">
        <f>IF(Dati[[#This Row],[Categoria]]="Savings",0,"")</f>
        <v/>
      </c>
      <c r="T756" s="59"/>
      <c r="U756" s="59"/>
      <c r="V756" s="59"/>
      <c r="W756" s="59"/>
      <c r="X756" s="59"/>
      <c r="Y756" s="59"/>
      <c r="Z756" s="59"/>
      <c r="AA756" s="59"/>
      <c r="AB756" s="59"/>
      <c r="AC756" s="59"/>
      <c r="AD756" s="59"/>
      <c r="AE756" s="59"/>
      <c r="AF756" s="59"/>
      <c r="AG756" s="59"/>
      <c r="AH756" s="59"/>
      <c r="AI756" s="59" t="str">
        <f>IF(SUM(Dati[[#This Row],[Inv. Business]:[Inv. Cryptocurrency]])=0," ",SUM(Dati[[#This Row],[Inv. Business]:[Inv. Cryptocurrency]]))</f>
        <v xml:space="preserve"> </v>
      </c>
      <c r="AJ756" s="59"/>
      <c r="AK756" s="59"/>
      <c r="AL756" s="59"/>
      <c r="AM756" s="59"/>
    </row>
    <row r="757" spans="2:39" x14ac:dyDescent="0.35">
      <c r="B757" s="237">
        <f t="shared" ref="B757:B781" si="38">ROW(737:737)</f>
        <v>737</v>
      </c>
      <c r="C757" s="49">
        <f t="shared" si="35"/>
        <v>45486</v>
      </c>
      <c r="D757" s="29">
        <f>DAY(Dati[[#This Row],[Data]])</f>
        <v>13</v>
      </c>
      <c r="E757" s="29" t="str">
        <f>IF(DAY(Data!$C$21:$C$1327)&gt;0,TEXT(Data!$C$21:$C$1327, "mmmm"),"")</f>
        <v>luglio</v>
      </c>
      <c r="F757" s="29" t="str">
        <f>IF(DAY(Data!$C$21:$C$1327)&gt;0,TEXT(Data!$C$21:$C$1327, "aaaa"),"")</f>
        <v>2024</v>
      </c>
      <c r="I757" t="str">
        <f>IF(OR(H757=$B$5,H757=$B$6,H757=$B$7,H757=$B$8,H757=$B$9,H757=$B$10,H757=$B$11,H757=$B$12,H757=$B$13,H757=$B$14),SottocategorieUscite[[#Headers],[Fuori Casa]],IF(OR(H757=$C$5,H757=$C$6,H757=$C$7,H757=$C$8,H757=$C$9,H757=$C$10,H757=$C$11,H757=$C$12,H757=$C$13,H757=$C$14),SottocategorieUscite[[#Headers],[Varie Uscite]],IF(OR(H757=$D$5,H757=$D$6,H757=$D$7,H757=$D$8,H757=$D$9,H757=$D$10,H757=$D$11,H757=$D$12,H757=$D$13,H757=$D$14),SottocategorieUscite[[#Headers],[Personali]],IF(OR(H757=$E$5,H757=$E$6,H757=$E$7,H757=$E$8,H757=$E$9,H757=$E$10,H757=$E$11,H757=$E$12,H757=$E$13,H757=$E$14),SottocategorieUscite[[#Headers],[Lavoro]],IF(OR(H757=$F$5,H757=$F$6,H757=$F$7,H757=$F$8,H757=$F$9,H757=$F$10,H757=$F$11,H757=$F$12,H757=$F$13,H757=$F$14),SottocategorieUscite[[#Headers],[Casa]],IF(OR(H757=$G$5,H757=$G$6,H757=$G$7,H757=$G$8,H757=$G$9,H757=$G$10,H757=$G$11,H757=$G$12,H757=$G$13,H757=$G$14),SottocategorieUscite[[#Headers],[Utenze]],IF(OR(H757=$H$5,H757=$H$6,H757=$H$7,H757=$H$8,H757=$H$9,H757=$H$10,H757=$H$11,H757=$H$12,H757=$H$13,H757=$H$14),SottocategorieUscite[[#Headers],[Business Uscite]],IF(OR(H757=$I$5,H757=$I$6,H757=$I$7,H757=$I$8,H757=$I$9,H757=$I$10,H757=$I$11,H757=$I$12,H757=$I$13,H757=$I$14),SottocategorieUscite[[#Headers],[Banca]],IF(OR(H757=K$5,H757=K$6,H757=K$7,H757=K$8,H757=K$9,H757=K$10,H757=K$11,H757=K$12,H757=K$13,H757=K$14),SottocategorieEntrate[[#Headers],[Business Entrate]],IF(OR(H757=L$5,H757=L$6,H757=L$7,H757=L$8,H757=L$9,H757=L$10,H757=L$11,H757=L$12,H757=L$13,H757=L$14),SottocategorieEntrate[[#Headers],[Varie Entrate]],IF(OR(H757=M$5,H757=M$6,H757=M$7,H757=M$8,H757=M$9,H757=M$10,H757=M$11,H757=M$12,H757=M$13,H757=M$14),SottocategorieEntrate[[#Headers],[Real Estate]],IF(OR(H757=N$5,H757=N$6,H757=N$7,H757=N$8,H757=N$9,H757=N$10,H757=N$11,H757=N$12,H757=N$13,H757=N$14),SottocategorieEntrate[[#Headers],[Other]],""))))))))))))</f>
        <v/>
      </c>
      <c r="J757" t="str">
        <f>IF(OR(Dati[[#This Row],[Categoria]]="Bollette",Dati[[#This Row],[Categoria]]="Conto &amp; Carte BNL",Dati[[#This Row],[Categoria]]="Prelievo",Dati[[#This Row],[Categoria]]="Affitto",Dati[[#This Row],[Categoria]]="BNL(Interessi Creditori)"),"Carta",IF(Dati[[#This Row],[Categoria]]&lt;&gt;0,"Cash",""))</f>
        <v/>
      </c>
      <c r="K757" s="59" t="str">
        <f>IF(OR(Data!$I757=SottocategorieUscite[[#Headers],[Fuori Casa]],Data!$I757=SottocategorieUscite[[#Headers],[Varie Uscite]],Data!$I757=SottocategorieUscite[[#Headers],[Personali]],Data!$I757=SottocategorieUscite[[#Headers],[Lavoro]]),"$ -","")</f>
        <v/>
      </c>
      <c r="L757" s="59" t="str">
        <f>IF(OR(Data!$I757=SottocategorieUscite[[#Headers],[Casa]],Data!$I757=SottocategorieUscite[[#Headers],[Utenze]],Data!$I757=SottocategorieUscite[[#Headers],[Business Uscite]],Data!$I757=SottocategorieUscite[[#Headers],[Banca]]),"$ -","")</f>
        <v/>
      </c>
      <c r="M757" s="59" t="str">
        <f>IF(OR($I757&lt;&gt;SottocategorieUscite[[#Headers],[Fuori Casa]],$I757&lt;&gt;SottocategorieUscite[[#Headers],[Varie Uscite]],$I757&lt;&gt;SottocategorieUscite[[#Headers],[Personali]],$I757&lt;&gt;SottocategorieUscite[[#Headers],[Lavoro]],$I757&lt;&gt;SottocategorieUscite[[#Headers],[Casa]],$I757&lt;&gt;SottocategorieUscite[[#Headers],[Utenze]],$I757&lt;&gt;SottocategorieUscite[[#Headers],[Business Uscite]],$I757&lt;&gt;SottocategorieUscite[[#Headers],[Banca]]),"","$ -")</f>
        <v/>
      </c>
      <c r="N757" s="59" t="str">
        <f>IF(OR(Data!$I757=SottocategorieEntrate[[#Headers],[Business Entrate]],Data!$I757=SottocategorieEntrate[[#Headers],[Varie Entrate]]),"$ -","")</f>
        <v/>
      </c>
      <c r="O757" s="59" t="str">
        <f>IF(OR(Data!$I757=SottocategorieEntrate[[#Headers],[Real Estate]],SottocategorieEntrate[[#Headers],[Other]]),"$ -","")</f>
        <v/>
      </c>
      <c r="P757" s="59" t="str">
        <f>IF(OR($I757&lt;&gt;SottocategorieEntrate[[#Headers],[Business Entrate]],$I757&lt;&gt;SottocategorieEntrate[[#Headers],[Varie Entrate]],$I757&lt;&gt;SottocategorieEntrate[[#Headers],[Real Estate]],$I757&lt;&gt;SottocategorieEntrate[[#Headers],[Other]]),"","$ -")</f>
        <v/>
      </c>
      <c r="Q757" s="59" t="str">
        <f>IF(Dati[[#This Row],[Categoria]]="Prelievo","€ -","")</f>
        <v/>
      </c>
      <c r="R757" s="244"/>
      <c r="S757" s="59" t="str">
        <f>IF(Dati[[#This Row],[Categoria]]="Savings",0,"")</f>
        <v/>
      </c>
      <c r="T757" s="59"/>
      <c r="U757" s="59"/>
      <c r="V757" s="59"/>
      <c r="W757" s="59"/>
      <c r="X757" s="59"/>
      <c r="Y757" s="59"/>
      <c r="Z757" s="59"/>
      <c r="AA757" s="59"/>
      <c r="AB757" s="59"/>
      <c r="AC757" s="59"/>
      <c r="AD757" s="59"/>
      <c r="AE757" s="59"/>
      <c r="AF757" s="59"/>
      <c r="AG757" s="59"/>
      <c r="AH757" s="59"/>
      <c r="AI757" s="59" t="str">
        <f>IF(SUM(Dati[[#This Row],[Inv. Business]:[Inv. Cryptocurrency]])=0," ",SUM(Dati[[#This Row],[Inv. Business]:[Inv. Cryptocurrency]]))</f>
        <v xml:space="preserve"> </v>
      </c>
      <c r="AJ757" s="59"/>
      <c r="AK757" s="59"/>
      <c r="AL757" s="59"/>
      <c r="AM757" s="59"/>
    </row>
    <row r="758" spans="2:39" x14ac:dyDescent="0.35">
      <c r="B758" s="237">
        <f t="shared" si="38"/>
        <v>738</v>
      </c>
      <c r="C758" s="49">
        <f t="shared" si="35"/>
        <v>45487</v>
      </c>
      <c r="D758" s="29">
        <f>DAY(Dati[[#This Row],[Data]])</f>
        <v>14</v>
      </c>
      <c r="E758" s="29" t="str">
        <f>IF(DAY(Data!$C$21:$C$1327)&gt;0,TEXT(Data!$C$21:$C$1327, "mmmm"),"")</f>
        <v>luglio</v>
      </c>
      <c r="F758" s="29" t="str">
        <f>IF(DAY(Data!$C$21:$C$1327)&gt;0,TEXT(Data!$C$21:$C$1327, "aaaa"),"")</f>
        <v>2024</v>
      </c>
      <c r="I758" t="str">
        <f>IF(OR(H758=$B$5,H758=$B$6,H758=$B$7,H758=$B$8,H758=$B$9,H758=$B$10,H758=$B$11,H758=$B$12,H758=$B$13,H758=$B$14),SottocategorieUscite[[#Headers],[Fuori Casa]],IF(OR(H758=$C$5,H758=$C$6,H758=$C$7,H758=$C$8,H758=$C$9,H758=$C$10,H758=$C$11,H758=$C$12,H758=$C$13,H758=$C$14),SottocategorieUscite[[#Headers],[Varie Uscite]],IF(OR(H758=$D$5,H758=$D$6,H758=$D$7,H758=$D$8,H758=$D$9,H758=$D$10,H758=$D$11,H758=$D$12,H758=$D$13,H758=$D$14),SottocategorieUscite[[#Headers],[Personali]],IF(OR(H758=$E$5,H758=$E$6,H758=$E$7,H758=$E$8,H758=$E$9,H758=$E$10,H758=$E$11,H758=$E$12,H758=$E$13,H758=$E$14),SottocategorieUscite[[#Headers],[Lavoro]],IF(OR(H758=$F$5,H758=$F$6,H758=$F$7,H758=$F$8,H758=$F$9,H758=$F$10,H758=$F$11,H758=$F$12,H758=$F$13,H758=$F$14),SottocategorieUscite[[#Headers],[Casa]],IF(OR(H758=$G$5,H758=$G$6,H758=$G$7,H758=$G$8,H758=$G$9,H758=$G$10,H758=$G$11,H758=$G$12,H758=$G$13,H758=$G$14),SottocategorieUscite[[#Headers],[Utenze]],IF(OR(H758=$H$5,H758=$H$6,H758=$H$7,H758=$H$8,H758=$H$9,H758=$H$10,H758=$H$11,H758=$H$12,H758=$H$13,H758=$H$14),SottocategorieUscite[[#Headers],[Business Uscite]],IF(OR(H758=$I$5,H758=$I$6,H758=$I$7,H758=$I$8,H758=$I$9,H758=$I$10,H758=$I$11,H758=$I$12,H758=$I$13,H758=$I$14),SottocategorieUscite[[#Headers],[Banca]],IF(OR(H758=K$5,H758=K$6,H758=K$7,H758=K$8,H758=K$9,H758=K$10,H758=K$11,H758=K$12,H758=K$13,H758=K$14),SottocategorieEntrate[[#Headers],[Business Entrate]],IF(OR(H758=L$5,H758=L$6,H758=L$7,H758=L$8,H758=L$9,H758=L$10,H758=L$11,H758=L$12,H758=L$13,H758=L$14),SottocategorieEntrate[[#Headers],[Varie Entrate]],IF(OR(H758=M$5,H758=M$6,H758=M$7,H758=M$8,H758=M$9,H758=M$10,H758=M$11,H758=M$12,H758=M$13,H758=M$14),SottocategorieEntrate[[#Headers],[Real Estate]],IF(OR(H758=N$5,H758=N$6,H758=N$7,H758=N$8,H758=N$9,H758=N$10,H758=N$11,H758=N$12,H758=N$13,H758=N$14),SottocategorieEntrate[[#Headers],[Other]],""))))))))))))</f>
        <v/>
      </c>
      <c r="J758" t="str">
        <f>IF(OR(Dati[[#This Row],[Categoria]]="Bollette",Dati[[#This Row],[Categoria]]="Conto &amp; Carte BNL",Dati[[#This Row],[Categoria]]="Prelievo",Dati[[#This Row],[Categoria]]="Affitto",Dati[[#This Row],[Categoria]]="BNL(Interessi Creditori)"),"Carta",IF(Dati[[#This Row],[Categoria]]&lt;&gt;0,"Cash",""))</f>
        <v/>
      </c>
      <c r="K758" s="59" t="str">
        <f>IF(OR(Data!$I758=SottocategorieUscite[[#Headers],[Fuori Casa]],Data!$I758=SottocategorieUscite[[#Headers],[Varie Uscite]],Data!$I758=SottocategorieUscite[[#Headers],[Personali]],Data!$I758=SottocategorieUscite[[#Headers],[Lavoro]]),"$ -","")</f>
        <v/>
      </c>
      <c r="L758" s="59" t="str">
        <f>IF(OR(Data!$I758=SottocategorieUscite[[#Headers],[Casa]],Data!$I758=SottocategorieUscite[[#Headers],[Utenze]],Data!$I758=SottocategorieUscite[[#Headers],[Business Uscite]],Data!$I758=SottocategorieUscite[[#Headers],[Banca]]),"$ -","")</f>
        <v/>
      </c>
      <c r="M758" s="59" t="str">
        <f>IF(OR($I758&lt;&gt;SottocategorieUscite[[#Headers],[Fuori Casa]],$I758&lt;&gt;SottocategorieUscite[[#Headers],[Varie Uscite]],$I758&lt;&gt;SottocategorieUscite[[#Headers],[Personali]],$I758&lt;&gt;SottocategorieUscite[[#Headers],[Lavoro]],$I758&lt;&gt;SottocategorieUscite[[#Headers],[Casa]],$I758&lt;&gt;SottocategorieUscite[[#Headers],[Utenze]],$I758&lt;&gt;SottocategorieUscite[[#Headers],[Business Uscite]],$I758&lt;&gt;SottocategorieUscite[[#Headers],[Banca]]),"","$ -")</f>
        <v/>
      </c>
      <c r="N758" s="59" t="str">
        <f>IF(OR(Data!$I758=SottocategorieEntrate[[#Headers],[Business Entrate]],Data!$I758=SottocategorieEntrate[[#Headers],[Varie Entrate]]),"$ -","")</f>
        <v/>
      </c>
      <c r="O758" s="59" t="str">
        <f>IF(OR(Data!$I758=SottocategorieEntrate[[#Headers],[Real Estate]],SottocategorieEntrate[[#Headers],[Other]]),"$ -","")</f>
        <v/>
      </c>
      <c r="P758" s="59" t="str">
        <f>IF(OR($I758&lt;&gt;SottocategorieEntrate[[#Headers],[Business Entrate]],$I758&lt;&gt;SottocategorieEntrate[[#Headers],[Varie Entrate]],$I758&lt;&gt;SottocategorieEntrate[[#Headers],[Real Estate]],$I758&lt;&gt;SottocategorieEntrate[[#Headers],[Other]]),"","$ -")</f>
        <v/>
      </c>
      <c r="Q758" s="59" t="str">
        <f>IF(Dati[[#This Row],[Categoria]]="Prelievo","€ -","")</f>
        <v/>
      </c>
      <c r="R758" s="244"/>
      <c r="S758" s="59" t="str">
        <f>IF(Dati[[#This Row],[Categoria]]="Savings",0,"")</f>
        <v/>
      </c>
      <c r="T758" s="59"/>
      <c r="U758" s="59"/>
      <c r="V758" s="59"/>
      <c r="W758" s="59"/>
      <c r="X758" s="59"/>
      <c r="Y758" s="59"/>
      <c r="Z758" s="59"/>
      <c r="AA758" s="59"/>
      <c r="AB758" s="59"/>
      <c r="AC758" s="59"/>
      <c r="AD758" s="59"/>
      <c r="AE758" s="59"/>
      <c r="AF758" s="59"/>
      <c r="AG758" s="59"/>
      <c r="AH758" s="59"/>
      <c r="AI758" s="59" t="str">
        <f>IF(SUM(Dati[[#This Row],[Inv. Business]:[Inv. Cryptocurrency]])=0," ",SUM(Dati[[#This Row],[Inv. Business]:[Inv. Cryptocurrency]]))</f>
        <v xml:space="preserve"> </v>
      </c>
      <c r="AJ758" s="59"/>
      <c r="AK758" s="59"/>
      <c r="AL758" s="59"/>
      <c r="AM758" s="59"/>
    </row>
    <row r="759" spans="2:39" x14ac:dyDescent="0.35">
      <c r="B759" s="237">
        <f t="shared" si="38"/>
        <v>739</v>
      </c>
      <c r="C759" s="49">
        <f t="shared" si="35"/>
        <v>45488</v>
      </c>
      <c r="D759" s="29">
        <f>DAY(Dati[[#This Row],[Data]])</f>
        <v>15</v>
      </c>
      <c r="E759" s="29" t="str">
        <f>IF(DAY(Data!$C$21:$C$1327)&gt;0,TEXT(Data!$C$21:$C$1327, "mmmm"),"")</f>
        <v>luglio</v>
      </c>
      <c r="F759" s="29" t="str">
        <f>IF(DAY(Data!$C$21:$C$1327)&gt;0,TEXT(Data!$C$21:$C$1327, "aaaa"),"")</f>
        <v>2024</v>
      </c>
      <c r="I759" t="str">
        <f>IF(OR(H759=$B$5,H759=$B$6,H759=$B$7,H759=$B$8,H759=$B$9,H759=$B$10,H759=$B$11,H759=$B$12,H759=$B$13,H759=$B$14),SottocategorieUscite[[#Headers],[Fuori Casa]],IF(OR(H759=$C$5,H759=$C$6,H759=$C$7,H759=$C$8,H759=$C$9,H759=$C$10,H759=$C$11,H759=$C$12,H759=$C$13,H759=$C$14),SottocategorieUscite[[#Headers],[Varie Uscite]],IF(OR(H759=$D$5,H759=$D$6,H759=$D$7,H759=$D$8,H759=$D$9,H759=$D$10,H759=$D$11,H759=$D$12,H759=$D$13,H759=$D$14),SottocategorieUscite[[#Headers],[Personali]],IF(OR(H759=$E$5,H759=$E$6,H759=$E$7,H759=$E$8,H759=$E$9,H759=$E$10,H759=$E$11,H759=$E$12,H759=$E$13,H759=$E$14),SottocategorieUscite[[#Headers],[Lavoro]],IF(OR(H759=$F$5,H759=$F$6,H759=$F$7,H759=$F$8,H759=$F$9,H759=$F$10,H759=$F$11,H759=$F$12,H759=$F$13,H759=$F$14),SottocategorieUscite[[#Headers],[Casa]],IF(OR(H759=$G$5,H759=$G$6,H759=$G$7,H759=$G$8,H759=$G$9,H759=$G$10,H759=$G$11,H759=$G$12,H759=$G$13,H759=$G$14),SottocategorieUscite[[#Headers],[Utenze]],IF(OR(H759=$H$5,H759=$H$6,H759=$H$7,H759=$H$8,H759=$H$9,H759=$H$10,H759=$H$11,H759=$H$12,H759=$H$13,H759=$H$14),SottocategorieUscite[[#Headers],[Business Uscite]],IF(OR(H759=$I$5,H759=$I$6,H759=$I$7,H759=$I$8,H759=$I$9,H759=$I$10,H759=$I$11,H759=$I$12,H759=$I$13,H759=$I$14),SottocategorieUscite[[#Headers],[Banca]],IF(OR(H759=K$5,H759=K$6,H759=K$7,H759=K$8,H759=K$9,H759=K$10,H759=K$11,H759=K$12,H759=K$13,H759=K$14),SottocategorieEntrate[[#Headers],[Business Entrate]],IF(OR(H759=L$5,H759=L$6,H759=L$7,H759=L$8,H759=L$9,H759=L$10,H759=L$11,H759=L$12,H759=L$13,H759=L$14),SottocategorieEntrate[[#Headers],[Varie Entrate]],IF(OR(H759=M$5,H759=M$6,H759=M$7,H759=M$8,H759=M$9,H759=M$10,H759=M$11,H759=M$12,H759=M$13,H759=M$14),SottocategorieEntrate[[#Headers],[Real Estate]],IF(OR(H759=N$5,H759=N$6,H759=N$7,H759=N$8,H759=N$9,H759=N$10,H759=N$11,H759=N$12,H759=N$13,H759=N$14),SottocategorieEntrate[[#Headers],[Other]],""))))))))))))</f>
        <v/>
      </c>
      <c r="J759" t="str">
        <f>IF(OR(Dati[[#This Row],[Categoria]]="Bollette",Dati[[#This Row],[Categoria]]="Conto &amp; Carte BNL",Dati[[#This Row],[Categoria]]="Prelievo",Dati[[#This Row],[Categoria]]="Affitto",Dati[[#This Row],[Categoria]]="BNL(Interessi Creditori)"),"Carta",IF(Dati[[#This Row],[Categoria]]&lt;&gt;0,"Cash",""))</f>
        <v/>
      </c>
      <c r="K759" s="59" t="str">
        <f>IF(OR(Data!$I759=SottocategorieUscite[[#Headers],[Fuori Casa]],Data!$I759=SottocategorieUscite[[#Headers],[Varie Uscite]],Data!$I759=SottocategorieUscite[[#Headers],[Personali]],Data!$I759=SottocategorieUscite[[#Headers],[Lavoro]]),"$ -","")</f>
        <v/>
      </c>
      <c r="L759" s="59" t="str">
        <f>IF(OR(Data!$I759=SottocategorieUscite[[#Headers],[Casa]],Data!$I759=SottocategorieUscite[[#Headers],[Utenze]],Data!$I759=SottocategorieUscite[[#Headers],[Business Uscite]],Data!$I759=SottocategorieUscite[[#Headers],[Banca]]),"$ -","")</f>
        <v/>
      </c>
      <c r="M759" s="59" t="str">
        <f>IF(OR($I759&lt;&gt;SottocategorieUscite[[#Headers],[Fuori Casa]],$I759&lt;&gt;SottocategorieUscite[[#Headers],[Varie Uscite]],$I759&lt;&gt;SottocategorieUscite[[#Headers],[Personali]],$I759&lt;&gt;SottocategorieUscite[[#Headers],[Lavoro]],$I759&lt;&gt;SottocategorieUscite[[#Headers],[Casa]],$I759&lt;&gt;SottocategorieUscite[[#Headers],[Utenze]],$I759&lt;&gt;SottocategorieUscite[[#Headers],[Business Uscite]],$I759&lt;&gt;SottocategorieUscite[[#Headers],[Banca]]),"","$ -")</f>
        <v/>
      </c>
      <c r="N759" s="59" t="str">
        <f>IF(OR(Data!$I759=SottocategorieEntrate[[#Headers],[Business Entrate]],Data!$I759=SottocategorieEntrate[[#Headers],[Varie Entrate]]),"$ -","")</f>
        <v/>
      </c>
      <c r="O759" s="59" t="str">
        <f>IF(OR(Data!$I759=SottocategorieEntrate[[#Headers],[Real Estate]],SottocategorieEntrate[[#Headers],[Other]]),"$ -","")</f>
        <v/>
      </c>
      <c r="P759" s="59" t="str">
        <f>IF(OR($I759&lt;&gt;SottocategorieEntrate[[#Headers],[Business Entrate]],$I759&lt;&gt;SottocategorieEntrate[[#Headers],[Varie Entrate]],$I759&lt;&gt;SottocategorieEntrate[[#Headers],[Real Estate]],$I759&lt;&gt;SottocategorieEntrate[[#Headers],[Other]]),"","$ -")</f>
        <v/>
      </c>
      <c r="Q759" s="59" t="str">
        <f>IF(Dati[[#This Row],[Categoria]]="Prelievo","€ -","")</f>
        <v/>
      </c>
      <c r="R759" s="244"/>
      <c r="S759" s="59" t="str">
        <f>IF(Dati[[#This Row],[Categoria]]="Savings",0,"")</f>
        <v/>
      </c>
      <c r="T759" s="59"/>
      <c r="U759" s="59"/>
      <c r="V759" s="59"/>
      <c r="W759" s="59"/>
      <c r="X759" s="59"/>
      <c r="Y759" s="59"/>
      <c r="Z759" s="59"/>
      <c r="AA759" s="59"/>
      <c r="AB759" s="59"/>
      <c r="AC759" s="59"/>
      <c r="AD759" s="59"/>
      <c r="AE759" s="59"/>
      <c r="AF759" s="59"/>
      <c r="AG759" s="59"/>
      <c r="AH759" s="59"/>
      <c r="AI759" s="59" t="str">
        <f>IF(SUM(Dati[[#This Row],[Inv. Business]:[Inv. Cryptocurrency]])=0," ",SUM(Dati[[#This Row],[Inv. Business]:[Inv. Cryptocurrency]]))</f>
        <v xml:space="preserve"> </v>
      </c>
      <c r="AJ759" s="59"/>
      <c r="AK759" s="59"/>
      <c r="AL759" s="59"/>
      <c r="AM759" s="59"/>
    </row>
    <row r="760" spans="2:39" x14ac:dyDescent="0.35">
      <c r="B760" s="237">
        <f t="shared" si="38"/>
        <v>740</v>
      </c>
      <c r="C760" s="49">
        <f t="shared" si="35"/>
        <v>45489</v>
      </c>
      <c r="D760" s="29">
        <f>DAY(Dati[[#This Row],[Data]])</f>
        <v>16</v>
      </c>
      <c r="E760" s="29" t="str">
        <f>IF(DAY(Data!$C$21:$C$1327)&gt;0,TEXT(Data!$C$21:$C$1327, "mmmm"),"")</f>
        <v>luglio</v>
      </c>
      <c r="F760" s="29" t="str">
        <f>IF(DAY(Data!$C$21:$C$1327)&gt;0,TEXT(Data!$C$21:$C$1327, "aaaa"),"")</f>
        <v>2024</v>
      </c>
      <c r="I760" t="str">
        <f>IF(OR(H760=$B$5,H760=$B$6,H760=$B$7,H760=$B$8,H760=$B$9,H760=$B$10,H760=$B$11,H760=$B$12,H760=$B$13,H760=$B$14),SottocategorieUscite[[#Headers],[Fuori Casa]],IF(OR(H760=$C$5,H760=$C$6,H760=$C$7,H760=$C$8,H760=$C$9,H760=$C$10,H760=$C$11,H760=$C$12,H760=$C$13,H760=$C$14),SottocategorieUscite[[#Headers],[Varie Uscite]],IF(OR(H760=$D$5,H760=$D$6,H760=$D$7,H760=$D$8,H760=$D$9,H760=$D$10,H760=$D$11,H760=$D$12,H760=$D$13,H760=$D$14),SottocategorieUscite[[#Headers],[Personali]],IF(OR(H760=$E$5,H760=$E$6,H760=$E$7,H760=$E$8,H760=$E$9,H760=$E$10,H760=$E$11,H760=$E$12,H760=$E$13,H760=$E$14),SottocategorieUscite[[#Headers],[Lavoro]],IF(OR(H760=$F$5,H760=$F$6,H760=$F$7,H760=$F$8,H760=$F$9,H760=$F$10,H760=$F$11,H760=$F$12,H760=$F$13,H760=$F$14),SottocategorieUscite[[#Headers],[Casa]],IF(OR(H760=$G$5,H760=$G$6,H760=$G$7,H760=$G$8,H760=$G$9,H760=$G$10,H760=$G$11,H760=$G$12,H760=$G$13,H760=$G$14),SottocategorieUscite[[#Headers],[Utenze]],IF(OR(H760=$H$5,H760=$H$6,H760=$H$7,H760=$H$8,H760=$H$9,H760=$H$10,H760=$H$11,H760=$H$12,H760=$H$13,H760=$H$14),SottocategorieUscite[[#Headers],[Business Uscite]],IF(OR(H760=$I$5,H760=$I$6,H760=$I$7,H760=$I$8,H760=$I$9,H760=$I$10,H760=$I$11,H760=$I$12,H760=$I$13,H760=$I$14),SottocategorieUscite[[#Headers],[Banca]],IF(OR(H760=K$5,H760=K$6,H760=K$7,H760=K$8,H760=K$9,H760=K$10,H760=K$11,H760=K$12,H760=K$13,H760=K$14),SottocategorieEntrate[[#Headers],[Business Entrate]],IF(OR(H760=L$5,H760=L$6,H760=L$7,H760=L$8,H760=L$9,H760=L$10,H760=L$11,H760=L$12,H760=L$13,H760=L$14),SottocategorieEntrate[[#Headers],[Varie Entrate]],IF(OR(H760=M$5,H760=M$6,H760=M$7,H760=M$8,H760=M$9,H760=M$10,H760=M$11,H760=M$12,H760=M$13,H760=M$14),SottocategorieEntrate[[#Headers],[Real Estate]],IF(OR(H760=N$5,H760=N$6,H760=N$7,H760=N$8,H760=N$9,H760=N$10,H760=N$11,H760=N$12,H760=N$13,H760=N$14),SottocategorieEntrate[[#Headers],[Other]],""))))))))))))</f>
        <v/>
      </c>
      <c r="J760" t="str">
        <f>IF(OR(Dati[[#This Row],[Categoria]]="Bollette",Dati[[#This Row],[Categoria]]="Conto &amp; Carte BNL",Dati[[#This Row],[Categoria]]="Prelievo",Dati[[#This Row],[Categoria]]="Affitto",Dati[[#This Row],[Categoria]]="BNL(Interessi Creditori)"),"Carta",IF(Dati[[#This Row],[Categoria]]&lt;&gt;0,"Cash",""))</f>
        <v/>
      </c>
      <c r="K760" s="59" t="str">
        <f>IF(OR(Data!$I760=SottocategorieUscite[[#Headers],[Fuori Casa]],Data!$I760=SottocategorieUscite[[#Headers],[Varie Uscite]],Data!$I760=SottocategorieUscite[[#Headers],[Personali]],Data!$I760=SottocategorieUscite[[#Headers],[Lavoro]]),"$ -","")</f>
        <v/>
      </c>
      <c r="L760" s="59" t="str">
        <f>IF(OR(Data!$I760=SottocategorieUscite[[#Headers],[Casa]],Data!$I760=SottocategorieUscite[[#Headers],[Utenze]],Data!$I760=SottocategorieUscite[[#Headers],[Business Uscite]],Data!$I760=SottocategorieUscite[[#Headers],[Banca]]),"$ -","")</f>
        <v/>
      </c>
      <c r="M760" s="59" t="str">
        <f>IF(OR($I760&lt;&gt;SottocategorieUscite[[#Headers],[Fuori Casa]],$I760&lt;&gt;SottocategorieUscite[[#Headers],[Varie Uscite]],$I760&lt;&gt;SottocategorieUscite[[#Headers],[Personali]],$I760&lt;&gt;SottocategorieUscite[[#Headers],[Lavoro]],$I760&lt;&gt;SottocategorieUscite[[#Headers],[Casa]],$I760&lt;&gt;SottocategorieUscite[[#Headers],[Utenze]],$I760&lt;&gt;SottocategorieUscite[[#Headers],[Business Uscite]],$I760&lt;&gt;SottocategorieUscite[[#Headers],[Banca]]),"","$ -")</f>
        <v/>
      </c>
      <c r="N760" s="59" t="str">
        <f>IF(OR(Data!$I760=SottocategorieEntrate[[#Headers],[Business Entrate]],Data!$I760=SottocategorieEntrate[[#Headers],[Varie Entrate]]),"$ -","")</f>
        <v/>
      </c>
      <c r="O760" s="59" t="str">
        <f>IF(OR(Data!$I760=SottocategorieEntrate[[#Headers],[Real Estate]],SottocategorieEntrate[[#Headers],[Other]]),"$ -","")</f>
        <v/>
      </c>
      <c r="P760" s="59" t="str">
        <f>IF(OR($I760&lt;&gt;SottocategorieEntrate[[#Headers],[Business Entrate]],$I760&lt;&gt;SottocategorieEntrate[[#Headers],[Varie Entrate]],$I760&lt;&gt;SottocategorieEntrate[[#Headers],[Real Estate]],$I760&lt;&gt;SottocategorieEntrate[[#Headers],[Other]]),"","$ -")</f>
        <v/>
      </c>
      <c r="Q760" s="59" t="str">
        <f>IF(Dati[[#This Row],[Categoria]]="Prelievo","€ -","")</f>
        <v/>
      </c>
      <c r="R760" s="244"/>
      <c r="S760" s="59" t="str">
        <f>IF(Dati[[#This Row],[Categoria]]="Savings",0,"")</f>
        <v/>
      </c>
      <c r="T760" s="59"/>
      <c r="U760" s="59"/>
      <c r="V760" s="59"/>
      <c r="W760" s="59"/>
      <c r="X760" s="59"/>
      <c r="Y760" s="59"/>
      <c r="Z760" s="59"/>
      <c r="AA760" s="59"/>
      <c r="AB760" s="59"/>
      <c r="AC760" s="59"/>
      <c r="AD760" s="59"/>
      <c r="AE760" s="59"/>
      <c r="AF760" s="59"/>
      <c r="AG760" s="59"/>
      <c r="AH760" s="59"/>
      <c r="AI760" s="59" t="str">
        <f>IF(SUM(Dati[[#This Row],[Inv. Business]:[Inv. Cryptocurrency]])=0," ",SUM(Dati[[#This Row],[Inv. Business]:[Inv. Cryptocurrency]]))</f>
        <v xml:space="preserve"> </v>
      </c>
      <c r="AJ760" s="59"/>
      <c r="AK760" s="59"/>
      <c r="AL760" s="59"/>
      <c r="AM760" s="59"/>
    </row>
    <row r="761" spans="2:39" x14ac:dyDescent="0.35">
      <c r="B761" s="237">
        <f t="shared" si="38"/>
        <v>741</v>
      </c>
      <c r="C761" s="49">
        <f t="shared" si="35"/>
        <v>45490</v>
      </c>
      <c r="D761" s="29">
        <f>DAY(Dati[[#This Row],[Data]])</f>
        <v>17</v>
      </c>
      <c r="E761" s="29" t="str">
        <f>IF(DAY(Data!$C$21:$C$1327)&gt;0,TEXT(Data!$C$21:$C$1327, "mmmm"),"")</f>
        <v>luglio</v>
      </c>
      <c r="F761" s="29" t="str">
        <f>IF(DAY(Data!$C$21:$C$1327)&gt;0,TEXT(Data!$C$21:$C$1327, "aaaa"),"")</f>
        <v>2024</v>
      </c>
      <c r="I761" t="str">
        <f>IF(OR(H761=$B$5,H761=$B$6,H761=$B$7,H761=$B$8,H761=$B$9,H761=$B$10,H761=$B$11,H761=$B$12,H761=$B$13,H761=$B$14),SottocategorieUscite[[#Headers],[Fuori Casa]],IF(OR(H761=$C$5,H761=$C$6,H761=$C$7,H761=$C$8,H761=$C$9,H761=$C$10,H761=$C$11,H761=$C$12,H761=$C$13,H761=$C$14),SottocategorieUscite[[#Headers],[Varie Uscite]],IF(OR(H761=$D$5,H761=$D$6,H761=$D$7,H761=$D$8,H761=$D$9,H761=$D$10,H761=$D$11,H761=$D$12,H761=$D$13,H761=$D$14),SottocategorieUscite[[#Headers],[Personali]],IF(OR(H761=$E$5,H761=$E$6,H761=$E$7,H761=$E$8,H761=$E$9,H761=$E$10,H761=$E$11,H761=$E$12,H761=$E$13,H761=$E$14),SottocategorieUscite[[#Headers],[Lavoro]],IF(OR(H761=$F$5,H761=$F$6,H761=$F$7,H761=$F$8,H761=$F$9,H761=$F$10,H761=$F$11,H761=$F$12,H761=$F$13,H761=$F$14),SottocategorieUscite[[#Headers],[Casa]],IF(OR(H761=$G$5,H761=$G$6,H761=$G$7,H761=$G$8,H761=$G$9,H761=$G$10,H761=$G$11,H761=$G$12,H761=$G$13,H761=$G$14),SottocategorieUscite[[#Headers],[Utenze]],IF(OR(H761=$H$5,H761=$H$6,H761=$H$7,H761=$H$8,H761=$H$9,H761=$H$10,H761=$H$11,H761=$H$12,H761=$H$13,H761=$H$14),SottocategorieUscite[[#Headers],[Business Uscite]],IF(OR(H761=$I$5,H761=$I$6,H761=$I$7,H761=$I$8,H761=$I$9,H761=$I$10,H761=$I$11,H761=$I$12,H761=$I$13,H761=$I$14),SottocategorieUscite[[#Headers],[Banca]],IF(OR(H761=K$5,H761=K$6,H761=K$7,H761=K$8,H761=K$9,H761=K$10,H761=K$11,H761=K$12,H761=K$13,H761=K$14),SottocategorieEntrate[[#Headers],[Business Entrate]],IF(OR(H761=L$5,H761=L$6,H761=L$7,H761=L$8,H761=L$9,H761=L$10,H761=L$11,H761=L$12,H761=L$13,H761=L$14),SottocategorieEntrate[[#Headers],[Varie Entrate]],IF(OR(H761=M$5,H761=M$6,H761=M$7,H761=M$8,H761=M$9,H761=M$10,H761=M$11,H761=M$12,H761=M$13,H761=M$14),SottocategorieEntrate[[#Headers],[Real Estate]],IF(OR(H761=N$5,H761=N$6,H761=N$7,H761=N$8,H761=N$9,H761=N$10,H761=N$11,H761=N$12,H761=N$13,H761=N$14),SottocategorieEntrate[[#Headers],[Other]],""))))))))))))</f>
        <v/>
      </c>
      <c r="J761" t="str">
        <f>IF(OR(Dati[[#This Row],[Categoria]]="Bollette",Dati[[#This Row],[Categoria]]="Conto &amp; Carte BNL",Dati[[#This Row],[Categoria]]="Prelievo",Dati[[#This Row],[Categoria]]="Affitto",Dati[[#This Row],[Categoria]]="BNL(Interessi Creditori)"),"Carta",IF(Dati[[#This Row],[Categoria]]&lt;&gt;0,"Cash",""))</f>
        <v/>
      </c>
      <c r="K761" s="59" t="str">
        <f>IF(OR(Data!$I761=SottocategorieUscite[[#Headers],[Fuori Casa]],Data!$I761=SottocategorieUscite[[#Headers],[Varie Uscite]],Data!$I761=SottocategorieUscite[[#Headers],[Personali]],Data!$I761=SottocategorieUscite[[#Headers],[Lavoro]]),"$ -","")</f>
        <v/>
      </c>
      <c r="L761" s="59" t="str">
        <f>IF(OR(Data!$I761=SottocategorieUscite[[#Headers],[Casa]],Data!$I761=SottocategorieUscite[[#Headers],[Utenze]],Data!$I761=SottocategorieUscite[[#Headers],[Business Uscite]],Data!$I761=SottocategorieUscite[[#Headers],[Banca]]),"$ -","")</f>
        <v/>
      </c>
      <c r="M761" s="59" t="str">
        <f>IF(OR($I761&lt;&gt;SottocategorieUscite[[#Headers],[Fuori Casa]],$I761&lt;&gt;SottocategorieUscite[[#Headers],[Varie Uscite]],$I761&lt;&gt;SottocategorieUscite[[#Headers],[Personali]],$I761&lt;&gt;SottocategorieUscite[[#Headers],[Lavoro]],$I761&lt;&gt;SottocategorieUscite[[#Headers],[Casa]],$I761&lt;&gt;SottocategorieUscite[[#Headers],[Utenze]],$I761&lt;&gt;SottocategorieUscite[[#Headers],[Business Uscite]],$I761&lt;&gt;SottocategorieUscite[[#Headers],[Banca]]),"","$ -")</f>
        <v/>
      </c>
      <c r="N761" s="59" t="str">
        <f>IF(OR(Data!$I761=SottocategorieEntrate[[#Headers],[Business Entrate]],Data!$I761=SottocategorieEntrate[[#Headers],[Varie Entrate]]),"$ -","")</f>
        <v/>
      </c>
      <c r="O761" s="59" t="str">
        <f>IF(OR(Data!$I761=SottocategorieEntrate[[#Headers],[Real Estate]],SottocategorieEntrate[[#Headers],[Other]]),"$ -","")</f>
        <v/>
      </c>
      <c r="P761" s="59" t="str">
        <f>IF(OR($I761&lt;&gt;SottocategorieEntrate[[#Headers],[Business Entrate]],$I761&lt;&gt;SottocategorieEntrate[[#Headers],[Varie Entrate]],$I761&lt;&gt;SottocategorieEntrate[[#Headers],[Real Estate]],$I761&lt;&gt;SottocategorieEntrate[[#Headers],[Other]]),"","$ -")</f>
        <v/>
      </c>
      <c r="Q761" s="59" t="str">
        <f>IF(Dati[[#This Row],[Categoria]]="Prelievo","€ -","")</f>
        <v/>
      </c>
      <c r="R761" s="244"/>
      <c r="S761" s="59" t="str">
        <f>IF(Dati[[#This Row],[Categoria]]="Savings",0,"")</f>
        <v/>
      </c>
      <c r="T761" s="59"/>
      <c r="U761" s="59"/>
      <c r="V761" s="59"/>
      <c r="W761" s="59"/>
      <c r="X761" s="59"/>
      <c r="Y761" s="59"/>
      <c r="Z761" s="59"/>
      <c r="AA761" s="59"/>
      <c r="AB761" s="59"/>
      <c r="AC761" s="59"/>
      <c r="AD761" s="59"/>
      <c r="AE761" s="59"/>
      <c r="AF761" s="59"/>
      <c r="AG761" s="59"/>
      <c r="AH761" s="59"/>
      <c r="AI761" s="59" t="str">
        <f>IF(SUM(Dati[[#This Row],[Inv. Business]:[Inv. Cryptocurrency]])=0," ",SUM(Dati[[#This Row],[Inv. Business]:[Inv. Cryptocurrency]]))</f>
        <v xml:space="preserve"> </v>
      </c>
      <c r="AJ761" s="59"/>
      <c r="AK761" s="59"/>
      <c r="AL761" s="59"/>
      <c r="AM761" s="59"/>
    </row>
    <row r="762" spans="2:39" x14ac:dyDescent="0.35">
      <c r="B762" s="237">
        <f t="shared" si="38"/>
        <v>742</v>
      </c>
      <c r="C762" s="49">
        <f t="shared" si="35"/>
        <v>45491</v>
      </c>
      <c r="D762" s="29">
        <f>DAY(Dati[[#This Row],[Data]])</f>
        <v>18</v>
      </c>
      <c r="E762" s="29" t="str">
        <f>IF(DAY(Data!$C$21:$C$1327)&gt;0,TEXT(Data!$C$21:$C$1327, "mmmm"),"")</f>
        <v>luglio</v>
      </c>
      <c r="F762" s="29" t="str">
        <f>IF(DAY(Data!$C$21:$C$1327)&gt;0,TEXT(Data!$C$21:$C$1327, "aaaa"),"")</f>
        <v>2024</v>
      </c>
      <c r="I762" t="str">
        <f>IF(OR(H762=$B$5,H762=$B$6,H762=$B$7,H762=$B$8,H762=$B$9,H762=$B$10,H762=$B$11,H762=$B$12,H762=$B$13,H762=$B$14),SottocategorieUscite[[#Headers],[Fuori Casa]],IF(OR(H762=$C$5,H762=$C$6,H762=$C$7,H762=$C$8,H762=$C$9,H762=$C$10,H762=$C$11,H762=$C$12,H762=$C$13,H762=$C$14),SottocategorieUscite[[#Headers],[Varie Uscite]],IF(OR(H762=$D$5,H762=$D$6,H762=$D$7,H762=$D$8,H762=$D$9,H762=$D$10,H762=$D$11,H762=$D$12,H762=$D$13,H762=$D$14),SottocategorieUscite[[#Headers],[Personali]],IF(OR(H762=$E$5,H762=$E$6,H762=$E$7,H762=$E$8,H762=$E$9,H762=$E$10,H762=$E$11,H762=$E$12,H762=$E$13,H762=$E$14),SottocategorieUscite[[#Headers],[Lavoro]],IF(OR(H762=$F$5,H762=$F$6,H762=$F$7,H762=$F$8,H762=$F$9,H762=$F$10,H762=$F$11,H762=$F$12,H762=$F$13,H762=$F$14),SottocategorieUscite[[#Headers],[Casa]],IF(OR(H762=$G$5,H762=$G$6,H762=$G$7,H762=$G$8,H762=$G$9,H762=$G$10,H762=$G$11,H762=$G$12,H762=$G$13,H762=$G$14),SottocategorieUscite[[#Headers],[Utenze]],IF(OR(H762=$H$5,H762=$H$6,H762=$H$7,H762=$H$8,H762=$H$9,H762=$H$10,H762=$H$11,H762=$H$12,H762=$H$13,H762=$H$14),SottocategorieUscite[[#Headers],[Business Uscite]],IF(OR(H762=$I$5,H762=$I$6,H762=$I$7,H762=$I$8,H762=$I$9,H762=$I$10,H762=$I$11,H762=$I$12,H762=$I$13,H762=$I$14),SottocategorieUscite[[#Headers],[Banca]],IF(OR(H762=K$5,H762=K$6,H762=K$7,H762=K$8,H762=K$9,H762=K$10,H762=K$11,H762=K$12,H762=K$13,H762=K$14),SottocategorieEntrate[[#Headers],[Business Entrate]],IF(OR(H762=L$5,H762=L$6,H762=L$7,H762=L$8,H762=L$9,H762=L$10,H762=L$11,H762=L$12,H762=L$13,H762=L$14),SottocategorieEntrate[[#Headers],[Varie Entrate]],IF(OR(H762=M$5,H762=M$6,H762=M$7,H762=M$8,H762=M$9,H762=M$10,H762=M$11,H762=M$12,H762=M$13,H762=M$14),SottocategorieEntrate[[#Headers],[Real Estate]],IF(OR(H762=N$5,H762=N$6,H762=N$7,H762=N$8,H762=N$9,H762=N$10,H762=N$11,H762=N$12,H762=N$13,H762=N$14),SottocategorieEntrate[[#Headers],[Other]],""))))))))))))</f>
        <v/>
      </c>
      <c r="J762" t="str">
        <f>IF(OR(Dati[[#This Row],[Categoria]]="Bollette",Dati[[#This Row],[Categoria]]="Conto &amp; Carte BNL",Dati[[#This Row],[Categoria]]="Prelievo",Dati[[#This Row],[Categoria]]="Affitto",Dati[[#This Row],[Categoria]]="BNL(Interessi Creditori)"),"Carta",IF(Dati[[#This Row],[Categoria]]&lt;&gt;0,"Cash",""))</f>
        <v/>
      </c>
      <c r="K762" s="59" t="str">
        <f>IF(OR(Data!$I762=SottocategorieUscite[[#Headers],[Fuori Casa]],Data!$I762=SottocategorieUscite[[#Headers],[Varie Uscite]],Data!$I762=SottocategorieUscite[[#Headers],[Personali]],Data!$I762=SottocategorieUscite[[#Headers],[Lavoro]]),"$ -","")</f>
        <v/>
      </c>
      <c r="L762" s="59" t="str">
        <f>IF(OR(Data!$I762=SottocategorieUscite[[#Headers],[Casa]],Data!$I762=SottocategorieUscite[[#Headers],[Utenze]],Data!$I762=SottocategorieUscite[[#Headers],[Business Uscite]],Data!$I762=SottocategorieUscite[[#Headers],[Banca]]),"$ -","")</f>
        <v/>
      </c>
      <c r="M762" s="59" t="str">
        <f>IF(OR($I762&lt;&gt;SottocategorieUscite[[#Headers],[Fuori Casa]],$I762&lt;&gt;SottocategorieUscite[[#Headers],[Varie Uscite]],$I762&lt;&gt;SottocategorieUscite[[#Headers],[Personali]],$I762&lt;&gt;SottocategorieUscite[[#Headers],[Lavoro]],$I762&lt;&gt;SottocategorieUscite[[#Headers],[Casa]],$I762&lt;&gt;SottocategorieUscite[[#Headers],[Utenze]],$I762&lt;&gt;SottocategorieUscite[[#Headers],[Business Uscite]],$I762&lt;&gt;SottocategorieUscite[[#Headers],[Banca]]),"","$ -")</f>
        <v/>
      </c>
      <c r="N762" s="59" t="str">
        <f>IF(OR(Data!$I762=SottocategorieEntrate[[#Headers],[Business Entrate]],Data!$I762=SottocategorieEntrate[[#Headers],[Varie Entrate]]),"$ -","")</f>
        <v/>
      </c>
      <c r="O762" s="59" t="str">
        <f>IF(OR(Data!$I762=SottocategorieEntrate[[#Headers],[Real Estate]],SottocategorieEntrate[[#Headers],[Other]]),"$ -","")</f>
        <v/>
      </c>
      <c r="P762" s="59" t="str">
        <f>IF(OR($I762&lt;&gt;SottocategorieEntrate[[#Headers],[Business Entrate]],$I762&lt;&gt;SottocategorieEntrate[[#Headers],[Varie Entrate]],$I762&lt;&gt;SottocategorieEntrate[[#Headers],[Real Estate]],$I762&lt;&gt;SottocategorieEntrate[[#Headers],[Other]]),"","$ -")</f>
        <v/>
      </c>
      <c r="Q762" s="59" t="str">
        <f>IF(Dati[[#This Row],[Categoria]]="Prelievo","€ -","")</f>
        <v/>
      </c>
      <c r="R762" s="244"/>
      <c r="S762" s="59" t="str">
        <f>IF(Dati[[#This Row],[Categoria]]="Savings",0,"")</f>
        <v/>
      </c>
      <c r="T762" s="59"/>
      <c r="U762" s="59"/>
      <c r="V762" s="59"/>
      <c r="W762" s="59"/>
      <c r="X762" s="59"/>
      <c r="Y762" s="59"/>
      <c r="Z762" s="59"/>
      <c r="AA762" s="59"/>
      <c r="AB762" s="59"/>
      <c r="AC762" s="59"/>
      <c r="AD762" s="59"/>
      <c r="AE762" s="59"/>
      <c r="AF762" s="59"/>
      <c r="AG762" s="59"/>
      <c r="AH762" s="59"/>
      <c r="AI762" s="59" t="str">
        <f>IF(SUM(Dati[[#This Row],[Inv. Business]:[Inv. Cryptocurrency]])=0," ",SUM(Dati[[#This Row],[Inv. Business]:[Inv. Cryptocurrency]]))</f>
        <v xml:space="preserve"> </v>
      </c>
      <c r="AJ762" s="59"/>
      <c r="AK762" s="59"/>
      <c r="AL762" s="59"/>
      <c r="AM762" s="59"/>
    </row>
    <row r="763" spans="2:39" x14ac:dyDescent="0.35">
      <c r="B763" s="237">
        <f t="shared" si="38"/>
        <v>743</v>
      </c>
      <c r="C763" s="49">
        <f t="shared" si="35"/>
        <v>45492</v>
      </c>
      <c r="D763" s="29">
        <f>DAY(Dati[[#This Row],[Data]])</f>
        <v>19</v>
      </c>
      <c r="E763" s="29" t="str">
        <f>IF(DAY(Data!$C$21:$C$1327)&gt;0,TEXT(Data!$C$21:$C$1327, "mmmm"),"")</f>
        <v>luglio</v>
      </c>
      <c r="F763" s="29" t="str">
        <f>IF(DAY(Data!$C$21:$C$1327)&gt;0,TEXT(Data!$C$21:$C$1327, "aaaa"),"")</f>
        <v>2024</v>
      </c>
      <c r="I763" t="str">
        <f>IF(OR(H763=$B$5,H763=$B$6,H763=$B$7,H763=$B$8,H763=$B$9,H763=$B$10,H763=$B$11,H763=$B$12,H763=$B$13,H763=$B$14),SottocategorieUscite[[#Headers],[Fuori Casa]],IF(OR(H763=$C$5,H763=$C$6,H763=$C$7,H763=$C$8,H763=$C$9,H763=$C$10,H763=$C$11,H763=$C$12,H763=$C$13,H763=$C$14),SottocategorieUscite[[#Headers],[Varie Uscite]],IF(OR(H763=$D$5,H763=$D$6,H763=$D$7,H763=$D$8,H763=$D$9,H763=$D$10,H763=$D$11,H763=$D$12,H763=$D$13,H763=$D$14),SottocategorieUscite[[#Headers],[Personali]],IF(OR(H763=$E$5,H763=$E$6,H763=$E$7,H763=$E$8,H763=$E$9,H763=$E$10,H763=$E$11,H763=$E$12,H763=$E$13,H763=$E$14),SottocategorieUscite[[#Headers],[Lavoro]],IF(OR(H763=$F$5,H763=$F$6,H763=$F$7,H763=$F$8,H763=$F$9,H763=$F$10,H763=$F$11,H763=$F$12,H763=$F$13,H763=$F$14),SottocategorieUscite[[#Headers],[Casa]],IF(OR(H763=$G$5,H763=$G$6,H763=$G$7,H763=$G$8,H763=$G$9,H763=$G$10,H763=$G$11,H763=$G$12,H763=$G$13,H763=$G$14),SottocategorieUscite[[#Headers],[Utenze]],IF(OR(H763=$H$5,H763=$H$6,H763=$H$7,H763=$H$8,H763=$H$9,H763=$H$10,H763=$H$11,H763=$H$12,H763=$H$13,H763=$H$14),SottocategorieUscite[[#Headers],[Business Uscite]],IF(OR(H763=$I$5,H763=$I$6,H763=$I$7,H763=$I$8,H763=$I$9,H763=$I$10,H763=$I$11,H763=$I$12,H763=$I$13,H763=$I$14),SottocategorieUscite[[#Headers],[Banca]],IF(OR(H763=K$5,H763=K$6,H763=K$7,H763=K$8,H763=K$9,H763=K$10,H763=K$11,H763=K$12,H763=K$13,H763=K$14),SottocategorieEntrate[[#Headers],[Business Entrate]],IF(OR(H763=L$5,H763=L$6,H763=L$7,H763=L$8,H763=L$9,H763=L$10,H763=L$11,H763=L$12,H763=L$13,H763=L$14),SottocategorieEntrate[[#Headers],[Varie Entrate]],IF(OR(H763=M$5,H763=M$6,H763=M$7,H763=M$8,H763=M$9,H763=M$10,H763=M$11,H763=M$12,H763=M$13,H763=M$14),SottocategorieEntrate[[#Headers],[Real Estate]],IF(OR(H763=N$5,H763=N$6,H763=N$7,H763=N$8,H763=N$9,H763=N$10,H763=N$11,H763=N$12,H763=N$13,H763=N$14),SottocategorieEntrate[[#Headers],[Other]],""))))))))))))</f>
        <v/>
      </c>
      <c r="J763" t="str">
        <f>IF(OR(Dati[[#This Row],[Categoria]]="Bollette",Dati[[#This Row],[Categoria]]="Conto &amp; Carte BNL",Dati[[#This Row],[Categoria]]="Prelievo",Dati[[#This Row],[Categoria]]="Affitto",Dati[[#This Row],[Categoria]]="BNL(Interessi Creditori)"),"Carta",IF(Dati[[#This Row],[Categoria]]&lt;&gt;0,"Cash",""))</f>
        <v/>
      </c>
      <c r="K763" s="59" t="str">
        <f>IF(OR(Data!$I763=SottocategorieUscite[[#Headers],[Fuori Casa]],Data!$I763=SottocategorieUscite[[#Headers],[Varie Uscite]],Data!$I763=SottocategorieUscite[[#Headers],[Personali]],Data!$I763=SottocategorieUscite[[#Headers],[Lavoro]]),"$ -","")</f>
        <v/>
      </c>
      <c r="L763" s="59" t="str">
        <f>IF(OR(Data!$I763=SottocategorieUscite[[#Headers],[Casa]],Data!$I763=SottocategorieUscite[[#Headers],[Utenze]],Data!$I763=SottocategorieUscite[[#Headers],[Business Uscite]],Data!$I763=SottocategorieUscite[[#Headers],[Banca]]),"$ -","")</f>
        <v/>
      </c>
      <c r="M763" s="59" t="str">
        <f>IF(OR($I763&lt;&gt;SottocategorieUscite[[#Headers],[Fuori Casa]],$I763&lt;&gt;SottocategorieUscite[[#Headers],[Varie Uscite]],$I763&lt;&gt;SottocategorieUscite[[#Headers],[Personali]],$I763&lt;&gt;SottocategorieUscite[[#Headers],[Lavoro]],$I763&lt;&gt;SottocategorieUscite[[#Headers],[Casa]],$I763&lt;&gt;SottocategorieUscite[[#Headers],[Utenze]],$I763&lt;&gt;SottocategorieUscite[[#Headers],[Business Uscite]],$I763&lt;&gt;SottocategorieUscite[[#Headers],[Banca]]),"","$ -")</f>
        <v/>
      </c>
      <c r="N763" s="59" t="str">
        <f>IF(OR(Data!$I763=SottocategorieEntrate[[#Headers],[Business Entrate]],Data!$I763=SottocategorieEntrate[[#Headers],[Varie Entrate]]),"$ -","")</f>
        <v/>
      </c>
      <c r="O763" s="59" t="str">
        <f>IF(OR(Data!$I763=SottocategorieEntrate[[#Headers],[Real Estate]],SottocategorieEntrate[[#Headers],[Other]]),"$ -","")</f>
        <v/>
      </c>
      <c r="P763" s="59" t="str">
        <f>IF(OR($I763&lt;&gt;SottocategorieEntrate[[#Headers],[Business Entrate]],$I763&lt;&gt;SottocategorieEntrate[[#Headers],[Varie Entrate]],$I763&lt;&gt;SottocategorieEntrate[[#Headers],[Real Estate]],$I763&lt;&gt;SottocategorieEntrate[[#Headers],[Other]]),"","$ -")</f>
        <v/>
      </c>
      <c r="Q763" s="59" t="str">
        <f>IF(Dati[[#This Row],[Categoria]]="Prelievo","€ -","")</f>
        <v/>
      </c>
      <c r="R763" s="244"/>
      <c r="S763" s="59" t="str">
        <f>IF(Dati[[#This Row],[Categoria]]="Savings",0,"")</f>
        <v/>
      </c>
      <c r="T763" s="59"/>
      <c r="U763" s="59"/>
      <c r="V763" s="59"/>
      <c r="W763" s="59"/>
      <c r="X763" s="59"/>
      <c r="Y763" s="59"/>
      <c r="Z763" s="59"/>
      <c r="AA763" s="59"/>
      <c r="AB763" s="59"/>
      <c r="AC763" s="59"/>
      <c r="AD763" s="59"/>
      <c r="AE763" s="59"/>
      <c r="AF763" s="59"/>
      <c r="AG763" s="59"/>
      <c r="AH763" s="59"/>
      <c r="AI763" s="59" t="str">
        <f>IF(SUM(Dati[[#This Row],[Inv. Business]:[Inv. Cryptocurrency]])=0," ",SUM(Dati[[#This Row],[Inv. Business]:[Inv. Cryptocurrency]]))</f>
        <v xml:space="preserve"> </v>
      </c>
      <c r="AJ763" s="59"/>
      <c r="AK763" s="59"/>
      <c r="AL763" s="59"/>
      <c r="AM763" s="59"/>
    </row>
    <row r="764" spans="2:39" x14ac:dyDescent="0.35">
      <c r="B764" s="237">
        <f t="shared" si="38"/>
        <v>744</v>
      </c>
      <c r="C764" s="49">
        <f t="shared" si="35"/>
        <v>45493</v>
      </c>
      <c r="D764" s="29">
        <f>DAY(Dati[[#This Row],[Data]])</f>
        <v>20</v>
      </c>
      <c r="E764" s="29" t="str">
        <f>IF(DAY(Data!$C$21:$C$1327)&gt;0,TEXT(Data!$C$21:$C$1327, "mmmm"),"")</f>
        <v>luglio</v>
      </c>
      <c r="F764" s="29" t="str">
        <f>IF(DAY(Data!$C$21:$C$1327)&gt;0,TEXT(Data!$C$21:$C$1327, "aaaa"),"")</f>
        <v>2024</v>
      </c>
      <c r="I764" t="str">
        <f>IF(OR(H764=$B$5,H764=$B$6,H764=$B$7,H764=$B$8,H764=$B$9,H764=$B$10,H764=$B$11,H764=$B$12,H764=$B$13,H764=$B$14),SottocategorieUscite[[#Headers],[Fuori Casa]],IF(OR(H764=$C$5,H764=$C$6,H764=$C$7,H764=$C$8,H764=$C$9,H764=$C$10,H764=$C$11,H764=$C$12,H764=$C$13,H764=$C$14),SottocategorieUscite[[#Headers],[Varie Uscite]],IF(OR(H764=$D$5,H764=$D$6,H764=$D$7,H764=$D$8,H764=$D$9,H764=$D$10,H764=$D$11,H764=$D$12,H764=$D$13,H764=$D$14),SottocategorieUscite[[#Headers],[Personali]],IF(OR(H764=$E$5,H764=$E$6,H764=$E$7,H764=$E$8,H764=$E$9,H764=$E$10,H764=$E$11,H764=$E$12,H764=$E$13,H764=$E$14),SottocategorieUscite[[#Headers],[Lavoro]],IF(OR(H764=$F$5,H764=$F$6,H764=$F$7,H764=$F$8,H764=$F$9,H764=$F$10,H764=$F$11,H764=$F$12,H764=$F$13,H764=$F$14),SottocategorieUscite[[#Headers],[Casa]],IF(OR(H764=$G$5,H764=$G$6,H764=$G$7,H764=$G$8,H764=$G$9,H764=$G$10,H764=$G$11,H764=$G$12,H764=$G$13,H764=$G$14),SottocategorieUscite[[#Headers],[Utenze]],IF(OR(H764=$H$5,H764=$H$6,H764=$H$7,H764=$H$8,H764=$H$9,H764=$H$10,H764=$H$11,H764=$H$12,H764=$H$13,H764=$H$14),SottocategorieUscite[[#Headers],[Business Uscite]],IF(OR(H764=$I$5,H764=$I$6,H764=$I$7,H764=$I$8,H764=$I$9,H764=$I$10,H764=$I$11,H764=$I$12,H764=$I$13,H764=$I$14),SottocategorieUscite[[#Headers],[Banca]],IF(OR(H764=K$5,H764=K$6,H764=K$7,H764=K$8,H764=K$9,H764=K$10,H764=K$11,H764=K$12,H764=K$13,H764=K$14),SottocategorieEntrate[[#Headers],[Business Entrate]],IF(OR(H764=L$5,H764=L$6,H764=L$7,H764=L$8,H764=L$9,H764=L$10,H764=L$11,H764=L$12,H764=L$13,H764=L$14),SottocategorieEntrate[[#Headers],[Varie Entrate]],IF(OR(H764=M$5,H764=M$6,H764=M$7,H764=M$8,H764=M$9,H764=M$10,H764=M$11,H764=M$12,H764=M$13,H764=M$14),SottocategorieEntrate[[#Headers],[Real Estate]],IF(OR(H764=N$5,H764=N$6,H764=N$7,H764=N$8,H764=N$9,H764=N$10,H764=N$11,H764=N$12,H764=N$13,H764=N$14),SottocategorieEntrate[[#Headers],[Other]],""))))))))))))</f>
        <v/>
      </c>
      <c r="J764" t="str">
        <f>IF(OR(Dati[[#This Row],[Categoria]]="Bollette",Dati[[#This Row],[Categoria]]="Conto &amp; Carte BNL",Dati[[#This Row],[Categoria]]="Prelievo",Dati[[#This Row],[Categoria]]="Affitto",Dati[[#This Row],[Categoria]]="BNL(Interessi Creditori)"),"Carta",IF(Dati[[#This Row],[Categoria]]&lt;&gt;0,"Cash",""))</f>
        <v/>
      </c>
      <c r="K764" s="59" t="str">
        <f>IF(OR(Data!$I764=SottocategorieUscite[[#Headers],[Fuori Casa]],Data!$I764=SottocategorieUscite[[#Headers],[Varie Uscite]],Data!$I764=SottocategorieUscite[[#Headers],[Personali]],Data!$I764=SottocategorieUscite[[#Headers],[Lavoro]]),"$ -","")</f>
        <v/>
      </c>
      <c r="L764" s="59" t="str">
        <f>IF(OR(Data!$I764=SottocategorieUscite[[#Headers],[Casa]],Data!$I764=SottocategorieUscite[[#Headers],[Utenze]],Data!$I764=SottocategorieUscite[[#Headers],[Business Uscite]],Data!$I764=SottocategorieUscite[[#Headers],[Banca]]),"$ -","")</f>
        <v/>
      </c>
      <c r="M764" s="59" t="str">
        <f>IF(OR($I764&lt;&gt;SottocategorieUscite[[#Headers],[Fuori Casa]],$I764&lt;&gt;SottocategorieUscite[[#Headers],[Varie Uscite]],$I764&lt;&gt;SottocategorieUscite[[#Headers],[Personali]],$I764&lt;&gt;SottocategorieUscite[[#Headers],[Lavoro]],$I764&lt;&gt;SottocategorieUscite[[#Headers],[Casa]],$I764&lt;&gt;SottocategorieUscite[[#Headers],[Utenze]],$I764&lt;&gt;SottocategorieUscite[[#Headers],[Business Uscite]],$I764&lt;&gt;SottocategorieUscite[[#Headers],[Banca]]),"","$ -")</f>
        <v/>
      </c>
      <c r="N764" s="59" t="str">
        <f>IF(OR(Data!$I764=SottocategorieEntrate[[#Headers],[Business Entrate]],Data!$I764=SottocategorieEntrate[[#Headers],[Varie Entrate]]),"$ -","")</f>
        <v/>
      </c>
      <c r="O764" s="59" t="str">
        <f>IF(OR(Data!$I764=SottocategorieEntrate[[#Headers],[Real Estate]],SottocategorieEntrate[[#Headers],[Other]]),"$ -","")</f>
        <v/>
      </c>
      <c r="P764" s="59" t="str">
        <f>IF(OR($I764&lt;&gt;SottocategorieEntrate[[#Headers],[Business Entrate]],$I764&lt;&gt;SottocategorieEntrate[[#Headers],[Varie Entrate]],$I764&lt;&gt;SottocategorieEntrate[[#Headers],[Real Estate]],$I764&lt;&gt;SottocategorieEntrate[[#Headers],[Other]]),"","$ -")</f>
        <v/>
      </c>
      <c r="Q764" s="59" t="str">
        <f>IF(Dati[[#This Row],[Categoria]]="Prelievo","€ -","")</f>
        <v/>
      </c>
      <c r="R764" s="244"/>
      <c r="S764" s="59" t="str">
        <f>IF(Dati[[#This Row],[Categoria]]="Savings",0,"")</f>
        <v/>
      </c>
      <c r="T764" s="59"/>
      <c r="U764" s="59"/>
      <c r="V764" s="59"/>
      <c r="W764" s="59"/>
      <c r="X764" s="59"/>
      <c r="Y764" s="59"/>
      <c r="Z764" s="59"/>
      <c r="AA764" s="59"/>
      <c r="AB764" s="59"/>
      <c r="AC764" s="59"/>
      <c r="AD764" s="59"/>
      <c r="AE764" s="59"/>
      <c r="AF764" s="59"/>
      <c r="AG764" s="59"/>
      <c r="AH764" s="59"/>
      <c r="AI764" s="59" t="str">
        <f>IF(SUM(Dati[[#This Row],[Inv. Business]:[Inv. Cryptocurrency]])=0," ",SUM(Dati[[#This Row],[Inv. Business]:[Inv. Cryptocurrency]]))</f>
        <v xml:space="preserve"> </v>
      </c>
      <c r="AJ764" s="59"/>
      <c r="AK764" s="59"/>
      <c r="AL764" s="59"/>
      <c r="AM764" s="59"/>
    </row>
    <row r="765" spans="2:39" x14ac:dyDescent="0.35">
      <c r="B765" s="237">
        <f t="shared" si="38"/>
        <v>745</v>
      </c>
      <c r="C765" s="49">
        <f t="shared" si="35"/>
        <v>45494</v>
      </c>
      <c r="D765" s="29">
        <f>DAY(Dati[[#This Row],[Data]])</f>
        <v>21</v>
      </c>
      <c r="E765" s="29" t="str">
        <f>IF(DAY(Data!$C$21:$C$1327)&gt;0,TEXT(Data!$C$21:$C$1327, "mmmm"),"")</f>
        <v>luglio</v>
      </c>
      <c r="F765" s="29" t="str">
        <f>IF(DAY(Data!$C$21:$C$1327)&gt;0,TEXT(Data!$C$21:$C$1327, "aaaa"),"")</f>
        <v>2024</v>
      </c>
      <c r="I765" t="str">
        <f>IF(OR(H765=$B$5,H765=$B$6,H765=$B$7,H765=$B$8,H765=$B$9,H765=$B$10,H765=$B$11,H765=$B$12,H765=$B$13,H765=$B$14),SottocategorieUscite[[#Headers],[Fuori Casa]],IF(OR(H765=$C$5,H765=$C$6,H765=$C$7,H765=$C$8,H765=$C$9,H765=$C$10,H765=$C$11,H765=$C$12,H765=$C$13,H765=$C$14),SottocategorieUscite[[#Headers],[Varie Uscite]],IF(OR(H765=$D$5,H765=$D$6,H765=$D$7,H765=$D$8,H765=$D$9,H765=$D$10,H765=$D$11,H765=$D$12,H765=$D$13,H765=$D$14),SottocategorieUscite[[#Headers],[Personali]],IF(OR(H765=$E$5,H765=$E$6,H765=$E$7,H765=$E$8,H765=$E$9,H765=$E$10,H765=$E$11,H765=$E$12,H765=$E$13,H765=$E$14),SottocategorieUscite[[#Headers],[Lavoro]],IF(OR(H765=$F$5,H765=$F$6,H765=$F$7,H765=$F$8,H765=$F$9,H765=$F$10,H765=$F$11,H765=$F$12,H765=$F$13,H765=$F$14),SottocategorieUscite[[#Headers],[Casa]],IF(OR(H765=$G$5,H765=$G$6,H765=$G$7,H765=$G$8,H765=$G$9,H765=$G$10,H765=$G$11,H765=$G$12,H765=$G$13,H765=$G$14),SottocategorieUscite[[#Headers],[Utenze]],IF(OR(H765=$H$5,H765=$H$6,H765=$H$7,H765=$H$8,H765=$H$9,H765=$H$10,H765=$H$11,H765=$H$12,H765=$H$13,H765=$H$14),SottocategorieUscite[[#Headers],[Business Uscite]],IF(OR(H765=$I$5,H765=$I$6,H765=$I$7,H765=$I$8,H765=$I$9,H765=$I$10,H765=$I$11,H765=$I$12,H765=$I$13,H765=$I$14),SottocategorieUscite[[#Headers],[Banca]],IF(OR(H765=K$5,H765=K$6,H765=K$7,H765=K$8,H765=K$9,H765=K$10,H765=K$11,H765=K$12,H765=K$13,H765=K$14),SottocategorieEntrate[[#Headers],[Business Entrate]],IF(OR(H765=L$5,H765=L$6,H765=L$7,H765=L$8,H765=L$9,H765=L$10,H765=L$11,H765=L$12,H765=L$13,H765=L$14),SottocategorieEntrate[[#Headers],[Varie Entrate]],IF(OR(H765=M$5,H765=M$6,H765=M$7,H765=M$8,H765=M$9,H765=M$10,H765=M$11,H765=M$12,H765=M$13,H765=M$14),SottocategorieEntrate[[#Headers],[Real Estate]],IF(OR(H765=N$5,H765=N$6,H765=N$7,H765=N$8,H765=N$9,H765=N$10,H765=N$11,H765=N$12,H765=N$13,H765=N$14),SottocategorieEntrate[[#Headers],[Other]],""))))))))))))</f>
        <v/>
      </c>
      <c r="J765" t="str">
        <f>IF(OR(Dati[[#This Row],[Categoria]]="Bollette",Dati[[#This Row],[Categoria]]="Conto &amp; Carte BNL",Dati[[#This Row],[Categoria]]="Prelievo",Dati[[#This Row],[Categoria]]="Affitto",Dati[[#This Row],[Categoria]]="BNL(Interessi Creditori)"),"Carta",IF(Dati[[#This Row],[Categoria]]&lt;&gt;0,"Cash",""))</f>
        <v/>
      </c>
      <c r="K765" s="59" t="str">
        <f>IF(OR(Data!$I765=SottocategorieUscite[[#Headers],[Fuori Casa]],Data!$I765=SottocategorieUscite[[#Headers],[Varie Uscite]],Data!$I765=SottocategorieUscite[[#Headers],[Personali]],Data!$I765=SottocategorieUscite[[#Headers],[Lavoro]]),"$ -","")</f>
        <v/>
      </c>
      <c r="L765" s="59" t="str">
        <f>IF(OR(Data!$I765=SottocategorieUscite[[#Headers],[Casa]],Data!$I765=SottocategorieUscite[[#Headers],[Utenze]],Data!$I765=SottocategorieUscite[[#Headers],[Business Uscite]],Data!$I765=SottocategorieUscite[[#Headers],[Banca]]),"$ -","")</f>
        <v/>
      </c>
      <c r="M765" s="59" t="str">
        <f>IF(OR($I765&lt;&gt;SottocategorieUscite[[#Headers],[Fuori Casa]],$I765&lt;&gt;SottocategorieUscite[[#Headers],[Varie Uscite]],$I765&lt;&gt;SottocategorieUscite[[#Headers],[Personali]],$I765&lt;&gt;SottocategorieUscite[[#Headers],[Lavoro]],$I765&lt;&gt;SottocategorieUscite[[#Headers],[Casa]],$I765&lt;&gt;SottocategorieUscite[[#Headers],[Utenze]],$I765&lt;&gt;SottocategorieUscite[[#Headers],[Business Uscite]],$I765&lt;&gt;SottocategorieUscite[[#Headers],[Banca]]),"","$ -")</f>
        <v/>
      </c>
      <c r="N765" s="59" t="str">
        <f>IF(OR(Data!$I765=SottocategorieEntrate[[#Headers],[Business Entrate]],Data!$I765=SottocategorieEntrate[[#Headers],[Varie Entrate]]),"$ -","")</f>
        <v/>
      </c>
      <c r="O765" s="59" t="str">
        <f>IF(OR(Data!$I765=SottocategorieEntrate[[#Headers],[Real Estate]],SottocategorieEntrate[[#Headers],[Other]]),"$ -","")</f>
        <v/>
      </c>
      <c r="P765" s="59" t="str">
        <f>IF(OR($I765&lt;&gt;SottocategorieEntrate[[#Headers],[Business Entrate]],$I765&lt;&gt;SottocategorieEntrate[[#Headers],[Varie Entrate]],$I765&lt;&gt;SottocategorieEntrate[[#Headers],[Real Estate]],$I765&lt;&gt;SottocategorieEntrate[[#Headers],[Other]]),"","$ -")</f>
        <v/>
      </c>
      <c r="Q765" s="59" t="str">
        <f>IF(Dati[[#This Row],[Categoria]]="Prelievo","€ -","")</f>
        <v/>
      </c>
      <c r="R765" s="244"/>
      <c r="S765" s="59" t="str">
        <f>IF(Dati[[#This Row],[Categoria]]="Savings",0,"")</f>
        <v/>
      </c>
      <c r="T765" s="59"/>
      <c r="U765" s="59"/>
      <c r="V765" s="59"/>
      <c r="W765" s="59"/>
      <c r="X765" s="59"/>
      <c r="Y765" s="59"/>
      <c r="Z765" s="59"/>
      <c r="AA765" s="59"/>
      <c r="AB765" s="59"/>
      <c r="AC765" s="59"/>
      <c r="AD765" s="59"/>
      <c r="AE765" s="59"/>
      <c r="AF765" s="59"/>
      <c r="AG765" s="59"/>
      <c r="AH765" s="59"/>
      <c r="AI765" s="59" t="str">
        <f>IF(SUM(Dati[[#This Row],[Inv. Business]:[Inv. Cryptocurrency]])=0," ",SUM(Dati[[#This Row],[Inv. Business]:[Inv. Cryptocurrency]]))</f>
        <v xml:space="preserve"> </v>
      </c>
      <c r="AJ765" s="59"/>
      <c r="AK765" s="59"/>
      <c r="AL765" s="59"/>
      <c r="AM765" s="59"/>
    </row>
    <row r="766" spans="2:39" x14ac:dyDescent="0.35">
      <c r="B766" s="237">
        <f t="shared" si="38"/>
        <v>746</v>
      </c>
      <c r="C766" s="49">
        <f t="shared" si="35"/>
        <v>45495</v>
      </c>
      <c r="D766" s="29">
        <f>DAY(Dati[[#This Row],[Data]])</f>
        <v>22</v>
      </c>
      <c r="E766" s="29" t="str">
        <f>IF(DAY(Data!$C$21:$C$1327)&gt;0,TEXT(Data!$C$21:$C$1327, "mmmm"),"")</f>
        <v>luglio</v>
      </c>
      <c r="F766" s="29" t="str">
        <f>IF(DAY(Data!$C$21:$C$1327)&gt;0,TEXT(Data!$C$21:$C$1327, "aaaa"),"")</f>
        <v>2024</v>
      </c>
      <c r="I766" t="str">
        <f>IF(OR(H766=$B$5,H766=$B$6,H766=$B$7,H766=$B$8,H766=$B$9,H766=$B$10,H766=$B$11,H766=$B$12,H766=$B$13,H766=$B$14),SottocategorieUscite[[#Headers],[Fuori Casa]],IF(OR(H766=$C$5,H766=$C$6,H766=$C$7,H766=$C$8,H766=$C$9,H766=$C$10,H766=$C$11,H766=$C$12,H766=$C$13,H766=$C$14),SottocategorieUscite[[#Headers],[Varie Uscite]],IF(OR(H766=$D$5,H766=$D$6,H766=$D$7,H766=$D$8,H766=$D$9,H766=$D$10,H766=$D$11,H766=$D$12,H766=$D$13,H766=$D$14),SottocategorieUscite[[#Headers],[Personali]],IF(OR(H766=$E$5,H766=$E$6,H766=$E$7,H766=$E$8,H766=$E$9,H766=$E$10,H766=$E$11,H766=$E$12,H766=$E$13,H766=$E$14),SottocategorieUscite[[#Headers],[Lavoro]],IF(OR(H766=$F$5,H766=$F$6,H766=$F$7,H766=$F$8,H766=$F$9,H766=$F$10,H766=$F$11,H766=$F$12,H766=$F$13,H766=$F$14),SottocategorieUscite[[#Headers],[Casa]],IF(OR(H766=$G$5,H766=$G$6,H766=$G$7,H766=$G$8,H766=$G$9,H766=$G$10,H766=$G$11,H766=$G$12,H766=$G$13,H766=$G$14),SottocategorieUscite[[#Headers],[Utenze]],IF(OR(H766=$H$5,H766=$H$6,H766=$H$7,H766=$H$8,H766=$H$9,H766=$H$10,H766=$H$11,H766=$H$12,H766=$H$13,H766=$H$14),SottocategorieUscite[[#Headers],[Business Uscite]],IF(OR(H766=$I$5,H766=$I$6,H766=$I$7,H766=$I$8,H766=$I$9,H766=$I$10,H766=$I$11,H766=$I$12,H766=$I$13,H766=$I$14),SottocategorieUscite[[#Headers],[Banca]],IF(OR(H766=K$5,H766=K$6,H766=K$7,H766=K$8,H766=K$9,H766=K$10,H766=K$11,H766=K$12,H766=K$13,H766=K$14),SottocategorieEntrate[[#Headers],[Business Entrate]],IF(OR(H766=L$5,H766=L$6,H766=L$7,H766=L$8,H766=L$9,H766=L$10,H766=L$11,H766=L$12,H766=L$13,H766=L$14),SottocategorieEntrate[[#Headers],[Varie Entrate]],IF(OR(H766=M$5,H766=M$6,H766=M$7,H766=M$8,H766=M$9,H766=M$10,H766=M$11,H766=M$12,H766=M$13,H766=M$14),SottocategorieEntrate[[#Headers],[Real Estate]],IF(OR(H766=N$5,H766=N$6,H766=N$7,H766=N$8,H766=N$9,H766=N$10,H766=N$11,H766=N$12,H766=N$13,H766=N$14),SottocategorieEntrate[[#Headers],[Other]],""))))))))))))</f>
        <v/>
      </c>
      <c r="J766" t="str">
        <f>IF(OR(Dati[[#This Row],[Categoria]]="Bollette",Dati[[#This Row],[Categoria]]="Conto &amp; Carte BNL",Dati[[#This Row],[Categoria]]="Prelievo",Dati[[#This Row],[Categoria]]="Affitto",Dati[[#This Row],[Categoria]]="BNL(Interessi Creditori)"),"Carta",IF(Dati[[#This Row],[Categoria]]&lt;&gt;0,"Cash",""))</f>
        <v/>
      </c>
      <c r="K766" s="59" t="str">
        <f>IF(OR(Data!$I766=SottocategorieUscite[[#Headers],[Fuori Casa]],Data!$I766=SottocategorieUscite[[#Headers],[Varie Uscite]],Data!$I766=SottocategorieUscite[[#Headers],[Personali]],Data!$I766=SottocategorieUscite[[#Headers],[Lavoro]]),"$ -","")</f>
        <v/>
      </c>
      <c r="L766" s="59" t="str">
        <f>IF(OR(Data!$I766=SottocategorieUscite[[#Headers],[Casa]],Data!$I766=SottocategorieUscite[[#Headers],[Utenze]],Data!$I766=SottocategorieUscite[[#Headers],[Business Uscite]],Data!$I766=SottocategorieUscite[[#Headers],[Banca]]),"$ -","")</f>
        <v/>
      </c>
      <c r="M766" s="59" t="str">
        <f>IF(OR($I766&lt;&gt;SottocategorieUscite[[#Headers],[Fuori Casa]],$I766&lt;&gt;SottocategorieUscite[[#Headers],[Varie Uscite]],$I766&lt;&gt;SottocategorieUscite[[#Headers],[Personali]],$I766&lt;&gt;SottocategorieUscite[[#Headers],[Lavoro]],$I766&lt;&gt;SottocategorieUscite[[#Headers],[Casa]],$I766&lt;&gt;SottocategorieUscite[[#Headers],[Utenze]],$I766&lt;&gt;SottocategorieUscite[[#Headers],[Business Uscite]],$I766&lt;&gt;SottocategorieUscite[[#Headers],[Banca]]),"","$ -")</f>
        <v/>
      </c>
      <c r="N766" s="59" t="str">
        <f>IF(OR(Data!$I766=SottocategorieEntrate[[#Headers],[Business Entrate]],Data!$I766=SottocategorieEntrate[[#Headers],[Varie Entrate]]),"$ -","")</f>
        <v/>
      </c>
      <c r="O766" s="59" t="str">
        <f>IF(OR(Data!$I766=SottocategorieEntrate[[#Headers],[Real Estate]],SottocategorieEntrate[[#Headers],[Other]]),"$ -","")</f>
        <v/>
      </c>
      <c r="P766" s="59" t="str">
        <f>IF(OR($I766&lt;&gt;SottocategorieEntrate[[#Headers],[Business Entrate]],$I766&lt;&gt;SottocategorieEntrate[[#Headers],[Varie Entrate]],$I766&lt;&gt;SottocategorieEntrate[[#Headers],[Real Estate]],$I766&lt;&gt;SottocategorieEntrate[[#Headers],[Other]]),"","$ -")</f>
        <v/>
      </c>
      <c r="Q766" s="59" t="str">
        <f>IF(Dati[[#This Row],[Categoria]]="Prelievo","€ -","")</f>
        <v/>
      </c>
      <c r="R766" s="244"/>
      <c r="S766" s="59" t="str">
        <f>IF(Dati[[#This Row],[Categoria]]="Savings",0,"")</f>
        <v/>
      </c>
      <c r="T766" s="59"/>
      <c r="U766" s="59"/>
      <c r="V766" s="59"/>
      <c r="W766" s="59"/>
      <c r="X766" s="59"/>
      <c r="Y766" s="59"/>
      <c r="Z766" s="59"/>
      <c r="AA766" s="59"/>
      <c r="AB766" s="59"/>
      <c r="AC766" s="59"/>
      <c r="AD766" s="59"/>
      <c r="AE766" s="59"/>
      <c r="AF766" s="59"/>
      <c r="AG766" s="59"/>
      <c r="AH766" s="59"/>
      <c r="AI766" s="59" t="str">
        <f>IF(SUM(Dati[[#This Row],[Inv. Business]:[Inv. Cryptocurrency]])=0," ",SUM(Dati[[#This Row],[Inv. Business]:[Inv. Cryptocurrency]]))</f>
        <v xml:space="preserve"> </v>
      </c>
      <c r="AJ766" s="59"/>
      <c r="AK766" s="59"/>
      <c r="AL766" s="59"/>
      <c r="AM766" s="59"/>
    </row>
    <row r="767" spans="2:39" x14ac:dyDescent="0.35">
      <c r="B767" s="237">
        <f t="shared" si="38"/>
        <v>747</v>
      </c>
      <c r="C767" s="49">
        <f t="shared" si="35"/>
        <v>45496</v>
      </c>
      <c r="D767" s="29">
        <f>DAY(Dati[[#This Row],[Data]])</f>
        <v>23</v>
      </c>
      <c r="E767" s="29" t="str">
        <f>IF(DAY(Data!$C$21:$C$1327)&gt;0,TEXT(Data!$C$21:$C$1327, "mmmm"),"")</f>
        <v>luglio</v>
      </c>
      <c r="F767" s="29" t="str">
        <f>IF(DAY(Data!$C$21:$C$1327)&gt;0,TEXT(Data!$C$21:$C$1327, "aaaa"),"")</f>
        <v>2024</v>
      </c>
      <c r="I767" t="str">
        <f>IF(OR(H767=$B$5,H767=$B$6,H767=$B$7,H767=$B$8,H767=$B$9,H767=$B$10,H767=$B$11,H767=$B$12,H767=$B$13,H767=$B$14),SottocategorieUscite[[#Headers],[Fuori Casa]],IF(OR(H767=$C$5,H767=$C$6,H767=$C$7,H767=$C$8,H767=$C$9,H767=$C$10,H767=$C$11,H767=$C$12,H767=$C$13,H767=$C$14),SottocategorieUscite[[#Headers],[Varie Uscite]],IF(OR(H767=$D$5,H767=$D$6,H767=$D$7,H767=$D$8,H767=$D$9,H767=$D$10,H767=$D$11,H767=$D$12,H767=$D$13,H767=$D$14),SottocategorieUscite[[#Headers],[Personali]],IF(OR(H767=$E$5,H767=$E$6,H767=$E$7,H767=$E$8,H767=$E$9,H767=$E$10,H767=$E$11,H767=$E$12,H767=$E$13,H767=$E$14),SottocategorieUscite[[#Headers],[Lavoro]],IF(OR(H767=$F$5,H767=$F$6,H767=$F$7,H767=$F$8,H767=$F$9,H767=$F$10,H767=$F$11,H767=$F$12,H767=$F$13,H767=$F$14),SottocategorieUscite[[#Headers],[Casa]],IF(OR(H767=$G$5,H767=$G$6,H767=$G$7,H767=$G$8,H767=$G$9,H767=$G$10,H767=$G$11,H767=$G$12,H767=$G$13,H767=$G$14),SottocategorieUscite[[#Headers],[Utenze]],IF(OR(H767=$H$5,H767=$H$6,H767=$H$7,H767=$H$8,H767=$H$9,H767=$H$10,H767=$H$11,H767=$H$12,H767=$H$13,H767=$H$14),SottocategorieUscite[[#Headers],[Business Uscite]],IF(OR(H767=$I$5,H767=$I$6,H767=$I$7,H767=$I$8,H767=$I$9,H767=$I$10,H767=$I$11,H767=$I$12,H767=$I$13,H767=$I$14),SottocategorieUscite[[#Headers],[Banca]],IF(OR(H767=K$5,H767=K$6,H767=K$7,H767=K$8,H767=K$9,H767=K$10,H767=K$11,H767=K$12,H767=K$13,H767=K$14),SottocategorieEntrate[[#Headers],[Business Entrate]],IF(OR(H767=L$5,H767=L$6,H767=L$7,H767=L$8,H767=L$9,H767=L$10,H767=L$11,H767=L$12,H767=L$13,H767=L$14),SottocategorieEntrate[[#Headers],[Varie Entrate]],IF(OR(H767=M$5,H767=M$6,H767=M$7,H767=M$8,H767=M$9,H767=M$10,H767=M$11,H767=M$12,H767=M$13,H767=M$14),SottocategorieEntrate[[#Headers],[Real Estate]],IF(OR(H767=N$5,H767=N$6,H767=N$7,H767=N$8,H767=N$9,H767=N$10,H767=N$11,H767=N$12,H767=N$13,H767=N$14),SottocategorieEntrate[[#Headers],[Other]],""))))))))))))</f>
        <v/>
      </c>
      <c r="J767" t="str">
        <f>IF(OR(Dati[[#This Row],[Categoria]]="Bollette",Dati[[#This Row],[Categoria]]="Conto &amp; Carte BNL",Dati[[#This Row],[Categoria]]="Prelievo",Dati[[#This Row],[Categoria]]="Affitto",Dati[[#This Row],[Categoria]]="BNL(Interessi Creditori)"),"Carta",IF(Dati[[#This Row],[Categoria]]&lt;&gt;0,"Cash",""))</f>
        <v/>
      </c>
      <c r="K767" s="59" t="str">
        <f>IF(OR(Data!$I767=SottocategorieUscite[[#Headers],[Fuori Casa]],Data!$I767=SottocategorieUscite[[#Headers],[Varie Uscite]],Data!$I767=SottocategorieUscite[[#Headers],[Personali]],Data!$I767=SottocategorieUscite[[#Headers],[Lavoro]]),"$ -","")</f>
        <v/>
      </c>
      <c r="L767" s="59" t="str">
        <f>IF(OR(Data!$I767=SottocategorieUscite[[#Headers],[Casa]],Data!$I767=SottocategorieUscite[[#Headers],[Utenze]],Data!$I767=SottocategorieUscite[[#Headers],[Business Uscite]],Data!$I767=SottocategorieUscite[[#Headers],[Banca]]),"$ -","")</f>
        <v/>
      </c>
      <c r="M767" s="59" t="str">
        <f>IF(OR($I767&lt;&gt;SottocategorieUscite[[#Headers],[Fuori Casa]],$I767&lt;&gt;SottocategorieUscite[[#Headers],[Varie Uscite]],$I767&lt;&gt;SottocategorieUscite[[#Headers],[Personali]],$I767&lt;&gt;SottocategorieUscite[[#Headers],[Lavoro]],$I767&lt;&gt;SottocategorieUscite[[#Headers],[Casa]],$I767&lt;&gt;SottocategorieUscite[[#Headers],[Utenze]],$I767&lt;&gt;SottocategorieUscite[[#Headers],[Business Uscite]],$I767&lt;&gt;SottocategorieUscite[[#Headers],[Banca]]),"","$ -")</f>
        <v/>
      </c>
      <c r="N767" s="59" t="str">
        <f>IF(OR(Data!$I767=SottocategorieEntrate[[#Headers],[Business Entrate]],Data!$I767=SottocategorieEntrate[[#Headers],[Varie Entrate]]),"$ -","")</f>
        <v/>
      </c>
      <c r="O767" s="59" t="str">
        <f>IF(OR(Data!$I767=SottocategorieEntrate[[#Headers],[Real Estate]],SottocategorieEntrate[[#Headers],[Other]]),"$ -","")</f>
        <v/>
      </c>
      <c r="P767" s="59" t="str">
        <f>IF(OR($I767&lt;&gt;SottocategorieEntrate[[#Headers],[Business Entrate]],$I767&lt;&gt;SottocategorieEntrate[[#Headers],[Varie Entrate]],$I767&lt;&gt;SottocategorieEntrate[[#Headers],[Real Estate]],$I767&lt;&gt;SottocategorieEntrate[[#Headers],[Other]]),"","$ -")</f>
        <v/>
      </c>
      <c r="Q767" s="59" t="str">
        <f>IF(Dati[[#This Row],[Categoria]]="Prelievo","€ -","")</f>
        <v/>
      </c>
      <c r="R767" s="244"/>
      <c r="S767" s="59" t="str">
        <f>IF(Dati[[#This Row],[Categoria]]="Savings",0,"")</f>
        <v/>
      </c>
      <c r="T767" s="59"/>
      <c r="U767" s="59"/>
      <c r="V767" s="59"/>
      <c r="W767" s="59"/>
      <c r="X767" s="59"/>
      <c r="Y767" s="59"/>
      <c r="Z767" s="59"/>
      <c r="AA767" s="59"/>
      <c r="AB767" s="59"/>
      <c r="AC767" s="59"/>
      <c r="AD767" s="59"/>
      <c r="AE767" s="59"/>
      <c r="AF767" s="59"/>
      <c r="AG767" s="59"/>
      <c r="AH767" s="59"/>
      <c r="AI767" s="59" t="str">
        <f>IF(SUM(Dati[[#This Row],[Inv. Business]:[Inv. Cryptocurrency]])=0," ",SUM(Dati[[#This Row],[Inv. Business]:[Inv. Cryptocurrency]]))</f>
        <v xml:space="preserve"> </v>
      </c>
      <c r="AJ767" s="59"/>
      <c r="AK767" s="59"/>
      <c r="AL767" s="59"/>
      <c r="AM767" s="59"/>
    </row>
    <row r="768" spans="2:39" x14ac:dyDescent="0.35">
      <c r="B768" s="237">
        <f t="shared" si="38"/>
        <v>748</v>
      </c>
      <c r="C768" s="49">
        <f t="shared" si="35"/>
        <v>45497</v>
      </c>
      <c r="D768" s="29">
        <f>DAY(Dati[[#This Row],[Data]])</f>
        <v>24</v>
      </c>
      <c r="E768" s="29" t="str">
        <f>IF(DAY(Data!$C$21:$C$1327)&gt;0,TEXT(Data!$C$21:$C$1327, "mmmm"),"")</f>
        <v>luglio</v>
      </c>
      <c r="F768" s="29" t="str">
        <f>IF(DAY(Data!$C$21:$C$1327)&gt;0,TEXT(Data!$C$21:$C$1327, "aaaa"),"")</f>
        <v>2024</v>
      </c>
      <c r="I768" t="str">
        <f>IF(OR(H768=$B$5,H768=$B$6,H768=$B$7,H768=$B$8,H768=$B$9,H768=$B$10,H768=$B$11,H768=$B$12,H768=$B$13,H768=$B$14),SottocategorieUscite[[#Headers],[Fuori Casa]],IF(OR(H768=$C$5,H768=$C$6,H768=$C$7,H768=$C$8,H768=$C$9,H768=$C$10,H768=$C$11,H768=$C$12,H768=$C$13,H768=$C$14),SottocategorieUscite[[#Headers],[Varie Uscite]],IF(OR(H768=$D$5,H768=$D$6,H768=$D$7,H768=$D$8,H768=$D$9,H768=$D$10,H768=$D$11,H768=$D$12,H768=$D$13,H768=$D$14),SottocategorieUscite[[#Headers],[Personali]],IF(OR(H768=$E$5,H768=$E$6,H768=$E$7,H768=$E$8,H768=$E$9,H768=$E$10,H768=$E$11,H768=$E$12,H768=$E$13,H768=$E$14),SottocategorieUscite[[#Headers],[Lavoro]],IF(OR(H768=$F$5,H768=$F$6,H768=$F$7,H768=$F$8,H768=$F$9,H768=$F$10,H768=$F$11,H768=$F$12,H768=$F$13,H768=$F$14),SottocategorieUscite[[#Headers],[Casa]],IF(OR(H768=$G$5,H768=$G$6,H768=$G$7,H768=$G$8,H768=$G$9,H768=$G$10,H768=$G$11,H768=$G$12,H768=$G$13,H768=$G$14),SottocategorieUscite[[#Headers],[Utenze]],IF(OR(H768=$H$5,H768=$H$6,H768=$H$7,H768=$H$8,H768=$H$9,H768=$H$10,H768=$H$11,H768=$H$12,H768=$H$13,H768=$H$14),SottocategorieUscite[[#Headers],[Business Uscite]],IF(OR(H768=$I$5,H768=$I$6,H768=$I$7,H768=$I$8,H768=$I$9,H768=$I$10,H768=$I$11,H768=$I$12,H768=$I$13,H768=$I$14),SottocategorieUscite[[#Headers],[Banca]],IF(OR(H768=K$5,H768=K$6,H768=K$7,H768=K$8,H768=K$9,H768=K$10,H768=K$11,H768=K$12,H768=K$13,H768=K$14),SottocategorieEntrate[[#Headers],[Business Entrate]],IF(OR(H768=L$5,H768=L$6,H768=L$7,H768=L$8,H768=L$9,H768=L$10,H768=L$11,H768=L$12,H768=L$13,H768=L$14),SottocategorieEntrate[[#Headers],[Varie Entrate]],IF(OR(H768=M$5,H768=M$6,H768=M$7,H768=M$8,H768=M$9,H768=M$10,H768=M$11,H768=M$12,H768=M$13,H768=M$14),SottocategorieEntrate[[#Headers],[Real Estate]],IF(OR(H768=N$5,H768=N$6,H768=N$7,H768=N$8,H768=N$9,H768=N$10,H768=N$11,H768=N$12,H768=N$13,H768=N$14),SottocategorieEntrate[[#Headers],[Other]],""))))))))))))</f>
        <v/>
      </c>
      <c r="J768" t="str">
        <f>IF(OR(Dati[[#This Row],[Categoria]]="Bollette",Dati[[#This Row],[Categoria]]="Conto &amp; Carte BNL",Dati[[#This Row],[Categoria]]="Prelievo",Dati[[#This Row],[Categoria]]="Affitto",Dati[[#This Row],[Categoria]]="BNL(Interessi Creditori)"),"Carta",IF(Dati[[#This Row],[Categoria]]&lt;&gt;0,"Cash",""))</f>
        <v/>
      </c>
      <c r="K768" s="59" t="str">
        <f>IF(OR(Data!$I768=SottocategorieUscite[[#Headers],[Fuori Casa]],Data!$I768=SottocategorieUscite[[#Headers],[Varie Uscite]],Data!$I768=SottocategorieUscite[[#Headers],[Personali]],Data!$I768=SottocategorieUscite[[#Headers],[Lavoro]]),"$ -","")</f>
        <v/>
      </c>
      <c r="L768" s="59" t="str">
        <f>IF(OR(Data!$I768=SottocategorieUscite[[#Headers],[Casa]],Data!$I768=SottocategorieUscite[[#Headers],[Utenze]],Data!$I768=SottocategorieUscite[[#Headers],[Business Uscite]],Data!$I768=SottocategorieUscite[[#Headers],[Banca]]),"$ -","")</f>
        <v/>
      </c>
      <c r="M768" s="59" t="str">
        <f>IF(OR($I768&lt;&gt;SottocategorieUscite[[#Headers],[Fuori Casa]],$I768&lt;&gt;SottocategorieUscite[[#Headers],[Varie Uscite]],$I768&lt;&gt;SottocategorieUscite[[#Headers],[Personali]],$I768&lt;&gt;SottocategorieUscite[[#Headers],[Lavoro]],$I768&lt;&gt;SottocategorieUscite[[#Headers],[Casa]],$I768&lt;&gt;SottocategorieUscite[[#Headers],[Utenze]],$I768&lt;&gt;SottocategorieUscite[[#Headers],[Business Uscite]],$I768&lt;&gt;SottocategorieUscite[[#Headers],[Banca]]),"","$ -")</f>
        <v/>
      </c>
      <c r="N768" s="59" t="str">
        <f>IF(OR(Data!$I768=SottocategorieEntrate[[#Headers],[Business Entrate]],Data!$I768=SottocategorieEntrate[[#Headers],[Varie Entrate]]),"$ -","")</f>
        <v/>
      </c>
      <c r="O768" s="59" t="str">
        <f>IF(OR(Data!$I768=SottocategorieEntrate[[#Headers],[Real Estate]],SottocategorieEntrate[[#Headers],[Other]]),"$ -","")</f>
        <v/>
      </c>
      <c r="P768" s="59" t="str">
        <f>IF(OR($I768&lt;&gt;SottocategorieEntrate[[#Headers],[Business Entrate]],$I768&lt;&gt;SottocategorieEntrate[[#Headers],[Varie Entrate]],$I768&lt;&gt;SottocategorieEntrate[[#Headers],[Real Estate]],$I768&lt;&gt;SottocategorieEntrate[[#Headers],[Other]]),"","$ -")</f>
        <v/>
      </c>
      <c r="Q768" s="59" t="str">
        <f>IF(Dati[[#This Row],[Categoria]]="Prelievo","€ -","")</f>
        <v/>
      </c>
      <c r="R768" s="244"/>
      <c r="S768" s="59" t="str">
        <f>IF(Dati[[#This Row],[Categoria]]="Savings",0,"")</f>
        <v/>
      </c>
      <c r="T768" s="59"/>
      <c r="U768" s="59"/>
      <c r="V768" s="59"/>
      <c r="W768" s="59"/>
      <c r="X768" s="59"/>
      <c r="Y768" s="59"/>
      <c r="Z768" s="59"/>
      <c r="AA768" s="59"/>
      <c r="AB768" s="59"/>
      <c r="AC768" s="59"/>
      <c r="AD768" s="59"/>
      <c r="AE768" s="59"/>
      <c r="AF768" s="59"/>
      <c r="AG768" s="59"/>
      <c r="AH768" s="59"/>
      <c r="AI768" s="59" t="str">
        <f>IF(SUM(Dati[[#This Row],[Inv. Business]:[Inv. Cryptocurrency]])=0," ",SUM(Dati[[#This Row],[Inv. Business]:[Inv. Cryptocurrency]]))</f>
        <v xml:space="preserve"> </v>
      </c>
      <c r="AJ768" s="59"/>
      <c r="AK768" s="59"/>
      <c r="AL768" s="59"/>
      <c r="AM768" s="59"/>
    </row>
    <row r="769" spans="2:39" x14ac:dyDescent="0.35">
      <c r="B769" s="237">
        <f t="shared" si="38"/>
        <v>749</v>
      </c>
      <c r="C769" s="49">
        <f t="shared" si="35"/>
        <v>45498</v>
      </c>
      <c r="D769" s="29">
        <f>DAY(Dati[[#This Row],[Data]])</f>
        <v>25</v>
      </c>
      <c r="E769" s="29" t="str">
        <f>IF(DAY(Data!$C$21:$C$1327)&gt;0,TEXT(Data!$C$21:$C$1327, "mmmm"),"")</f>
        <v>luglio</v>
      </c>
      <c r="F769" s="29" t="str">
        <f>IF(DAY(Data!$C$21:$C$1327)&gt;0,TEXT(Data!$C$21:$C$1327, "aaaa"),"")</f>
        <v>2024</v>
      </c>
      <c r="I769" t="str">
        <f>IF(OR(H769=$B$5,H769=$B$6,H769=$B$7,H769=$B$8,H769=$B$9,H769=$B$10,H769=$B$11,H769=$B$12,H769=$B$13,H769=$B$14),SottocategorieUscite[[#Headers],[Fuori Casa]],IF(OR(H769=$C$5,H769=$C$6,H769=$C$7,H769=$C$8,H769=$C$9,H769=$C$10,H769=$C$11,H769=$C$12,H769=$C$13,H769=$C$14),SottocategorieUscite[[#Headers],[Varie Uscite]],IF(OR(H769=$D$5,H769=$D$6,H769=$D$7,H769=$D$8,H769=$D$9,H769=$D$10,H769=$D$11,H769=$D$12,H769=$D$13,H769=$D$14),SottocategorieUscite[[#Headers],[Personali]],IF(OR(H769=$E$5,H769=$E$6,H769=$E$7,H769=$E$8,H769=$E$9,H769=$E$10,H769=$E$11,H769=$E$12,H769=$E$13,H769=$E$14),SottocategorieUscite[[#Headers],[Lavoro]],IF(OR(H769=$F$5,H769=$F$6,H769=$F$7,H769=$F$8,H769=$F$9,H769=$F$10,H769=$F$11,H769=$F$12,H769=$F$13,H769=$F$14),SottocategorieUscite[[#Headers],[Casa]],IF(OR(H769=$G$5,H769=$G$6,H769=$G$7,H769=$G$8,H769=$G$9,H769=$G$10,H769=$G$11,H769=$G$12,H769=$G$13,H769=$G$14),SottocategorieUscite[[#Headers],[Utenze]],IF(OR(H769=$H$5,H769=$H$6,H769=$H$7,H769=$H$8,H769=$H$9,H769=$H$10,H769=$H$11,H769=$H$12,H769=$H$13,H769=$H$14),SottocategorieUscite[[#Headers],[Business Uscite]],IF(OR(H769=$I$5,H769=$I$6,H769=$I$7,H769=$I$8,H769=$I$9,H769=$I$10,H769=$I$11,H769=$I$12,H769=$I$13,H769=$I$14),SottocategorieUscite[[#Headers],[Banca]],IF(OR(H769=K$5,H769=K$6,H769=K$7,H769=K$8,H769=K$9,H769=K$10,H769=K$11,H769=K$12,H769=K$13,H769=K$14),SottocategorieEntrate[[#Headers],[Business Entrate]],IF(OR(H769=L$5,H769=L$6,H769=L$7,H769=L$8,H769=L$9,H769=L$10,H769=L$11,H769=L$12,H769=L$13,H769=L$14),SottocategorieEntrate[[#Headers],[Varie Entrate]],IF(OR(H769=M$5,H769=M$6,H769=M$7,H769=M$8,H769=M$9,H769=M$10,H769=M$11,H769=M$12,H769=M$13,H769=M$14),SottocategorieEntrate[[#Headers],[Real Estate]],IF(OR(H769=N$5,H769=N$6,H769=N$7,H769=N$8,H769=N$9,H769=N$10,H769=N$11,H769=N$12,H769=N$13,H769=N$14),SottocategorieEntrate[[#Headers],[Other]],""))))))))))))</f>
        <v/>
      </c>
      <c r="J769" t="str">
        <f>IF(OR(Dati[[#This Row],[Categoria]]="Bollette",Dati[[#This Row],[Categoria]]="Conto &amp; Carte BNL",Dati[[#This Row],[Categoria]]="Prelievo",Dati[[#This Row],[Categoria]]="Affitto",Dati[[#This Row],[Categoria]]="BNL(Interessi Creditori)"),"Carta",IF(Dati[[#This Row],[Categoria]]&lt;&gt;0,"Cash",""))</f>
        <v/>
      </c>
      <c r="K769" s="59" t="str">
        <f>IF(OR(Data!$I769=SottocategorieUscite[[#Headers],[Fuori Casa]],Data!$I769=SottocategorieUscite[[#Headers],[Varie Uscite]],Data!$I769=SottocategorieUscite[[#Headers],[Personali]],Data!$I769=SottocategorieUscite[[#Headers],[Lavoro]]),"$ -","")</f>
        <v/>
      </c>
      <c r="L769" s="59" t="str">
        <f>IF(OR(Data!$I769=SottocategorieUscite[[#Headers],[Casa]],Data!$I769=SottocategorieUscite[[#Headers],[Utenze]],Data!$I769=SottocategorieUscite[[#Headers],[Business Uscite]],Data!$I769=SottocategorieUscite[[#Headers],[Banca]]),"$ -","")</f>
        <v/>
      </c>
      <c r="M769" s="59" t="str">
        <f>IF(OR($I769&lt;&gt;SottocategorieUscite[[#Headers],[Fuori Casa]],$I769&lt;&gt;SottocategorieUscite[[#Headers],[Varie Uscite]],$I769&lt;&gt;SottocategorieUscite[[#Headers],[Personali]],$I769&lt;&gt;SottocategorieUscite[[#Headers],[Lavoro]],$I769&lt;&gt;SottocategorieUscite[[#Headers],[Casa]],$I769&lt;&gt;SottocategorieUscite[[#Headers],[Utenze]],$I769&lt;&gt;SottocategorieUscite[[#Headers],[Business Uscite]],$I769&lt;&gt;SottocategorieUscite[[#Headers],[Banca]]),"","$ -")</f>
        <v/>
      </c>
      <c r="N769" s="59" t="str">
        <f>IF(OR(Data!$I769=SottocategorieEntrate[[#Headers],[Business Entrate]],Data!$I769=SottocategorieEntrate[[#Headers],[Varie Entrate]]),"$ -","")</f>
        <v/>
      </c>
      <c r="O769" s="59" t="str">
        <f>IF(OR(Data!$I769=SottocategorieEntrate[[#Headers],[Real Estate]],SottocategorieEntrate[[#Headers],[Other]]),"$ -","")</f>
        <v/>
      </c>
      <c r="P769" s="59" t="str">
        <f>IF(OR($I769&lt;&gt;SottocategorieEntrate[[#Headers],[Business Entrate]],$I769&lt;&gt;SottocategorieEntrate[[#Headers],[Varie Entrate]],$I769&lt;&gt;SottocategorieEntrate[[#Headers],[Real Estate]],$I769&lt;&gt;SottocategorieEntrate[[#Headers],[Other]]),"","$ -")</f>
        <v/>
      </c>
      <c r="Q769" s="59" t="str">
        <f>IF(Dati[[#This Row],[Categoria]]="Prelievo","€ -","")</f>
        <v/>
      </c>
      <c r="R769" s="244"/>
      <c r="S769" s="59" t="str">
        <f>IF(Dati[[#This Row],[Categoria]]="Savings",0,"")</f>
        <v/>
      </c>
      <c r="T769" s="59"/>
      <c r="U769" s="59"/>
      <c r="V769" s="59"/>
      <c r="W769" s="59"/>
      <c r="X769" s="59"/>
      <c r="Y769" s="59"/>
      <c r="Z769" s="59"/>
      <c r="AA769" s="59"/>
      <c r="AB769" s="59"/>
      <c r="AC769" s="59"/>
      <c r="AD769" s="59"/>
      <c r="AE769" s="59"/>
      <c r="AF769" s="59"/>
      <c r="AG769" s="59"/>
      <c r="AH769" s="59"/>
      <c r="AI769" s="59" t="str">
        <f>IF(SUM(Dati[[#This Row],[Inv. Business]:[Inv. Cryptocurrency]])=0," ",SUM(Dati[[#This Row],[Inv. Business]:[Inv. Cryptocurrency]]))</f>
        <v xml:space="preserve"> </v>
      </c>
      <c r="AJ769" s="59"/>
      <c r="AK769" s="59"/>
      <c r="AL769" s="59"/>
      <c r="AM769" s="59"/>
    </row>
    <row r="770" spans="2:39" x14ac:dyDescent="0.35">
      <c r="B770" s="237">
        <f t="shared" si="38"/>
        <v>750</v>
      </c>
      <c r="C770" s="49">
        <f t="shared" si="35"/>
        <v>45499</v>
      </c>
      <c r="D770" s="29">
        <f>DAY(Dati[[#This Row],[Data]])</f>
        <v>26</v>
      </c>
      <c r="E770" s="29" t="str">
        <f>IF(DAY(Data!$C$21:$C$1327)&gt;0,TEXT(Data!$C$21:$C$1327, "mmmm"),"")</f>
        <v>luglio</v>
      </c>
      <c r="F770" s="29" t="str">
        <f>IF(DAY(Data!$C$21:$C$1327)&gt;0,TEXT(Data!$C$21:$C$1327, "aaaa"),"")</f>
        <v>2024</v>
      </c>
      <c r="I770" t="str">
        <f>IF(OR(H770=$B$5,H770=$B$6,H770=$B$7,H770=$B$8,H770=$B$9,H770=$B$10,H770=$B$11,H770=$B$12,H770=$B$13,H770=$B$14),SottocategorieUscite[[#Headers],[Fuori Casa]],IF(OR(H770=$C$5,H770=$C$6,H770=$C$7,H770=$C$8,H770=$C$9,H770=$C$10,H770=$C$11,H770=$C$12,H770=$C$13,H770=$C$14),SottocategorieUscite[[#Headers],[Varie Uscite]],IF(OR(H770=$D$5,H770=$D$6,H770=$D$7,H770=$D$8,H770=$D$9,H770=$D$10,H770=$D$11,H770=$D$12,H770=$D$13,H770=$D$14),SottocategorieUscite[[#Headers],[Personali]],IF(OR(H770=$E$5,H770=$E$6,H770=$E$7,H770=$E$8,H770=$E$9,H770=$E$10,H770=$E$11,H770=$E$12,H770=$E$13,H770=$E$14),SottocategorieUscite[[#Headers],[Lavoro]],IF(OR(H770=$F$5,H770=$F$6,H770=$F$7,H770=$F$8,H770=$F$9,H770=$F$10,H770=$F$11,H770=$F$12,H770=$F$13,H770=$F$14),SottocategorieUscite[[#Headers],[Casa]],IF(OR(H770=$G$5,H770=$G$6,H770=$G$7,H770=$G$8,H770=$G$9,H770=$G$10,H770=$G$11,H770=$G$12,H770=$G$13,H770=$G$14),SottocategorieUscite[[#Headers],[Utenze]],IF(OR(H770=$H$5,H770=$H$6,H770=$H$7,H770=$H$8,H770=$H$9,H770=$H$10,H770=$H$11,H770=$H$12,H770=$H$13,H770=$H$14),SottocategorieUscite[[#Headers],[Business Uscite]],IF(OR(H770=$I$5,H770=$I$6,H770=$I$7,H770=$I$8,H770=$I$9,H770=$I$10,H770=$I$11,H770=$I$12,H770=$I$13,H770=$I$14),SottocategorieUscite[[#Headers],[Banca]],IF(OR(H770=K$5,H770=K$6,H770=K$7,H770=K$8,H770=K$9,H770=K$10,H770=K$11,H770=K$12,H770=K$13,H770=K$14),SottocategorieEntrate[[#Headers],[Business Entrate]],IF(OR(H770=L$5,H770=L$6,H770=L$7,H770=L$8,H770=L$9,H770=L$10,H770=L$11,H770=L$12,H770=L$13,H770=L$14),SottocategorieEntrate[[#Headers],[Varie Entrate]],IF(OR(H770=M$5,H770=M$6,H770=M$7,H770=M$8,H770=M$9,H770=M$10,H770=M$11,H770=M$12,H770=M$13,H770=M$14),SottocategorieEntrate[[#Headers],[Real Estate]],IF(OR(H770=N$5,H770=N$6,H770=N$7,H770=N$8,H770=N$9,H770=N$10,H770=N$11,H770=N$12,H770=N$13,H770=N$14),SottocategorieEntrate[[#Headers],[Other]],""))))))))))))</f>
        <v/>
      </c>
      <c r="J770" t="str">
        <f>IF(OR(Dati[[#This Row],[Categoria]]="Bollette",Dati[[#This Row],[Categoria]]="Conto &amp; Carte BNL",Dati[[#This Row],[Categoria]]="Prelievo",Dati[[#This Row],[Categoria]]="Affitto",Dati[[#This Row],[Categoria]]="BNL(Interessi Creditori)"),"Carta",IF(Dati[[#This Row],[Categoria]]&lt;&gt;0,"Cash",""))</f>
        <v/>
      </c>
      <c r="K770" s="59" t="str">
        <f>IF(OR(Data!$I770=SottocategorieUscite[[#Headers],[Fuori Casa]],Data!$I770=SottocategorieUscite[[#Headers],[Varie Uscite]],Data!$I770=SottocategorieUscite[[#Headers],[Personali]],Data!$I770=SottocategorieUscite[[#Headers],[Lavoro]]),"$ -","")</f>
        <v/>
      </c>
      <c r="L770" s="59" t="str">
        <f>IF(OR(Data!$I770=SottocategorieUscite[[#Headers],[Casa]],Data!$I770=SottocategorieUscite[[#Headers],[Utenze]],Data!$I770=SottocategorieUscite[[#Headers],[Business Uscite]],Data!$I770=SottocategorieUscite[[#Headers],[Banca]]),"$ -","")</f>
        <v/>
      </c>
      <c r="M770" s="59" t="str">
        <f>IF(OR($I770&lt;&gt;SottocategorieUscite[[#Headers],[Fuori Casa]],$I770&lt;&gt;SottocategorieUscite[[#Headers],[Varie Uscite]],$I770&lt;&gt;SottocategorieUscite[[#Headers],[Personali]],$I770&lt;&gt;SottocategorieUscite[[#Headers],[Lavoro]],$I770&lt;&gt;SottocategorieUscite[[#Headers],[Casa]],$I770&lt;&gt;SottocategorieUscite[[#Headers],[Utenze]],$I770&lt;&gt;SottocategorieUscite[[#Headers],[Business Uscite]],$I770&lt;&gt;SottocategorieUscite[[#Headers],[Banca]]),"","$ -")</f>
        <v/>
      </c>
      <c r="N770" s="59" t="str">
        <f>IF(OR(Data!$I770=SottocategorieEntrate[[#Headers],[Business Entrate]],Data!$I770=SottocategorieEntrate[[#Headers],[Varie Entrate]]),"$ -","")</f>
        <v/>
      </c>
      <c r="O770" s="59" t="str">
        <f>IF(OR(Data!$I770=SottocategorieEntrate[[#Headers],[Real Estate]],SottocategorieEntrate[[#Headers],[Other]]),"$ -","")</f>
        <v/>
      </c>
      <c r="P770" s="59" t="str">
        <f>IF(OR($I770&lt;&gt;SottocategorieEntrate[[#Headers],[Business Entrate]],$I770&lt;&gt;SottocategorieEntrate[[#Headers],[Varie Entrate]],$I770&lt;&gt;SottocategorieEntrate[[#Headers],[Real Estate]],$I770&lt;&gt;SottocategorieEntrate[[#Headers],[Other]]),"","$ -")</f>
        <v/>
      </c>
      <c r="Q770" s="59" t="str">
        <f>IF(Dati[[#This Row],[Categoria]]="Prelievo","€ -","")</f>
        <v/>
      </c>
      <c r="R770" s="244"/>
      <c r="S770" s="59" t="str">
        <f>IF(Dati[[#This Row],[Categoria]]="Savings",0,"")</f>
        <v/>
      </c>
      <c r="T770" s="59"/>
      <c r="U770" s="59"/>
      <c r="V770" s="59"/>
      <c r="W770" s="59"/>
      <c r="X770" s="59"/>
      <c r="Y770" s="59"/>
      <c r="Z770" s="59"/>
      <c r="AA770" s="59"/>
      <c r="AB770" s="59"/>
      <c r="AC770" s="59"/>
      <c r="AD770" s="59"/>
      <c r="AE770" s="59"/>
      <c r="AF770" s="59"/>
      <c r="AG770" s="59"/>
      <c r="AH770" s="59"/>
      <c r="AI770" s="59" t="str">
        <f>IF(SUM(Dati[[#This Row],[Inv. Business]:[Inv. Cryptocurrency]])=0," ",SUM(Dati[[#This Row],[Inv. Business]:[Inv. Cryptocurrency]]))</f>
        <v xml:space="preserve"> </v>
      </c>
      <c r="AJ770" s="59"/>
      <c r="AK770" s="59"/>
      <c r="AL770" s="59"/>
      <c r="AM770" s="59"/>
    </row>
    <row r="771" spans="2:39" x14ac:dyDescent="0.35">
      <c r="B771" s="237">
        <f t="shared" si="38"/>
        <v>751</v>
      </c>
      <c r="C771" s="49">
        <f t="shared" si="35"/>
        <v>45500</v>
      </c>
      <c r="D771" s="29">
        <f>DAY(Dati[[#This Row],[Data]])</f>
        <v>27</v>
      </c>
      <c r="E771" s="29" t="str">
        <f>IF(DAY(Data!$C$21:$C$1327)&gt;0,TEXT(Data!$C$21:$C$1327, "mmmm"),"")</f>
        <v>luglio</v>
      </c>
      <c r="F771" s="29" t="str">
        <f>IF(DAY(Data!$C$21:$C$1327)&gt;0,TEXT(Data!$C$21:$C$1327, "aaaa"),"")</f>
        <v>2024</v>
      </c>
      <c r="I771" t="str">
        <f>IF(OR(H771=$B$5,H771=$B$6,H771=$B$7,H771=$B$8,H771=$B$9,H771=$B$10,H771=$B$11,H771=$B$12,H771=$B$13,H771=$B$14),SottocategorieUscite[[#Headers],[Fuori Casa]],IF(OR(H771=$C$5,H771=$C$6,H771=$C$7,H771=$C$8,H771=$C$9,H771=$C$10,H771=$C$11,H771=$C$12,H771=$C$13,H771=$C$14),SottocategorieUscite[[#Headers],[Varie Uscite]],IF(OR(H771=$D$5,H771=$D$6,H771=$D$7,H771=$D$8,H771=$D$9,H771=$D$10,H771=$D$11,H771=$D$12,H771=$D$13,H771=$D$14),SottocategorieUscite[[#Headers],[Personali]],IF(OR(H771=$E$5,H771=$E$6,H771=$E$7,H771=$E$8,H771=$E$9,H771=$E$10,H771=$E$11,H771=$E$12,H771=$E$13,H771=$E$14),SottocategorieUscite[[#Headers],[Lavoro]],IF(OR(H771=$F$5,H771=$F$6,H771=$F$7,H771=$F$8,H771=$F$9,H771=$F$10,H771=$F$11,H771=$F$12,H771=$F$13,H771=$F$14),SottocategorieUscite[[#Headers],[Casa]],IF(OR(H771=$G$5,H771=$G$6,H771=$G$7,H771=$G$8,H771=$G$9,H771=$G$10,H771=$G$11,H771=$G$12,H771=$G$13,H771=$G$14),SottocategorieUscite[[#Headers],[Utenze]],IF(OR(H771=$H$5,H771=$H$6,H771=$H$7,H771=$H$8,H771=$H$9,H771=$H$10,H771=$H$11,H771=$H$12,H771=$H$13,H771=$H$14),SottocategorieUscite[[#Headers],[Business Uscite]],IF(OR(H771=$I$5,H771=$I$6,H771=$I$7,H771=$I$8,H771=$I$9,H771=$I$10,H771=$I$11,H771=$I$12,H771=$I$13,H771=$I$14),SottocategorieUscite[[#Headers],[Banca]],IF(OR(H771=K$5,H771=K$6,H771=K$7,H771=K$8,H771=K$9,H771=K$10,H771=K$11,H771=K$12,H771=K$13,H771=K$14),SottocategorieEntrate[[#Headers],[Business Entrate]],IF(OR(H771=L$5,H771=L$6,H771=L$7,H771=L$8,H771=L$9,H771=L$10,H771=L$11,H771=L$12,H771=L$13,H771=L$14),SottocategorieEntrate[[#Headers],[Varie Entrate]],IF(OR(H771=M$5,H771=M$6,H771=M$7,H771=M$8,H771=M$9,H771=M$10,H771=M$11,H771=M$12,H771=M$13,H771=M$14),SottocategorieEntrate[[#Headers],[Real Estate]],IF(OR(H771=N$5,H771=N$6,H771=N$7,H771=N$8,H771=N$9,H771=N$10,H771=N$11,H771=N$12,H771=N$13,H771=N$14),SottocategorieEntrate[[#Headers],[Other]],""))))))))))))</f>
        <v/>
      </c>
      <c r="J771" t="str">
        <f>IF(OR(Dati[[#This Row],[Categoria]]="Bollette",Dati[[#This Row],[Categoria]]="Conto &amp; Carte BNL",Dati[[#This Row],[Categoria]]="Prelievo",Dati[[#This Row],[Categoria]]="Affitto",Dati[[#This Row],[Categoria]]="BNL(Interessi Creditori)"),"Carta",IF(Dati[[#This Row],[Categoria]]&lt;&gt;0,"Cash",""))</f>
        <v/>
      </c>
      <c r="K771" s="59" t="str">
        <f>IF(OR(Data!$I771=SottocategorieUscite[[#Headers],[Fuori Casa]],Data!$I771=SottocategorieUscite[[#Headers],[Varie Uscite]],Data!$I771=SottocategorieUscite[[#Headers],[Personali]],Data!$I771=SottocategorieUscite[[#Headers],[Lavoro]]),"$ -","")</f>
        <v/>
      </c>
      <c r="L771" s="59" t="str">
        <f>IF(OR(Data!$I771=SottocategorieUscite[[#Headers],[Casa]],Data!$I771=SottocategorieUscite[[#Headers],[Utenze]],Data!$I771=SottocategorieUscite[[#Headers],[Business Uscite]],Data!$I771=SottocategorieUscite[[#Headers],[Banca]]),"$ -","")</f>
        <v/>
      </c>
      <c r="M771" s="59" t="str">
        <f>IF(OR($I771&lt;&gt;SottocategorieUscite[[#Headers],[Fuori Casa]],$I771&lt;&gt;SottocategorieUscite[[#Headers],[Varie Uscite]],$I771&lt;&gt;SottocategorieUscite[[#Headers],[Personali]],$I771&lt;&gt;SottocategorieUscite[[#Headers],[Lavoro]],$I771&lt;&gt;SottocategorieUscite[[#Headers],[Casa]],$I771&lt;&gt;SottocategorieUscite[[#Headers],[Utenze]],$I771&lt;&gt;SottocategorieUscite[[#Headers],[Business Uscite]],$I771&lt;&gt;SottocategorieUscite[[#Headers],[Banca]]),"","$ -")</f>
        <v/>
      </c>
      <c r="N771" s="59" t="str">
        <f>IF(OR(Data!$I771=SottocategorieEntrate[[#Headers],[Business Entrate]],Data!$I771=SottocategorieEntrate[[#Headers],[Varie Entrate]]),"$ -","")</f>
        <v/>
      </c>
      <c r="O771" s="59" t="str">
        <f>IF(OR(Data!$I771=SottocategorieEntrate[[#Headers],[Real Estate]],SottocategorieEntrate[[#Headers],[Other]]),"$ -","")</f>
        <v/>
      </c>
      <c r="P771" s="59" t="str">
        <f>IF(OR($I771&lt;&gt;SottocategorieEntrate[[#Headers],[Business Entrate]],$I771&lt;&gt;SottocategorieEntrate[[#Headers],[Varie Entrate]],$I771&lt;&gt;SottocategorieEntrate[[#Headers],[Real Estate]],$I771&lt;&gt;SottocategorieEntrate[[#Headers],[Other]]),"","$ -")</f>
        <v/>
      </c>
      <c r="Q771" s="59" t="str">
        <f>IF(Dati[[#This Row],[Categoria]]="Prelievo","€ -","")</f>
        <v/>
      </c>
      <c r="R771" s="244"/>
      <c r="S771" s="59" t="str">
        <f>IF(Dati[[#This Row],[Categoria]]="Savings",0,"")</f>
        <v/>
      </c>
      <c r="T771" s="59"/>
      <c r="U771" s="59"/>
      <c r="V771" s="59"/>
      <c r="W771" s="59"/>
      <c r="X771" s="59"/>
      <c r="Y771" s="59"/>
      <c r="Z771" s="59"/>
      <c r="AA771" s="59"/>
      <c r="AB771" s="59"/>
      <c r="AC771" s="59"/>
      <c r="AD771" s="59"/>
      <c r="AE771" s="59"/>
      <c r="AF771" s="59"/>
      <c r="AG771" s="59"/>
      <c r="AH771" s="59"/>
      <c r="AI771" s="59" t="str">
        <f>IF(SUM(Dati[[#This Row],[Inv. Business]:[Inv. Cryptocurrency]])=0," ",SUM(Dati[[#This Row],[Inv. Business]:[Inv. Cryptocurrency]]))</f>
        <v xml:space="preserve"> </v>
      </c>
      <c r="AJ771" s="59"/>
      <c r="AK771" s="59"/>
      <c r="AL771" s="59"/>
      <c r="AM771" s="59"/>
    </row>
    <row r="772" spans="2:39" x14ac:dyDescent="0.35">
      <c r="B772" s="237">
        <f t="shared" si="38"/>
        <v>752</v>
      </c>
      <c r="C772" s="49">
        <f t="shared" si="35"/>
        <v>45501</v>
      </c>
      <c r="D772" s="29">
        <f>DAY(Dati[[#This Row],[Data]])</f>
        <v>28</v>
      </c>
      <c r="E772" s="29" t="str">
        <f>IF(DAY(Data!$C$21:$C$1327)&gt;0,TEXT(Data!$C$21:$C$1327, "mmmm"),"")</f>
        <v>luglio</v>
      </c>
      <c r="F772" s="29" t="str">
        <f>IF(DAY(Data!$C$21:$C$1327)&gt;0,TEXT(Data!$C$21:$C$1327, "aaaa"),"")</f>
        <v>2024</v>
      </c>
      <c r="I772" t="str">
        <f>IF(OR(H772=$B$5,H772=$B$6,H772=$B$7,H772=$B$8,H772=$B$9,H772=$B$10,H772=$B$11,H772=$B$12,H772=$B$13,H772=$B$14),SottocategorieUscite[[#Headers],[Fuori Casa]],IF(OR(H772=$C$5,H772=$C$6,H772=$C$7,H772=$C$8,H772=$C$9,H772=$C$10,H772=$C$11,H772=$C$12,H772=$C$13,H772=$C$14),SottocategorieUscite[[#Headers],[Varie Uscite]],IF(OR(H772=$D$5,H772=$D$6,H772=$D$7,H772=$D$8,H772=$D$9,H772=$D$10,H772=$D$11,H772=$D$12,H772=$D$13,H772=$D$14),SottocategorieUscite[[#Headers],[Personali]],IF(OR(H772=$E$5,H772=$E$6,H772=$E$7,H772=$E$8,H772=$E$9,H772=$E$10,H772=$E$11,H772=$E$12,H772=$E$13,H772=$E$14),SottocategorieUscite[[#Headers],[Lavoro]],IF(OR(H772=$F$5,H772=$F$6,H772=$F$7,H772=$F$8,H772=$F$9,H772=$F$10,H772=$F$11,H772=$F$12,H772=$F$13,H772=$F$14),SottocategorieUscite[[#Headers],[Casa]],IF(OR(H772=$G$5,H772=$G$6,H772=$G$7,H772=$G$8,H772=$G$9,H772=$G$10,H772=$G$11,H772=$G$12,H772=$G$13,H772=$G$14),SottocategorieUscite[[#Headers],[Utenze]],IF(OR(H772=$H$5,H772=$H$6,H772=$H$7,H772=$H$8,H772=$H$9,H772=$H$10,H772=$H$11,H772=$H$12,H772=$H$13,H772=$H$14),SottocategorieUscite[[#Headers],[Business Uscite]],IF(OR(H772=$I$5,H772=$I$6,H772=$I$7,H772=$I$8,H772=$I$9,H772=$I$10,H772=$I$11,H772=$I$12,H772=$I$13,H772=$I$14),SottocategorieUscite[[#Headers],[Banca]],IF(OR(H772=K$5,H772=K$6,H772=K$7,H772=K$8,H772=K$9,H772=K$10,H772=K$11,H772=K$12,H772=K$13,H772=K$14),SottocategorieEntrate[[#Headers],[Business Entrate]],IF(OR(H772=L$5,H772=L$6,H772=L$7,H772=L$8,H772=L$9,H772=L$10,H772=L$11,H772=L$12,H772=L$13,H772=L$14),SottocategorieEntrate[[#Headers],[Varie Entrate]],IF(OR(H772=M$5,H772=M$6,H772=M$7,H772=M$8,H772=M$9,H772=M$10,H772=M$11,H772=M$12,H772=M$13,H772=M$14),SottocategorieEntrate[[#Headers],[Real Estate]],IF(OR(H772=N$5,H772=N$6,H772=N$7,H772=N$8,H772=N$9,H772=N$10,H772=N$11,H772=N$12,H772=N$13,H772=N$14),SottocategorieEntrate[[#Headers],[Other]],""))))))))))))</f>
        <v/>
      </c>
      <c r="J772" t="str">
        <f>IF(OR(Dati[[#This Row],[Categoria]]="Bollette",Dati[[#This Row],[Categoria]]="Conto &amp; Carte BNL",Dati[[#This Row],[Categoria]]="Prelievo",Dati[[#This Row],[Categoria]]="Affitto",Dati[[#This Row],[Categoria]]="BNL(Interessi Creditori)"),"Carta",IF(Dati[[#This Row],[Categoria]]&lt;&gt;0,"Cash",""))</f>
        <v/>
      </c>
      <c r="K772" s="59" t="str">
        <f>IF(OR(Data!$I772=SottocategorieUscite[[#Headers],[Fuori Casa]],Data!$I772=SottocategorieUscite[[#Headers],[Varie Uscite]],Data!$I772=SottocategorieUscite[[#Headers],[Personali]],Data!$I772=SottocategorieUscite[[#Headers],[Lavoro]]),"$ -","")</f>
        <v/>
      </c>
      <c r="L772" s="59" t="str">
        <f>IF(OR(Data!$I772=SottocategorieUscite[[#Headers],[Casa]],Data!$I772=SottocategorieUscite[[#Headers],[Utenze]],Data!$I772=SottocategorieUscite[[#Headers],[Business Uscite]],Data!$I772=SottocategorieUscite[[#Headers],[Banca]]),"$ -","")</f>
        <v/>
      </c>
      <c r="M772" s="59" t="str">
        <f>IF(OR($I772&lt;&gt;SottocategorieUscite[[#Headers],[Fuori Casa]],$I772&lt;&gt;SottocategorieUscite[[#Headers],[Varie Uscite]],$I772&lt;&gt;SottocategorieUscite[[#Headers],[Personali]],$I772&lt;&gt;SottocategorieUscite[[#Headers],[Lavoro]],$I772&lt;&gt;SottocategorieUscite[[#Headers],[Casa]],$I772&lt;&gt;SottocategorieUscite[[#Headers],[Utenze]],$I772&lt;&gt;SottocategorieUscite[[#Headers],[Business Uscite]],$I772&lt;&gt;SottocategorieUscite[[#Headers],[Banca]]),"","$ -")</f>
        <v/>
      </c>
      <c r="N772" s="59" t="str">
        <f>IF(OR(Data!$I772=SottocategorieEntrate[[#Headers],[Business Entrate]],Data!$I772=SottocategorieEntrate[[#Headers],[Varie Entrate]]),"$ -","")</f>
        <v/>
      </c>
      <c r="O772" s="59" t="str">
        <f>IF(OR(Data!$I772=SottocategorieEntrate[[#Headers],[Real Estate]],SottocategorieEntrate[[#Headers],[Other]]),"$ -","")</f>
        <v/>
      </c>
      <c r="P772" s="59" t="str">
        <f>IF(OR($I772&lt;&gt;SottocategorieEntrate[[#Headers],[Business Entrate]],$I772&lt;&gt;SottocategorieEntrate[[#Headers],[Varie Entrate]],$I772&lt;&gt;SottocategorieEntrate[[#Headers],[Real Estate]],$I772&lt;&gt;SottocategorieEntrate[[#Headers],[Other]]),"","$ -")</f>
        <v/>
      </c>
      <c r="Q772" s="59" t="str">
        <f>IF(Dati[[#This Row],[Categoria]]="Prelievo","€ -","")</f>
        <v/>
      </c>
      <c r="R772" s="244"/>
      <c r="S772" s="59" t="str">
        <f>IF(Dati[[#This Row],[Categoria]]="Savings",0,"")</f>
        <v/>
      </c>
      <c r="T772" s="59"/>
      <c r="U772" s="59"/>
      <c r="V772" s="59"/>
      <c r="W772" s="59"/>
      <c r="X772" s="59"/>
      <c r="Y772" s="59"/>
      <c r="Z772" s="59"/>
      <c r="AA772" s="59"/>
      <c r="AB772" s="59"/>
      <c r="AC772" s="59"/>
      <c r="AD772" s="59"/>
      <c r="AE772" s="59"/>
      <c r="AF772" s="59"/>
      <c r="AG772" s="59"/>
      <c r="AH772" s="59"/>
      <c r="AI772" s="59" t="str">
        <f>IF(SUM(Dati[[#This Row],[Inv. Business]:[Inv. Cryptocurrency]])=0," ",SUM(Dati[[#This Row],[Inv. Business]:[Inv. Cryptocurrency]]))</f>
        <v xml:space="preserve"> </v>
      </c>
      <c r="AJ772" s="59"/>
      <c r="AK772" s="59"/>
      <c r="AL772" s="59"/>
      <c r="AM772" s="59"/>
    </row>
    <row r="773" spans="2:39" x14ac:dyDescent="0.35">
      <c r="B773" s="237">
        <f t="shared" si="38"/>
        <v>753</v>
      </c>
      <c r="C773" s="49">
        <f t="shared" ref="C773:C849" si="39">C772+1</f>
        <v>45502</v>
      </c>
      <c r="D773" s="29">
        <f>DAY(Dati[[#This Row],[Data]])</f>
        <v>29</v>
      </c>
      <c r="E773" s="29" t="str">
        <f>IF(DAY(Data!$C$21:$C$1327)&gt;0,TEXT(Data!$C$21:$C$1327, "mmmm"),"")</f>
        <v>luglio</v>
      </c>
      <c r="F773" s="29" t="str">
        <f>IF(DAY(Data!$C$21:$C$1327)&gt;0,TEXT(Data!$C$21:$C$1327, "aaaa"),"")</f>
        <v>2024</v>
      </c>
      <c r="I773" t="str">
        <f>IF(OR(H773=$B$5,H773=$B$6,H773=$B$7,H773=$B$8,H773=$B$9,H773=$B$10,H773=$B$11,H773=$B$12,H773=$B$13,H773=$B$14),SottocategorieUscite[[#Headers],[Fuori Casa]],IF(OR(H773=$C$5,H773=$C$6,H773=$C$7,H773=$C$8,H773=$C$9,H773=$C$10,H773=$C$11,H773=$C$12,H773=$C$13,H773=$C$14),SottocategorieUscite[[#Headers],[Varie Uscite]],IF(OR(H773=$D$5,H773=$D$6,H773=$D$7,H773=$D$8,H773=$D$9,H773=$D$10,H773=$D$11,H773=$D$12,H773=$D$13,H773=$D$14),SottocategorieUscite[[#Headers],[Personali]],IF(OR(H773=$E$5,H773=$E$6,H773=$E$7,H773=$E$8,H773=$E$9,H773=$E$10,H773=$E$11,H773=$E$12,H773=$E$13,H773=$E$14),SottocategorieUscite[[#Headers],[Lavoro]],IF(OR(H773=$F$5,H773=$F$6,H773=$F$7,H773=$F$8,H773=$F$9,H773=$F$10,H773=$F$11,H773=$F$12,H773=$F$13,H773=$F$14),SottocategorieUscite[[#Headers],[Casa]],IF(OR(H773=$G$5,H773=$G$6,H773=$G$7,H773=$G$8,H773=$G$9,H773=$G$10,H773=$G$11,H773=$G$12,H773=$G$13,H773=$G$14),SottocategorieUscite[[#Headers],[Utenze]],IF(OR(H773=$H$5,H773=$H$6,H773=$H$7,H773=$H$8,H773=$H$9,H773=$H$10,H773=$H$11,H773=$H$12,H773=$H$13,H773=$H$14),SottocategorieUscite[[#Headers],[Business Uscite]],IF(OR(H773=$I$5,H773=$I$6,H773=$I$7,H773=$I$8,H773=$I$9,H773=$I$10,H773=$I$11,H773=$I$12,H773=$I$13,H773=$I$14),SottocategorieUscite[[#Headers],[Banca]],IF(OR(H773=K$5,H773=K$6,H773=K$7,H773=K$8,H773=K$9,H773=K$10,H773=K$11,H773=K$12,H773=K$13,H773=K$14),SottocategorieEntrate[[#Headers],[Business Entrate]],IF(OR(H773=L$5,H773=L$6,H773=L$7,H773=L$8,H773=L$9,H773=L$10,H773=L$11,H773=L$12,H773=L$13,H773=L$14),SottocategorieEntrate[[#Headers],[Varie Entrate]],IF(OR(H773=M$5,H773=M$6,H773=M$7,H773=M$8,H773=M$9,H773=M$10,H773=M$11,H773=M$12,H773=M$13,H773=M$14),SottocategorieEntrate[[#Headers],[Real Estate]],IF(OR(H773=N$5,H773=N$6,H773=N$7,H773=N$8,H773=N$9,H773=N$10,H773=N$11,H773=N$12,H773=N$13,H773=N$14),SottocategorieEntrate[[#Headers],[Other]],""))))))))))))</f>
        <v/>
      </c>
      <c r="J773" t="str">
        <f>IF(OR(Dati[[#This Row],[Categoria]]="Bollette",Dati[[#This Row],[Categoria]]="Conto &amp; Carte BNL",Dati[[#This Row],[Categoria]]="Prelievo",Dati[[#This Row],[Categoria]]="Affitto",Dati[[#This Row],[Categoria]]="BNL(Interessi Creditori)"),"Carta",IF(Dati[[#This Row],[Categoria]]&lt;&gt;0,"Cash",""))</f>
        <v/>
      </c>
      <c r="K773" s="59" t="str">
        <f>IF(OR(Data!$I773=SottocategorieUscite[[#Headers],[Fuori Casa]],Data!$I773=SottocategorieUscite[[#Headers],[Varie Uscite]],Data!$I773=SottocategorieUscite[[#Headers],[Personali]],Data!$I773=SottocategorieUscite[[#Headers],[Lavoro]]),"$ -","")</f>
        <v/>
      </c>
      <c r="L773" s="59" t="str">
        <f>IF(OR(Data!$I773=SottocategorieUscite[[#Headers],[Casa]],Data!$I773=SottocategorieUscite[[#Headers],[Utenze]],Data!$I773=SottocategorieUscite[[#Headers],[Business Uscite]],Data!$I773=SottocategorieUscite[[#Headers],[Banca]]),"$ -","")</f>
        <v/>
      </c>
      <c r="M773" s="59" t="str">
        <f>IF(OR($I773&lt;&gt;SottocategorieUscite[[#Headers],[Fuori Casa]],$I773&lt;&gt;SottocategorieUscite[[#Headers],[Varie Uscite]],$I773&lt;&gt;SottocategorieUscite[[#Headers],[Personali]],$I773&lt;&gt;SottocategorieUscite[[#Headers],[Lavoro]],$I773&lt;&gt;SottocategorieUscite[[#Headers],[Casa]],$I773&lt;&gt;SottocategorieUscite[[#Headers],[Utenze]],$I773&lt;&gt;SottocategorieUscite[[#Headers],[Business Uscite]],$I773&lt;&gt;SottocategorieUscite[[#Headers],[Banca]]),"","$ -")</f>
        <v/>
      </c>
      <c r="N773" s="59" t="str">
        <f>IF(OR(Data!$I773=SottocategorieEntrate[[#Headers],[Business Entrate]],Data!$I773=SottocategorieEntrate[[#Headers],[Varie Entrate]]),"$ -","")</f>
        <v/>
      </c>
      <c r="O773" s="59" t="str">
        <f>IF(OR(Data!$I773=SottocategorieEntrate[[#Headers],[Real Estate]],SottocategorieEntrate[[#Headers],[Other]]),"$ -","")</f>
        <v/>
      </c>
      <c r="P773" s="59" t="str">
        <f>IF(OR($I773&lt;&gt;SottocategorieEntrate[[#Headers],[Business Entrate]],$I773&lt;&gt;SottocategorieEntrate[[#Headers],[Varie Entrate]],$I773&lt;&gt;SottocategorieEntrate[[#Headers],[Real Estate]],$I773&lt;&gt;SottocategorieEntrate[[#Headers],[Other]]),"","$ -")</f>
        <v/>
      </c>
      <c r="Q773" s="59" t="str">
        <f>IF(Dati[[#This Row],[Categoria]]="Prelievo","€ -","")</f>
        <v/>
      </c>
      <c r="R773" s="244"/>
      <c r="S773" s="59" t="str">
        <f>IF(Dati[[#This Row],[Categoria]]="Savings",0,"")</f>
        <v/>
      </c>
      <c r="T773" s="59"/>
      <c r="U773" s="59"/>
      <c r="V773" s="59"/>
      <c r="W773" s="59"/>
      <c r="X773" s="59"/>
      <c r="Y773" s="59"/>
      <c r="Z773" s="59"/>
      <c r="AA773" s="59"/>
      <c r="AB773" s="59"/>
      <c r="AC773" s="59"/>
      <c r="AD773" s="59"/>
      <c r="AE773" s="59"/>
      <c r="AF773" s="59"/>
      <c r="AG773" s="59"/>
      <c r="AH773" s="59"/>
      <c r="AI773" s="59" t="str">
        <f>IF(SUM(Dati[[#This Row],[Inv. Business]:[Inv. Cryptocurrency]])=0," ",SUM(Dati[[#This Row],[Inv. Business]:[Inv. Cryptocurrency]]))</f>
        <v xml:space="preserve"> </v>
      </c>
      <c r="AJ773" s="59"/>
      <c r="AK773" s="59"/>
      <c r="AL773" s="59"/>
      <c r="AM773" s="59"/>
    </row>
    <row r="774" spans="2:39" x14ac:dyDescent="0.35">
      <c r="B774" s="237">
        <f t="shared" si="38"/>
        <v>754</v>
      </c>
      <c r="C774" s="49">
        <f t="shared" si="39"/>
        <v>45503</v>
      </c>
      <c r="D774" s="29">
        <f>DAY(Dati[[#This Row],[Data]])</f>
        <v>30</v>
      </c>
      <c r="E774" s="29" t="str">
        <f>IF(DAY(Data!$C$21:$C$1327)&gt;0,TEXT(Data!$C$21:$C$1327, "mmmm"),"")</f>
        <v>luglio</v>
      </c>
      <c r="F774" s="29" t="str">
        <f>IF(DAY(Data!$C$21:$C$1327)&gt;0,TEXT(Data!$C$21:$C$1327, "aaaa"),"")</f>
        <v>2024</v>
      </c>
      <c r="I774" t="str">
        <f>IF(OR(H774=$B$5,H774=$B$6,H774=$B$7,H774=$B$8,H774=$B$9,H774=$B$10,H774=$B$11,H774=$B$12,H774=$B$13,H774=$B$14),SottocategorieUscite[[#Headers],[Fuori Casa]],IF(OR(H774=$C$5,H774=$C$6,H774=$C$7,H774=$C$8,H774=$C$9,H774=$C$10,H774=$C$11,H774=$C$12,H774=$C$13,H774=$C$14),SottocategorieUscite[[#Headers],[Varie Uscite]],IF(OR(H774=$D$5,H774=$D$6,H774=$D$7,H774=$D$8,H774=$D$9,H774=$D$10,H774=$D$11,H774=$D$12,H774=$D$13,H774=$D$14),SottocategorieUscite[[#Headers],[Personali]],IF(OR(H774=$E$5,H774=$E$6,H774=$E$7,H774=$E$8,H774=$E$9,H774=$E$10,H774=$E$11,H774=$E$12,H774=$E$13,H774=$E$14),SottocategorieUscite[[#Headers],[Lavoro]],IF(OR(H774=$F$5,H774=$F$6,H774=$F$7,H774=$F$8,H774=$F$9,H774=$F$10,H774=$F$11,H774=$F$12,H774=$F$13,H774=$F$14),SottocategorieUscite[[#Headers],[Casa]],IF(OR(H774=$G$5,H774=$G$6,H774=$G$7,H774=$G$8,H774=$G$9,H774=$G$10,H774=$G$11,H774=$G$12,H774=$G$13,H774=$G$14),SottocategorieUscite[[#Headers],[Utenze]],IF(OR(H774=$H$5,H774=$H$6,H774=$H$7,H774=$H$8,H774=$H$9,H774=$H$10,H774=$H$11,H774=$H$12,H774=$H$13,H774=$H$14),SottocategorieUscite[[#Headers],[Business Uscite]],IF(OR(H774=$I$5,H774=$I$6,H774=$I$7,H774=$I$8,H774=$I$9,H774=$I$10,H774=$I$11,H774=$I$12,H774=$I$13,H774=$I$14),SottocategorieUscite[[#Headers],[Banca]],IF(OR(H774=K$5,H774=K$6,H774=K$7,H774=K$8,H774=K$9,H774=K$10,H774=K$11,H774=K$12,H774=K$13,H774=K$14),SottocategorieEntrate[[#Headers],[Business Entrate]],IF(OR(H774=L$5,H774=L$6,H774=L$7,H774=L$8,H774=L$9,H774=L$10,H774=L$11,H774=L$12,H774=L$13,H774=L$14),SottocategorieEntrate[[#Headers],[Varie Entrate]],IF(OR(H774=M$5,H774=M$6,H774=M$7,H774=M$8,H774=M$9,H774=M$10,H774=M$11,H774=M$12,H774=M$13,H774=M$14),SottocategorieEntrate[[#Headers],[Real Estate]],IF(OR(H774=N$5,H774=N$6,H774=N$7,H774=N$8,H774=N$9,H774=N$10,H774=N$11,H774=N$12,H774=N$13,H774=N$14),SottocategorieEntrate[[#Headers],[Other]],""))))))))))))</f>
        <v/>
      </c>
      <c r="J774" t="str">
        <f>IF(OR(Dati[[#This Row],[Categoria]]="Bollette",Dati[[#This Row],[Categoria]]="Conto &amp; Carte BNL",Dati[[#This Row],[Categoria]]="Prelievo",Dati[[#This Row],[Categoria]]="Affitto",Dati[[#This Row],[Categoria]]="BNL(Interessi Creditori)"),"Carta",IF(Dati[[#This Row],[Categoria]]&lt;&gt;0,"Cash",""))</f>
        <v/>
      </c>
      <c r="K774" s="59" t="str">
        <f>IF(OR(Data!$I774=SottocategorieUscite[[#Headers],[Fuori Casa]],Data!$I774=SottocategorieUscite[[#Headers],[Varie Uscite]],Data!$I774=SottocategorieUscite[[#Headers],[Personali]],Data!$I774=SottocategorieUscite[[#Headers],[Lavoro]]),"$ -","")</f>
        <v/>
      </c>
      <c r="L774" s="59" t="str">
        <f>IF(OR(Data!$I774=SottocategorieUscite[[#Headers],[Casa]],Data!$I774=SottocategorieUscite[[#Headers],[Utenze]],Data!$I774=SottocategorieUscite[[#Headers],[Business Uscite]],Data!$I774=SottocategorieUscite[[#Headers],[Banca]]),"$ -","")</f>
        <v/>
      </c>
      <c r="M774" s="59" t="str">
        <f>IF(OR($I774&lt;&gt;SottocategorieUscite[[#Headers],[Fuori Casa]],$I774&lt;&gt;SottocategorieUscite[[#Headers],[Varie Uscite]],$I774&lt;&gt;SottocategorieUscite[[#Headers],[Personali]],$I774&lt;&gt;SottocategorieUscite[[#Headers],[Lavoro]],$I774&lt;&gt;SottocategorieUscite[[#Headers],[Casa]],$I774&lt;&gt;SottocategorieUscite[[#Headers],[Utenze]],$I774&lt;&gt;SottocategorieUscite[[#Headers],[Business Uscite]],$I774&lt;&gt;SottocategorieUscite[[#Headers],[Banca]]),"","$ -")</f>
        <v/>
      </c>
      <c r="N774" s="59" t="str">
        <f>IF(OR(Data!$I774=SottocategorieEntrate[[#Headers],[Business Entrate]],Data!$I774=SottocategorieEntrate[[#Headers],[Varie Entrate]]),"$ -","")</f>
        <v/>
      </c>
      <c r="O774" s="59" t="str">
        <f>IF(OR(Data!$I774=SottocategorieEntrate[[#Headers],[Real Estate]],SottocategorieEntrate[[#Headers],[Other]]),"$ -","")</f>
        <v/>
      </c>
      <c r="P774" s="59" t="str">
        <f>IF(OR($I774&lt;&gt;SottocategorieEntrate[[#Headers],[Business Entrate]],$I774&lt;&gt;SottocategorieEntrate[[#Headers],[Varie Entrate]],$I774&lt;&gt;SottocategorieEntrate[[#Headers],[Real Estate]],$I774&lt;&gt;SottocategorieEntrate[[#Headers],[Other]]),"","$ -")</f>
        <v/>
      </c>
      <c r="Q774" s="59" t="str">
        <f>IF(Dati[[#This Row],[Categoria]]="Prelievo","€ -","")</f>
        <v/>
      </c>
      <c r="R774" s="244"/>
      <c r="S774" s="59" t="str">
        <f>IF(Dati[[#This Row],[Categoria]]="Savings",0,"")</f>
        <v/>
      </c>
      <c r="T774" s="59"/>
      <c r="U774" s="59"/>
      <c r="V774" s="59"/>
      <c r="W774" s="59"/>
      <c r="X774" s="59"/>
      <c r="Y774" s="59"/>
      <c r="Z774" s="59"/>
      <c r="AA774" s="59"/>
      <c r="AB774" s="59"/>
      <c r="AC774" s="59"/>
      <c r="AD774" s="59"/>
      <c r="AE774" s="59"/>
      <c r="AF774" s="59"/>
      <c r="AG774" s="59"/>
      <c r="AH774" s="59"/>
      <c r="AI774" s="59" t="str">
        <f>IF(SUM(Dati[[#This Row],[Inv. Business]:[Inv. Cryptocurrency]])=0," ",SUM(Dati[[#This Row],[Inv. Business]:[Inv. Cryptocurrency]]))</f>
        <v xml:space="preserve"> </v>
      </c>
      <c r="AJ774" s="59"/>
      <c r="AK774" s="59"/>
      <c r="AL774" s="59"/>
      <c r="AM774" s="59"/>
    </row>
    <row r="775" spans="2:39" x14ac:dyDescent="0.35">
      <c r="B775" s="237">
        <f t="shared" si="38"/>
        <v>755</v>
      </c>
      <c r="C775" s="49">
        <f t="shared" si="39"/>
        <v>45504</v>
      </c>
      <c r="D775" s="29">
        <f>DAY(Dati[[#This Row],[Data]])</f>
        <v>31</v>
      </c>
      <c r="E775" s="29" t="str">
        <f>IF(DAY(Data!$C$21:$C$1327)&gt;0,TEXT(Data!$C$21:$C$1327, "mmmm"),"")</f>
        <v>luglio</v>
      </c>
      <c r="F775" s="29" t="str">
        <f>IF(DAY(Data!$C$21:$C$1327)&gt;0,TEXT(Data!$C$21:$C$1327, "aaaa"),"")</f>
        <v>2024</v>
      </c>
      <c r="I775" t="str">
        <f>IF(OR(H775=$B$5,H775=$B$6,H775=$B$7,H775=$B$8,H775=$B$9,H775=$B$10,H775=$B$11,H775=$B$12,H775=$B$13,H775=$B$14),SottocategorieUscite[[#Headers],[Fuori Casa]],IF(OR(H775=$C$5,H775=$C$6,H775=$C$7,H775=$C$8,H775=$C$9,H775=$C$10,H775=$C$11,H775=$C$12,H775=$C$13,H775=$C$14),SottocategorieUscite[[#Headers],[Varie Uscite]],IF(OR(H775=$D$5,H775=$D$6,H775=$D$7,H775=$D$8,H775=$D$9,H775=$D$10,H775=$D$11,H775=$D$12,H775=$D$13,H775=$D$14),SottocategorieUscite[[#Headers],[Personali]],IF(OR(H775=$E$5,H775=$E$6,H775=$E$7,H775=$E$8,H775=$E$9,H775=$E$10,H775=$E$11,H775=$E$12,H775=$E$13,H775=$E$14),SottocategorieUscite[[#Headers],[Lavoro]],IF(OR(H775=$F$5,H775=$F$6,H775=$F$7,H775=$F$8,H775=$F$9,H775=$F$10,H775=$F$11,H775=$F$12,H775=$F$13,H775=$F$14),SottocategorieUscite[[#Headers],[Casa]],IF(OR(H775=$G$5,H775=$G$6,H775=$G$7,H775=$G$8,H775=$G$9,H775=$G$10,H775=$G$11,H775=$G$12,H775=$G$13,H775=$G$14),SottocategorieUscite[[#Headers],[Utenze]],IF(OR(H775=$H$5,H775=$H$6,H775=$H$7,H775=$H$8,H775=$H$9,H775=$H$10,H775=$H$11,H775=$H$12,H775=$H$13,H775=$H$14),SottocategorieUscite[[#Headers],[Business Uscite]],IF(OR(H775=$I$5,H775=$I$6,H775=$I$7,H775=$I$8,H775=$I$9,H775=$I$10,H775=$I$11,H775=$I$12,H775=$I$13,H775=$I$14),SottocategorieUscite[[#Headers],[Banca]],IF(OR(H775=K$5,H775=K$6,H775=K$7,H775=K$8,H775=K$9,H775=K$10,H775=K$11,H775=K$12,H775=K$13,H775=K$14),SottocategorieEntrate[[#Headers],[Business Entrate]],IF(OR(H775=L$5,H775=L$6,H775=L$7,H775=L$8,H775=L$9,H775=L$10,H775=L$11,H775=L$12,H775=L$13,H775=L$14),SottocategorieEntrate[[#Headers],[Varie Entrate]],IF(OR(H775=M$5,H775=M$6,H775=M$7,H775=M$8,H775=M$9,H775=M$10,H775=M$11,H775=M$12,H775=M$13,H775=M$14),SottocategorieEntrate[[#Headers],[Real Estate]],IF(OR(H775=N$5,H775=N$6,H775=N$7,H775=N$8,H775=N$9,H775=N$10,H775=N$11,H775=N$12,H775=N$13,H775=N$14),SottocategorieEntrate[[#Headers],[Other]],""))))))))))))</f>
        <v/>
      </c>
      <c r="J775" t="str">
        <f>IF(OR(Dati[[#This Row],[Categoria]]="Bollette",Dati[[#This Row],[Categoria]]="Conto &amp; Carte BNL",Dati[[#This Row],[Categoria]]="Prelievo",Dati[[#This Row],[Categoria]]="Affitto",Dati[[#This Row],[Categoria]]="BNL(Interessi Creditori)"),"Carta",IF(Dati[[#This Row],[Categoria]]&lt;&gt;0,"Cash",""))</f>
        <v/>
      </c>
      <c r="K775" s="59" t="str">
        <f>IF(OR(Data!$I775=SottocategorieUscite[[#Headers],[Fuori Casa]],Data!$I775=SottocategorieUscite[[#Headers],[Varie Uscite]],Data!$I775=SottocategorieUscite[[#Headers],[Personali]],Data!$I775=SottocategorieUscite[[#Headers],[Lavoro]]),"$ -","")</f>
        <v/>
      </c>
      <c r="L775" s="59" t="str">
        <f>IF(OR(Data!$I775=SottocategorieUscite[[#Headers],[Casa]],Data!$I775=SottocategorieUscite[[#Headers],[Utenze]],Data!$I775=SottocategorieUscite[[#Headers],[Business Uscite]],Data!$I775=SottocategorieUscite[[#Headers],[Banca]]),"$ -","")</f>
        <v/>
      </c>
      <c r="M775" s="59" t="str">
        <f>IF(OR($I775&lt;&gt;SottocategorieUscite[[#Headers],[Fuori Casa]],$I775&lt;&gt;SottocategorieUscite[[#Headers],[Varie Uscite]],$I775&lt;&gt;SottocategorieUscite[[#Headers],[Personali]],$I775&lt;&gt;SottocategorieUscite[[#Headers],[Lavoro]],$I775&lt;&gt;SottocategorieUscite[[#Headers],[Casa]],$I775&lt;&gt;SottocategorieUscite[[#Headers],[Utenze]],$I775&lt;&gt;SottocategorieUscite[[#Headers],[Business Uscite]],$I775&lt;&gt;SottocategorieUscite[[#Headers],[Banca]]),"","$ -")</f>
        <v/>
      </c>
      <c r="N775" s="59" t="str">
        <f>IF(OR(Data!$I775=SottocategorieEntrate[[#Headers],[Business Entrate]],Data!$I775=SottocategorieEntrate[[#Headers],[Varie Entrate]]),"$ -","")</f>
        <v/>
      </c>
      <c r="O775" s="59" t="str">
        <f>IF(OR(Data!$I775=SottocategorieEntrate[[#Headers],[Real Estate]],SottocategorieEntrate[[#Headers],[Other]]),"$ -","")</f>
        <v/>
      </c>
      <c r="P775" s="59" t="str">
        <f>IF(OR($I775&lt;&gt;SottocategorieEntrate[[#Headers],[Business Entrate]],$I775&lt;&gt;SottocategorieEntrate[[#Headers],[Varie Entrate]],$I775&lt;&gt;SottocategorieEntrate[[#Headers],[Real Estate]],$I775&lt;&gt;SottocategorieEntrate[[#Headers],[Other]]),"","$ -")</f>
        <v/>
      </c>
      <c r="Q775" s="59" t="str">
        <f>IF(Dati[[#This Row],[Categoria]]="Prelievo","€ -","")</f>
        <v/>
      </c>
      <c r="R775" s="244"/>
      <c r="S775" s="59" t="str">
        <f>IF(Dati[[#This Row],[Categoria]]="Savings",0,"")</f>
        <v/>
      </c>
      <c r="T775" s="59"/>
      <c r="U775" s="59"/>
      <c r="V775" s="59"/>
      <c r="W775" s="59"/>
      <c r="X775" s="59"/>
      <c r="Y775" s="59"/>
      <c r="Z775" s="59"/>
      <c r="AA775" s="59"/>
      <c r="AB775" s="59"/>
      <c r="AC775" s="59"/>
      <c r="AD775" s="59"/>
      <c r="AE775" s="59"/>
      <c r="AF775" s="59"/>
      <c r="AG775" s="59"/>
      <c r="AH775" s="59"/>
      <c r="AI775" s="59" t="str">
        <f>IF(SUM(Dati[[#This Row],[Inv. Business]:[Inv. Cryptocurrency]])=0," ",SUM(Dati[[#This Row],[Inv. Business]:[Inv. Cryptocurrency]]))</f>
        <v xml:space="preserve"> </v>
      </c>
      <c r="AJ775" s="59"/>
      <c r="AK775" s="59"/>
      <c r="AL775" s="59"/>
      <c r="AM775" s="59"/>
    </row>
    <row r="776" spans="2:39" x14ac:dyDescent="0.35">
      <c r="B776" s="237">
        <f t="shared" si="38"/>
        <v>756</v>
      </c>
      <c r="C776" s="49">
        <f t="shared" si="39"/>
        <v>45505</v>
      </c>
      <c r="D776" s="29">
        <f>DAY(Dati[[#This Row],[Data]])</f>
        <v>1</v>
      </c>
      <c r="E776" s="29" t="str">
        <f>IF(DAY(Data!$C$21:$C$1327)&gt;0,TEXT(Data!$C$21:$C$1327, "mmmm"),"")</f>
        <v>agosto</v>
      </c>
      <c r="F776" s="29" t="str">
        <f>IF(DAY(Data!$C$21:$C$1327)&gt;0,TEXT(Data!$C$21:$C$1327, "aaaa"),"")</f>
        <v>2024</v>
      </c>
      <c r="I776" t="str">
        <f>IF(OR(H776=$B$5,H776=$B$6,H776=$B$7,H776=$B$8,H776=$B$9,H776=$B$10,H776=$B$11,H776=$B$12,H776=$B$13,H776=$B$14),SottocategorieUscite[[#Headers],[Fuori Casa]],IF(OR(H776=$C$5,H776=$C$6,H776=$C$7,H776=$C$8,H776=$C$9,H776=$C$10,H776=$C$11,H776=$C$12,H776=$C$13,H776=$C$14),SottocategorieUscite[[#Headers],[Varie Uscite]],IF(OR(H776=$D$5,H776=$D$6,H776=$D$7,H776=$D$8,H776=$D$9,H776=$D$10,H776=$D$11,H776=$D$12,H776=$D$13,H776=$D$14),SottocategorieUscite[[#Headers],[Personali]],IF(OR(H776=$E$5,H776=$E$6,H776=$E$7,H776=$E$8,H776=$E$9,H776=$E$10,H776=$E$11,H776=$E$12,H776=$E$13,H776=$E$14),SottocategorieUscite[[#Headers],[Lavoro]],IF(OR(H776=$F$5,H776=$F$6,H776=$F$7,H776=$F$8,H776=$F$9,H776=$F$10,H776=$F$11,H776=$F$12,H776=$F$13,H776=$F$14),SottocategorieUscite[[#Headers],[Casa]],IF(OR(H776=$G$5,H776=$G$6,H776=$G$7,H776=$G$8,H776=$G$9,H776=$G$10,H776=$G$11,H776=$G$12,H776=$G$13,H776=$G$14),SottocategorieUscite[[#Headers],[Utenze]],IF(OR(H776=$H$5,H776=$H$6,H776=$H$7,H776=$H$8,H776=$H$9,H776=$H$10,H776=$H$11,H776=$H$12,H776=$H$13,H776=$H$14),SottocategorieUscite[[#Headers],[Business Uscite]],IF(OR(H776=$I$5,H776=$I$6,H776=$I$7,H776=$I$8,H776=$I$9,H776=$I$10,H776=$I$11,H776=$I$12,H776=$I$13,H776=$I$14),SottocategorieUscite[[#Headers],[Banca]],IF(OR(H776=K$5,H776=K$6,H776=K$7,H776=K$8,H776=K$9,H776=K$10,H776=K$11,H776=K$12,H776=K$13,H776=K$14),SottocategorieEntrate[[#Headers],[Business Entrate]],IF(OR(H776=L$5,H776=L$6,H776=L$7,H776=L$8,H776=L$9,H776=L$10,H776=L$11,H776=L$12,H776=L$13,H776=L$14),SottocategorieEntrate[[#Headers],[Varie Entrate]],IF(OR(H776=M$5,H776=M$6,H776=M$7,H776=M$8,H776=M$9,H776=M$10,H776=M$11,H776=M$12,H776=M$13,H776=M$14),SottocategorieEntrate[[#Headers],[Real Estate]],IF(OR(H776=N$5,H776=N$6,H776=N$7,H776=N$8,H776=N$9,H776=N$10,H776=N$11,H776=N$12,H776=N$13,H776=N$14),SottocategorieEntrate[[#Headers],[Other]],""))))))))))))</f>
        <v/>
      </c>
      <c r="J776" t="str">
        <f>IF(OR(Dati[[#This Row],[Categoria]]="Bollette",Dati[[#This Row],[Categoria]]="Conto &amp; Carte BNL",Dati[[#This Row],[Categoria]]="Prelievo",Dati[[#This Row],[Categoria]]="Affitto",Dati[[#This Row],[Categoria]]="BNL(Interessi Creditori)"),"Carta",IF(Dati[[#This Row],[Categoria]]&lt;&gt;0,"Cash",""))</f>
        <v/>
      </c>
      <c r="K776" s="59" t="str">
        <f>IF(OR(Data!$I776=SottocategorieUscite[[#Headers],[Fuori Casa]],Data!$I776=SottocategorieUscite[[#Headers],[Varie Uscite]],Data!$I776=SottocategorieUscite[[#Headers],[Personali]],Data!$I776=SottocategorieUscite[[#Headers],[Lavoro]]),"$ -","")</f>
        <v/>
      </c>
      <c r="L776" s="59" t="str">
        <f>IF(OR(Data!$I776=SottocategorieUscite[[#Headers],[Casa]],Data!$I776=SottocategorieUscite[[#Headers],[Utenze]],Data!$I776=SottocategorieUscite[[#Headers],[Business Uscite]],Data!$I776=SottocategorieUscite[[#Headers],[Banca]]),"$ -","")</f>
        <v/>
      </c>
      <c r="M776" s="59" t="str">
        <f>IF(OR($I776&lt;&gt;SottocategorieUscite[[#Headers],[Fuori Casa]],$I776&lt;&gt;SottocategorieUscite[[#Headers],[Varie Uscite]],$I776&lt;&gt;SottocategorieUscite[[#Headers],[Personali]],$I776&lt;&gt;SottocategorieUscite[[#Headers],[Lavoro]],$I776&lt;&gt;SottocategorieUscite[[#Headers],[Casa]],$I776&lt;&gt;SottocategorieUscite[[#Headers],[Utenze]],$I776&lt;&gt;SottocategorieUscite[[#Headers],[Business Uscite]],$I776&lt;&gt;SottocategorieUscite[[#Headers],[Banca]]),"","$ -")</f>
        <v/>
      </c>
      <c r="N776" s="59" t="str">
        <f>IF(OR(Data!$I776=SottocategorieEntrate[[#Headers],[Business Entrate]],Data!$I776=SottocategorieEntrate[[#Headers],[Varie Entrate]]),"$ -","")</f>
        <v/>
      </c>
      <c r="O776" s="59" t="str">
        <f>IF(OR(Data!$I776=SottocategorieEntrate[[#Headers],[Real Estate]],SottocategorieEntrate[[#Headers],[Other]]),"$ -","")</f>
        <v/>
      </c>
      <c r="P776" s="59" t="str">
        <f>IF(OR($I776&lt;&gt;SottocategorieEntrate[[#Headers],[Business Entrate]],$I776&lt;&gt;SottocategorieEntrate[[#Headers],[Varie Entrate]],$I776&lt;&gt;SottocategorieEntrate[[#Headers],[Real Estate]],$I776&lt;&gt;SottocategorieEntrate[[#Headers],[Other]]),"","$ -")</f>
        <v/>
      </c>
      <c r="Q776" s="59" t="str">
        <f>IF(Dati[[#This Row],[Categoria]]="Prelievo","€ -","")</f>
        <v/>
      </c>
      <c r="R776" s="244"/>
      <c r="S776" s="59" t="str">
        <f>IF(Dati[[#This Row],[Categoria]]="Savings",0,"")</f>
        <v/>
      </c>
      <c r="T776" s="59"/>
      <c r="U776" s="59"/>
      <c r="V776" s="59"/>
      <c r="W776" s="59"/>
      <c r="X776" s="59"/>
      <c r="Y776" s="59"/>
      <c r="Z776" s="59"/>
      <c r="AA776" s="59"/>
      <c r="AB776" s="59"/>
      <c r="AC776" s="59"/>
      <c r="AD776" s="59"/>
      <c r="AE776" s="59"/>
      <c r="AF776" s="59"/>
      <c r="AG776" s="59"/>
      <c r="AH776" s="59"/>
      <c r="AI776" s="59" t="str">
        <f>IF(SUM(Dati[[#This Row],[Inv. Business]:[Inv. Cryptocurrency]])=0," ",SUM(Dati[[#This Row],[Inv. Business]:[Inv. Cryptocurrency]]))</f>
        <v xml:space="preserve"> </v>
      </c>
      <c r="AJ776" s="59"/>
      <c r="AK776" s="59"/>
      <c r="AL776" s="59"/>
      <c r="AM776" s="59"/>
    </row>
    <row r="777" spans="2:39" x14ac:dyDescent="0.35">
      <c r="B777" s="237">
        <f t="shared" si="38"/>
        <v>757</v>
      </c>
      <c r="C777" s="49">
        <f t="shared" si="39"/>
        <v>45506</v>
      </c>
      <c r="D777" s="29">
        <f>DAY(Dati[[#This Row],[Data]])</f>
        <v>2</v>
      </c>
      <c r="E777" s="29" t="str">
        <f>IF(DAY(Data!$C$21:$C$1327)&gt;0,TEXT(Data!$C$21:$C$1327, "mmmm"),"")</f>
        <v>agosto</v>
      </c>
      <c r="F777" s="29" t="str">
        <f>IF(DAY(Data!$C$21:$C$1327)&gt;0,TEXT(Data!$C$21:$C$1327, "aaaa"),"")</f>
        <v>2024</v>
      </c>
      <c r="I777" t="str">
        <f>IF(OR(H777=$B$5,H777=$B$6,H777=$B$7,H777=$B$8,H777=$B$9,H777=$B$10,H777=$B$11,H777=$B$12,H777=$B$13,H777=$B$14),SottocategorieUscite[[#Headers],[Fuori Casa]],IF(OR(H777=$C$5,H777=$C$6,H777=$C$7,H777=$C$8,H777=$C$9,H777=$C$10,H777=$C$11,H777=$C$12,H777=$C$13,H777=$C$14),SottocategorieUscite[[#Headers],[Varie Uscite]],IF(OR(H777=$D$5,H777=$D$6,H777=$D$7,H777=$D$8,H777=$D$9,H777=$D$10,H777=$D$11,H777=$D$12,H777=$D$13,H777=$D$14),SottocategorieUscite[[#Headers],[Personali]],IF(OR(H777=$E$5,H777=$E$6,H777=$E$7,H777=$E$8,H777=$E$9,H777=$E$10,H777=$E$11,H777=$E$12,H777=$E$13,H777=$E$14),SottocategorieUscite[[#Headers],[Lavoro]],IF(OR(H777=$F$5,H777=$F$6,H777=$F$7,H777=$F$8,H777=$F$9,H777=$F$10,H777=$F$11,H777=$F$12,H777=$F$13,H777=$F$14),SottocategorieUscite[[#Headers],[Casa]],IF(OR(H777=$G$5,H777=$G$6,H777=$G$7,H777=$G$8,H777=$G$9,H777=$G$10,H777=$G$11,H777=$G$12,H777=$G$13,H777=$G$14),SottocategorieUscite[[#Headers],[Utenze]],IF(OR(H777=$H$5,H777=$H$6,H777=$H$7,H777=$H$8,H777=$H$9,H777=$H$10,H777=$H$11,H777=$H$12,H777=$H$13,H777=$H$14),SottocategorieUscite[[#Headers],[Business Uscite]],IF(OR(H777=$I$5,H777=$I$6,H777=$I$7,H777=$I$8,H777=$I$9,H777=$I$10,H777=$I$11,H777=$I$12,H777=$I$13,H777=$I$14),SottocategorieUscite[[#Headers],[Banca]],IF(OR(H777=K$5,H777=K$6,H777=K$7,H777=K$8,H777=K$9,H777=K$10,H777=K$11,H777=K$12,H777=K$13,H777=K$14),SottocategorieEntrate[[#Headers],[Business Entrate]],IF(OR(H777=L$5,H777=L$6,H777=L$7,H777=L$8,H777=L$9,H777=L$10,H777=L$11,H777=L$12,H777=L$13,H777=L$14),SottocategorieEntrate[[#Headers],[Varie Entrate]],IF(OR(H777=M$5,H777=M$6,H777=M$7,H777=M$8,H777=M$9,H777=M$10,H777=M$11,H777=M$12,H777=M$13,H777=M$14),SottocategorieEntrate[[#Headers],[Real Estate]],IF(OR(H777=N$5,H777=N$6,H777=N$7,H777=N$8,H777=N$9,H777=N$10,H777=N$11,H777=N$12,H777=N$13,H777=N$14),SottocategorieEntrate[[#Headers],[Other]],""))))))))))))</f>
        <v/>
      </c>
      <c r="J777" t="str">
        <f>IF(OR(Dati[[#This Row],[Categoria]]="Bollette",Dati[[#This Row],[Categoria]]="Conto &amp; Carte BNL",Dati[[#This Row],[Categoria]]="Prelievo",Dati[[#This Row],[Categoria]]="Affitto",Dati[[#This Row],[Categoria]]="BNL(Interessi Creditori)"),"Carta",IF(Dati[[#This Row],[Categoria]]&lt;&gt;0,"Cash",""))</f>
        <v/>
      </c>
      <c r="K777" s="59" t="str">
        <f>IF(OR(Data!$I777=SottocategorieUscite[[#Headers],[Fuori Casa]],Data!$I777=SottocategorieUscite[[#Headers],[Varie Uscite]],Data!$I777=SottocategorieUscite[[#Headers],[Personali]],Data!$I777=SottocategorieUscite[[#Headers],[Lavoro]]),"$ -","")</f>
        <v/>
      </c>
      <c r="L777" s="59" t="str">
        <f>IF(OR(Data!$I777=SottocategorieUscite[[#Headers],[Casa]],Data!$I777=SottocategorieUscite[[#Headers],[Utenze]],Data!$I777=SottocategorieUscite[[#Headers],[Business Uscite]],Data!$I777=SottocategorieUscite[[#Headers],[Banca]]),"$ -","")</f>
        <v/>
      </c>
      <c r="M777" s="59" t="str">
        <f>IF(OR($I777&lt;&gt;SottocategorieUscite[[#Headers],[Fuori Casa]],$I777&lt;&gt;SottocategorieUscite[[#Headers],[Varie Uscite]],$I777&lt;&gt;SottocategorieUscite[[#Headers],[Personali]],$I777&lt;&gt;SottocategorieUscite[[#Headers],[Lavoro]],$I777&lt;&gt;SottocategorieUscite[[#Headers],[Casa]],$I777&lt;&gt;SottocategorieUscite[[#Headers],[Utenze]],$I777&lt;&gt;SottocategorieUscite[[#Headers],[Business Uscite]],$I777&lt;&gt;SottocategorieUscite[[#Headers],[Banca]]),"","$ -")</f>
        <v/>
      </c>
      <c r="N777" s="59" t="str">
        <f>IF(OR(Data!$I777=SottocategorieEntrate[[#Headers],[Business Entrate]],Data!$I777=SottocategorieEntrate[[#Headers],[Varie Entrate]]),"$ -","")</f>
        <v/>
      </c>
      <c r="O777" s="59" t="str">
        <f>IF(OR(Data!$I777=SottocategorieEntrate[[#Headers],[Real Estate]],SottocategorieEntrate[[#Headers],[Other]]),"$ -","")</f>
        <v/>
      </c>
      <c r="P777" s="59" t="str">
        <f>IF(OR($I777&lt;&gt;SottocategorieEntrate[[#Headers],[Business Entrate]],$I777&lt;&gt;SottocategorieEntrate[[#Headers],[Varie Entrate]],$I777&lt;&gt;SottocategorieEntrate[[#Headers],[Real Estate]],$I777&lt;&gt;SottocategorieEntrate[[#Headers],[Other]]),"","$ -")</f>
        <v/>
      </c>
      <c r="Q777" s="59" t="str">
        <f>IF(Dati[[#This Row],[Categoria]]="Prelievo","€ -","")</f>
        <v/>
      </c>
      <c r="R777" s="244"/>
      <c r="S777" s="59" t="str">
        <f>IF(Dati[[#This Row],[Categoria]]="Savings",0,"")</f>
        <v/>
      </c>
      <c r="T777" s="59"/>
      <c r="U777" s="59"/>
      <c r="V777" s="59"/>
      <c r="W777" s="59"/>
      <c r="X777" s="59"/>
      <c r="Y777" s="59"/>
      <c r="Z777" s="59"/>
      <c r="AA777" s="59"/>
      <c r="AB777" s="59"/>
      <c r="AC777" s="59"/>
      <c r="AD777" s="59"/>
      <c r="AE777" s="59"/>
      <c r="AF777" s="59"/>
      <c r="AG777" s="59"/>
      <c r="AH777" s="59"/>
      <c r="AI777" s="59" t="str">
        <f>IF(SUM(Dati[[#This Row],[Inv. Business]:[Inv. Cryptocurrency]])=0," ",SUM(Dati[[#This Row],[Inv. Business]:[Inv. Cryptocurrency]]))</f>
        <v xml:space="preserve"> </v>
      </c>
      <c r="AJ777" s="59"/>
      <c r="AK777" s="59"/>
      <c r="AL777" s="59"/>
      <c r="AM777" s="59"/>
    </row>
    <row r="778" spans="2:39" x14ac:dyDescent="0.35">
      <c r="B778" s="237">
        <f t="shared" si="38"/>
        <v>758</v>
      </c>
      <c r="C778" s="49">
        <f t="shared" si="39"/>
        <v>45507</v>
      </c>
      <c r="D778" s="29">
        <f>DAY(Dati[[#This Row],[Data]])</f>
        <v>3</v>
      </c>
      <c r="E778" s="29" t="str">
        <f>IF(DAY(Data!$C$21:$C$1327)&gt;0,TEXT(Data!$C$21:$C$1327, "mmmm"),"")</f>
        <v>agosto</v>
      </c>
      <c r="F778" s="29" t="str">
        <f>IF(DAY(Data!$C$21:$C$1327)&gt;0,TEXT(Data!$C$21:$C$1327, "aaaa"),"")</f>
        <v>2024</v>
      </c>
      <c r="I778" t="str">
        <f>IF(OR(H778=$B$5,H778=$B$6,H778=$B$7,H778=$B$8,H778=$B$9,H778=$B$10,H778=$B$11,H778=$B$12,H778=$B$13,H778=$B$14),SottocategorieUscite[[#Headers],[Fuori Casa]],IF(OR(H778=$C$5,H778=$C$6,H778=$C$7,H778=$C$8,H778=$C$9,H778=$C$10,H778=$C$11,H778=$C$12,H778=$C$13,H778=$C$14),SottocategorieUscite[[#Headers],[Varie Uscite]],IF(OR(H778=$D$5,H778=$D$6,H778=$D$7,H778=$D$8,H778=$D$9,H778=$D$10,H778=$D$11,H778=$D$12,H778=$D$13,H778=$D$14),SottocategorieUscite[[#Headers],[Personali]],IF(OR(H778=$E$5,H778=$E$6,H778=$E$7,H778=$E$8,H778=$E$9,H778=$E$10,H778=$E$11,H778=$E$12,H778=$E$13,H778=$E$14),SottocategorieUscite[[#Headers],[Lavoro]],IF(OR(H778=$F$5,H778=$F$6,H778=$F$7,H778=$F$8,H778=$F$9,H778=$F$10,H778=$F$11,H778=$F$12,H778=$F$13,H778=$F$14),SottocategorieUscite[[#Headers],[Casa]],IF(OR(H778=$G$5,H778=$G$6,H778=$G$7,H778=$G$8,H778=$G$9,H778=$G$10,H778=$G$11,H778=$G$12,H778=$G$13,H778=$G$14),SottocategorieUscite[[#Headers],[Utenze]],IF(OR(H778=$H$5,H778=$H$6,H778=$H$7,H778=$H$8,H778=$H$9,H778=$H$10,H778=$H$11,H778=$H$12,H778=$H$13,H778=$H$14),SottocategorieUscite[[#Headers],[Business Uscite]],IF(OR(H778=$I$5,H778=$I$6,H778=$I$7,H778=$I$8,H778=$I$9,H778=$I$10,H778=$I$11,H778=$I$12,H778=$I$13,H778=$I$14),SottocategorieUscite[[#Headers],[Banca]],IF(OR(H778=K$5,H778=K$6,H778=K$7,H778=K$8,H778=K$9,H778=K$10,H778=K$11,H778=K$12,H778=K$13,H778=K$14),SottocategorieEntrate[[#Headers],[Business Entrate]],IF(OR(H778=L$5,H778=L$6,H778=L$7,H778=L$8,H778=L$9,H778=L$10,H778=L$11,H778=L$12,H778=L$13,H778=L$14),SottocategorieEntrate[[#Headers],[Varie Entrate]],IF(OR(H778=M$5,H778=M$6,H778=M$7,H778=M$8,H778=M$9,H778=M$10,H778=M$11,H778=M$12,H778=M$13,H778=M$14),SottocategorieEntrate[[#Headers],[Real Estate]],IF(OR(H778=N$5,H778=N$6,H778=N$7,H778=N$8,H778=N$9,H778=N$10,H778=N$11,H778=N$12,H778=N$13,H778=N$14),SottocategorieEntrate[[#Headers],[Other]],""))))))))))))</f>
        <v/>
      </c>
      <c r="J778" t="str">
        <f>IF(OR(Dati[[#This Row],[Categoria]]="Bollette",Dati[[#This Row],[Categoria]]="Conto &amp; Carte BNL",Dati[[#This Row],[Categoria]]="Prelievo",Dati[[#This Row],[Categoria]]="Affitto",Dati[[#This Row],[Categoria]]="BNL(Interessi Creditori)"),"Carta",IF(Dati[[#This Row],[Categoria]]&lt;&gt;0,"Cash",""))</f>
        <v/>
      </c>
      <c r="K778" s="59" t="str">
        <f>IF(OR(Data!$I778=SottocategorieUscite[[#Headers],[Fuori Casa]],Data!$I778=SottocategorieUscite[[#Headers],[Varie Uscite]],Data!$I778=SottocategorieUscite[[#Headers],[Personali]],Data!$I778=SottocategorieUscite[[#Headers],[Lavoro]]),"$ -","")</f>
        <v/>
      </c>
      <c r="L778" s="59" t="str">
        <f>IF(OR(Data!$I778=SottocategorieUscite[[#Headers],[Casa]],Data!$I778=SottocategorieUscite[[#Headers],[Utenze]],Data!$I778=SottocategorieUscite[[#Headers],[Business Uscite]],Data!$I778=SottocategorieUscite[[#Headers],[Banca]]),"$ -","")</f>
        <v/>
      </c>
      <c r="M778" s="59" t="str">
        <f>IF(OR($I778&lt;&gt;SottocategorieUscite[[#Headers],[Fuori Casa]],$I778&lt;&gt;SottocategorieUscite[[#Headers],[Varie Uscite]],$I778&lt;&gt;SottocategorieUscite[[#Headers],[Personali]],$I778&lt;&gt;SottocategorieUscite[[#Headers],[Lavoro]],$I778&lt;&gt;SottocategorieUscite[[#Headers],[Casa]],$I778&lt;&gt;SottocategorieUscite[[#Headers],[Utenze]],$I778&lt;&gt;SottocategorieUscite[[#Headers],[Business Uscite]],$I778&lt;&gt;SottocategorieUscite[[#Headers],[Banca]]),"","$ -")</f>
        <v/>
      </c>
      <c r="N778" s="59" t="str">
        <f>IF(OR(Data!$I778=SottocategorieEntrate[[#Headers],[Business Entrate]],Data!$I778=SottocategorieEntrate[[#Headers],[Varie Entrate]]),"$ -","")</f>
        <v/>
      </c>
      <c r="O778" s="59" t="str">
        <f>IF(OR(Data!$I778=SottocategorieEntrate[[#Headers],[Real Estate]],SottocategorieEntrate[[#Headers],[Other]]),"$ -","")</f>
        <v/>
      </c>
      <c r="P778" s="59" t="str">
        <f>IF(OR($I778&lt;&gt;SottocategorieEntrate[[#Headers],[Business Entrate]],$I778&lt;&gt;SottocategorieEntrate[[#Headers],[Varie Entrate]],$I778&lt;&gt;SottocategorieEntrate[[#Headers],[Real Estate]],$I778&lt;&gt;SottocategorieEntrate[[#Headers],[Other]]),"","$ -")</f>
        <v/>
      </c>
      <c r="Q778" s="59" t="str">
        <f>IF(Dati[[#This Row],[Categoria]]="Prelievo","€ -","")</f>
        <v/>
      </c>
      <c r="R778" s="244"/>
      <c r="S778" s="59" t="str">
        <f>IF(Dati[[#This Row],[Categoria]]="Savings",0,"")</f>
        <v/>
      </c>
      <c r="T778" s="59"/>
      <c r="U778" s="59"/>
      <c r="V778" s="59"/>
      <c r="W778" s="59"/>
      <c r="X778" s="59"/>
      <c r="Y778" s="59"/>
      <c r="Z778" s="59"/>
      <c r="AA778" s="59"/>
      <c r="AB778" s="59"/>
      <c r="AC778" s="59"/>
      <c r="AD778" s="59"/>
      <c r="AE778" s="59"/>
      <c r="AF778" s="59"/>
      <c r="AG778" s="59"/>
      <c r="AH778" s="59"/>
      <c r="AI778" s="59" t="str">
        <f>IF(SUM(Dati[[#This Row],[Inv. Business]:[Inv. Cryptocurrency]])=0," ",SUM(Dati[[#This Row],[Inv. Business]:[Inv. Cryptocurrency]]))</f>
        <v xml:space="preserve"> </v>
      </c>
      <c r="AJ778" s="59"/>
      <c r="AK778" s="59"/>
      <c r="AL778" s="59"/>
      <c r="AM778" s="59"/>
    </row>
    <row r="779" spans="2:39" x14ac:dyDescent="0.35">
      <c r="B779" s="237">
        <f t="shared" si="38"/>
        <v>759</v>
      </c>
      <c r="C779" s="49">
        <f t="shared" si="39"/>
        <v>45508</v>
      </c>
      <c r="D779" s="29">
        <f>DAY(Dati[[#This Row],[Data]])</f>
        <v>4</v>
      </c>
      <c r="E779" s="29" t="str">
        <f>IF(DAY(Data!$C$21:$C$1327)&gt;0,TEXT(Data!$C$21:$C$1327, "mmmm"),"")</f>
        <v>agosto</v>
      </c>
      <c r="F779" s="29" t="str">
        <f>IF(DAY(Data!$C$21:$C$1327)&gt;0,TEXT(Data!$C$21:$C$1327, "aaaa"),"")</f>
        <v>2024</v>
      </c>
      <c r="I779" t="str">
        <f>IF(OR(H779=$B$5,H779=$B$6,H779=$B$7,H779=$B$8,H779=$B$9,H779=$B$10,H779=$B$11,H779=$B$12,H779=$B$13,H779=$B$14),SottocategorieUscite[[#Headers],[Fuori Casa]],IF(OR(H779=$C$5,H779=$C$6,H779=$C$7,H779=$C$8,H779=$C$9,H779=$C$10,H779=$C$11,H779=$C$12,H779=$C$13,H779=$C$14),SottocategorieUscite[[#Headers],[Varie Uscite]],IF(OR(H779=$D$5,H779=$D$6,H779=$D$7,H779=$D$8,H779=$D$9,H779=$D$10,H779=$D$11,H779=$D$12,H779=$D$13,H779=$D$14),SottocategorieUscite[[#Headers],[Personali]],IF(OR(H779=$E$5,H779=$E$6,H779=$E$7,H779=$E$8,H779=$E$9,H779=$E$10,H779=$E$11,H779=$E$12,H779=$E$13,H779=$E$14),SottocategorieUscite[[#Headers],[Lavoro]],IF(OR(H779=$F$5,H779=$F$6,H779=$F$7,H779=$F$8,H779=$F$9,H779=$F$10,H779=$F$11,H779=$F$12,H779=$F$13,H779=$F$14),SottocategorieUscite[[#Headers],[Casa]],IF(OR(H779=$G$5,H779=$G$6,H779=$G$7,H779=$G$8,H779=$G$9,H779=$G$10,H779=$G$11,H779=$G$12,H779=$G$13,H779=$G$14),SottocategorieUscite[[#Headers],[Utenze]],IF(OR(H779=$H$5,H779=$H$6,H779=$H$7,H779=$H$8,H779=$H$9,H779=$H$10,H779=$H$11,H779=$H$12,H779=$H$13,H779=$H$14),SottocategorieUscite[[#Headers],[Business Uscite]],IF(OR(H779=$I$5,H779=$I$6,H779=$I$7,H779=$I$8,H779=$I$9,H779=$I$10,H779=$I$11,H779=$I$12,H779=$I$13,H779=$I$14),SottocategorieUscite[[#Headers],[Banca]],IF(OR(H779=K$5,H779=K$6,H779=K$7,H779=K$8,H779=K$9,H779=K$10,H779=K$11,H779=K$12,H779=K$13,H779=K$14),SottocategorieEntrate[[#Headers],[Business Entrate]],IF(OR(H779=L$5,H779=L$6,H779=L$7,H779=L$8,H779=L$9,H779=L$10,H779=L$11,H779=L$12,H779=L$13,H779=L$14),SottocategorieEntrate[[#Headers],[Varie Entrate]],IF(OR(H779=M$5,H779=M$6,H779=M$7,H779=M$8,H779=M$9,H779=M$10,H779=M$11,H779=M$12,H779=M$13,H779=M$14),SottocategorieEntrate[[#Headers],[Real Estate]],IF(OR(H779=N$5,H779=N$6,H779=N$7,H779=N$8,H779=N$9,H779=N$10,H779=N$11,H779=N$12,H779=N$13,H779=N$14),SottocategorieEntrate[[#Headers],[Other]],""))))))))))))</f>
        <v/>
      </c>
      <c r="J779" t="str">
        <f>IF(OR(Dati[[#This Row],[Categoria]]="Bollette",Dati[[#This Row],[Categoria]]="Conto &amp; Carte BNL",Dati[[#This Row],[Categoria]]="Prelievo",Dati[[#This Row],[Categoria]]="Affitto",Dati[[#This Row],[Categoria]]="BNL(Interessi Creditori)"),"Carta",IF(Dati[[#This Row],[Categoria]]&lt;&gt;0,"Cash",""))</f>
        <v/>
      </c>
      <c r="K779" s="59" t="str">
        <f>IF(OR(Data!$I779=SottocategorieUscite[[#Headers],[Fuori Casa]],Data!$I779=SottocategorieUscite[[#Headers],[Varie Uscite]],Data!$I779=SottocategorieUscite[[#Headers],[Personali]],Data!$I779=SottocategorieUscite[[#Headers],[Lavoro]]),"$ -","")</f>
        <v/>
      </c>
      <c r="L779" s="59" t="str">
        <f>IF(OR(Data!$I779=SottocategorieUscite[[#Headers],[Casa]],Data!$I779=SottocategorieUscite[[#Headers],[Utenze]],Data!$I779=SottocategorieUscite[[#Headers],[Business Uscite]],Data!$I779=SottocategorieUscite[[#Headers],[Banca]]),"$ -","")</f>
        <v/>
      </c>
      <c r="M779" s="59" t="str">
        <f>IF(OR($I779&lt;&gt;SottocategorieUscite[[#Headers],[Fuori Casa]],$I779&lt;&gt;SottocategorieUscite[[#Headers],[Varie Uscite]],$I779&lt;&gt;SottocategorieUscite[[#Headers],[Personali]],$I779&lt;&gt;SottocategorieUscite[[#Headers],[Lavoro]],$I779&lt;&gt;SottocategorieUscite[[#Headers],[Casa]],$I779&lt;&gt;SottocategorieUscite[[#Headers],[Utenze]],$I779&lt;&gt;SottocategorieUscite[[#Headers],[Business Uscite]],$I779&lt;&gt;SottocategorieUscite[[#Headers],[Banca]]),"","$ -")</f>
        <v/>
      </c>
      <c r="N779" s="59" t="str">
        <f>IF(OR(Data!$I779=SottocategorieEntrate[[#Headers],[Business Entrate]],Data!$I779=SottocategorieEntrate[[#Headers],[Varie Entrate]]),"$ -","")</f>
        <v/>
      </c>
      <c r="O779" s="59" t="str">
        <f>IF(OR(Data!$I779=SottocategorieEntrate[[#Headers],[Real Estate]],SottocategorieEntrate[[#Headers],[Other]]),"$ -","")</f>
        <v/>
      </c>
      <c r="P779" s="59" t="str">
        <f>IF(OR($I779&lt;&gt;SottocategorieEntrate[[#Headers],[Business Entrate]],$I779&lt;&gt;SottocategorieEntrate[[#Headers],[Varie Entrate]],$I779&lt;&gt;SottocategorieEntrate[[#Headers],[Real Estate]],$I779&lt;&gt;SottocategorieEntrate[[#Headers],[Other]]),"","$ -")</f>
        <v/>
      </c>
      <c r="Q779" s="59" t="str">
        <f>IF(Dati[[#This Row],[Categoria]]="Prelievo","€ -","")</f>
        <v/>
      </c>
      <c r="R779" s="244"/>
      <c r="S779" s="59" t="str">
        <f>IF(Dati[[#This Row],[Categoria]]="Savings",0,"")</f>
        <v/>
      </c>
      <c r="T779" s="59"/>
      <c r="U779" s="59"/>
      <c r="V779" s="59"/>
      <c r="W779" s="59"/>
      <c r="X779" s="59"/>
      <c r="Y779" s="59"/>
      <c r="Z779" s="59"/>
      <c r="AA779" s="59"/>
      <c r="AB779" s="59"/>
      <c r="AC779" s="59"/>
      <c r="AD779" s="59"/>
      <c r="AE779" s="59"/>
      <c r="AF779" s="59"/>
      <c r="AG779" s="59"/>
      <c r="AH779" s="59"/>
      <c r="AI779" s="59" t="str">
        <f>IF(SUM(Dati[[#This Row],[Inv. Business]:[Inv. Cryptocurrency]])=0," ",SUM(Dati[[#This Row],[Inv. Business]:[Inv. Cryptocurrency]]))</f>
        <v xml:space="preserve"> </v>
      </c>
      <c r="AJ779" s="59"/>
      <c r="AK779" s="59"/>
      <c r="AL779" s="59"/>
      <c r="AM779" s="59"/>
    </row>
    <row r="780" spans="2:39" x14ac:dyDescent="0.35">
      <c r="B780" s="237">
        <f t="shared" si="38"/>
        <v>760</v>
      </c>
      <c r="C780" s="49">
        <f t="shared" si="39"/>
        <v>45509</v>
      </c>
      <c r="D780" s="29">
        <f>DAY(Dati[[#This Row],[Data]])</f>
        <v>5</v>
      </c>
      <c r="E780" s="29" t="str">
        <f>IF(DAY(Data!$C$21:$C$1327)&gt;0,TEXT(Data!$C$21:$C$1327, "mmmm"),"")</f>
        <v>agosto</v>
      </c>
      <c r="F780" s="29" t="str">
        <f>IF(DAY(Data!$C$21:$C$1327)&gt;0,TEXT(Data!$C$21:$C$1327, "aaaa"),"")</f>
        <v>2024</v>
      </c>
      <c r="I780" t="str">
        <f>IF(OR(H780=$B$5,H780=$B$6,H780=$B$7,H780=$B$8,H780=$B$9,H780=$B$10,H780=$B$11,H780=$B$12,H780=$B$13,H780=$B$14),SottocategorieUscite[[#Headers],[Fuori Casa]],IF(OR(H780=$C$5,H780=$C$6,H780=$C$7,H780=$C$8,H780=$C$9,H780=$C$10,H780=$C$11,H780=$C$12,H780=$C$13,H780=$C$14),SottocategorieUscite[[#Headers],[Varie Uscite]],IF(OR(H780=$D$5,H780=$D$6,H780=$D$7,H780=$D$8,H780=$D$9,H780=$D$10,H780=$D$11,H780=$D$12,H780=$D$13,H780=$D$14),SottocategorieUscite[[#Headers],[Personali]],IF(OR(H780=$E$5,H780=$E$6,H780=$E$7,H780=$E$8,H780=$E$9,H780=$E$10,H780=$E$11,H780=$E$12,H780=$E$13,H780=$E$14),SottocategorieUscite[[#Headers],[Lavoro]],IF(OR(H780=$F$5,H780=$F$6,H780=$F$7,H780=$F$8,H780=$F$9,H780=$F$10,H780=$F$11,H780=$F$12,H780=$F$13,H780=$F$14),SottocategorieUscite[[#Headers],[Casa]],IF(OR(H780=$G$5,H780=$G$6,H780=$G$7,H780=$G$8,H780=$G$9,H780=$G$10,H780=$G$11,H780=$G$12,H780=$G$13,H780=$G$14),SottocategorieUscite[[#Headers],[Utenze]],IF(OR(H780=$H$5,H780=$H$6,H780=$H$7,H780=$H$8,H780=$H$9,H780=$H$10,H780=$H$11,H780=$H$12,H780=$H$13,H780=$H$14),SottocategorieUscite[[#Headers],[Business Uscite]],IF(OR(H780=$I$5,H780=$I$6,H780=$I$7,H780=$I$8,H780=$I$9,H780=$I$10,H780=$I$11,H780=$I$12,H780=$I$13,H780=$I$14),SottocategorieUscite[[#Headers],[Banca]],IF(OR(H780=K$5,H780=K$6,H780=K$7,H780=K$8,H780=K$9,H780=K$10,H780=K$11,H780=K$12,H780=K$13,H780=K$14),SottocategorieEntrate[[#Headers],[Business Entrate]],IF(OR(H780=L$5,H780=L$6,H780=L$7,H780=L$8,H780=L$9,H780=L$10,H780=L$11,H780=L$12,H780=L$13,H780=L$14),SottocategorieEntrate[[#Headers],[Varie Entrate]],IF(OR(H780=M$5,H780=M$6,H780=M$7,H780=M$8,H780=M$9,H780=M$10,H780=M$11,H780=M$12,H780=M$13,H780=M$14),SottocategorieEntrate[[#Headers],[Real Estate]],IF(OR(H780=N$5,H780=N$6,H780=N$7,H780=N$8,H780=N$9,H780=N$10,H780=N$11,H780=N$12,H780=N$13,H780=N$14),SottocategorieEntrate[[#Headers],[Other]],""))))))))))))</f>
        <v/>
      </c>
      <c r="J780" t="str">
        <f>IF(OR(Dati[[#This Row],[Categoria]]="Bollette",Dati[[#This Row],[Categoria]]="Conto &amp; Carte BNL",Dati[[#This Row],[Categoria]]="Prelievo",Dati[[#This Row],[Categoria]]="Affitto",Dati[[#This Row],[Categoria]]="BNL(Interessi Creditori)"),"Carta",IF(Dati[[#This Row],[Categoria]]&lt;&gt;0,"Cash",""))</f>
        <v/>
      </c>
      <c r="K780" s="59" t="str">
        <f>IF(OR(Data!$I780=SottocategorieUscite[[#Headers],[Fuori Casa]],Data!$I780=SottocategorieUscite[[#Headers],[Varie Uscite]],Data!$I780=SottocategorieUscite[[#Headers],[Personali]],Data!$I780=SottocategorieUscite[[#Headers],[Lavoro]]),"$ -","")</f>
        <v/>
      </c>
      <c r="L780" s="59" t="str">
        <f>IF(OR(Data!$I780=SottocategorieUscite[[#Headers],[Casa]],Data!$I780=SottocategorieUscite[[#Headers],[Utenze]],Data!$I780=SottocategorieUscite[[#Headers],[Business Uscite]],Data!$I780=SottocategorieUscite[[#Headers],[Banca]]),"$ -","")</f>
        <v/>
      </c>
      <c r="M780" s="59" t="str">
        <f>IF(OR($I780&lt;&gt;SottocategorieUscite[[#Headers],[Fuori Casa]],$I780&lt;&gt;SottocategorieUscite[[#Headers],[Varie Uscite]],$I780&lt;&gt;SottocategorieUscite[[#Headers],[Personali]],$I780&lt;&gt;SottocategorieUscite[[#Headers],[Lavoro]],$I780&lt;&gt;SottocategorieUscite[[#Headers],[Casa]],$I780&lt;&gt;SottocategorieUscite[[#Headers],[Utenze]],$I780&lt;&gt;SottocategorieUscite[[#Headers],[Business Uscite]],$I780&lt;&gt;SottocategorieUscite[[#Headers],[Banca]]),"","$ -")</f>
        <v/>
      </c>
      <c r="N780" s="59" t="str">
        <f>IF(OR(Data!$I780=SottocategorieEntrate[[#Headers],[Business Entrate]],Data!$I780=SottocategorieEntrate[[#Headers],[Varie Entrate]]),"$ -","")</f>
        <v/>
      </c>
      <c r="O780" s="59" t="str">
        <f>IF(OR(Data!$I780=SottocategorieEntrate[[#Headers],[Real Estate]],SottocategorieEntrate[[#Headers],[Other]]),"$ -","")</f>
        <v/>
      </c>
      <c r="P780" s="59" t="str">
        <f>IF(OR($I780&lt;&gt;SottocategorieEntrate[[#Headers],[Business Entrate]],$I780&lt;&gt;SottocategorieEntrate[[#Headers],[Varie Entrate]],$I780&lt;&gt;SottocategorieEntrate[[#Headers],[Real Estate]],$I780&lt;&gt;SottocategorieEntrate[[#Headers],[Other]]),"","$ -")</f>
        <v/>
      </c>
      <c r="Q780" s="59" t="str">
        <f>IF(Dati[[#This Row],[Categoria]]="Prelievo","€ -","")</f>
        <v/>
      </c>
      <c r="R780" s="244"/>
      <c r="S780" s="59" t="str">
        <f>IF(Dati[[#This Row],[Categoria]]="Savings",0,"")</f>
        <v/>
      </c>
      <c r="T780" s="59"/>
      <c r="U780" s="59"/>
      <c r="V780" s="59"/>
      <c r="W780" s="59"/>
      <c r="X780" s="59"/>
      <c r="Y780" s="59"/>
      <c r="Z780" s="59"/>
      <c r="AA780" s="59"/>
      <c r="AB780" s="59"/>
      <c r="AC780" s="59"/>
      <c r="AD780" s="59"/>
      <c r="AE780" s="59"/>
      <c r="AF780" s="59"/>
      <c r="AG780" s="59"/>
      <c r="AH780" s="59"/>
      <c r="AI780" s="59" t="str">
        <f>IF(SUM(Dati[[#This Row],[Inv. Business]:[Inv. Cryptocurrency]])=0," ",SUM(Dati[[#This Row],[Inv. Business]:[Inv. Cryptocurrency]]))</f>
        <v xml:space="preserve"> </v>
      </c>
      <c r="AJ780" s="59"/>
      <c r="AK780" s="59"/>
      <c r="AL780" s="59"/>
      <c r="AM780" s="59"/>
    </row>
    <row r="781" spans="2:39" x14ac:dyDescent="0.35">
      <c r="B781" s="237">
        <f t="shared" si="38"/>
        <v>761</v>
      </c>
      <c r="C781" s="49">
        <f t="shared" si="39"/>
        <v>45510</v>
      </c>
      <c r="D781" s="29">
        <f>DAY(Dati[[#This Row],[Data]])</f>
        <v>6</v>
      </c>
      <c r="E781" s="29" t="str">
        <f>IF(DAY(Data!$C$21:$C$1327)&gt;0,TEXT(Data!$C$21:$C$1327, "mmmm"),"")</f>
        <v>agosto</v>
      </c>
      <c r="F781" s="29" t="str">
        <f>IF(DAY(Data!$C$21:$C$1327)&gt;0,TEXT(Data!$C$21:$C$1327, "aaaa"),"")</f>
        <v>2024</v>
      </c>
      <c r="I781" t="str">
        <f>IF(OR(H781=$B$5,H781=$B$6,H781=$B$7,H781=$B$8,H781=$B$9,H781=$B$10,H781=$B$11,H781=$B$12,H781=$B$13,H781=$B$14),SottocategorieUscite[[#Headers],[Fuori Casa]],IF(OR(H781=$C$5,H781=$C$6,H781=$C$7,H781=$C$8,H781=$C$9,H781=$C$10,H781=$C$11,H781=$C$12,H781=$C$13,H781=$C$14),SottocategorieUscite[[#Headers],[Varie Uscite]],IF(OR(H781=$D$5,H781=$D$6,H781=$D$7,H781=$D$8,H781=$D$9,H781=$D$10,H781=$D$11,H781=$D$12,H781=$D$13,H781=$D$14),SottocategorieUscite[[#Headers],[Personali]],IF(OR(H781=$E$5,H781=$E$6,H781=$E$7,H781=$E$8,H781=$E$9,H781=$E$10,H781=$E$11,H781=$E$12,H781=$E$13,H781=$E$14),SottocategorieUscite[[#Headers],[Lavoro]],IF(OR(H781=$F$5,H781=$F$6,H781=$F$7,H781=$F$8,H781=$F$9,H781=$F$10,H781=$F$11,H781=$F$12,H781=$F$13,H781=$F$14),SottocategorieUscite[[#Headers],[Casa]],IF(OR(H781=$G$5,H781=$G$6,H781=$G$7,H781=$G$8,H781=$G$9,H781=$G$10,H781=$G$11,H781=$G$12,H781=$G$13,H781=$G$14),SottocategorieUscite[[#Headers],[Utenze]],IF(OR(H781=$H$5,H781=$H$6,H781=$H$7,H781=$H$8,H781=$H$9,H781=$H$10,H781=$H$11,H781=$H$12,H781=$H$13,H781=$H$14),SottocategorieUscite[[#Headers],[Business Uscite]],IF(OR(H781=$I$5,H781=$I$6,H781=$I$7,H781=$I$8,H781=$I$9,H781=$I$10,H781=$I$11,H781=$I$12,H781=$I$13,H781=$I$14),SottocategorieUscite[[#Headers],[Banca]],IF(OR(H781=K$5,H781=K$6,H781=K$7,H781=K$8,H781=K$9,H781=K$10,H781=K$11,H781=K$12,H781=K$13,H781=K$14),SottocategorieEntrate[[#Headers],[Business Entrate]],IF(OR(H781=L$5,H781=L$6,H781=L$7,H781=L$8,H781=L$9,H781=L$10,H781=L$11,H781=L$12,H781=L$13,H781=L$14),SottocategorieEntrate[[#Headers],[Varie Entrate]],IF(OR(H781=M$5,H781=M$6,H781=M$7,H781=M$8,H781=M$9,H781=M$10,H781=M$11,H781=M$12,H781=M$13,H781=M$14),SottocategorieEntrate[[#Headers],[Real Estate]],IF(OR(H781=N$5,H781=N$6,H781=N$7,H781=N$8,H781=N$9,H781=N$10,H781=N$11,H781=N$12,H781=N$13,H781=N$14),SottocategorieEntrate[[#Headers],[Other]],""))))))))))))</f>
        <v/>
      </c>
      <c r="J781" t="str">
        <f>IF(OR(Dati[[#This Row],[Categoria]]="Bollette",Dati[[#This Row],[Categoria]]="Conto &amp; Carte BNL",Dati[[#This Row],[Categoria]]="Prelievo",Dati[[#This Row],[Categoria]]="Affitto",Dati[[#This Row],[Categoria]]="BNL(Interessi Creditori)"),"Carta",IF(Dati[[#This Row],[Categoria]]&lt;&gt;0,"Cash",""))</f>
        <v/>
      </c>
      <c r="K781" s="59" t="str">
        <f>IF(OR(Data!$I781=SottocategorieUscite[[#Headers],[Fuori Casa]],Data!$I781=SottocategorieUscite[[#Headers],[Varie Uscite]],Data!$I781=SottocategorieUscite[[#Headers],[Personali]],Data!$I781=SottocategorieUscite[[#Headers],[Lavoro]]),"$ -","")</f>
        <v/>
      </c>
      <c r="L781" s="59" t="str">
        <f>IF(OR(Data!$I781=SottocategorieUscite[[#Headers],[Casa]],Data!$I781=SottocategorieUscite[[#Headers],[Utenze]],Data!$I781=SottocategorieUscite[[#Headers],[Business Uscite]],Data!$I781=SottocategorieUscite[[#Headers],[Banca]]),"$ -","")</f>
        <v/>
      </c>
      <c r="M781" s="59" t="str">
        <f>IF(OR($I781&lt;&gt;SottocategorieUscite[[#Headers],[Fuori Casa]],$I781&lt;&gt;SottocategorieUscite[[#Headers],[Varie Uscite]],$I781&lt;&gt;SottocategorieUscite[[#Headers],[Personali]],$I781&lt;&gt;SottocategorieUscite[[#Headers],[Lavoro]],$I781&lt;&gt;SottocategorieUscite[[#Headers],[Casa]],$I781&lt;&gt;SottocategorieUscite[[#Headers],[Utenze]],$I781&lt;&gt;SottocategorieUscite[[#Headers],[Business Uscite]],$I781&lt;&gt;SottocategorieUscite[[#Headers],[Banca]]),"","$ -")</f>
        <v/>
      </c>
      <c r="N781" s="59" t="str">
        <f>IF(OR(Data!$I781=SottocategorieEntrate[[#Headers],[Business Entrate]],Data!$I781=SottocategorieEntrate[[#Headers],[Varie Entrate]]),"$ -","")</f>
        <v/>
      </c>
      <c r="O781" s="59" t="str">
        <f>IF(OR(Data!$I781=SottocategorieEntrate[[#Headers],[Real Estate]],SottocategorieEntrate[[#Headers],[Other]]),"$ -","")</f>
        <v/>
      </c>
      <c r="P781" s="59" t="str">
        <f>IF(OR($I781&lt;&gt;SottocategorieEntrate[[#Headers],[Business Entrate]],$I781&lt;&gt;SottocategorieEntrate[[#Headers],[Varie Entrate]],$I781&lt;&gt;SottocategorieEntrate[[#Headers],[Real Estate]],$I781&lt;&gt;SottocategorieEntrate[[#Headers],[Other]]),"","$ -")</f>
        <v/>
      </c>
      <c r="Q781" s="59" t="str">
        <f>IF(Dati[[#This Row],[Categoria]]="Prelievo","€ -","")</f>
        <v/>
      </c>
      <c r="R781" s="244"/>
      <c r="S781" s="59" t="str">
        <f>IF(Dati[[#This Row],[Categoria]]="Savings",0,"")</f>
        <v/>
      </c>
      <c r="T781" s="59"/>
      <c r="U781" s="59"/>
      <c r="V781" s="59"/>
      <c r="W781" s="59"/>
      <c r="X781" s="59"/>
      <c r="Y781" s="59"/>
      <c r="Z781" s="59"/>
      <c r="AA781" s="59"/>
      <c r="AB781" s="59"/>
      <c r="AC781" s="59"/>
      <c r="AD781" s="59"/>
      <c r="AE781" s="59"/>
      <c r="AF781" s="59"/>
      <c r="AG781" s="59"/>
      <c r="AH781" s="59"/>
      <c r="AI781" s="59" t="str">
        <f>IF(SUM(Dati[[#This Row],[Inv. Business]:[Inv. Cryptocurrency]])=0," ",SUM(Dati[[#This Row],[Inv. Business]:[Inv. Cryptocurrency]]))</f>
        <v xml:space="preserve"> </v>
      </c>
      <c r="AJ781" s="59"/>
      <c r="AK781" s="59"/>
      <c r="AL781" s="59"/>
      <c r="AM781" s="59"/>
    </row>
    <row r="782" spans="2:39" x14ac:dyDescent="0.35">
      <c r="B782" s="237">
        <f t="shared" ref="B782:B813" si="40">ROW(762:762)</f>
        <v>762</v>
      </c>
      <c r="C782" s="49">
        <f t="shared" si="39"/>
        <v>45511</v>
      </c>
      <c r="D782" s="29">
        <f>DAY(Dati[[#This Row],[Data]])</f>
        <v>7</v>
      </c>
      <c r="E782" s="29" t="str">
        <f>IF(DAY(Data!$C$21:$C$1327)&gt;0,TEXT(Data!$C$21:$C$1327, "mmmm"),"")</f>
        <v>agosto</v>
      </c>
      <c r="F782" s="29" t="str">
        <f>IF(DAY(Data!$C$21:$C$1327)&gt;0,TEXT(Data!$C$21:$C$1327, "aaaa"),"")</f>
        <v>2024</v>
      </c>
      <c r="I782" t="str">
        <f>IF(OR(H782=$B$5,H782=$B$6,H782=$B$7,H782=$B$8,H782=$B$9,H782=$B$10,H782=$B$11,H782=$B$12,H782=$B$13,H782=$B$14),SottocategorieUscite[[#Headers],[Fuori Casa]],IF(OR(H782=$C$5,H782=$C$6,H782=$C$7,H782=$C$8,H782=$C$9,H782=$C$10,H782=$C$11,H782=$C$12,H782=$C$13,H782=$C$14),SottocategorieUscite[[#Headers],[Varie Uscite]],IF(OR(H782=$D$5,H782=$D$6,H782=$D$7,H782=$D$8,H782=$D$9,H782=$D$10,H782=$D$11,H782=$D$12,H782=$D$13,H782=$D$14),SottocategorieUscite[[#Headers],[Personali]],IF(OR(H782=$E$5,H782=$E$6,H782=$E$7,H782=$E$8,H782=$E$9,H782=$E$10,H782=$E$11,H782=$E$12,H782=$E$13,H782=$E$14),SottocategorieUscite[[#Headers],[Lavoro]],IF(OR(H782=$F$5,H782=$F$6,H782=$F$7,H782=$F$8,H782=$F$9,H782=$F$10,H782=$F$11,H782=$F$12,H782=$F$13,H782=$F$14),SottocategorieUscite[[#Headers],[Casa]],IF(OR(H782=$G$5,H782=$G$6,H782=$G$7,H782=$G$8,H782=$G$9,H782=$G$10,H782=$G$11,H782=$G$12,H782=$G$13,H782=$G$14),SottocategorieUscite[[#Headers],[Utenze]],IF(OR(H782=$H$5,H782=$H$6,H782=$H$7,H782=$H$8,H782=$H$9,H782=$H$10,H782=$H$11,H782=$H$12,H782=$H$13,H782=$H$14),SottocategorieUscite[[#Headers],[Business Uscite]],IF(OR(H782=$I$5,H782=$I$6,H782=$I$7,H782=$I$8,H782=$I$9,H782=$I$10,H782=$I$11,H782=$I$12,H782=$I$13,H782=$I$14),SottocategorieUscite[[#Headers],[Banca]],IF(OR(H782=K$5,H782=K$6,H782=K$7,H782=K$8,H782=K$9,H782=K$10,H782=K$11,H782=K$12,H782=K$13,H782=K$14),SottocategorieEntrate[[#Headers],[Business Entrate]],IF(OR(H782=L$5,H782=L$6,H782=L$7,H782=L$8,H782=L$9,H782=L$10,H782=L$11,H782=L$12,H782=L$13,H782=L$14),SottocategorieEntrate[[#Headers],[Varie Entrate]],IF(OR(H782=M$5,H782=M$6,H782=M$7,H782=M$8,H782=M$9,H782=M$10,H782=M$11,H782=M$12,H782=M$13,H782=M$14),SottocategorieEntrate[[#Headers],[Real Estate]],IF(OR(H782=N$5,H782=N$6,H782=N$7,H782=N$8,H782=N$9,H782=N$10,H782=N$11,H782=N$12,H782=N$13,H782=N$14),SottocategorieEntrate[[#Headers],[Other]],""))))))))))))</f>
        <v/>
      </c>
      <c r="J782" t="str">
        <f>IF(OR(Dati[[#This Row],[Categoria]]="Bollette",Dati[[#This Row],[Categoria]]="Conto &amp; Carte BNL",Dati[[#This Row],[Categoria]]="Prelievo",Dati[[#This Row],[Categoria]]="Affitto",Dati[[#This Row],[Categoria]]="BNL(Interessi Creditori)"),"Carta",IF(Dati[[#This Row],[Categoria]]&lt;&gt;0,"Cash",""))</f>
        <v/>
      </c>
      <c r="K782" s="59" t="str">
        <f>IF(OR(Data!$I782=SottocategorieUscite[[#Headers],[Fuori Casa]],Data!$I782=SottocategorieUscite[[#Headers],[Varie Uscite]],Data!$I782=SottocategorieUscite[[#Headers],[Personali]],Data!$I782=SottocategorieUscite[[#Headers],[Lavoro]]),"$ -","")</f>
        <v/>
      </c>
      <c r="L782" s="59" t="str">
        <f>IF(OR(Data!$I782=SottocategorieUscite[[#Headers],[Casa]],Data!$I782=SottocategorieUscite[[#Headers],[Utenze]],Data!$I782=SottocategorieUscite[[#Headers],[Business Uscite]],Data!$I782=SottocategorieUscite[[#Headers],[Banca]]),"$ -","")</f>
        <v/>
      </c>
      <c r="M782" s="59" t="str">
        <f>IF(OR($I782&lt;&gt;SottocategorieUscite[[#Headers],[Fuori Casa]],$I782&lt;&gt;SottocategorieUscite[[#Headers],[Varie Uscite]],$I782&lt;&gt;SottocategorieUscite[[#Headers],[Personali]],$I782&lt;&gt;SottocategorieUscite[[#Headers],[Lavoro]],$I782&lt;&gt;SottocategorieUscite[[#Headers],[Casa]],$I782&lt;&gt;SottocategorieUscite[[#Headers],[Utenze]],$I782&lt;&gt;SottocategorieUscite[[#Headers],[Business Uscite]],$I782&lt;&gt;SottocategorieUscite[[#Headers],[Banca]]),"","$ -")</f>
        <v/>
      </c>
      <c r="N782" s="59" t="str">
        <f>IF(OR(Data!$I782=SottocategorieEntrate[[#Headers],[Business Entrate]],Data!$I782=SottocategorieEntrate[[#Headers],[Varie Entrate]]),"$ -","")</f>
        <v/>
      </c>
      <c r="O782" s="59" t="str">
        <f>IF(OR(Data!$I782=SottocategorieEntrate[[#Headers],[Real Estate]],SottocategorieEntrate[[#Headers],[Other]]),"$ -","")</f>
        <v/>
      </c>
      <c r="P782" s="59" t="str">
        <f>IF(OR($I782&lt;&gt;SottocategorieEntrate[[#Headers],[Business Entrate]],$I782&lt;&gt;SottocategorieEntrate[[#Headers],[Varie Entrate]],$I782&lt;&gt;SottocategorieEntrate[[#Headers],[Real Estate]],$I782&lt;&gt;SottocategorieEntrate[[#Headers],[Other]]),"","$ -")</f>
        <v/>
      </c>
      <c r="Q782" s="59" t="str">
        <f>IF(Dati[[#This Row],[Categoria]]="Prelievo","€ -","")</f>
        <v/>
      </c>
      <c r="R782" s="244"/>
      <c r="S782" s="59" t="str">
        <f>IF(Dati[[#This Row],[Categoria]]="Savings",0,"")</f>
        <v/>
      </c>
      <c r="T782" s="59"/>
      <c r="U782" s="59"/>
      <c r="V782" s="59"/>
      <c r="W782" s="59"/>
      <c r="X782" s="59"/>
      <c r="Y782" s="59"/>
      <c r="Z782" s="59"/>
      <c r="AA782" s="59"/>
      <c r="AB782" s="59"/>
      <c r="AC782" s="59"/>
      <c r="AD782" s="59"/>
      <c r="AE782" s="59"/>
      <c r="AF782" s="59"/>
      <c r="AG782" s="59"/>
      <c r="AH782" s="59"/>
      <c r="AI782" s="59" t="str">
        <f>IF(SUM(Dati[[#This Row],[Inv. Business]:[Inv. Cryptocurrency]])=0," ",SUM(Dati[[#This Row],[Inv. Business]:[Inv. Cryptocurrency]]))</f>
        <v xml:space="preserve"> </v>
      </c>
      <c r="AJ782" s="59"/>
      <c r="AK782" s="59"/>
      <c r="AL782" s="59"/>
      <c r="AM782" s="59"/>
    </row>
    <row r="783" spans="2:39" x14ac:dyDescent="0.35">
      <c r="B783" s="237">
        <f t="shared" si="40"/>
        <v>763</v>
      </c>
      <c r="C783" s="49">
        <f t="shared" si="39"/>
        <v>45512</v>
      </c>
      <c r="D783" s="29">
        <f>DAY(Dati[[#This Row],[Data]])</f>
        <v>8</v>
      </c>
      <c r="E783" s="29" t="str">
        <f>IF(DAY(Data!$C$21:$C$1327)&gt;0,TEXT(Data!$C$21:$C$1327, "mmmm"),"")</f>
        <v>agosto</v>
      </c>
      <c r="F783" s="29" t="str">
        <f>IF(DAY(Data!$C$21:$C$1327)&gt;0,TEXT(Data!$C$21:$C$1327, "aaaa"),"")</f>
        <v>2024</v>
      </c>
      <c r="I783" t="str">
        <f>IF(OR(H783=$B$5,H783=$B$6,H783=$B$7,H783=$B$8,H783=$B$9,H783=$B$10,H783=$B$11,H783=$B$12,H783=$B$13,H783=$B$14),SottocategorieUscite[[#Headers],[Fuori Casa]],IF(OR(H783=$C$5,H783=$C$6,H783=$C$7,H783=$C$8,H783=$C$9,H783=$C$10,H783=$C$11,H783=$C$12,H783=$C$13,H783=$C$14),SottocategorieUscite[[#Headers],[Varie Uscite]],IF(OR(H783=$D$5,H783=$D$6,H783=$D$7,H783=$D$8,H783=$D$9,H783=$D$10,H783=$D$11,H783=$D$12,H783=$D$13,H783=$D$14),SottocategorieUscite[[#Headers],[Personali]],IF(OR(H783=$E$5,H783=$E$6,H783=$E$7,H783=$E$8,H783=$E$9,H783=$E$10,H783=$E$11,H783=$E$12,H783=$E$13,H783=$E$14),SottocategorieUscite[[#Headers],[Lavoro]],IF(OR(H783=$F$5,H783=$F$6,H783=$F$7,H783=$F$8,H783=$F$9,H783=$F$10,H783=$F$11,H783=$F$12,H783=$F$13,H783=$F$14),SottocategorieUscite[[#Headers],[Casa]],IF(OR(H783=$G$5,H783=$G$6,H783=$G$7,H783=$G$8,H783=$G$9,H783=$G$10,H783=$G$11,H783=$G$12,H783=$G$13,H783=$G$14),SottocategorieUscite[[#Headers],[Utenze]],IF(OR(H783=$H$5,H783=$H$6,H783=$H$7,H783=$H$8,H783=$H$9,H783=$H$10,H783=$H$11,H783=$H$12,H783=$H$13,H783=$H$14),SottocategorieUscite[[#Headers],[Business Uscite]],IF(OR(H783=$I$5,H783=$I$6,H783=$I$7,H783=$I$8,H783=$I$9,H783=$I$10,H783=$I$11,H783=$I$12,H783=$I$13,H783=$I$14),SottocategorieUscite[[#Headers],[Banca]],IF(OR(H783=K$5,H783=K$6,H783=K$7,H783=K$8,H783=K$9,H783=K$10,H783=K$11,H783=K$12,H783=K$13,H783=K$14),SottocategorieEntrate[[#Headers],[Business Entrate]],IF(OR(H783=L$5,H783=L$6,H783=L$7,H783=L$8,H783=L$9,H783=L$10,H783=L$11,H783=L$12,H783=L$13,H783=L$14),SottocategorieEntrate[[#Headers],[Varie Entrate]],IF(OR(H783=M$5,H783=M$6,H783=M$7,H783=M$8,H783=M$9,H783=M$10,H783=M$11,H783=M$12,H783=M$13,H783=M$14),SottocategorieEntrate[[#Headers],[Real Estate]],IF(OR(H783=N$5,H783=N$6,H783=N$7,H783=N$8,H783=N$9,H783=N$10,H783=N$11,H783=N$12,H783=N$13,H783=N$14),SottocategorieEntrate[[#Headers],[Other]],""))))))))))))</f>
        <v/>
      </c>
      <c r="J783" t="str">
        <f>IF(OR(Dati[[#This Row],[Categoria]]="Bollette",Dati[[#This Row],[Categoria]]="Conto &amp; Carte BNL",Dati[[#This Row],[Categoria]]="Prelievo",Dati[[#This Row],[Categoria]]="Affitto",Dati[[#This Row],[Categoria]]="BNL(Interessi Creditori)"),"Carta",IF(Dati[[#This Row],[Categoria]]&lt;&gt;0,"Cash",""))</f>
        <v/>
      </c>
      <c r="K783" s="59" t="str">
        <f>IF(OR(Data!$I783=SottocategorieUscite[[#Headers],[Fuori Casa]],Data!$I783=SottocategorieUscite[[#Headers],[Varie Uscite]],Data!$I783=SottocategorieUscite[[#Headers],[Personali]],Data!$I783=SottocategorieUscite[[#Headers],[Lavoro]]),"$ -","")</f>
        <v/>
      </c>
      <c r="L783" s="59" t="str">
        <f>IF(OR(Data!$I783=SottocategorieUscite[[#Headers],[Casa]],Data!$I783=SottocategorieUscite[[#Headers],[Utenze]],Data!$I783=SottocategorieUscite[[#Headers],[Business Uscite]],Data!$I783=SottocategorieUscite[[#Headers],[Banca]]),"$ -","")</f>
        <v/>
      </c>
      <c r="M783" s="59" t="str">
        <f>IF(OR($I783&lt;&gt;SottocategorieUscite[[#Headers],[Fuori Casa]],$I783&lt;&gt;SottocategorieUscite[[#Headers],[Varie Uscite]],$I783&lt;&gt;SottocategorieUscite[[#Headers],[Personali]],$I783&lt;&gt;SottocategorieUscite[[#Headers],[Lavoro]],$I783&lt;&gt;SottocategorieUscite[[#Headers],[Casa]],$I783&lt;&gt;SottocategorieUscite[[#Headers],[Utenze]],$I783&lt;&gt;SottocategorieUscite[[#Headers],[Business Uscite]],$I783&lt;&gt;SottocategorieUscite[[#Headers],[Banca]]),"","$ -")</f>
        <v/>
      </c>
      <c r="N783" s="59" t="str">
        <f>IF(OR(Data!$I783=SottocategorieEntrate[[#Headers],[Business Entrate]],Data!$I783=SottocategorieEntrate[[#Headers],[Varie Entrate]]),"$ -","")</f>
        <v/>
      </c>
      <c r="O783" s="59" t="str">
        <f>IF(OR(Data!$I783=SottocategorieEntrate[[#Headers],[Real Estate]],SottocategorieEntrate[[#Headers],[Other]]),"$ -","")</f>
        <v/>
      </c>
      <c r="P783" s="59" t="str">
        <f>IF(OR($I783&lt;&gt;SottocategorieEntrate[[#Headers],[Business Entrate]],$I783&lt;&gt;SottocategorieEntrate[[#Headers],[Varie Entrate]],$I783&lt;&gt;SottocategorieEntrate[[#Headers],[Real Estate]],$I783&lt;&gt;SottocategorieEntrate[[#Headers],[Other]]),"","$ -")</f>
        <v/>
      </c>
      <c r="Q783" s="59" t="str">
        <f>IF(Dati[[#This Row],[Categoria]]="Prelievo","€ -","")</f>
        <v/>
      </c>
      <c r="R783" s="244"/>
      <c r="S783" s="59" t="str">
        <f>IF(Dati[[#This Row],[Categoria]]="Savings",0,"")</f>
        <v/>
      </c>
      <c r="T783" s="59"/>
      <c r="U783" s="59"/>
      <c r="V783" s="59"/>
      <c r="W783" s="59"/>
      <c r="X783" s="59"/>
      <c r="Y783" s="59"/>
      <c r="Z783" s="59"/>
      <c r="AA783" s="59"/>
      <c r="AB783" s="59"/>
      <c r="AC783" s="59"/>
      <c r="AD783" s="59"/>
      <c r="AE783" s="59"/>
      <c r="AF783" s="59"/>
      <c r="AG783" s="59"/>
      <c r="AH783" s="59"/>
      <c r="AI783" s="59" t="str">
        <f>IF(SUM(Dati[[#This Row],[Inv. Business]:[Inv. Cryptocurrency]])=0," ",SUM(Dati[[#This Row],[Inv. Business]:[Inv. Cryptocurrency]]))</f>
        <v xml:space="preserve"> </v>
      </c>
      <c r="AJ783" s="59"/>
      <c r="AK783" s="59"/>
      <c r="AL783" s="59"/>
      <c r="AM783" s="59"/>
    </row>
    <row r="784" spans="2:39" x14ac:dyDescent="0.35">
      <c r="B784" s="237">
        <f t="shared" si="40"/>
        <v>764</v>
      </c>
      <c r="C784" s="49">
        <f t="shared" si="39"/>
        <v>45513</v>
      </c>
      <c r="D784" s="29">
        <f>DAY(Dati[[#This Row],[Data]])</f>
        <v>9</v>
      </c>
      <c r="E784" s="29" t="str">
        <f>IF(DAY(Data!$C$21:$C$1327)&gt;0,TEXT(Data!$C$21:$C$1327, "mmmm"),"")</f>
        <v>agosto</v>
      </c>
      <c r="F784" s="29" t="str">
        <f>IF(DAY(Data!$C$21:$C$1327)&gt;0,TEXT(Data!$C$21:$C$1327, "aaaa"),"")</f>
        <v>2024</v>
      </c>
      <c r="I784" t="str">
        <f>IF(OR(H784=$B$5,H784=$B$6,H784=$B$7,H784=$B$8,H784=$B$9,H784=$B$10,H784=$B$11,H784=$B$12,H784=$B$13,H784=$B$14),SottocategorieUscite[[#Headers],[Fuori Casa]],IF(OR(H784=$C$5,H784=$C$6,H784=$C$7,H784=$C$8,H784=$C$9,H784=$C$10,H784=$C$11,H784=$C$12,H784=$C$13,H784=$C$14),SottocategorieUscite[[#Headers],[Varie Uscite]],IF(OR(H784=$D$5,H784=$D$6,H784=$D$7,H784=$D$8,H784=$D$9,H784=$D$10,H784=$D$11,H784=$D$12,H784=$D$13,H784=$D$14),SottocategorieUscite[[#Headers],[Personali]],IF(OR(H784=$E$5,H784=$E$6,H784=$E$7,H784=$E$8,H784=$E$9,H784=$E$10,H784=$E$11,H784=$E$12,H784=$E$13,H784=$E$14),SottocategorieUscite[[#Headers],[Lavoro]],IF(OR(H784=$F$5,H784=$F$6,H784=$F$7,H784=$F$8,H784=$F$9,H784=$F$10,H784=$F$11,H784=$F$12,H784=$F$13,H784=$F$14),SottocategorieUscite[[#Headers],[Casa]],IF(OR(H784=$G$5,H784=$G$6,H784=$G$7,H784=$G$8,H784=$G$9,H784=$G$10,H784=$G$11,H784=$G$12,H784=$G$13,H784=$G$14),SottocategorieUscite[[#Headers],[Utenze]],IF(OR(H784=$H$5,H784=$H$6,H784=$H$7,H784=$H$8,H784=$H$9,H784=$H$10,H784=$H$11,H784=$H$12,H784=$H$13,H784=$H$14),SottocategorieUscite[[#Headers],[Business Uscite]],IF(OR(H784=$I$5,H784=$I$6,H784=$I$7,H784=$I$8,H784=$I$9,H784=$I$10,H784=$I$11,H784=$I$12,H784=$I$13,H784=$I$14),SottocategorieUscite[[#Headers],[Banca]],IF(OR(H784=K$5,H784=K$6,H784=K$7,H784=K$8,H784=K$9,H784=K$10,H784=K$11,H784=K$12,H784=K$13,H784=K$14),SottocategorieEntrate[[#Headers],[Business Entrate]],IF(OR(H784=L$5,H784=L$6,H784=L$7,H784=L$8,H784=L$9,H784=L$10,H784=L$11,H784=L$12,H784=L$13,H784=L$14),SottocategorieEntrate[[#Headers],[Varie Entrate]],IF(OR(H784=M$5,H784=M$6,H784=M$7,H784=M$8,H784=M$9,H784=M$10,H784=M$11,H784=M$12,H784=M$13,H784=M$14),SottocategorieEntrate[[#Headers],[Real Estate]],IF(OR(H784=N$5,H784=N$6,H784=N$7,H784=N$8,H784=N$9,H784=N$10,H784=N$11,H784=N$12,H784=N$13,H784=N$14),SottocategorieEntrate[[#Headers],[Other]],""))))))))))))</f>
        <v/>
      </c>
      <c r="J784" t="str">
        <f>IF(OR(Dati[[#This Row],[Categoria]]="Bollette",Dati[[#This Row],[Categoria]]="Conto &amp; Carte BNL",Dati[[#This Row],[Categoria]]="Prelievo",Dati[[#This Row],[Categoria]]="Affitto",Dati[[#This Row],[Categoria]]="BNL(Interessi Creditori)"),"Carta",IF(Dati[[#This Row],[Categoria]]&lt;&gt;0,"Cash",""))</f>
        <v/>
      </c>
      <c r="K784" s="59" t="str">
        <f>IF(OR(Data!$I784=SottocategorieUscite[[#Headers],[Fuori Casa]],Data!$I784=SottocategorieUscite[[#Headers],[Varie Uscite]],Data!$I784=SottocategorieUscite[[#Headers],[Personali]],Data!$I784=SottocategorieUscite[[#Headers],[Lavoro]]),"$ -","")</f>
        <v/>
      </c>
      <c r="L784" s="59" t="str">
        <f>IF(OR(Data!$I784=SottocategorieUscite[[#Headers],[Casa]],Data!$I784=SottocategorieUscite[[#Headers],[Utenze]],Data!$I784=SottocategorieUscite[[#Headers],[Business Uscite]],Data!$I784=SottocategorieUscite[[#Headers],[Banca]]),"$ -","")</f>
        <v/>
      </c>
      <c r="M784" s="59" t="str">
        <f>IF(OR($I784&lt;&gt;SottocategorieUscite[[#Headers],[Fuori Casa]],$I784&lt;&gt;SottocategorieUscite[[#Headers],[Varie Uscite]],$I784&lt;&gt;SottocategorieUscite[[#Headers],[Personali]],$I784&lt;&gt;SottocategorieUscite[[#Headers],[Lavoro]],$I784&lt;&gt;SottocategorieUscite[[#Headers],[Casa]],$I784&lt;&gt;SottocategorieUscite[[#Headers],[Utenze]],$I784&lt;&gt;SottocategorieUscite[[#Headers],[Business Uscite]],$I784&lt;&gt;SottocategorieUscite[[#Headers],[Banca]]),"","$ -")</f>
        <v/>
      </c>
      <c r="N784" s="59" t="str">
        <f>IF(OR(Data!$I784=SottocategorieEntrate[[#Headers],[Business Entrate]],Data!$I784=SottocategorieEntrate[[#Headers],[Varie Entrate]]),"$ -","")</f>
        <v/>
      </c>
      <c r="O784" s="59" t="str">
        <f>IF(OR(Data!$I784=SottocategorieEntrate[[#Headers],[Real Estate]],SottocategorieEntrate[[#Headers],[Other]]),"$ -","")</f>
        <v/>
      </c>
      <c r="P784" s="59" t="str">
        <f>IF(OR($I784&lt;&gt;SottocategorieEntrate[[#Headers],[Business Entrate]],$I784&lt;&gt;SottocategorieEntrate[[#Headers],[Varie Entrate]],$I784&lt;&gt;SottocategorieEntrate[[#Headers],[Real Estate]],$I784&lt;&gt;SottocategorieEntrate[[#Headers],[Other]]),"","$ -")</f>
        <v/>
      </c>
      <c r="Q784" s="59" t="str">
        <f>IF(Dati[[#This Row],[Categoria]]="Prelievo","€ -","")</f>
        <v/>
      </c>
      <c r="R784" s="244"/>
      <c r="S784" s="59" t="str">
        <f>IF(Dati[[#This Row],[Categoria]]="Savings",0,"")</f>
        <v/>
      </c>
      <c r="T784" s="59"/>
      <c r="U784" s="59"/>
      <c r="V784" s="59"/>
      <c r="W784" s="59"/>
      <c r="X784" s="59"/>
      <c r="Y784" s="59"/>
      <c r="Z784" s="59"/>
      <c r="AA784" s="59"/>
      <c r="AB784" s="59"/>
      <c r="AC784" s="59"/>
      <c r="AD784" s="59"/>
      <c r="AE784" s="59"/>
      <c r="AF784" s="59"/>
      <c r="AG784" s="59"/>
      <c r="AH784" s="59"/>
      <c r="AI784" s="59" t="str">
        <f>IF(SUM(Dati[[#This Row],[Inv. Business]:[Inv. Cryptocurrency]])=0," ",SUM(Dati[[#This Row],[Inv. Business]:[Inv. Cryptocurrency]]))</f>
        <v xml:space="preserve"> </v>
      </c>
      <c r="AJ784" s="59"/>
      <c r="AK784" s="59"/>
      <c r="AL784" s="59"/>
      <c r="AM784" s="59"/>
    </row>
    <row r="785" spans="2:39" x14ac:dyDescent="0.35">
      <c r="B785" s="237">
        <f t="shared" si="40"/>
        <v>765</v>
      </c>
      <c r="C785" s="49">
        <f t="shared" si="39"/>
        <v>45514</v>
      </c>
      <c r="D785" s="29">
        <f>DAY(Dati[[#This Row],[Data]])</f>
        <v>10</v>
      </c>
      <c r="E785" s="29" t="str">
        <f>IF(DAY(Data!$C$21:$C$1327)&gt;0,TEXT(Data!$C$21:$C$1327, "mmmm"),"")</f>
        <v>agosto</v>
      </c>
      <c r="F785" s="29" t="str">
        <f>IF(DAY(Data!$C$21:$C$1327)&gt;0,TEXT(Data!$C$21:$C$1327, "aaaa"),"")</f>
        <v>2024</v>
      </c>
      <c r="I785" t="str">
        <f>IF(OR(H785=$B$5,H785=$B$6,H785=$B$7,H785=$B$8,H785=$B$9,H785=$B$10,H785=$B$11,H785=$B$12,H785=$B$13,H785=$B$14),SottocategorieUscite[[#Headers],[Fuori Casa]],IF(OR(H785=$C$5,H785=$C$6,H785=$C$7,H785=$C$8,H785=$C$9,H785=$C$10,H785=$C$11,H785=$C$12,H785=$C$13,H785=$C$14),SottocategorieUscite[[#Headers],[Varie Uscite]],IF(OR(H785=$D$5,H785=$D$6,H785=$D$7,H785=$D$8,H785=$D$9,H785=$D$10,H785=$D$11,H785=$D$12,H785=$D$13,H785=$D$14),SottocategorieUscite[[#Headers],[Personali]],IF(OR(H785=$E$5,H785=$E$6,H785=$E$7,H785=$E$8,H785=$E$9,H785=$E$10,H785=$E$11,H785=$E$12,H785=$E$13,H785=$E$14),SottocategorieUscite[[#Headers],[Lavoro]],IF(OR(H785=$F$5,H785=$F$6,H785=$F$7,H785=$F$8,H785=$F$9,H785=$F$10,H785=$F$11,H785=$F$12,H785=$F$13,H785=$F$14),SottocategorieUscite[[#Headers],[Casa]],IF(OR(H785=$G$5,H785=$G$6,H785=$G$7,H785=$G$8,H785=$G$9,H785=$G$10,H785=$G$11,H785=$G$12,H785=$G$13,H785=$G$14),SottocategorieUscite[[#Headers],[Utenze]],IF(OR(H785=$H$5,H785=$H$6,H785=$H$7,H785=$H$8,H785=$H$9,H785=$H$10,H785=$H$11,H785=$H$12,H785=$H$13,H785=$H$14),SottocategorieUscite[[#Headers],[Business Uscite]],IF(OR(H785=$I$5,H785=$I$6,H785=$I$7,H785=$I$8,H785=$I$9,H785=$I$10,H785=$I$11,H785=$I$12,H785=$I$13,H785=$I$14),SottocategorieUscite[[#Headers],[Banca]],IF(OR(H785=K$5,H785=K$6,H785=K$7,H785=K$8,H785=K$9,H785=K$10,H785=K$11,H785=K$12,H785=K$13,H785=K$14),SottocategorieEntrate[[#Headers],[Business Entrate]],IF(OR(H785=L$5,H785=L$6,H785=L$7,H785=L$8,H785=L$9,H785=L$10,H785=L$11,H785=L$12,H785=L$13,H785=L$14),SottocategorieEntrate[[#Headers],[Varie Entrate]],IF(OR(H785=M$5,H785=M$6,H785=M$7,H785=M$8,H785=M$9,H785=M$10,H785=M$11,H785=M$12,H785=M$13,H785=M$14),SottocategorieEntrate[[#Headers],[Real Estate]],IF(OR(H785=N$5,H785=N$6,H785=N$7,H785=N$8,H785=N$9,H785=N$10,H785=N$11,H785=N$12,H785=N$13,H785=N$14),SottocategorieEntrate[[#Headers],[Other]],""))))))))))))</f>
        <v/>
      </c>
      <c r="J785" t="str">
        <f>IF(OR(Dati[[#This Row],[Categoria]]="Bollette",Dati[[#This Row],[Categoria]]="Conto &amp; Carte BNL",Dati[[#This Row],[Categoria]]="Prelievo",Dati[[#This Row],[Categoria]]="Affitto",Dati[[#This Row],[Categoria]]="BNL(Interessi Creditori)"),"Carta",IF(Dati[[#This Row],[Categoria]]&lt;&gt;0,"Cash",""))</f>
        <v/>
      </c>
      <c r="K785" s="59" t="str">
        <f>IF(OR(Data!$I785=SottocategorieUscite[[#Headers],[Fuori Casa]],Data!$I785=SottocategorieUscite[[#Headers],[Varie Uscite]],Data!$I785=SottocategorieUscite[[#Headers],[Personali]],Data!$I785=SottocategorieUscite[[#Headers],[Lavoro]]),"$ -","")</f>
        <v/>
      </c>
      <c r="L785" s="59" t="str">
        <f>IF(OR(Data!$I785=SottocategorieUscite[[#Headers],[Casa]],Data!$I785=SottocategorieUscite[[#Headers],[Utenze]],Data!$I785=SottocategorieUscite[[#Headers],[Business Uscite]],Data!$I785=SottocategorieUscite[[#Headers],[Banca]]),"$ -","")</f>
        <v/>
      </c>
      <c r="M785" s="59" t="str">
        <f>IF(OR($I785&lt;&gt;SottocategorieUscite[[#Headers],[Fuori Casa]],$I785&lt;&gt;SottocategorieUscite[[#Headers],[Varie Uscite]],$I785&lt;&gt;SottocategorieUscite[[#Headers],[Personali]],$I785&lt;&gt;SottocategorieUscite[[#Headers],[Lavoro]],$I785&lt;&gt;SottocategorieUscite[[#Headers],[Casa]],$I785&lt;&gt;SottocategorieUscite[[#Headers],[Utenze]],$I785&lt;&gt;SottocategorieUscite[[#Headers],[Business Uscite]],$I785&lt;&gt;SottocategorieUscite[[#Headers],[Banca]]),"","$ -")</f>
        <v/>
      </c>
      <c r="N785" s="59" t="str">
        <f>IF(OR(Data!$I785=SottocategorieEntrate[[#Headers],[Business Entrate]],Data!$I785=SottocategorieEntrate[[#Headers],[Varie Entrate]]),"$ -","")</f>
        <v/>
      </c>
      <c r="O785" s="59" t="str">
        <f>IF(OR(Data!$I785=SottocategorieEntrate[[#Headers],[Real Estate]],SottocategorieEntrate[[#Headers],[Other]]),"$ -","")</f>
        <v/>
      </c>
      <c r="P785" s="59" t="str">
        <f>IF(OR($I785&lt;&gt;SottocategorieEntrate[[#Headers],[Business Entrate]],$I785&lt;&gt;SottocategorieEntrate[[#Headers],[Varie Entrate]],$I785&lt;&gt;SottocategorieEntrate[[#Headers],[Real Estate]],$I785&lt;&gt;SottocategorieEntrate[[#Headers],[Other]]),"","$ -")</f>
        <v/>
      </c>
      <c r="Q785" s="59" t="str">
        <f>IF(Dati[[#This Row],[Categoria]]="Prelievo","€ -","")</f>
        <v/>
      </c>
      <c r="R785" s="244"/>
      <c r="S785" s="59" t="str">
        <f>IF(Dati[[#This Row],[Categoria]]="Savings",0,"")</f>
        <v/>
      </c>
      <c r="T785" s="59"/>
      <c r="U785" s="59"/>
      <c r="V785" s="59"/>
      <c r="W785" s="59"/>
      <c r="X785" s="59"/>
      <c r="Y785" s="59"/>
      <c r="Z785" s="59"/>
      <c r="AA785" s="59"/>
      <c r="AB785" s="59"/>
      <c r="AC785" s="59"/>
      <c r="AD785" s="59"/>
      <c r="AE785" s="59"/>
      <c r="AF785" s="59"/>
      <c r="AG785" s="59"/>
      <c r="AH785" s="59"/>
      <c r="AI785" s="59" t="str">
        <f>IF(SUM(Dati[[#This Row],[Inv. Business]:[Inv. Cryptocurrency]])=0," ",SUM(Dati[[#This Row],[Inv. Business]:[Inv. Cryptocurrency]]))</f>
        <v xml:space="preserve"> </v>
      </c>
      <c r="AJ785" s="59"/>
      <c r="AK785" s="59"/>
      <c r="AL785" s="59"/>
      <c r="AM785" s="59"/>
    </row>
    <row r="786" spans="2:39" x14ac:dyDescent="0.35">
      <c r="B786" s="237">
        <f t="shared" si="40"/>
        <v>766</v>
      </c>
      <c r="C786" s="49">
        <f t="shared" si="39"/>
        <v>45515</v>
      </c>
      <c r="D786" s="29">
        <f>DAY(Dati[[#This Row],[Data]])</f>
        <v>11</v>
      </c>
      <c r="E786" s="29" t="str">
        <f>IF(DAY(Data!$C$21:$C$1327)&gt;0,TEXT(Data!$C$21:$C$1327, "mmmm"),"")</f>
        <v>agosto</v>
      </c>
      <c r="F786" s="29" t="str">
        <f>IF(DAY(Data!$C$21:$C$1327)&gt;0,TEXT(Data!$C$21:$C$1327, "aaaa"),"")</f>
        <v>2024</v>
      </c>
      <c r="I786" t="str">
        <f>IF(OR(H786=$B$5,H786=$B$6,H786=$B$7,H786=$B$8,H786=$B$9,H786=$B$10,H786=$B$11,H786=$B$12,H786=$B$13,H786=$B$14),SottocategorieUscite[[#Headers],[Fuori Casa]],IF(OR(H786=$C$5,H786=$C$6,H786=$C$7,H786=$C$8,H786=$C$9,H786=$C$10,H786=$C$11,H786=$C$12,H786=$C$13,H786=$C$14),SottocategorieUscite[[#Headers],[Varie Uscite]],IF(OR(H786=$D$5,H786=$D$6,H786=$D$7,H786=$D$8,H786=$D$9,H786=$D$10,H786=$D$11,H786=$D$12,H786=$D$13,H786=$D$14),SottocategorieUscite[[#Headers],[Personali]],IF(OR(H786=$E$5,H786=$E$6,H786=$E$7,H786=$E$8,H786=$E$9,H786=$E$10,H786=$E$11,H786=$E$12,H786=$E$13,H786=$E$14),SottocategorieUscite[[#Headers],[Lavoro]],IF(OR(H786=$F$5,H786=$F$6,H786=$F$7,H786=$F$8,H786=$F$9,H786=$F$10,H786=$F$11,H786=$F$12,H786=$F$13,H786=$F$14),SottocategorieUscite[[#Headers],[Casa]],IF(OR(H786=$G$5,H786=$G$6,H786=$G$7,H786=$G$8,H786=$G$9,H786=$G$10,H786=$G$11,H786=$G$12,H786=$G$13,H786=$G$14),SottocategorieUscite[[#Headers],[Utenze]],IF(OR(H786=$H$5,H786=$H$6,H786=$H$7,H786=$H$8,H786=$H$9,H786=$H$10,H786=$H$11,H786=$H$12,H786=$H$13,H786=$H$14),SottocategorieUscite[[#Headers],[Business Uscite]],IF(OR(H786=$I$5,H786=$I$6,H786=$I$7,H786=$I$8,H786=$I$9,H786=$I$10,H786=$I$11,H786=$I$12,H786=$I$13,H786=$I$14),SottocategorieUscite[[#Headers],[Banca]],IF(OR(H786=K$5,H786=K$6,H786=K$7,H786=K$8,H786=K$9,H786=K$10,H786=K$11,H786=K$12,H786=K$13,H786=K$14),SottocategorieEntrate[[#Headers],[Business Entrate]],IF(OR(H786=L$5,H786=L$6,H786=L$7,H786=L$8,H786=L$9,H786=L$10,H786=L$11,H786=L$12,H786=L$13,H786=L$14),SottocategorieEntrate[[#Headers],[Varie Entrate]],IF(OR(H786=M$5,H786=M$6,H786=M$7,H786=M$8,H786=M$9,H786=M$10,H786=M$11,H786=M$12,H786=M$13,H786=M$14),SottocategorieEntrate[[#Headers],[Real Estate]],IF(OR(H786=N$5,H786=N$6,H786=N$7,H786=N$8,H786=N$9,H786=N$10,H786=N$11,H786=N$12,H786=N$13,H786=N$14),SottocategorieEntrate[[#Headers],[Other]],""))))))))))))</f>
        <v/>
      </c>
      <c r="J786" t="str">
        <f>IF(OR(Dati[[#This Row],[Categoria]]="Bollette",Dati[[#This Row],[Categoria]]="Conto &amp; Carte BNL",Dati[[#This Row],[Categoria]]="Prelievo",Dati[[#This Row],[Categoria]]="Affitto",Dati[[#This Row],[Categoria]]="BNL(Interessi Creditori)"),"Carta",IF(Dati[[#This Row],[Categoria]]&lt;&gt;0,"Cash",""))</f>
        <v/>
      </c>
      <c r="K786" s="59" t="str">
        <f>IF(OR(Data!$I786=SottocategorieUscite[[#Headers],[Fuori Casa]],Data!$I786=SottocategorieUscite[[#Headers],[Varie Uscite]],Data!$I786=SottocategorieUscite[[#Headers],[Personali]],Data!$I786=SottocategorieUscite[[#Headers],[Lavoro]]),"$ -","")</f>
        <v/>
      </c>
      <c r="L786" s="59" t="str">
        <f>IF(OR(Data!$I786=SottocategorieUscite[[#Headers],[Casa]],Data!$I786=SottocategorieUscite[[#Headers],[Utenze]],Data!$I786=SottocategorieUscite[[#Headers],[Business Uscite]],Data!$I786=SottocategorieUscite[[#Headers],[Banca]]),"$ -","")</f>
        <v/>
      </c>
      <c r="M786" s="59" t="str">
        <f>IF(OR($I786&lt;&gt;SottocategorieUscite[[#Headers],[Fuori Casa]],$I786&lt;&gt;SottocategorieUscite[[#Headers],[Varie Uscite]],$I786&lt;&gt;SottocategorieUscite[[#Headers],[Personali]],$I786&lt;&gt;SottocategorieUscite[[#Headers],[Lavoro]],$I786&lt;&gt;SottocategorieUscite[[#Headers],[Casa]],$I786&lt;&gt;SottocategorieUscite[[#Headers],[Utenze]],$I786&lt;&gt;SottocategorieUscite[[#Headers],[Business Uscite]],$I786&lt;&gt;SottocategorieUscite[[#Headers],[Banca]]),"","$ -")</f>
        <v/>
      </c>
      <c r="N786" s="59" t="str">
        <f>IF(OR(Data!$I786=SottocategorieEntrate[[#Headers],[Business Entrate]],Data!$I786=SottocategorieEntrate[[#Headers],[Varie Entrate]]),"$ -","")</f>
        <v/>
      </c>
      <c r="O786" s="59" t="str">
        <f>IF(OR(Data!$I786=SottocategorieEntrate[[#Headers],[Real Estate]],SottocategorieEntrate[[#Headers],[Other]]),"$ -","")</f>
        <v/>
      </c>
      <c r="P786" s="59" t="str">
        <f>IF(OR($I786&lt;&gt;SottocategorieEntrate[[#Headers],[Business Entrate]],$I786&lt;&gt;SottocategorieEntrate[[#Headers],[Varie Entrate]],$I786&lt;&gt;SottocategorieEntrate[[#Headers],[Real Estate]],$I786&lt;&gt;SottocategorieEntrate[[#Headers],[Other]]),"","$ -")</f>
        <v/>
      </c>
      <c r="Q786" s="59" t="str">
        <f>IF(Dati[[#This Row],[Categoria]]="Prelievo","€ -","")</f>
        <v/>
      </c>
      <c r="R786" s="244"/>
      <c r="S786" s="59" t="str">
        <f>IF(Dati[[#This Row],[Categoria]]="Savings",0,"")</f>
        <v/>
      </c>
      <c r="T786" s="59"/>
      <c r="U786" s="59"/>
      <c r="V786" s="59"/>
      <c r="W786" s="59"/>
      <c r="X786" s="59"/>
      <c r="Y786" s="59"/>
      <c r="Z786" s="59"/>
      <c r="AA786" s="59"/>
      <c r="AB786" s="59"/>
      <c r="AC786" s="59"/>
      <c r="AD786" s="59"/>
      <c r="AE786" s="59"/>
      <c r="AF786" s="59"/>
      <c r="AG786" s="59"/>
      <c r="AH786" s="59"/>
      <c r="AI786" s="59" t="str">
        <f>IF(SUM(Dati[[#This Row],[Inv. Business]:[Inv. Cryptocurrency]])=0," ",SUM(Dati[[#This Row],[Inv. Business]:[Inv. Cryptocurrency]]))</f>
        <v xml:space="preserve"> </v>
      </c>
      <c r="AJ786" s="59"/>
      <c r="AK786" s="59"/>
      <c r="AL786" s="59"/>
      <c r="AM786" s="59"/>
    </row>
    <row r="787" spans="2:39" x14ac:dyDescent="0.35">
      <c r="B787" s="237">
        <f t="shared" si="40"/>
        <v>767</v>
      </c>
      <c r="C787" s="49">
        <f t="shared" si="39"/>
        <v>45516</v>
      </c>
      <c r="D787" s="29">
        <f>DAY(Dati[[#This Row],[Data]])</f>
        <v>12</v>
      </c>
      <c r="E787" s="29" t="str">
        <f>IF(DAY(Data!$C$21:$C$1327)&gt;0,TEXT(Data!$C$21:$C$1327, "mmmm"),"")</f>
        <v>agosto</v>
      </c>
      <c r="F787" s="29" t="str">
        <f>IF(DAY(Data!$C$21:$C$1327)&gt;0,TEXT(Data!$C$21:$C$1327, "aaaa"),"")</f>
        <v>2024</v>
      </c>
      <c r="I787" t="str">
        <f>IF(OR(H787=$B$5,H787=$B$6,H787=$B$7,H787=$B$8,H787=$B$9,H787=$B$10,H787=$B$11,H787=$B$12,H787=$B$13,H787=$B$14),SottocategorieUscite[[#Headers],[Fuori Casa]],IF(OR(H787=$C$5,H787=$C$6,H787=$C$7,H787=$C$8,H787=$C$9,H787=$C$10,H787=$C$11,H787=$C$12,H787=$C$13,H787=$C$14),SottocategorieUscite[[#Headers],[Varie Uscite]],IF(OR(H787=$D$5,H787=$D$6,H787=$D$7,H787=$D$8,H787=$D$9,H787=$D$10,H787=$D$11,H787=$D$12,H787=$D$13,H787=$D$14),SottocategorieUscite[[#Headers],[Personali]],IF(OR(H787=$E$5,H787=$E$6,H787=$E$7,H787=$E$8,H787=$E$9,H787=$E$10,H787=$E$11,H787=$E$12,H787=$E$13,H787=$E$14),SottocategorieUscite[[#Headers],[Lavoro]],IF(OR(H787=$F$5,H787=$F$6,H787=$F$7,H787=$F$8,H787=$F$9,H787=$F$10,H787=$F$11,H787=$F$12,H787=$F$13,H787=$F$14),SottocategorieUscite[[#Headers],[Casa]],IF(OR(H787=$G$5,H787=$G$6,H787=$G$7,H787=$G$8,H787=$G$9,H787=$G$10,H787=$G$11,H787=$G$12,H787=$G$13,H787=$G$14),SottocategorieUscite[[#Headers],[Utenze]],IF(OR(H787=$H$5,H787=$H$6,H787=$H$7,H787=$H$8,H787=$H$9,H787=$H$10,H787=$H$11,H787=$H$12,H787=$H$13,H787=$H$14),SottocategorieUscite[[#Headers],[Business Uscite]],IF(OR(H787=$I$5,H787=$I$6,H787=$I$7,H787=$I$8,H787=$I$9,H787=$I$10,H787=$I$11,H787=$I$12,H787=$I$13,H787=$I$14),SottocategorieUscite[[#Headers],[Banca]],IF(OR(H787=K$5,H787=K$6,H787=K$7,H787=K$8,H787=K$9,H787=K$10,H787=K$11,H787=K$12,H787=K$13,H787=K$14),SottocategorieEntrate[[#Headers],[Business Entrate]],IF(OR(H787=L$5,H787=L$6,H787=L$7,H787=L$8,H787=L$9,H787=L$10,H787=L$11,H787=L$12,H787=L$13,H787=L$14),SottocategorieEntrate[[#Headers],[Varie Entrate]],IF(OR(H787=M$5,H787=M$6,H787=M$7,H787=M$8,H787=M$9,H787=M$10,H787=M$11,H787=M$12,H787=M$13,H787=M$14),SottocategorieEntrate[[#Headers],[Real Estate]],IF(OR(H787=N$5,H787=N$6,H787=N$7,H787=N$8,H787=N$9,H787=N$10,H787=N$11,H787=N$12,H787=N$13,H787=N$14),SottocategorieEntrate[[#Headers],[Other]],""))))))))))))</f>
        <v/>
      </c>
      <c r="J787" t="str">
        <f>IF(OR(Dati[[#This Row],[Categoria]]="Bollette",Dati[[#This Row],[Categoria]]="Conto &amp; Carte BNL",Dati[[#This Row],[Categoria]]="Prelievo",Dati[[#This Row],[Categoria]]="Affitto",Dati[[#This Row],[Categoria]]="BNL(Interessi Creditori)"),"Carta",IF(Dati[[#This Row],[Categoria]]&lt;&gt;0,"Cash",""))</f>
        <v/>
      </c>
      <c r="K787" s="59" t="str">
        <f>IF(OR(Data!$I787=SottocategorieUscite[[#Headers],[Fuori Casa]],Data!$I787=SottocategorieUscite[[#Headers],[Varie Uscite]],Data!$I787=SottocategorieUscite[[#Headers],[Personali]],Data!$I787=SottocategorieUscite[[#Headers],[Lavoro]]),"$ -","")</f>
        <v/>
      </c>
      <c r="L787" s="59" t="str">
        <f>IF(OR(Data!$I787=SottocategorieUscite[[#Headers],[Casa]],Data!$I787=SottocategorieUscite[[#Headers],[Utenze]],Data!$I787=SottocategorieUscite[[#Headers],[Business Uscite]],Data!$I787=SottocategorieUscite[[#Headers],[Banca]]),"$ -","")</f>
        <v/>
      </c>
      <c r="M787" s="59" t="str">
        <f>IF(OR($I787&lt;&gt;SottocategorieUscite[[#Headers],[Fuori Casa]],$I787&lt;&gt;SottocategorieUscite[[#Headers],[Varie Uscite]],$I787&lt;&gt;SottocategorieUscite[[#Headers],[Personali]],$I787&lt;&gt;SottocategorieUscite[[#Headers],[Lavoro]],$I787&lt;&gt;SottocategorieUscite[[#Headers],[Casa]],$I787&lt;&gt;SottocategorieUscite[[#Headers],[Utenze]],$I787&lt;&gt;SottocategorieUscite[[#Headers],[Business Uscite]],$I787&lt;&gt;SottocategorieUscite[[#Headers],[Banca]]),"","$ -")</f>
        <v/>
      </c>
      <c r="N787" s="59" t="str">
        <f>IF(OR(Data!$I787=SottocategorieEntrate[[#Headers],[Business Entrate]],Data!$I787=SottocategorieEntrate[[#Headers],[Varie Entrate]]),"$ -","")</f>
        <v/>
      </c>
      <c r="O787" s="59" t="str">
        <f>IF(OR(Data!$I787=SottocategorieEntrate[[#Headers],[Real Estate]],SottocategorieEntrate[[#Headers],[Other]]),"$ -","")</f>
        <v/>
      </c>
      <c r="P787" s="59" t="str">
        <f>IF(OR($I787&lt;&gt;SottocategorieEntrate[[#Headers],[Business Entrate]],$I787&lt;&gt;SottocategorieEntrate[[#Headers],[Varie Entrate]],$I787&lt;&gt;SottocategorieEntrate[[#Headers],[Real Estate]],$I787&lt;&gt;SottocategorieEntrate[[#Headers],[Other]]),"","$ -")</f>
        <v/>
      </c>
      <c r="Q787" s="59" t="str">
        <f>IF(Dati[[#This Row],[Categoria]]="Prelievo","€ -","")</f>
        <v/>
      </c>
      <c r="R787" s="244"/>
      <c r="S787" s="59" t="str">
        <f>IF(Dati[[#This Row],[Categoria]]="Savings",0,"")</f>
        <v/>
      </c>
      <c r="T787" s="59"/>
      <c r="U787" s="59"/>
      <c r="V787" s="59"/>
      <c r="W787" s="59"/>
      <c r="X787" s="59"/>
      <c r="Y787" s="59"/>
      <c r="Z787" s="59"/>
      <c r="AA787" s="59"/>
      <c r="AB787" s="59"/>
      <c r="AC787" s="59"/>
      <c r="AD787" s="59"/>
      <c r="AE787" s="59"/>
      <c r="AF787" s="59"/>
      <c r="AG787" s="59"/>
      <c r="AH787" s="59"/>
      <c r="AI787" s="59" t="str">
        <f>IF(SUM(Dati[[#This Row],[Inv. Business]:[Inv. Cryptocurrency]])=0," ",SUM(Dati[[#This Row],[Inv. Business]:[Inv. Cryptocurrency]]))</f>
        <v xml:space="preserve"> </v>
      </c>
      <c r="AJ787" s="59"/>
      <c r="AK787" s="59"/>
      <c r="AL787" s="59"/>
      <c r="AM787" s="59"/>
    </row>
    <row r="788" spans="2:39" x14ac:dyDescent="0.35">
      <c r="B788" s="237">
        <f t="shared" si="40"/>
        <v>768</v>
      </c>
      <c r="C788" s="49">
        <f t="shared" si="39"/>
        <v>45517</v>
      </c>
      <c r="D788" s="29">
        <f>DAY(Dati[[#This Row],[Data]])</f>
        <v>13</v>
      </c>
      <c r="E788" s="29" t="str">
        <f>IF(DAY(Data!$C$21:$C$1327)&gt;0,TEXT(Data!$C$21:$C$1327, "mmmm"),"")</f>
        <v>agosto</v>
      </c>
      <c r="F788" s="29" t="str">
        <f>IF(DAY(Data!$C$21:$C$1327)&gt;0,TEXT(Data!$C$21:$C$1327, "aaaa"),"")</f>
        <v>2024</v>
      </c>
      <c r="I788" t="str">
        <f>IF(OR(H788=$B$5,H788=$B$6,H788=$B$7,H788=$B$8,H788=$B$9,H788=$B$10,H788=$B$11,H788=$B$12,H788=$B$13,H788=$B$14),SottocategorieUscite[[#Headers],[Fuori Casa]],IF(OR(H788=$C$5,H788=$C$6,H788=$C$7,H788=$C$8,H788=$C$9,H788=$C$10,H788=$C$11,H788=$C$12,H788=$C$13,H788=$C$14),SottocategorieUscite[[#Headers],[Varie Uscite]],IF(OR(H788=$D$5,H788=$D$6,H788=$D$7,H788=$D$8,H788=$D$9,H788=$D$10,H788=$D$11,H788=$D$12,H788=$D$13,H788=$D$14),SottocategorieUscite[[#Headers],[Personali]],IF(OR(H788=$E$5,H788=$E$6,H788=$E$7,H788=$E$8,H788=$E$9,H788=$E$10,H788=$E$11,H788=$E$12,H788=$E$13,H788=$E$14),SottocategorieUscite[[#Headers],[Lavoro]],IF(OR(H788=$F$5,H788=$F$6,H788=$F$7,H788=$F$8,H788=$F$9,H788=$F$10,H788=$F$11,H788=$F$12,H788=$F$13,H788=$F$14),SottocategorieUscite[[#Headers],[Casa]],IF(OR(H788=$G$5,H788=$G$6,H788=$G$7,H788=$G$8,H788=$G$9,H788=$G$10,H788=$G$11,H788=$G$12,H788=$G$13,H788=$G$14),SottocategorieUscite[[#Headers],[Utenze]],IF(OR(H788=$H$5,H788=$H$6,H788=$H$7,H788=$H$8,H788=$H$9,H788=$H$10,H788=$H$11,H788=$H$12,H788=$H$13,H788=$H$14),SottocategorieUscite[[#Headers],[Business Uscite]],IF(OR(H788=$I$5,H788=$I$6,H788=$I$7,H788=$I$8,H788=$I$9,H788=$I$10,H788=$I$11,H788=$I$12,H788=$I$13,H788=$I$14),SottocategorieUscite[[#Headers],[Banca]],IF(OR(H788=K$5,H788=K$6,H788=K$7,H788=K$8,H788=K$9,H788=K$10,H788=K$11,H788=K$12,H788=K$13,H788=K$14),SottocategorieEntrate[[#Headers],[Business Entrate]],IF(OR(H788=L$5,H788=L$6,H788=L$7,H788=L$8,H788=L$9,H788=L$10,H788=L$11,H788=L$12,H788=L$13,H788=L$14),SottocategorieEntrate[[#Headers],[Varie Entrate]],IF(OR(H788=M$5,H788=M$6,H788=M$7,H788=M$8,H788=M$9,H788=M$10,H788=M$11,H788=M$12,H788=M$13,H788=M$14),SottocategorieEntrate[[#Headers],[Real Estate]],IF(OR(H788=N$5,H788=N$6,H788=N$7,H788=N$8,H788=N$9,H788=N$10,H788=N$11,H788=N$12,H788=N$13,H788=N$14),SottocategorieEntrate[[#Headers],[Other]],""))))))))))))</f>
        <v/>
      </c>
      <c r="J788" t="str">
        <f>IF(OR(Dati[[#This Row],[Categoria]]="Bollette",Dati[[#This Row],[Categoria]]="Conto &amp; Carte BNL",Dati[[#This Row],[Categoria]]="Prelievo",Dati[[#This Row],[Categoria]]="Affitto",Dati[[#This Row],[Categoria]]="BNL(Interessi Creditori)"),"Carta",IF(Dati[[#This Row],[Categoria]]&lt;&gt;0,"Cash",""))</f>
        <v/>
      </c>
      <c r="K788" s="59" t="str">
        <f>IF(OR(Data!$I788=SottocategorieUscite[[#Headers],[Fuori Casa]],Data!$I788=SottocategorieUscite[[#Headers],[Varie Uscite]],Data!$I788=SottocategorieUscite[[#Headers],[Personali]],Data!$I788=SottocategorieUscite[[#Headers],[Lavoro]]),"$ -","")</f>
        <v/>
      </c>
      <c r="L788" s="59" t="str">
        <f>IF(OR(Data!$I788=SottocategorieUscite[[#Headers],[Casa]],Data!$I788=SottocategorieUscite[[#Headers],[Utenze]],Data!$I788=SottocategorieUscite[[#Headers],[Business Uscite]],Data!$I788=SottocategorieUscite[[#Headers],[Banca]]),"$ -","")</f>
        <v/>
      </c>
      <c r="M788" s="59" t="str">
        <f>IF(OR($I788&lt;&gt;SottocategorieUscite[[#Headers],[Fuori Casa]],$I788&lt;&gt;SottocategorieUscite[[#Headers],[Varie Uscite]],$I788&lt;&gt;SottocategorieUscite[[#Headers],[Personali]],$I788&lt;&gt;SottocategorieUscite[[#Headers],[Lavoro]],$I788&lt;&gt;SottocategorieUscite[[#Headers],[Casa]],$I788&lt;&gt;SottocategorieUscite[[#Headers],[Utenze]],$I788&lt;&gt;SottocategorieUscite[[#Headers],[Business Uscite]],$I788&lt;&gt;SottocategorieUscite[[#Headers],[Banca]]),"","$ -")</f>
        <v/>
      </c>
      <c r="N788" s="59" t="str">
        <f>IF(OR(Data!$I788=SottocategorieEntrate[[#Headers],[Business Entrate]],Data!$I788=SottocategorieEntrate[[#Headers],[Varie Entrate]]),"$ -","")</f>
        <v/>
      </c>
      <c r="O788" s="59" t="str">
        <f>IF(OR(Data!$I788=SottocategorieEntrate[[#Headers],[Real Estate]],SottocategorieEntrate[[#Headers],[Other]]),"$ -","")</f>
        <v/>
      </c>
      <c r="P788" s="59" t="str">
        <f>IF(OR($I788&lt;&gt;SottocategorieEntrate[[#Headers],[Business Entrate]],$I788&lt;&gt;SottocategorieEntrate[[#Headers],[Varie Entrate]],$I788&lt;&gt;SottocategorieEntrate[[#Headers],[Real Estate]],$I788&lt;&gt;SottocategorieEntrate[[#Headers],[Other]]),"","$ -")</f>
        <v/>
      </c>
      <c r="Q788" s="59" t="str">
        <f>IF(Dati[[#This Row],[Categoria]]="Prelievo","€ -","")</f>
        <v/>
      </c>
      <c r="R788" s="244"/>
      <c r="S788" s="59" t="str">
        <f>IF(Dati[[#This Row],[Categoria]]="Savings",0,"")</f>
        <v/>
      </c>
      <c r="T788" s="59"/>
      <c r="U788" s="59"/>
      <c r="V788" s="59"/>
      <c r="W788" s="59"/>
      <c r="X788" s="59"/>
      <c r="Y788" s="59"/>
      <c r="Z788" s="59"/>
      <c r="AA788" s="59"/>
      <c r="AB788" s="59"/>
      <c r="AC788" s="59"/>
      <c r="AD788" s="59"/>
      <c r="AE788" s="59"/>
      <c r="AF788" s="59"/>
      <c r="AG788" s="59"/>
      <c r="AH788" s="59"/>
      <c r="AI788" s="59" t="str">
        <f>IF(SUM(Dati[[#This Row],[Inv. Business]:[Inv. Cryptocurrency]])=0," ",SUM(Dati[[#This Row],[Inv. Business]:[Inv. Cryptocurrency]]))</f>
        <v xml:space="preserve"> </v>
      </c>
      <c r="AJ788" s="59"/>
      <c r="AK788" s="59"/>
      <c r="AL788" s="59"/>
      <c r="AM788" s="59"/>
    </row>
    <row r="789" spans="2:39" x14ac:dyDescent="0.35">
      <c r="B789" s="237">
        <f t="shared" si="40"/>
        <v>769</v>
      </c>
      <c r="C789" s="49">
        <f t="shared" si="39"/>
        <v>45518</v>
      </c>
      <c r="D789" s="29">
        <f>DAY(Dati[[#This Row],[Data]])</f>
        <v>14</v>
      </c>
      <c r="E789" s="29" t="str">
        <f>IF(DAY(Data!$C$21:$C$1327)&gt;0,TEXT(Data!$C$21:$C$1327, "mmmm"),"")</f>
        <v>agosto</v>
      </c>
      <c r="F789" s="29" t="str">
        <f>IF(DAY(Data!$C$21:$C$1327)&gt;0,TEXT(Data!$C$21:$C$1327, "aaaa"),"")</f>
        <v>2024</v>
      </c>
      <c r="I789" t="str">
        <f>IF(OR(H789=$B$5,H789=$B$6,H789=$B$7,H789=$B$8,H789=$B$9,H789=$B$10,H789=$B$11,H789=$B$12,H789=$B$13,H789=$B$14),SottocategorieUscite[[#Headers],[Fuori Casa]],IF(OR(H789=$C$5,H789=$C$6,H789=$C$7,H789=$C$8,H789=$C$9,H789=$C$10,H789=$C$11,H789=$C$12,H789=$C$13,H789=$C$14),SottocategorieUscite[[#Headers],[Varie Uscite]],IF(OR(H789=$D$5,H789=$D$6,H789=$D$7,H789=$D$8,H789=$D$9,H789=$D$10,H789=$D$11,H789=$D$12,H789=$D$13,H789=$D$14),SottocategorieUscite[[#Headers],[Personali]],IF(OR(H789=$E$5,H789=$E$6,H789=$E$7,H789=$E$8,H789=$E$9,H789=$E$10,H789=$E$11,H789=$E$12,H789=$E$13,H789=$E$14),SottocategorieUscite[[#Headers],[Lavoro]],IF(OR(H789=$F$5,H789=$F$6,H789=$F$7,H789=$F$8,H789=$F$9,H789=$F$10,H789=$F$11,H789=$F$12,H789=$F$13,H789=$F$14),SottocategorieUscite[[#Headers],[Casa]],IF(OR(H789=$G$5,H789=$G$6,H789=$G$7,H789=$G$8,H789=$G$9,H789=$G$10,H789=$G$11,H789=$G$12,H789=$G$13,H789=$G$14),SottocategorieUscite[[#Headers],[Utenze]],IF(OR(H789=$H$5,H789=$H$6,H789=$H$7,H789=$H$8,H789=$H$9,H789=$H$10,H789=$H$11,H789=$H$12,H789=$H$13,H789=$H$14),SottocategorieUscite[[#Headers],[Business Uscite]],IF(OR(H789=$I$5,H789=$I$6,H789=$I$7,H789=$I$8,H789=$I$9,H789=$I$10,H789=$I$11,H789=$I$12,H789=$I$13,H789=$I$14),SottocategorieUscite[[#Headers],[Banca]],IF(OR(H789=K$5,H789=K$6,H789=K$7,H789=K$8,H789=K$9,H789=K$10,H789=K$11,H789=K$12,H789=K$13,H789=K$14),SottocategorieEntrate[[#Headers],[Business Entrate]],IF(OR(H789=L$5,H789=L$6,H789=L$7,H789=L$8,H789=L$9,H789=L$10,H789=L$11,H789=L$12,H789=L$13,H789=L$14),SottocategorieEntrate[[#Headers],[Varie Entrate]],IF(OR(H789=M$5,H789=M$6,H789=M$7,H789=M$8,H789=M$9,H789=M$10,H789=M$11,H789=M$12,H789=M$13,H789=M$14),SottocategorieEntrate[[#Headers],[Real Estate]],IF(OR(H789=N$5,H789=N$6,H789=N$7,H789=N$8,H789=N$9,H789=N$10,H789=N$11,H789=N$12,H789=N$13,H789=N$14),SottocategorieEntrate[[#Headers],[Other]],""))))))))))))</f>
        <v/>
      </c>
      <c r="J789" t="str">
        <f>IF(OR(Dati[[#This Row],[Categoria]]="Bollette",Dati[[#This Row],[Categoria]]="Conto &amp; Carte BNL",Dati[[#This Row],[Categoria]]="Prelievo",Dati[[#This Row],[Categoria]]="Affitto",Dati[[#This Row],[Categoria]]="BNL(Interessi Creditori)"),"Carta",IF(Dati[[#This Row],[Categoria]]&lt;&gt;0,"Cash",""))</f>
        <v/>
      </c>
      <c r="K789" s="59" t="str">
        <f>IF(OR(Data!$I789=SottocategorieUscite[[#Headers],[Fuori Casa]],Data!$I789=SottocategorieUscite[[#Headers],[Varie Uscite]],Data!$I789=SottocategorieUscite[[#Headers],[Personali]],Data!$I789=SottocategorieUscite[[#Headers],[Lavoro]]),"$ -","")</f>
        <v/>
      </c>
      <c r="L789" s="59" t="str">
        <f>IF(OR(Data!$I789=SottocategorieUscite[[#Headers],[Casa]],Data!$I789=SottocategorieUscite[[#Headers],[Utenze]],Data!$I789=SottocategorieUscite[[#Headers],[Business Uscite]],Data!$I789=SottocategorieUscite[[#Headers],[Banca]]),"$ -","")</f>
        <v/>
      </c>
      <c r="M789" s="59" t="str">
        <f>IF(OR($I789&lt;&gt;SottocategorieUscite[[#Headers],[Fuori Casa]],$I789&lt;&gt;SottocategorieUscite[[#Headers],[Varie Uscite]],$I789&lt;&gt;SottocategorieUscite[[#Headers],[Personali]],$I789&lt;&gt;SottocategorieUscite[[#Headers],[Lavoro]],$I789&lt;&gt;SottocategorieUscite[[#Headers],[Casa]],$I789&lt;&gt;SottocategorieUscite[[#Headers],[Utenze]],$I789&lt;&gt;SottocategorieUscite[[#Headers],[Business Uscite]],$I789&lt;&gt;SottocategorieUscite[[#Headers],[Banca]]),"","$ -")</f>
        <v/>
      </c>
      <c r="N789" s="59" t="str">
        <f>IF(OR(Data!$I789=SottocategorieEntrate[[#Headers],[Business Entrate]],Data!$I789=SottocategorieEntrate[[#Headers],[Varie Entrate]]),"$ -","")</f>
        <v/>
      </c>
      <c r="O789" s="59" t="str">
        <f>IF(OR(Data!$I789=SottocategorieEntrate[[#Headers],[Real Estate]],SottocategorieEntrate[[#Headers],[Other]]),"$ -","")</f>
        <v/>
      </c>
      <c r="P789" s="59" t="str">
        <f>IF(OR($I789&lt;&gt;SottocategorieEntrate[[#Headers],[Business Entrate]],$I789&lt;&gt;SottocategorieEntrate[[#Headers],[Varie Entrate]],$I789&lt;&gt;SottocategorieEntrate[[#Headers],[Real Estate]],$I789&lt;&gt;SottocategorieEntrate[[#Headers],[Other]]),"","$ -")</f>
        <v/>
      </c>
      <c r="Q789" s="59" t="str">
        <f>IF(Dati[[#This Row],[Categoria]]="Prelievo","€ -","")</f>
        <v/>
      </c>
      <c r="R789" s="244"/>
      <c r="S789" s="59" t="str">
        <f>IF(Dati[[#This Row],[Categoria]]="Savings",0,"")</f>
        <v/>
      </c>
      <c r="T789" s="59"/>
      <c r="U789" s="59"/>
      <c r="V789" s="59"/>
      <c r="W789" s="59"/>
      <c r="X789" s="59"/>
      <c r="Y789" s="59"/>
      <c r="Z789" s="59"/>
      <c r="AA789" s="59"/>
      <c r="AB789" s="59"/>
      <c r="AC789" s="59"/>
      <c r="AD789" s="59"/>
      <c r="AE789" s="59"/>
      <c r="AF789" s="59"/>
      <c r="AG789" s="59"/>
      <c r="AH789" s="59"/>
      <c r="AI789" s="59" t="str">
        <f>IF(SUM(Dati[[#This Row],[Inv. Business]:[Inv. Cryptocurrency]])=0," ",SUM(Dati[[#This Row],[Inv. Business]:[Inv. Cryptocurrency]]))</f>
        <v xml:space="preserve"> </v>
      </c>
      <c r="AJ789" s="59"/>
      <c r="AK789" s="59"/>
      <c r="AL789" s="59"/>
      <c r="AM789" s="59"/>
    </row>
    <row r="790" spans="2:39" x14ac:dyDescent="0.35">
      <c r="B790" s="237">
        <f t="shared" si="40"/>
        <v>770</v>
      </c>
      <c r="C790" s="49">
        <f t="shared" si="39"/>
        <v>45519</v>
      </c>
      <c r="D790" s="29">
        <f>DAY(Dati[[#This Row],[Data]])</f>
        <v>15</v>
      </c>
      <c r="E790" s="29" t="str">
        <f>IF(DAY(Data!$C$21:$C$1327)&gt;0,TEXT(Data!$C$21:$C$1327, "mmmm"),"")</f>
        <v>agosto</v>
      </c>
      <c r="F790" s="29" t="str">
        <f>IF(DAY(Data!$C$21:$C$1327)&gt;0,TEXT(Data!$C$21:$C$1327, "aaaa"),"")</f>
        <v>2024</v>
      </c>
      <c r="I790" t="str">
        <f>IF(OR(H790=$B$5,H790=$B$6,H790=$B$7,H790=$B$8,H790=$B$9,H790=$B$10,H790=$B$11,H790=$B$12,H790=$B$13,H790=$B$14),SottocategorieUscite[[#Headers],[Fuori Casa]],IF(OR(H790=$C$5,H790=$C$6,H790=$C$7,H790=$C$8,H790=$C$9,H790=$C$10,H790=$C$11,H790=$C$12,H790=$C$13,H790=$C$14),SottocategorieUscite[[#Headers],[Varie Uscite]],IF(OR(H790=$D$5,H790=$D$6,H790=$D$7,H790=$D$8,H790=$D$9,H790=$D$10,H790=$D$11,H790=$D$12,H790=$D$13,H790=$D$14),SottocategorieUscite[[#Headers],[Personali]],IF(OR(H790=$E$5,H790=$E$6,H790=$E$7,H790=$E$8,H790=$E$9,H790=$E$10,H790=$E$11,H790=$E$12,H790=$E$13,H790=$E$14),SottocategorieUscite[[#Headers],[Lavoro]],IF(OR(H790=$F$5,H790=$F$6,H790=$F$7,H790=$F$8,H790=$F$9,H790=$F$10,H790=$F$11,H790=$F$12,H790=$F$13,H790=$F$14),SottocategorieUscite[[#Headers],[Casa]],IF(OR(H790=$G$5,H790=$G$6,H790=$G$7,H790=$G$8,H790=$G$9,H790=$G$10,H790=$G$11,H790=$G$12,H790=$G$13,H790=$G$14),SottocategorieUscite[[#Headers],[Utenze]],IF(OR(H790=$H$5,H790=$H$6,H790=$H$7,H790=$H$8,H790=$H$9,H790=$H$10,H790=$H$11,H790=$H$12,H790=$H$13,H790=$H$14),SottocategorieUscite[[#Headers],[Business Uscite]],IF(OR(H790=$I$5,H790=$I$6,H790=$I$7,H790=$I$8,H790=$I$9,H790=$I$10,H790=$I$11,H790=$I$12,H790=$I$13,H790=$I$14),SottocategorieUscite[[#Headers],[Banca]],IF(OR(H790=K$5,H790=K$6,H790=K$7,H790=K$8,H790=K$9,H790=K$10,H790=K$11,H790=K$12,H790=K$13,H790=K$14),SottocategorieEntrate[[#Headers],[Business Entrate]],IF(OR(H790=L$5,H790=L$6,H790=L$7,H790=L$8,H790=L$9,H790=L$10,H790=L$11,H790=L$12,H790=L$13,H790=L$14),SottocategorieEntrate[[#Headers],[Varie Entrate]],IF(OR(H790=M$5,H790=M$6,H790=M$7,H790=M$8,H790=M$9,H790=M$10,H790=M$11,H790=M$12,H790=M$13,H790=M$14),SottocategorieEntrate[[#Headers],[Real Estate]],IF(OR(H790=N$5,H790=N$6,H790=N$7,H790=N$8,H790=N$9,H790=N$10,H790=N$11,H790=N$12,H790=N$13,H790=N$14),SottocategorieEntrate[[#Headers],[Other]],""))))))))))))</f>
        <v/>
      </c>
      <c r="J790" t="str">
        <f>IF(OR(Dati[[#This Row],[Categoria]]="Bollette",Dati[[#This Row],[Categoria]]="Conto &amp; Carte BNL",Dati[[#This Row],[Categoria]]="Prelievo",Dati[[#This Row],[Categoria]]="Affitto",Dati[[#This Row],[Categoria]]="BNL(Interessi Creditori)"),"Carta",IF(Dati[[#This Row],[Categoria]]&lt;&gt;0,"Cash",""))</f>
        <v/>
      </c>
      <c r="K790" s="59" t="str">
        <f>IF(OR(Data!$I790=SottocategorieUscite[[#Headers],[Fuori Casa]],Data!$I790=SottocategorieUscite[[#Headers],[Varie Uscite]],Data!$I790=SottocategorieUscite[[#Headers],[Personali]],Data!$I790=SottocategorieUscite[[#Headers],[Lavoro]]),"$ -","")</f>
        <v/>
      </c>
      <c r="L790" s="59" t="str">
        <f>IF(OR(Data!$I790=SottocategorieUscite[[#Headers],[Casa]],Data!$I790=SottocategorieUscite[[#Headers],[Utenze]],Data!$I790=SottocategorieUscite[[#Headers],[Business Uscite]],Data!$I790=SottocategorieUscite[[#Headers],[Banca]]),"$ -","")</f>
        <v/>
      </c>
      <c r="M790" s="59" t="str">
        <f>IF(OR($I790&lt;&gt;SottocategorieUscite[[#Headers],[Fuori Casa]],$I790&lt;&gt;SottocategorieUscite[[#Headers],[Varie Uscite]],$I790&lt;&gt;SottocategorieUscite[[#Headers],[Personali]],$I790&lt;&gt;SottocategorieUscite[[#Headers],[Lavoro]],$I790&lt;&gt;SottocategorieUscite[[#Headers],[Casa]],$I790&lt;&gt;SottocategorieUscite[[#Headers],[Utenze]],$I790&lt;&gt;SottocategorieUscite[[#Headers],[Business Uscite]],$I790&lt;&gt;SottocategorieUscite[[#Headers],[Banca]]),"","$ -")</f>
        <v/>
      </c>
      <c r="N790" s="59" t="str">
        <f>IF(OR(Data!$I790=SottocategorieEntrate[[#Headers],[Business Entrate]],Data!$I790=SottocategorieEntrate[[#Headers],[Varie Entrate]]),"$ -","")</f>
        <v/>
      </c>
      <c r="O790" s="59" t="str">
        <f>IF(OR(Data!$I790=SottocategorieEntrate[[#Headers],[Real Estate]],SottocategorieEntrate[[#Headers],[Other]]),"$ -","")</f>
        <v/>
      </c>
      <c r="P790" s="59" t="str">
        <f>IF(OR($I790&lt;&gt;SottocategorieEntrate[[#Headers],[Business Entrate]],$I790&lt;&gt;SottocategorieEntrate[[#Headers],[Varie Entrate]],$I790&lt;&gt;SottocategorieEntrate[[#Headers],[Real Estate]],$I790&lt;&gt;SottocategorieEntrate[[#Headers],[Other]]),"","$ -")</f>
        <v/>
      </c>
      <c r="Q790" s="59" t="str">
        <f>IF(Dati[[#This Row],[Categoria]]="Prelievo","€ -","")</f>
        <v/>
      </c>
      <c r="R790" s="244"/>
      <c r="S790" s="59" t="str">
        <f>IF(Dati[[#This Row],[Categoria]]="Savings",0,"")</f>
        <v/>
      </c>
      <c r="T790" s="59"/>
      <c r="U790" s="59"/>
      <c r="V790" s="59"/>
      <c r="W790" s="59"/>
      <c r="X790" s="59"/>
      <c r="Y790" s="59"/>
      <c r="Z790" s="59"/>
      <c r="AA790" s="59"/>
      <c r="AB790" s="59"/>
      <c r="AC790" s="59"/>
      <c r="AD790" s="59"/>
      <c r="AE790" s="59"/>
      <c r="AF790" s="59"/>
      <c r="AG790" s="59"/>
      <c r="AH790" s="59"/>
      <c r="AI790" s="59" t="str">
        <f>IF(SUM(Dati[[#This Row],[Inv. Business]:[Inv. Cryptocurrency]])=0," ",SUM(Dati[[#This Row],[Inv. Business]:[Inv. Cryptocurrency]]))</f>
        <v xml:space="preserve"> </v>
      </c>
      <c r="AJ790" s="59"/>
      <c r="AK790" s="59"/>
      <c r="AL790" s="59"/>
      <c r="AM790" s="59"/>
    </row>
    <row r="791" spans="2:39" x14ac:dyDescent="0.35">
      <c r="B791" s="237">
        <f t="shared" si="40"/>
        <v>771</v>
      </c>
      <c r="C791" s="49">
        <f t="shared" si="39"/>
        <v>45520</v>
      </c>
      <c r="D791" s="29">
        <f>DAY(Dati[[#This Row],[Data]])</f>
        <v>16</v>
      </c>
      <c r="E791" s="29" t="str">
        <f>IF(DAY(Data!$C$21:$C$1327)&gt;0,TEXT(Data!$C$21:$C$1327, "mmmm"),"")</f>
        <v>agosto</v>
      </c>
      <c r="F791" s="29" t="str">
        <f>IF(DAY(Data!$C$21:$C$1327)&gt;0,TEXT(Data!$C$21:$C$1327, "aaaa"),"")</f>
        <v>2024</v>
      </c>
      <c r="I791" t="str">
        <f>IF(OR(H791=$B$5,H791=$B$6,H791=$B$7,H791=$B$8,H791=$B$9,H791=$B$10,H791=$B$11,H791=$B$12,H791=$B$13,H791=$B$14),SottocategorieUscite[[#Headers],[Fuori Casa]],IF(OR(H791=$C$5,H791=$C$6,H791=$C$7,H791=$C$8,H791=$C$9,H791=$C$10,H791=$C$11,H791=$C$12,H791=$C$13,H791=$C$14),SottocategorieUscite[[#Headers],[Varie Uscite]],IF(OR(H791=$D$5,H791=$D$6,H791=$D$7,H791=$D$8,H791=$D$9,H791=$D$10,H791=$D$11,H791=$D$12,H791=$D$13,H791=$D$14),SottocategorieUscite[[#Headers],[Personali]],IF(OR(H791=$E$5,H791=$E$6,H791=$E$7,H791=$E$8,H791=$E$9,H791=$E$10,H791=$E$11,H791=$E$12,H791=$E$13,H791=$E$14),SottocategorieUscite[[#Headers],[Lavoro]],IF(OR(H791=$F$5,H791=$F$6,H791=$F$7,H791=$F$8,H791=$F$9,H791=$F$10,H791=$F$11,H791=$F$12,H791=$F$13,H791=$F$14),SottocategorieUscite[[#Headers],[Casa]],IF(OR(H791=$G$5,H791=$G$6,H791=$G$7,H791=$G$8,H791=$G$9,H791=$G$10,H791=$G$11,H791=$G$12,H791=$G$13,H791=$G$14),SottocategorieUscite[[#Headers],[Utenze]],IF(OR(H791=$H$5,H791=$H$6,H791=$H$7,H791=$H$8,H791=$H$9,H791=$H$10,H791=$H$11,H791=$H$12,H791=$H$13,H791=$H$14),SottocategorieUscite[[#Headers],[Business Uscite]],IF(OR(H791=$I$5,H791=$I$6,H791=$I$7,H791=$I$8,H791=$I$9,H791=$I$10,H791=$I$11,H791=$I$12,H791=$I$13,H791=$I$14),SottocategorieUscite[[#Headers],[Banca]],IF(OR(H791=K$5,H791=K$6,H791=K$7,H791=K$8,H791=K$9,H791=K$10,H791=K$11,H791=K$12,H791=K$13,H791=K$14),SottocategorieEntrate[[#Headers],[Business Entrate]],IF(OR(H791=L$5,H791=L$6,H791=L$7,H791=L$8,H791=L$9,H791=L$10,H791=L$11,H791=L$12,H791=L$13,H791=L$14),SottocategorieEntrate[[#Headers],[Varie Entrate]],IF(OR(H791=M$5,H791=M$6,H791=M$7,H791=M$8,H791=M$9,H791=M$10,H791=M$11,H791=M$12,H791=M$13,H791=M$14),SottocategorieEntrate[[#Headers],[Real Estate]],IF(OR(H791=N$5,H791=N$6,H791=N$7,H791=N$8,H791=N$9,H791=N$10,H791=N$11,H791=N$12,H791=N$13,H791=N$14),SottocategorieEntrate[[#Headers],[Other]],""))))))))))))</f>
        <v/>
      </c>
      <c r="J791" t="str">
        <f>IF(OR(Dati[[#This Row],[Categoria]]="Bollette",Dati[[#This Row],[Categoria]]="Conto &amp; Carte BNL",Dati[[#This Row],[Categoria]]="Prelievo",Dati[[#This Row],[Categoria]]="Affitto",Dati[[#This Row],[Categoria]]="BNL(Interessi Creditori)"),"Carta",IF(Dati[[#This Row],[Categoria]]&lt;&gt;0,"Cash",""))</f>
        <v/>
      </c>
      <c r="K791" s="59" t="str">
        <f>IF(OR(Data!$I791=SottocategorieUscite[[#Headers],[Fuori Casa]],Data!$I791=SottocategorieUscite[[#Headers],[Varie Uscite]],Data!$I791=SottocategorieUscite[[#Headers],[Personali]],Data!$I791=SottocategorieUscite[[#Headers],[Lavoro]]),"$ -","")</f>
        <v/>
      </c>
      <c r="L791" s="59" t="str">
        <f>IF(OR(Data!$I791=SottocategorieUscite[[#Headers],[Casa]],Data!$I791=SottocategorieUscite[[#Headers],[Utenze]],Data!$I791=SottocategorieUscite[[#Headers],[Business Uscite]],Data!$I791=SottocategorieUscite[[#Headers],[Banca]]),"$ -","")</f>
        <v/>
      </c>
      <c r="M791" s="59" t="str">
        <f>IF(OR($I791&lt;&gt;SottocategorieUscite[[#Headers],[Fuori Casa]],$I791&lt;&gt;SottocategorieUscite[[#Headers],[Varie Uscite]],$I791&lt;&gt;SottocategorieUscite[[#Headers],[Personali]],$I791&lt;&gt;SottocategorieUscite[[#Headers],[Lavoro]],$I791&lt;&gt;SottocategorieUscite[[#Headers],[Casa]],$I791&lt;&gt;SottocategorieUscite[[#Headers],[Utenze]],$I791&lt;&gt;SottocategorieUscite[[#Headers],[Business Uscite]],$I791&lt;&gt;SottocategorieUscite[[#Headers],[Banca]]),"","$ -")</f>
        <v/>
      </c>
      <c r="N791" s="59" t="str">
        <f>IF(OR(Data!$I791=SottocategorieEntrate[[#Headers],[Business Entrate]],Data!$I791=SottocategorieEntrate[[#Headers],[Varie Entrate]]),"$ -","")</f>
        <v/>
      </c>
      <c r="O791" s="59" t="str">
        <f>IF(OR(Data!$I791=SottocategorieEntrate[[#Headers],[Real Estate]],SottocategorieEntrate[[#Headers],[Other]]),"$ -","")</f>
        <v/>
      </c>
      <c r="P791" s="59" t="str">
        <f>IF(OR($I791&lt;&gt;SottocategorieEntrate[[#Headers],[Business Entrate]],$I791&lt;&gt;SottocategorieEntrate[[#Headers],[Varie Entrate]],$I791&lt;&gt;SottocategorieEntrate[[#Headers],[Real Estate]],$I791&lt;&gt;SottocategorieEntrate[[#Headers],[Other]]),"","$ -")</f>
        <v/>
      </c>
      <c r="Q791" s="59" t="str">
        <f>IF(Dati[[#This Row],[Categoria]]="Prelievo","€ -","")</f>
        <v/>
      </c>
      <c r="R791" s="244"/>
      <c r="S791" s="59" t="str">
        <f>IF(Dati[[#This Row],[Categoria]]="Savings",0,"")</f>
        <v/>
      </c>
      <c r="T791" s="59"/>
      <c r="U791" s="59"/>
      <c r="V791" s="59"/>
      <c r="W791" s="59"/>
      <c r="X791" s="59"/>
      <c r="Y791" s="59"/>
      <c r="Z791" s="59"/>
      <c r="AA791" s="59"/>
      <c r="AB791" s="59"/>
      <c r="AC791" s="59"/>
      <c r="AD791" s="59"/>
      <c r="AE791" s="59"/>
      <c r="AF791" s="59"/>
      <c r="AG791" s="59"/>
      <c r="AH791" s="59"/>
      <c r="AI791" s="59" t="str">
        <f>IF(SUM(Dati[[#This Row],[Inv. Business]:[Inv. Cryptocurrency]])=0," ",SUM(Dati[[#This Row],[Inv. Business]:[Inv. Cryptocurrency]]))</f>
        <v xml:space="preserve"> </v>
      </c>
      <c r="AJ791" s="59"/>
      <c r="AK791" s="59"/>
      <c r="AL791" s="59"/>
      <c r="AM791" s="59"/>
    </row>
    <row r="792" spans="2:39" x14ac:dyDescent="0.35">
      <c r="B792" s="237">
        <f t="shared" si="40"/>
        <v>772</v>
      </c>
      <c r="C792" s="49">
        <f t="shared" si="39"/>
        <v>45521</v>
      </c>
      <c r="D792" s="29">
        <f>DAY(Dati[[#This Row],[Data]])</f>
        <v>17</v>
      </c>
      <c r="E792" s="29" t="str">
        <f>IF(DAY(Data!$C$21:$C$1327)&gt;0,TEXT(Data!$C$21:$C$1327, "mmmm"),"")</f>
        <v>agosto</v>
      </c>
      <c r="F792" s="29" t="str">
        <f>IF(DAY(Data!$C$21:$C$1327)&gt;0,TEXT(Data!$C$21:$C$1327, "aaaa"),"")</f>
        <v>2024</v>
      </c>
      <c r="I792" t="str">
        <f>IF(OR(H792=$B$5,H792=$B$6,H792=$B$7,H792=$B$8,H792=$B$9,H792=$B$10,H792=$B$11,H792=$B$12,H792=$B$13,H792=$B$14),SottocategorieUscite[[#Headers],[Fuori Casa]],IF(OR(H792=$C$5,H792=$C$6,H792=$C$7,H792=$C$8,H792=$C$9,H792=$C$10,H792=$C$11,H792=$C$12,H792=$C$13,H792=$C$14),SottocategorieUscite[[#Headers],[Varie Uscite]],IF(OR(H792=$D$5,H792=$D$6,H792=$D$7,H792=$D$8,H792=$D$9,H792=$D$10,H792=$D$11,H792=$D$12,H792=$D$13,H792=$D$14),SottocategorieUscite[[#Headers],[Personali]],IF(OR(H792=$E$5,H792=$E$6,H792=$E$7,H792=$E$8,H792=$E$9,H792=$E$10,H792=$E$11,H792=$E$12,H792=$E$13,H792=$E$14),SottocategorieUscite[[#Headers],[Lavoro]],IF(OR(H792=$F$5,H792=$F$6,H792=$F$7,H792=$F$8,H792=$F$9,H792=$F$10,H792=$F$11,H792=$F$12,H792=$F$13,H792=$F$14),SottocategorieUscite[[#Headers],[Casa]],IF(OR(H792=$G$5,H792=$G$6,H792=$G$7,H792=$G$8,H792=$G$9,H792=$G$10,H792=$G$11,H792=$G$12,H792=$G$13,H792=$G$14),SottocategorieUscite[[#Headers],[Utenze]],IF(OR(H792=$H$5,H792=$H$6,H792=$H$7,H792=$H$8,H792=$H$9,H792=$H$10,H792=$H$11,H792=$H$12,H792=$H$13,H792=$H$14),SottocategorieUscite[[#Headers],[Business Uscite]],IF(OR(H792=$I$5,H792=$I$6,H792=$I$7,H792=$I$8,H792=$I$9,H792=$I$10,H792=$I$11,H792=$I$12,H792=$I$13,H792=$I$14),SottocategorieUscite[[#Headers],[Banca]],IF(OR(H792=K$5,H792=K$6,H792=K$7,H792=K$8,H792=K$9,H792=K$10,H792=K$11,H792=K$12,H792=K$13,H792=K$14),SottocategorieEntrate[[#Headers],[Business Entrate]],IF(OR(H792=L$5,H792=L$6,H792=L$7,H792=L$8,H792=L$9,H792=L$10,H792=L$11,H792=L$12,H792=L$13,H792=L$14),SottocategorieEntrate[[#Headers],[Varie Entrate]],IF(OR(H792=M$5,H792=M$6,H792=M$7,H792=M$8,H792=M$9,H792=M$10,H792=M$11,H792=M$12,H792=M$13,H792=M$14),SottocategorieEntrate[[#Headers],[Real Estate]],IF(OR(H792=N$5,H792=N$6,H792=N$7,H792=N$8,H792=N$9,H792=N$10,H792=N$11,H792=N$12,H792=N$13,H792=N$14),SottocategorieEntrate[[#Headers],[Other]],""))))))))))))</f>
        <v/>
      </c>
      <c r="J792" t="str">
        <f>IF(OR(Dati[[#This Row],[Categoria]]="Bollette",Dati[[#This Row],[Categoria]]="Conto &amp; Carte BNL",Dati[[#This Row],[Categoria]]="Prelievo",Dati[[#This Row],[Categoria]]="Affitto",Dati[[#This Row],[Categoria]]="BNL(Interessi Creditori)"),"Carta",IF(Dati[[#This Row],[Categoria]]&lt;&gt;0,"Cash",""))</f>
        <v/>
      </c>
      <c r="K792" s="59" t="str">
        <f>IF(OR(Data!$I792=SottocategorieUscite[[#Headers],[Fuori Casa]],Data!$I792=SottocategorieUscite[[#Headers],[Varie Uscite]],Data!$I792=SottocategorieUscite[[#Headers],[Personali]],Data!$I792=SottocategorieUscite[[#Headers],[Lavoro]]),"$ -","")</f>
        <v/>
      </c>
      <c r="L792" s="59" t="str">
        <f>IF(OR(Data!$I792=SottocategorieUscite[[#Headers],[Casa]],Data!$I792=SottocategorieUscite[[#Headers],[Utenze]],Data!$I792=SottocategorieUscite[[#Headers],[Business Uscite]],Data!$I792=SottocategorieUscite[[#Headers],[Banca]]),"$ -","")</f>
        <v/>
      </c>
      <c r="M792" s="59" t="str">
        <f>IF(OR($I792&lt;&gt;SottocategorieUscite[[#Headers],[Fuori Casa]],$I792&lt;&gt;SottocategorieUscite[[#Headers],[Varie Uscite]],$I792&lt;&gt;SottocategorieUscite[[#Headers],[Personali]],$I792&lt;&gt;SottocategorieUscite[[#Headers],[Lavoro]],$I792&lt;&gt;SottocategorieUscite[[#Headers],[Casa]],$I792&lt;&gt;SottocategorieUscite[[#Headers],[Utenze]],$I792&lt;&gt;SottocategorieUscite[[#Headers],[Business Uscite]],$I792&lt;&gt;SottocategorieUscite[[#Headers],[Banca]]),"","$ -")</f>
        <v/>
      </c>
      <c r="N792" s="59" t="str">
        <f>IF(OR(Data!$I792=SottocategorieEntrate[[#Headers],[Business Entrate]],Data!$I792=SottocategorieEntrate[[#Headers],[Varie Entrate]]),"$ -","")</f>
        <v/>
      </c>
      <c r="O792" s="59" t="str">
        <f>IF(OR(Data!$I792=SottocategorieEntrate[[#Headers],[Real Estate]],SottocategorieEntrate[[#Headers],[Other]]),"$ -","")</f>
        <v/>
      </c>
      <c r="P792" s="59" t="str">
        <f>IF(OR($I792&lt;&gt;SottocategorieEntrate[[#Headers],[Business Entrate]],$I792&lt;&gt;SottocategorieEntrate[[#Headers],[Varie Entrate]],$I792&lt;&gt;SottocategorieEntrate[[#Headers],[Real Estate]],$I792&lt;&gt;SottocategorieEntrate[[#Headers],[Other]]),"","$ -")</f>
        <v/>
      </c>
      <c r="Q792" s="59" t="str">
        <f>IF(Dati[[#This Row],[Categoria]]="Prelievo","€ -","")</f>
        <v/>
      </c>
      <c r="R792" s="244"/>
      <c r="S792" s="59" t="str">
        <f>IF(Dati[[#This Row],[Categoria]]="Savings",0,"")</f>
        <v/>
      </c>
      <c r="T792" s="59"/>
      <c r="U792" s="59"/>
      <c r="V792" s="59"/>
      <c r="W792" s="59"/>
      <c r="X792" s="59"/>
      <c r="Y792" s="59"/>
      <c r="Z792" s="59"/>
      <c r="AA792" s="59"/>
      <c r="AB792" s="59"/>
      <c r="AC792" s="59"/>
      <c r="AD792" s="59"/>
      <c r="AE792" s="59"/>
      <c r="AF792" s="59"/>
      <c r="AG792" s="59"/>
      <c r="AH792" s="59"/>
      <c r="AI792" s="59" t="str">
        <f>IF(SUM(Dati[[#This Row],[Inv. Business]:[Inv. Cryptocurrency]])=0," ",SUM(Dati[[#This Row],[Inv. Business]:[Inv. Cryptocurrency]]))</f>
        <v xml:space="preserve"> </v>
      </c>
      <c r="AJ792" s="59"/>
      <c r="AK792" s="59"/>
      <c r="AL792" s="59"/>
      <c r="AM792" s="59"/>
    </row>
    <row r="793" spans="2:39" x14ac:dyDescent="0.35">
      <c r="B793" s="237">
        <f t="shared" si="40"/>
        <v>773</v>
      </c>
      <c r="C793" s="49">
        <f t="shared" si="39"/>
        <v>45522</v>
      </c>
      <c r="D793" s="29">
        <f>DAY(Dati[[#This Row],[Data]])</f>
        <v>18</v>
      </c>
      <c r="E793" s="29" t="str">
        <f>IF(DAY(Data!$C$21:$C$1327)&gt;0,TEXT(Data!$C$21:$C$1327, "mmmm"),"")</f>
        <v>agosto</v>
      </c>
      <c r="F793" s="29" t="str">
        <f>IF(DAY(Data!$C$21:$C$1327)&gt;0,TEXT(Data!$C$21:$C$1327, "aaaa"),"")</f>
        <v>2024</v>
      </c>
      <c r="I793" t="str">
        <f>IF(OR(H793=$B$5,H793=$B$6,H793=$B$7,H793=$B$8,H793=$B$9,H793=$B$10,H793=$B$11,H793=$B$12,H793=$B$13,H793=$B$14),SottocategorieUscite[[#Headers],[Fuori Casa]],IF(OR(H793=$C$5,H793=$C$6,H793=$C$7,H793=$C$8,H793=$C$9,H793=$C$10,H793=$C$11,H793=$C$12,H793=$C$13,H793=$C$14),SottocategorieUscite[[#Headers],[Varie Uscite]],IF(OR(H793=$D$5,H793=$D$6,H793=$D$7,H793=$D$8,H793=$D$9,H793=$D$10,H793=$D$11,H793=$D$12,H793=$D$13,H793=$D$14),SottocategorieUscite[[#Headers],[Personali]],IF(OR(H793=$E$5,H793=$E$6,H793=$E$7,H793=$E$8,H793=$E$9,H793=$E$10,H793=$E$11,H793=$E$12,H793=$E$13,H793=$E$14),SottocategorieUscite[[#Headers],[Lavoro]],IF(OR(H793=$F$5,H793=$F$6,H793=$F$7,H793=$F$8,H793=$F$9,H793=$F$10,H793=$F$11,H793=$F$12,H793=$F$13,H793=$F$14),SottocategorieUscite[[#Headers],[Casa]],IF(OR(H793=$G$5,H793=$G$6,H793=$G$7,H793=$G$8,H793=$G$9,H793=$G$10,H793=$G$11,H793=$G$12,H793=$G$13,H793=$G$14),SottocategorieUscite[[#Headers],[Utenze]],IF(OR(H793=$H$5,H793=$H$6,H793=$H$7,H793=$H$8,H793=$H$9,H793=$H$10,H793=$H$11,H793=$H$12,H793=$H$13,H793=$H$14),SottocategorieUscite[[#Headers],[Business Uscite]],IF(OR(H793=$I$5,H793=$I$6,H793=$I$7,H793=$I$8,H793=$I$9,H793=$I$10,H793=$I$11,H793=$I$12,H793=$I$13,H793=$I$14),SottocategorieUscite[[#Headers],[Banca]],IF(OR(H793=K$5,H793=K$6,H793=K$7,H793=K$8,H793=K$9,H793=K$10,H793=K$11,H793=K$12,H793=K$13,H793=K$14),SottocategorieEntrate[[#Headers],[Business Entrate]],IF(OR(H793=L$5,H793=L$6,H793=L$7,H793=L$8,H793=L$9,H793=L$10,H793=L$11,H793=L$12,H793=L$13,H793=L$14),SottocategorieEntrate[[#Headers],[Varie Entrate]],IF(OR(H793=M$5,H793=M$6,H793=M$7,H793=M$8,H793=M$9,H793=M$10,H793=M$11,H793=M$12,H793=M$13,H793=M$14),SottocategorieEntrate[[#Headers],[Real Estate]],IF(OR(H793=N$5,H793=N$6,H793=N$7,H793=N$8,H793=N$9,H793=N$10,H793=N$11,H793=N$12,H793=N$13,H793=N$14),SottocategorieEntrate[[#Headers],[Other]],""))))))))))))</f>
        <v/>
      </c>
      <c r="J793" t="str">
        <f>IF(OR(Dati[[#This Row],[Categoria]]="Bollette",Dati[[#This Row],[Categoria]]="Conto &amp; Carte BNL",Dati[[#This Row],[Categoria]]="Prelievo",Dati[[#This Row],[Categoria]]="Affitto",Dati[[#This Row],[Categoria]]="BNL(Interessi Creditori)"),"Carta",IF(Dati[[#This Row],[Categoria]]&lt;&gt;0,"Cash",""))</f>
        <v/>
      </c>
      <c r="K793" s="59" t="str">
        <f>IF(OR(Data!$I793=SottocategorieUscite[[#Headers],[Fuori Casa]],Data!$I793=SottocategorieUscite[[#Headers],[Varie Uscite]],Data!$I793=SottocategorieUscite[[#Headers],[Personali]],Data!$I793=SottocategorieUscite[[#Headers],[Lavoro]]),"$ -","")</f>
        <v/>
      </c>
      <c r="L793" s="59" t="str">
        <f>IF(OR(Data!$I793=SottocategorieUscite[[#Headers],[Casa]],Data!$I793=SottocategorieUscite[[#Headers],[Utenze]],Data!$I793=SottocategorieUscite[[#Headers],[Business Uscite]],Data!$I793=SottocategorieUscite[[#Headers],[Banca]]),"$ -","")</f>
        <v/>
      </c>
      <c r="M793" s="59" t="str">
        <f>IF(OR($I793&lt;&gt;SottocategorieUscite[[#Headers],[Fuori Casa]],$I793&lt;&gt;SottocategorieUscite[[#Headers],[Varie Uscite]],$I793&lt;&gt;SottocategorieUscite[[#Headers],[Personali]],$I793&lt;&gt;SottocategorieUscite[[#Headers],[Lavoro]],$I793&lt;&gt;SottocategorieUscite[[#Headers],[Casa]],$I793&lt;&gt;SottocategorieUscite[[#Headers],[Utenze]],$I793&lt;&gt;SottocategorieUscite[[#Headers],[Business Uscite]],$I793&lt;&gt;SottocategorieUscite[[#Headers],[Banca]]),"","$ -")</f>
        <v/>
      </c>
      <c r="N793" s="59" t="str">
        <f>IF(OR(Data!$I793=SottocategorieEntrate[[#Headers],[Business Entrate]],Data!$I793=SottocategorieEntrate[[#Headers],[Varie Entrate]]),"$ -","")</f>
        <v/>
      </c>
      <c r="O793" s="59" t="str">
        <f>IF(OR(Data!$I793=SottocategorieEntrate[[#Headers],[Real Estate]],SottocategorieEntrate[[#Headers],[Other]]),"$ -","")</f>
        <v/>
      </c>
      <c r="P793" s="59" t="str">
        <f>IF(OR($I793&lt;&gt;SottocategorieEntrate[[#Headers],[Business Entrate]],$I793&lt;&gt;SottocategorieEntrate[[#Headers],[Varie Entrate]],$I793&lt;&gt;SottocategorieEntrate[[#Headers],[Real Estate]],$I793&lt;&gt;SottocategorieEntrate[[#Headers],[Other]]),"","$ -")</f>
        <v/>
      </c>
      <c r="Q793" s="59" t="str">
        <f>IF(Dati[[#This Row],[Categoria]]="Prelievo","€ -","")</f>
        <v/>
      </c>
      <c r="R793" s="244"/>
      <c r="S793" s="59" t="str">
        <f>IF(Dati[[#This Row],[Categoria]]="Savings",0,"")</f>
        <v/>
      </c>
      <c r="T793" s="59"/>
      <c r="U793" s="59"/>
      <c r="V793" s="59"/>
      <c r="W793" s="59"/>
      <c r="X793" s="59"/>
      <c r="Y793" s="59"/>
      <c r="Z793" s="59"/>
      <c r="AA793" s="59"/>
      <c r="AB793" s="59"/>
      <c r="AC793" s="59"/>
      <c r="AD793" s="59"/>
      <c r="AE793" s="59"/>
      <c r="AF793" s="59"/>
      <c r="AG793" s="59"/>
      <c r="AH793" s="59"/>
      <c r="AI793" s="59" t="str">
        <f>IF(SUM(Dati[[#This Row],[Inv. Business]:[Inv. Cryptocurrency]])=0," ",SUM(Dati[[#This Row],[Inv. Business]:[Inv. Cryptocurrency]]))</f>
        <v xml:space="preserve"> </v>
      </c>
      <c r="AJ793" s="59"/>
      <c r="AK793" s="59"/>
      <c r="AL793" s="59"/>
      <c r="AM793" s="59"/>
    </row>
    <row r="794" spans="2:39" x14ac:dyDescent="0.35">
      <c r="B794" s="237">
        <f t="shared" si="40"/>
        <v>774</v>
      </c>
      <c r="C794" s="49">
        <f t="shared" si="39"/>
        <v>45523</v>
      </c>
      <c r="D794" s="29">
        <f>DAY(Dati[[#This Row],[Data]])</f>
        <v>19</v>
      </c>
      <c r="E794" s="29" t="str">
        <f>IF(DAY(Data!$C$21:$C$1327)&gt;0,TEXT(Data!$C$21:$C$1327, "mmmm"),"")</f>
        <v>agosto</v>
      </c>
      <c r="F794" s="29" t="str">
        <f>IF(DAY(Data!$C$21:$C$1327)&gt;0,TEXT(Data!$C$21:$C$1327, "aaaa"),"")</f>
        <v>2024</v>
      </c>
      <c r="I794" t="str">
        <f>IF(OR(H794=$B$5,H794=$B$6,H794=$B$7,H794=$B$8,H794=$B$9,H794=$B$10,H794=$B$11,H794=$B$12,H794=$B$13,H794=$B$14),SottocategorieUscite[[#Headers],[Fuori Casa]],IF(OR(H794=$C$5,H794=$C$6,H794=$C$7,H794=$C$8,H794=$C$9,H794=$C$10,H794=$C$11,H794=$C$12,H794=$C$13,H794=$C$14),SottocategorieUscite[[#Headers],[Varie Uscite]],IF(OR(H794=$D$5,H794=$D$6,H794=$D$7,H794=$D$8,H794=$D$9,H794=$D$10,H794=$D$11,H794=$D$12,H794=$D$13,H794=$D$14),SottocategorieUscite[[#Headers],[Personali]],IF(OR(H794=$E$5,H794=$E$6,H794=$E$7,H794=$E$8,H794=$E$9,H794=$E$10,H794=$E$11,H794=$E$12,H794=$E$13,H794=$E$14),SottocategorieUscite[[#Headers],[Lavoro]],IF(OR(H794=$F$5,H794=$F$6,H794=$F$7,H794=$F$8,H794=$F$9,H794=$F$10,H794=$F$11,H794=$F$12,H794=$F$13,H794=$F$14),SottocategorieUscite[[#Headers],[Casa]],IF(OR(H794=$G$5,H794=$G$6,H794=$G$7,H794=$G$8,H794=$G$9,H794=$G$10,H794=$G$11,H794=$G$12,H794=$G$13,H794=$G$14),SottocategorieUscite[[#Headers],[Utenze]],IF(OR(H794=$H$5,H794=$H$6,H794=$H$7,H794=$H$8,H794=$H$9,H794=$H$10,H794=$H$11,H794=$H$12,H794=$H$13,H794=$H$14),SottocategorieUscite[[#Headers],[Business Uscite]],IF(OR(H794=$I$5,H794=$I$6,H794=$I$7,H794=$I$8,H794=$I$9,H794=$I$10,H794=$I$11,H794=$I$12,H794=$I$13,H794=$I$14),SottocategorieUscite[[#Headers],[Banca]],IF(OR(H794=K$5,H794=K$6,H794=K$7,H794=K$8,H794=K$9,H794=K$10,H794=K$11,H794=K$12,H794=K$13,H794=K$14),SottocategorieEntrate[[#Headers],[Business Entrate]],IF(OR(H794=L$5,H794=L$6,H794=L$7,H794=L$8,H794=L$9,H794=L$10,H794=L$11,H794=L$12,H794=L$13,H794=L$14),SottocategorieEntrate[[#Headers],[Varie Entrate]],IF(OR(H794=M$5,H794=M$6,H794=M$7,H794=M$8,H794=M$9,H794=M$10,H794=M$11,H794=M$12,H794=M$13,H794=M$14),SottocategorieEntrate[[#Headers],[Real Estate]],IF(OR(H794=N$5,H794=N$6,H794=N$7,H794=N$8,H794=N$9,H794=N$10,H794=N$11,H794=N$12,H794=N$13,H794=N$14),SottocategorieEntrate[[#Headers],[Other]],""))))))))))))</f>
        <v/>
      </c>
      <c r="J794" t="str">
        <f>IF(OR(Dati[[#This Row],[Categoria]]="Bollette",Dati[[#This Row],[Categoria]]="Conto &amp; Carte BNL",Dati[[#This Row],[Categoria]]="Prelievo",Dati[[#This Row],[Categoria]]="Affitto",Dati[[#This Row],[Categoria]]="BNL(Interessi Creditori)"),"Carta",IF(Dati[[#This Row],[Categoria]]&lt;&gt;0,"Cash",""))</f>
        <v/>
      </c>
      <c r="K794" s="59" t="str">
        <f>IF(OR(Data!$I794=SottocategorieUscite[[#Headers],[Fuori Casa]],Data!$I794=SottocategorieUscite[[#Headers],[Varie Uscite]],Data!$I794=SottocategorieUscite[[#Headers],[Personali]],Data!$I794=SottocategorieUscite[[#Headers],[Lavoro]]),"$ -","")</f>
        <v/>
      </c>
      <c r="L794" s="59" t="str">
        <f>IF(OR(Data!$I794=SottocategorieUscite[[#Headers],[Casa]],Data!$I794=SottocategorieUscite[[#Headers],[Utenze]],Data!$I794=SottocategorieUscite[[#Headers],[Business Uscite]],Data!$I794=SottocategorieUscite[[#Headers],[Banca]]),"$ -","")</f>
        <v/>
      </c>
      <c r="M794" s="59" t="str">
        <f>IF(OR($I794&lt;&gt;SottocategorieUscite[[#Headers],[Fuori Casa]],$I794&lt;&gt;SottocategorieUscite[[#Headers],[Varie Uscite]],$I794&lt;&gt;SottocategorieUscite[[#Headers],[Personali]],$I794&lt;&gt;SottocategorieUscite[[#Headers],[Lavoro]],$I794&lt;&gt;SottocategorieUscite[[#Headers],[Casa]],$I794&lt;&gt;SottocategorieUscite[[#Headers],[Utenze]],$I794&lt;&gt;SottocategorieUscite[[#Headers],[Business Uscite]],$I794&lt;&gt;SottocategorieUscite[[#Headers],[Banca]]),"","$ -")</f>
        <v/>
      </c>
      <c r="N794" s="59" t="str">
        <f>IF(OR(Data!$I794=SottocategorieEntrate[[#Headers],[Business Entrate]],Data!$I794=SottocategorieEntrate[[#Headers],[Varie Entrate]]),"$ -","")</f>
        <v/>
      </c>
      <c r="O794" s="59" t="str">
        <f>IF(OR(Data!$I794=SottocategorieEntrate[[#Headers],[Real Estate]],SottocategorieEntrate[[#Headers],[Other]]),"$ -","")</f>
        <v/>
      </c>
      <c r="P794" s="59" t="str">
        <f>IF(OR($I794&lt;&gt;SottocategorieEntrate[[#Headers],[Business Entrate]],$I794&lt;&gt;SottocategorieEntrate[[#Headers],[Varie Entrate]],$I794&lt;&gt;SottocategorieEntrate[[#Headers],[Real Estate]],$I794&lt;&gt;SottocategorieEntrate[[#Headers],[Other]]),"","$ -")</f>
        <v/>
      </c>
      <c r="Q794" s="59" t="str">
        <f>IF(Dati[[#This Row],[Categoria]]="Prelievo","€ -","")</f>
        <v/>
      </c>
      <c r="R794" s="244"/>
      <c r="S794" s="59" t="str">
        <f>IF(Dati[[#This Row],[Categoria]]="Savings",0,"")</f>
        <v/>
      </c>
      <c r="T794" s="59"/>
      <c r="U794" s="59"/>
      <c r="V794" s="59"/>
      <c r="W794" s="59"/>
      <c r="X794" s="59"/>
      <c r="Y794" s="59"/>
      <c r="Z794" s="59"/>
      <c r="AA794" s="59"/>
      <c r="AB794" s="59"/>
      <c r="AC794" s="59"/>
      <c r="AD794" s="59"/>
      <c r="AE794" s="59"/>
      <c r="AF794" s="59"/>
      <c r="AG794" s="59"/>
      <c r="AH794" s="59"/>
      <c r="AI794" s="59" t="str">
        <f>IF(SUM(Dati[[#This Row],[Inv. Business]:[Inv. Cryptocurrency]])=0," ",SUM(Dati[[#This Row],[Inv. Business]:[Inv. Cryptocurrency]]))</f>
        <v xml:space="preserve"> </v>
      </c>
      <c r="AJ794" s="59"/>
      <c r="AK794" s="59"/>
      <c r="AL794" s="59"/>
      <c r="AM794" s="59"/>
    </row>
    <row r="795" spans="2:39" x14ac:dyDescent="0.35">
      <c r="B795" s="237">
        <f t="shared" si="40"/>
        <v>775</v>
      </c>
      <c r="C795" s="49">
        <f t="shared" si="39"/>
        <v>45524</v>
      </c>
      <c r="D795" s="29">
        <f>DAY(Dati[[#This Row],[Data]])</f>
        <v>20</v>
      </c>
      <c r="E795" s="29" t="str">
        <f>IF(DAY(Data!$C$21:$C$1327)&gt;0,TEXT(Data!$C$21:$C$1327, "mmmm"),"")</f>
        <v>agosto</v>
      </c>
      <c r="F795" s="29" t="str">
        <f>IF(DAY(Data!$C$21:$C$1327)&gt;0,TEXT(Data!$C$21:$C$1327, "aaaa"),"")</f>
        <v>2024</v>
      </c>
      <c r="I795" t="str">
        <f>IF(OR(H795=$B$5,H795=$B$6,H795=$B$7,H795=$B$8,H795=$B$9,H795=$B$10,H795=$B$11,H795=$B$12,H795=$B$13,H795=$B$14),SottocategorieUscite[[#Headers],[Fuori Casa]],IF(OR(H795=$C$5,H795=$C$6,H795=$C$7,H795=$C$8,H795=$C$9,H795=$C$10,H795=$C$11,H795=$C$12,H795=$C$13,H795=$C$14),SottocategorieUscite[[#Headers],[Varie Uscite]],IF(OR(H795=$D$5,H795=$D$6,H795=$D$7,H795=$D$8,H795=$D$9,H795=$D$10,H795=$D$11,H795=$D$12,H795=$D$13,H795=$D$14),SottocategorieUscite[[#Headers],[Personali]],IF(OR(H795=$E$5,H795=$E$6,H795=$E$7,H795=$E$8,H795=$E$9,H795=$E$10,H795=$E$11,H795=$E$12,H795=$E$13,H795=$E$14),SottocategorieUscite[[#Headers],[Lavoro]],IF(OR(H795=$F$5,H795=$F$6,H795=$F$7,H795=$F$8,H795=$F$9,H795=$F$10,H795=$F$11,H795=$F$12,H795=$F$13,H795=$F$14),SottocategorieUscite[[#Headers],[Casa]],IF(OR(H795=$G$5,H795=$G$6,H795=$G$7,H795=$G$8,H795=$G$9,H795=$G$10,H795=$G$11,H795=$G$12,H795=$G$13,H795=$G$14),SottocategorieUscite[[#Headers],[Utenze]],IF(OR(H795=$H$5,H795=$H$6,H795=$H$7,H795=$H$8,H795=$H$9,H795=$H$10,H795=$H$11,H795=$H$12,H795=$H$13,H795=$H$14),SottocategorieUscite[[#Headers],[Business Uscite]],IF(OR(H795=$I$5,H795=$I$6,H795=$I$7,H795=$I$8,H795=$I$9,H795=$I$10,H795=$I$11,H795=$I$12,H795=$I$13,H795=$I$14),SottocategorieUscite[[#Headers],[Banca]],IF(OR(H795=K$5,H795=K$6,H795=K$7,H795=K$8,H795=K$9,H795=K$10,H795=K$11,H795=K$12,H795=K$13,H795=K$14),SottocategorieEntrate[[#Headers],[Business Entrate]],IF(OR(H795=L$5,H795=L$6,H795=L$7,H795=L$8,H795=L$9,H795=L$10,H795=L$11,H795=L$12,H795=L$13,H795=L$14),SottocategorieEntrate[[#Headers],[Varie Entrate]],IF(OR(H795=M$5,H795=M$6,H795=M$7,H795=M$8,H795=M$9,H795=M$10,H795=M$11,H795=M$12,H795=M$13,H795=M$14),SottocategorieEntrate[[#Headers],[Real Estate]],IF(OR(H795=N$5,H795=N$6,H795=N$7,H795=N$8,H795=N$9,H795=N$10,H795=N$11,H795=N$12,H795=N$13,H795=N$14),SottocategorieEntrate[[#Headers],[Other]],""))))))))))))</f>
        <v/>
      </c>
      <c r="J795" t="str">
        <f>IF(OR(Dati[[#This Row],[Categoria]]="Bollette",Dati[[#This Row],[Categoria]]="Conto &amp; Carte BNL",Dati[[#This Row],[Categoria]]="Prelievo",Dati[[#This Row],[Categoria]]="Affitto",Dati[[#This Row],[Categoria]]="BNL(Interessi Creditori)"),"Carta",IF(Dati[[#This Row],[Categoria]]&lt;&gt;0,"Cash",""))</f>
        <v/>
      </c>
      <c r="K795" s="59" t="str">
        <f>IF(OR(Data!$I795=SottocategorieUscite[[#Headers],[Fuori Casa]],Data!$I795=SottocategorieUscite[[#Headers],[Varie Uscite]],Data!$I795=SottocategorieUscite[[#Headers],[Personali]],Data!$I795=SottocategorieUscite[[#Headers],[Lavoro]]),"$ -","")</f>
        <v/>
      </c>
      <c r="L795" s="59" t="str">
        <f>IF(OR(Data!$I795=SottocategorieUscite[[#Headers],[Casa]],Data!$I795=SottocategorieUscite[[#Headers],[Utenze]],Data!$I795=SottocategorieUscite[[#Headers],[Business Uscite]],Data!$I795=SottocategorieUscite[[#Headers],[Banca]]),"$ -","")</f>
        <v/>
      </c>
      <c r="M795" s="59" t="str">
        <f>IF(OR($I795&lt;&gt;SottocategorieUscite[[#Headers],[Fuori Casa]],$I795&lt;&gt;SottocategorieUscite[[#Headers],[Varie Uscite]],$I795&lt;&gt;SottocategorieUscite[[#Headers],[Personali]],$I795&lt;&gt;SottocategorieUscite[[#Headers],[Lavoro]],$I795&lt;&gt;SottocategorieUscite[[#Headers],[Casa]],$I795&lt;&gt;SottocategorieUscite[[#Headers],[Utenze]],$I795&lt;&gt;SottocategorieUscite[[#Headers],[Business Uscite]],$I795&lt;&gt;SottocategorieUscite[[#Headers],[Banca]]),"","$ -")</f>
        <v/>
      </c>
      <c r="N795" s="59" t="str">
        <f>IF(OR(Data!$I795=SottocategorieEntrate[[#Headers],[Business Entrate]],Data!$I795=SottocategorieEntrate[[#Headers],[Varie Entrate]]),"$ -","")</f>
        <v/>
      </c>
      <c r="O795" s="59" t="str">
        <f>IF(OR(Data!$I795=SottocategorieEntrate[[#Headers],[Real Estate]],SottocategorieEntrate[[#Headers],[Other]]),"$ -","")</f>
        <v/>
      </c>
      <c r="P795" s="59" t="str">
        <f>IF(OR($I795&lt;&gt;SottocategorieEntrate[[#Headers],[Business Entrate]],$I795&lt;&gt;SottocategorieEntrate[[#Headers],[Varie Entrate]],$I795&lt;&gt;SottocategorieEntrate[[#Headers],[Real Estate]],$I795&lt;&gt;SottocategorieEntrate[[#Headers],[Other]]),"","$ -")</f>
        <v/>
      </c>
      <c r="Q795" s="59" t="str">
        <f>IF(Dati[[#This Row],[Categoria]]="Prelievo","€ -","")</f>
        <v/>
      </c>
      <c r="R795" s="244"/>
      <c r="S795" s="59" t="str">
        <f>IF(Dati[[#This Row],[Categoria]]="Savings",0,"")</f>
        <v/>
      </c>
      <c r="T795" s="59"/>
      <c r="U795" s="59"/>
      <c r="V795" s="59"/>
      <c r="W795" s="59"/>
      <c r="X795" s="59"/>
      <c r="Y795" s="59"/>
      <c r="Z795" s="59"/>
      <c r="AA795" s="59"/>
      <c r="AB795" s="59"/>
      <c r="AC795" s="59"/>
      <c r="AD795" s="59"/>
      <c r="AE795" s="59"/>
      <c r="AF795" s="59"/>
      <c r="AG795" s="59"/>
      <c r="AH795" s="59"/>
      <c r="AI795" s="59" t="str">
        <f>IF(SUM(Dati[[#This Row],[Inv. Business]:[Inv. Cryptocurrency]])=0," ",SUM(Dati[[#This Row],[Inv. Business]:[Inv. Cryptocurrency]]))</f>
        <v xml:space="preserve"> </v>
      </c>
      <c r="AJ795" s="59"/>
      <c r="AK795" s="59"/>
      <c r="AL795" s="59"/>
      <c r="AM795" s="59"/>
    </row>
    <row r="796" spans="2:39" x14ac:dyDescent="0.35">
      <c r="B796" s="237">
        <f t="shared" si="40"/>
        <v>776</v>
      </c>
      <c r="C796" s="49">
        <f t="shared" si="39"/>
        <v>45525</v>
      </c>
      <c r="D796" s="29">
        <f>DAY(Dati[[#This Row],[Data]])</f>
        <v>21</v>
      </c>
      <c r="E796" s="29" t="str">
        <f>IF(DAY(Data!$C$21:$C$1327)&gt;0,TEXT(Data!$C$21:$C$1327, "mmmm"),"")</f>
        <v>agosto</v>
      </c>
      <c r="F796" s="29" t="str">
        <f>IF(DAY(Data!$C$21:$C$1327)&gt;0,TEXT(Data!$C$21:$C$1327, "aaaa"),"")</f>
        <v>2024</v>
      </c>
      <c r="I796" t="str">
        <f>IF(OR(H796=$B$5,H796=$B$6,H796=$B$7,H796=$B$8,H796=$B$9,H796=$B$10,H796=$B$11,H796=$B$12,H796=$B$13,H796=$B$14),SottocategorieUscite[[#Headers],[Fuori Casa]],IF(OR(H796=$C$5,H796=$C$6,H796=$C$7,H796=$C$8,H796=$C$9,H796=$C$10,H796=$C$11,H796=$C$12,H796=$C$13,H796=$C$14),SottocategorieUscite[[#Headers],[Varie Uscite]],IF(OR(H796=$D$5,H796=$D$6,H796=$D$7,H796=$D$8,H796=$D$9,H796=$D$10,H796=$D$11,H796=$D$12,H796=$D$13,H796=$D$14),SottocategorieUscite[[#Headers],[Personali]],IF(OR(H796=$E$5,H796=$E$6,H796=$E$7,H796=$E$8,H796=$E$9,H796=$E$10,H796=$E$11,H796=$E$12,H796=$E$13,H796=$E$14),SottocategorieUscite[[#Headers],[Lavoro]],IF(OR(H796=$F$5,H796=$F$6,H796=$F$7,H796=$F$8,H796=$F$9,H796=$F$10,H796=$F$11,H796=$F$12,H796=$F$13,H796=$F$14),SottocategorieUscite[[#Headers],[Casa]],IF(OR(H796=$G$5,H796=$G$6,H796=$G$7,H796=$G$8,H796=$G$9,H796=$G$10,H796=$G$11,H796=$G$12,H796=$G$13,H796=$G$14),SottocategorieUscite[[#Headers],[Utenze]],IF(OR(H796=$H$5,H796=$H$6,H796=$H$7,H796=$H$8,H796=$H$9,H796=$H$10,H796=$H$11,H796=$H$12,H796=$H$13,H796=$H$14),SottocategorieUscite[[#Headers],[Business Uscite]],IF(OR(H796=$I$5,H796=$I$6,H796=$I$7,H796=$I$8,H796=$I$9,H796=$I$10,H796=$I$11,H796=$I$12,H796=$I$13,H796=$I$14),SottocategorieUscite[[#Headers],[Banca]],IF(OR(H796=K$5,H796=K$6,H796=K$7,H796=K$8,H796=K$9,H796=K$10,H796=K$11,H796=K$12,H796=K$13,H796=K$14),SottocategorieEntrate[[#Headers],[Business Entrate]],IF(OR(H796=L$5,H796=L$6,H796=L$7,H796=L$8,H796=L$9,H796=L$10,H796=L$11,H796=L$12,H796=L$13,H796=L$14),SottocategorieEntrate[[#Headers],[Varie Entrate]],IF(OR(H796=M$5,H796=M$6,H796=M$7,H796=M$8,H796=M$9,H796=M$10,H796=M$11,H796=M$12,H796=M$13,H796=M$14),SottocategorieEntrate[[#Headers],[Real Estate]],IF(OR(H796=N$5,H796=N$6,H796=N$7,H796=N$8,H796=N$9,H796=N$10,H796=N$11,H796=N$12,H796=N$13,H796=N$14),SottocategorieEntrate[[#Headers],[Other]],""))))))))))))</f>
        <v/>
      </c>
      <c r="J796" t="str">
        <f>IF(OR(Dati[[#This Row],[Categoria]]="Bollette",Dati[[#This Row],[Categoria]]="Conto &amp; Carte BNL",Dati[[#This Row],[Categoria]]="Prelievo",Dati[[#This Row],[Categoria]]="Affitto",Dati[[#This Row],[Categoria]]="BNL(Interessi Creditori)"),"Carta",IF(Dati[[#This Row],[Categoria]]&lt;&gt;0,"Cash",""))</f>
        <v/>
      </c>
      <c r="K796" s="59" t="str">
        <f>IF(OR(Data!$I796=SottocategorieUscite[[#Headers],[Fuori Casa]],Data!$I796=SottocategorieUscite[[#Headers],[Varie Uscite]],Data!$I796=SottocategorieUscite[[#Headers],[Personali]],Data!$I796=SottocategorieUscite[[#Headers],[Lavoro]]),"$ -","")</f>
        <v/>
      </c>
      <c r="L796" s="59" t="str">
        <f>IF(OR(Data!$I796=SottocategorieUscite[[#Headers],[Casa]],Data!$I796=SottocategorieUscite[[#Headers],[Utenze]],Data!$I796=SottocategorieUscite[[#Headers],[Business Uscite]],Data!$I796=SottocategorieUscite[[#Headers],[Banca]]),"$ -","")</f>
        <v/>
      </c>
      <c r="M796" s="59" t="str">
        <f>IF(OR($I796&lt;&gt;SottocategorieUscite[[#Headers],[Fuori Casa]],$I796&lt;&gt;SottocategorieUscite[[#Headers],[Varie Uscite]],$I796&lt;&gt;SottocategorieUscite[[#Headers],[Personali]],$I796&lt;&gt;SottocategorieUscite[[#Headers],[Lavoro]],$I796&lt;&gt;SottocategorieUscite[[#Headers],[Casa]],$I796&lt;&gt;SottocategorieUscite[[#Headers],[Utenze]],$I796&lt;&gt;SottocategorieUscite[[#Headers],[Business Uscite]],$I796&lt;&gt;SottocategorieUscite[[#Headers],[Banca]]),"","$ -")</f>
        <v/>
      </c>
      <c r="N796" s="59" t="str">
        <f>IF(OR(Data!$I796=SottocategorieEntrate[[#Headers],[Business Entrate]],Data!$I796=SottocategorieEntrate[[#Headers],[Varie Entrate]]),"$ -","")</f>
        <v/>
      </c>
      <c r="O796" s="59" t="str">
        <f>IF(OR(Data!$I796=SottocategorieEntrate[[#Headers],[Real Estate]],SottocategorieEntrate[[#Headers],[Other]]),"$ -","")</f>
        <v/>
      </c>
      <c r="P796" s="59" t="str">
        <f>IF(OR($I796&lt;&gt;SottocategorieEntrate[[#Headers],[Business Entrate]],$I796&lt;&gt;SottocategorieEntrate[[#Headers],[Varie Entrate]],$I796&lt;&gt;SottocategorieEntrate[[#Headers],[Real Estate]],$I796&lt;&gt;SottocategorieEntrate[[#Headers],[Other]]),"","$ -")</f>
        <v/>
      </c>
      <c r="Q796" s="59" t="str">
        <f>IF(Dati[[#This Row],[Categoria]]="Prelievo","€ -","")</f>
        <v/>
      </c>
      <c r="R796" s="244"/>
      <c r="S796" s="59" t="str">
        <f>IF(Dati[[#This Row],[Categoria]]="Savings",0,"")</f>
        <v/>
      </c>
      <c r="T796" s="59"/>
      <c r="U796" s="59"/>
      <c r="V796" s="59"/>
      <c r="W796" s="59"/>
      <c r="X796" s="59"/>
      <c r="Y796" s="59"/>
      <c r="Z796" s="59"/>
      <c r="AA796" s="59"/>
      <c r="AB796" s="59"/>
      <c r="AC796" s="59"/>
      <c r="AD796" s="59"/>
      <c r="AE796" s="59"/>
      <c r="AF796" s="59"/>
      <c r="AG796" s="59"/>
      <c r="AH796" s="59"/>
      <c r="AI796" s="59" t="str">
        <f>IF(SUM(Dati[[#This Row],[Inv. Business]:[Inv. Cryptocurrency]])=0," ",SUM(Dati[[#This Row],[Inv. Business]:[Inv. Cryptocurrency]]))</f>
        <v xml:space="preserve"> </v>
      </c>
      <c r="AJ796" s="59"/>
      <c r="AK796" s="59"/>
      <c r="AL796" s="59"/>
      <c r="AM796" s="59"/>
    </row>
    <row r="797" spans="2:39" x14ac:dyDescent="0.35">
      <c r="B797" s="237">
        <f t="shared" si="40"/>
        <v>777</v>
      </c>
      <c r="C797" s="49">
        <f t="shared" si="39"/>
        <v>45526</v>
      </c>
      <c r="D797" s="29">
        <f>DAY(Dati[[#This Row],[Data]])</f>
        <v>22</v>
      </c>
      <c r="E797" s="29" t="str">
        <f>IF(DAY(Data!$C$21:$C$1327)&gt;0,TEXT(Data!$C$21:$C$1327, "mmmm"),"")</f>
        <v>agosto</v>
      </c>
      <c r="F797" s="29" t="str">
        <f>IF(DAY(Data!$C$21:$C$1327)&gt;0,TEXT(Data!$C$21:$C$1327, "aaaa"),"")</f>
        <v>2024</v>
      </c>
      <c r="I797" t="str">
        <f>IF(OR(H797=$B$5,H797=$B$6,H797=$B$7,H797=$B$8,H797=$B$9,H797=$B$10,H797=$B$11,H797=$B$12,H797=$B$13,H797=$B$14),SottocategorieUscite[[#Headers],[Fuori Casa]],IF(OR(H797=$C$5,H797=$C$6,H797=$C$7,H797=$C$8,H797=$C$9,H797=$C$10,H797=$C$11,H797=$C$12,H797=$C$13,H797=$C$14),SottocategorieUscite[[#Headers],[Varie Uscite]],IF(OR(H797=$D$5,H797=$D$6,H797=$D$7,H797=$D$8,H797=$D$9,H797=$D$10,H797=$D$11,H797=$D$12,H797=$D$13,H797=$D$14),SottocategorieUscite[[#Headers],[Personali]],IF(OR(H797=$E$5,H797=$E$6,H797=$E$7,H797=$E$8,H797=$E$9,H797=$E$10,H797=$E$11,H797=$E$12,H797=$E$13,H797=$E$14),SottocategorieUscite[[#Headers],[Lavoro]],IF(OR(H797=$F$5,H797=$F$6,H797=$F$7,H797=$F$8,H797=$F$9,H797=$F$10,H797=$F$11,H797=$F$12,H797=$F$13,H797=$F$14),SottocategorieUscite[[#Headers],[Casa]],IF(OR(H797=$G$5,H797=$G$6,H797=$G$7,H797=$G$8,H797=$G$9,H797=$G$10,H797=$G$11,H797=$G$12,H797=$G$13,H797=$G$14),SottocategorieUscite[[#Headers],[Utenze]],IF(OR(H797=$H$5,H797=$H$6,H797=$H$7,H797=$H$8,H797=$H$9,H797=$H$10,H797=$H$11,H797=$H$12,H797=$H$13,H797=$H$14),SottocategorieUscite[[#Headers],[Business Uscite]],IF(OR(H797=$I$5,H797=$I$6,H797=$I$7,H797=$I$8,H797=$I$9,H797=$I$10,H797=$I$11,H797=$I$12,H797=$I$13,H797=$I$14),SottocategorieUscite[[#Headers],[Banca]],IF(OR(H797=K$5,H797=K$6,H797=K$7,H797=K$8,H797=K$9,H797=K$10,H797=K$11,H797=K$12,H797=K$13,H797=K$14),SottocategorieEntrate[[#Headers],[Business Entrate]],IF(OR(H797=L$5,H797=L$6,H797=L$7,H797=L$8,H797=L$9,H797=L$10,H797=L$11,H797=L$12,H797=L$13,H797=L$14),SottocategorieEntrate[[#Headers],[Varie Entrate]],IF(OR(H797=M$5,H797=M$6,H797=M$7,H797=M$8,H797=M$9,H797=M$10,H797=M$11,H797=M$12,H797=M$13,H797=M$14),SottocategorieEntrate[[#Headers],[Real Estate]],IF(OR(H797=N$5,H797=N$6,H797=N$7,H797=N$8,H797=N$9,H797=N$10,H797=N$11,H797=N$12,H797=N$13,H797=N$14),SottocategorieEntrate[[#Headers],[Other]],""))))))))))))</f>
        <v/>
      </c>
      <c r="J797" t="str">
        <f>IF(OR(Dati[[#This Row],[Categoria]]="Bollette",Dati[[#This Row],[Categoria]]="Conto &amp; Carte BNL",Dati[[#This Row],[Categoria]]="Prelievo",Dati[[#This Row],[Categoria]]="Affitto",Dati[[#This Row],[Categoria]]="BNL(Interessi Creditori)"),"Carta",IF(Dati[[#This Row],[Categoria]]&lt;&gt;0,"Cash",""))</f>
        <v/>
      </c>
      <c r="K797" s="59" t="str">
        <f>IF(OR(Data!$I797=SottocategorieUscite[[#Headers],[Fuori Casa]],Data!$I797=SottocategorieUscite[[#Headers],[Varie Uscite]],Data!$I797=SottocategorieUscite[[#Headers],[Personali]],Data!$I797=SottocategorieUscite[[#Headers],[Lavoro]]),"$ -","")</f>
        <v/>
      </c>
      <c r="L797" s="59" t="str">
        <f>IF(OR(Data!$I797=SottocategorieUscite[[#Headers],[Casa]],Data!$I797=SottocategorieUscite[[#Headers],[Utenze]],Data!$I797=SottocategorieUscite[[#Headers],[Business Uscite]],Data!$I797=SottocategorieUscite[[#Headers],[Banca]]),"$ -","")</f>
        <v/>
      </c>
      <c r="M797" s="59" t="str">
        <f>IF(OR($I797&lt;&gt;SottocategorieUscite[[#Headers],[Fuori Casa]],$I797&lt;&gt;SottocategorieUscite[[#Headers],[Varie Uscite]],$I797&lt;&gt;SottocategorieUscite[[#Headers],[Personali]],$I797&lt;&gt;SottocategorieUscite[[#Headers],[Lavoro]],$I797&lt;&gt;SottocategorieUscite[[#Headers],[Casa]],$I797&lt;&gt;SottocategorieUscite[[#Headers],[Utenze]],$I797&lt;&gt;SottocategorieUscite[[#Headers],[Business Uscite]],$I797&lt;&gt;SottocategorieUscite[[#Headers],[Banca]]),"","$ -")</f>
        <v/>
      </c>
      <c r="N797" s="59" t="str">
        <f>IF(OR(Data!$I797=SottocategorieEntrate[[#Headers],[Business Entrate]],Data!$I797=SottocategorieEntrate[[#Headers],[Varie Entrate]]),"$ -","")</f>
        <v/>
      </c>
      <c r="O797" s="59" t="str">
        <f>IF(OR(Data!$I797=SottocategorieEntrate[[#Headers],[Real Estate]],SottocategorieEntrate[[#Headers],[Other]]),"$ -","")</f>
        <v/>
      </c>
      <c r="P797" s="59" t="str">
        <f>IF(OR($I797&lt;&gt;SottocategorieEntrate[[#Headers],[Business Entrate]],$I797&lt;&gt;SottocategorieEntrate[[#Headers],[Varie Entrate]],$I797&lt;&gt;SottocategorieEntrate[[#Headers],[Real Estate]],$I797&lt;&gt;SottocategorieEntrate[[#Headers],[Other]]),"","$ -")</f>
        <v/>
      </c>
      <c r="Q797" s="59" t="str">
        <f>IF(Dati[[#This Row],[Categoria]]="Prelievo","€ -","")</f>
        <v/>
      </c>
      <c r="R797" s="244"/>
      <c r="S797" s="59" t="str">
        <f>IF(Dati[[#This Row],[Categoria]]="Savings",0,"")</f>
        <v/>
      </c>
      <c r="T797" s="59"/>
      <c r="U797" s="59"/>
      <c r="V797" s="59"/>
      <c r="W797" s="59"/>
      <c r="X797" s="59"/>
      <c r="Y797" s="59"/>
      <c r="Z797" s="59"/>
      <c r="AA797" s="59"/>
      <c r="AB797" s="59"/>
      <c r="AC797" s="59"/>
      <c r="AD797" s="59"/>
      <c r="AE797" s="59"/>
      <c r="AF797" s="59"/>
      <c r="AG797" s="59"/>
      <c r="AH797" s="59"/>
      <c r="AI797" s="59" t="str">
        <f>IF(SUM(Dati[[#This Row],[Inv. Business]:[Inv. Cryptocurrency]])=0," ",SUM(Dati[[#This Row],[Inv. Business]:[Inv. Cryptocurrency]]))</f>
        <v xml:space="preserve"> </v>
      </c>
      <c r="AJ797" s="59"/>
      <c r="AK797" s="59"/>
      <c r="AL797" s="59"/>
      <c r="AM797" s="59"/>
    </row>
    <row r="798" spans="2:39" x14ac:dyDescent="0.35">
      <c r="B798" s="237">
        <f t="shared" si="40"/>
        <v>778</v>
      </c>
      <c r="C798" s="49">
        <f t="shared" si="39"/>
        <v>45527</v>
      </c>
      <c r="D798" s="29">
        <f>DAY(Dati[[#This Row],[Data]])</f>
        <v>23</v>
      </c>
      <c r="E798" s="29" t="str">
        <f>IF(DAY(Data!$C$21:$C$1327)&gt;0,TEXT(Data!$C$21:$C$1327, "mmmm"),"")</f>
        <v>agosto</v>
      </c>
      <c r="F798" s="29" t="str">
        <f>IF(DAY(Data!$C$21:$C$1327)&gt;0,TEXT(Data!$C$21:$C$1327, "aaaa"),"")</f>
        <v>2024</v>
      </c>
      <c r="I798" t="str">
        <f>IF(OR(H798=$B$5,H798=$B$6,H798=$B$7,H798=$B$8,H798=$B$9,H798=$B$10,H798=$B$11,H798=$B$12,H798=$B$13,H798=$B$14),SottocategorieUscite[[#Headers],[Fuori Casa]],IF(OR(H798=$C$5,H798=$C$6,H798=$C$7,H798=$C$8,H798=$C$9,H798=$C$10,H798=$C$11,H798=$C$12,H798=$C$13,H798=$C$14),SottocategorieUscite[[#Headers],[Varie Uscite]],IF(OR(H798=$D$5,H798=$D$6,H798=$D$7,H798=$D$8,H798=$D$9,H798=$D$10,H798=$D$11,H798=$D$12,H798=$D$13,H798=$D$14),SottocategorieUscite[[#Headers],[Personali]],IF(OR(H798=$E$5,H798=$E$6,H798=$E$7,H798=$E$8,H798=$E$9,H798=$E$10,H798=$E$11,H798=$E$12,H798=$E$13,H798=$E$14),SottocategorieUscite[[#Headers],[Lavoro]],IF(OR(H798=$F$5,H798=$F$6,H798=$F$7,H798=$F$8,H798=$F$9,H798=$F$10,H798=$F$11,H798=$F$12,H798=$F$13,H798=$F$14),SottocategorieUscite[[#Headers],[Casa]],IF(OR(H798=$G$5,H798=$G$6,H798=$G$7,H798=$G$8,H798=$G$9,H798=$G$10,H798=$G$11,H798=$G$12,H798=$G$13,H798=$G$14),SottocategorieUscite[[#Headers],[Utenze]],IF(OR(H798=$H$5,H798=$H$6,H798=$H$7,H798=$H$8,H798=$H$9,H798=$H$10,H798=$H$11,H798=$H$12,H798=$H$13,H798=$H$14),SottocategorieUscite[[#Headers],[Business Uscite]],IF(OR(H798=$I$5,H798=$I$6,H798=$I$7,H798=$I$8,H798=$I$9,H798=$I$10,H798=$I$11,H798=$I$12,H798=$I$13,H798=$I$14),SottocategorieUscite[[#Headers],[Banca]],IF(OR(H798=K$5,H798=K$6,H798=K$7,H798=K$8,H798=K$9,H798=K$10,H798=K$11,H798=K$12,H798=K$13,H798=K$14),SottocategorieEntrate[[#Headers],[Business Entrate]],IF(OR(H798=L$5,H798=L$6,H798=L$7,H798=L$8,H798=L$9,H798=L$10,H798=L$11,H798=L$12,H798=L$13,H798=L$14),SottocategorieEntrate[[#Headers],[Varie Entrate]],IF(OR(H798=M$5,H798=M$6,H798=M$7,H798=M$8,H798=M$9,H798=M$10,H798=M$11,H798=M$12,H798=M$13,H798=M$14),SottocategorieEntrate[[#Headers],[Real Estate]],IF(OR(H798=N$5,H798=N$6,H798=N$7,H798=N$8,H798=N$9,H798=N$10,H798=N$11,H798=N$12,H798=N$13,H798=N$14),SottocategorieEntrate[[#Headers],[Other]],""))))))))))))</f>
        <v/>
      </c>
      <c r="J798" t="str">
        <f>IF(OR(Dati[[#This Row],[Categoria]]="Bollette",Dati[[#This Row],[Categoria]]="Conto &amp; Carte BNL",Dati[[#This Row],[Categoria]]="Prelievo",Dati[[#This Row],[Categoria]]="Affitto",Dati[[#This Row],[Categoria]]="BNL(Interessi Creditori)"),"Carta",IF(Dati[[#This Row],[Categoria]]&lt;&gt;0,"Cash",""))</f>
        <v/>
      </c>
      <c r="K798" s="59" t="str">
        <f>IF(OR(Data!$I798=SottocategorieUscite[[#Headers],[Fuori Casa]],Data!$I798=SottocategorieUscite[[#Headers],[Varie Uscite]],Data!$I798=SottocategorieUscite[[#Headers],[Personali]],Data!$I798=SottocategorieUscite[[#Headers],[Lavoro]]),"$ -","")</f>
        <v/>
      </c>
      <c r="L798" s="59" t="str">
        <f>IF(OR(Data!$I798=SottocategorieUscite[[#Headers],[Casa]],Data!$I798=SottocategorieUscite[[#Headers],[Utenze]],Data!$I798=SottocategorieUscite[[#Headers],[Business Uscite]],Data!$I798=SottocategorieUscite[[#Headers],[Banca]]),"$ -","")</f>
        <v/>
      </c>
      <c r="M798" s="59" t="str">
        <f>IF(OR($I798&lt;&gt;SottocategorieUscite[[#Headers],[Fuori Casa]],$I798&lt;&gt;SottocategorieUscite[[#Headers],[Varie Uscite]],$I798&lt;&gt;SottocategorieUscite[[#Headers],[Personali]],$I798&lt;&gt;SottocategorieUscite[[#Headers],[Lavoro]],$I798&lt;&gt;SottocategorieUscite[[#Headers],[Casa]],$I798&lt;&gt;SottocategorieUscite[[#Headers],[Utenze]],$I798&lt;&gt;SottocategorieUscite[[#Headers],[Business Uscite]],$I798&lt;&gt;SottocategorieUscite[[#Headers],[Banca]]),"","$ -")</f>
        <v/>
      </c>
      <c r="N798" s="59" t="str">
        <f>IF(OR(Data!$I798=SottocategorieEntrate[[#Headers],[Business Entrate]],Data!$I798=SottocategorieEntrate[[#Headers],[Varie Entrate]]),"$ -","")</f>
        <v/>
      </c>
      <c r="O798" s="59" t="str">
        <f>IF(OR(Data!$I798=SottocategorieEntrate[[#Headers],[Real Estate]],SottocategorieEntrate[[#Headers],[Other]]),"$ -","")</f>
        <v/>
      </c>
      <c r="P798" s="59" t="str">
        <f>IF(OR($I798&lt;&gt;SottocategorieEntrate[[#Headers],[Business Entrate]],$I798&lt;&gt;SottocategorieEntrate[[#Headers],[Varie Entrate]],$I798&lt;&gt;SottocategorieEntrate[[#Headers],[Real Estate]],$I798&lt;&gt;SottocategorieEntrate[[#Headers],[Other]]),"","$ -")</f>
        <v/>
      </c>
      <c r="Q798" s="59" t="str">
        <f>IF(Dati[[#This Row],[Categoria]]="Prelievo","€ -","")</f>
        <v/>
      </c>
      <c r="R798" s="244"/>
      <c r="S798" s="59" t="str">
        <f>IF(Dati[[#This Row],[Categoria]]="Savings",0,"")</f>
        <v/>
      </c>
      <c r="T798" s="59"/>
      <c r="U798" s="59"/>
      <c r="V798" s="59"/>
      <c r="W798" s="59"/>
      <c r="X798" s="59"/>
      <c r="Y798" s="59"/>
      <c r="Z798" s="59"/>
      <c r="AA798" s="59"/>
      <c r="AB798" s="59"/>
      <c r="AC798" s="59"/>
      <c r="AD798" s="59"/>
      <c r="AE798" s="59"/>
      <c r="AF798" s="59"/>
      <c r="AG798" s="59"/>
      <c r="AH798" s="59"/>
      <c r="AI798" s="59" t="str">
        <f>IF(SUM(Dati[[#This Row],[Inv. Business]:[Inv. Cryptocurrency]])=0," ",SUM(Dati[[#This Row],[Inv. Business]:[Inv. Cryptocurrency]]))</f>
        <v xml:space="preserve"> </v>
      </c>
      <c r="AJ798" s="59"/>
      <c r="AK798" s="59"/>
      <c r="AL798" s="59"/>
      <c r="AM798" s="59"/>
    </row>
    <row r="799" spans="2:39" x14ac:dyDescent="0.35">
      <c r="B799" s="237">
        <f t="shared" si="40"/>
        <v>779</v>
      </c>
      <c r="C799" s="49">
        <f t="shared" si="39"/>
        <v>45528</v>
      </c>
      <c r="D799" s="29">
        <f>DAY(Dati[[#This Row],[Data]])</f>
        <v>24</v>
      </c>
      <c r="E799" s="29" t="str">
        <f>IF(DAY(Data!$C$21:$C$1327)&gt;0,TEXT(Data!$C$21:$C$1327, "mmmm"),"")</f>
        <v>agosto</v>
      </c>
      <c r="F799" s="29" t="str">
        <f>IF(DAY(Data!$C$21:$C$1327)&gt;0,TEXT(Data!$C$21:$C$1327, "aaaa"),"")</f>
        <v>2024</v>
      </c>
      <c r="I799" t="str">
        <f>IF(OR(H799=$B$5,H799=$B$6,H799=$B$7,H799=$B$8,H799=$B$9,H799=$B$10,H799=$B$11,H799=$B$12,H799=$B$13,H799=$B$14),SottocategorieUscite[[#Headers],[Fuori Casa]],IF(OR(H799=$C$5,H799=$C$6,H799=$C$7,H799=$C$8,H799=$C$9,H799=$C$10,H799=$C$11,H799=$C$12,H799=$C$13,H799=$C$14),SottocategorieUscite[[#Headers],[Varie Uscite]],IF(OR(H799=$D$5,H799=$D$6,H799=$D$7,H799=$D$8,H799=$D$9,H799=$D$10,H799=$D$11,H799=$D$12,H799=$D$13,H799=$D$14),SottocategorieUscite[[#Headers],[Personali]],IF(OR(H799=$E$5,H799=$E$6,H799=$E$7,H799=$E$8,H799=$E$9,H799=$E$10,H799=$E$11,H799=$E$12,H799=$E$13,H799=$E$14),SottocategorieUscite[[#Headers],[Lavoro]],IF(OR(H799=$F$5,H799=$F$6,H799=$F$7,H799=$F$8,H799=$F$9,H799=$F$10,H799=$F$11,H799=$F$12,H799=$F$13,H799=$F$14),SottocategorieUscite[[#Headers],[Casa]],IF(OR(H799=$G$5,H799=$G$6,H799=$G$7,H799=$G$8,H799=$G$9,H799=$G$10,H799=$G$11,H799=$G$12,H799=$G$13,H799=$G$14),SottocategorieUscite[[#Headers],[Utenze]],IF(OR(H799=$H$5,H799=$H$6,H799=$H$7,H799=$H$8,H799=$H$9,H799=$H$10,H799=$H$11,H799=$H$12,H799=$H$13,H799=$H$14),SottocategorieUscite[[#Headers],[Business Uscite]],IF(OR(H799=$I$5,H799=$I$6,H799=$I$7,H799=$I$8,H799=$I$9,H799=$I$10,H799=$I$11,H799=$I$12,H799=$I$13,H799=$I$14),SottocategorieUscite[[#Headers],[Banca]],IF(OR(H799=K$5,H799=K$6,H799=K$7,H799=K$8,H799=K$9,H799=K$10,H799=K$11,H799=K$12,H799=K$13,H799=K$14),SottocategorieEntrate[[#Headers],[Business Entrate]],IF(OR(H799=L$5,H799=L$6,H799=L$7,H799=L$8,H799=L$9,H799=L$10,H799=L$11,H799=L$12,H799=L$13,H799=L$14),SottocategorieEntrate[[#Headers],[Varie Entrate]],IF(OR(H799=M$5,H799=M$6,H799=M$7,H799=M$8,H799=M$9,H799=M$10,H799=M$11,H799=M$12,H799=M$13,H799=M$14),SottocategorieEntrate[[#Headers],[Real Estate]],IF(OR(H799=N$5,H799=N$6,H799=N$7,H799=N$8,H799=N$9,H799=N$10,H799=N$11,H799=N$12,H799=N$13,H799=N$14),SottocategorieEntrate[[#Headers],[Other]],""))))))))))))</f>
        <v/>
      </c>
      <c r="J799" t="str">
        <f>IF(OR(Dati[[#This Row],[Categoria]]="Bollette",Dati[[#This Row],[Categoria]]="Conto &amp; Carte BNL",Dati[[#This Row],[Categoria]]="Prelievo",Dati[[#This Row],[Categoria]]="Affitto",Dati[[#This Row],[Categoria]]="BNL(Interessi Creditori)"),"Carta",IF(Dati[[#This Row],[Categoria]]&lt;&gt;0,"Cash",""))</f>
        <v/>
      </c>
      <c r="K799" s="59" t="str">
        <f>IF(OR(Data!$I799=SottocategorieUscite[[#Headers],[Fuori Casa]],Data!$I799=SottocategorieUscite[[#Headers],[Varie Uscite]],Data!$I799=SottocategorieUscite[[#Headers],[Personali]],Data!$I799=SottocategorieUscite[[#Headers],[Lavoro]]),"$ -","")</f>
        <v/>
      </c>
      <c r="L799" s="59" t="str">
        <f>IF(OR(Data!$I799=SottocategorieUscite[[#Headers],[Casa]],Data!$I799=SottocategorieUscite[[#Headers],[Utenze]],Data!$I799=SottocategorieUscite[[#Headers],[Business Uscite]],Data!$I799=SottocategorieUscite[[#Headers],[Banca]]),"$ -","")</f>
        <v/>
      </c>
      <c r="M799" s="59" t="str">
        <f>IF(OR($I799&lt;&gt;SottocategorieUscite[[#Headers],[Fuori Casa]],$I799&lt;&gt;SottocategorieUscite[[#Headers],[Varie Uscite]],$I799&lt;&gt;SottocategorieUscite[[#Headers],[Personali]],$I799&lt;&gt;SottocategorieUscite[[#Headers],[Lavoro]],$I799&lt;&gt;SottocategorieUscite[[#Headers],[Casa]],$I799&lt;&gt;SottocategorieUscite[[#Headers],[Utenze]],$I799&lt;&gt;SottocategorieUscite[[#Headers],[Business Uscite]],$I799&lt;&gt;SottocategorieUscite[[#Headers],[Banca]]),"","$ -")</f>
        <v/>
      </c>
      <c r="N799" s="59" t="str">
        <f>IF(OR(Data!$I799=SottocategorieEntrate[[#Headers],[Business Entrate]],Data!$I799=SottocategorieEntrate[[#Headers],[Varie Entrate]]),"$ -","")</f>
        <v/>
      </c>
      <c r="O799" s="59" t="str">
        <f>IF(OR(Data!$I799=SottocategorieEntrate[[#Headers],[Real Estate]],SottocategorieEntrate[[#Headers],[Other]]),"$ -","")</f>
        <v/>
      </c>
      <c r="P799" s="59" t="str">
        <f>IF(OR($I799&lt;&gt;SottocategorieEntrate[[#Headers],[Business Entrate]],$I799&lt;&gt;SottocategorieEntrate[[#Headers],[Varie Entrate]],$I799&lt;&gt;SottocategorieEntrate[[#Headers],[Real Estate]],$I799&lt;&gt;SottocategorieEntrate[[#Headers],[Other]]),"","$ -")</f>
        <v/>
      </c>
      <c r="Q799" s="59" t="str">
        <f>IF(Dati[[#This Row],[Categoria]]="Prelievo","€ -","")</f>
        <v/>
      </c>
      <c r="R799" s="244"/>
      <c r="S799" s="59" t="str">
        <f>IF(Dati[[#This Row],[Categoria]]="Savings",0,"")</f>
        <v/>
      </c>
      <c r="T799" s="59"/>
      <c r="U799" s="59"/>
      <c r="V799" s="59"/>
      <c r="W799" s="59"/>
      <c r="X799" s="59"/>
      <c r="Y799" s="59"/>
      <c r="Z799" s="59"/>
      <c r="AA799" s="59"/>
      <c r="AB799" s="59"/>
      <c r="AC799" s="59"/>
      <c r="AD799" s="59"/>
      <c r="AE799" s="59"/>
      <c r="AF799" s="59"/>
      <c r="AG799" s="59"/>
      <c r="AH799" s="59"/>
      <c r="AI799" s="59" t="str">
        <f>IF(SUM(Dati[[#This Row],[Inv. Business]:[Inv. Cryptocurrency]])=0," ",SUM(Dati[[#This Row],[Inv. Business]:[Inv. Cryptocurrency]]))</f>
        <v xml:space="preserve"> </v>
      </c>
      <c r="AJ799" s="59"/>
      <c r="AK799" s="59"/>
      <c r="AL799" s="59"/>
      <c r="AM799" s="59"/>
    </row>
    <row r="800" spans="2:39" x14ac:dyDescent="0.35">
      <c r="B800" s="237">
        <f t="shared" si="40"/>
        <v>780</v>
      </c>
      <c r="C800" s="49">
        <f t="shared" si="39"/>
        <v>45529</v>
      </c>
      <c r="D800" s="29">
        <f>DAY(Dati[[#This Row],[Data]])</f>
        <v>25</v>
      </c>
      <c r="E800" s="29" t="str">
        <f>IF(DAY(Data!$C$21:$C$1327)&gt;0,TEXT(Data!$C$21:$C$1327, "mmmm"),"")</f>
        <v>agosto</v>
      </c>
      <c r="F800" s="29" t="str">
        <f>IF(DAY(Data!$C$21:$C$1327)&gt;0,TEXT(Data!$C$21:$C$1327, "aaaa"),"")</f>
        <v>2024</v>
      </c>
      <c r="I800" t="str">
        <f>IF(OR(H800=$B$5,H800=$B$6,H800=$B$7,H800=$B$8,H800=$B$9,H800=$B$10,H800=$B$11,H800=$B$12,H800=$B$13,H800=$B$14),SottocategorieUscite[[#Headers],[Fuori Casa]],IF(OR(H800=$C$5,H800=$C$6,H800=$C$7,H800=$C$8,H800=$C$9,H800=$C$10,H800=$C$11,H800=$C$12,H800=$C$13,H800=$C$14),SottocategorieUscite[[#Headers],[Varie Uscite]],IF(OR(H800=$D$5,H800=$D$6,H800=$D$7,H800=$D$8,H800=$D$9,H800=$D$10,H800=$D$11,H800=$D$12,H800=$D$13,H800=$D$14),SottocategorieUscite[[#Headers],[Personali]],IF(OR(H800=$E$5,H800=$E$6,H800=$E$7,H800=$E$8,H800=$E$9,H800=$E$10,H800=$E$11,H800=$E$12,H800=$E$13,H800=$E$14),SottocategorieUscite[[#Headers],[Lavoro]],IF(OR(H800=$F$5,H800=$F$6,H800=$F$7,H800=$F$8,H800=$F$9,H800=$F$10,H800=$F$11,H800=$F$12,H800=$F$13,H800=$F$14),SottocategorieUscite[[#Headers],[Casa]],IF(OR(H800=$G$5,H800=$G$6,H800=$G$7,H800=$G$8,H800=$G$9,H800=$G$10,H800=$G$11,H800=$G$12,H800=$G$13,H800=$G$14),SottocategorieUscite[[#Headers],[Utenze]],IF(OR(H800=$H$5,H800=$H$6,H800=$H$7,H800=$H$8,H800=$H$9,H800=$H$10,H800=$H$11,H800=$H$12,H800=$H$13,H800=$H$14),SottocategorieUscite[[#Headers],[Business Uscite]],IF(OR(H800=$I$5,H800=$I$6,H800=$I$7,H800=$I$8,H800=$I$9,H800=$I$10,H800=$I$11,H800=$I$12,H800=$I$13,H800=$I$14),SottocategorieUscite[[#Headers],[Banca]],IF(OR(H800=K$5,H800=K$6,H800=K$7,H800=K$8,H800=K$9,H800=K$10,H800=K$11,H800=K$12,H800=K$13,H800=K$14),SottocategorieEntrate[[#Headers],[Business Entrate]],IF(OR(H800=L$5,H800=L$6,H800=L$7,H800=L$8,H800=L$9,H800=L$10,H800=L$11,H800=L$12,H800=L$13,H800=L$14),SottocategorieEntrate[[#Headers],[Varie Entrate]],IF(OR(H800=M$5,H800=M$6,H800=M$7,H800=M$8,H800=M$9,H800=M$10,H800=M$11,H800=M$12,H800=M$13,H800=M$14),SottocategorieEntrate[[#Headers],[Real Estate]],IF(OR(H800=N$5,H800=N$6,H800=N$7,H800=N$8,H800=N$9,H800=N$10,H800=N$11,H800=N$12,H800=N$13,H800=N$14),SottocategorieEntrate[[#Headers],[Other]],""))))))))))))</f>
        <v/>
      </c>
      <c r="J800" t="str">
        <f>IF(OR(Dati[[#This Row],[Categoria]]="Bollette",Dati[[#This Row],[Categoria]]="Conto &amp; Carte BNL",Dati[[#This Row],[Categoria]]="Prelievo",Dati[[#This Row],[Categoria]]="Affitto",Dati[[#This Row],[Categoria]]="BNL(Interessi Creditori)"),"Carta",IF(Dati[[#This Row],[Categoria]]&lt;&gt;0,"Cash",""))</f>
        <v/>
      </c>
      <c r="K800" s="59" t="str">
        <f>IF(OR(Data!$I800=SottocategorieUscite[[#Headers],[Fuori Casa]],Data!$I800=SottocategorieUscite[[#Headers],[Varie Uscite]],Data!$I800=SottocategorieUscite[[#Headers],[Personali]],Data!$I800=SottocategorieUscite[[#Headers],[Lavoro]]),"$ -","")</f>
        <v/>
      </c>
      <c r="L800" s="59" t="str">
        <f>IF(OR(Data!$I800=SottocategorieUscite[[#Headers],[Casa]],Data!$I800=SottocategorieUscite[[#Headers],[Utenze]],Data!$I800=SottocategorieUscite[[#Headers],[Business Uscite]],Data!$I800=SottocategorieUscite[[#Headers],[Banca]]),"$ -","")</f>
        <v/>
      </c>
      <c r="M800" s="59" t="str">
        <f>IF(OR($I800&lt;&gt;SottocategorieUscite[[#Headers],[Fuori Casa]],$I800&lt;&gt;SottocategorieUscite[[#Headers],[Varie Uscite]],$I800&lt;&gt;SottocategorieUscite[[#Headers],[Personali]],$I800&lt;&gt;SottocategorieUscite[[#Headers],[Lavoro]],$I800&lt;&gt;SottocategorieUscite[[#Headers],[Casa]],$I800&lt;&gt;SottocategorieUscite[[#Headers],[Utenze]],$I800&lt;&gt;SottocategorieUscite[[#Headers],[Business Uscite]],$I800&lt;&gt;SottocategorieUscite[[#Headers],[Banca]]),"","$ -")</f>
        <v/>
      </c>
      <c r="N800" s="59" t="str">
        <f>IF(OR(Data!$I800=SottocategorieEntrate[[#Headers],[Business Entrate]],Data!$I800=SottocategorieEntrate[[#Headers],[Varie Entrate]]),"$ -","")</f>
        <v/>
      </c>
      <c r="O800" s="59" t="str">
        <f>IF(OR(Data!$I800=SottocategorieEntrate[[#Headers],[Real Estate]],SottocategorieEntrate[[#Headers],[Other]]),"$ -","")</f>
        <v/>
      </c>
      <c r="P800" s="59" t="str">
        <f>IF(OR($I800&lt;&gt;SottocategorieEntrate[[#Headers],[Business Entrate]],$I800&lt;&gt;SottocategorieEntrate[[#Headers],[Varie Entrate]],$I800&lt;&gt;SottocategorieEntrate[[#Headers],[Real Estate]],$I800&lt;&gt;SottocategorieEntrate[[#Headers],[Other]]),"","$ -")</f>
        <v/>
      </c>
      <c r="Q800" s="59" t="str">
        <f>IF(Dati[[#This Row],[Categoria]]="Prelievo","€ -","")</f>
        <v/>
      </c>
      <c r="R800" s="244"/>
      <c r="S800" s="59" t="str">
        <f>IF(Dati[[#This Row],[Categoria]]="Savings",0,"")</f>
        <v/>
      </c>
      <c r="T800" s="59"/>
      <c r="U800" s="59"/>
      <c r="V800" s="59"/>
      <c r="W800" s="59"/>
      <c r="X800" s="59"/>
      <c r="Y800" s="59"/>
      <c r="Z800" s="59"/>
      <c r="AA800" s="59"/>
      <c r="AB800" s="59"/>
      <c r="AC800" s="59"/>
      <c r="AD800" s="59"/>
      <c r="AE800" s="59"/>
      <c r="AF800" s="59"/>
      <c r="AG800" s="59"/>
      <c r="AH800" s="59"/>
      <c r="AI800" s="59" t="str">
        <f>IF(SUM(Dati[[#This Row],[Inv. Business]:[Inv. Cryptocurrency]])=0," ",SUM(Dati[[#This Row],[Inv. Business]:[Inv. Cryptocurrency]]))</f>
        <v xml:space="preserve"> </v>
      </c>
      <c r="AJ800" s="59"/>
      <c r="AK800" s="59"/>
      <c r="AL800" s="59"/>
      <c r="AM800" s="59"/>
    </row>
    <row r="801" spans="2:39" x14ac:dyDescent="0.35">
      <c r="B801" s="237">
        <f t="shared" si="40"/>
        <v>781</v>
      </c>
      <c r="C801" s="49">
        <f t="shared" si="39"/>
        <v>45530</v>
      </c>
      <c r="D801" s="29">
        <f>DAY(Dati[[#This Row],[Data]])</f>
        <v>26</v>
      </c>
      <c r="E801" s="29" t="str">
        <f>IF(DAY(Data!$C$21:$C$1327)&gt;0,TEXT(Data!$C$21:$C$1327, "mmmm"),"")</f>
        <v>agosto</v>
      </c>
      <c r="F801" s="29" t="str">
        <f>IF(DAY(Data!$C$21:$C$1327)&gt;0,TEXT(Data!$C$21:$C$1327, "aaaa"),"")</f>
        <v>2024</v>
      </c>
      <c r="I801" t="str">
        <f>IF(OR(H801=$B$5,H801=$B$6,H801=$B$7,H801=$B$8,H801=$B$9,H801=$B$10,H801=$B$11,H801=$B$12,H801=$B$13,H801=$B$14),SottocategorieUscite[[#Headers],[Fuori Casa]],IF(OR(H801=$C$5,H801=$C$6,H801=$C$7,H801=$C$8,H801=$C$9,H801=$C$10,H801=$C$11,H801=$C$12,H801=$C$13,H801=$C$14),SottocategorieUscite[[#Headers],[Varie Uscite]],IF(OR(H801=$D$5,H801=$D$6,H801=$D$7,H801=$D$8,H801=$D$9,H801=$D$10,H801=$D$11,H801=$D$12,H801=$D$13,H801=$D$14),SottocategorieUscite[[#Headers],[Personali]],IF(OR(H801=$E$5,H801=$E$6,H801=$E$7,H801=$E$8,H801=$E$9,H801=$E$10,H801=$E$11,H801=$E$12,H801=$E$13,H801=$E$14),SottocategorieUscite[[#Headers],[Lavoro]],IF(OR(H801=$F$5,H801=$F$6,H801=$F$7,H801=$F$8,H801=$F$9,H801=$F$10,H801=$F$11,H801=$F$12,H801=$F$13,H801=$F$14),SottocategorieUscite[[#Headers],[Casa]],IF(OR(H801=$G$5,H801=$G$6,H801=$G$7,H801=$G$8,H801=$G$9,H801=$G$10,H801=$G$11,H801=$G$12,H801=$G$13,H801=$G$14),SottocategorieUscite[[#Headers],[Utenze]],IF(OR(H801=$H$5,H801=$H$6,H801=$H$7,H801=$H$8,H801=$H$9,H801=$H$10,H801=$H$11,H801=$H$12,H801=$H$13,H801=$H$14),SottocategorieUscite[[#Headers],[Business Uscite]],IF(OR(H801=$I$5,H801=$I$6,H801=$I$7,H801=$I$8,H801=$I$9,H801=$I$10,H801=$I$11,H801=$I$12,H801=$I$13,H801=$I$14),SottocategorieUscite[[#Headers],[Banca]],IF(OR(H801=K$5,H801=K$6,H801=K$7,H801=K$8,H801=K$9,H801=K$10,H801=K$11,H801=K$12,H801=K$13,H801=K$14),SottocategorieEntrate[[#Headers],[Business Entrate]],IF(OR(H801=L$5,H801=L$6,H801=L$7,H801=L$8,H801=L$9,H801=L$10,H801=L$11,H801=L$12,H801=L$13,H801=L$14),SottocategorieEntrate[[#Headers],[Varie Entrate]],IF(OR(H801=M$5,H801=M$6,H801=M$7,H801=M$8,H801=M$9,H801=M$10,H801=M$11,H801=M$12,H801=M$13,H801=M$14),SottocategorieEntrate[[#Headers],[Real Estate]],IF(OR(H801=N$5,H801=N$6,H801=N$7,H801=N$8,H801=N$9,H801=N$10,H801=N$11,H801=N$12,H801=N$13,H801=N$14),SottocategorieEntrate[[#Headers],[Other]],""))))))))))))</f>
        <v/>
      </c>
      <c r="J801" t="str">
        <f>IF(OR(Dati[[#This Row],[Categoria]]="Bollette",Dati[[#This Row],[Categoria]]="Conto &amp; Carte BNL",Dati[[#This Row],[Categoria]]="Prelievo",Dati[[#This Row],[Categoria]]="Affitto",Dati[[#This Row],[Categoria]]="BNL(Interessi Creditori)"),"Carta",IF(Dati[[#This Row],[Categoria]]&lt;&gt;0,"Cash",""))</f>
        <v/>
      </c>
      <c r="K801" s="59" t="str">
        <f>IF(OR(Data!$I801=SottocategorieUscite[[#Headers],[Fuori Casa]],Data!$I801=SottocategorieUscite[[#Headers],[Varie Uscite]],Data!$I801=SottocategorieUscite[[#Headers],[Personali]],Data!$I801=SottocategorieUscite[[#Headers],[Lavoro]]),"$ -","")</f>
        <v/>
      </c>
      <c r="L801" s="59" t="str">
        <f>IF(OR(Data!$I801=SottocategorieUscite[[#Headers],[Casa]],Data!$I801=SottocategorieUscite[[#Headers],[Utenze]],Data!$I801=SottocategorieUscite[[#Headers],[Business Uscite]],Data!$I801=SottocategorieUscite[[#Headers],[Banca]]),"$ -","")</f>
        <v/>
      </c>
      <c r="M801" s="59" t="str">
        <f>IF(OR($I801&lt;&gt;SottocategorieUscite[[#Headers],[Fuori Casa]],$I801&lt;&gt;SottocategorieUscite[[#Headers],[Varie Uscite]],$I801&lt;&gt;SottocategorieUscite[[#Headers],[Personali]],$I801&lt;&gt;SottocategorieUscite[[#Headers],[Lavoro]],$I801&lt;&gt;SottocategorieUscite[[#Headers],[Casa]],$I801&lt;&gt;SottocategorieUscite[[#Headers],[Utenze]],$I801&lt;&gt;SottocategorieUscite[[#Headers],[Business Uscite]],$I801&lt;&gt;SottocategorieUscite[[#Headers],[Banca]]),"","$ -")</f>
        <v/>
      </c>
      <c r="N801" s="59" t="str">
        <f>IF(OR(Data!$I801=SottocategorieEntrate[[#Headers],[Business Entrate]],Data!$I801=SottocategorieEntrate[[#Headers],[Varie Entrate]]),"$ -","")</f>
        <v/>
      </c>
      <c r="O801" s="59" t="str">
        <f>IF(OR(Data!$I801=SottocategorieEntrate[[#Headers],[Real Estate]],SottocategorieEntrate[[#Headers],[Other]]),"$ -","")</f>
        <v/>
      </c>
      <c r="P801" s="59" t="str">
        <f>IF(OR($I801&lt;&gt;SottocategorieEntrate[[#Headers],[Business Entrate]],$I801&lt;&gt;SottocategorieEntrate[[#Headers],[Varie Entrate]],$I801&lt;&gt;SottocategorieEntrate[[#Headers],[Real Estate]],$I801&lt;&gt;SottocategorieEntrate[[#Headers],[Other]]),"","$ -")</f>
        <v/>
      </c>
      <c r="Q801" s="59" t="str">
        <f>IF(Dati[[#This Row],[Categoria]]="Prelievo","€ -","")</f>
        <v/>
      </c>
      <c r="R801" s="244"/>
      <c r="S801" s="59" t="str">
        <f>IF(Dati[[#This Row],[Categoria]]="Savings",0,"")</f>
        <v/>
      </c>
      <c r="T801" s="59"/>
      <c r="U801" s="59"/>
      <c r="V801" s="59"/>
      <c r="W801" s="59"/>
      <c r="X801" s="59"/>
      <c r="Y801" s="59"/>
      <c r="Z801" s="59"/>
      <c r="AA801" s="59"/>
      <c r="AB801" s="59"/>
      <c r="AC801" s="59"/>
      <c r="AD801" s="59"/>
      <c r="AE801" s="59"/>
      <c r="AF801" s="59"/>
      <c r="AG801" s="59"/>
      <c r="AH801" s="59"/>
      <c r="AI801" s="59" t="str">
        <f>IF(SUM(Dati[[#This Row],[Inv. Business]:[Inv. Cryptocurrency]])=0," ",SUM(Dati[[#This Row],[Inv. Business]:[Inv. Cryptocurrency]]))</f>
        <v xml:space="preserve"> </v>
      </c>
      <c r="AJ801" s="59"/>
      <c r="AK801" s="59"/>
      <c r="AL801" s="59"/>
      <c r="AM801" s="59"/>
    </row>
    <row r="802" spans="2:39" x14ac:dyDescent="0.35">
      <c r="B802" s="237">
        <f t="shared" si="40"/>
        <v>782</v>
      </c>
      <c r="C802" s="49">
        <f t="shared" si="39"/>
        <v>45531</v>
      </c>
      <c r="D802" s="29">
        <f>DAY(Dati[[#This Row],[Data]])</f>
        <v>27</v>
      </c>
      <c r="E802" s="29" t="str">
        <f>IF(DAY(Data!$C$21:$C$1327)&gt;0,TEXT(Data!$C$21:$C$1327, "mmmm"),"")</f>
        <v>agosto</v>
      </c>
      <c r="F802" s="29" t="str">
        <f>IF(DAY(Data!$C$21:$C$1327)&gt;0,TEXT(Data!$C$21:$C$1327, "aaaa"),"")</f>
        <v>2024</v>
      </c>
      <c r="I802" t="str">
        <f>IF(OR(H802=$B$5,H802=$B$6,H802=$B$7,H802=$B$8,H802=$B$9,H802=$B$10,H802=$B$11,H802=$B$12,H802=$B$13,H802=$B$14),SottocategorieUscite[[#Headers],[Fuori Casa]],IF(OR(H802=$C$5,H802=$C$6,H802=$C$7,H802=$C$8,H802=$C$9,H802=$C$10,H802=$C$11,H802=$C$12,H802=$C$13,H802=$C$14),SottocategorieUscite[[#Headers],[Varie Uscite]],IF(OR(H802=$D$5,H802=$D$6,H802=$D$7,H802=$D$8,H802=$D$9,H802=$D$10,H802=$D$11,H802=$D$12,H802=$D$13,H802=$D$14),SottocategorieUscite[[#Headers],[Personali]],IF(OR(H802=$E$5,H802=$E$6,H802=$E$7,H802=$E$8,H802=$E$9,H802=$E$10,H802=$E$11,H802=$E$12,H802=$E$13,H802=$E$14),SottocategorieUscite[[#Headers],[Lavoro]],IF(OR(H802=$F$5,H802=$F$6,H802=$F$7,H802=$F$8,H802=$F$9,H802=$F$10,H802=$F$11,H802=$F$12,H802=$F$13,H802=$F$14),SottocategorieUscite[[#Headers],[Casa]],IF(OR(H802=$G$5,H802=$G$6,H802=$G$7,H802=$G$8,H802=$G$9,H802=$G$10,H802=$G$11,H802=$G$12,H802=$G$13,H802=$G$14),SottocategorieUscite[[#Headers],[Utenze]],IF(OR(H802=$H$5,H802=$H$6,H802=$H$7,H802=$H$8,H802=$H$9,H802=$H$10,H802=$H$11,H802=$H$12,H802=$H$13,H802=$H$14),SottocategorieUscite[[#Headers],[Business Uscite]],IF(OR(H802=$I$5,H802=$I$6,H802=$I$7,H802=$I$8,H802=$I$9,H802=$I$10,H802=$I$11,H802=$I$12,H802=$I$13,H802=$I$14),SottocategorieUscite[[#Headers],[Banca]],IF(OR(H802=K$5,H802=K$6,H802=K$7,H802=K$8,H802=K$9,H802=K$10,H802=K$11,H802=K$12,H802=K$13,H802=K$14),SottocategorieEntrate[[#Headers],[Business Entrate]],IF(OR(H802=L$5,H802=L$6,H802=L$7,H802=L$8,H802=L$9,H802=L$10,H802=L$11,H802=L$12,H802=L$13,H802=L$14),SottocategorieEntrate[[#Headers],[Varie Entrate]],IF(OR(H802=M$5,H802=M$6,H802=M$7,H802=M$8,H802=M$9,H802=M$10,H802=M$11,H802=M$12,H802=M$13,H802=M$14),SottocategorieEntrate[[#Headers],[Real Estate]],IF(OR(H802=N$5,H802=N$6,H802=N$7,H802=N$8,H802=N$9,H802=N$10,H802=N$11,H802=N$12,H802=N$13,H802=N$14),SottocategorieEntrate[[#Headers],[Other]],""))))))))))))</f>
        <v/>
      </c>
      <c r="J802" t="str">
        <f>IF(OR(Dati[[#This Row],[Categoria]]="Bollette",Dati[[#This Row],[Categoria]]="Conto &amp; Carte BNL",Dati[[#This Row],[Categoria]]="Prelievo",Dati[[#This Row],[Categoria]]="Affitto",Dati[[#This Row],[Categoria]]="BNL(Interessi Creditori)"),"Carta",IF(Dati[[#This Row],[Categoria]]&lt;&gt;0,"Cash",""))</f>
        <v/>
      </c>
      <c r="K802" s="59" t="str">
        <f>IF(OR(Data!$I802=SottocategorieUscite[[#Headers],[Fuori Casa]],Data!$I802=SottocategorieUscite[[#Headers],[Varie Uscite]],Data!$I802=SottocategorieUscite[[#Headers],[Personali]],Data!$I802=SottocategorieUscite[[#Headers],[Lavoro]]),"$ -","")</f>
        <v/>
      </c>
      <c r="L802" s="59" t="str">
        <f>IF(OR(Data!$I802=SottocategorieUscite[[#Headers],[Casa]],Data!$I802=SottocategorieUscite[[#Headers],[Utenze]],Data!$I802=SottocategorieUscite[[#Headers],[Business Uscite]],Data!$I802=SottocategorieUscite[[#Headers],[Banca]]),"$ -","")</f>
        <v/>
      </c>
      <c r="M802" s="59" t="str">
        <f>IF(OR($I802&lt;&gt;SottocategorieUscite[[#Headers],[Fuori Casa]],$I802&lt;&gt;SottocategorieUscite[[#Headers],[Varie Uscite]],$I802&lt;&gt;SottocategorieUscite[[#Headers],[Personali]],$I802&lt;&gt;SottocategorieUscite[[#Headers],[Lavoro]],$I802&lt;&gt;SottocategorieUscite[[#Headers],[Casa]],$I802&lt;&gt;SottocategorieUscite[[#Headers],[Utenze]],$I802&lt;&gt;SottocategorieUscite[[#Headers],[Business Uscite]],$I802&lt;&gt;SottocategorieUscite[[#Headers],[Banca]]),"","$ -")</f>
        <v/>
      </c>
      <c r="N802" s="59" t="str">
        <f>IF(OR(Data!$I802=SottocategorieEntrate[[#Headers],[Business Entrate]],Data!$I802=SottocategorieEntrate[[#Headers],[Varie Entrate]]),"$ -","")</f>
        <v/>
      </c>
      <c r="O802" s="59" t="str">
        <f>IF(OR(Data!$I802=SottocategorieEntrate[[#Headers],[Real Estate]],SottocategorieEntrate[[#Headers],[Other]]),"$ -","")</f>
        <v/>
      </c>
      <c r="P802" s="59" t="str">
        <f>IF(OR($I802&lt;&gt;SottocategorieEntrate[[#Headers],[Business Entrate]],$I802&lt;&gt;SottocategorieEntrate[[#Headers],[Varie Entrate]],$I802&lt;&gt;SottocategorieEntrate[[#Headers],[Real Estate]],$I802&lt;&gt;SottocategorieEntrate[[#Headers],[Other]]),"","$ -")</f>
        <v/>
      </c>
      <c r="Q802" s="59" t="str">
        <f>IF(Dati[[#This Row],[Categoria]]="Prelievo","€ -","")</f>
        <v/>
      </c>
      <c r="R802" s="244"/>
      <c r="S802" s="59" t="str">
        <f>IF(Dati[[#This Row],[Categoria]]="Savings",0,"")</f>
        <v/>
      </c>
      <c r="T802" s="59"/>
      <c r="U802" s="59"/>
      <c r="V802" s="59"/>
      <c r="W802" s="59"/>
      <c r="X802" s="59"/>
      <c r="Y802" s="59"/>
      <c r="Z802" s="59"/>
      <c r="AA802" s="59"/>
      <c r="AB802" s="59"/>
      <c r="AC802" s="59"/>
      <c r="AD802" s="59"/>
      <c r="AE802" s="59"/>
      <c r="AF802" s="59"/>
      <c r="AG802" s="59"/>
      <c r="AH802" s="59"/>
      <c r="AI802" s="59" t="str">
        <f>IF(SUM(Dati[[#This Row],[Inv. Business]:[Inv. Cryptocurrency]])=0," ",SUM(Dati[[#This Row],[Inv. Business]:[Inv. Cryptocurrency]]))</f>
        <v xml:space="preserve"> </v>
      </c>
      <c r="AJ802" s="59"/>
      <c r="AK802" s="59"/>
      <c r="AL802" s="59"/>
      <c r="AM802" s="59"/>
    </row>
    <row r="803" spans="2:39" x14ac:dyDescent="0.35">
      <c r="B803" s="237">
        <f t="shared" si="40"/>
        <v>783</v>
      </c>
      <c r="C803" s="49">
        <f t="shared" si="39"/>
        <v>45532</v>
      </c>
      <c r="D803" s="29">
        <f>DAY(Dati[[#This Row],[Data]])</f>
        <v>28</v>
      </c>
      <c r="E803" s="29" t="str">
        <f>IF(DAY(Data!$C$21:$C$1327)&gt;0,TEXT(Data!$C$21:$C$1327, "mmmm"),"")</f>
        <v>agosto</v>
      </c>
      <c r="F803" s="29" t="str">
        <f>IF(DAY(Data!$C$21:$C$1327)&gt;0,TEXT(Data!$C$21:$C$1327, "aaaa"),"")</f>
        <v>2024</v>
      </c>
      <c r="I803" t="str">
        <f>IF(OR(H803=$B$5,H803=$B$6,H803=$B$7,H803=$B$8,H803=$B$9,H803=$B$10,H803=$B$11,H803=$B$12,H803=$B$13,H803=$B$14),SottocategorieUscite[[#Headers],[Fuori Casa]],IF(OR(H803=$C$5,H803=$C$6,H803=$C$7,H803=$C$8,H803=$C$9,H803=$C$10,H803=$C$11,H803=$C$12,H803=$C$13,H803=$C$14),SottocategorieUscite[[#Headers],[Varie Uscite]],IF(OR(H803=$D$5,H803=$D$6,H803=$D$7,H803=$D$8,H803=$D$9,H803=$D$10,H803=$D$11,H803=$D$12,H803=$D$13,H803=$D$14),SottocategorieUscite[[#Headers],[Personali]],IF(OR(H803=$E$5,H803=$E$6,H803=$E$7,H803=$E$8,H803=$E$9,H803=$E$10,H803=$E$11,H803=$E$12,H803=$E$13,H803=$E$14),SottocategorieUscite[[#Headers],[Lavoro]],IF(OR(H803=$F$5,H803=$F$6,H803=$F$7,H803=$F$8,H803=$F$9,H803=$F$10,H803=$F$11,H803=$F$12,H803=$F$13,H803=$F$14),SottocategorieUscite[[#Headers],[Casa]],IF(OR(H803=$G$5,H803=$G$6,H803=$G$7,H803=$G$8,H803=$G$9,H803=$G$10,H803=$G$11,H803=$G$12,H803=$G$13,H803=$G$14),SottocategorieUscite[[#Headers],[Utenze]],IF(OR(H803=$H$5,H803=$H$6,H803=$H$7,H803=$H$8,H803=$H$9,H803=$H$10,H803=$H$11,H803=$H$12,H803=$H$13,H803=$H$14),SottocategorieUscite[[#Headers],[Business Uscite]],IF(OR(H803=$I$5,H803=$I$6,H803=$I$7,H803=$I$8,H803=$I$9,H803=$I$10,H803=$I$11,H803=$I$12,H803=$I$13,H803=$I$14),SottocategorieUscite[[#Headers],[Banca]],IF(OR(H803=K$5,H803=K$6,H803=K$7,H803=K$8,H803=K$9,H803=K$10,H803=K$11,H803=K$12,H803=K$13,H803=K$14),SottocategorieEntrate[[#Headers],[Business Entrate]],IF(OR(H803=L$5,H803=L$6,H803=L$7,H803=L$8,H803=L$9,H803=L$10,H803=L$11,H803=L$12,H803=L$13,H803=L$14),SottocategorieEntrate[[#Headers],[Varie Entrate]],IF(OR(H803=M$5,H803=M$6,H803=M$7,H803=M$8,H803=M$9,H803=M$10,H803=M$11,H803=M$12,H803=M$13,H803=M$14),SottocategorieEntrate[[#Headers],[Real Estate]],IF(OR(H803=N$5,H803=N$6,H803=N$7,H803=N$8,H803=N$9,H803=N$10,H803=N$11,H803=N$12,H803=N$13,H803=N$14),SottocategorieEntrate[[#Headers],[Other]],""))))))))))))</f>
        <v/>
      </c>
      <c r="J803" t="str">
        <f>IF(OR(Dati[[#This Row],[Categoria]]="Bollette",Dati[[#This Row],[Categoria]]="Conto &amp; Carte BNL",Dati[[#This Row],[Categoria]]="Prelievo",Dati[[#This Row],[Categoria]]="Affitto",Dati[[#This Row],[Categoria]]="BNL(Interessi Creditori)"),"Carta",IF(Dati[[#This Row],[Categoria]]&lt;&gt;0,"Cash",""))</f>
        <v/>
      </c>
      <c r="K803" s="59" t="str">
        <f>IF(OR(Data!$I803=SottocategorieUscite[[#Headers],[Fuori Casa]],Data!$I803=SottocategorieUscite[[#Headers],[Varie Uscite]],Data!$I803=SottocategorieUscite[[#Headers],[Personali]],Data!$I803=SottocategorieUscite[[#Headers],[Lavoro]]),"$ -","")</f>
        <v/>
      </c>
      <c r="L803" s="59" t="str">
        <f>IF(OR(Data!$I803=SottocategorieUscite[[#Headers],[Casa]],Data!$I803=SottocategorieUscite[[#Headers],[Utenze]],Data!$I803=SottocategorieUscite[[#Headers],[Business Uscite]],Data!$I803=SottocategorieUscite[[#Headers],[Banca]]),"$ -","")</f>
        <v/>
      </c>
      <c r="M803" s="59" t="str">
        <f>IF(OR($I803&lt;&gt;SottocategorieUscite[[#Headers],[Fuori Casa]],$I803&lt;&gt;SottocategorieUscite[[#Headers],[Varie Uscite]],$I803&lt;&gt;SottocategorieUscite[[#Headers],[Personali]],$I803&lt;&gt;SottocategorieUscite[[#Headers],[Lavoro]],$I803&lt;&gt;SottocategorieUscite[[#Headers],[Casa]],$I803&lt;&gt;SottocategorieUscite[[#Headers],[Utenze]],$I803&lt;&gt;SottocategorieUscite[[#Headers],[Business Uscite]],$I803&lt;&gt;SottocategorieUscite[[#Headers],[Banca]]),"","$ -")</f>
        <v/>
      </c>
      <c r="N803" s="59" t="str">
        <f>IF(OR(Data!$I803=SottocategorieEntrate[[#Headers],[Business Entrate]],Data!$I803=SottocategorieEntrate[[#Headers],[Varie Entrate]]),"$ -","")</f>
        <v/>
      </c>
      <c r="O803" s="59" t="str">
        <f>IF(OR(Data!$I803=SottocategorieEntrate[[#Headers],[Real Estate]],SottocategorieEntrate[[#Headers],[Other]]),"$ -","")</f>
        <v/>
      </c>
      <c r="P803" s="59" t="str">
        <f>IF(OR($I803&lt;&gt;SottocategorieEntrate[[#Headers],[Business Entrate]],$I803&lt;&gt;SottocategorieEntrate[[#Headers],[Varie Entrate]],$I803&lt;&gt;SottocategorieEntrate[[#Headers],[Real Estate]],$I803&lt;&gt;SottocategorieEntrate[[#Headers],[Other]]),"","$ -")</f>
        <v/>
      </c>
      <c r="Q803" s="59" t="str">
        <f>IF(Dati[[#This Row],[Categoria]]="Prelievo","€ -","")</f>
        <v/>
      </c>
      <c r="R803" s="244"/>
      <c r="S803" s="59" t="str">
        <f>IF(Dati[[#This Row],[Categoria]]="Savings",0,"")</f>
        <v/>
      </c>
      <c r="T803" s="59"/>
      <c r="U803" s="59"/>
      <c r="V803" s="59"/>
      <c r="W803" s="59"/>
      <c r="X803" s="59"/>
      <c r="Y803" s="59"/>
      <c r="Z803" s="59"/>
      <c r="AA803" s="59"/>
      <c r="AB803" s="59"/>
      <c r="AC803" s="59"/>
      <c r="AD803" s="59"/>
      <c r="AE803" s="59"/>
      <c r="AF803" s="59"/>
      <c r="AG803" s="59"/>
      <c r="AH803" s="59"/>
      <c r="AI803" s="59" t="str">
        <f>IF(SUM(Dati[[#This Row],[Inv. Business]:[Inv. Cryptocurrency]])=0," ",SUM(Dati[[#This Row],[Inv. Business]:[Inv. Cryptocurrency]]))</f>
        <v xml:space="preserve"> </v>
      </c>
      <c r="AJ803" s="59"/>
      <c r="AK803" s="59"/>
      <c r="AL803" s="59"/>
      <c r="AM803" s="59"/>
    </row>
    <row r="804" spans="2:39" x14ac:dyDescent="0.35">
      <c r="B804" s="237">
        <f t="shared" si="40"/>
        <v>784</v>
      </c>
      <c r="C804" s="49">
        <f t="shared" si="39"/>
        <v>45533</v>
      </c>
      <c r="D804" s="29">
        <f>DAY(Dati[[#This Row],[Data]])</f>
        <v>29</v>
      </c>
      <c r="E804" s="29" t="str">
        <f>IF(DAY(Data!$C$21:$C$1327)&gt;0,TEXT(Data!$C$21:$C$1327, "mmmm"),"")</f>
        <v>agosto</v>
      </c>
      <c r="F804" s="29" t="str">
        <f>IF(DAY(Data!$C$21:$C$1327)&gt;0,TEXT(Data!$C$21:$C$1327, "aaaa"),"")</f>
        <v>2024</v>
      </c>
      <c r="I804" t="str">
        <f>IF(OR(H804=$B$5,H804=$B$6,H804=$B$7,H804=$B$8,H804=$B$9,H804=$B$10,H804=$B$11,H804=$B$12,H804=$B$13,H804=$B$14),SottocategorieUscite[[#Headers],[Fuori Casa]],IF(OR(H804=$C$5,H804=$C$6,H804=$C$7,H804=$C$8,H804=$C$9,H804=$C$10,H804=$C$11,H804=$C$12,H804=$C$13,H804=$C$14),SottocategorieUscite[[#Headers],[Varie Uscite]],IF(OR(H804=$D$5,H804=$D$6,H804=$D$7,H804=$D$8,H804=$D$9,H804=$D$10,H804=$D$11,H804=$D$12,H804=$D$13,H804=$D$14),SottocategorieUscite[[#Headers],[Personali]],IF(OR(H804=$E$5,H804=$E$6,H804=$E$7,H804=$E$8,H804=$E$9,H804=$E$10,H804=$E$11,H804=$E$12,H804=$E$13,H804=$E$14),SottocategorieUscite[[#Headers],[Lavoro]],IF(OR(H804=$F$5,H804=$F$6,H804=$F$7,H804=$F$8,H804=$F$9,H804=$F$10,H804=$F$11,H804=$F$12,H804=$F$13,H804=$F$14),SottocategorieUscite[[#Headers],[Casa]],IF(OR(H804=$G$5,H804=$G$6,H804=$G$7,H804=$G$8,H804=$G$9,H804=$G$10,H804=$G$11,H804=$G$12,H804=$G$13,H804=$G$14),SottocategorieUscite[[#Headers],[Utenze]],IF(OR(H804=$H$5,H804=$H$6,H804=$H$7,H804=$H$8,H804=$H$9,H804=$H$10,H804=$H$11,H804=$H$12,H804=$H$13,H804=$H$14),SottocategorieUscite[[#Headers],[Business Uscite]],IF(OR(H804=$I$5,H804=$I$6,H804=$I$7,H804=$I$8,H804=$I$9,H804=$I$10,H804=$I$11,H804=$I$12,H804=$I$13,H804=$I$14),SottocategorieUscite[[#Headers],[Banca]],IF(OR(H804=K$5,H804=K$6,H804=K$7,H804=K$8,H804=K$9,H804=K$10,H804=K$11,H804=K$12,H804=K$13,H804=K$14),SottocategorieEntrate[[#Headers],[Business Entrate]],IF(OR(H804=L$5,H804=L$6,H804=L$7,H804=L$8,H804=L$9,H804=L$10,H804=L$11,H804=L$12,H804=L$13,H804=L$14),SottocategorieEntrate[[#Headers],[Varie Entrate]],IF(OR(H804=M$5,H804=M$6,H804=M$7,H804=M$8,H804=M$9,H804=M$10,H804=M$11,H804=M$12,H804=M$13,H804=M$14),SottocategorieEntrate[[#Headers],[Real Estate]],IF(OR(H804=N$5,H804=N$6,H804=N$7,H804=N$8,H804=N$9,H804=N$10,H804=N$11,H804=N$12,H804=N$13,H804=N$14),SottocategorieEntrate[[#Headers],[Other]],""))))))))))))</f>
        <v/>
      </c>
      <c r="J804" t="str">
        <f>IF(OR(Dati[[#This Row],[Categoria]]="Bollette",Dati[[#This Row],[Categoria]]="Conto &amp; Carte BNL",Dati[[#This Row],[Categoria]]="Prelievo",Dati[[#This Row],[Categoria]]="Affitto",Dati[[#This Row],[Categoria]]="BNL(Interessi Creditori)"),"Carta",IF(Dati[[#This Row],[Categoria]]&lt;&gt;0,"Cash",""))</f>
        <v/>
      </c>
      <c r="K804" s="59" t="str">
        <f>IF(OR(Data!$I804=SottocategorieUscite[[#Headers],[Fuori Casa]],Data!$I804=SottocategorieUscite[[#Headers],[Varie Uscite]],Data!$I804=SottocategorieUscite[[#Headers],[Personali]],Data!$I804=SottocategorieUscite[[#Headers],[Lavoro]]),"$ -","")</f>
        <v/>
      </c>
      <c r="L804" s="59" t="str">
        <f>IF(OR(Data!$I804=SottocategorieUscite[[#Headers],[Casa]],Data!$I804=SottocategorieUscite[[#Headers],[Utenze]],Data!$I804=SottocategorieUscite[[#Headers],[Business Uscite]],Data!$I804=SottocategorieUscite[[#Headers],[Banca]]),"$ -","")</f>
        <v/>
      </c>
      <c r="M804" s="59" t="str">
        <f>IF(OR($I804&lt;&gt;SottocategorieUscite[[#Headers],[Fuori Casa]],$I804&lt;&gt;SottocategorieUscite[[#Headers],[Varie Uscite]],$I804&lt;&gt;SottocategorieUscite[[#Headers],[Personali]],$I804&lt;&gt;SottocategorieUscite[[#Headers],[Lavoro]],$I804&lt;&gt;SottocategorieUscite[[#Headers],[Casa]],$I804&lt;&gt;SottocategorieUscite[[#Headers],[Utenze]],$I804&lt;&gt;SottocategorieUscite[[#Headers],[Business Uscite]],$I804&lt;&gt;SottocategorieUscite[[#Headers],[Banca]]),"","$ -")</f>
        <v/>
      </c>
      <c r="N804" s="59" t="str">
        <f>IF(OR(Data!$I804=SottocategorieEntrate[[#Headers],[Business Entrate]],Data!$I804=SottocategorieEntrate[[#Headers],[Varie Entrate]]),"$ -","")</f>
        <v/>
      </c>
      <c r="O804" s="59" t="str">
        <f>IF(OR(Data!$I804=SottocategorieEntrate[[#Headers],[Real Estate]],SottocategorieEntrate[[#Headers],[Other]]),"$ -","")</f>
        <v/>
      </c>
      <c r="P804" s="59" t="str">
        <f>IF(OR($I804&lt;&gt;SottocategorieEntrate[[#Headers],[Business Entrate]],$I804&lt;&gt;SottocategorieEntrate[[#Headers],[Varie Entrate]],$I804&lt;&gt;SottocategorieEntrate[[#Headers],[Real Estate]],$I804&lt;&gt;SottocategorieEntrate[[#Headers],[Other]]),"","$ -")</f>
        <v/>
      </c>
      <c r="Q804" s="59" t="str">
        <f>IF(Dati[[#This Row],[Categoria]]="Prelievo","€ -","")</f>
        <v/>
      </c>
      <c r="R804" s="244"/>
      <c r="S804" s="59" t="str">
        <f>IF(Dati[[#This Row],[Categoria]]="Savings",0,"")</f>
        <v/>
      </c>
      <c r="T804" s="59"/>
      <c r="U804" s="59"/>
      <c r="V804" s="59"/>
      <c r="W804" s="59"/>
      <c r="X804" s="59"/>
      <c r="Y804" s="59"/>
      <c r="Z804" s="59"/>
      <c r="AA804" s="59"/>
      <c r="AB804" s="59"/>
      <c r="AC804" s="59"/>
      <c r="AD804" s="59"/>
      <c r="AE804" s="59"/>
      <c r="AF804" s="59"/>
      <c r="AG804" s="59"/>
      <c r="AH804" s="59"/>
      <c r="AI804" s="59" t="str">
        <f>IF(SUM(Dati[[#This Row],[Inv. Business]:[Inv. Cryptocurrency]])=0," ",SUM(Dati[[#This Row],[Inv. Business]:[Inv. Cryptocurrency]]))</f>
        <v xml:space="preserve"> </v>
      </c>
      <c r="AJ804" s="59"/>
      <c r="AK804" s="59"/>
      <c r="AL804" s="59"/>
      <c r="AM804" s="59"/>
    </row>
    <row r="805" spans="2:39" x14ac:dyDescent="0.35">
      <c r="B805" s="237">
        <f t="shared" si="40"/>
        <v>785</v>
      </c>
      <c r="C805" s="49">
        <f t="shared" si="39"/>
        <v>45534</v>
      </c>
      <c r="D805" s="29">
        <f>DAY(Dati[[#This Row],[Data]])</f>
        <v>30</v>
      </c>
      <c r="E805" s="29" t="str">
        <f>IF(DAY(Data!$C$21:$C$1327)&gt;0,TEXT(Data!$C$21:$C$1327, "mmmm"),"")</f>
        <v>agosto</v>
      </c>
      <c r="F805" s="29" t="str">
        <f>IF(DAY(Data!$C$21:$C$1327)&gt;0,TEXT(Data!$C$21:$C$1327, "aaaa"),"")</f>
        <v>2024</v>
      </c>
      <c r="I805" t="str">
        <f>IF(OR(H805=$B$5,H805=$B$6,H805=$B$7,H805=$B$8,H805=$B$9,H805=$B$10,H805=$B$11,H805=$B$12,H805=$B$13,H805=$B$14),SottocategorieUscite[[#Headers],[Fuori Casa]],IF(OR(H805=$C$5,H805=$C$6,H805=$C$7,H805=$C$8,H805=$C$9,H805=$C$10,H805=$C$11,H805=$C$12,H805=$C$13,H805=$C$14),SottocategorieUscite[[#Headers],[Varie Uscite]],IF(OR(H805=$D$5,H805=$D$6,H805=$D$7,H805=$D$8,H805=$D$9,H805=$D$10,H805=$D$11,H805=$D$12,H805=$D$13,H805=$D$14),SottocategorieUscite[[#Headers],[Personali]],IF(OR(H805=$E$5,H805=$E$6,H805=$E$7,H805=$E$8,H805=$E$9,H805=$E$10,H805=$E$11,H805=$E$12,H805=$E$13,H805=$E$14),SottocategorieUscite[[#Headers],[Lavoro]],IF(OR(H805=$F$5,H805=$F$6,H805=$F$7,H805=$F$8,H805=$F$9,H805=$F$10,H805=$F$11,H805=$F$12,H805=$F$13,H805=$F$14),SottocategorieUscite[[#Headers],[Casa]],IF(OR(H805=$G$5,H805=$G$6,H805=$G$7,H805=$G$8,H805=$G$9,H805=$G$10,H805=$G$11,H805=$G$12,H805=$G$13,H805=$G$14),SottocategorieUscite[[#Headers],[Utenze]],IF(OR(H805=$H$5,H805=$H$6,H805=$H$7,H805=$H$8,H805=$H$9,H805=$H$10,H805=$H$11,H805=$H$12,H805=$H$13,H805=$H$14),SottocategorieUscite[[#Headers],[Business Uscite]],IF(OR(H805=$I$5,H805=$I$6,H805=$I$7,H805=$I$8,H805=$I$9,H805=$I$10,H805=$I$11,H805=$I$12,H805=$I$13,H805=$I$14),SottocategorieUscite[[#Headers],[Banca]],IF(OR(H805=K$5,H805=K$6,H805=K$7,H805=K$8,H805=K$9,H805=K$10,H805=K$11,H805=K$12,H805=K$13,H805=K$14),SottocategorieEntrate[[#Headers],[Business Entrate]],IF(OR(H805=L$5,H805=L$6,H805=L$7,H805=L$8,H805=L$9,H805=L$10,H805=L$11,H805=L$12,H805=L$13,H805=L$14),SottocategorieEntrate[[#Headers],[Varie Entrate]],IF(OR(H805=M$5,H805=M$6,H805=M$7,H805=M$8,H805=M$9,H805=M$10,H805=M$11,H805=M$12,H805=M$13,H805=M$14),SottocategorieEntrate[[#Headers],[Real Estate]],IF(OR(H805=N$5,H805=N$6,H805=N$7,H805=N$8,H805=N$9,H805=N$10,H805=N$11,H805=N$12,H805=N$13,H805=N$14),SottocategorieEntrate[[#Headers],[Other]],""))))))))))))</f>
        <v/>
      </c>
      <c r="J805" t="str">
        <f>IF(OR(Dati[[#This Row],[Categoria]]="Bollette",Dati[[#This Row],[Categoria]]="Conto &amp; Carte BNL",Dati[[#This Row],[Categoria]]="Prelievo",Dati[[#This Row],[Categoria]]="Affitto",Dati[[#This Row],[Categoria]]="BNL(Interessi Creditori)"),"Carta",IF(Dati[[#This Row],[Categoria]]&lt;&gt;0,"Cash",""))</f>
        <v/>
      </c>
      <c r="K805" s="59" t="str">
        <f>IF(OR(Data!$I805=SottocategorieUscite[[#Headers],[Fuori Casa]],Data!$I805=SottocategorieUscite[[#Headers],[Varie Uscite]],Data!$I805=SottocategorieUscite[[#Headers],[Personali]],Data!$I805=SottocategorieUscite[[#Headers],[Lavoro]]),"$ -","")</f>
        <v/>
      </c>
      <c r="L805" s="59" t="str">
        <f>IF(OR(Data!$I805=SottocategorieUscite[[#Headers],[Casa]],Data!$I805=SottocategorieUscite[[#Headers],[Utenze]],Data!$I805=SottocategorieUscite[[#Headers],[Business Uscite]],Data!$I805=SottocategorieUscite[[#Headers],[Banca]]),"$ -","")</f>
        <v/>
      </c>
      <c r="M805" s="59" t="str">
        <f>IF(OR($I805&lt;&gt;SottocategorieUscite[[#Headers],[Fuori Casa]],$I805&lt;&gt;SottocategorieUscite[[#Headers],[Varie Uscite]],$I805&lt;&gt;SottocategorieUscite[[#Headers],[Personali]],$I805&lt;&gt;SottocategorieUscite[[#Headers],[Lavoro]],$I805&lt;&gt;SottocategorieUscite[[#Headers],[Casa]],$I805&lt;&gt;SottocategorieUscite[[#Headers],[Utenze]],$I805&lt;&gt;SottocategorieUscite[[#Headers],[Business Uscite]],$I805&lt;&gt;SottocategorieUscite[[#Headers],[Banca]]),"","$ -")</f>
        <v/>
      </c>
      <c r="N805" s="59" t="str">
        <f>IF(OR(Data!$I805=SottocategorieEntrate[[#Headers],[Business Entrate]],Data!$I805=SottocategorieEntrate[[#Headers],[Varie Entrate]]),"$ -","")</f>
        <v/>
      </c>
      <c r="O805" s="59" t="str">
        <f>IF(OR(Data!$I805=SottocategorieEntrate[[#Headers],[Real Estate]],SottocategorieEntrate[[#Headers],[Other]]),"$ -","")</f>
        <v/>
      </c>
      <c r="P805" s="59" t="str">
        <f>IF(OR($I805&lt;&gt;SottocategorieEntrate[[#Headers],[Business Entrate]],$I805&lt;&gt;SottocategorieEntrate[[#Headers],[Varie Entrate]],$I805&lt;&gt;SottocategorieEntrate[[#Headers],[Real Estate]],$I805&lt;&gt;SottocategorieEntrate[[#Headers],[Other]]),"","$ -")</f>
        <v/>
      </c>
      <c r="Q805" s="59" t="str">
        <f>IF(Dati[[#This Row],[Categoria]]="Prelievo","€ -","")</f>
        <v/>
      </c>
      <c r="R805" s="244"/>
      <c r="S805" s="59" t="str">
        <f>IF(Dati[[#This Row],[Categoria]]="Savings",0,"")</f>
        <v/>
      </c>
      <c r="T805" s="59"/>
      <c r="U805" s="59"/>
      <c r="V805" s="59"/>
      <c r="W805" s="59"/>
      <c r="X805" s="59"/>
      <c r="Y805" s="59"/>
      <c r="Z805" s="59"/>
      <c r="AA805" s="59"/>
      <c r="AB805" s="59"/>
      <c r="AC805" s="59"/>
      <c r="AD805" s="59"/>
      <c r="AE805" s="59"/>
      <c r="AF805" s="59"/>
      <c r="AG805" s="59"/>
      <c r="AH805" s="59"/>
      <c r="AI805" s="59" t="str">
        <f>IF(SUM(Dati[[#This Row],[Inv. Business]:[Inv. Cryptocurrency]])=0," ",SUM(Dati[[#This Row],[Inv. Business]:[Inv. Cryptocurrency]]))</f>
        <v xml:space="preserve"> </v>
      </c>
      <c r="AJ805" s="59"/>
      <c r="AK805" s="59"/>
      <c r="AL805" s="59"/>
      <c r="AM805" s="59"/>
    </row>
    <row r="806" spans="2:39" x14ac:dyDescent="0.35">
      <c r="B806" s="237">
        <f t="shared" si="40"/>
        <v>786</v>
      </c>
      <c r="C806" s="49">
        <f t="shared" si="39"/>
        <v>45535</v>
      </c>
      <c r="D806" s="29">
        <f>DAY(Dati[[#This Row],[Data]])</f>
        <v>31</v>
      </c>
      <c r="E806" s="29" t="str">
        <f>IF(DAY(Data!$C$21:$C$1327)&gt;0,TEXT(Data!$C$21:$C$1327, "mmmm"),"")</f>
        <v>agosto</v>
      </c>
      <c r="F806" s="29" t="str">
        <f>IF(DAY(Data!$C$21:$C$1327)&gt;0,TEXT(Data!$C$21:$C$1327, "aaaa"),"")</f>
        <v>2024</v>
      </c>
      <c r="I806" t="str">
        <f>IF(OR(H806=$B$5,H806=$B$6,H806=$B$7,H806=$B$8,H806=$B$9,H806=$B$10,H806=$B$11,H806=$B$12,H806=$B$13,H806=$B$14),SottocategorieUscite[[#Headers],[Fuori Casa]],IF(OR(H806=$C$5,H806=$C$6,H806=$C$7,H806=$C$8,H806=$C$9,H806=$C$10,H806=$C$11,H806=$C$12,H806=$C$13,H806=$C$14),SottocategorieUscite[[#Headers],[Varie Uscite]],IF(OR(H806=$D$5,H806=$D$6,H806=$D$7,H806=$D$8,H806=$D$9,H806=$D$10,H806=$D$11,H806=$D$12,H806=$D$13,H806=$D$14),SottocategorieUscite[[#Headers],[Personali]],IF(OR(H806=$E$5,H806=$E$6,H806=$E$7,H806=$E$8,H806=$E$9,H806=$E$10,H806=$E$11,H806=$E$12,H806=$E$13,H806=$E$14),SottocategorieUscite[[#Headers],[Lavoro]],IF(OR(H806=$F$5,H806=$F$6,H806=$F$7,H806=$F$8,H806=$F$9,H806=$F$10,H806=$F$11,H806=$F$12,H806=$F$13,H806=$F$14),SottocategorieUscite[[#Headers],[Casa]],IF(OR(H806=$G$5,H806=$G$6,H806=$G$7,H806=$G$8,H806=$G$9,H806=$G$10,H806=$G$11,H806=$G$12,H806=$G$13,H806=$G$14),SottocategorieUscite[[#Headers],[Utenze]],IF(OR(H806=$H$5,H806=$H$6,H806=$H$7,H806=$H$8,H806=$H$9,H806=$H$10,H806=$H$11,H806=$H$12,H806=$H$13,H806=$H$14),SottocategorieUscite[[#Headers],[Business Uscite]],IF(OR(H806=$I$5,H806=$I$6,H806=$I$7,H806=$I$8,H806=$I$9,H806=$I$10,H806=$I$11,H806=$I$12,H806=$I$13,H806=$I$14),SottocategorieUscite[[#Headers],[Banca]],IF(OR(H806=K$5,H806=K$6,H806=K$7,H806=K$8,H806=K$9,H806=K$10,H806=K$11,H806=K$12,H806=K$13,H806=K$14),SottocategorieEntrate[[#Headers],[Business Entrate]],IF(OR(H806=L$5,H806=L$6,H806=L$7,H806=L$8,H806=L$9,H806=L$10,H806=L$11,H806=L$12,H806=L$13,H806=L$14),SottocategorieEntrate[[#Headers],[Varie Entrate]],IF(OR(H806=M$5,H806=M$6,H806=M$7,H806=M$8,H806=M$9,H806=M$10,H806=M$11,H806=M$12,H806=M$13,H806=M$14),SottocategorieEntrate[[#Headers],[Real Estate]],IF(OR(H806=N$5,H806=N$6,H806=N$7,H806=N$8,H806=N$9,H806=N$10,H806=N$11,H806=N$12,H806=N$13,H806=N$14),SottocategorieEntrate[[#Headers],[Other]],""))))))))))))</f>
        <v/>
      </c>
      <c r="J806" t="str">
        <f>IF(OR(Dati[[#This Row],[Categoria]]="Bollette",Dati[[#This Row],[Categoria]]="Conto &amp; Carte BNL",Dati[[#This Row],[Categoria]]="Prelievo",Dati[[#This Row],[Categoria]]="Affitto",Dati[[#This Row],[Categoria]]="BNL(Interessi Creditori)"),"Carta",IF(Dati[[#This Row],[Categoria]]&lt;&gt;0,"Cash",""))</f>
        <v/>
      </c>
      <c r="K806" s="59" t="str">
        <f>IF(OR(Data!$I806=SottocategorieUscite[[#Headers],[Fuori Casa]],Data!$I806=SottocategorieUscite[[#Headers],[Varie Uscite]],Data!$I806=SottocategorieUscite[[#Headers],[Personali]],Data!$I806=SottocategorieUscite[[#Headers],[Lavoro]]),"$ -","")</f>
        <v/>
      </c>
      <c r="L806" s="59" t="str">
        <f>IF(OR(Data!$I806=SottocategorieUscite[[#Headers],[Casa]],Data!$I806=SottocategorieUscite[[#Headers],[Utenze]],Data!$I806=SottocategorieUscite[[#Headers],[Business Uscite]],Data!$I806=SottocategorieUscite[[#Headers],[Banca]]),"$ -","")</f>
        <v/>
      </c>
      <c r="M806" s="59" t="str">
        <f>IF(OR($I806&lt;&gt;SottocategorieUscite[[#Headers],[Fuori Casa]],$I806&lt;&gt;SottocategorieUscite[[#Headers],[Varie Uscite]],$I806&lt;&gt;SottocategorieUscite[[#Headers],[Personali]],$I806&lt;&gt;SottocategorieUscite[[#Headers],[Lavoro]],$I806&lt;&gt;SottocategorieUscite[[#Headers],[Casa]],$I806&lt;&gt;SottocategorieUscite[[#Headers],[Utenze]],$I806&lt;&gt;SottocategorieUscite[[#Headers],[Business Uscite]],$I806&lt;&gt;SottocategorieUscite[[#Headers],[Banca]]),"","$ -")</f>
        <v/>
      </c>
      <c r="N806" s="59" t="str">
        <f>IF(OR(Data!$I806=SottocategorieEntrate[[#Headers],[Business Entrate]],Data!$I806=SottocategorieEntrate[[#Headers],[Varie Entrate]]),"$ -","")</f>
        <v/>
      </c>
      <c r="O806" s="59" t="str">
        <f>IF(OR(Data!$I806=SottocategorieEntrate[[#Headers],[Real Estate]],SottocategorieEntrate[[#Headers],[Other]]),"$ -","")</f>
        <v/>
      </c>
      <c r="P806" s="59" t="str">
        <f>IF(OR($I806&lt;&gt;SottocategorieEntrate[[#Headers],[Business Entrate]],$I806&lt;&gt;SottocategorieEntrate[[#Headers],[Varie Entrate]],$I806&lt;&gt;SottocategorieEntrate[[#Headers],[Real Estate]],$I806&lt;&gt;SottocategorieEntrate[[#Headers],[Other]]),"","$ -")</f>
        <v/>
      </c>
      <c r="Q806" s="59" t="str">
        <f>IF(Dati[[#This Row],[Categoria]]="Prelievo","€ -","")</f>
        <v/>
      </c>
      <c r="R806" s="244"/>
      <c r="S806" s="59" t="str">
        <f>IF(Dati[[#This Row],[Categoria]]="Savings",0,"")</f>
        <v/>
      </c>
      <c r="T806" s="59"/>
      <c r="U806" s="59"/>
      <c r="V806" s="59"/>
      <c r="W806" s="59"/>
      <c r="X806" s="59"/>
      <c r="Y806" s="59"/>
      <c r="Z806" s="59"/>
      <c r="AA806" s="59"/>
      <c r="AB806" s="59"/>
      <c r="AC806" s="59"/>
      <c r="AD806" s="59"/>
      <c r="AE806" s="59"/>
      <c r="AF806" s="59"/>
      <c r="AG806" s="59"/>
      <c r="AH806" s="59"/>
      <c r="AI806" s="59" t="str">
        <f>IF(SUM(Dati[[#This Row],[Inv. Business]:[Inv. Cryptocurrency]])=0," ",SUM(Dati[[#This Row],[Inv. Business]:[Inv. Cryptocurrency]]))</f>
        <v xml:space="preserve"> </v>
      </c>
      <c r="AJ806" s="59"/>
      <c r="AK806" s="59"/>
      <c r="AL806" s="59"/>
      <c r="AM806" s="59"/>
    </row>
    <row r="807" spans="2:39" x14ac:dyDescent="0.35">
      <c r="B807" s="237">
        <f t="shared" si="40"/>
        <v>787</v>
      </c>
      <c r="C807" s="49">
        <f t="shared" si="39"/>
        <v>45536</v>
      </c>
      <c r="D807" s="29">
        <f>DAY(Dati[[#This Row],[Data]])</f>
        <v>1</v>
      </c>
      <c r="E807" s="29" t="str">
        <f>IF(DAY(Data!$C$21:$C$1327)&gt;0,TEXT(Data!$C$21:$C$1327, "mmmm"),"")</f>
        <v>settembre</v>
      </c>
      <c r="F807" s="29" t="str">
        <f>IF(DAY(Data!$C$21:$C$1327)&gt;0,TEXT(Data!$C$21:$C$1327, "aaaa"),"")</f>
        <v>2024</v>
      </c>
      <c r="I807" t="str">
        <f>IF(OR(H807=$B$5,H807=$B$6,H807=$B$7,H807=$B$8,H807=$B$9,H807=$B$10,H807=$B$11,H807=$B$12,H807=$B$13,H807=$B$14),SottocategorieUscite[[#Headers],[Fuori Casa]],IF(OR(H807=$C$5,H807=$C$6,H807=$C$7,H807=$C$8,H807=$C$9,H807=$C$10,H807=$C$11,H807=$C$12,H807=$C$13,H807=$C$14),SottocategorieUscite[[#Headers],[Varie Uscite]],IF(OR(H807=$D$5,H807=$D$6,H807=$D$7,H807=$D$8,H807=$D$9,H807=$D$10,H807=$D$11,H807=$D$12,H807=$D$13,H807=$D$14),SottocategorieUscite[[#Headers],[Personali]],IF(OR(H807=$E$5,H807=$E$6,H807=$E$7,H807=$E$8,H807=$E$9,H807=$E$10,H807=$E$11,H807=$E$12,H807=$E$13,H807=$E$14),SottocategorieUscite[[#Headers],[Lavoro]],IF(OR(H807=$F$5,H807=$F$6,H807=$F$7,H807=$F$8,H807=$F$9,H807=$F$10,H807=$F$11,H807=$F$12,H807=$F$13,H807=$F$14),SottocategorieUscite[[#Headers],[Casa]],IF(OR(H807=$G$5,H807=$G$6,H807=$G$7,H807=$G$8,H807=$G$9,H807=$G$10,H807=$G$11,H807=$G$12,H807=$G$13,H807=$G$14),SottocategorieUscite[[#Headers],[Utenze]],IF(OR(H807=$H$5,H807=$H$6,H807=$H$7,H807=$H$8,H807=$H$9,H807=$H$10,H807=$H$11,H807=$H$12,H807=$H$13,H807=$H$14),SottocategorieUscite[[#Headers],[Business Uscite]],IF(OR(H807=$I$5,H807=$I$6,H807=$I$7,H807=$I$8,H807=$I$9,H807=$I$10,H807=$I$11,H807=$I$12,H807=$I$13,H807=$I$14),SottocategorieUscite[[#Headers],[Banca]],IF(OR(H807=K$5,H807=K$6,H807=K$7,H807=K$8,H807=K$9,H807=K$10,H807=K$11,H807=K$12,H807=K$13,H807=K$14),SottocategorieEntrate[[#Headers],[Business Entrate]],IF(OR(H807=L$5,H807=L$6,H807=L$7,H807=L$8,H807=L$9,H807=L$10,H807=L$11,H807=L$12,H807=L$13,H807=L$14),SottocategorieEntrate[[#Headers],[Varie Entrate]],IF(OR(H807=M$5,H807=M$6,H807=M$7,H807=M$8,H807=M$9,H807=M$10,H807=M$11,H807=M$12,H807=M$13,H807=M$14),SottocategorieEntrate[[#Headers],[Real Estate]],IF(OR(H807=N$5,H807=N$6,H807=N$7,H807=N$8,H807=N$9,H807=N$10,H807=N$11,H807=N$12,H807=N$13,H807=N$14),SottocategorieEntrate[[#Headers],[Other]],""))))))))))))</f>
        <v/>
      </c>
      <c r="J807" t="str">
        <f>IF(OR(Dati[[#This Row],[Categoria]]="Bollette",Dati[[#This Row],[Categoria]]="Conto &amp; Carte BNL",Dati[[#This Row],[Categoria]]="Prelievo",Dati[[#This Row],[Categoria]]="Affitto",Dati[[#This Row],[Categoria]]="BNL(Interessi Creditori)"),"Carta",IF(Dati[[#This Row],[Categoria]]&lt;&gt;0,"Cash",""))</f>
        <v/>
      </c>
      <c r="K807" s="59" t="str">
        <f>IF(OR(Data!$I807=SottocategorieUscite[[#Headers],[Fuori Casa]],Data!$I807=SottocategorieUscite[[#Headers],[Varie Uscite]],Data!$I807=SottocategorieUscite[[#Headers],[Personali]],Data!$I807=SottocategorieUscite[[#Headers],[Lavoro]]),"$ -","")</f>
        <v/>
      </c>
      <c r="L807" s="59" t="str">
        <f>IF(OR(Data!$I807=SottocategorieUscite[[#Headers],[Casa]],Data!$I807=SottocategorieUscite[[#Headers],[Utenze]],Data!$I807=SottocategorieUscite[[#Headers],[Business Uscite]],Data!$I807=SottocategorieUscite[[#Headers],[Banca]]),"$ -","")</f>
        <v/>
      </c>
      <c r="M807" s="59" t="str">
        <f>IF(OR($I807&lt;&gt;SottocategorieUscite[[#Headers],[Fuori Casa]],$I807&lt;&gt;SottocategorieUscite[[#Headers],[Varie Uscite]],$I807&lt;&gt;SottocategorieUscite[[#Headers],[Personali]],$I807&lt;&gt;SottocategorieUscite[[#Headers],[Lavoro]],$I807&lt;&gt;SottocategorieUscite[[#Headers],[Casa]],$I807&lt;&gt;SottocategorieUscite[[#Headers],[Utenze]],$I807&lt;&gt;SottocategorieUscite[[#Headers],[Business Uscite]],$I807&lt;&gt;SottocategorieUscite[[#Headers],[Banca]]),"","$ -")</f>
        <v/>
      </c>
      <c r="N807" s="59" t="str">
        <f>IF(OR(Data!$I807=SottocategorieEntrate[[#Headers],[Business Entrate]],Data!$I807=SottocategorieEntrate[[#Headers],[Varie Entrate]]),"$ -","")</f>
        <v/>
      </c>
      <c r="O807" s="59" t="str">
        <f>IF(OR(Data!$I807=SottocategorieEntrate[[#Headers],[Real Estate]],SottocategorieEntrate[[#Headers],[Other]]),"$ -","")</f>
        <v/>
      </c>
      <c r="P807" s="59" t="str">
        <f>IF(OR($I807&lt;&gt;SottocategorieEntrate[[#Headers],[Business Entrate]],$I807&lt;&gt;SottocategorieEntrate[[#Headers],[Varie Entrate]],$I807&lt;&gt;SottocategorieEntrate[[#Headers],[Real Estate]],$I807&lt;&gt;SottocategorieEntrate[[#Headers],[Other]]),"","$ -")</f>
        <v/>
      </c>
      <c r="Q807" s="59" t="str">
        <f>IF(Dati[[#This Row],[Categoria]]="Prelievo","€ -","")</f>
        <v/>
      </c>
      <c r="R807" s="244"/>
      <c r="S807" s="59" t="str">
        <f>IF(Dati[[#This Row],[Categoria]]="Savings",0,"")</f>
        <v/>
      </c>
      <c r="T807" s="59"/>
      <c r="U807" s="59"/>
      <c r="V807" s="59"/>
      <c r="W807" s="59"/>
      <c r="X807" s="59"/>
      <c r="Y807" s="59"/>
      <c r="Z807" s="59"/>
      <c r="AA807" s="59"/>
      <c r="AB807" s="59"/>
      <c r="AC807" s="59"/>
      <c r="AD807" s="59"/>
      <c r="AE807" s="59"/>
      <c r="AF807" s="59"/>
      <c r="AG807" s="59"/>
      <c r="AH807" s="59"/>
      <c r="AI807" s="59" t="str">
        <f>IF(SUM(Dati[[#This Row],[Inv. Business]:[Inv. Cryptocurrency]])=0," ",SUM(Dati[[#This Row],[Inv. Business]:[Inv. Cryptocurrency]]))</f>
        <v xml:space="preserve"> </v>
      </c>
      <c r="AJ807" s="59"/>
      <c r="AK807" s="59"/>
      <c r="AL807" s="59"/>
      <c r="AM807" s="59"/>
    </row>
    <row r="808" spans="2:39" x14ac:dyDescent="0.35">
      <c r="B808" s="237">
        <f t="shared" si="40"/>
        <v>788</v>
      </c>
      <c r="C808" s="49">
        <f t="shared" si="39"/>
        <v>45537</v>
      </c>
      <c r="D808" s="29">
        <f>DAY(Dati[[#This Row],[Data]])</f>
        <v>2</v>
      </c>
      <c r="E808" s="29" t="str">
        <f>IF(DAY(Data!$C$21:$C$1327)&gt;0,TEXT(Data!$C$21:$C$1327, "mmmm"),"")</f>
        <v>settembre</v>
      </c>
      <c r="F808" s="29" t="str">
        <f>IF(DAY(Data!$C$21:$C$1327)&gt;0,TEXT(Data!$C$21:$C$1327, "aaaa"),"")</f>
        <v>2024</v>
      </c>
      <c r="I808" t="str">
        <f>IF(OR(H808=$B$5,H808=$B$6,H808=$B$7,H808=$B$8,H808=$B$9,H808=$B$10,H808=$B$11,H808=$B$12,H808=$B$13,H808=$B$14),SottocategorieUscite[[#Headers],[Fuori Casa]],IF(OR(H808=$C$5,H808=$C$6,H808=$C$7,H808=$C$8,H808=$C$9,H808=$C$10,H808=$C$11,H808=$C$12,H808=$C$13,H808=$C$14),SottocategorieUscite[[#Headers],[Varie Uscite]],IF(OR(H808=$D$5,H808=$D$6,H808=$D$7,H808=$D$8,H808=$D$9,H808=$D$10,H808=$D$11,H808=$D$12,H808=$D$13,H808=$D$14),SottocategorieUscite[[#Headers],[Personali]],IF(OR(H808=$E$5,H808=$E$6,H808=$E$7,H808=$E$8,H808=$E$9,H808=$E$10,H808=$E$11,H808=$E$12,H808=$E$13,H808=$E$14),SottocategorieUscite[[#Headers],[Lavoro]],IF(OR(H808=$F$5,H808=$F$6,H808=$F$7,H808=$F$8,H808=$F$9,H808=$F$10,H808=$F$11,H808=$F$12,H808=$F$13,H808=$F$14),SottocategorieUscite[[#Headers],[Casa]],IF(OR(H808=$G$5,H808=$G$6,H808=$G$7,H808=$G$8,H808=$G$9,H808=$G$10,H808=$G$11,H808=$G$12,H808=$G$13,H808=$G$14),SottocategorieUscite[[#Headers],[Utenze]],IF(OR(H808=$H$5,H808=$H$6,H808=$H$7,H808=$H$8,H808=$H$9,H808=$H$10,H808=$H$11,H808=$H$12,H808=$H$13,H808=$H$14),SottocategorieUscite[[#Headers],[Business Uscite]],IF(OR(H808=$I$5,H808=$I$6,H808=$I$7,H808=$I$8,H808=$I$9,H808=$I$10,H808=$I$11,H808=$I$12,H808=$I$13,H808=$I$14),SottocategorieUscite[[#Headers],[Banca]],IF(OR(H808=K$5,H808=K$6,H808=K$7,H808=K$8,H808=K$9,H808=K$10,H808=K$11,H808=K$12,H808=K$13,H808=K$14),SottocategorieEntrate[[#Headers],[Business Entrate]],IF(OR(H808=L$5,H808=L$6,H808=L$7,H808=L$8,H808=L$9,H808=L$10,H808=L$11,H808=L$12,H808=L$13,H808=L$14),SottocategorieEntrate[[#Headers],[Varie Entrate]],IF(OR(H808=M$5,H808=M$6,H808=M$7,H808=M$8,H808=M$9,H808=M$10,H808=M$11,H808=M$12,H808=M$13,H808=M$14),SottocategorieEntrate[[#Headers],[Real Estate]],IF(OR(H808=N$5,H808=N$6,H808=N$7,H808=N$8,H808=N$9,H808=N$10,H808=N$11,H808=N$12,H808=N$13,H808=N$14),SottocategorieEntrate[[#Headers],[Other]],""))))))))))))</f>
        <v/>
      </c>
      <c r="J808" t="str">
        <f>IF(OR(Dati[[#This Row],[Categoria]]="Bollette",Dati[[#This Row],[Categoria]]="Conto &amp; Carte BNL",Dati[[#This Row],[Categoria]]="Prelievo",Dati[[#This Row],[Categoria]]="Affitto",Dati[[#This Row],[Categoria]]="BNL(Interessi Creditori)"),"Carta",IF(Dati[[#This Row],[Categoria]]&lt;&gt;0,"Cash",""))</f>
        <v/>
      </c>
      <c r="K808" s="59" t="str">
        <f>IF(OR(Data!$I808=SottocategorieUscite[[#Headers],[Fuori Casa]],Data!$I808=SottocategorieUscite[[#Headers],[Varie Uscite]],Data!$I808=SottocategorieUscite[[#Headers],[Personali]],Data!$I808=SottocategorieUscite[[#Headers],[Lavoro]]),"$ -","")</f>
        <v/>
      </c>
      <c r="L808" s="59" t="str">
        <f>IF(OR(Data!$I808=SottocategorieUscite[[#Headers],[Casa]],Data!$I808=SottocategorieUscite[[#Headers],[Utenze]],Data!$I808=SottocategorieUscite[[#Headers],[Business Uscite]],Data!$I808=SottocategorieUscite[[#Headers],[Banca]]),"$ -","")</f>
        <v/>
      </c>
      <c r="M808" s="59" t="str">
        <f>IF(OR($I808&lt;&gt;SottocategorieUscite[[#Headers],[Fuori Casa]],$I808&lt;&gt;SottocategorieUscite[[#Headers],[Varie Uscite]],$I808&lt;&gt;SottocategorieUscite[[#Headers],[Personali]],$I808&lt;&gt;SottocategorieUscite[[#Headers],[Lavoro]],$I808&lt;&gt;SottocategorieUscite[[#Headers],[Casa]],$I808&lt;&gt;SottocategorieUscite[[#Headers],[Utenze]],$I808&lt;&gt;SottocategorieUscite[[#Headers],[Business Uscite]],$I808&lt;&gt;SottocategorieUscite[[#Headers],[Banca]]),"","$ -")</f>
        <v/>
      </c>
      <c r="N808" s="59" t="str">
        <f>IF(OR(Data!$I808=SottocategorieEntrate[[#Headers],[Business Entrate]],Data!$I808=SottocategorieEntrate[[#Headers],[Varie Entrate]]),"$ -","")</f>
        <v/>
      </c>
      <c r="O808" s="59" t="str">
        <f>IF(OR(Data!$I808=SottocategorieEntrate[[#Headers],[Real Estate]],SottocategorieEntrate[[#Headers],[Other]]),"$ -","")</f>
        <v/>
      </c>
      <c r="P808" s="59" t="str">
        <f>IF(OR($I808&lt;&gt;SottocategorieEntrate[[#Headers],[Business Entrate]],$I808&lt;&gt;SottocategorieEntrate[[#Headers],[Varie Entrate]],$I808&lt;&gt;SottocategorieEntrate[[#Headers],[Real Estate]],$I808&lt;&gt;SottocategorieEntrate[[#Headers],[Other]]),"","$ -")</f>
        <v/>
      </c>
      <c r="Q808" s="59" t="str">
        <f>IF(Dati[[#This Row],[Categoria]]="Prelievo","€ -","")</f>
        <v/>
      </c>
      <c r="R808" s="244"/>
      <c r="S808" s="59" t="str">
        <f>IF(Dati[[#This Row],[Categoria]]="Savings",0,"")</f>
        <v/>
      </c>
      <c r="T808" s="59"/>
      <c r="U808" s="59"/>
      <c r="V808" s="59"/>
      <c r="W808" s="59"/>
      <c r="X808" s="59"/>
      <c r="Y808" s="59"/>
      <c r="Z808" s="59"/>
      <c r="AA808" s="59"/>
      <c r="AB808" s="59"/>
      <c r="AC808" s="59"/>
      <c r="AD808" s="59"/>
      <c r="AE808" s="59"/>
      <c r="AF808" s="59"/>
      <c r="AG808" s="59"/>
      <c r="AH808" s="59"/>
      <c r="AI808" s="59" t="str">
        <f>IF(SUM(Dati[[#This Row],[Inv. Business]:[Inv. Cryptocurrency]])=0," ",SUM(Dati[[#This Row],[Inv. Business]:[Inv. Cryptocurrency]]))</f>
        <v xml:space="preserve"> </v>
      </c>
      <c r="AJ808" s="59"/>
      <c r="AK808" s="59"/>
      <c r="AL808" s="59"/>
      <c r="AM808" s="59"/>
    </row>
    <row r="809" spans="2:39" x14ac:dyDescent="0.35">
      <c r="B809" s="237">
        <f t="shared" si="40"/>
        <v>789</v>
      </c>
      <c r="C809" s="49">
        <f t="shared" si="39"/>
        <v>45538</v>
      </c>
      <c r="D809" s="29">
        <f>DAY(Dati[[#This Row],[Data]])</f>
        <v>3</v>
      </c>
      <c r="E809" s="29" t="str">
        <f>IF(DAY(Data!$C$21:$C$1327)&gt;0,TEXT(Data!$C$21:$C$1327, "mmmm"),"")</f>
        <v>settembre</v>
      </c>
      <c r="F809" s="29" t="str">
        <f>IF(DAY(Data!$C$21:$C$1327)&gt;0,TEXT(Data!$C$21:$C$1327, "aaaa"),"")</f>
        <v>2024</v>
      </c>
      <c r="I809" t="str">
        <f>IF(OR(H809=$B$5,H809=$B$6,H809=$B$7,H809=$B$8,H809=$B$9,H809=$B$10,H809=$B$11,H809=$B$12,H809=$B$13,H809=$B$14),SottocategorieUscite[[#Headers],[Fuori Casa]],IF(OR(H809=$C$5,H809=$C$6,H809=$C$7,H809=$C$8,H809=$C$9,H809=$C$10,H809=$C$11,H809=$C$12,H809=$C$13,H809=$C$14),SottocategorieUscite[[#Headers],[Varie Uscite]],IF(OR(H809=$D$5,H809=$D$6,H809=$D$7,H809=$D$8,H809=$D$9,H809=$D$10,H809=$D$11,H809=$D$12,H809=$D$13,H809=$D$14),SottocategorieUscite[[#Headers],[Personali]],IF(OR(H809=$E$5,H809=$E$6,H809=$E$7,H809=$E$8,H809=$E$9,H809=$E$10,H809=$E$11,H809=$E$12,H809=$E$13,H809=$E$14),SottocategorieUscite[[#Headers],[Lavoro]],IF(OR(H809=$F$5,H809=$F$6,H809=$F$7,H809=$F$8,H809=$F$9,H809=$F$10,H809=$F$11,H809=$F$12,H809=$F$13,H809=$F$14),SottocategorieUscite[[#Headers],[Casa]],IF(OR(H809=$G$5,H809=$G$6,H809=$G$7,H809=$G$8,H809=$G$9,H809=$G$10,H809=$G$11,H809=$G$12,H809=$G$13,H809=$G$14),SottocategorieUscite[[#Headers],[Utenze]],IF(OR(H809=$H$5,H809=$H$6,H809=$H$7,H809=$H$8,H809=$H$9,H809=$H$10,H809=$H$11,H809=$H$12,H809=$H$13,H809=$H$14),SottocategorieUscite[[#Headers],[Business Uscite]],IF(OR(H809=$I$5,H809=$I$6,H809=$I$7,H809=$I$8,H809=$I$9,H809=$I$10,H809=$I$11,H809=$I$12,H809=$I$13,H809=$I$14),SottocategorieUscite[[#Headers],[Banca]],IF(OR(H809=K$5,H809=K$6,H809=K$7,H809=K$8,H809=K$9,H809=K$10,H809=K$11,H809=K$12,H809=K$13,H809=K$14),SottocategorieEntrate[[#Headers],[Business Entrate]],IF(OR(H809=L$5,H809=L$6,H809=L$7,H809=L$8,H809=L$9,H809=L$10,H809=L$11,H809=L$12,H809=L$13,H809=L$14),SottocategorieEntrate[[#Headers],[Varie Entrate]],IF(OR(H809=M$5,H809=M$6,H809=M$7,H809=M$8,H809=M$9,H809=M$10,H809=M$11,H809=M$12,H809=M$13,H809=M$14),SottocategorieEntrate[[#Headers],[Real Estate]],IF(OR(H809=N$5,H809=N$6,H809=N$7,H809=N$8,H809=N$9,H809=N$10,H809=N$11,H809=N$12,H809=N$13,H809=N$14),SottocategorieEntrate[[#Headers],[Other]],""))))))))))))</f>
        <v/>
      </c>
      <c r="J809" t="str">
        <f>IF(OR(Dati[[#This Row],[Categoria]]="Bollette",Dati[[#This Row],[Categoria]]="Conto &amp; Carte BNL",Dati[[#This Row],[Categoria]]="Prelievo",Dati[[#This Row],[Categoria]]="Affitto",Dati[[#This Row],[Categoria]]="BNL(Interessi Creditori)"),"Carta",IF(Dati[[#This Row],[Categoria]]&lt;&gt;0,"Cash",""))</f>
        <v/>
      </c>
      <c r="K809" s="59" t="str">
        <f>IF(OR(Data!$I809=SottocategorieUscite[[#Headers],[Fuori Casa]],Data!$I809=SottocategorieUscite[[#Headers],[Varie Uscite]],Data!$I809=SottocategorieUscite[[#Headers],[Personali]],Data!$I809=SottocategorieUscite[[#Headers],[Lavoro]]),"$ -","")</f>
        <v/>
      </c>
      <c r="L809" s="59" t="str">
        <f>IF(OR(Data!$I809=SottocategorieUscite[[#Headers],[Casa]],Data!$I809=SottocategorieUscite[[#Headers],[Utenze]],Data!$I809=SottocategorieUscite[[#Headers],[Business Uscite]],Data!$I809=SottocategorieUscite[[#Headers],[Banca]]),"$ -","")</f>
        <v/>
      </c>
      <c r="M809" s="59" t="str">
        <f>IF(OR($I809&lt;&gt;SottocategorieUscite[[#Headers],[Fuori Casa]],$I809&lt;&gt;SottocategorieUscite[[#Headers],[Varie Uscite]],$I809&lt;&gt;SottocategorieUscite[[#Headers],[Personali]],$I809&lt;&gt;SottocategorieUscite[[#Headers],[Lavoro]],$I809&lt;&gt;SottocategorieUscite[[#Headers],[Casa]],$I809&lt;&gt;SottocategorieUscite[[#Headers],[Utenze]],$I809&lt;&gt;SottocategorieUscite[[#Headers],[Business Uscite]],$I809&lt;&gt;SottocategorieUscite[[#Headers],[Banca]]),"","$ -")</f>
        <v/>
      </c>
      <c r="N809" s="59" t="str">
        <f>IF(OR(Data!$I809=SottocategorieEntrate[[#Headers],[Business Entrate]],Data!$I809=SottocategorieEntrate[[#Headers],[Varie Entrate]]),"$ -","")</f>
        <v/>
      </c>
      <c r="O809" s="59" t="str">
        <f>IF(OR(Data!$I809=SottocategorieEntrate[[#Headers],[Real Estate]],SottocategorieEntrate[[#Headers],[Other]]),"$ -","")</f>
        <v/>
      </c>
      <c r="P809" s="59" t="str">
        <f>IF(OR($I809&lt;&gt;SottocategorieEntrate[[#Headers],[Business Entrate]],$I809&lt;&gt;SottocategorieEntrate[[#Headers],[Varie Entrate]],$I809&lt;&gt;SottocategorieEntrate[[#Headers],[Real Estate]],$I809&lt;&gt;SottocategorieEntrate[[#Headers],[Other]]),"","$ -")</f>
        <v/>
      </c>
      <c r="Q809" s="59" t="str">
        <f>IF(Dati[[#This Row],[Categoria]]="Prelievo","€ -","")</f>
        <v/>
      </c>
      <c r="R809" s="244"/>
      <c r="S809" s="59" t="str">
        <f>IF(Dati[[#This Row],[Categoria]]="Savings",0,"")</f>
        <v/>
      </c>
      <c r="T809" s="59"/>
      <c r="U809" s="59"/>
      <c r="V809" s="59"/>
      <c r="W809" s="59"/>
      <c r="X809" s="59"/>
      <c r="Y809" s="59"/>
      <c r="Z809" s="59"/>
      <c r="AA809" s="59"/>
      <c r="AB809" s="59"/>
      <c r="AC809" s="59"/>
      <c r="AD809" s="59"/>
      <c r="AE809" s="59"/>
      <c r="AF809" s="59"/>
      <c r="AG809" s="59"/>
      <c r="AH809" s="59"/>
      <c r="AI809" s="59" t="str">
        <f>IF(SUM(Dati[[#This Row],[Inv. Business]:[Inv. Cryptocurrency]])=0," ",SUM(Dati[[#This Row],[Inv. Business]:[Inv. Cryptocurrency]]))</f>
        <v xml:space="preserve"> </v>
      </c>
      <c r="AJ809" s="59"/>
      <c r="AK809" s="59"/>
      <c r="AL809" s="59"/>
      <c r="AM809" s="59"/>
    </row>
    <row r="810" spans="2:39" x14ac:dyDescent="0.35">
      <c r="B810" s="237">
        <f t="shared" si="40"/>
        <v>790</v>
      </c>
      <c r="C810" s="49">
        <f t="shared" si="39"/>
        <v>45539</v>
      </c>
      <c r="D810" s="29">
        <f>DAY(Dati[[#This Row],[Data]])</f>
        <v>4</v>
      </c>
      <c r="E810" s="29" t="str">
        <f>IF(DAY(Data!$C$21:$C$1327)&gt;0,TEXT(Data!$C$21:$C$1327, "mmmm"),"")</f>
        <v>settembre</v>
      </c>
      <c r="F810" s="29" t="str">
        <f>IF(DAY(Data!$C$21:$C$1327)&gt;0,TEXT(Data!$C$21:$C$1327, "aaaa"),"")</f>
        <v>2024</v>
      </c>
      <c r="I810" t="str">
        <f>IF(OR(H810=$B$5,H810=$B$6,H810=$B$7,H810=$B$8,H810=$B$9,H810=$B$10,H810=$B$11,H810=$B$12,H810=$B$13,H810=$B$14),SottocategorieUscite[[#Headers],[Fuori Casa]],IF(OR(H810=$C$5,H810=$C$6,H810=$C$7,H810=$C$8,H810=$C$9,H810=$C$10,H810=$C$11,H810=$C$12,H810=$C$13,H810=$C$14),SottocategorieUscite[[#Headers],[Varie Uscite]],IF(OR(H810=$D$5,H810=$D$6,H810=$D$7,H810=$D$8,H810=$D$9,H810=$D$10,H810=$D$11,H810=$D$12,H810=$D$13,H810=$D$14),SottocategorieUscite[[#Headers],[Personali]],IF(OR(H810=$E$5,H810=$E$6,H810=$E$7,H810=$E$8,H810=$E$9,H810=$E$10,H810=$E$11,H810=$E$12,H810=$E$13,H810=$E$14),SottocategorieUscite[[#Headers],[Lavoro]],IF(OR(H810=$F$5,H810=$F$6,H810=$F$7,H810=$F$8,H810=$F$9,H810=$F$10,H810=$F$11,H810=$F$12,H810=$F$13,H810=$F$14),SottocategorieUscite[[#Headers],[Casa]],IF(OR(H810=$G$5,H810=$G$6,H810=$G$7,H810=$G$8,H810=$G$9,H810=$G$10,H810=$G$11,H810=$G$12,H810=$G$13,H810=$G$14),SottocategorieUscite[[#Headers],[Utenze]],IF(OR(H810=$H$5,H810=$H$6,H810=$H$7,H810=$H$8,H810=$H$9,H810=$H$10,H810=$H$11,H810=$H$12,H810=$H$13,H810=$H$14),SottocategorieUscite[[#Headers],[Business Uscite]],IF(OR(H810=$I$5,H810=$I$6,H810=$I$7,H810=$I$8,H810=$I$9,H810=$I$10,H810=$I$11,H810=$I$12,H810=$I$13,H810=$I$14),SottocategorieUscite[[#Headers],[Banca]],IF(OR(H810=K$5,H810=K$6,H810=K$7,H810=K$8,H810=K$9,H810=K$10,H810=K$11,H810=K$12,H810=K$13,H810=K$14),SottocategorieEntrate[[#Headers],[Business Entrate]],IF(OR(H810=L$5,H810=L$6,H810=L$7,H810=L$8,H810=L$9,H810=L$10,H810=L$11,H810=L$12,H810=L$13,H810=L$14),SottocategorieEntrate[[#Headers],[Varie Entrate]],IF(OR(H810=M$5,H810=M$6,H810=M$7,H810=M$8,H810=M$9,H810=M$10,H810=M$11,H810=M$12,H810=M$13,H810=M$14),SottocategorieEntrate[[#Headers],[Real Estate]],IF(OR(H810=N$5,H810=N$6,H810=N$7,H810=N$8,H810=N$9,H810=N$10,H810=N$11,H810=N$12,H810=N$13,H810=N$14),SottocategorieEntrate[[#Headers],[Other]],""))))))))))))</f>
        <v/>
      </c>
      <c r="J810" t="str">
        <f>IF(OR(Dati[[#This Row],[Categoria]]="Bollette",Dati[[#This Row],[Categoria]]="Conto &amp; Carte BNL",Dati[[#This Row],[Categoria]]="Prelievo",Dati[[#This Row],[Categoria]]="Affitto",Dati[[#This Row],[Categoria]]="BNL(Interessi Creditori)"),"Carta",IF(Dati[[#This Row],[Categoria]]&lt;&gt;0,"Cash",""))</f>
        <v/>
      </c>
      <c r="K810" s="59" t="str">
        <f>IF(OR(Data!$I810=SottocategorieUscite[[#Headers],[Fuori Casa]],Data!$I810=SottocategorieUscite[[#Headers],[Varie Uscite]],Data!$I810=SottocategorieUscite[[#Headers],[Personali]],Data!$I810=SottocategorieUscite[[#Headers],[Lavoro]]),"$ -","")</f>
        <v/>
      </c>
      <c r="L810" s="59" t="str">
        <f>IF(OR(Data!$I810=SottocategorieUscite[[#Headers],[Casa]],Data!$I810=SottocategorieUscite[[#Headers],[Utenze]],Data!$I810=SottocategorieUscite[[#Headers],[Business Uscite]],Data!$I810=SottocategorieUscite[[#Headers],[Banca]]),"$ -","")</f>
        <v/>
      </c>
      <c r="M810" s="59" t="str">
        <f>IF(OR($I810&lt;&gt;SottocategorieUscite[[#Headers],[Fuori Casa]],$I810&lt;&gt;SottocategorieUscite[[#Headers],[Varie Uscite]],$I810&lt;&gt;SottocategorieUscite[[#Headers],[Personali]],$I810&lt;&gt;SottocategorieUscite[[#Headers],[Lavoro]],$I810&lt;&gt;SottocategorieUscite[[#Headers],[Casa]],$I810&lt;&gt;SottocategorieUscite[[#Headers],[Utenze]],$I810&lt;&gt;SottocategorieUscite[[#Headers],[Business Uscite]],$I810&lt;&gt;SottocategorieUscite[[#Headers],[Banca]]),"","$ -")</f>
        <v/>
      </c>
      <c r="N810" s="59" t="str">
        <f>IF(OR(Data!$I810=SottocategorieEntrate[[#Headers],[Business Entrate]],Data!$I810=SottocategorieEntrate[[#Headers],[Varie Entrate]]),"$ -","")</f>
        <v/>
      </c>
      <c r="O810" s="59" t="str">
        <f>IF(OR(Data!$I810=SottocategorieEntrate[[#Headers],[Real Estate]],SottocategorieEntrate[[#Headers],[Other]]),"$ -","")</f>
        <v/>
      </c>
      <c r="P810" s="59" t="str">
        <f>IF(OR($I810&lt;&gt;SottocategorieEntrate[[#Headers],[Business Entrate]],$I810&lt;&gt;SottocategorieEntrate[[#Headers],[Varie Entrate]],$I810&lt;&gt;SottocategorieEntrate[[#Headers],[Real Estate]],$I810&lt;&gt;SottocategorieEntrate[[#Headers],[Other]]),"","$ -")</f>
        <v/>
      </c>
      <c r="Q810" s="59" t="str">
        <f>IF(Dati[[#This Row],[Categoria]]="Prelievo","€ -","")</f>
        <v/>
      </c>
      <c r="R810" s="244"/>
      <c r="S810" s="59" t="str">
        <f>IF(Dati[[#This Row],[Categoria]]="Savings",0,"")</f>
        <v/>
      </c>
      <c r="T810" s="59"/>
      <c r="U810" s="59"/>
      <c r="V810" s="59"/>
      <c r="W810" s="59"/>
      <c r="X810" s="59"/>
      <c r="Y810" s="59"/>
      <c r="Z810" s="59"/>
      <c r="AA810" s="59"/>
      <c r="AB810" s="59"/>
      <c r="AC810" s="59"/>
      <c r="AD810" s="59"/>
      <c r="AE810" s="59"/>
      <c r="AF810" s="59"/>
      <c r="AG810" s="59"/>
      <c r="AH810" s="59"/>
      <c r="AI810" s="59" t="str">
        <f>IF(SUM(Dati[[#This Row],[Inv. Business]:[Inv. Cryptocurrency]])=0," ",SUM(Dati[[#This Row],[Inv. Business]:[Inv. Cryptocurrency]]))</f>
        <v xml:space="preserve"> </v>
      </c>
      <c r="AJ810" s="59"/>
      <c r="AK810" s="59"/>
      <c r="AL810" s="59"/>
      <c r="AM810" s="59"/>
    </row>
    <row r="811" spans="2:39" x14ac:dyDescent="0.35">
      <c r="B811" s="237">
        <f t="shared" si="40"/>
        <v>791</v>
      </c>
      <c r="C811" s="49">
        <f t="shared" si="39"/>
        <v>45540</v>
      </c>
      <c r="D811" s="29">
        <f>DAY(Dati[[#This Row],[Data]])</f>
        <v>5</v>
      </c>
      <c r="E811" s="29" t="str">
        <f>IF(DAY(Data!$C$21:$C$1327)&gt;0,TEXT(Data!$C$21:$C$1327, "mmmm"),"")</f>
        <v>settembre</v>
      </c>
      <c r="F811" s="29" t="str">
        <f>IF(DAY(Data!$C$21:$C$1327)&gt;0,TEXT(Data!$C$21:$C$1327, "aaaa"),"")</f>
        <v>2024</v>
      </c>
      <c r="I811" t="str">
        <f>IF(OR(H811=$B$5,H811=$B$6,H811=$B$7,H811=$B$8,H811=$B$9,H811=$B$10,H811=$B$11,H811=$B$12,H811=$B$13,H811=$B$14),SottocategorieUscite[[#Headers],[Fuori Casa]],IF(OR(H811=$C$5,H811=$C$6,H811=$C$7,H811=$C$8,H811=$C$9,H811=$C$10,H811=$C$11,H811=$C$12,H811=$C$13,H811=$C$14),SottocategorieUscite[[#Headers],[Varie Uscite]],IF(OR(H811=$D$5,H811=$D$6,H811=$D$7,H811=$D$8,H811=$D$9,H811=$D$10,H811=$D$11,H811=$D$12,H811=$D$13,H811=$D$14),SottocategorieUscite[[#Headers],[Personali]],IF(OR(H811=$E$5,H811=$E$6,H811=$E$7,H811=$E$8,H811=$E$9,H811=$E$10,H811=$E$11,H811=$E$12,H811=$E$13,H811=$E$14),SottocategorieUscite[[#Headers],[Lavoro]],IF(OR(H811=$F$5,H811=$F$6,H811=$F$7,H811=$F$8,H811=$F$9,H811=$F$10,H811=$F$11,H811=$F$12,H811=$F$13,H811=$F$14),SottocategorieUscite[[#Headers],[Casa]],IF(OR(H811=$G$5,H811=$G$6,H811=$G$7,H811=$G$8,H811=$G$9,H811=$G$10,H811=$G$11,H811=$G$12,H811=$G$13,H811=$G$14),SottocategorieUscite[[#Headers],[Utenze]],IF(OR(H811=$H$5,H811=$H$6,H811=$H$7,H811=$H$8,H811=$H$9,H811=$H$10,H811=$H$11,H811=$H$12,H811=$H$13,H811=$H$14),SottocategorieUscite[[#Headers],[Business Uscite]],IF(OR(H811=$I$5,H811=$I$6,H811=$I$7,H811=$I$8,H811=$I$9,H811=$I$10,H811=$I$11,H811=$I$12,H811=$I$13,H811=$I$14),SottocategorieUscite[[#Headers],[Banca]],IF(OR(H811=K$5,H811=K$6,H811=K$7,H811=K$8,H811=K$9,H811=K$10,H811=K$11,H811=K$12,H811=K$13,H811=K$14),SottocategorieEntrate[[#Headers],[Business Entrate]],IF(OR(H811=L$5,H811=L$6,H811=L$7,H811=L$8,H811=L$9,H811=L$10,H811=L$11,H811=L$12,H811=L$13,H811=L$14),SottocategorieEntrate[[#Headers],[Varie Entrate]],IF(OR(H811=M$5,H811=M$6,H811=M$7,H811=M$8,H811=M$9,H811=M$10,H811=M$11,H811=M$12,H811=M$13,H811=M$14),SottocategorieEntrate[[#Headers],[Real Estate]],IF(OR(H811=N$5,H811=N$6,H811=N$7,H811=N$8,H811=N$9,H811=N$10,H811=N$11,H811=N$12,H811=N$13,H811=N$14),SottocategorieEntrate[[#Headers],[Other]],""))))))))))))</f>
        <v/>
      </c>
      <c r="J811" t="str">
        <f>IF(OR(Dati[[#This Row],[Categoria]]="Bollette",Dati[[#This Row],[Categoria]]="Conto &amp; Carte BNL",Dati[[#This Row],[Categoria]]="Prelievo",Dati[[#This Row],[Categoria]]="Affitto",Dati[[#This Row],[Categoria]]="BNL(Interessi Creditori)"),"Carta",IF(Dati[[#This Row],[Categoria]]&lt;&gt;0,"Cash",""))</f>
        <v/>
      </c>
      <c r="K811" s="59" t="str">
        <f>IF(OR(Data!$I811=SottocategorieUscite[[#Headers],[Fuori Casa]],Data!$I811=SottocategorieUscite[[#Headers],[Varie Uscite]],Data!$I811=SottocategorieUscite[[#Headers],[Personali]],Data!$I811=SottocategorieUscite[[#Headers],[Lavoro]]),"$ -","")</f>
        <v/>
      </c>
      <c r="L811" s="59" t="str">
        <f>IF(OR(Data!$I811=SottocategorieUscite[[#Headers],[Casa]],Data!$I811=SottocategorieUscite[[#Headers],[Utenze]],Data!$I811=SottocategorieUscite[[#Headers],[Business Uscite]],Data!$I811=SottocategorieUscite[[#Headers],[Banca]]),"$ -","")</f>
        <v/>
      </c>
      <c r="M811" s="59" t="str">
        <f>IF(OR($I811&lt;&gt;SottocategorieUscite[[#Headers],[Fuori Casa]],$I811&lt;&gt;SottocategorieUscite[[#Headers],[Varie Uscite]],$I811&lt;&gt;SottocategorieUscite[[#Headers],[Personali]],$I811&lt;&gt;SottocategorieUscite[[#Headers],[Lavoro]],$I811&lt;&gt;SottocategorieUscite[[#Headers],[Casa]],$I811&lt;&gt;SottocategorieUscite[[#Headers],[Utenze]],$I811&lt;&gt;SottocategorieUscite[[#Headers],[Business Uscite]],$I811&lt;&gt;SottocategorieUscite[[#Headers],[Banca]]),"","$ -")</f>
        <v/>
      </c>
      <c r="N811" s="59" t="str">
        <f>IF(OR(Data!$I811=SottocategorieEntrate[[#Headers],[Business Entrate]],Data!$I811=SottocategorieEntrate[[#Headers],[Varie Entrate]]),"$ -","")</f>
        <v/>
      </c>
      <c r="O811" s="59" t="str">
        <f>IF(OR(Data!$I811=SottocategorieEntrate[[#Headers],[Real Estate]],SottocategorieEntrate[[#Headers],[Other]]),"$ -","")</f>
        <v/>
      </c>
      <c r="P811" s="59" t="str">
        <f>IF(OR($I811&lt;&gt;SottocategorieEntrate[[#Headers],[Business Entrate]],$I811&lt;&gt;SottocategorieEntrate[[#Headers],[Varie Entrate]],$I811&lt;&gt;SottocategorieEntrate[[#Headers],[Real Estate]],$I811&lt;&gt;SottocategorieEntrate[[#Headers],[Other]]),"","$ -")</f>
        <v/>
      </c>
      <c r="Q811" s="59" t="str">
        <f>IF(Dati[[#This Row],[Categoria]]="Prelievo","€ -","")</f>
        <v/>
      </c>
      <c r="R811" s="244"/>
      <c r="S811" s="59" t="str">
        <f>IF(Dati[[#This Row],[Categoria]]="Savings",0,"")</f>
        <v/>
      </c>
      <c r="T811" s="59"/>
      <c r="U811" s="59"/>
      <c r="V811" s="59"/>
      <c r="W811" s="59"/>
      <c r="X811" s="59"/>
      <c r="Y811" s="59"/>
      <c r="Z811" s="59"/>
      <c r="AA811" s="59"/>
      <c r="AB811" s="59"/>
      <c r="AC811" s="59"/>
      <c r="AD811" s="59"/>
      <c r="AE811" s="59"/>
      <c r="AF811" s="59"/>
      <c r="AG811" s="59"/>
      <c r="AH811" s="59"/>
      <c r="AI811" s="59" t="str">
        <f>IF(SUM(Dati[[#This Row],[Inv. Business]:[Inv. Cryptocurrency]])=0," ",SUM(Dati[[#This Row],[Inv. Business]:[Inv. Cryptocurrency]]))</f>
        <v xml:space="preserve"> </v>
      </c>
      <c r="AJ811" s="59"/>
      <c r="AK811" s="59"/>
      <c r="AL811" s="59"/>
      <c r="AM811" s="59"/>
    </row>
    <row r="812" spans="2:39" x14ac:dyDescent="0.35">
      <c r="B812" s="237">
        <f t="shared" si="40"/>
        <v>792</v>
      </c>
      <c r="C812" s="49">
        <f t="shared" si="39"/>
        <v>45541</v>
      </c>
      <c r="D812" s="29">
        <f>DAY(Dati[[#This Row],[Data]])</f>
        <v>6</v>
      </c>
      <c r="E812" s="29" t="str">
        <f>IF(DAY(Data!$C$21:$C$1327)&gt;0,TEXT(Data!$C$21:$C$1327, "mmmm"),"")</f>
        <v>settembre</v>
      </c>
      <c r="F812" s="29" t="str">
        <f>IF(DAY(Data!$C$21:$C$1327)&gt;0,TEXT(Data!$C$21:$C$1327, "aaaa"),"")</f>
        <v>2024</v>
      </c>
      <c r="I812" t="str">
        <f>IF(OR(H812=$B$5,H812=$B$6,H812=$B$7,H812=$B$8,H812=$B$9,H812=$B$10,H812=$B$11,H812=$B$12,H812=$B$13,H812=$B$14),SottocategorieUscite[[#Headers],[Fuori Casa]],IF(OR(H812=$C$5,H812=$C$6,H812=$C$7,H812=$C$8,H812=$C$9,H812=$C$10,H812=$C$11,H812=$C$12,H812=$C$13,H812=$C$14),SottocategorieUscite[[#Headers],[Varie Uscite]],IF(OR(H812=$D$5,H812=$D$6,H812=$D$7,H812=$D$8,H812=$D$9,H812=$D$10,H812=$D$11,H812=$D$12,H812=$D$13,H812=$D$14),SottocategorieUscite[[#Headers],[Personali]],IF(OR(H812=$E$5,H812=$E$6,H812=$E$7,H812=$E$8,H812=$E$9,H812=$E$10,H812=$E$11,H812=$E$12,H812=$E$13,H812=$E$14),SottocategorieUscite[[#Headers],[Lavoro]],IF(OR(H812=$F$5,H812=$F$6,H812=$F$7,H812=$F$8,H812=$F$9,H812=$F$10,H812=$F$11,H812=$F$12,H812=$F$13,H812=$F$14),SottocategorieUscite[[#Headers],[Casa]],IF(OR(H812=$G$5,H812=$G$6,H812=$G$7,H812=$G$8,H812=$G$9,H812=$G$10,H812=$G$11,H812=$G$12,H812=$G$13,H812=$G$14),SottocategorieUscite[[#Headers],[Utenze]],IF(OR(H812=$H$5,H812=$H$6,H812=$H$7,H812=$H$8,H812=$H$9,H812=$H$10,H812=$H$11,H812=$H$12,H812=$H$13,H812=$H$14),SottocategorieUscite[[#Headers],[Business Uscite]],IF(OR(H812=$I$5,H812=$I$6,H812=$I$7,H812=$I$8,H812=$I$9,H812=$I$10,H812=$I$11,H812=$I$12,H812=$I$13,H812=$I$14),SottocategorieUscite[[#Headers],[Banca]],IF(OR(H812=K$5,H812=K$6,H812=K$7,H812=K$8,H812=K$9,H812=K$10,H812=K$11,H812=K$12,H812=K$13,H812=K$14),SottocategorieEntrate[[#Headers],[Business Entrate]],IF(OR(H812=L$5,H812=L$6,H812=L$7,H812=L$8,H812=L$9,H812=L$10,H812=L$11,H812=L$12,H812=L$13,H812=L$14),SottocategorieEntrate[[#Headers],[Varie Entrate]],IF(OR(H812=M$5,H812=M$6,H812=M$7,H812=M$8,H812=M$9,H812=M$10,H812=M$11,H812=M$12,H812=M$13,H812=M$14),SottocategorieEntrate[[#Headers],[Real Estate]],IF(OR(H812=N$5,H812=N$6,H812=N$7,H812=N$8,H812=N$9,H812=N$10,H812=N$11,H812=N$12,H812=N$13,H812=N$14),SottocategorieEntrate[[#Headers],[Other]],""))))))))))))</f>
        <v/>
      </c>
      <c r="J812" t="str">
        <f>IF(OR(Dati[[#This Row],[Categoria]]="Bollette",Dati[[#This Row],[Categoria]]="Conto &amp; Carte BNL",Dati[[#This Row],[Categoria]]="Prelievo",Dati[[#This Row],[Categoria]]="Affitto",Dati[[#This Row],[Categoria]]="BNL(Interessi Creditori)"),"Carta",IF(Dati[[#This Row],[Categoria]]&lt;&gt;0,"Cash",""))</f>
        <v/>
      </c>
      <c r="K812" s="59" t="str">
        <f>IF(OR(Data!$I812=SottocategorieUscite[[#Headers],[Fuori Casa]],Data!$I812=SottocategorieUscite[[#Headers],[Varie Uscite]],Data!$I812=SottocategorieUscite[[#Headers],[Personali]],Data!$I812=SottocategorieUscite[[#Headers],[Lavoro]]),"$ -","")</f>
        <v/>
      </c>
      <c r="L812" s="59" t="str">
        <f>IF(OR(Data!$I812=SottocategorieUscite[[#Headers],[Casa]],Data!$I812=SottocategorieUscite[[#Headers],[Utenze]],Data!$I812=SottocategorieUscite[[#Headers],[Business Uscite]],Data!$I812=SottocategorieUscite[[#Headers],[Banca]]),"$ -","")</f>
        <v/>
      </c>
      <c r="M812" s="59" t="str">
        <f>IF(OR($I812&lt;&gt;SottocategorieUscite[[#Headers],[Fuori Casa]],$I812&lt;&gt;SottocategorieUscite[[#Headers],[Varie Uscite]],$I812&lt;&gt;SottocategorieUscite[[#Headers],[Personali]],$I812&lt;&gt;SottocategorieUscite[[#Headers],[Lavoro]],$I812&lt;&gt;SottocategorieUscite[[#Headers],[Casa]],$I812&lt;&gt;SottocategorieUscite[[#Headers],[Utenze]],$I812&lt;&gt;SottocategorieUscite[[#Headers],[Business Uscite]],$I812&lt;&gt;SottocategorieUscite[[#Headers],[Banca]]),"","$ -")</f>
        <v/>
      </c>
      <c r="N812" s="59" t="str">
        <f>IF(OR(Data!$I812=SottocategorieEntrate[[#Headers],[Business Entrate]],Data!$I812=SottocategorieEntrate[[#Headers],[Varie Entrate]]),"$ -","")</f>
        <v/>
      </c>
      <c r="O812" s="59" t="str">
        <f>IF(OR(Data!$I812=SottocategorieEntrate[[#Headers],[Real Estate]],SottocategorieEntrate[[#Headers],[Other]]),"$ -","")</f>
        <v/>
      </c>
      <c r="P812" s="59" t="str">
        <f>IF(OR($I812&lt;&gt;SottocategorieEntrate[[#Headers],[Business Entrate]],$I812&lt;&gt;SottocategorieEntrate[[#Headers],[Varie Entrate]],$I812&lt;&gt;SottocategorieEntrate[[#Headers],[Real Estate]],$I812&lt;&gt;SottocategorieEntrate[[#Headers],[Other]]),"","$ -")</f>
        <v/>
      </c>
      <c r="Q812" s="59" t="str">
        <f>IF(Dati[[#This Row],[Categoria]]="Prelievo","€ -","")</f>
        <v/>
      </c>
      <c r="R812" s="244"/>
      <c r="S812" s="59" t="str">
        <f>IF(Dati[[#This Row],[Categoria]]="Savings",0,"")</f>
        <v/>
      </c>
      <c r="T812" s="59"/>
      <c r="U812" s="59"/>
      <c r="V812" s="59"/>
      <c r="W812" s="59"/>
      <c r="X812" s="59"/>
      <c r="Y812" s="59"/>
      <c r="Z812" s="59"/>
      <c r="AA812" s="59"/>
      <c r="AB812" s="59"/>
      <c r="AC812" s="59"/>
      <c r="AD812" s="59"/>
      <c r="AE812" s="59"/>
      <c r="AF812" s="59"/>
      <c r="AG812" s="59"/>
      <c r="AH812" s="59"/>
      <c r="AI812" s="59" t="str">
        <f>IF(SUM(Dati[[#This Row],[Inv. Business]:[Inv. Cryptocurrency]])=0," ",SUM(Dati[[#This Row],[Inv. Business]:[Inv. Cryptocurrency]]))</f>
        <v xml:space="preserve"> </v>
      </c>
      <c r="AJ812" s="59"/>
      <c r="AK812" s="59"/>
      <c r="AL812" s="59"/>
      <c r="AM812" s="59"/>
    </row>
    <row r="813" spans="2:39" x14ac:dyDescent="0.35">
      <c r="B813" s="237">
        <f t="shared" si="40"/>
        <v>793</v>
      </c>
      <c r="C813" s="49">
        <f t="shared" si="39"/>
        <v>45542</v>
      </c>
      <c r="D813" s="29">
        <f>DAY(Dati[[#This Row],[Data]])</f>
        <v>7</v>
      </c>
      <c r="E813" s="29" t="str">
        <f>IF(DAY(Data!$C$21:$C$1327)&gt;0,TEXT(Data!$C$21:$C$1327, "mmmm"),"")</f>
        <v>settembre</v>
      </c>
      <c r="F813" s="29" t="str">
        <f>IF(DAY(Data!$C$21:$C$1327)&gt;0,TEXT(Data!$C$21:$C$1327, "aaaa"),"")</f>
        <v>2024</v>
      </c>
      <c r="I813" t="str">
        <f>IF(OR(H813=$B$5,H813=$B$6,H813=$B$7,H813=$B$8,H813=$B$9,H813=$B$10,H813=$B$11,H813=$B$12,H813=$B$13,H813=$B$14),SottocategorieUscite[[#Headers],[Fuori Casa]],IF(OR(H813=$C$5,H813=$C$6,H813=$C$7,H813=$C$8,H813=$C$9,H813=$C$10,H813=$C$11,H813=$C$12,H813=$C$13,H813=$C$14),SottocategorieUscite[[#Headers],[Varie Uscite]],IF(OR(H813=$D$5,H813=$D$6,H813=$D$7,H813=$D$8,H813=$D$9,H813=$D$10,H813=$D$11,H813=$D$12,H813=$D$13,H813=$D$14),SottocategorieUscite[[#Headers],[Personali]],IF(OR(H813=$E$5,H813=$E$6,H813=$E$7,H813=$E$8,H813=$E$9,H813=$E$10,H813=$E$11,H813=$E$12,H813=$E$13,H813=$E$14),SottocategorieUscite[[#Headers],[Lavoro]],IF(OR(H813=$F$5,H813=$F$6,H813=$F$7,H813=$F$8,H813=$F$9,H813=$F$10,H813=$F$11,H813=$F$12,H813=$F$13,H813=$F$14),SottocategorieUscite[[#Headers],[Casa]],IF(OR(H813=$G$5,H813=$G$6,H813=$G$7,H813=$G$8,H813=$G$9,H813=$G$10,H813=$G$11,H813=$G$12,H813=$G$13,H813=$G$14),SottocategorieUscite[[#Headers],[Utenze]],IF(OR(H813=$H$5,H813=$H$6,H813=$H$7,H813=$H$8,H813=$H$9,H813=$H$10,H813=$H$11,H813=$H$12,H813=$H$13,H813=$H$14),SottocategorieUscite[[#Headers],[Business Uscite]],IF(OR(H813=$I$5,H813=$I$6,H813=$I$7,H813=$I$8,H813=$I$9,H813=$I$10,H813=$I$11,H813=$I$12,H813=$I$13,H813=$I$14),SottocategorieUscite[[#Headers],[Banca]],IF(OR(H813=K$5,H813=K$6,H813=K$7,H813=K$8,H813=K$9,H813=K$10,H813=K$11,H813=K$12,H813=K$13,H813=K$14),SottocategorieEntrate[[#Headers],[Business Entrate]],IF(OR(H813=L$5,H813=L$6,H813=L$7,H813=L$8,H813=L$9,H813=L$10,H813=L$11,H813=L$12,H813=L$13,H813=L$14),SottocategorieEntrate[[#Headers],[Varie Entrate]],IF(OR(H813=M$5,H813=M$6,H813=M$7,H813=M$8,H813=M$9,H813=M$10,H813=M$11,H813=M$12,H813=M$13,H813=M$14),SottocategorieEntrate[[#Headers],[Real Estate]],IF(OR(H813=N$5,H813=N$6,H813=N$7,H813=N$8,H813=N$9,H813=N$10,H813=N$11,H813=N$12,H813=N$13,H813=N$14),SottocategorieEntrate[[#Headers],[Other]],""))))))))))))</f>
        <v/>
      </c>
      <c r="J813" t="str">
        <f>IF(OR(Dati[[#This Row],[Categoria]]="Bollette",Dati[[#This Row],[Categoria]]="Conto &amp; Carte BNL",Dati[[#This Row],[Categoria]]="Prelievo",Dati[[#This Row],[Categoria]]="Affitto",Dati[[#This Row],[Categoria]]="BNL(Interessi Creditori)"),"Carta",IF(Dati[[#This Row],[Categoria]]&lt;&gt;0,"Cash",""))</f>
        <v/>
      </c>
      <c r="K813" s="59" t="str">
        <f>IF(OR(Data!$I813=SottocategorieUscite[[#Headers],[Fuori Casa]],Data!$I813=SottocategorieUscite[[#Headers],[Varie Uscite]],Data!$I813=SottocategorieUscite[[#Headers],[Personali]],Data!$I813=SottocategorieUscite[[#Headers],[Lavoro]]),"$ -","")</f>
        <v/>
      </c>
      <c r="L813" s="59" t="str">
        <f>IF(OR(Data!$I813=SottocategorieUscite[[#Headers],[Casa]],Data!$I813=SottocategorieUscite[[#Headers],[Utenze]],Data!$I813=SottocategorieUscite[[#Headers],[Business Uscite]],Data!$I813=SottocategorieUscite[[#Headers],[Banca]]),"$ -","")</f>
        <v/>
      </c>
      <c r="M813" s="59" t="str">
        <f>IF(OR($I813&lt;&gt;SottocategorieUscite[[#Headers],[Fuori Casa]],$I813&lt;&gt;SottocategorieUscite[[#Headers],[Varie Uscite]],$I813&lt;&gt;SottocategorieUscite[[#Headers],[Personali]],$I813&lt;&gt;SottocategorieUscite[[#Headers],[Lavoro]],$I813&lt;&gt;SottocategorieUscite[[#Headers],[Casa]],$I813&lt;&gt;SottocategorieUscite[[#Headers],[Utenze]],$I813&lt;&gt;SottocategorieUscite[[#Headers],[Business Uscite]],$I813&lt;&gt;SottocategorieUscite[[#Headers],[Banca]]),"","$ -")</f>
        <v/>
      </c>
      <c r="N813" s="59" t="str">
        <f>IF(OR(Data!$I813=SottocategorieEntrate[[#Headers],[Business Entrate]],Data!$I813=SottocategorieEntrate[[#Headers],[Varie Entrate]]),"$ -","")</f>
        <v/>
      </c>
      <c r="O813" s="59" t="str">
        <f>IF(OR(Data!$I813=SottocategorieEntrate[[#Headers],[Real Estate]],SottocategorieEntrate[[#Headers],[Other]]),"$ -","")</f>
        <v/>
      </c>
      <c r="P813" s="59" t="str">
        <f>IF(OR($I813&lt;&gt;SottocategorieEntrate[[#Headers],[Business Entrate]],$I813&lt;&gt;SottocategorieEntrate[[#Headers],[Varie Entrate]],$I813&lt;&gt;SottocategorieEntrate[[#Headers],[Real Estate]],$I813&lt;&gt;SottocategorieEntrate[[#Headers],[Other]]),"","$ -")</f>
        <v/>
      </c>
      <c r="Q813" s="59" t="str">
        <f>IF(Dati[[#This Row],[Categoria]]="Prelievo","€ -","")</f>
        <v/>
      </c>
      <c r="R813" s="244"/>
      <c r="S813" s="59" t="str">
        <f>IF(Dati[[#This Row],[Categoria]]="Savings",0,"")</f>
        <v/>
      </c>
      <c r="T813" s="59"/>
      <c r="U813" s="59"/>
      <c r="V813" s="59"/>
      <c r="W813" s="59"/>
      <c r="X813" s="59"/>
      <c r="Y813" s="59"/>
      <c r="Z813" s="59"/>
      <c r="AA813" s="59"/>
      <c r="AB813" s="59"/>
      <c r="AC813" s="59"/>
      <c r="AD813" s="59"/>
      <c r="AE813" s="59"/>
      <c r="AF813" s="59"/>
      <c r="AG813" s="59"/>
      <c r="AH813" s="59"/>
      <c r="AI813" s="59" t="str">
        <f>IF(SUM(Dati[[#This Row],[Inv. Business]:[Inv. Cryptocurrency]])=0," ",SUM(Dati[[#This Row],[Inv. Business]:[Inv. Cryptocurrency]]))</f>
        <v xml:space="preserve"> </v>
      </c>
      <c r="AJ813" s="59"/>
      <c r="AK813" s="59"/>
      <c r="AL813" s="59"/>
      <c r="AM813" s="59"/>
    </row>
    <row r="814" spans="2:39" x14ac:dyDescent="0.35">
      <c r="B814" s="237">
        <f t="shared" ref="B814:B824" si="41">ROW(794:794)</f>
        <v>794</v>
      </c>
      <c r="C814" s="49">
        <f t="shared" si="39"/>
        <v>45543</v>
      </c>
      <c r="D814" s="29">
        <f>DAY(Dati[[#This Row],[Data]])</f>
        <v>8</v>
      </c>
      <c r="E814" s="29" t="str">
        <f>IF(DAY(Data!$C$21:$C$1327)&gt;0,TEXT(Data!$C$21:$C$1327, "mmmm"),"")</f>
        <v>settembre</v>
      </c>
      <c r="F814" s="29" t="str">
        <f>IF(DAY(Data!$C$21:$C$1327)&gt;0,TEXT(Data!$C$21:$C$1327, "aaaa"),"")</f>
        <v>2024</v>
      </c>
      <c r="I814" t="str">
        <f>IF(OR(H814=$B$5,H814=$B$6,H814=$B$7,H814=$B$8,H814=$B$9,H814=$B$10,H814=$B$11,H814=$B$12,H814=$B$13,H814=$B$14),SottocategorieUscite[[#Headers],[Fuori Casa]],IF(OR(H814=$C$5,H814=$C$6,H814=$C$7,H814=$C$8,H814=$C$9,H814=$C$10,H814=$C$11,H814=$C$12,H814=$C$13,H814=$C$14),SottocategorieUscite[[#Headers],[Varie Uscite]],IF(OR(H814=$D$5,H814=$D$6,H814=$D$7,H814=$D$8,H814=$D$9,H814=$D$10,H814=$D$11,H814=$D$12,H814=$D$13,H814=$D$14),SottocategorieUscite[[#Headers],[Personali]],IF(OR(H814=$E$5,H814=$E$6,H814=$E$7,H814=$E$8,H814=$E$9,H814=$E$10,H814=$E$11,H814=$E$12,H814=$E$13,H814=$E$14),SottocategorieUscite[[#Headers],[Lavoro]],IF(OR(H814=$F$5,H814=$F$6,H814=$F$7,H814=$F$8,H814=$F$9,H814=$F$10,H814=$F$11,H814=$F$12,H814=$F$13,H814=$F$14),SottocategorieUscite[[#Headers],[Casa]],IF(OR(H814=$G$5,H814=$G$6,H814=$G$7,H814=$G$8,H814=$G$9,H814=$G$10,H814=$G$11,H814=$G$12,H814=$G$13,H814=$G$14),SottocategorieUscite[[#Headers],[Utenze]],IF(OR(H814=$H$5,H814=$H$6,H814=$H$7,H814=$H$8,H814=$H$9,H814=$H$10,H814=$H$11,H814=$H$12,H814=$H$13,H814=$H$14),SottocategorieUscite[[#Headers],[Business Uscite]],IF(OR(H814=$I$5,H814=$I$6,H814=$I$7,H814=$I$8,H814=$I$9,H814=$I$10,H814=$I$11,H814=$I$12,H814=$I$13,H814=$I$14),SottocategorieUscite[[#Headers],[Banca]],IF(OR(H814=K$5,H814=K$6,H814=K$7,H814=K$8,H814=K$9,H814=K$10,H814=K$11,H814=K$12,H814=K$13,H814=K$14),SottocategorieEntrate[[#Headers],[Business Entrate]],IF(OR(H814=L$5,H814=L$6,H814=L$7,H814=L$8,H814=L$9,H814=L$10,H814=L$11,H814=L$12,H814=L$13,H814=L$14),SottocategorieEntrate[[#Headers],[Varie Entrate]],IF(OR(H814=M$5,H814=M$6,H814=M$7,H814=M$8,H814=M$9,H814=M$10,H814=M$11,H814=M$12,H814=M$13,H814=M$14),SottocategorieEntrate[[#Headers],[Real Estate]],IF(OR(H814=N$5,H814=N$6,H814=N$7,H814=N$8,H814=N$9,H814=N$10,H814=N$11,H814=N$12,H814=N$13,H814=N$14),SottocategorieEntrate[[#Headers],[Other]],""))))))))))))</f>
        <v/>
      </c>
      <c r="J814" t="str">
        <f>IF(OR(Dati[[#This Row],[Categoria]]="Bollette",Dati[[#This Row],[Categoria]]="Conto &amp; Carte BNL",Dati[[#This Row],[Categoria]]="Prelievo",Dati[[#This Row],[Categoria]]="Affitto",Dati[[#This Row],[Categoria]]="BNL(Interessi Creditori)"),"Carta",IF(Dati[[#This Row],[Categoria]]&lt;&gt;0,"Cash",""))</f>
        <v/>
      </c>
      <c r="K814" s="59" t="str">
        <f>IF(OR(Data!$I814=SottocategorieUscite[[#Headers],[Fuori Casa]],Data!$I814=SottocategorieUscite[[#Headers],[Varie Uscite]],Data!$I814=SottocategorieUscite[[#Headers],[Personali]],Data!$I814=SottocategorieUscite[[#Headers],[Lavoro]]),"$ -","")</f>
        <v/>
      </c>
      <c r="L814" s="59" t="str">
        <f>IF(OR(Data!$I814=SottocategorieUscite[[#Headers],[Casa]],Data!$I814=SottocategorieUscite[[#Headers],[Utenze]],Data!$I814=SottocategorieUscite[[#Headers],[Business Uscite]],Data!$I814=SottocategorieUscite[[#Headers],[Banca]]),"$ -","")</f>
        <v/>
      </c>
      <c r="M814" s="59" t="str">
        <f>IF(OR($I814&lt;&gt;SottocategorieUscite[[#Headers],[Fuori Casa]],$I814&lt;&gt;SottocategorieUscite[[#Headers],[Varie Uscite]],$I814&lt;&gt;SottocategorieUscite[[#Headers],[Personali]],$I814&lt;&gt;SottocategorieUscite[[#Headers],[Lavoro]],$I814&lt;&gt;SottocategorieUscite[[#Headers],[Casa]],$I814&lt;&gt;SottocategorieUscite[[#Headers],[Utenze]],$I814&lt;&gt;SottocategorieUscite[[#Headers],[Business Uscite]],$I814&lt;&gt;SottocategorieUscite[[#Headers],[Banca]]),"","$ -")</f>
        <v/>
      </c>
      <c r="N814" s="59" t="str">
        <f>IF(OR(Data!$I814=SottocategorieEntrate[[#Headers],[Business Entrate]],Data!$I814=SottocategorieEntrate[[#Headers],[Varie Entrate]]),"$ -","")</f>
        <v/>
      </c>
      <c r="O814" s="59" t="str">
        <f>IF(OR(Data!$I814=SottocategorieEntrate[[#Headers],[Real Estate]],SottocategorieEntrate[[#Headers],[Other]]),"$ -","")</f>
        <v/>
      </c>
      <c r="P814" s="59" t="str">
        <f>IF(OR($I814&lt;&gt;SottocategorieEntrate[[#Headers],[Business Entrate]],$I814&lt;&gt;SottocategorieEntrate[[#Headers],[Varie Entrate]],$I814&lt;&gt;SottocategorieEntrate[[#Headers],[Real Estate]],$I814&lt;&gt;SottocategorieEntrate[[#Headers],[Other]]),"","$ -")</f>
        <v/>
      </c>
      <c r="Q814" s="59" t="str">
        <f>IF(Dati[[#This Row],[Categoria]]="Prelievo","€ -","")</f>
        <v/>
      </c>
      <c r="R814" s="244"/>
      <c r="S814" s="59" t="str">
        <f>IF(Dati[[#This Row],[Categoria]]="Savings",0,"")</f>
        <v/>
      </c>
      <c r="T814" s="59"/>
      <c r="U814" s="59"/>
      <c r="V814" s="59"/>
      <c r="W814" s="59"/>
      <c r="X814" s="59"/>
      <c r="Y814" s="59"/>
      <c r="Z814" s="59"/>
      <c r="AA814" s="59"/>
      <c r="AB814" s="59"/>
      <c r="AC814" s="59"/>
      <c r="AD814" s="59"/>
      <c r="AE814" s="59"/>
      <c r="AF814" s="59"/>
      <c r="AG814" s="59"/>
      <c r="AH814" s="59"/>
      <c r="AI814" s="59" t="str">
        <f>IF(SUM(Dati[[#This Row],[Inv. Business]:[Inv. Cryptocurrency]])=0," ",SUM(Dati[[#This Row],[Inv. Business]:[Inv. Cryptocurrency]]))</f>
        <v xml:space="preserve"> </v>
      </c>
      <c r="AJ814" s="59"/>
      <c r="AK814" s="59"/>
      <c r="AL814" s="59"/>
      <c r="AM814" s="59"/>
    </row>
    <row r="815" spans="2:39" x14ac:dyDescent="0.35">
      <c r="B815" s="237">
        <f t="shared" si="41"/>
        <v>795</v>
      </c>
      <c r="C815" s="49">
        <f t="shared" si="39"/>
        <v>45544</v>
      </c>
      <c r="D815" s="29">
        <f>DAY(Dati[[#This Row],[Data]])</f>
        <v>9</v>
      </c>
      <c r="E815" s="29" t="str">
        <f>IF(DAY(Data!$C$21:$C$1327)&gt;0,TEXT(Data!$C$21:$C$1327, "mmmm"),"")</f>
        <v>settembre</v>
      </c>
      <c r="F815" s="29" t="str">
        <f>IF(DAY(Data!$C$21:$C$1327)&gt;0,TEXT(Data!$C$21:$C$1327, "aaaa"),"")</f>
        <v>2024</v>
      </c>
      <c r="I815" t="str">
        <f>IF(OR(H815=$B$5,H815=$B$6,H815=$B$7,H815=$B$8,H815=$B$9,H815=$B$10,H815=$B$11,H815=$B$12,H815=$B$13,H815=$B$14),SottocategorieUscite[[#Headers],[Fuori Casa]],IF(OR(H815=$C$5,H815=$C$6,H815=$C$7,H815=$C$8,H815=$C$9,H815=$C$10,H815=$C$11,H815=$C$12,H815=$C$13,H815=$C$14),SottocategorieUscite[[#Headers],[Varie Uscite]],IF(OR(H815=$D$5,H815=$D$6,H815=$D$7,H815=$D$8,H815=$D$9,H815=$D$10,H815=$D$11,H815=$D$12,H815=$D$13,H815=$D$14),SottocategorieUscite[[#Headers],[Personali]],IF(OR(H815=$E$5,H815=$E$6,H815=$E$7,H815=$E$8,H815=$E$9,H815=$E$10,H815=$E$11,H815=$E$12,H815=$E$13,H815=$E$14),SottocategorieUscite[[#Headers],[Lavoro]],IF(OR(H815=$F$5,H815=$F$6,H815=$F$7,H815=$F$8,H815=$F$9,H815=$F$10,H815=$F$11,H815=$F$12,H815=$F$13,H815=$F$14),SottocategorieUscite[[#Headers],[Casa]],IF(OR(H815=$G$5,H815=$G$6,H815=$G$7,H815=$G$8,H815=$G$9,H815=$G$10,H815=$G$11,H815=$G$12,H815=$G$13,H815=$G$14),SottocategorieUscite[[#Headers],[Utenze]],IF(OR(H815=$H$5,H815=$H$6,H815=$H$7,H815=$H$8,H815=$H$9,H815=$H$10,H815=$H$11,H815=$H$12,H815=$H$13,H815=$H$14),SottocategorieUscite[[#Headers],[Business Uscite]],IF(OR(H815=$I$5,H815=$I$6,H815=$I$7,H815=$I$8,H815=$I$9,H815=$I$10,H815=$I$11,H815=$I$12,H815=$I$13,H815=$I$14),SottocategorieUscite[[#Headers],[Banca]],IF(OR(H815=K$5,H815=K$6,H815=K$7,H815=K$8,H815=K$9,H815=K$10,H815=K$11,H815=K$12,H815=K$13,H815=K$14),SottocategorieEntrate[[#Headers],[Business Entrate]],IF(OR(H815=L$5,H815=L$6,H815=L$7,H815=L$8,H815=L$9,H815=L$10,H815=L$11,H815=L$12,H815=L$13,H815=L$14),SottocategorieEntrate[[#Headers],[Varie Entrate]],IF(OR(H815=M$5,H815=M$6,H815=M$7,H815=M$8,H815=M$9,H815=M$10,H815=M$11,H815=M$12,H815=M$13,H815=M$14),SottocategorieEntrate[[#Headers],[Real Estate]],IF(OR(H815=N$5,H815=N$6,H815=N$7,H815=N$8,H815=N$9,H815=N$10,H815=N$11,H815=N$12,H815=N$13,H815=N$14),SottocategorieEntrate[[#Headers],[Other]],""))))))))))))</f>
        <v/>
      </c>
      <c r="J815" t="str">
        <f>IF(OR(Dati[[#This Row],[Categoria]]="Bollette",Dati[[#This Row],[Categoria]]="Conto &amp; Carte BNL",Dati[[#This Row],[Categoria]]="Prelievo",Dati[[#This Row],[Categoria]]="Affitto",Dati[[#This Row],[Categoria]]="BNL(Interessi Creditori)"),"Carta",IF(Dati[[#This Row],[Categoria]]&lt;&gt;0,"Cash",""))</f>
        <v/>
      </c>
      <c r="K815" s="59" t="str">
        <f>IF(OR(Data!$I815=SottocategorieUscite[[#Headers],[Fuori Casa]],Data!$I815=SottocategorieUscite[[#Headers],[Varie Uscite]],Data!$I815=SottocategorieUscite[[#Headers],[Personali]],Data!$I815=SottocategorieUscite[[#Headers],[Lavoro]]),"$ -","")</f>
        <v/>
      </c>
      <c r="L815" s="59" t="str">
        <f>IF(OR(Data!$I815=SottocategorieUscite[[#Headers],[Casa]],Data!$I815=SottocategorieUscite[[#Headers],[Utenze]],Data!$I815=SottocategorieUscite[[#Headers],[Business Uscite]],Data!$I815=SottocategorieUscite[[#Headers],[Banca]]),"$ -","")</f>
        <v/>
      </c>
      <c r="M815" s="59" t="str">
        <f>IF(OR($I815&lt;&gt;SottocategorieUscite[[#Headers],[Fuori Casa]],$I815&lt;&gt;SottocategorieUscite[[#Headers],[Varie Uscite]],$I815&lt;&gt;SottocategorieUscite[[#Headers],[Personali]],$I815&lt;&gt;SottocategorieUscite[[#Headers],[Lavoro]],$I815&lt;&gt;SottocategorieUscite[[#Headers],[Casa]],$I815&lt;&gt;SottocategorieUscite[[#Headers],[Utenze]],$I815&lt;&gt;SottocategorieUscite[[#Headers],[Business Uscite]],$I815&lt;&gt;SottocategorieUscite[[#Headers],[Banca]]),"","$ -")</f>
        <v/>
      </c>
      <c r="N815" s="59" t="str">
        <f>IF(OR(Data!$I815=SottocategorieEntrate[[#Headers],[Business Entrate]],Data!$I815=SottocategorieEntrate[[#Headers],[Varie Entrate]]),"$ -","")</f>
        <v/>
      </c>
      <c r="O815" s="59" t="str">
        <f>IF(OR(Data!$I815=SottocategorieEntrate[[#Headers],[Real Estate]],SottocategorieEntrate[[#Headers],[Other]]),"$ -","")</f>
        <v/>
      </c>
      <c r="P815" s="59" t="str">
        <f>IF(OR($I815&lt;&gt;SottocategorieEntrate[[#Headers],[Business Entrate]],$I815&lt;&gt;SottocategorieEntrate[[#Headers],[Varie Entrate]],$I815&lt;&gt;SottocategorieEntrate[[#Headers],[Real Estate]],$I815&lt;&gt;SottocategorieEntrate[[#Headers],[Other]]),"","$ -")</f>
        <v/>
      </c>
      <c r="Q815" s="59" t="str">
        <f>IF(Dati[[#This Row],[Categoria]]="Prelievo","€ -","")</f>
        <v/>
      </c>
      <c r="R815" s="244"/>
      <c r="S815" s="59" t="str">
        <f>IF(Dati[[#This Row],[Categoria]]="Savings",0,"")</f>
        <v/>
      </c>
      <c r="T815" s="59"/>
      <c r="U815" s="59"/>
      <c r="V815" s="59"/>
      <c r="W815" s="59"/>
      <c r="X815" s="59"/>
      <c r="Y815" s="59"/>
      <c r="Z815" s="59"/>
      <c r="AA815" s="59"/>
      <c r="AB815" s="59"/>
      <c r="AC815" s="59"/>
      <c r="AD815" s="59"/>
      <c r="AE815" s="59"/>
      <c r="AF815" s="59"/>
      <c r="AG815" s="59"/>
      <c r="AH815" s="59"/>
      <c r="AI815" s="59" t="str">
        <f>IF(SUM(Dati[[#This Row],[Inv. Business]:[Inv. Cryptocurrency]])=0," ",SUM(Dati[[#This Row],[Inv. Business]:[Inv. Cryptocurrency]]))</f>
        <v xml:space="preserve"> </v>
      </c>
      <c r="AJ815" s="59"/>
      <c r="AK815" s="59"/>
      <c r="AL815" s="59"/>
      <c r="AM815" s="59"/>
    </row>
    <row r="816" spans="2:39" x14ac:dyDescent="0.35">
      <c r="B816" s="237">
        <f t="shared" si="41"/>
        <v>796</v>
      </c>
      <c r="C816" s="49">
        <f t="shared" si="39"/>
        <v>45545</v>
      </c>
      <c r="D816" s="29">
        <f>DAY(Dati[[#This Row],[Data]])</f>
        <v>10</v>
      </c>
      <c r="E816" s="29" t="str">
        <f>IF(DAY(Data!$C$21:$C$1327)&gt;0,TEXT(Data!$C$21:$C$1327, "mmmm"),"")</f>
        <v>settembre</v>
      </c>
      <c r="F816" s="29" t="str">
        <f>IF(DAY(Data!$C$21:$C$1327)&gt;0,TEXT(Data!$C$21:$C$1327, "aaaa"),"")</f>
        <v>2024</v>
      </c>
      <c r="I816" t="str">
        <f>IF(OR(H816=$B$5,H816=$B$6,H816=$B$7,H816=$B$8,H816=$B$9,H816=$B$10,H816=$B$11,H816=$B$12,H816=$B$13,H816=$B$14),SottocategorieUscite[[#Headers],[Fuori Casa]],IF(OR(H816=$C$5,H816=$C$6,H816=$C$7,H816=$C$8,H816=$C$9,H816=$C$10,H816=$C$11,H816=$C$12,H816=$C$13,H816=$C$14),SottocategorieUscite[[#Headers],[Varie Uscite]],IF(OR(H816=$D$5,H816=$D$6,H816=$D$7,H816=$D$8,H816=$D$9,H816=$D$10,H816=$D$11,H816=$D$12,H816=$D$13,H816=$D$14),SottocategorieUscite[[#Headers],[Personali]],IF(OR(H816=$E$5,H816=$E$6,H816=$E$7,H816=$E$8,H816=$E$9,H816=$E$10,H816=$E$11,H816=$E$12,H816=$E$13,H816=$E$14),SottocategorieUscite[[#Headers],[Lavoro]],IF(OR(H816=$F$5,H816=$F$6,H816=$F$7,H816=$F$8,H816=$F$9,H816=$F$10,H816=$F$11,H816=$F$12,H816=$F$13,H816=$F$14),SottocategorieUscite[[#Headers],[Casa]],IF(OR(H816=$G$5,H816=$G$6,H816=$G$7,H816=$G$8,H816=$G$9,H816=$G$10,H816=$G$11,H816=$G$12,H816=$G$13,H816=$G$14),SottocategorieUscite[[#Headers],[Utenze]],IF(OR(H816=$H$5,H816=$H$6,H816=$H$7,H816=$H$8,H816=$H$9,H816=$H$10,H816=$H$11,H816=$H$12,H816=$H$13,H816=$H$14),SottocategorieUscite[[#Headers],[Business Uscite]],IF(OR(H816=$I$5,H816=$I$6,H816=$I$7,H816=$I$8,H816=$I$9,H816=$I$10,H816=$I$11,H816=$I$12,H816=$I$13,H816=$I$14),SottocategorieUscite[[#Headers],[Banca]],IF(OR(H816=K$5,H816=K$6,H816=K$7,H816=K$8,H816=K$9,H816=K$10,H816=K$11,H816=K$12,H816=K$13,H816=K$14),SottocategorieEntrate[[#Headers],[Business Entrate]],IF(OR(H816=L$5,H816=L$6,H816=L$7,H816=L$8,H816=L$9,H816=L$10,H816=L$11,H816=L$12,H816=L$13,H816=L$14),SottocategorieEntrate[[#Headers],[Varie Entrate]],IF(OR(H816=M$5,H816=M$6,H816=M$7,H816=M$8,H816=M$9,H816=M$10,H816=M$11,H816=M$12,H816=M$13,H816=M$14),SottocategorieEntrate[[#Headers],[Real Estate]],IF(OR(H816=N$5,H816=N$6,H816=N$7,H816=N$8,H816=N$9,H816=N$10,H816=N$11,H816=N$12,H816=N$13,H816=N$14),SottocategorieEntrate[[#Headers],[Other]],""))))))))))))</f>
        <v/>
      </c>
      <c r="J816" t="str">
        <f>IF(OR(Dati[[#This Row],[Categoria]]="Bollette",Dati[[#This Row],[Categoria]]="Conto &amp; Carte BNL",Dati[[#This Row],[Categoria]]="Prelievo",Dati[[#This Row],[Categoria]]="Affitto",Dati[[#This Row],[Categoria]]="BNL(Interessi Creditori)"),"Carta",IF(Dati[[#This Row],[Categoria]]&lt;&gt;0,"Cash",""))</f>
        <v/>
      </c>
      <c r="K816" s="59" t="str">
        <f>IF(OR(Data!$I816=SottocategorieUscite[[#Headers],[Fuori Casa]],Data!$I816=SottocategorieUscite[[#Headers],[Varie Uscite]],Data!$I816=SottocategorieUscite[[#Headers],[Personali]],Data!$I816=SottocategorieUscite[[#Headers],[Lavoro]]),"$ -","")</f>
        <v/>
      </c>
      <c r="L816" s="59" t="str">
        <f>IF(OR(Data!$I816=SottocategorieUscite[[#Headers],[Casa]],Data!$I816=SottocategorieUscite[[#Headers],[Utenze]],Data!$I816=SottocategorieUscite[[#Headers],[Business Uscite]],Data!$I816=SottocategorieUscite[[#Headers],[Banca]]),"$ -","")</f>
        <v/>
      </c>
      <c r="M816" s="59" t="str">
        <f>IF(OR($I816&lt;&gt;SottocategorieUscite[[#Headers],[Fuori Casa]],$I816&lt;&gt;SottocategorieUscite[[#Headers],[Varie Uscite]],$I816&lt;&gt;SottocategorieUscite[[#Headers],[Personali]],$I816&lt;&gt;SottocategorieUscite[[#Headers],[Lavoro]],$I816&lt;&gt;SottocategorieUscite[[#Headers],[Casa]],$I816&lt;&gt;SottocategorieUscite[[#Headers],[Utenze]],$I816&lt;&gt;SottocategorieUscite[[#Headers],[Business Uscite]],$I816&lt;&gt;SottocategorieUscite[[#Headers],[Banca]]),"","$ -")</f>
        <v/>
      </c>
      <c r="N816" s="59" t="str">
        <f>IF(OR(Data!$I816=SottocategorieEntrate[[#Headers],[Business Entrate]],Data!$I816=SottocategorieEntrate[[#Headers],[Varie Entrate]]),"$ -","")</f>
        <v/>
      </c>
      <c r="O816" s="59" t="str">
        <f>IF(OR(Data!$I816=SottocategorieEntrate[[#Headers],[Real Estate]],SottocategorieEntrate[[#Headers],[Other]]),"$ -","")</f>
        <v/>
      </c>
      <c r="P816" s="59" t="str">
        <f>IF(OR($I816&lt;&gt;SottocategorieEntrate[[#Headers],[Business Entrate]],$I816&lt;&gt;SottocategorieEntrate[[#Headers],[Varie Entrate]],$I816&lt;&gt;SottocategorieEntrate[[#Headers],[Real Estate]],$I816&lt;&gt;SottocategorieEntrate[[#Headers],[Other]]),"","$ -")</f>
        <v/>
      </c>
      <c r="Q816" s="59" t="str">
        <f>IF(Dati[[#This Row],[Categoria]]="Prelievo","€ -","")</f>
        <v/>
      </c>
      <c r="R816" s="244"/>
      <c r="S816" s="59" t="str">
        <f>IF(Dati[[#This Row],[Categoria]]="Savings",0,"")</f>
        <v/>
      </c>
      <c r="T816" s="59"/>
      <c r="U816" s="59"/>
      <c r="V816" s="59"/>
      <c r="W816" s="59"/>
      <c r="X816" s="59"/>
      <c r="Y816" s="59"/>
      <c r="Z816" s="59"/>
      <c r="AA816" s="59"/>
      <c r="AB816" s="59"/>
      <c r="AC816" s="59"/>
      <c r="AD816" s="59"/>
      <c r="AE816" s="59"/>
      <c r="AF816" s="59"/>
      <c r="AG816" s="59"/>
      <c r="AH816" s="59"/>
      <c r="AI816" s="59" t="str">
        <f>IF(SUM(Dati[[#This Row],[Inv. Business]:[Inv. Cryptocurrency]])=0," ",SUM(Dati[[#This Row],[Inv. Business]:[Inv. Cryptocurrency]]))</f>
        <v xml:space="preserve"> </v>
      </c>
      <c r="AJ816" s="59"/>
      <c r="AK816" s="59"/>
      <c r="AL816" s="59"/>
      <c r="AM816" s="59"/>
    </row>
    <row r="817" spans="2:39" x14ac:dyDescent="0.35">
      <c r="B817" s="237">
        <f t="shared" si="41"/>
        <v>797</v>
      </c>
      <c r="C817" s="49">
        <f t="shared" si="39"/>
        <v>45546</v>
      </c>
      <c r="D817" s="29">
        <f>DAY(Dati[[#This Row],[Data]])</f>
        <v>11</v>
      </c>
      <c r="E817" s="29" t="str">
        <f>IF(DAY(Data!$C$21:$C$1327)&gt;0,TEXT(Data!$C$21:$C$1327, "mmmm"),"")</f>
        <v>settembre</v>
      </c>
      <c r="F817" s="29" t="str">
        <f>IF(DAY(Data!$C$21:$C$1327)&gt;0,TEXT(Data!$C$21:$C$1327, "aaaa"),"")</f>
        <v>2024</v>
      </c>
      <c r="I817" t="str">
        <f>IF(OR(H817=$B$5,H817=$B$6,H817=$B$7,H817=$B$8,H817=$B$9,H817=$B$10,H817=$B$11,H817=$B$12,H817=$B$13,H817=$B$14),SottocategorieUscite[[#Headers],[Fuori Casa]],IF(OR(H817=$C$5,H817=$C$6,H817=$C$7,H817=$C$8,H817=$C$9,H817=$C$10,H817=$C$11,H817=$C$12,H817=$C$13,H817=$C$14),SottocategorieUscite[[#Headers],[Varie Uscite]],IF(OR(H817=$D$5,H817=$D$6,H817=$D$7,H817=$D$8,H817=$D$9,H817=$D$10,H817=$D$11,H817=$D$12,H817=$D$13,H817=$D$14),SottocategorieUscite[[#Headers],[Personali]],IF(OR(H817=$E$5,H817=$E$6,H817=$E$7,H817=$E$8,H817=$E$9,H817=$E$10,H817=$E$11,H817=$E$12,H817=$E$13,H817=$E$14),SottocategorieUscite[[#Headers],[Lavoro]],IF(OR(H817=$F$5,H817=$F$6,H817=$F$7,H817=$F$8,H817=$F$9,H817=$F$10,H817=$F$11,H817=$F$12,H817=$F$13,H817=$F$14),SottocategorieUscite[[#Headers],[Casa]],IF(OR(H817=$G$5,H817=$G$6,H817=$G$7,H817=$G$8,H817=$G$9,H817=$G$10,H817=$G$11,H817=$G$12,H817=$G$13,H817=$G$14),SottocategorieUscite[[#Headers],[Utenze]],IF(OR(H817=$H$5,H817=$H$6,H817=$H$7,H817=$H$8,H817=$H$9,H817=$H$10,H817=$H$11,H817=$H$12,H817=$H$13,H817=$H$14),SottocategorieUscite[[#Headers],[Business Uscite]],IF(OR(H817=$I$5,H817=$I$6,H817=$I$7,H817=$I$8,H817=$I$9,H817=$I$10,H817=$I$11,H817=$I$12,H817=$I$13,H817=$I$14),SottocategorieUscite[[#Headers],[Banca]],IF(OR(H817=K$5,H817=K$6,H817=K$7,H817=K$8,H817=K$9,H817=K$10,H817=K$11,H817=K$12,H817=K$13,H817=K$14),SottocategorieEntrate[[#Headers],[Business Entrate]],IF(OR(H817=L$5,H817=L$6,H817=L$7,H817=L$8,H817=L$9,H817=L$10,H817=L$11,H817=L$12,H817=L$13,H817=L$14),SottocategorieEntrate[[#Headers],[Varie Entrate]],IF(OR(H817=M$5,H817=M$6,H817=M$7,H817=M$8,H817=M$9,H817=M$10,H817=M$11,H817=M$12,H817=M$13,H817=M$14),SottocategorieEntrate[[#Headers],[Real Estate]],IF(OR(H817=N$5,H817=N$6,H817=N$7,H817=N$8,H817=N$9,H817=N$10,H817=N$11,H817=N$12,H817=N$13,H817=N$14),SottocategorieEntrate[[#Headers],[Other]],""))))))))))))</f>
        <v/>
      </c>
      <c r="J817" t="str">
        <f>IF(OR(Dati[[#This Row],[Categoria]]="Bollette",Dati[[#This Row],[Categoria]]="Conto &amp; Carte BNL",Dati[[#This Row],[Categoria]]="Prelievo",Dati[[#This Row],[Categoria]]="Affitto",Dati[[#This Row],[Categoria]]="BNL(Interessi Creditori)"),"Carta",IF(Dati[[#This Row],[Categoria]]&lt;&gt;0,"Cash",""))</f>
        <v/>
      </c>
      <c r="K817" s="59" t="str">
        <f>IF(OR(Data!$I817=SottocategorieUscite[[#Headers],[Fuori Casa]],Data!$I817=SottocategorieUscite[[#Headers],[Varie Uscite]],Data!$I817=SottocategorieUscite[[#Headers],[Personali]],Data!$I817=SottocategorieUscite[[#Headers],[Lavoro]]),"$ -","")</f>
        <v/>
      </c>
      <c r="L817" s="59" t="str">
        <f>IF(OR(Data!$I817=SottocategorieUscite[[#Headers],[Casa]],Data!$I817=SottocategorieUscite[[#Headers],[Utenze]],Data!$I817=SottocategorieUscite[[#Headers],[Business Uscite]],Data!$I817=SottocategorieUscite[[#Headers],[Banca]]),"$ -","")</f>
        <v/>
      </c>
      <c r="M817" s="59" t="str">
        <f>IF(OR($I817&lt;&gt;SottocategorieUscite[[#Headers],[Fuori Casa]],$I817&lt;&gt;SottocategorieUscite[[#Headers],[Varie Uscite]],$I817&lt;&gt;SottocategorieUscite[[#Headers],[Personali]],$I817&lt;&gt;SottocategorieUscite[[#Headers],[Lavoro]],$I817&lt;&gt;SottocategorieUscite[[#Headers],[Casa]],$I817&lt;&gt;SottocategorieUscite[[#Headers],[Utenze]],$I817&lt;&gt;SottocategorieUscite[[#Headers],[Business Uscite]],$I817&lt;&gt;SottocategorieUscite[[#Headers],[Banca]]),"","$ -")</f>
        <v/>
      </c>
      <c r="N817" s="59" t="str">
        <f>IF(OR(Data!$I817=SottocategorieEntrate[[#Headers],[Business Entrate]],Data!$I817=SottocategorieEntrate[[#Headers],[Varie Entrate]]),"$ -","")</f>
        <v/>
      </c>
      <c r="O817" s="59" t="str">
        <f>IF(OR(Data!$I817=SottocategorieEntrate[[#Headers],[Real Estate]],SottocategorieEntrate[[#Headers],[Other]]),"$ -","")</f>
        <v/>
      </c>
      <c r="P817" s="59" t="str">
        <f>IF(OR($I817&lt;&gt;SottocategorieEntrate[[#Headers],[Business Entrate]],$I817&lt;&gt;SottocategorieEntrate[[#Headers],[Varie Entrate]],$I817&lt;&gt;SottocategorieEntrate[[#Headers],[Real Estate]],$I817&lt;&gt;SottocategorieEntrate[[#Headers],[Other]]),"","$ -")</f>
        <v/>
      </c>
      <c r="Q817" s="59" t="str">
        <f>IF(Dati[[#This Row],[Categoria]]="Prelievo","€ -","")</f>
        <v/>
      </c>
      <c r="R817" s="244"/>
      <c r="S817" s="59" t="str">
        <f>IF(Dati[[#This Row],[Categoria]]="Savings",0,"")</f>
        <v/>
      </c>
      <c r="T817" s="59"/>
      <c r="U817" s="59"/>
      <c r="V817" s="59"/>
      <c r="W817" s="59"/>
      <c r="X817" s="59"/>
      <c r="Y817" s="59"/>
      <c r="Z817" s="59"/>
      <c r="AA817" s="59"/>
      <c r="AB817" s="59"/>
      <c r="AC817" s="59"/>
      <c r="AD817" s="59"/>
      <c r="AE817" s="59"/>
      <c r="AF817" s="59"/>
      <c r="AG817" s="59"/>
      <c r="AH817" s="59"/>
      <c r="AI817" s="59" t="str">
        <f>IF(SUM(Dati[[#This Row],[Inv. Business]:[Inv. Cryptocurrency]])=0," ",SUM(Dati[[#This Row],[Inv. Business]:[Inv. Cryptocurrency]]))</f>
        <v xml:space="preserve"> </v>
      </c>
      <c r="AJ817" s="59"/>
      <c r="AK817" s="59"/>
      <c r="AL817" s="59"/>
      <c r="AM817" s="59"/>
    </row>
    <row r="818" spans="2:39" x14ac:dyDescent="0.35">
      <c r="B818" s="237">
        <f t="shared" si="41"/>
        <v>798</v>
      </c>
      <c r="C818" s="49">
        <f t="shared" si="39"/>
        <v>45547</v>
      </c>
      <c r="D818" s="29">
        <f>DAY(Dati[[#This Row],[Data]])</f>
        <v>12</v>
      </c>
      <c r="E818" s="29" t="str">
        <f>IF(DAY(Data!$C$21:$C$1327)&gt;0,TEXT(Data!$C$21:$C$1327, "mmmm"),"")</f>
        <v>settembre</v>
      </c>
      <c r="F818" s="29" t="str">
        <f>IF(DAY(Data!$C$21:$C$1327)&gt;0,TEXT(Data!$C$21:$C$1327, "aaaa"),"")</f>
        <v>2024</v>
      </c>
      <c r="I818" t="str">
        <f>IF(OR(H818=$B$5,H818=$B$6,H818=$B$7,H818=$B$8,H818=$B$9,H818=$B$10,H818=$B$11,H818=$B$12,H818=$B$13,H818=$B$14),SottocategorieUscite[[#Headers],[Fuori Casa]],IF(OR(H818=$C$5,H818=$C$6,H818=$C$7,H818=$C$8,H818=$C$9,H818=$C$10,H818=$C$11,H818=$C$12,H818=$C$13,H818=$C$14),SottocategorieUscite[[#Headers],[Varie Uscite]],IF(OR(H818=$D$5,H818=$D$6,H818=$D$7,H818=$D$8,H818=$D$9,H818=$D$10,H818=$D$11,H818=$D$12,H818=$D$13,H818=$D$14),SottocategorieUscite[[#Headers],[Personali]],IF(OR(H818=$E$5,H818=$E$6,H818=$E$7,H818=$E$8,H818=$E$9,H818=$E$10,H818=$E$11,H818=$E$12,H818=$E$13,H818=$E$14),SottocategorieUscite[[#Headers],[Lavoro]],IF(OR(H818=$F$5,H818=$F$6,H818=$F$7,H818=$F$8,H818=$F$9,H818=$F$10,H818=$F$11,H818=$F$12,H818=$F$13,H818=$F$14),SottocategorieUscite[[#Headers],[Casa]],IF(OR(H818=$G$5,H818=$G$6,H818=$G$7,H818=$G$8,H818=$G$9,H818=$G$10,H818=$G$11,H818=$G$12,H818=$G$13,H818=$G$14),SottocategorieUscite[[#Headers],[Utenze]],IF(OR(H818=$H$5,H818=$H$6,H818=$H$7,H818=$H$8,H818=$H$9,H818=$H$10,H818=$H$11,H818=$H$12,H818=$H$13,H818=$H$14),SottocategorieUscite[[#Headers],[Business Uscite]],IF(OR(H818=$I$5,H818=$I$6,H818=$I$7,H818=$I$8,H818=$I$9,H818=$I$10,H818=$I$11,H818=$I$12,H818=$I$13,H818=$I$14),SottocategorieUscite[[#Headers],[Banca]],IF(OR(H818=K$5,H818=K$6,H818=K$7,H818=K$8,H818=K$9,H818=K$10,H818=K$11,H818=K$12,H818=K$13,H818=K$14),SottocategorieEntrate[[#Headers],[Business Entrate]],IF(OR(H818=L$5,H818=L$6,H818=L$7,H818=L$8,H818=L$9,H818=L$10,H818=L$11,H818=L$12,H818=L$13,H818=L$14),SottocategorieEntrate[[#Headers],[Varie Entrate]],IF(OR(H818=M$5,H818=M$6,H818=M$7,H818=M$8,H818=M$9,H818=M$10,H818=M$11,H818=M$12,H818=M$13,H818=M$14),SottocategorieEntrate[[#Headers],[Real Estate]],IF(OR(H818=N$5,H818=N$6,H818=N$7,H818=N$8,H818=N$9,H818=N$10,H818=N$11,H818=N$12,H818=N$13,H818=N$14),SottocategorieEntrate[[#Headers],[Other]],""))))))))))))</f>
        <v/>
      </c>
      <c r="J818" t="str">
        <f>IF(OR(Dati[[#This Row],[Categoria]]="Bollette",Dati[[#This Row],[Categoria]]="Conto &amp; Carte BNL",Dati[[#This Row],[Categoria]]="Prelievo",Dati[[#This Row],[Categoria]]="Affitto",Dati[[#This Row],[Categoria]]="BNL(Interessi Creditori)"),"Carta",IF(Dati[[#This Row],[Categoria]]&lt;&gt;0,"Cash",""))</f>
        <v/>
      </c>
      <c r="K818" s="59" t="str">
        <f>IF(OR(Data!$I818=SottocategorieUscite[[#Headers],[Fuori Casa]],Data!$I818=SottocategorieUscite[[#Headers],[Varie Uscite]],Data!$I818=SottocategorieUscite[[#Headers],[Personali]],Data!$I818=SottocategorieUscite[[#Headers],[Lavoro]]),"$ -","")</f>
        <v/>
      </c>
      <c r="L818" s="59" t="str">
        <f>IF(OR(Data!$I818=SottocategorieUscite[[#Headers],[Casa]],Data!$I818=SottocategorieUscite[[#Headers],[Utenze]],Data!$I818=SottocategorieUscite[[#Headers],[Business Uscite]],Data!$I818=SottocategorieUscite[[#Headers],[Banca]]),"$ -","")</f>
        <v/>
      </c>
      <c r="M818" s="59" t="str">
        <f>IF(OR($I818&lt;&gt;SottocategorieUscite[[#Headers],[Fuori Casa]],$I818&lt;&gt;SottocategorieUscite[[#Headers],[Varie Uscite]],$I818&lt;&gt;SottocategorieUscite[[#Headers],[Personali]],$I818&lt;&gt;SottocategorieUscite[[#Headers],[Lavoro]],$I818&lt;&gt;SottocategorieUscite[[#Headers],[Casa]],$I818&lt;&gt;SottocategorieUscite[[#Headers],[Utenze]],$I818&lt;&gt;SottocategorieUscite[[#Headers],[Business Uscite]],$I818&lt;&gt;SottocategorieUscite[[#Headers],[Banca]]),"","$ -")</f>
        <v/>
      </c>
      <c r="N818" s="59" t="str">
        <f>IF(OR(Data!$I818=SottocategorieEntrate[[#Headers],[Business Entrate]],Data!$I818=SottocategorieEntrate[[#Headers],[Varie Entrate]]),"$ -","")</f>
        <v/>
      </c>
      <c r="O818" s="59" t="str">
        <f>IF(OR(Data!$I818=SottocategorieEntrate[[#Headers],[Real Estate]],SottocategorieEntrate[[#Headers],[Other]]),"$ -","")</f>
        <v/>
      </c>
      <c r="P818" s="59" t="str">
        <f>IF(OR($I818&lt;&gt;SottocategorieEntrate[[#Headers],[Business Entrate]],$I818&lt;&gt;SottocategorieEntrate[[#Headers],[Varie Entrate]],$I818&lt;&gt;SottocategorieEntrate[[#Headers],[Real Estate]],$I818&lt;&gt;SottocategorieEntrate[[#Headers],[Other]]),"","$ -")</f>
        <v/>
      </c>
      <c r="Q818" s="59" t="str">
        <f>IF(Dati[[#This Row],[Categoria]]="Prelievo","€ -","")</f>
        <v/>
      </c>
      <c r="R818" s="244"/>
      <c r="S818" s="59" t="str">
        <f>IF(Dati[[#This Row],[Categoria]]="Savings",0,"")</f>
        <v/>
      </c>
      <c r="T818" s="59"/>
      <c r="U818" s="59"/>
      <c r="V818" s="59"/>
      <c r="W818" s="59"/>
      <c r="X818" s="59"/>
      <c r="Y818" s="59"/>
      <c r="Z818" s="59"/>
      <c r="AA818" s="59"/>
      <c r="AB818" s="59"/>
      <c r="AC818" s="59"/>
      <c r="AD818" s="59"/>
      <c r="AE818" s="59"/>
      <c r="AF818" s="59"/>
      <c r="AG818" s="59"/>
      <c r="AH818" s="59"/>
      <c r="AI818" s="59" t="str">
        <f>IF(SUM(Dati[[#This Row],[Inv. Business]:[Inv. Cryptocurrency]])=0," ",SUM(Dati[[#This Row],[Inv. Business]:[Inv. Cryptocurrency]]))</f>
        <v xml:space="preserve"> </v>
      </c>
      <c r="AJ818" s="59"/>
      <c r="AK818" s="59"/>
      <c r="AL818" s="59"/>
      <c r="AM818" s="59"/>
    </row>
    <row r="819" spans="2:39" x14ac:dyDescent="0.35">
      <c r="B819" s="237">
        <f t="shared" si="41"/>
        <v>799</v>
      </c>
      <c r="C819" s="49">
        <f t="shared" si="39"/>
        <v>45548</v>
      </c>
      <c r="D819" s="29">
        <f>DAY(Dati[[#This Row],[Data]])</f>
        <v>13</v>
      </c>
      <c r="E819" s="29" t="str">
        <f>IF(DAY(Data!$C$21:$C$1327)&gt;0,TEXT(Data!$C$21:$C$1327, "mmmm"),"")</f>
        <v>settembre</v>
      </c>
      <c r="F819" s="29" t="str">
        <f>IF(DAY(Data!$C$21:$C$1327)&gt;0,TEXT(Data!$C$21:$C$1327, "aaaa"),"")</f>
        <v>2024</v>
      </c>
      <c r="I819" t="str">
        <f>IF(OR(H819=$B$5,H819=$B$6,H819=$B$7,H819=$B$8,H819=$B$9,H819=$B$10,H819=$B$11,H819=$B$12,H819=$B$13,H819=$B$14),SottocategorieUscite[[#Headers],[Fuori Casa]],IF(OR(H819=$C$5,H819=$C$6,H819=$C$7,H819=$C$8,H819=$C$9,H819=$C$10,H819=$C$11,H819=$C$12,H819=$C$13,H819=$C$14),SottocategorieUscite[[#Headers],[Varie Uscite]],IF(OR(H819=$D$5,H819=$D$6,H819=$D$7,H819=$D$8,H819=$D$9,H819=$D$10,H819=$D$11,H819=$D$12,H819=$D$13,H819=$D$14),SottocategorieUscite[[#Headers],[Personali]],IF(OR(H819=$E$5,H819=$E$6,H819=$E$7,H819=$E$8,H819=$E$9,H819=$E$10,H819=$E$11,H819=$E$12,H819=$E$13,H819=$E$14),SottocategorieUscite[[#Headers],[Lavoro]],IF(OR(H819=$F$5,H819=$F$6,H819=$F$7,H819=$F$8,H819=$F$9,H819=$F$10,H819=$F$11,H819=$F$12,H819=$F$13,H819=$F$14),SottocategorieUscite[[#Headers],[Casa]],IF(OR(H819=$G$5,H819=$G$6,H819=$G$7,H819=$G$8,H819=$G$9,H819=$G$10,H819=$G$11,H819=$G$12,H819=$G$13,H819=$G$14),SottocategorieUscite[[#Headers],[Utenze]],IF(OR(H819=$H$5,H819=$H$6,H819=$H$7,H819=$H$8,H819=$H$9,H819=$H$10,H819=$H$11,H819=$H$12,H819=$H$13,H819=$H$14),SottocategorieUscite[[#Headers],[Business Uscite]],IF(OR(H819=$I$5,H819=$I$6,H819=$I$7,H819=$I$8,H819=$I$9,H819=$I$10,H819=$I$11,H819=$I$12,H819=$I$13,H819=$I$14),SottocategorieUscite[[#Headers],[Banca]],IF(OR(H819=K$5,H819=K$6,H819=K$7,H819=K$8,H819=K$9,H819=K$10,H819=K$11,H819=K$12,H819=K$13,H819=K$14),SottocategorieEntrate[[#Headers],[Business Entrate]],IF(OR(H819=L$5,H819=L$6,H819=L$7,H819=L$8,H819=L$9,H819=L$10,H819=L$11,H819=L$12,H819=L$13,H819=L$14),SottocategorieEntrate[[#Headers],[Varie Entrate]],IF(OR(H819=M$5,H819=M$6,H819=M$7,H819=M$8,H819=M$9,H819=M$10,H819=M$11,H819=M$12,H819=M$13,H819=M$14),SottocategorieEntrate[[#Headers],[Real Estate]],IF(OR(H819=N$5,H819=N$6,H819=N$7,H819=N$8,H819=N$9,H819=N$10,H819=N$11,H819=N$12,H819=N$13,H819=N$14),SottocategorieEntrate[[#Headers],[Other]],""))))))))))))</f>
        <v/>
      </c>
      <c r="J819" t="str">
        <f>IF(OR(Dati[[#This Row],[Categoria]]="Bollette",Dati[[#This Row],[Categoria]]="Conto &amp; Carte BNL",Dati[[#This Row],[Categoria]]="Prelievo",Dati[[#This Row],[Categoria]]="Affitto",Dati[[#This Row],[Categoria]]="BNL(Interessi Creditori)"),"Carta",IF(Dati[[#This Row],[Categoria]]&lt;&gt;0,"Cash",""))</f>
        <v/>
      </c>
      <c r="K819" s="59" t="str">
        <f>IF(OR(Data!$I819=SottocategorieUscite[[#Headers],[Fuori Casa]],Data!$I819=SottocategorieUscite[[#Headers],[Varie Uscite]],Data!$I819=SottocategorieUscite[[#Headers],[Personali]],Data!$I819=SottocategorieUscite[[#Headers],[Lavoro]]),"$ -","")</f>
        <v/>
      </c>
      <c r="L819" s="59" t="str">
        <f>IF(OR(Data!$I819=SottocategorieUscite[[#Headers],[Casa]],Data!$I819=SottocategorieUscite[[#Headers],[Utenze]],Data!$I819=SottocategorieUscite[[#Headers],[Business Uscite]],Data!$I819=SottocategorieUscite[[#Headers],[Banca]]),"$ -","")</f>
        <v/>
      </c>
      <c r="M819" s="59" t="str">
        <f>IF(OR($I819&lt;&gt;SottocategorieUscite[[#Headers],[Fuori Casa]],$I819&lt;&gt;SottocategorieUscite[[#Headers],[Varie Uscite]],$I819&lt;&gt;SottocategorieUscite[[#Headers],[Personali]],$I819&lt;&gt;SottocategorieUscite[[#Headers],[Lavoro]],$I819&lt;&gt;SottocategorieUscite[[#Headers],[Casa]],$I819&lt;&gt;SottocategorieUscite[[#Headers],[Utenze]],$I819&lt;&gt;SottocategorieUscite[[#Headers],[Business Uscite]],$I819&lt;&gt;SottocategorieUscite[[#Headers],[Banca]]),"","$ -")</f>
        <v/>
      </c>
      <c r="N819" s="59" t="str">
        <f>IF(OR(Data!$I819=SottocategorieEntrate[[#Headers],[Business Entrate]],Data!$I819=SottocategorieEntrate[[#Headers],[Varie Entrate]]),"$ -","")</f>
        <v/>
      </c>
      <c r="O819" s="59" t="str">
        <f>IF(OR(Data!$I819=SottocategorieEntrate[[#Headers],[Real Estate]],SottocategorieEntrate[[#Headers],[Other]]),"$ -","")</f>
        <v/>
      </c>
      <c r="P819" s="59" t="str">
        <f>IF(OR($I819&lt;&gt;SottocategorieEntrate[[#Headers],[Business Entrate]],$I819&lt;&gt;SottocategorieEntrate[[#Headers],[Varie Entrate]],$I819&lt;&gt;SottocategorieEntrate[[#Headers],[Real Estate]],$I819&lt;&gt;SottocategorieEntrate[[#Headers],[Other]]),"","$ -")</f>
        <v/>
      </c>
      <c r="Q819" s="59" t="str">
        <f>IF(Dati[[#This Row],[Categoria]]="Prelievo","€ -","")</f>
        <v/>
      </c>
      <c r="R819" s="244"/>
      <c r="S819" s="59" t="str">
        <f>IF(Dati[[#This Row],[Categoria]]="Savings",0,"")</f>
        <v/>
      </c>
      <c r="T819" s="59"/>
      <c r="U819" s="59"/>
      <c r="V819" s="59"/>
      <c r="W819" s="59"/>
      <c r="X819" s="59"/>
      <c r="Y819" s="59"/>
      <c r="Z819" s="59"/>
      <c r="AA819" s="59"/>
      <c r="AB819" s="59"/>
      <c r="AC819" s="59"/>
      <c r="AD819" s="59"/>
      <c r="AE819" s="59"/>
      <c r="AF819" s="59"/>
      <c r="AG819" s="59"/>
      <c r="AH819" s="59"/>
      <c r="AI819" s="59" t="str">
        <f>IF(SUM(Dati[[#This Row],[Inv. Business]:[Inv. Cryptocurrency]])=0," ",SUM(Dati[[#This Row],[Inv. Business]:[Inv. Cryptocurrency]]))</f>
        <v xml:space="preserve"> </v>
      </c>
      <c r="AJ819" s="59"/>
      <c r="AK819" s="59"/>
      <c r="AL819" s="59"/>
      <c r="AM819" s="59"/>
    </row>
    <row r="820" spans="2:39" x14ac:dyDescent="0.35">
      <c r="B820" s="237">
        <f t="shared" si="41"/>
        <v>800</v>
      </c>
      <c r="C820" s="49">
        <f t="shared" si="39"/>
        <v>45549</v>
      </c>
      <c r="D820" s="29">
        <f>DAY(Dati[[#This Row],[Data]])</f>
        <v>14</v>
      </c>
      <c r="E820" s="29" t="str">
        <f>IF(DAY(Data!$C$21:$C$1327)&gt;0,TEXT(Data!$C$21:$C$1327, "mmmm"),"")</f>
        <v>settembre</v>
      </c>
      <c r="F820" s="29" t="str">
        <f>IF(DAY(Data!$C$21:$C$1327)&gt;0,TEXT(Data!$C$21:$C$1327, "aaaa"),"")</f>
        <v>2024</v>
      </c>
      <c r="I820" t="str">
        <f>IF(OR(H820=$B$5,H820=$B$6,H820=$B$7,H820=$B$8,H820=$B$9,H820=$B$10,H820=$B$11,H820=$B$12,H820=$B$13,H820=$B$14),SottocategorieUscite[[#Headers],[Fuori Casa]],IF(OR(H820=$C$5,H820=$C$6,H820=$C$7,H820=$C$8,H820=$C$9,H820=$C$10,H820=$C$11,H820=$C$12,H820=$C$13,H820=$C$14),SottocategorieUscite[[#Headers],[Varie Uscite]],IF(OR(H820=$D$5,H820=$D$6,H820=$D$7,H820=$D$8,H820=$D$9,H820=$D$10,H820=$D$11,H820=$D$12,H820=$D$13,H820=$D$14),SottocategorieUscite[[#Headers],[Personali]],IF(OR(H820=$E$5,H820=$E$6,H820=$E$7,H820=$E$8,H820=$E$9,H820=$E$10,H820=$E$11,H820=$E$12,H820=$E$13,H820=$E$14),SottocategorieUscite[[#Headers],[Lavoro]],IF(OR(H820=$F$5,H820=$F$6,H820=$F$7,H820=$F$8,H820=$F$9,H820=$F$10,H820=$F$11,H820=$F$12,H820=$F$13,H820=$F$14),SottocategorieUscite[[#Headers],[Casa]],IF(OR(H820=$G$5,H820=$G$6,H820=$G$7,H820=$G$8,H820=$G$9,H820=$G$10,H820=$G$11,H820=$G$12,H820=$G$13,H820=$G$14),SottocategorieUscite[[#Headers],[Utenze]],IF(OR(H820=$H$5,H820=$H$6,H820=$H$7,H820=$H$8,H820=$H$9,H820=$H$10,H820=$H$11,H820=$H$12,H820=$H$13,H820=$H$14),SottocategorieUscite[[#Headers],[Business Uscite]],IF(OR(H820=$I$5,H820=$I$6,H820=$I$7,H820=$I$8,H820=$I$9,H820=$I$10,H820=$I$11,H820=$I$12,H820=$I$13,H820=$I$14),SottocategorieUscite[[#Headers],[Banca]],IF(OR(H820=K$5,H820=K$6,H820=K$7,H820=K$8,H820=K$9,H820=K$10,H820=K$11,H820=K$12,H820=K$13,H820=K$14),SottocategorieEntrate[[#Headers],[Business Entrate]],IF(OR(H820=L$5,H820=L$6,H820=L$7,H820=L$8,H820=L$9,H820=L$10,H820=L$11,H820=L$12,H820=L$13,H820=L$14),SottocategorieEntrate[[#Headers],[Varie Entrate]],IF(OR(H820=M$5,H820=M$6,H820=M$7,H820=M$8,H820=M$9,H820=M$10,H820=M$11,H820=M$12,H820=M$13,H820=M$14),SottocategorieEntrate[[#Headers],[Real Estate]],IF(OR(H820=N$5,H820=N$6,H820=N$7,H820=N$8,H820=N$9,H820=N$10,H820=N$11,H820=N$12,H820=N$13,H820=N$14),SottocategorieEntrate[[#Headers],[Other]],""))))))))))))</f>
        <v/>
      </c>
      <c r="J820" t="str">
        <f>IF(OR(Dati[[#This Row],[Categoria]]="Bollette",Dati[[#This Row],[Categoria]]="Conto &amp; Carte BNL",Dati[[#This Row],[Categoria]]="Prelievo",Dati[[#This Row],[Categoria]]="Affitto",Dati[[#This Row],[Categoria]]="BNL(Interessi Creditori)"),"Carta",IF(Dati[[#This Row],[Categoria]]&lt;&gt;0,"Cash",""))</f>
        <v/>
      </c>
      <c r="K820" s="59" t="str">
        <f>IF(OR(Data!$I820=SottocategorieUscite[[#Headers],[Fuori Casa]],Data!$I820=SottocategorieUscite[[#Headers],[Varie Uscite]],Data!$I820=SottocategorieUscite[[#Headers],[Personali]],Data!$I820=SottocategorieUscite[[#Headers],[Lavoro]]),"$ -","")</f>
        <v/>
      </c>
      <c r="L820" s="59" t="str">
        <f>IF(OR(Data!$I820=SottocategorieUscite[[#Headers],[Casa]],Data!$I820=SottocategorieUscite[[#Headers],[Utenze]],Data!$I820=SottocategorieUscite[[#Headers],[Business Uscite]],Data!$I820=SottocategorieUscite[[#Headers],[Banca]]),"$ -","")</f>
        <v/>
      </c>
      <c r="M820" s="59" t="str">
        <f>IF(OR($I820&lt;&gt;SottocategorieUscite[[#Headers],[Fuori Casa]],$I820&lt;&gt;SottocategorieUscite[[#Headers],[Varie Uscite]],$I820&lt;&gt;SottocategorieUscite[[#Headers],[Personali]],$I820&lt;&gt;SottocategorieUscite[[#Headers],[Lavoro]],$I820&lt;&gt;SottocategorieUscite[[#Headers],[Casa]],$I820&lt;&gt;SottocategorieUscite[[#Headers],[Utenze]],$I820&lt;&gt;SottocategorieUscite[[#Headers],[Business Uscite]],$I820&lt;&gt;SottocategorieUscite[[#Headers],[Banca]]),"","$ -")</f>
        <v/>
      </c>
      <c r="N820" s="59" t="str">
        <f>IF(OR(Data!$I820=SottocategorieEntrate[[#Headers],[Business Entrate]],Data!$I820=SottocategorieEntrate[[#Headers],[Varie Entrate]]),"$ -","")</f>
        <v/>
      </c>
      <c r="O820" s="59" t="str">
        <f>IF(OR(Data!$I820=SottocategorieEntrate[[#Headers],[Real Estate]],SottocategorieEntrate[[#Headers],[Other]]),"$ -","")</f>
        <v/>
      </c>
      <c r="P820" s="59" t="str">
        <f>IF(OR($I820&lt;&gt;SottocategorieEntrate[[#Headers],[Business Entrate]],$I820&lt;&gt;SottocategorieEntrate[[#Headers],[Varie Entrate]],$I820&lt;&gt;SottocategorieEntrate[[#Headers],[Real Estate]],$I820&lt;&gt;SottocategorieEntrate[[#Headers],[Other]]),"","$ -")</f>
        <v/>
      </c>
      <c r="Q820" s="59" t="str">
        <f>IF(Dati[[#This Row],[Categoria]]="Prelievo","€ -","")</f>
        <v/>
      </c>
      <c r="R820" s="244"/>
      <c r="S820" s="59" t="str">
        <f>IF(Dati[[#This Row],[Categoria]]="Savings",0,"")</f>
        <v/>
      </c>
      <c r="T820" s="59"/>
      <c r="U820" s="59"/>
      <c r="V820" s="59"/>
      <c r="W820" s="59"/>
      <c r="X820" s="59"/>
      <c r="Y820" s="59"/>
      <c r="Z820" s="59"/>
      <c r="AA820" s="59"/>
      <c r="AB820" s="59"/>
      <c r="AC820" s="59"/>
      <c r="AD820" s="59"/>
      <c r="AE820" s="59"/>
      <c r="AF820" s="59"/>
      <c r="AG820" s="59"/>
      <c r="AH820" s="59"/>
      <c r="AI820" s="59" t="str">
        <f>IF(SUM(Dati[[#This Row],[Inv. Business]:[Inv. Cryptocurrency]])=0," ",SUM(Dati[[#This Row],[Inv. Business]:[Inv. Cryptocurrency]]))</f>
        <v xml:space="preserve"> </v>
      </c>
      <c r="AJ820" s="59"/>
      <c r="AK820" s="59"/>
      <c r="AL820" s="59"/>
      <c r="AM820" s="59"/>
    </row>
    <row r="821" spans="2:39" x14ac:dyDescent="0.35">
      <c r="B821" s="237">
        <f t="shared" si="41"/>
        <v>801</v>
      </c>
      <c r="C821" s="49">
        <f t="shared" si="39"/>
        <v>45550</v>
      </c>
      <c r="D821" s="29">
        <f>DAY(Dati[[#This Row],[Data]])</f>
        <v>15</v>
      </c>
      <c r="E821" s="29" t="str">
        <f>IF(DAY(Data!$C$21:$C$1327)&gt;0,TEXT(Data!$C$21:$C$1327, "mmmm"),"")</f>
        <v>settembre</v>
      </c>
      <c r="F821" s="29" t="str">
        <f>IF(DAY(Data!$C$21:$C$1327)&gt;0,TEXT(Data!$C$21:$C$1327, "aaaa"),"")</f>
        <v>2024</v>
      </c>
      <c r="I821" t="str">
        <f>IF(OR(H821=$B$5,H821=$B$6,H821=$B$7,H821=$B$8,H821=$B$9,H821=$B$10,H821=$B$11,H821=$B$12,H821=$B$13,H821=$B$14),SottocategorieUscite[[#Headers],[Fuori Casa]],IF(OR(H821=$C$5,H821=$C$6,H821=$C$7,H821=$C$8,H821=$C$9,H821=$C$10,H821=$C$11,H821=$C$12,H821=$C$13,H821=$C$14),SottocategorieUscite[[#Headers],[Varie Uscite]],IF(OR(H821=$D$5,H821=$D$6,H821=$D$7,H821=$D$8,H821=$D$9,H821=$D$10,H821=$D$11,H821=$D$12,H821=$D$13,H821=$D$14),SottocategorieUscite[[#Headers],[Personali]],IF(OR(H821=$E$5,H821=$E$6,H821=$E$7,H821=$E$8,H821=$E$9,H821=$E$10,H821=$E$11,H821=$E$12,H821=$E$13,H821=$E$14),SottocategorieUscite[[#Headers],[Lavoro]],IF(OR(H821=$F$5,H821=$F$6,H821=$F$7,H821=$F$8,H821=$F$9,H821=$F$10,H821=$F$11,H821=$F$12,H821=$F$13,H821=$F$14),SottocategorieUscite[[#Headers],[Casa]],IF(OR(H821=$G$5,H821=$G$6,H821=$G$7,H821=$G$8,H821=$G$9,H821=$G$10,H821=$G$11,H821=$G$12,H821=$G$13,H821=$G$14),SottocategorieUscite[[#Headers],[Utenze]],IF(OR(H821=$H$5,H821=$H$6,H821=$H$7,H821=$H$8,H821=$H$9,H821=$H$10,H821=$H$11,H821=$H$12,H821=$H$13,H821=$H$14),SottocategorieUscite[[#Headers],[Business Uscite]],IF(OR(H821=$I$5,H821=$I$6,H821=$I$7,H821=$I$8,H821=$I$9,H821=$I$10,H821=$I$11,H821=$I$12,H821=$I$13,H821=$I$14),SottocategorieUscite[[#Headers],[Banca]],IF(OR(H821=K$5,H821=K$6,H821=K$7,H821=K$8,H821=K$9,H821=K$10,H821=K$11,H821=K$12,H821=K$13,H821=K$14),SottocategorieEntrate[[#Headers],[Business Entrate]],IF(OR(H821=L$5,H821=L$6,H821=L$7,H821=L$8,H821=L$9,H821=L$10,H821=L$11,H821=L$12,H821=L$13,H821=L$14),SottocategorieEntrate[[#Headers],[Varie Entrate]],IF(OR(H821=M$5,H821=M$6,H821=M$7,H821=M$8,H821=M$9,H821=M$10,H821=M$11,H821=M$12,H821=M$13,H821=M$14),SottocategorieEntrate[[#Headers],[Real Estate]],IF(OR(H821=N$5,H821=N$6,H821=N$7,H821=N$8,H821=N$9,H821=N$10,H821=N$11,H821=N$12,H821=N$13,H821=N$14),SottocategorieEntrate[[#Headers],[Other]],""))))))))))))</f>
        <v/>
      </c>
      <c r="J821" t="str">
        <f>IF(OR(Dati[[#This Row],[Categoria]]="Bollette",Dati[[#This Row],[Categoria]]="Conto &amp; Carte BNL",Dati[[#This Row],[Categoria]]="Prelievo",Dati[[#This Row],[Categoria]]="Affitto",Dati[[#This Row],[Categoria]]="BNL(Interessi Creditori)"),"Carta",IF(Dati[[#This Row],[Categoria]]&lt;&gt;0,"Cash",""))</f>
        <v/>
      </c>
      <c r="K821" s="59" t="str">
        <f>IF(OR(Data!$I821=SottocategorieUscite[[#Headers],[Fuori Casa]],Data!$I821=SottocategorieUscite[[#Headers],[Varie Uscite]],Data!$I821=SottocategorieUscite[[#Headers],[Personali]],Data!$I821=SottocategorieUscite[[#Headers],[Lavoro]]),"$ -","")</f>
        <v/>
      </c>
      <c r="L821" s="59" t="str">
        <f>IF(OR(Data!$I821=SottocategorieUscite[[#Headers],[Casa]],Data!$I821=SottocategorieUscite[[#Headers],[Utenze]],Data!$I821=SottocategorieUscite[[#Headers],[Business Uscite]],Data!$I821=SottocategorieUscite[[#Headers],[Banca]]),"$ -","")</f>
        <v/>
      </c>
      <c r="M821" s="59" t="str">
        <f>IF(OR($I821&lt;&gt;SottocategorieUscite[[#Headers],[Fuori Casa]],$I821&lt;&gt;SottocategorieUscite[[#Headers],[Varie Uscite]],$I821&lt;&gt;SottocategorieUscite[[#Headers],[Personali]],$I821&lt;&gt;SottocategorieUscite[[#Headers],[Lavoro]],$I821&lt;&gt;SottocategorieUscite[[#Headers],[Casa]],$I821&lt;&gt;SottocategorieUscite[[#Headers],[Utenze]],$I821&lt;&gt;SottocategorieUscite[[#Headers],[Business Uscite]],$I821&lt;&gt;SottocategorieUscite[[#Headers],[Banca]]),"","$ -")</f>
        <v/>
      </c>
      <c r="N821" s="59" t="str">
        <f>IF(OR(Data!$I821=SottocategorieEntrate[[#Headers],[Business Entrate]],Data!$I821=SottocategorieEntrate[[#Headers],[Varie Entrate]]),"$ -","")</f>
        <v/>
      </c>
      <c r="O821" s="59" t="str">
        <f>IF(OR(Data!$I821=SottocategorieEntrate[[#Headers],[Real Estate]],SottocategorieEntrate[[#Headers],[Other]]),"$ -","")</f>
        <v/>
      </c>
      <c r="P821" s="59" t="str">
        <f>IF(OR($I821&lt;&gt;SottocategorieEntrate[[#Headers],[Business Entrate]],$I821&lt;&gt;SottocategorieEntrate[[#Headers],[Varie Entrate]],$I821&lt;&gt;SottocategorieEntrate[[#Headers],[Real Estate]],$I821&lt;&gt;SottocategorieEntrate[[#Headers],[Other]]),"","$ -")</f>
        <v/>
      </c>
      <c r="Q821" s="59" t="str">
        <f>IF(Dati[[#This Row],[Categoria]]="Prelievo","€ -","")</f>
        <v/>
      </c>
      <c r="R821" s="244"/>
      <c r="S821" s="59" t="str">
        <f>IF(Dati[[#This Row],[Categoria]]="Savings",0,"")</f>
        <v/>
      </c>
      <c r="T821" s="59"/>
      <c r="U821" s="59"/>
      <c r="V821" s="59"/>
      <c r="W821" s="59"/>
      <c r="X821" s="59"/>
      <c r="Y821" s="59"/>
      <c r="Z821" s="59"/>
      <c r="AA821" s="59"/>
      <c r="AB821" s="59"/>
      <c r="AC821" s="59"/>
      <c r="AD821" s="59"/>
      <c r="AE821" s="59"/>
      <c r="AF821" s="59"/>
      <c r="AG821" s="59"/>
      <c r="AH821" s="59"/>
      <c r="AI821" s="59" t="str">
        <f>IF(SUM(Dati[[#This Row],[Inv. Business]:[Inv. Cryptocurrency]])=0," ",SUM(Dati[[#This Row],[Inv. Business]:[Inv. Cryptocurrency]]))</f>
        <v xml:space="preserve"> </v>
      </c>
      <c r="AJ821" s="59"/>
      <c r="AK821" s="59"/>
      <c r="AL821" s="59"/>
      <c r="AM821" s="59"/>
    </row>
    <row r="822" spans="2:39" x14ac:dyDescent="0.35">
      <c r="B822" s="237">
        <f t="shared" si="41"/>
        <v>802</v>
      </c>
      <c r="C822" s="49">
        <f t="shared" si="39"/>
        <v>45551</v>
      </c>
      <c r="D822" s="29">
        <f>DAY(Dati[[#This Row],[Data]])</f>
        <v>16</v>
      </c>
      <c r="E822" s="29" t="str">
        <f>IF(DAY(Data!$C$21:$C$1327)&gt;0,TEXT(Data!$C$21:$C$1327, "mmmm"),"")</f>
        <v>settembre</v>
      </c>
      <c r="F822" s="29" t="str">
        <f>IF(DAY(Data!$C$21:$C$1327)&gt;0,TEXT(Data!$C$21:$C$1327, "aaaa"),"")</f>
        <v>2024</v>
      </c>
      <c r="I822" t="str">
        <f>IF(OR(H822=$B$5,H822=$B$6,H822=$B$7,H822=$B$8,H822=$B$9,H822=$B$10,H822=$B$11,H822=$B$12,H822=$B$13,H822=$B$14),SottocategorieUscite[[#Headers],[Fuori Casa]],IF(OR(H822=$C$5,H822=$C$6,H822=$C$7,H822=$C$8,H822=$C$9,H822=$C$10,H822=$C$11,H822=$C$12,H822=$C$13,H822=$C$14),SottocategorieUscite[[#Headers],[Varie Uscite]],IF(OR(H822=$D$5,H822=$D$6,H822=$D$7,H822=$D$8,H822=$D$9,H822=$D$10,H822=$D$11,H822=$D$12,H822=$D$13,H822=$D$14),SottocategorieUscite[[#Headers],[Personali]],IF(OR(H822=$E$5,H822=$E$6,H822=$E$7,H822=$E$8,H822=$E$9,H822=$E$10,H822=$E$11,H822=$E$12,H822=$E$13,H822=$E$14),SottocategorieUscite[[#Headers],[Lavoro]],IF(OR(H822=$F$5,H822=$F$6,H822=$F$7,H822=$F$8,H822=$F$9,H822=$F$10,H822=$F$11,H822=$F$12,H822=$F$13,H822=$F$14),SottocategorieUscite[[#Headers],[Casa]],IF(OR(H822=$G$5,H822=$G$6,H822=$G$7,H822=$G$8,H822=$G$9,H822=$G$10,H822=$G$11,H822=$G$12,H822=$G$13,H822=$G$14),SottocategorieUscite[[#Headers],[Utenze]],IF(OR(H822=$H$5,H822=$H$6,H822=$H$7,H822=$H$8,H822=$H$9,H822=$H$10,H822=$H$11,H822=$H$12,H822=$H$13,H822=$H$14),SottocategorieUscite[[#Headers],[Business Uscite]],IF(OR(H822=$I$5,H822=$I$6,H822=$I$7,H822=$I$8,H822=$I$9,H822=$I$10,H822=$I$11,H822=$I$12,H822=$I$13,H822=$I$14),SottocategorieUscite[[#Headers],[Banca]],IF(OR(H822=K$5,H822=K$6,H822=K$7,H822=K$8,H822=K$9,H822=K$10,H822=K$11,H822=K$12,H822=K$13,H822=K$14),SottocategorieEntrate[[#Headers],[Business Entrate]],IF(OR(H822=L$5,H822=L$6,H822=L$7,H822=L$8,H822=L$9,H822=L$10,H822=L$11,H822=L$12,H822=L$13,H822=L$14),SottocategorieEntrate[[#Headers],[Varie Entrate]],IF(OR(H822=M$5,H822=M$6,H822=M$7,H822=M$8,H822=M$9,H822=M$10,H822=M$11,H822=M$12,H822=M$13,H822=M$14),SottocategorieEntrate[[#Headers],[Real Estate]],IF(OR(H822=N$5,H822=N$6,H822=N$7,H822=N$8,H822=N$9,H822=N$10,H822=N$11,H822=N$12,H822=N$13,H822=N$14),SottocategorieEntrate[[#Headers],[Other]],""))))))))))))</f>
        <v/>
      </c>
      <c r="J822" t="str">
        <f>IF(OR(Dati[[#This Row],[Categoria]]="Bollette",Dati[[#This Row],[Categoria]]="Conto &amp; Carte BNL",Dati[[#This Row],[Categoria]]="Prelievo",Dati[[#This Row],[Categoria]]="Affitto",Dati[[#This Row],[Categoria]]="BNL(Interessi Creditori)"),"Carta",IF(Dati[[#This Row],[Categoria]]&lt;&gt;0,"Cash",""))</f>
        <v/>
      </c>
      <c r="K822" s="59" t="str">
        <f>IF(OR(Data!$I822=SottocategorieUscite[[#Headers],[Fuori Casa]],Data!$I822=SottocategorieUscite[[#Headers],[Varie Uscite]],Data!$I822=SottocategorieUscite[[#Headers],[Personali]],Data!$I822=SottocategorieUscite[[#Headers],[Lavoro]]),"$ -","")</f>
        <v/>
      </c>
      <c r="L822" s="59" t="str">
        <f>IF(OR(Data!$I822=SottocategorieUscite[[#Headers],[Casa]],Data!$I822=SottocategorieUscite[[#Headers],[Utenze]],Data!$I822=SottocategorieUscite[[#Headers],[Business Uscite]],Data!$I822=SottocategorieUscite[[#Headers],[Banca]]),"$ -","")</f>
        <v/>
      </c>
      <c r="M822" s="59" t="str">
        <f>IF(OR($I822&lt;&gt;SottocategorieUscite[[#Headers],[Fuori Casa]],$I822&lt;&gt;SottocategorieUscite[[#Headers],[Varie Uscite]],$I822&lt;&gt;SottocategorieUscite[[#Headers],[Personali]],$I822&lt;&gt;SottocategorieUscite[[#Headers],[Lavoro]],$I822&lt;&gt;SottocategorieUscite[[#Headers],[Casa]],$I822&lt;&gt;SottocategorieUscite[[#Headers],[Utenze]],$I822&lt;&gt;SottocategorieUscite[[#Headers],[Business Uscite]],$I822&lt;&gt;SottocategorieUscite[[#Headers],[Banca]]),"","$ -")</f>
        <v/>
      </c>
      <c r="N822" s="59" t="str">
        <f>IF(OR(Data!$I822=SottocategorieEntrate[[#Headers],[Business Entrate]],Data!$I822=SottocategorieEntrate[[#Headers],[Varie Entrate]]),"$ -","")</f>
        <v/>
      </c>
      <c r="O822" s="59" t="str">
        <f>IF(OR(Data!$I822=SottocategorieEntrate[[#Headers],[Real Estate]],SottocategorieEntrate[[#Headers],[Other]]),"$ -","")</f>
        <v/>
      </c>
      <c r="P822" s="59" t="str">
        <f>IF(OR($I822&lt;&gt;SottocategorieEntrate[[#Headers],[Business Entrate]],$I822&lt;&gt;SottocategorieEntrate[[#Headers],[Varie Entrate]],$I822&lt;&gt;SottocategorieEntrate[[#Headers],[Real Estate]],$I822&lt;&gt;SottocategorieEntrate[[#Headers],[Other]]),"","$ -")</f>
        <v/>
      </c>
      <c r="Q822" s="59" t="str">
        <f>IF(Dati[[#This Row],[Categoria]]="Prelievo","€ -","")</f>
        <v/>
      </c>
      <c r="R822" s="244"/>
      <c r="S822" s="59" t="str">
        <f>IF(Dati[[#This Row],[Categoria]]="Savings",0,"")</f>
        <v/>
      </c>
      <c r="T822" s="59"/>
      <c r="U822" s="59"/>
      <c r="V822" s="59"/>
      <c r="W822" s="59"/>
      <c r="X822" s="59"/>
      <c r="Y822" s="59"/>
      <c r="Z822" s="59"/>
      <c r="AA822" s="59"/>
      <c r="AB822" s="59"/>
      <c r="AC822" s="59"/>
      <c r="AD822" s="59"/>
      <c r="AE822" s="59"/>
      <c r="AF822" s="59"/>
      <c r="AG822" s="59"/>
      <c r="AH822" s="59"/>
      <c r="AI822" s="59" t="str">
        <f>IF(SUM(Dati[[#This Row],[Inv. Business]:[Inv. Cryptocurrency]])=0," ",SUM(Dati[[#This Row],[Inv. Business]:[Inv. Cryptocurrency]]))</f>
        <v xml:space="preserve"> </v>
      </c>
      <c r="AJ822" s="59"/>
      <c r="AK822" s="59"/>
      <c r="AL822" s="59"/>
      <c r="AM822" s="59"/>
    </row>
    <row r="823" spans="2:39" x14ac:dyDescent="0.35">
      <c r="B823" s="237">
        <f t="shared" si="41"/>
        <v>803</v>
      </c>
      <c r="C823" s="49">
        <f t="shared" si="39"/>
        <v>45552</v>
      </c>
      <c r="D823" s="29">
        <f>DAY(Dati[[#This Row],[Data]])</f>
        <v>17</v>
      </c>
      <c r="E823" s="29" t="str">
        <f>IF(DAY(Data!$C$21:$C$1327)&gt;0,TEXT(Data!$C$21:$C$1327, "mmmm"),"")</f>
        <v>settembre</v>
      </c>
      <c r="F823" s="29" t="str">
        <f>IF(DAY(Data!$C$21:$C$1327)&gt;0,TEXT(Data!$C$21:$C$1327, "aaaa"),"")</f>
        <v>2024</v>
      </c>
      <c r="I823" t="str">
        <f>IF(OR(H823=$B$5,H823=$B$6,H823=$B$7,H823=$B$8,H823=$B$9,H823=$B$10,H823=$B$11,H823=$B$12,H823=$B$13,H823=$B$14),SottocategorieUscite[[#Headers],[Fuori Casa]],IF(OR(H823=$C$5,H823=$C$6,H823=$C$7,H823=$C$8,H823=$C$9,H823=$C$10,H823=$C$11,H823=$C$12,H823=$C$13,H823=$C$14),SottocategorieUscite[[#Headers],[Varie Uscite]],IF(OR(H823=$D$5,H823=$D$6,H823=$D$7,H823=$D$8,H823=$D$9,H823=$D$10,H823=$D$11,H823=$D$12,H823=$D$13,H823=$D$14),SottocategorieUscite[[#Headers],[Personali]],IF(OR(H823=$E$5,H823=$E$6,H823=$E$7,H823=$E$8,H823=$E$9,H823=$E$10,H823=$E$11,H823=$E$12,H823=$E$13,H823=$E$14),SottocategorieUscite[[#Headers],[Lavoro]],IF(OR(H823=$F$5,H823=$F$6,H823=$F$7,H823=$F$8,H823=$F$9,H823=$F$10,H823=$F$11,H823=$F$12,H823=$F$13,H823=$F$14),SottocategorieUscite[[#Headers],[Casa]],IF(OR(H823=$G$5,H823=$G$6,H823=$G$7,H823=$G$8,H823=$G$9,H823=$G$10,H823=$G$11,H823=$G$12,H823=$G$13,H823=$G$14),SottocategorieUscite[[#Headers],[Utenze]],IF(OR(H823=$H$5,H823=$H$6,H823=$H$7,H823=$H$8,H823=$H$9,H823=$H$10,H823=$H$11,H823=$H$12,H823=$H$13,H823=$H$14),SottocategorieUscite[[#Headers],[Business Uscite]],IF(OR(H823=$I$5,H823=$I$6,H823=$I$7,H823=$I$8,H823=$I$9,H823=$I$10,H823=$I$11,H823=$I$12,H823=$I$13,H823=$I$14),SottocategorieUscite[[#Headers],[Banca]],IF(OR(H823=K$5,H823=K$6,H823=K$7,H823=K$8,H823=K$9,H823=K$10,H823=K$11,H823=K$12,H823=K$13,H823=K$14),SottocategorieEntrate[[#Headers],[Business Entrate]],IF(OR(H823=L$5,H823=L$6,H823=L$7,H823=L$8,H823=L$9,H823=L$10,H823=L$11,H823=L$12,H823=L$13,H823=L$14),SottocategorieEntrate[[#Headers],[Varie Entrate]],IF(OR(H823=M$5,H823=M$6,H823=M$7,H823=M$8,H823=M$9,H823=M$10,H823=M$11,H823=M$12,H823=M$13,H823=M$14),SottocategorieEntrate[[#Headers],[Real Estate]],IF(OR(H823=N$5,H823=N$6,H823=N$7,H823=N$8,H823=N$9,H823=N$10,H823=N$11,H823=N$12,H823=N$13,H823=N$14),SottocategorieEntrate[[#Headers],[Other]],""))))))))))))</f>
        <v/>
      </c>
      <c r="J823" t="str">
        <f>IF(OR(Dati[[#This Row],[Categoria]]="Bollette",Dati[[#This Row],[Categoria]]="Conto &amp; Carte BNL",Dati[[#This Row],[Categoria]]="Prelievo",Dati[[#This Row],[Categoria]]="Affitto",Dati[[#This Row],[Categoria]]="BNL(Interessi Creditori)"),"Carta",IF(Dati[[#This Row],[Categoria]]&lt;&gt;0,"Cash",""))</f>
        <v/>
      </c>
      <c r="K823" s="59" t="str">
        <f>IF(OR(Data!$I823=SottocategorieUscite[[#Headers],[Fuori Casa]],Data!$I823=SottocategorieUscite[[#Headers],[Varie Uscite]],Data!$I823=SottocategorieUscite[[#Headers],[Personali]],Data!$I823=SottocategorieUscite[[#Headers],[Lavoro]]),"$ -","")</f>
        <v/>
      </c>
      <c r="L823" s="59" t="str">
        <f>IF(OR(Data!$I823=SottocategorieUscite[[#Headers],[Casa]],Data!$I823=SottocategorieUscite[[#Headers],[Utenze]],Data!$I823=SottocategorieUscite[[#Headers],[Business Uscite]],Data!$I823=SottocategorieUscite[[#Headers],[Banca]]),"$ -","")</f>
        <v/>
      </c>
      <c r="M823" s="59" t="str">
        <f>IF(OR($I823&lt;&gt;SottocategorieUscite[[#Headers],[Fuori Casa]],$I823&lt;&gt;SottocategorieUscite[[#Headers],[Varie Uscite]],$I823&lt;&gt;SottocategorieUscite[[#Headers],[Personali]],$I823&lt;&gt;SottocategorieUscite[[#Headers],[Lavoro]],$I823&lt;&gt;SottocategorieUscite[[#Headers],[Casa]],$I823&lt;&gt;SottocategorieUscite[[#Headers],[Utenze]],$I823&lt;&gt;SottocategorieUscite[[#Headers],[Business Uscite]],$I823&lt;&gt;SottocategorieUscite[[#Headers],[Banca]]),"","$ -")</f>
        <v/>
      </c>
      <c r="N823" s="59" t="str">
        <f>IF(OR(Data!$I823=SottocategorieEntrate[[#Headers],[Business Entrate]],Data!$I823=SottocategorieEntrate[[#Headers],[Varie Entrate]]),"$ -","")</f>
        <v/>
      </c>
      <c r="O823" s="59" t="str">
        <f>IF(OR(Data!$I823=SottocategorieEntrate[[#Headers],[Real Estate]],SottocategorieEntrate[[#Headers],[Other]]),"$ -","")</f>
        <v/>
      </c>
      <c r="P823" s="59" t="str">
        <f>IF(OR($I823&lt;&gt;SottocategorieEntrate[[#Headers],[Business Entrate]],$I823&lt;&gt;SottocategorieEntrate[[#Headers],[Varie Entrate]],$I823&lt;&gt;SottocategorieEntrate[[#Headers],[Real Estate]],$I823&lt;&gt;SottocategorieEntrate[[#Headers],[Other]]),"","$ -")</f>
        <v/>
      </c>
      <c r="Q823" s="59" t="str">
        <f>IF(Dati[[#This Row],[Categoria]]="Prelievo","€ -","")</f>
        <v/>
      </c>
      <c r="R823" s="244"/>
      <c r="S823" s="59" t="str">
        <f>IF(Dati[[#This Row],[Categoria]]="Savings",0,"")</f>
        <v/>
      </c>
      <c r="T823" s="59"/>
      <c r="U823" s="59"/>
      <c r="V823" s="59"/>
      <c r="W823" s="59"/>
      <c r="X823" s="59"/>
      <c r="Y823" s="59"/>
      <c r="Z823" s="59"/>
      <c r="AA823" s="59"/>
      <c r="AB823" s="59"/>
      <c r="AC823" s="59"/>
      <c r="AD823" s="59"/>
      <c r="AE823" s="59"/>
      <c r="AF823" s="59"/>
      <c r="AG823" s="59"/>
      <c r="AH823" s="59"/>
      <c r="AI823" s="59" t="str">
        <f>IF(SUM(Dati[[#This Row],[Inv. Business]:[Inv. Cryptocurrency]])=0," ",SUM(Dati[[#This Row],[Inv. Business]:[Inv. Cryptocurrency]]))</f>
        <v xml:space="preserve"> </v>
      </c>
      <c r="AJ823" s="59"/>
      <c r="AK823" s="59"/>
      <c r="AL823" s="59"/>
      <c r="AM823" s="59"/>
    </row>
    <row r="824" spans="2:39" x14ac:dyDescent="0.35">
      <c r="B824" s="237">
        <f t="shared" si="41"/>
        <v>804</v>
      </c>
      <c r="C824" s="49">
        <f t="shared" si="39"/>
        <v>45553</v>
      </c>
      <c r="D824" s="29">
        <f>DAY(Dati[[#This Row],[Data]])</f>
        <v>18</v>
      </c>
      <c r="E824" s="29" t="str">
        <f>IF(DAY(Data!$C$21:$C$1327)&gt;0,TEXT(Data!$C$21:$C$1327, "mmmm"),"")</f>
        <v>settembre</v>
      </c>
      <c r="F824" s="29" t="str">
        <f>IF(DAY(Data!$C$21:$C$1327)&gt;0,TEXT(Data!$C$21:$C$1327, "aaaa"),"")</f>
        <v>2024</v>
      </c>
      <c r="I824" t="str">
        <f>IF(OR(H824=$B$5,H824=$B$6,H824=$B$7,H824=$B$8,H824=$B$9,H824=$B$10,H824=$B$11,H824=$B$12,H824=$B$13,H824=$B$14),SottocategorieUscite[[#Headers],[Fuori Casa]],IF(OR(H824=$C$5,H824=$C$6,H824=$C$7,H824=$C$8,H824=$C$9,H824=$C$10,H824=$C$11,H824=$C$12,H824=$C$13,H824=$C$14),SottocategorieUscite[[#Headers],[Varie Uscite]],IF(OR(H824=$D$5,H824=$D$6,H824=$D$7,H824=$D$8,H824=$D$9,H824=$D$10,H824=$D$11,H824=$D$12,H824=$D$13,H824=$D$14),SottocategorieUscite[[#Headers],[Personali]],IF(OR(H824=$E$5,H824=$E$6,H824=$E$7,H824=$E$8,H824=$E$9,H824=$E$10,H824=$E$11,H824=$E$12,H824=$E$13,H824=$E$14),SottocategorieUscite[[#Headers],[Lavoro]],IF(OR(H824=$F$5,H824=$F$6,H824=$F$7,H824=$F$8,H824=$F$9,H824=$F$10,H824=$F$11,H824=$F$12,H824=$F$13,H824=$F$14),SottocategorieUscite[[#Headers],[Casa]],IF(OR(H824=$G$5,H824=$G$6,H824=$G$7,H824=$G$8,H824=$G$9,H824=$G$10,H824=$G$11,H824=$G$12,H824=$G$13,H824=$G$14),SottocategorieUscite[[#Headers],[Utenze]],IF(OR(H824=$H$5,H824=$H$6,H824=$H$7,H824=$H$8,H824=$H$9,H824=$H$10,H824=$H$11,H824=$H$12,H824=$H$13,H824=$H$14),SottocategorieUscite[[#Headers],[Business Uscite]],IF(OR(H824=$I$5,H824=$I$6,H824=$I$7,H824=$I$8,H824=$I$9,H824=$I$10,H824=$I$11,H824=$I$12,H824=$I$13,H824=$I$14),SottocategorieUscite[[#Headers],[Banca]],IF(OR(H824=K$5,H824=K$6,H824=K$7,H824=K$8,H824=K$9,H824=K$10,H824=K$11,H824=K$12,H824=K$13,H824=K$14),SottocategorieEntrate[[#Headers],[Business Entrate]],IF(OR(H824=L$5,H824=L$6,H824=L$7,H824=L$8,H824=L$9,H824=L$10,H824=L$11,H824=L$12,H824=L$13,H824=L$14),SottocategorieEntrate[[#Headers],[Varie Entrate]],IF(OR(H824=M$5,H824=M$6,H824=M$7,H824=M$8,H824=M$9,H824=M$10,H824=M$11,H824=M$12,H824=M$13,H824=M$14),SottocategorieEntrate[[#Headers],[Real Estate]],IF(OR(H824=N$5,H824=N$6,H824=N$7,H824=N$8,H824=N$9,H824=N$10,H824=N$11,H824=N$12,H824=N$13,H824=N$14),SottocategorieEntrate[[#Headers],[Other]],""))))))))))))</f>
        <v/>
      </c>
      <c r="J824" t="str">
        <f>IF(OR(Dati[[#This Row],[Categoria]]="Bollette",Dati[[#This Row],[Categoria]]="Conto &amp; Carte BNL",Dati[[#This Row],[Categoria]]="Prelievo",Dati[[#This Row],[Categoria]]="Affitto",Dati[[#This Row],[Categoria]]="BNL(Interessi Creditori)"),"Carta",IF(Dati[[#This Row],[Categoria]]&lt;&gt;0,"Cash",""))</f>
        <v/>
      </c>
      <c r="K824" s="59" t="str">
        <f>IF(OR(Data!$I824=SottocategorieUscite[[#Headers],[Fuori Casa]],Data!$I824=SottocategorieUscite[[#Headers],[Varie Uscite]],Data!$I824=SottocategorieUscite[[#Headers],[Personali]],Data!$I824=SottocategorieUscite[[#Headers],[Lavoro]]),"$ -","")</f>
        <v/>
      </c>
      <c r="L824" s="59" t="str">
        <f>IF(OR(Data!$I824=SottocategorieUscite[[#Headers],[Casa]],Data!$I824=SottocategorieUscite[[#Headers],[Utenze]],Data!$I824=SottocategorieUscite[[#Headers],[Business Uscite]],Data!$I824=SottocategorieUscite[[#Headers],[Banca]]),"$ -","")</f>
        <v/>
      </c>
      <c r="M824" s="59" t="str">
        <f>IF(OR($I824&lt;&gt;SottocategorieUscite[[#Headers],[Fuori Casa]],$I824&lt;&gt;SottocategorieUscite[[#Headers],[Varie Uscite]],$I824&lt;&gt;SottocategorieUscite[[#Headers],[Personali]],$I824&lt;&gt;SottocategorieUscite[[#Headers],[Lavoro]],$I824&lt;&gt;SottocategorieUscite[[#Headers],[Casa]],$I824&lt;&gt;SottocategorieUscite[[#Headers],[Utenze]],$I824&lt;&gt;SottocategorieUscite[[#Headers],[Business Uscite]],$I824&lt;&gt;SottocategorieUscite[[#Headers],[Banca]]),"","$ -")</f>
        <v/>
      </c>
      <c r="N824" s="59" t="str">
        <f>IF(OR(Data!$I824=SottocategorieEntrate[[#Headers],[Business Entrate]],Data!$I824=SottocategorieEntrate[[#Headers],[Varie Entrate]]),"$ -","")</f>
        <v/>
      </c>
      <c r="O824" s="59" t="str">
        <f>IF(OR(Data!$I824=SottocategorieEntrate[[#Headers],[Real Estate]],SottocategorieEntrate[[#Headers],[Other]]),"$ -","")</f>
        <v/>
      </c>
      <c r="P824" s="59" t="str">
        <f>IF(OR($I824&lt;&gt;SottocategorieEntrate[[#Headers],[Business Entrate]],$I824&lt;&gt;SottocategorieEntrate[[#Headers],[Varie Entrate]],$I824&lt;&gt;SottocategorieEntrate[[#Headers],[Real Estate]],$I824&lt;&gt;SottocategorieEntrate[[#Headers],[Other]]),"","$ -")</f>
        <v/>
      </c>
      <c r="Q824" s="59" t="str">
        <f>IF(Dati[[#This Row],[Categoria]]="Prelievo","€ -","")</f>
        <v/>
      </c>
      <c r="R824" s="244"/>
      <c r="S824" s="59" t="str">
        <f>IF(Dati[[#This Row],[Categoria]]="Savings",0,"")</f>
        <v/>
      </c>
      <c r="T824" s="59"/>
      <c r="U824" s="59"/>
      <c r="V824" s="59"/>
      <c r="W824" s="59"/>
      <c r="X824" s="59"/>
      <c r="Y824" s="59"/>
      <c r="Z824" s="59"/>
      <c r="AA824" s="59"/>
      <c r="AB824" s="59"/>
      <c r="AC824" s="59"/>
      <c r="AD824" s="59"/>
      <c r="AE824" s="59"/>
      <c r="AF824" s="59"/>
      <c r="AG824" s="59"/>
      <c r="AH824" s="59"/>
      <c r="AI824" s="59" t="str">
        <f>IF(SUM(Dati[[#This Row],[Inv. Business]:[Inv. Cryptocurrency]])=0," ",SUM(Dati[[#This Row],[Inv. Business]:[Inv. Cryptocurrency]]))</f>
        <v xml:space="preserve"> </v>
      </c>
      <c r="AJ824" s="59"/>
      <c r="AK824" s="59"/>
      <c r="AL824" s="59"/>
      <c r="AM824" s="59"/>
    </row>
    <row r="825" spans="2:39" x14ac:dyDescent="0.35">
      <c r="B825" s="237">
        <f>ROW(804:804)</f>
        <v>804</v>
      </c>
      <c r="C825" s="49">
        <f>C823+1</f>
        <v>45553</v>
      </c>
      <c r="D825" s="29">
        <f>DAY(Dati[[#This Row],[Data]])</f>
        <v>18</v>
      </c>
      <c r="E825" s="29" t="str">
        <f>IF(DAY(Data!$C$21:$C$1327)&gt;0,TEXT(Data!$C$21:$C$1327, "mmmm"),"")</f>
        <v>settembre</v>
      </c>
      <c r="F825" s="29" t="str">
        <f>IF(DAY(Data!$C$21:$C$1327)&gt;0,TEXT(Data!$C$21:$C$1327, "aaaa"),"")</f>
        <v>2024</v>
      </c>
      <c r="I825" t="str">
        <f>IF(OR(H825=$B$5,H825=$B$6,H825=$B$7,H825=$B$8,H825=$B$9,H825=$B$10,H825=$B$11,H825=$B$12,H825=$B$13,H825=$B$14),SottocategorieUscite[[#Headers],[Fuori Casa]],IF(OR(H825=$C$5,H825=$C$6,H825=$C$7,H825=$C$8,H825=$C$9,H825=$C$10,H825=$C$11,H825=$C$12,H825=$C$13,H825=$C$14),SottocategorieUscite[[#Headers],[Varie Uscite]],IF(OR(H825=$D$5,H825=$D$6,H825=$D$7,H825=$D$8,H825=$D$9,H825=$D$10,H825=$D$11,H825=$D$12,H825=$D$13,H825=$D$14),SottocategorieUscite[[#Headers],[Personali]],IF(OR(H825=$E$5,H825=$E$6,H825=$E$7,H825=$E$8,H825=$E$9,H825=$E$10,H825=$E$11,H825=$E$12,H825=$E$13,H825=$E$14),SottocategorieUscite[[#Headers],[Lavoro]],IF(OR(H825=$F$5,H825=$F$6,H825=$F$7,H825=$F$8,H825=$F$9,H825=$F$10,H825=$F$11,H825=$F$12,H825=$F$13,H825=$F$14),SottocategorieUscite[[#Headers],[Casa]],IF(OR(H825=$G$5,H825=$G$6,H825=$G$7,H825=$G$8,H825=$G$9,H825=$G$10,H825=$G$11,H825=$G$12,H825=$G$13,H825=$G$14),SottocategorieUscite[[#Headers],[Utenze]],IF(OR(H825=$H$5,H825=$H$6,H825=$H$7,H825=$H$8,H825=$H$9,H825=$H$10,H825=$H$11,H825=$H$12,H825=$H$13,H825=$H$14),SottocategorieUscite[[#Headers],[Business Uscite]],IF(OR(H825=$I$5,H825=$I$6,H825=$I$7,H825=$I$8,H825=$I$9,H825=$I$10,H825=$I$11,H825=$I$12,H825=$I$13,H825=$I$14),SottocategorieUscite[[#Headers],[Banca]],IF(OR(H825=K$5,H825=K$6,H825=K$7,H825=K$8,H825=K$9,H825=K$10,H825=K$11,H825=K$12,H825=K$13,H825=K$14),SottocategorieEntrate[[#Headers],[Business Entrate]],IF(OR(H825=L$5,H825=L$6,H825=L$7,H825=L$8,H825=L$9,H825=L$10,H825=L$11,H825=L$12,H825=L$13,H825=L$14),SottocategorieEntrate[[#Headers],[Varie Entrate]],IF(OR(H825=M$5,H825=M$6,H825=M$7,H825=M$8,H825=M$9,H825=M$10,H825=M$11,H825=M$12,H825=M$13,H825=M$14),SottocategorieEntrate[[#Headers],[Real Estate]],IF(OR(H825=N$5,H825=N$6,H825=N$7,H825=N$8,H825=N$9,H825=N$10,H825=N$11,H825=N$12,H825=N$13,H825=N$14),SottocategorieEntrate[[#Headers],[Other]],""))))))))))))</f>
        <v/>
      </c>
      <c r="J825" t="str">
        <f>IF(OR(Dati[[#This Row],[Categoria]]="Bollette",Dati[[#This Row],[Categoria]]="Conto &amp; Carte BNL",Dati[[#This Row],[Categoria]]="Prelievo",Dati[[#This Row],[Categoria]]="Affitto",Dati[[#This Row],[Categoria]]="BNL(Interessi Creditori)"),"Carta",IF(Dati[[#This Row],[Categoria]]&lt;&gt;0,"Cash",""))</f>
        <v/>
      </c>
      <c r="K825" s="59" t="str">
        <f>IF(OR(Data!$I825=SottocategorieUscite[[#Headers],[Fuori Casa]],Data!$I825=SottocategorieUscite[[#Headers],[Varie Uscite]],Data!$I825=SottocategorieUscite[[#Headers],[Personali]],Data!$I825=SottocategorieUscite[[#Headers],[Lavoro]]),"$ -","")</f>
        <v/>
      </c>
      <c r="L825" s="59" t="str">
        <f>IF(OR(Data!$I825=SottocategorieUscite[[#Headers],[Casa]],Data!$I825=SottocategorieUscite[[#Headers],[Utenze]],Data!$I825=SottocategorieUscite[[#Headers],[Business Uscite]],Data!$I825=SottocategorieUscite[[#Headers],[Banca]]),"$ -","")</f>
        <v/>
      </c>
      <c r="M825" s="59" t="str">
        <f>IF(OR($I825&lt;&gt;SottocategorieUscite[[#Headers],[Fuori Casa]],$I825&lt;&gt;SottocategorieUscite[[#Headers],[Varie Uscite]],$I825&lt;&gt;SottocategorieUscite[[#Headers],[Personali]],$I825&lt;&gt;SottocategorieUscite[[#Headers],[Lavoro]],$I825&lt;&gt;SottocategorieUscite[[#Headers],[Casa]],$I825&lt;&gt;SottocategorieUscite[[#Headers],[Utenze]],$I825&lt;&gt;SottocategorieUscite[[#Headers],[Business Uscite]],$I825&lt;&gt;SottocategorieUscite[[#Headers],[Banca]]),"","$ -")</f>
        <v/>
      </c>
      <c r="N825" s="59" t="str">
        <f>IF(OR(Data!$I825=SottocategorieEntrate[[#Headers],[Business Entrate]],Data!$I825=SottocategorieEntrate[[#Headers],[Varie Entrate]]),"$ -","")</f>
        <v/>
      </c>
      <c r="O825" s="59" t="str">
        <f>IF(OR(Data!$I825=SottocategorieEntrate[[#Headers],[Real Estate]],SottocategorieEntrate[[#Headers],[Other]]),"$ -","")</f>
        <v/>
      </c>
      <c r="P825" s="59" t="str">
        <f>IF(OR($I825&lt;&gt;SottocategorieEntrate[[#Headers],[Business Entrate]],$I825&lt;&gt;SottocategorieEntrate[[#Headers],[Varie Entrate]],$I825&lt;&gt;SottocategorieEntrate[[#Headers],[Real Estate]],$I825&lt;&gt;SottocategorieEntrate[[#Headers],[Other]]),"","$ -")</f>
        <v/>
      </c>
      <c r="Q825" s="59" t="str">
        <f>IF(Dati[[#This Row],[Categoria]]="Prelievo","€ -","")</f>
        <v/>
      </c>
      <c r="R825" s="244"/>
      <c r="S825" s="59" t="str">
        <f>IF(Dati[[#This Row],[Categoria]]="Savings",0,"")</f>
        <v/>
      </c>
      <c r="T825" s="59"/>
      <c r="U825" s="59"/>
      <c r="V825" s="59"/>
      <c r="W825" s="59"/>
      <c r="X825" s="59"/>
      <c r="Y825" s="59"/>
      <c r="Z825" s="59"/>
      <c r="AA825" s="59"/>
      <c r="AB825" s="59"/>
      <c r="AC825" s="59"/>
      <c r="AD825" s="59"/>
      <c r="AE825" s="59"/>
      <c r="AF825" s="59"/>
      <c r="AG825" s="59"/>
      <c r="AH825" s="59"/>
      <c r="AI825" s="59" t="str">
        <f>IF(SUM(Dati[[#This Row],[Inv. Business]:[Inv. Cryptocurrency]])=0," ",SUM(Dati[[#This Row],[Inv. Business]:[Inv. Cryptocurrency]]))</f>
        <v xml:space="preserve"> </v>
      </c>
      <c r="AJ825" s="59"/>
      <c r="AK825" s="59"/>
      <c r="AL825" s="59"/>
      <c r="AM825" s="59"/>
    </row>
    <row r="826" spans="2:39" x14ac:dyDescent="0.35">
      <c r="B826" s="237">
        <f>ROW(804:804)</f>
        <v>804</v>
      </c>
      <c r="C826" s="49">
        <f>C823+1</f>
        <v>45553</v>
      </c>
      <c r="D826" s="29">
        <f>DAY(Dati[[#This Row],[Data]])</f>
        <v>18</v>
      </c>
      <c r="E826" s="29" t="str">
        <f>IF(DAY(Data!$C$21:$C$1327)&gt;0,TEXT(Data!$C$21:$C$1327, "mmmm"),"")</f>
        <v>settembre</v>
      </c>
      <c r="F826" s="29" t="str">
        <f>IF(DAY(Data!$C$21:$C$1327)&gt;0,TEXT(Data!$C$21:$C$1327, "aaaa"),"")</f>
        <v>2024</v>
      </c>
      <c r="I826" t="str">
        <f>IF(OR(H826=$B$5,H826=$B$6,H826=$B$7,H826=$B$8,H826=$B$9,H826=$B$10,H826=$B$11,H826=$B$12,H826=$B$13,H826=$B$14),SottocategorieUscite[[#Headers],[Fuori Casa]],IF(OR(H826=$C$5,H826=$C$6,H826=$C$7,H826=$C$8,H826=$C$9,H826=$C$10,H826=$C$11,H826=$C$12,H826=$C$13,H826=$C$14),SottocategorieUscite[[#Headers],[Varie Uscite]],IF(OR(H826=$D$5,H826=$D$6,H826=$D$7,H826=$D$8,H826=$D$9,H826=$D$10,H826=$D$11,H826=$D$12,H826=$D$13,H826=$D$14),SottocategorieUscite[[#Headers],[Personali]],IF(OR(H826=$E$5,H826=$E$6,H826=$E$7,H826=$E$8,H826=$E$9,H826=$E$10,H826=$E$11,H826=$E$12,H826=$E$13,H826=$E$14),SottocategorieUscite[[#Headers],[Lavoro]],IF(OR(H826=$F$5,H826=$F$6,H826=$F$7,H826=$F$8,H826=$F$9,H826=$F$10,H826=$F$11,H826=$F$12,H826=$F$13,H826=$F$14),SottocategorieUscite[[#Headers],[Casa]],IF(OR(H826=$G$5,H826=$G$6,H826=$G$7,H826=$G$8,H826=$G$9,H826=$G$10,H826=$G$11,H826=$G$12,H826=$G$13,H826=$G$14),SottocategorieUscite[[#Headers],[Utenze]],IF(OR(H826=$H$5,H826=$H$6,H826=$H$7,H826=$H$8,H826=$H$9,H826=$H$10,H826=$H$11,H826=$H$12,H826=$H$13,H826=$H$14),SottocategorieUscite[[#Headers],[Business Uscite]],IF(OR(H826=$I$5,H826=$I$6,H826=$I$7,H826=$I$8,H826=$I$9,H826=$I$10,H826=$I$11,H826=$I$12,H826=$I$13,H826=$I$14),SottocategorieUscite[[#Headers],[Banca]],IF(OR(H826=K$5,H826=K$6,H826=K$7,H826=K$8,H826=K$9,H826=K$10,H826=K$11,H826=K$12,H826=K$13,H826=K$14),SottocategorieEntrate[[#Headers],[Business Entrate]],IF(OR(H826=L$5,H826=L$6,H826=L$7,H826=L$8,H826=L$9,H826=L$10,H826=L$11,H826=L$12,H826=L$13,H826=L$14),SottocategorieEntrate[[#Headers],[Varie Entrate]],IF(OR(H826=M$5,H826=M$6,H826=M$7,H826=M$8,H826=M$9,H826=M$10,H826=M$11,H826=M$12,H826=M$13,H826=M$14),SottocategorieEntrate[[#Headers],[Real Estate]],IF(OR(H826=N$5,H826=N$6,H826=N$7,H826=N$8,H826=N$9,H826=N$10,H826=N$11,H826=N$12,H826=N$13,H826=N$14),SottocategorieEntrate[[#Headers],[Other]],""))))))))))))</f>
        <v/>
      </c>
      <c r="J826" t="str">
        <f>IF(OR(Dati[[#This Row],[Categoria]]="Bollette",Dati[[#This Row],[Categoria]]="Conto &amp; Carte BNL",Dati[[#This Row],[Categoria]]="Prelievo",Dati[[#This Row],[Categoria]]="Affitto",Dati[[#This Row],[Categoria]]="BNL(Interessi Creditori)"),"Carta",IF(Dati[[#This Row],[Categoria]]&lt;&gt;0,"Cash",""))</f>
        <v/>
      </c>
      <c r="K826" s="59" t="str">
        <f>IF(OR(Data!$I826=SottocategorieUscite[[#Headers],[Fuori Casa]],Data!$I826=SottocategorieUscite[[#Headers],[Varie Uscite]],Data!$I826=SottocategorieUscite[[#Headers],[Personali]],Data!$I826=SottocategorieUscite[[#Headers],[Lavoro]]),"$ -","")</f>
        <v/>
      </c>
      <c r="L826" s="59" t="str">
        <f>IF(OR(Data!$I826=SottocategorieUscite[[#Headers],[Casa]],Data!$I826=SottocategorieUscite[[#Headers],[Utenze]],Data!$I826=SottocategorieUscite[[#Headers],[Business Uscite]],Data!$I826=SottocategorieUscite[[#Headers],[Banca]]),"$ -","")</f>
        <v/>
      </c>
      <c r="M826" s="59" t="str">
        <f>IF(OR($I826&lt;&gt;SottocategorieUscite[[#Headers],[Fuori Casa]],$I826&lt;&gt;SottocategorieUscite[[#Headers],[Varie Uscite]],$I826&lt;&gt;SottocategorieUscite[[#Headers],[Personali]],$I826&lt;&gt;SottocategorieUscite[[#Headers],[Lavoro]],$I826&lt;&gt;SottocategorieUscite[[#Headers],[Casa]],$I826&lt;&gt;SottocategorieUscite[[#Headers],[Utenze]],$I826&lt;&gt;SottocategorieUscite[[#Headers],[Business Uscite]],$I826&lt;&gt;SottocategorieUscite[[#Headers],[Banca]]),"","$ -")</f>
        <v/>
      </c>
      <c r="N826" s="59" t="str">
        <f>IF(OR(Data!$I826=SottocategorieEntrate[[#Headers],[Business Entrate]],Data!$I826=SottocategorieEntrate[[#Headers],[Varie Entrate]]),"$ -","")</f>
        <v/>
      </c>
      <c r="O826" s="59" t="str">
        <f>IF(OR(Data!$I826=SottocategorieEntrate[[#Headers],[Real Estate]],SottocategorieEntrate[[#Headers],[Other]]),"$ -","")</f>
        <v/>
      </c>
      <c r="P826" s="59" t="str">
        <f>IF(OR($I826&lt;&gt;SottocategorieEntrate[[#Headers],[Business Entrate]],$I826&lt;&gt;SottocategorieEntrate[[#Headers],[Varie Entrate]],$I826&lt;&gt;SottocategorieEntrate[[#Headers],[Real Estate]],$I826&lt;&gt;SottocategorieEntrate[[#Headers],[Other]]),"","$ -")</f>
        <v/>
      </c>
      <c r="Q826" s="59" t="str">
        <f>IF(Dati[[#This Row],[Categoria]]="Prelievo","€ -","")</f>
        <v/>
      </c>
      <c r="R826" s="244"/>
      <c r="S826" s="59" t="str">
        <f>IF(Dati[[#This Row],[Categoria]]="Savings",0,"")</f>
        <v/>
      </c>
      <c r="T826" s="59"/>
      <c r="U826" s="59"/>
      <c r="V826" s="59"/>
      <c r="W826" s="59"/>
      <c r="X826" s="59"/>
      <c r="Y826" s="59"/>
      <c r="Z826" s="59"/>
      <c r="AA826" s="59"/>
      <c r="AB826" s="59"/>
      <c r="AC826" s="59"/>
      <c r="AD826" s="59"/>
      <c r="AE826" s="59"/>
      <c r="AF826" s="59"/>
      <c r="AG826" s="59"/>
      <c r="AH826" s="59"/>
      <c r="AI826" s="59" t="str">
        <f>IF(SUM(Dati[[#This Row],[Inv. Business]:[Inv. Cryptocurrency]])=0," ",SUM(Dati[[#This Row],[Inv. Business]:[Inv. Cryptocurrency]]))</f>
        <v xml:space="preserve"> </v>
      </c>
      <c r="AJ826" s="59"/>
      <c r="AK826" s="59"/>
      <c r="AL826" s="59"/>
      <c r="AM826" s="59"/>
    </row>
    <row r="827" spans="2:39" x14ac:dyDescent="0.35">
      <c r="B827" s="237">
        <f>ROW(804:804)</f>
        <v>804</v>
      </c>
      <c r="C827" s="49">
        <f>C823+1</f>
        <v>45553</v>
      </c>
      <c r="D827" s="29">
        <f>DAY(Dati[[#This Row],[Data]])</f>
        <v>18</v>
      </c>
      <c r="E827" s="29" t="str">
        <f>IF(DAY(Data!$C$21:$C$1327)&gt;0,TEXT(Data!$C$21:$C$1327, "mmmm"),"")</f>
        <v>settembre</v>
      </c>
      <c r="F827" s="29" t="str">
        <f>IF(DAY(Data!$C$21:$C$1327)&gt;0,TEXT(Data!$C$21:$C$1327, "aaaa"),"")</f>
        <v>2024</v>
      </c>
      <c r="I827" t="str">
        <f>IF(OR(H827=$B$5,H827=$B$6,H827=$B$7,H827=$B$8,H827=$B$9,H827=$B$10,H827=$B$11,H827=$B$12,H827=$B$13,H827=$B$14),SottocategorieUscite[[#Headers],[Fuori Casa]],IF(OR(H827=$C$5,H827=$C$6,H827=$C$7,H827=$C$8,H827=$C$9,H827=$C$10,H827=$C$11,H827=$C$12,H827=$C$13,H827=$C$14),SottocategorieUscite[[#Headers],[Varie Uscite]],IF(OR(H827=$D$5,H827=$D$6,H827=$D$7,H827=$D$8,H827=$D$9,H827=$D$10,H827=$D$11,H827=$D$12,H827=$D$13,H827=$D$14),SottocategorieUscite[[#Headers],[Personali]],IF(OR(H827=$E$5,H827=$E$6,H827=$E$7,H827=$E$8,H827=$E$9,H827=$E$10,H827=$E$11,H827=$E$12,H827=$E$13,H827=$E$14),SottocategorieUscite[[#Headers],[Lavoro]],IF(OR(H827=$F$5,H827=$F$6,H827=$F$7,H827=$F$8,H827=$F$9,H827=$F$10,H827=$F$11,H827=$F$12,H827=$F$13,H827=$F$14),SottocategorieUscite[[#Headers],[Casa]],IF(OR(H827=$G$5,H827=$G$6,H827=$G$7,H827=$G$8,H827=$G$9,H827=$G$10,H827=$G$11,H827=$G$12,H827=$G$13,H827=$G$14),SottocategorieUscite[[#Headers],[Utenze]],IF(OR(H827=$H$5,H827=$H$6,H827=$H$7,H827=$H$8,H827=$H$9,H827=$H$10,H827=$H$11,H827=$H$12,H827=$H$13,H827=$H$14),SottocategorieUscite[[#Headers],[Business Uscite]],IF(OR(H827=$I$5,H827=$I$6,H827=$I$7,H827=$I$8,H827=$I$9,H827=$I$10,H827=$I$11,H827=$I$12,H827=$I$13,H827=$I$14),SottocategorieUscite[[#Headers],[Banca]],IF(OR(H827=K$5,H827=K$6,H827=K$7,H827=K$8,H827=K$9,H827=K$10,H827=K$11,H827=K$12,H827=K$13,H827=K$14),SottocategorieEntrate[[#Headers],[Business Entrate]],IF(OR(H827=L$5,H827=L$6,H827=L$7,H827=L$8,H827=L$9,H827=L$10,H827=L$11,H827=L$12,H827=L$13,H827=L$14),SottocategorieEntrate[[#Headers],[Varie Entrate]],IF(OR(H827=M$5,H827=M$6,H827=M$7,H827=M$8,H827=M$9,H827=M$10,H827=M$11,H827=M$12,H827=M$13,H827=M$14),SottocategorieEntrate[[#Headers],[Real Estate]],IF(OR(H827=N$5,H827=N$6,H827=N$7,H827=N$8,H827=N$9,H827=N$10,H827=N$11,H827=N$12,H827=N$13,H827=N$14),SottocategorieEntrate[[#Headers],[Other]],""))))))))))))</f>
        <v/>
      </c>
      <c r="J827" t="str">
        <f>IF(OR(Dati[[#This Row],[Categoria]]="Bollette",Dati[[#This Row],[Categoria]]="Conto &amp; Carte BNL",Dati[[#This Row],[Categoria]]="Prelievo",Dati[[#This Row],[Categoria]]="Affitto",Dati[[#This Row],[Categoria]]="BNL(Interessi Creditori)"),"Carta",IF(Dati[[#This Row],[Categoria]]&lt;&gt;0,"Cash",""))</f>
        <v/>
      </c>
      <c r="K827" s="59" t="str">
        <f>IF(OR(Data!$I827=SottocategorieUscite[[#Headers],[Fuori Casa]],Data!$I827=SottocategorieUscite[[#Headers],[Varie Uscite]],Data!$I827=SottocategorieUscite[[#Headers],[Personali]],Data!$I827=SottocategorieUscite[[#Headers],[Lavoro]]),"$ -","")</f>
        <v/>
      </c>
      <c r="L827" s="59" t="str">
        <f>IF(OR(Data!$I827=SottocategorieUscite[[#Headers],[Casa]],Data!$I827=SottocategorieUscite[[#Headers],[Utenze]],Data!$I827=SottocategorieUscite[[#Headers],[Business Uscite]],Data!$I827=SottocategorieUscite[[#Headers],[Banca]]),"$ -","")</f>
        <v/>
      </c>
      <c r="M827" s="59" t="str">
        <f>IF(OR($I827&lt;&gt;SottocategorieUscite[[#Headers],[Fuori Casa]],$I827&lt;&gt;SottocategorieUscite[[#Headers],[Varie Uscite]],$I827&lt;&gt;SottocategorieUscite[[#Headers],[Personali]],$I827&lt;&gt;SottocategorieUscite[[#Headers],[Lavoro]],$I827&lt;&gt;SottocategorieUscite[[#Headers],[Casa]],$I827&lt;&gt;SottocategorieUscite[[#Headers],[Utenze]],$I827&lt;&gt;SottocategorieUscite[[#Headers],[Business Uscite]],$I827&lt;&gt;SottocategorieUscite[[#Headers],[Banca]]),"","$ -")</f>
        <v/>
      </c>
      <c r="N827" s="59" t="str">
        <f>IF(OR(Data!$I827=SottocategorieEntrate[[#Headers],[Business Entrate]],Data!$I827=SottocategorieEntrate[[#Headers],[Varie Entrate]]),"$ -","")</f>
        <v/>
      </c>
      <c r="O827" s="59" t="str">
        <f>IF(OR(Data!$I827=SottocategorieEntrate[[#Headers],[Real Estate]],SottocategorieEntrate[[#Headers],[Other]]),"$ -","")</f>
        <v/>
      </c>
      <c r="P827" s="59" t="str">
        <f>IF(OR($I827&lt;&gt;SottocategorieEntrate[[#Headers],[Business Entrate]],$I827&lt;&gt;SottocategorieEntrate[[#Headers],[Varie Entrate]],$I827&lt;&gt;SottocategorieEntrate[[#Headers],[Real Estate]],$I827&lt;&gt;SottocategorieEntrate[[#Headers],[Other]]),"","$ -")</f>
        <v/>
      </c>
      <c r="Q827" s="59" t="str">
        <f>IF(Dati[[#This Row],[Categoria]]="Prelievo","€ -","")</f>
        <v/>
      </c>
      <c r="R827" s="244"/>
      <c r="S827" s="59" t="str">
        <f>IF(Dati[[#This Row],[Categoria]]="Savings",0,"")</f>
        <v/>
      </c>
      <c r="T827" s="59"/>
      <c r="U827" s="59"/>
      <c r="V827" s="59"/>
      <c r="W827" s="59"/>
      <c r="X827" s="59"/>
      <c r="Y827" s="59"/>
      <c r="Z827" s="59"/>
      <c r="AA827" s="59"/>
      <c r="AB827" s="59"/>
      <c r="AC827" s="59"/>
      <c r="AD827" s="59"/>
      <c r="AE827" s="59"/>
      <c r="AF827" s="59"/>
      <c r="AG827" s="59"/>
      <c r="AH827" s="59"/>
      <c r="AI827" s="59" t="str">
        <f>IF(SUM(Dati[[#This Row],[Inv. Business]:[Inv. Cryptocurrency]])=0," ",SUM(Dati[[#This Row],[Inv. Business]:[Inv. Cryptocurrency]]))</f>
        <v xml:space="preserve"> </v>
      </c>
      <c r="AJ827" s="59"/>
      <c r="AK827" s="59"/>
      <c r="AL827" s="59"/>
      <c r="AM827" s="59"/>
    </row>
    <row r="828" spans="2:39" x14ac:dyDescent="0.35">
      <c r="B828" s="237">
        <f>ROW(804:804)</f>
        <v>804</v>
      </c>
      <c r="C828" s="49">
        <f>C823+1</f>
        <v>45553</v>
      </c>
      <c r="D828" s="29">
        <f>DAY(Dati[[#This Row],[Data]])</f>
        <v>18</v>
      </c>
      <c r="E828" s="29" t="str">
        <f>IF(DAY(Data!$C$21:$C$1327)&gt;0,TEXT(Data!$C$21:$C$1327, "mmmm"),"")</f>
        <v>settembre</v>
      </c>
      <c r="F828" s="29" t="str">
        <f>IF(DAY(Data!$C$21:$C$1327)&gt;0,TEXT(Data!$C$21:$C$1327, "aaaa"),"")</f>
        <v>2024</v>
      </c>
      <c r="I828" t="str">
        <f>IF(OR(H828=$B$5,H828=$B$6,H828=$B$7,H828=$B$8,H828=$B$9,H828=$B$10,H828=$B$11,H828=$B$12,H828=$B$13,H828=$B$14),SottocategorieUscite[[#Headers],[Fuori Casa]],IF(OR(H828=$C$5,H828=$C$6,H828=$C$7,H828=$C$8,H828=$C$9,H828=$C$10,H828=$C$11,H828=$C$12,H828=$C$13,H828=$C$14),SottocategorieUscite[[#Headers],[Varie Uscite]],IF(OR(H828=$D$5,H828=$D$6,H828=$D$7,H828=$D$8,H828=$D$9,H828=$D$10,H828=$D$11,H828=$D$12,H828=$D$13,H828=$D$14),SottocategorieUscite[[#Headers],[Personali]],IF(OR(H828=$E$5,H828=$E$6,H828=$E$7,H828=$E$8,H828=$E$9,H828=$E$10,H828=$E$11,H828=$E$12,H828=$E$13,H828=$E$14),SottocategorieUscite[[#Headers],[Lavoro]],IF(OR(H828=$F$5,H828=$F$6,H828=$F$7,H828=$F$8,H828=$F$9,H828=$F$10,H828=$F$11,H828=$F$12,H828=$F$13,H828=$F$14),SottocategorieUscite[[#Headers],[Casa]],IF(OR(H828=$G$5,H828=$G$6,H828=$G$7,H828=$G$8,H828=$G$9,H828=$G$10,H828=$G$11,H828=$G$12,H828=$G$13,H828=$G$14),SottocategorieUscite[[#Headers],[Utenze]],IF(OR(H828=$H$5,H828=$H$6,H828=$H$7,H828=$H$8,H828=$H$9,H828=$H$10,H828=$H$11,H828=$H$12,H828=$H$13,H828=$H$14),SottocategorieUscite[[#Headers],[Business Uscite]],IF(OR(H828=$I$5,H828=$I$6,H828=$I$7,H828=$I$8,H828=$I$9,H828=$I$10,H828=$I$11,H828=$I$12,H828=$I$13,H828=$I$14),SottocategorieUscite[[#Headers],[Banca]],IF(OR(H828=K$5,H828=K$6,H828=K$7,H828=K$8,H828=K$9,H828=K$10,H828=K$11,H828=K$12,H828=K$13,H828=K$14),SottocategorieEntrate[[#Headers],[Business Entrate]],IF(OR(H828=L$5,H828=L$6,H828=L$7,H828=L$8,H828=L$9,H828=L$10,H828=L$11,H828=L$12,H828=L$13,H828=L$14),SottocategorieEntrate[[#Headers],[Varie Entrate]],IF(OR(H828=M$5,H828=M$6,H828=M$7,H828=M$8,H828=M$9,H828=M$10,H828=M$11,H828=M$12,H828=M$13,H828=M$14),SottocategorieEntrate[[#Headers],[Real Estate]],IF(OR(H828=N$5,H828=N$6,H828=N$7,H828=N$8,H828=N$9,H828=N$10,H828=N$11,H828=N$12,H828=N$13,H828=N$14),SottocategorieEntrate[[#Headers],[Other]],""))))))))))))</f>
        <v/>
      </c>
      <c r="J828" t="str">
        <f>IF(OR(Dati[[#This Row],[Categoria]]="Bollette",Dati[[#This Row],[Categoria]]="Conto &amp; Carte BNL",Dati[[#This Row],[Categoria]]="Prelievo",Dati[[#This Row],[Categoria]]="Affitto",Dati[[#This Row],[Categoria]]="BNL(Interessi Creditori)"),"Carta",IF(Dati[[#This Row],[Categoria]]&lt;&gt;0,"Cash",""))</f>
        <v/>
      </c>
      <c r="K828" s="59" t="str">
        <f>IF(OR(Data!$I828=SottocategorieUscite[[#Headers],[Fuori Casa]],Data!$I828=SottocategorieUscite[[#Headers],[Varie Uscite]],Data!$I828=SottocategorieUscite[[#Headers],[Personali]],Data!$I828=SottocategorieUscite[[#Headers],[Lavoro]]),"$ -","")</f>
        <v/>
      </c>
      <c r="L828" s="59" t="str">
        <f>IF(OR(Data!$I828=SottocategorieUscite[[#Headers],[Casa]],Data!$I828=SottocategorieUscite[[#Headers],[Utenze]],Data!$I828=SottocategorieUscite[[#Headers],[Business Uscite]],Data!$I828=SottocategorieUscite[[#Headers],[Banca]]),"$ -","")</f>
        <v/>
      </c>
      <c r="M828" s="59" t="str">
        <f>IF(OR($I828&lt;&gt;SottocategorieUscite[[#Headers],[Fuori Casa]],$I828&lt;&gt;SottocategorieUscite[[#Headers],[Varie Uscite]],$I828&lt;&gt;SottocategorieUscite[[#Headers],[Personali]],$I828&lt;&gt;SottocategorieUscite[[#Headers],[Lavoro]],$I828&lt;&gt;SottocategorieUscite[[#Headers],[Casa]],$I828&lt;&gt;SottocategorieUscite[[#Headers],[Utenze]],$I828&lt;&gt;SottocategorieUscite[[#Headers],[Business Uscite]],$I828&lt;&gt;SottocategorieUscite[[#Headers],[Banca]]),"","$ -")</f>
        <v/>
      </c>
      <c r="N828" s="59" t="str">
        <f>IF(OR(Data!$I828=SottocategorieEntrate[[#Headers],[Business Entrate]],Data!$I828=SottocategorieEntrate[[#Headers],[Varie Entrate]]),"$ -","")</f>
        <v/>
      </c>
      <c r="O828" s="59" t="str">
        <f>IF(OR(Data!$I828=SottocategorieEntrate[[#Headers],[Real Estate]],SottocategorieEntrate[[#Headers],[Other]]),"$ -","")</f>
        <v/>
      </c>
      <c r="P828" s="59" t="str">
        <f>IF(OR($I828&lt;&gt;SottocategorieEntrate[[#Headers],[Business Entrate]],$I828&lt;&gt;SottocategorieEntrate[[#Headers],[Varie Entrate]],$I828&lt;&gt;SottocategorieEntrate[[#Headers],[Real Estate]],$I828&lt;&gt;SottocategorieEntrate[[#Headers],[Other]]),"","$ -")</f>
        <v/>
      </c>
      <c r="Q828" s="59" t="str">
        <f>IF(Dati[[#This Row],[Categoria]]="Prelievo","€ -","")</f>
        <v/>
      </c>
      <c r="R828" s="244"/>
      <c r="S828" s="59" t="str">
        <f>IF(Dati[[#This Row],[Categoria]]="Savings",0,"")</f>
        <v/>
      </c>
      <c r="T828" s="59"/>
      <c r="U828" s="59"/>
      <c r="V828" s="59"/>
      <c r="W828" s="59"/>
      <c r="X828" s="59"/>
      <c r="Y828" s="59"/>
      <c r="Z828" s="59"/>
      <c r="AA828" s="59"/>
      <c r="AB828" s="59"/>
      <c r="AC828" s="59"/>
      <c r="AD828" s="59"/>
      <c r="AE828" s="59"/>
      <c r="AF828" s="59"/>
      <c r="AG828" s="59"/>
      <c r="AH828" s="59"/>
      <c r="AI828" s="59" t="str">
        <f>IF(SUM(Dati[[#This Row],[Inv. Business]:[Inv. Cryptocurrency]])=0," ",SUM(Dati[[#This Row],[Inv. Business]:[Inv. Cryptocurrency]]))</f>
        <v xml:space="preserve"> </v>
      </c>
      <c r="AJ828" s="59"/>
      <c r="AK828" s="59"/>
      <c r="AL828" s="59"/>
      <c r="AM828" s="59"/>
    </row>
    <row r="829" spans="2:39" x14ac:dyDescent="0.35">
      <c r="B829" s="237">
        <f>ROW(804:804)</f>
        <v>804</v>
      </c>
      <c r="C829" s="49">
        <f>C823+1</f>
        <v>45553</v>
      </c>
      <c r="D829" s="29">
        <f>DAY(Dati[[#This Row],[Data]])</f>
        <v>18</v>
      </c>
      <c r="E829" s="29" t="str">
        <f>IF(DAY(Data!$C$21:$C$1327)&gt;0,TEXT(Data!$C$21:$C$1327, "mmmm"),"")</f>
        <v>settembre</v>
      </c>
      <c r="F829" s="29" t="str">
        <f>IF(DAY(Data!$C$21:$C$1327)&gt;0,TEXT(Data!$C$21:$C$1327, "aaaa"),"")</f>
        <v>2024</v>
      </c>
      <c r="I829" t="str">
        <f>IF(OR(H829=$B$5,H829=$B$6,H829=$B$7,H829=$B$8,H829=$B$9,H829=$B$10,H829=$B$11,H829=$B$12,H829=$B$13,H829=$B$14),SottocategorieUscite[[#Headers],[Fuori Casa]],IF(OR(H829=$C$5,H829=$C$6,H829=$C$7,H829=$C$8,H829=$C$9,H829=$C$10,H829=$C$11,H829=$C$12,H829=$C$13,H829=$C$14),SottocategorieUscite[[#Headers],[Varie Uscite]],IF(OR(H829=$D$5,H829=$D$6,H829=$D$7,H829=$D$8,H829=$D$9,H829=$D$10,H829=$D$11,H829=$D$12,H829=$D$13,H829=$D$14),SottocategorieUscite[[#Headers],[Personali]],IF(OR(H829=$E$5,H829=$E$6,H829=$E$7,H829=$E$8,H829=$E$9,H829=$E$10,H829=$E$11,H829=$E$12,H829=$E$13,H829=$E$14),SottocategorieUscite[[#Headers],[Lavoro]],IF(OR(H829=$F$5,H829=$F$6,H829=$F$7,H829=$F$8,H829=$F$9,H829=$F$10,H829=$F$11,H829=$F$12,H829=$F$13,H829=$F$14),SottocategorieUscite[[#Headers],[Casa]],IF(OR(H829=$G$5,H829=$G$6,H829=$G$7,H829=$G$8,H829=$G$9,H829=$G$10,H829=$G$11,H829=$G$12,H829=$G$13,H829=$G$14),SottocategorieUscite[[#Headers],[Utenze]],IF(OR(H829=$H$5,H829=$H$6,H829=$H$7,H829=$H$8,H829=$H$9,H829=$H$10,H829=$H$11,H829=$H$12,H829=$H$13,H829=$H$14),SottocategorieUscite[[#Headers],[Business Uscite]],IF(OR(H829=$I$5,H829=$I$6,H829=$I$7,H829=$I$8,H829=$I$9,H829=$I$10,H829=$I$11,H829=$I$12,H829=$I$13,H829=$I$14),SottocategorieUscite[[#Headers],[Banca]],IF(OR(H829=K$5,H829=K$6,H829=K$7,H829=K$8,H829=K$9,H829=K$10,H829=K$11,H829=K$12,H829=K$13,H829=K$14),SottocategorieEntrate[[#Headers],[Business Entrate]],IF(OR(H829=L$5,H829=L$6,H829=L$7,H829=L$8,H829=L$9,H829=L$10,H829=L$11,H829=L$12,H829=L$13,H829=L$14),SottocategorieEntrate[[#Headers],[Varie Entrate]],IF(OR(H829=M$5,H829=M$6,H829=M$7,H829=M$8,H829=M$9,H829=M$10,H829=M$11,H829=M$12,H829=M$13,H829=M$14),SottocategorieEntrate[[#Headers],[Real Estate]],IF(OR(H829=N$5,H829=N$6,H829=N$7,H829=N$8,H829=N$9,H829=N$10,H829=N$11,H829=N$12,H829=N$13,H829=N$14),SottocategorieEntrate[[#Headers],[Other]],""))))))))))))</f>
        <v/>
      </c>
      <c r="J829" t="str">
        <f>IF(OR(Dati[[#This Row],[Categoria]]="Bollette",Dati[[#This Row],[Categoria]]="Conto &amp; Carte BNL",Dati[[#This Row],[Categoria]]="Prelievo",Dati[[#This Row],[Categoria]]="Affitto",Dati[[#This Row],[Categoria]]="BNL(Interessi Creditori)"),"Carta",IF(Dati[[#This Row],[Categoria]]&lt;&gt;0,"Cash",""))</f>
        <v/>
      </c>
      <c r="K829" s="59" t="str">
        <f>IF(OR(Data!$I829=SottocategorieUscite[[#Headers],[Fuori Casa]],Data!$I829=SottocategorieUscite[[#Headers],[Varie Uscite]],Data!$I829=SottocategorieUscite[[#Headers],[Personali]],Data!$I829=SottocategorieUscite[[#Headers],[Lavoro]]),"$ -","")</f>
        <v/>
      </c>
      <c r="L829" s="59" t="str">
        <f>IF(OR(Data!$I829=SottocategorieUscite[[#Headers],[Casa]],Data!$I829=SottocategorieUscite[[#Headers],[Utenze]],Data!$I829=SottocategorieUscite[[#Headers],[Business Uscite]],Data!$I829=SottocategorieUscite[[#Headers],[Banca]]),"$ -","")</f>
        <v/>
      </c>
      <c r="M829" s="59" t="str">
        <f>IF(OR($I829&lt;&gt;SottocategorieUscite[[#Headers],[Fuori Casa]],$I829&lt;&gt;SottocategorieUscite[[#Headers],[Varie Uscite]],$I829&lt;&gt;SottocategorieUscite[[#Headers],[Personali]],$I829&lt;&gt;SottocategorieUscite[[#Headers],[Lavoro]],$I829&lt;&gt;SottocategorieUscite[[#Headers],[Casa]],$I829&lt;&gt;SottocategorieUscite[[#Headers],[Utenze]],$I829&lt;&gt;SottocategorieUscite[[#Headers],[Business Uscite]],$I829&lt;&gt;SottocategorieUscite[[#Headers],[Banca]]),"","$ -")</f>
        <v/>
      </c>
      <c r="N829" s="59" t="str">
        <f>IF(OR(Data!$I829=SottocategorieEntrate[[#Headers],[Business Entrate]],Data!$I829=SottocategorieEntrate[[#Headers],[Varie Entrate]]),"$ -","")</f>
        <v/>
      </c>
      <c r="O829" s="59" t="str">
        <f>IF(OR(Data!$I829=SottocategorieEntrate[[#Headers],[Real Estate]],SottocategorieEntrate[[#Headers],[Other]]),"$ -","")</f>
        <v/>
      </c>
      <c r="P829" s="59" t="str">
        <f>IF(OR($I829&lt;&gt;SottocategorieEntrate[[#Headers],[Business Entrate]],$I829&lt;&gt;SottocategorieEntrate[[#Headers],[Varie Entrate]],$I829&lt;&gt;SottocategorieEntrate[[#Headers],[Real Estate]],$I829&lt;&gt;SottocategorieEntrate[[#Headers],[Other]]),"","$ -")</f>
        <v/>
      </c>
      <c r="Q829" s="59" t="str">
        <f>IF(Dati[[#This Row],[Categoria]]="Prelievo","€ -","")</f>
        <v/>
      </c>
      <c r="R829" s="244"/>
      <c r="S829" s="59" t="str">
        <f>IF(Dati[[#This Row],[Categoria]]="Savings",0,"")</f>
        <v/>
      </c>
      <c r="T829" s="59"/>
      <c r="U829" s="59"/>
      <c r="V829" s="59"/>
      <c r="W829" s="59"/>
      <c r="X829" s="59"/>
      <c r="Y829" s="59"/>
      <c r="Z829" s="59"/>
      <c r="AA829" s="59"/>
      <c r="AB829" s="59"/>
      <c r="AC829" s="59"/>
      <c r="AD829" s="59"/>
      <c r="AE829" s="59"/>
      <c r="AF829" s="59"/>
      <c r="AG829" s="59"/>
      <c r="AH829" s="59"/>
      <c r="AI829" s="59" t="str">
        <f>IF(SUM(Dati[[#This Row],[Inv. Business]:[Inv. Cryptocurrency]])=0," ",SUM(Dati[[#This Row],[Inv. Business]:[Inv. Cryptocurrency]]))</f>
        <v xml:space="preserve"> </v>
      </c>
      <c r="AJ829" s="59"/>
      <c r="AK829" s="59"/>
      <c r="AL829" s="59"/>
      <c r="AM829" s="59"/>
    </row>
    <row r="830" spans="2:39" x14ac:dyDescent="0.35">
      <c r="B830" s="237">
        <f t="shared" ref="B830" si="42">ROW(804:804)</f>
        <v>804</v>
      </c>
      <c r="C830" s="49">
        <f>C823+1</f>
        <v>45553</v>
      </c>
      <c r="D830" s="29">
        <f>DAY(Dati[[#This Row],[Data]])</f>
        <v>18</v>
      </c>
      <c r="E830" s="29" t="str">
        <f>IF(DAY(Data!$C$21:$C$1327)&gt;0,TEXT(Data!$C$21:$C$1327, "mmmm"),"")</f>
        <v>settembre</v>
      </c>
      <c r="F830" s="29" t="str">
        <f>IF(DAY(Data!$C$21:$C$1327)&gt;0,TEXT(Data!$C$21:$C$1327, "aaaa"),"")</f>
        <v>2024</v>
      </c>
      <c r="I830" t="str">
        <f>IF(OR(H830=$B$5,H830=$B$6,H830=$B$7,H830=$B$8,H830=$B$9,H830=$B$10,H830=$B$11,H830=$B$12,H830=$B$13,H830=$B$14),SottocategorieUscite[[#Headers],[Fuori Casa]],IF(OR(H830=$C$5,H830=$C$6,H830=$C$7,H830=$C$8,H830=$C$9,H830=$C$10,H830=$C$11,H830=$C$12,H830=$C$13,H830=$C$14),SottocategorieUscite[[#Headers],[Varie Uscite]],IF(OR(H830=$D$5,H830=$D$6,H830=$D$7,H830=$D$8,H830=$D$9,H830=$D$10,H830=$D$11,H830=$D$12,H830=$D$13,H830=$D$14),SottocategorieUscite[[#Headers],[Personali]],IF(OR(H830=$E$5,H830=$E$6,H830=$E$7,H830=$E$8,H830=$E$9,H830=$E$10,H830=$E$11,H830=$E$12,H830=$E$13,H830=$E$14),SottocategorieUscite[[#Headers],[Lavoro]],IF(OR(H830=$F$5,H830=$F$6,H830=$F$7,H830=$F$8,H830=$F$9,H830=$F$10,H830=$F$11,H830=$F$12,H830=$F$13,H830=$F$14),SottocategorieUscite[[#Headers],[Casa]],IF(OR(H830=$G$5,H830=$G$6,H830=$G$7,H830=$G$8,H830=$G$9,H830=$G$10,H830=$G$11,H830=$G$12,H830=$G$13,H830=$G$14),SottocategorieUscite[[#Headers],[Utenze]],IF(OR(H830=$H$5,H830=$H$6,H830=$H$7,H830=$H$8,H830=$H$9,H830=$H$10,H830=$H$11,H830=$H$12,H830=$H$13,H830=$H$14),SottocategorieUscite[[#Headers],[Business Uscite]],IF(OR(H830=$I$5,H830=$I$6,H830=$I$7,H830=$I$8,H830=$I$9,H830=$I$10,H830=$I$11,H830=$I$12,H830=$I$13,H830=$I$14),SottocategorieUscite[[#Headers],[Banca]],IF(OR(H830=K$5,H830=K$6,H830=K$7,H830=K$8,H830=K$9,H830=K$10,H830=K$11,H830=K$12,H830=K$13,H830=K$14),SottocategorieEntrate[[#Headers],[Business Entrate]],IF(OR(H830=L$5,H830=L$6,H830=L$7,H830=L$8,H830=L$9,H830=L$10,H830=L$11,H830=L$12,H830=L$13,H830=L$14),SottocategorieEntrate[[#Headers],[Varie Entrate]],IF(OR(H830=M$5,H830=M$6,H830=M$7,H830=M$8,H830=M$9,H830=M$10,H830=M$11,H830=M$12,H830=M$13,H830=M$14),SottocategorieEntrate[[#Headers],[Real Estate]],IF(OR(H830=N$5,H830=N$6,H830=N$7,H830=N$8,H830=N$9,H830=N$10,H830=N$11,H830=N$12,H830=N$13,H830=N$14),SottocategorieEntrate[[#Headers],[Other]],""))))))))))))</f>
        <v/>
      </c>
      <c r="J830" t="str">
        <f>IF(OR(Dati[[#This Row],[Categoria]]="Bollette",Dati[[#This Row],[Categoria]]="Conto &amp; Carte BNL",Dati[[#This Row],[Categoria]]="Prelievo",Dati[[#This Row],[Categoria]]="Affitto",Dati[[#This Row],[Categoria]]="BNL(Interessi Creditori)"),"Carta",IF(Dati[[#This Row],[Categoria]]&lt;&gt;0,"Cash",""))</f>
        <v/>
      </c>
      <c r="K830" s="59" t="str">
        <f>IF(OR(Data!$I830=SottocategorieUscite[[#Headers],[Fuori Casa]],Data!$I830=SottocategorieUscite[[#Headers],[Varie Uscite]],Data!$I830=SottocategorieUscite[[#Headers],[Personali]],Data!$I830=SottocategorieUscite[[#Headers],[Lavoro]]),"$ -","")</f>
        <v/>
      </c>
      <c r="L830" s="59" t="str">
        <f>IF(OR(Data!$I830=SottocategorieUscite[[#Headers],[Casa]],Data!$I830=SottocategorieUscite[[#Headers],[Utenze]],Data!$I830=SottocategorieUscite[[#Headers],[Business Uscite]],Data!$I830=SottocategorieUscite[[#Headers],[Banca]]),"$ -","")</f>
        <v/>
      </c>
      <c r="M830" s="59" t="str">
        <f>IF(OR($I830&lt;&gt;SottocategorieUscite[[#Headers],[Fuori Casa]],$I830&lt;&gt;SottocategorieUscite[[#Headers],[Varie Uscite]],$I830&lt;&gt;SottocategorieUscite[[#Headers],[Personali]],$I830&lt;&gt;SottocategorieUscite[[#Headers],[Lavoro]],$I830&lt;&gt;SottocategorieUscite[[#Headers],[Casa]],$I830&lt;&gt;SottocategorieUscite[[#Headers],[Utenze]],$I830&lt;&gt;SottocategorieUscite[[#Headers],[Business Uscite]],$I830&lt;&gt;SottocategorieUscite[[#Headers],[Banca]]),"","$ -")</f>
        <v/>
      </c>
      <c r="N830" s="59" t="str">
        <f>IF(OR(Data!$I830=SottocategorieEntrate[[#Headers],[Business Entrate]],Data!$I830=SottocategorieEntrate[[#Headers],[Varie Entrate]]),"$ -","")</f>
        <v/>
      </c>
      <c r="O830" s="59" t="str">
        <f>IF(OR(Data!$I830=SottocategorieEntrate[[#Headers],[Real Estate]],SottocategorieEntrate[[#Headers],[Other]]),"$ -","")</f>
        <v/>
      </c>
      <c r="P830" s="59" t="str">
        <f>IF(OR($I830&lt;&gt;SottocategorieEntrate[[#Headers],[Business Entrate]],$I830&lt;&gt;SottocategorieEntrate[[#Headers],[Varie Entrate]],$I830&lt;&gt;SottocategorieEntrate[[#Headers],[Real Estate]],$I830&lt;&gt;SottocategorieEntrate[[#Headers],[Other]]),"","$ -")</f>
        <v/>
      </c>
      <c r="Q830" s="59" t="str">
        <f>IF(Dati[[#This Row],[Categoria]]="Prelievo","€ -","")</f>
        <v/>
      </c>
      <c r="R830" s="244"/>
      <c r="S830" s="59" t="str">
        <f>IF(Dati[[#This Row],[Categoria]]="Savings",0,"")</f>
        <v/>
      </c>
      <c r="T830" s="59"/>
      <c r="U830" s="59"/>
      <c r="V830" s="59"/>
      <c r="W830" s="59"/>
      <c r="X830" s="59"/>
      <c r="Y830" s="59"/>
      <c r="Z830" s="59"/>
      <c r="AA830" s="59"/>
      <c r="AB830" s="59"/>
      <c r="AC830" s="59"/>
      <c r="AD830" s="59"/>
      <c r="AE830" s="59"/>
      <c r="AF830" s="59"/>
      <c r="AG830" s="59"/>
      <c r="AH830" s="59"/>
      <c r="AI830" s="59" t="str">
        <f>IF(SUM(Dati[[#This Row],[Inv. Business]:[Inv. Cryptocurrency]])=0," ",SUM(Dati[[#This Row],[Inv. Business]:[Inv. Cryptocurrency]]))</f>
        <v xml:space="preserve"> </v>
      </c>
      <c r="AJ830" s="59"/>
      <c r="AK830" s="59"/>
      <c r="AL830" s="59"/>
      <c r="AM830" s="59"/>
    </row>
    <row r="831" spans="2:39" x14ac:dyDescent="0.35">
      <c r="B831" s="237">
        <f t="shared" ref="B831:B832" si="43">ROW(804:804)</f>
        <v>804</v>
      </c>
      <c r="C831" s="49">
        <f>C823+1</f>
        <v>45553</v>
      </c>
      <c r="D831" s="29">
        <f>DAY(Dati[[#This Row],[Data]])</f>
        <v>18</v>
      </c>
      <c r="E831" s="29" t="str">
        <f>IF(DAY(Data!$C$21:$C$1327)&gt;0,TEXT(Data!$C$21:$C$1327, "mmmm"),"")</f>
        <v>settembre</v>
      </c>
      <c r="F831" s="29" t="str">
        <f>IF(DAY(Data!$C$21:$C$1327)&gt;0,TEXT(Data!$C$21:$C$1327, "aaaa"),"")</f>
        <v>2024</v>
      </c>
      <c r="I831" t="str">
        <f>IF(OR(H831=$B$5,H831=$B$6,H831=$B$7,H831=$B$8,H831=$B$9,H831=$B$10,H831=$B$11,H831=$B$12,H831=$B$13,H831=$B$14),SottocategorieUscite[[#Headers],[Fuori Casa]],IF(OR(H831=$C$5,H831=$C$6,H831=$C$7,H831=$C$8,H831=$C$9,H831=$C$10,H831=$C$11,H831=$C$12,H831=$C$13,H831=$C$14),SottocategorieUscite[[#Headers],[Varie Uscite]],IF(OR(H831=$D$5,H831=$D$6,H831=$D$7,H831=$D$8,H831=$D$9,H831=$D$10,H831=$D$11,H831=$D$12,H831=$D$13,H831=$D$14),SottocategorieUscite[[#Headers],[Personali]],IF(OR(H831=$E$5,H831=$E$6,H831=$E$7,H831=$E$8,H831=$E$9,H831=$E$10,H831=$E$11,H831=$E$12,H831=$E$13,H831=$E$14),SottocategorieUscite[[#Headers],[Lavoro]],IF(OR(H831=$F$5,H831=$F$6,H831=$F$7,H831=$F$8,H831=$F$9,H831=$F$10,H831=$F$11,H831=$F$12,H831=$F$13,H831=$F$14),SottocategorieUscite[[#Headers],[Casa]],IF(OR(H831=$G$5,H831=$G$6,H831=$G$7,H831=$G$8,H831=$G$9,H831=$G$10,H831=$G$11,H831=$G$12,H831=$G$13,H831=$G$14),SottocategorieUscite[[#Headers],[Utenze]],IF(OR(H831=$H$5,H831=$H$6,H831=$H$7,H831=$H$8,H831=$H$9,H831=$H$10,H831=$H$11,H831=$H$12,H831=$H$13,H831=$H$14),SottocategorieUscite[[#Headers],[Business Uscite]],IF(OR(H831=$I$5,H831=$I$6,H831=$I$7,H831=$I$8,H831=$I$9,H831=$I$10,H831=$I$11,H831=$I$12,H831=$I$13,H831=$I$14),SottocategorieUscite[[#Headers],[Banca]],IF(OR(H831=K$5,H831=K$6,H831=K$7,H831=K$8,H831=K$9,H831=K$10,H831=K$11,H831=K$12,H831=K$13,H831=K$14),SottocategorieEntrate[[#Headers],[Business Entrate]],IF(OR(H831=L$5,H831=L$6,H831=L$7,H831=L$8,H831=L$9,H831=L$10,H831=L$11,H831=L$12,H831=L$13,H831=L$14),SottocategorieEntrate[[#Headers],[Varie Entrate]],IF(OR(H831=M$5,H831=M$6,H831=M$7,H831=M$8,H831=M$9,H831=M$10,H831=M$11,H831=M$12,H831=M$13,H831=M$14),SottocategorieEntrate[[#Headers],[Real Estate]],IF(OR(H831=N$5,H831=N$6,H831=N$7,H831=N$8,H831=N$9,H831=N$10,H831=N$11,H831=N$12,H831=N$13,H831=N$14),SottocategorieEntrate[[#Headers],[Other]],""))))))))))))</f>
        <v/>
      </c>
      <c r="J831" t="str">
        <f>IF(OR(Dati[[#This Row],[Categoria]]="Bollette",Dati[[#This Row],[Categoria]]="Conto &amp; Carte BNL",Dati[[#This Row],[Categoria]]="Prelievo",Dati[[#This Row],[Categoria]]="Affitto",Dati[[#This Row],[Categoria]]="BNL(Interessi Creditori)"),"Carta",IF(Dati[[#This Row],[Categoria]]&lt;&gt;0,"Cash",""))</f>
        <v/>
      </c>
      <c r="K831" s="59" t="str">
        <f>IF(OR(Data!$I831=SottocategorieUscite[[#Headers],[Fuori Casa]],Data!$I831=SottocategorieUscite[[#Headers],[Varie Uscite]],Data!$I831=SottocategorieUscite[[#Headers],[Personali]],Data!$I831=SottocategorieUscite[[#Headers],[Lavoro]]),"$ -","")</f>
        <v/>
      </c>
      <c r="L831" s="59" t="str">
        <f>IF(OR(Data!$I831=SottocategorieUscite[[#Headers],[Casa]],Data!$I831=SottocategorieUscite[[#Headers],[Utenze]],Data!$I831=SottocategorieUscite[[#Headers],[Business Uscite]],Data!$I831=SottocategorieUscite[[#Headers],[Banca]]),"$ -","")</f>
        <v/>
      </c>
      <c r="M831" s="59" t="str">
        <f>IF(OR($I831&lt;&gt;SottocategorieUscite[[#Headers],[Fuori Casa]],$I831&lt;&gt;SottocategorieUscite[[#Headers],[Varie Uscite]],$I831&lt;&gt;SottocategorieUscite[[#Headers],[Personali]],$I831&lt;&gt;SottocategorieUscite[[#Headers],[Lavoro]],$I831&lt;&gt;SottocategorieUscite[[#Headers],[Casa]],$I831&lt;&gt;SottocategorieUscite[[#Headers],[Utenze]],$I831&lt;&gt;SottocategorieUscite[[#Headers],[Business Uscite]],$I831&lt;&gt;SottocategorieUscite[[#Headers],[Banca]]),"","$ -")</f>
        <v/>
      </c>
      <c r="N831" s="59" t="str">
        <f>IF(OR(Data!$I831=SottocategorieEntrate[[#Headers],[Business Entrate]],Data!$I831=SottocategorieEntrate[[#Headers],[Varie Entrate]]),"$ -","")</f>
        <v/>
      </c>
      <c r="O831" s="59" t="str">
        <f>IF(OR(Data!$I831=SottocategorieEntrate[[#Headers],[Real Estate]],SottocategorieEntrate[[#Headers],[Other]]),"$ -","")</f>
        <v/>
      </c>
      <c r="P831" s="59" t="str">
        <f>IF(OR($I831&lt;&gt;SottocategorieEntrate[[#Headers],[Business Entrate]],$I831&lt;&gt;SottocategorieEntrate[[#Headers],[Varie Entrate]],$I831&lt;&gt;SottocategorieEntrate[[#Headers],[Real Estate]],$I831&lt;&gt;SottocategorieEntrate[[#Headers],[Other]]),"","$ -")</f>
        <v/>
      </c>
      <c r="Q831" s="59" t="str">
        <f>IF(Dati[[#This Row],[Categoria]]="Prelievo","€ -","")</f>
        <v/>
      </c>
      <c r="R831" s="244"/>
      <c r="S831" s="59" t="str">
        <f>IF(Dati[[#This Row],[Categoria]]="Savings",0,"")</f>
        <v/>
      </c>
      <c r="T831" s="59"/>
      <c r="U831" s="59"/>
      <c r="V831" s="59"/>
      <c r="W831" s="59"/>
      <c r="X831" s="59"/>
      <c r="Y831" s="59"/>
      <c r="Z831" s="59"/>
      <c r="AA831" s="59"/>
      <c r="AB831" s="59"/>
      <c r="AC831" s="59"/>
      <c r="AD831" s="59"/>
      <c r="AE831" s="59"/>
      <c r="AF831" s="59"/>
      <c r="AG831" s="59"/>
      <c r="AH831" s="59"/>
      <c r="AI831" s="59" t="str">
        <f>IF(SUM(Dati[[#This Row],[Inv. Business]:[Inv. Cryptocurrency]])=0," ",SUM(Dati[[#This Row],[Inv. Business]:[Inv. Cryptocurrency]]))</f>
        <v xml:space="preserve"> </v>
      </c>
      <c r="AJ831" s="59"/>
      <c r="AK831" s="59"/>
      <c r="AL831" s="59"/>
      <c r="AM831" s="59"/>
    </row>
    <row r="832" spans="2:39" x14ac:dyDescent="0.35">
      <c r="B832" s="237">
        <f t="shared" si="43"/>
        <v>805</v>
      </c>
      <c r="C832" s="49">
        <f>C824+1</f>
        <v>45554</v>
      </c>
      <c r="D832" s="29">
        <f>DAY(Dati[[#This Row],[Data]])</f>
        <v>19</v>
      </c>
      <c r="E832" s="29" t="str">
        <f>IF(DAY(Data!$C$21:$C$1327)&gt;0,TEXT(Data!$C$21:$C$1327, "mmmm"),"")</f>
        <v>settembre</v>
      </c>
      <c r="F832" s="29" t="str">
        <f>IF(DAY(Data!$C$21:$C$1327)&gt;0,TEXT(Data!$C$21:$C$1327, "aaaa"),"")</f>
        <v>2024</v>
      </c>
      <c r="I832" t="str">
        <f>IF(OR(H832=$B$5,H832=$B$6,H832=$B$7,H832=$B$8,H832=$B$9,H832=$B$10,H832=$B$11,H832=$B$12,H832=$B$13,H832=$B$14),SottocategorieUscite[[#Headers],[Fuori Casa]],IF(OR(H832=$C$5,H832=$C$6,H832=$C$7,H832=$C$8,H832=$C$9,H832=$C$10,H832=$C$11,H832=$C$12,H832=$C$13,H832=$C$14),SottocategorieUscite[[#Headers],[Varie Uscite]],IF(OR(H832=$D$5,H832=$D$6,H832=$D$7,H832=$D$8,H832=$D$9,H832=$D$10,H832=$D$11,H832=$D$12,H832=$D$13,H832=$D$14),SottocategorieUscite[[#Headers],[Personali]],IF(OR(H832=$E$5,H832=$E$6,H832=$E$7,H832=$E$8,H832=$E$9,H832=$E$10,H832=$E$11,H832=$E$12,H832=$E$13,H832=$E$14),SottocategorieUscite[[#Headers],[Lavoro]],IF(OR(H832=$F$5,H832=$F$6,H832=$F$7,H832=$F$8,H832=$F$9,H832=$F$10,H832=$F$11,H832=$F$12,H832=$F$13,H832=$F$14),SottocategorieUscite[[#Headers],[Casa]],IF(OR(H832=$G$5,H832=$G$6,H832=$G$7,H832=$G$8,H832=$G$9,H832=$G$10,H832=$G$11,H832=$G$12,H832=$G$13,H832=$G$14),SottocategorieUscite[[#Headers],[Utenze]],IF(OR(H832=$H$5,H832=$H$6,H832=$H$7,H832=$H$8,H832=$H$9,H832=$H$10,H832=$H$11,H832=$H$12,H832=$H$13,H832=$H$14),SottocategorieUscite[[#Headers],[Business Uscite]],IF(OR(H832=$I$5,H832=$I$6,H832=$I$7,H832=$I$8,H832=$I$9,H832=$I$10,H832=$I$11,H832=$I$12,H832=$I$13,H832=$I$14),SottocategorieUscite[[#Headers],[Banca]],IF(OR(H832=K$5,H832=K$6,H832=K$7,H832=K$8,H832=K$9,H832=K$10,H832=K$11,H832=K$12,H832=K$13,H832=K$14),SottocategorieEntrate[[#Headers],[Business Entrate]],IF(OR(H832=L$5,H832=L$6,H832=L$7,H832=L$8,H832=L$9,H832=L$10,H832=L$11,H832=L$12,H832=L$13,H832=L$14),SottocategorieEntrate[[#Headers],[Varie Entrate]],IF(OR(H832=M$5,H832=M$6,H832=M$7,H832=M$8,H832=M$9,H832=M$10,H832=M$11,H832=M$12,H832=M$13,H832=M$14),SottocategorieEntrate[[#Headers],[Real Estate]],IF(OR(H832=N$5,H832=N$6,H832=N$7,H832=N$8,H832=N$9,H832=N$10,H832=N$11,H832=N$12,H832=N$13,H832=N$14),SottocategorieEntrate[[#Headers],[Other]],""))))))))))))</f>
        <v/>
      </c>
      <c r="J832" t="str">
        <f>IF(OR(Dati[[#This Row],[Categoria]]="Bollette",Dati[[#This Row],[Categoria]]="Conto &amp; Carte BNL",Dati[[#This Row],[Categoria]]="Prelievo",Dati[[#This Row],[Categoria]]="Affitto",Dati[[#This Row],[Categoria]]="BNL(Interessi Creditori)"),"Carta",IF(Dati[[#This Row],[Categoria]]&lt;&gt;0,"Cash",""))</f>
        <v/>
      </c>
      <c r="K832" s="59" t="str">
        <f>IF(OR(Data!$I832=SottocategorieUscite[[#Headers],[Fuori Casa]],Data!$I832=SottocategorieUscite[[#Headers],[Varie Uscite]],Data!$I832=SottocategorieUscite[[#Headers],[Personali]],Data!$I832=SottocategorieUscite[[#Headers],[Lavoro]]),"$ -","")</f>
        <v/>
      </c>
      <c r="L832" s="59" t="str">
        <f>IF(OR(Data!$I832=SottocategorieUscite[[#Headers],[Casa]],Data!$I832=SottocategorieUscite[[#Headers],[Utenze]],Data!$I832=SottocategorieUscite[[#Headers],[Business Uscite]],Data!$I832=SottocategorieUscite[[#Headers],[Banca]]),"$ -","")</f>
        <v/>
      </c>
      <c r="M832" s="59" t="str">
        <f>IF(OR($I832&lt;&gt;SottocategorieUscite[[#Headers],[Fuori Casa]],$I832&lt;&gt;SottocategorieUscite[[#Headers],[Varie Uscite]],$I832&lt;&gt;SottocategorieUscite[[#Headers],[Personali]],$I832&lt;&gt;SottocategorieUscite[[#Headers],[Lavoro]],$I832&lt;&gt;SottocategorieUscite[[#Headers],[Casa]],$I832&lt;&gt;SottocategorieUscite[[#Headers],[Utenze]],$I832&lt;&gt;SottocategorieUscite[[#Headers],[Business Uscite]],$I832&lt;&gt;SottocategorieUscite[[#Headers],[Banca]]),"","$ -")</f>
        <v/>
      </c>
      <c r="N832" s="59" t="str">
        <f>IF(OR(Data!$I832=SottocategorieEntrate[[#Headers],[Business Entrate]],Data!$I832=SottocategorieEntrate[[#Headers],[Varie Entrate]]),"$ -","")</f>
        <v/>
      </c>
      <c r="O832" s="59" t="str">
        <f>IF(OR(Data!$I832=SottocategorieEntrate[[#Headers],[Real Estate]],SottocategorieEntrate[[#Headers],[Other]]),"$ -","")</f>
        <v/>
      </c>
      <c r="P832" s="59" t="str">
        <f>IF(OR($I832&lt;&gt;SottocategorieEntrate[[#Headers],[Business Entrate]],$I832&lt;&gt;SottocategorieEntrate[[#Headers],[Varie Entrate]],$I832&lt;&gt;SottocategorieEntrate[[#Headers],[Real Estate]],$I832&lt;&gt;SottocategorieEntrate[[#Headers],[Other]]),"","$ -")</f>
        <v/>
      </c>
      <c r="Q832" s="59" t="str">
        <f>IF(Dati[[#This Row],[Categoria]]="Prelievo","€ -","")</f>
        <v/>
      </c>
      <c r="R832" s="244"/>
      <c r="S832" s="59" t="str">
        <f>IF(Dati[[#This Row],[Categoria]]="Savings",0,"")</f>
        <v/>
      </c>
      <c r="T832" s="59"/>
      <c r="U832" s="59"/>
      <c r="V832" s="59"/>
      <c r="W832" s="59"/>
      <c r="X832" s="59"/>
      <c r="Y832" s="59"/>
      <c r="Z832" s="59"/>
      <c r="AA832" s="59"/>
      <c r="AB832" s="59"/>
      <c r="AC832" s="59"/>
      <c r="AD832" s="59"/>
      <c r="AE832" s="59"/>
      <c r="AF832" s="59"/>
      <c r="AG832" s="59"/>
      <c r="AH832" s="59"/>
      <c r="AI832" s="59" t="str">
        <f>IF(SUM(Dati[[#This Row],[Inv. Business]:[Inv. Cryptocurrency]])=0," ",SUM(Dati[[#This Row],[Inv. Business]:[Inv. Cryptocurrency]]))</f>
        <v xml:space="preserve"> </v>
      </c>
      <c r="AJ832" s="59"/>
      <c r="AK832" s="59"/>
      <c r="AL832" s="59"/>
      <c r="AM832" s="59"/>
    </row>
    <row r="833" spans="2:39" x14ac:dyDescent="0.35">
      <c r="B833" s="237">
        <f t="shared" ref="B833:B838" si="44">ROW(805:805)</f>
        <v>805</v>
      </c>
      <c r="C833" s="49">
        <f>C831+1</f>
        <v>45554</v>
      </c>
      <c r="D833" s="29">
        <f>DAY(Dati[[#This Row],[Data]])</f>
        <v>19</v>
      </c>
      <c r="E833" s="29" t="str">
        <f>IF(DAY(Data!$C$21:$C$1327)&gt;0,TEXT(Data!$C$21:$C$1327, "mmmm"),"")</f>
        <v>settembre</v>
      </c>
      <c r="F833" s="29" t="str">
        <f>IF(DAY(Data!$C$21:$C$1327)&gt;0,TEXT(Data!$C$21:$C$1327, "aaaa"),"")</f>
        <v>2024</v>
      </c>
      <c r="I833" t="str">
        <f>IF(OR(H833=$B$5,H833=$B$6,H833=$B$7,H833=$B$8,H833=$B$9,H833=$B$10,H833=$B$11,H833=$B$12,H833=$B$13,H833=$B$14),SottocategorieUscite[[#Headers],[Fuori Casa]],IF(OR(H833=$C$5,H833=$C$6,H833=$C$7,H833=$C$8,H833=$C$9,H833=$C$10,H833=$C$11,H833=$C$12,H833=$C$13,H833=$C$14),SottocategorieUscite[[#Headers],[Varie Uscite]],IF(OR(H833=$D$5,H833=$D$6,H833=$D$7,H833=$D$8,H833=$D$9,H833=$D$10,H833=$D$11,H833=$D$12,H833=$D$13,H833=$D$14),SottocategorieUscite[[#Headers],[Personali]],IF(OR(H833=$E$5,H833=$E$6,H833=$E$7,H833=$E$8,H833=$E$9,H833=$E$10,H833=$E$11,H833=$E$12,H833=$E$13,H833=$E$14),SottocategorieUscite[[#Headers],[Lavoro]],IF(OR(H833=$F$5,H833=$F$6,H833=$F$7,H833=$F$8,H833=$F$9,H833=$F$10,H833=$F$11,H833=$F$12,H833=$F$13,H833=$F$14),SottocategorieUscite[[#Headers],[Casa]],IF(OR(H833=$G$5,H833=$G$6,H833=$G$7,H833=$G$8,H833=$G$9,H833=$G$10,H833=$G$11,H833=$G$12,H833=$G$13,H833=$G$14),SottocategorieUscite[[#Headers],[Utenze]],IF(OR(H833=$H$5,H833=$H$6,H833=$H$7,H833=$H$8,H833=$H$9,H833=$H$10,H833=$H$11,H833=$H$12,H833=$H$13,H833=$H$14),SottocategorieUscite[[#Headers],[Business Uscite]],IF(OR(H833=$I$5,H833=$I$6,H833=$I$7,H833=$I$8,H833=$I$9,H833=$I$10,H833=$I$11,H833=$I$12,H833=$I$13,H833=$I$14),SottocategorieUscite[[#Headers],[Banca]],IF(OR(H833=K$5,H833=K$6,H833=K$7,H833=K$8,H833=K$9,H833=K$10,H833=K$11,H833=K$12,H833=K$13,H833=K$14),SottocategorieEntrate[[#Headers],[Business Entrate]],IF(OR(H833=L$5,H833=L$6,H833=L$7,H833=L$8,H833=L$9,H833=L$10,H833=L$11,H833=L$12,H833=L$13,H833=L$14),SottocategorieEntrate[[#Headers],[Varie Entrate]],IF(OR(H833=M$5,H833=M$6,H833=M$7,H833=M$8,H833=M$9,H833=M$10,H833=M$11,H833=M$12,H833=M$13,H833=M$14),SottocategorieEntrate[[#Headers],[Real Estate]],IF(OR(H833=N$5,H833=N$6,H833=N$7,H833=N$8,H833=N$9,H833=N$10,H833=N$11,H833=N$12,H833=N$13,H833=N$14),SottocategorieEntrate[[#Headers],[Other]],""))))))))))))</f>
        <v/>
      </c>
      <c r="J833" t="str">
        <f>IF(OR(Dati[[#This Row],[Categoria]]="Bollette",Dati[[#This Row],[Categoria]]="Conto &amp; Carte BNL",Dati[[#This Row],[Categoria]]="Prelievo",Dati[[#This Row],[Categoria]]="Affitto",Dati[[#This Row],[Categoria]]="BNL(Interessi Creditori)"),"Carta",IF(Dati[[#This Row],[Categoria]]&lt;&gt;0,"Cash",""))</f>
        <v/>
      </c>
      <c r="K833" s="59" t="str">
        <f>IF(OR(Data!$I833=SottocategorieUscite[[#Headers],[Fuori Casa]],Data!$I833=SottocategorieUscite[[#Headers],[Varie Uscite]],Data!$I833=SottocategorieUscite[[#Headers],[Personali]],Data!$I833=SottocategorieUscite[[#Headers],[Lavoro]]),"$ -","")</f>
        <v/>
      </c>
      <c r="L833" s="59" t="str">
        <f>IF(OR(Data!$I833=SottocategorieUscite[[#Headers],[Casa]],Data!$I833=SottocategorieUscite[[#Headers],[Utenze]],Data!$I833=SottocategorieUscite[[#Headers],[Business Uscite]],Data!$I833=SottocategorieUscite[[#Headers],[Banca]]),"$ -","")</f>
        <v/>
      </c>
      <c r="M833" s="59" t="str">
        <f>IF(OR($I833&lt;&gt;SottocategorieUscite[[#Headers],[Fuori Casa]],$I833&lt;&gt;SottocategorieUscite[[#Headers],[Varie Uscite]],$I833&lt;&gt;SottocategorieUscite[[#Headers],[Personali]],$I833&lt;&gt;SottocategorieUscite[[#Headers],[Lavoro]],$I833&lt;&gt;SottocategorieUscite[[#Headers],[Casa]],$I833&lt;&gt;SottocategorieUscite[[#Headers],[Utenze]],$I833&lt;&gt;SottocategorieUscite[[#Headers],[Business Uscite]],$I833&lt;&gt;SottocategorieUscite[[#Headers],[Banca]]),"","$ -")</f>
        <v/>
      </c>
      <c r="N833" s="59" t="str">
        <f>IF(OR(Data!$I833=SottocategorieEntrate[[#Headers],[Business Entrate]],Data!$I833=SottocategorieEntrate[[#Headers],[Varie Entrate]]),"$ -","")</f>
        <v/>
      </c>
      <c r="O833" s="59" t="str">
        <f>IF(OR(Data!$I833=SottocategorieEntrate[[#Headers],[Real Estate]],SottocategorieEntrate[[#Headers],[Other]]),"$ -","")</f>
        <v/>
      </c>
      <c r="P833" s="59" t="str">
        <f>IF(OR($I833&lt;&gt;SottocategorieEntrate[[#Headers],[Business Entrate]],$I833&lt;&gt;SottocategorieEntrate[[#Headers],[Varie Entrate]],$I833&lt;&gt;SottocategorieEntrate[[#Headers],[Real Estate]],$I833&lt;&gt;SottocategorieEntrate[[#Headers],[Other]]),"","$ -")</f>
        <v/>
      </c>
      <c r="Q833" s="59" t="str">
        <f>IF(Dati[[#This Row],[Categoria]]="Prelievo","€ -","")</f>
        <v/>
      </c>
      <c r="R833" s="244"/>
      <c r="S833" s="59" t="str">
        <f>IF(Dati[[#This Row],[Categoria]]="Savings",0,"")</f>
        <v/>
      </c>
      <c r="T833" s="59"/>
      <c r="U833" s="59"/>
      <c r="V833" s="59"/>
      <c r="W833" s="59"/>
      <c r="X833" s="59"/>
      <c r="Y833" s="59"/>
      <c r="Z833" s="59"/>
      <c r="AA833" s="59"/>
      <c r="AB833" s="59"/>
      <c r="AC833" s="59"/>
      <c r="AD833" s="59"/>
      <c r="AE833" s="59"/>
      <c r="AF833" s="59"/>
      <c r="AG833" s="59"/>
      <c r="AH833" s="59"/>
      <c r="AI833" s="59" t="str">
        <f>IF(SUM(Dati[[#This Row],[Inv. Business]:[Inv. Cryptocurrency]])=0," ",SUM(Dati[[#This Row],[Inv. Business]:[Inv. Cryptocurrency]]))</f>
        <v xml:space="preserve"> </v>
      </c>
      <c r="AJ833" s="59"/>
      <c r="AK833" s="59"/>
      <c r="AL833" s="59"/>
      <c r="AM833" s="59"/>
    </row>
    <row r="834" spans="2:39" x14ac:dyDescent="0.35">
      <c r="B834" s="237">
        <f t="shared" si="44"/>
        <v>806</v>
      </c>
      <c r="C834" s="49">
        <f>C832+1</f>
        <v>45555</v>
      </c>
      <c r="D834" s="29">
        <f>DAY(Dati[[#This Row],[Data]])</f>
        <v>20</v>
      </c>
      <c r="E834" s="29" t="str">
        <f>IF(DAY(Data!$C$21:$C$1327)&gt;0,TEXT(Data!$C$21:$C$1327, "mmmm"),"")</f>
        <v>settembre</v>
      </c>
      <c r="F834" s="29" t="str">
        <f>IF(DAY(Data!$C$21:$C$1327)&gt;0,TEXT(Data!$C$21:$C$1327, "aaaa"),"")</f>
        <v>2024</v>
      </c>
      <c r="I834" t="str">
        <f>IF(OR(H834=$B$5,H834=$B$6,H834=$B$7,H834=$B$8,H834=$B$9,H834=$B$10,H834=$B$11,H834=$B$12,H834=$B$13,H834=$B$14),SottocategorieUscite[[#Headers],[Fuori Casa]],IF(OR(H834=$C$5,H834=$C$6,H834=$C$7,H834=$C$8,H834=$C$9,H834=$C$10,H834=$C$11,H834=$C$12,H834=$C$13,H834=$C$14),SottocategorieUscite[[#Headers],[Varie Uscite]],IF(OR(H834=$D$5,H834=$D$6,H834=$D$7,H834=$D$8,H834=$D$9,H834=$D$10,H834=$D$11,H834=$D$12,H834=$D$13,H834=$D$14),SottocategorieUscite[[#Headers],[Personali]],IF(OR(H834=$E$5,H834=$E$6,H834=$E$7,H834=$E$8,H834=$E$9,H834=$E$10,H834=$E$11,H834=$E$12,H834=$E$13,H834=$E$14),SottocategorieUscite[[#Headers],[Lavoro]],IF(OR(H834=$F$5,H834=$F$6,H834=$F$7,H834=$F$8,H834=$F$9,H834=$F$10,H834=$F$11,H834=$F$12,H834=$F$13,H834=$F$14),SottocategorieUscite[[#Headers],[Casa]],IF(OR(H834=$G$5,H834=$G$6,H834=$G$7,H834=$G$8,H834=$G$9,H834=$G$10,H834=$G$11,H834=$G$12,H834=$G$13,H834=$G$14),SottocategorieUscite[[#Headers],[Utenze]],IF(OR(H834=$H$5,H834=$H$6,H834=$H$7,H834=$H$8,H834=$H$9,H834=$H$10,H834=$H$11,H834=$H$12,H834=$H$13,H834=$H$14),SottocategorieUscite[[#Headers],[Business Uscite]],IF(OR(H834=$I$5,H834=$I$6,H834=$I$7,H834=$I$8,H834=$I$9,H834=$I$10,H834=$I$11,H834=$I$12,H834=$I$13,H834=$I$14),SottocategorieUscite[[#Headers],[Banca]],IF(OR(H834=K$5,H834=K$6,H834=K$7,H834=K$8,H834=K$9,H834=K$10,H834=K$11,H834=K$12,H834=K$13,H834=K$14),SottocategorieEntrate[[#Headers],[Business Entrate]],IF(OR(H834=L$5,H834=L$6,H834=L$7,H834=L$8,H834=L$9,H834=L$10,H834=L$11,H834=L$12,H834=L$13,H834=L$14),SottocategorieEntrate[[#Headers],[Varie Entrate]],IF(OR(H834=M$5,H834=M$6,H834=M$7,H834=M$8,H834=M$9,H834=M$10,H834=M$11,H834=M$12,H834=M$13,H834=M$14),SottocategorieEntrate[[#Headers],[Real Estate]],IF(OR(H834=N$5,H834=N$6,H834=N$7,H834=N$8,H834=N$9,H834=N$10,H834=N$11,H834=N$12,H834=N$13,H834=N$14),SottocategorieEntrate[[#Headers],[Other]],""))))))))))))</f>
        <v/>
      </c>
      <c r="J834" t="str">
        <f>IF(OR(Dati[[#This Row],[Categoria]]="Bollette",Dati[[#This Row],[Categoria]]="Conto &amp; Carte BNL",Dati[[#This Row],[Categoria]]="Prelievo",Dati[[#This Row],[Categoria]]="Affitto",Dati[[#This Row],[Categoria]]="BNL(Interessi Creditori)"),"Carta",IF(Dati[[#This Row],[Categoria]]&lt;&gt;0,"Cash",""))</f>
        <v/>
      </c>
      <c r="K834" s="59" t="str">
        <f>IF(OR(Data!$I834=SottocategorieUscite[[#Headers],[Fuori Casa]],Data!$I834=SottocategorieUscite[[#Headers],[Varie Uscite]],Data!$I834=SottocategorieUscite[[#Headers],[Personali]],Data!$I834=SottocategorieUscite[[#Headers],[Lavoro]]),"$ -","")</f>
        <v/>
      </c>
      <c r="L834" s="59" t="str">
        <f>IF(OR(Data!$I834=SottocategorieUscite[[#Headers],[Casa]],Data!$I834=SottocategorieUscite[[#Headers],[Utenze]],Data!$I834=SottocategorieUscite[[#Headers],[Business Uscite]],Data!$I834=SottocategorieUscite[[#Headers],[Banca]]),"$ -","")</f>
        <v/>
      </c>
      <c r="M834" s="59" t="str">
        <f>IF(OR($I834&lt;&gt;SottocategorieUscite[[#Headers],[Fuori Casa]],$I834&lt;&gt;SottocategorieUscite[[#Headers],[Varie Uscite]],$I834&lt;&gt;SottocategorieUscite[[#Headers],[Personali]],$I834&lt;&gt;SottocategorieUscite[[#Headers],[Lavoro]],$I834&lt;&gt;SottocategorieUscite[[#Headers],[Casa]],$I834&lt;&gt;SottocategorieUscite[[#Headers],[Utenze]],$I834&lt;&gt;SottocategorieUscite[[#Headers],[Business Uscite]],$I834&lt;&gt;SottocategorieUscite[[#Headers],[Banca]]),"","$ -")</f>
        <v/>
      </c>
      <c r="N834" s="59" t="str">
        <f>IF(OR(Data!$I834=SottocategorieEntrate[[#Headers],[Business Entrate]],Data!$I834=SottocategorieEntrate[[#Headers],[Varie Entrate]]),"$ -","")</f>
        <v/>
      </c>
      <c r="O834" s="59" t="str">
        <f>IF(OR(Data!$I834=SottocategorieEntrate[[#Headers],[Real Estate]],SottocategorieEntrate[[#Headers],[Other]]),"$ -","")</f>
        <v/>
      </c>
      <c r="P834" s="59" t="str">
        <f>IF(OR($I834&lt;&gt;SottocategorieEntrate[[#Headers],[Business Entrate]],$I834&lt;&gt;SottocategorieEntrate[[#Headers],[Varie Entrate]],$I834&lt;&gt;SottocategorieEntrate[[#Headers],[Real Estate]],$I834&lt;&gt;SottocategorieEntrate[[#Headers],[Other]]),"","$ -")</f>
        <v/>
      </c>
      <c r="Q834" s="59" t="str">
        <f>IF(Dati[[#This Row],[Categoria]]="Prelievo","€ -","")</f>
        <v/>
      </c>
      <c r="R834" s="244"/>
      <c r="S834" s="59" t="str">
        <f>IF(Dati[[#This Row],[Categoria]]="Savings",0,"")</f>
        <v/>
      </c>
      <c r="T834" s="59"/>
      <c r="U834" s="59"/>
      <c r="V834" s="59"/>
      <c r="W834" s="59"/>
      <c r="X834" s="59"/>
      <c r="Y834" s="59"/>
      <c r="Z834" s="59"/>
      <c r="AA834" s="59"/>
      <c r="AB834" s="59"/>
      <c r="AC834" s="59"/>
      <c r="AD834" s="59"/>
      <c r="AE834" s="59"/>
      <c r="AF834" s="59"/>
      <c r="AG834" s="59"/>
      <c r="AH834" s="59"/>
      <c r="AI834" s="59" t="str">
        <f>IF(SUM(Dati[[#This Row],[Inv. Business]:[Inv. Cryptocurrency]])=0," ",SUM(Dati[[#This Row],[Inv. Business]:[Inv. Cryptocurrency]]))</f>
        <v xml:space="preserve"> </v>
      </c>
      <c r="AJ834" s="59"/>
      <c r="AK834" s="59"/>
      <c r="AL834" s="59"/>
      <c r="AM834" s="59"/>
    </row>
    <row r="835" spans="2:39" x14ac:dyDescent="0.35">
      <c r="B835" s="237">
        <f t="shared" si="44"/>
        <v>807</v>
      </c>
      <c r="C835" s="49">
        <f t="shared" si="39"/>
        <v>45556</v>
      </c>
      <c r="D835" s="29">
        <f>DAY(Dati[[#This Row],[Data]])</f>
        <v>21</v>
      </c>
      <c r="E835" s="29" t="str">
        <f>IF(DAY(Data!$C$21:$C$1327)&gt;0,TEXT(Data!$C$21:$C$1327, "mmmm"),"")</f>
        <v>settembre</v>
      </c>
      <c r="F835" s="29" t="str">
        <f>IF(DAY(Data!$C$21:$C$1327)&gt;0,TEXT(Data!$C$21:$C$1327, "aaaa"),"")</f>
        <v>2024</v>
      </c>
      <c r="I835" t="str">
        <f>IF(OR(H835=$B$5,H835=$B$6,H835=$B$7,H835=$B$8,H835=$B$9,H835=$B$10,H835=$B$11,H835=$B$12,H835=$B$13,H835=$B$14),SottocategorieUscite[[#Headers],[Fuori Casa]],IF(OR(H835=$C$5,H835=$C$6,H835=$C$7,H835=$C$8,H835=$C$9,H835=$C$10,H835=$C$11,H835=$C$12,H835=$C$13,H835=$C$14),SottocategorieUscite[[#Headers],[Varie Uscite]],IF(OR(H835=$D$5,H835=$D$6,H835=$D$7,H835=$D$8,H835=$D$9,H835=$D$10,H835=$D$11,H835=$D$12,H835=$D$13,H835=$D$14),SottocategorieUscite[[#Headers],[Personali]],IF(OR(H835=$E$5,H835=$E$6,H835=$E$7,H835=$E$8,H835=$E$9,H835=$E$10,H835=$E$11,H835=$E$12,H835=$E$13,H835=$E$14),SottocategorieUscite[[#Headers],[Lavoro]],IF(OR(H835=$F$5,H835=$F$6,H835=$F$7,H835=$F$8,H835=$F$9,H835=$F$10,H835=$F$11,H835=$F$12,H835=$F$13,H835=$F$14),SottocategorieUscite[[#Headers],[Casa]],IF(OR(H835=$G$5,H835=$G$6,H835=$G$7,H835=$G$8,H835=$G$9,H835=$G$10,H835=$G$11,H835=$G$12,H835=$G$13,H835=$G$14),SottocategorieUscite[[#Headers],[Utenze]],IF(OR(H835=$H$5,H835=$H$6,H835=$H$7,H835=$H$8,H835=$H$9,H835=$H$10,H835=$H$11,H835=$H$12,H835=$H$13,H835=$H$14),SottocategorieUscite[[#Headers],[Business Uscite]],IF(OR(H835=$I$5,H835=$I$6,H835=$I$7,H835=$I$8,H835=$I$9,H835=$I$10,H835=$I$11,H835=$I$12,H835=$I$13,H835=$I$14),SottocategorieUscite[[#Headers],[Banca]],IF(OR(H835=K$5,H835=K$6,H835=K$7,H835=K$8,H835=K$9,H835=K$10,H835=K$11,H835=K$12,H835=K$13,H835=K$14),SottocategorieEntrate[[#Headers],[Business Entrate]],IF(OR(H835=L$5,H835=L$6,H835=L$7,H835=L$8,H835=L$9,H835=L$10,H835=L$11,H835=L$12,H835=L$13,H835=L$14),SottocategorieEntrate[[#Headers],[Varie Entrate]],IF(OR(H835=M$5,H835=M$6,H835=M$7,H835=M$8,H835=M$9,H835=M$10,H835=M$11,H835=M$12,H835=M$13,H835=M$14),SottocategorieEntrate[[#Headers],[Real Estate]],IF(OR(H835=N$5,H835=N$6,H835=N$7,H835=N$8,H835=N$9,H835=N$10,H835=N$11,H835=N$12,H835=N$13,H835=N$14),SottocategorieEntrate[[#Headers],[Other]],""))))))))))))</f>
        <v/>
      </c>
      <c r="J835" t="str">
        <f>IF(OR(Dati[[#This Row],[Categoria]]="Bollette",Dati[[#This Row],[Categoria]]="Conto &amp; Carte BNL",Dati[[#This Row],[Categoria]]="Prelievo",Dati[[#This Row],[Categoria]]="Affitto",Dati[[#This Row],[Categoria]]="BNL(Interessi Creditori)"),"Carta",IF(Dati[[#This Row],[Categoria]]&lt;&gt;0,"Cash",""))</f>
        <v/>
      </c>
      <c r="K835" s="59" t="str">
        <f>IF(OR(Data!$I835=SottocategorieUscite[[#Headers],[Fuori Casa]],Data!$I835=SottocategorieUscite[[#Headers],[Varie Uscite]],Data!$I835=SottocategorieUscite[[#Headers],[Personali]],Data!$I835=SottocategorieUscite[[#Headers],[Lavoro]]),"$ -","")</f>
        <v/>
      </c>
      <c r="L835" s="59" t="str">
        <f>IF(OR(Data!$I835=SottocategorieUscite[[#Headers],[Casa]],Data!$I835=SottocategorieUscite[[#Headers],[Utenze]],Data!$I835=SottocategorieUscite[[#Headers],[Business Uscite]],Data!$I835=SottocategorieUscite[[#Headers],[Banca]]),"$ -","")</f>
        <v/>
      </c>
      <c r="M835" s="59" t="str">
        <f>IF(OR($I835&lt;&gt;SottocategorieUscite[[#Headers],[Fuori Casa]],$I835&lt;&gt;SottocategorieUscite[[#Headers],[Varie Uscite]],$I835&lt;&gt;SottocategorieUscite[[#Headers],[Personali]],$I835&lt;&gt;SottocategorieUscite[[#Headers],[Lavoro]],$I835&lt;&gt;SottocategorieUscite[[#Headers],[Casa]],$I835&lt;&gt;SottocategorieUscite[[#Headers],[Utenze]],$I835&lt;&gt;SottocategorieUscite[[#Headers],[Business Uscite]],$I835&lt;&gt;SottocategorieUscite[[#Headers],[Banca]]),"","$ -")</f>
        <v/>
      </c>
      <c r="N835" s="59" t="str">
        <f>IF(OR(Data!$I835=SottocategorieEntrate[[#Headers],[Business Entrate]],Data!$I835=SottocategorieEntrate[[#Headers],[Varie Entrate]]),"$ -","")</f>
        <v/>
      </c>
      <c r="O835" s="59" t="str">
        <f>IF(OR(Data!$I835=SottocategorieEntrate[[#Headers],[Real Estate]],SottocategorieEntrate[[#Headers],[Other]]),"$ -","")</f>
        <v/>
      </c>
      <c r="P835" s="59" t="str">
        <f>IF(OR($I835&lt;&gt;SottocategorieEntrate[[#Headers],[Business Entrate]],$I835&lt;&gt;SottocategorieEntrate[[#Headers],[Varie Entrate]],$I835&lt;&gt;SottocategorieEntrate[[#Headers],[Real Estate]],$I835&lt;&gt;SottocategorieEntrate[[#Headers],[Other]]),"","$ -")</f>
        <v/>
      </c>
      <c r="Q835" s="59" t="str">
        <f>IF(Dati[[#This Row],[Categoria]]="Prelievo","€ -","")</f>
        <v/>
      </c>
      <c r="R835" s="244"/>
      <c r="S835" s="59" t="str">
        <f>IF(Dati[[#This Row],[Categoria]]="Savings",0,"")</f>
        <v/>
      </c>
      <c r="T835" s="59"/>
      <c r="U835" s="59"/>
      <c r="V835" s="59"/>
      <c r="W835" s="59"/>
      <c r="X835" s="59"/>
      <c r="Y835" s="59"/>
      <c r="Z835" s="59"/>
      <c r="AA835" s="59"/>
      <c r="AB835" s="59"/>
      <c r="AC835" s="59"/>
      <c r="AD835" s="59"/>
      <c r="AE835" s="59"/>
      <c r="AF835" s="59"/>
      <c r="AG835" s="59"/>
      <c r="AH835" s="59"/>
      <c r="AI835" s="59" t="str">
        <f>IF(SUM(Dati[[#This Row],[Inv. Business]:[Inv. Cryptocurrency]])=0," ",SUM(Dati[[#This Row],[Inv. Business]:[Inv. Cryptocurrency]]))</f>
        <v xml:space="preserve"> </v>
      </c>
      <c r="AJ835" s="59"/>
      <c r="AK835" s="59"/>
      <c r="AL835" s="59"/>
      <c r="AM835" s="59"/>
    </row>
    <row r="836" spans="2:39" x14ac:dyDescent="0.35">
      <c r="B836" s="237">
        <f t="shared" si="44"/>
        <v>808</v>
      </c>
      <c r="C836" s="49">
        <f t="shared" si="39"/>
        <v>45557</v>
      </c>
      <c r="D836" s="29">
        <f>DAY(Dati[[#This Row],[Data]])</f>
        <v>22</v>
      </c>
      <c r="E836" s="29" t="str">
        <f>IF(DAY(Data!$C$21:$C$1327)&gt;0,TEXT(Data!$C$21:$C$1327, "mmmm"),"")</f>
        <v>settembre</v>
      </c>
      <c r="F836" s="29" t="str">
        <f>IF(DAY(Data!$C$21:$C$1327)&gt;0,TEXT(Data!$C$21:$C$1327, "aaaa"),"")</f>
        <v>2024</v>
      </c>
      <c r="I836" t="str">
        <f>IF(OR(H836=$B$5,H836=$B$6,H836=$B$7,H836=$B$8,H836=$B$9,H836=$B$10,H836=$B$11,H836=$B$12,H836=$B$13,H836=$B$14),SottocategorieUscite[[#Headers],[Fuori Casa]],IF(OR(H836=$C$5,H836=$C$6,H836=$C$7,H836=$C$8,H836=$C$9,H836=$C$10,H836=$C$11,H836=$C$12,H836=$C$13,H836=$C$14),SottocategorieUscite[[#Headers],[Varie Uscite]],IF(OR(H836=$D$5,H836=$D$6,H836=$D$7,H836=$D$8,H836=$D$9,H836=$D$10,H836=$D$11,H836=$D$12,H836=$D$13,H836=$D$14),SottocategorieUscite[[#Headers],[Personali]],IF(OR(H836=$E$5,H836=$E$6,H836=$E$7,H836=$E$8,H836=$E$9,H836=$E$10,H836=$E$11,H836=$E$12,H836=$E$13,H836=$E$14),SottocategorieUscite[[#Headers],[Lavoro]],IF(OR(H836=$F$5,H836=$F$6,H836=$F$7,H836=$F$8,H836=$F$9,H836=$F$10,H836=$F$11,H836=$F$12,H836=$F$13,H836=$F$14),SottocategorieUscite[[#Headers],[Casa]],IF(OR(H836=$G$5,H836=$G$6,H836=$G$7,H836=$G$8,H836=$G$9,H836=$G$10,H836=$G$11,H836=$G$12,H836=$G$13,H836=$G$14),SottocategorieUscite[[#Headers],[Utenze]],IF(OR(H836=$H$5,H836=$H$6,H836=$H$7,H836=$H$8,H836=$H$9,H836=$H$10,H836=$H$11,H836=$H$12,H836=$H$13,H836=$H$14),SottocategorieUscite[[#Headers],[Business Uscite]],IF(OR(H836=$I$5,H836=$I$6,H836=$I$7,H836=$I$8,H836=$I$9,H836=$I$10,H836=$I$11,H836=$I$12,H836=$I$13,H836=$I$14),SottocategorieUscite[[#Headers],[Banca]],IF(OR(H836=K$5,H836=K$6,H836=K$7,H836=K$8,H836=K$9,H836=K$10,H836=K$11,H836=K$12,H836=K$13,H836=K$14),SottocategorieEntrate[[#Headers],[Business Entrate]],IF(OR(H836=L$5,H836=L$6,H836=L$7,H836=L$8,H836=L$9,H836=L$10,H836=L$11,H836=L$12,H836=L$13,H836=L$14),SottocategorieEntrate[[#Headers],[Varie Entrate]],IF(OR(H836=M$5,H836=M$6,H836=M$7,H836=M$8,H836=M$9,H836=M$10,H836=M$11,H836=M$12,H836=M$13,H836=M$14),SottocategorieEntrate[[#Headers],[Real Estate]],IF(OR(H836=N$5,H836=N$6,H836=N$7,H836=N$8,H836=N$9,H836=N$10,H836=N$11,H836=N$12,H836=N$13,H836=N$14),SottocategorieEntrate[[#Headers],[Other]],""))))))))))))</f>
        <v/>
      </c>
      <c r="J836" t="str">
        <f>IF(OR(Dati[[#This Row],[Categoria]]="Bollette",Dati[[#This Row],[Categoria]]="Conto &amp; Carte BNL",Dati[[#This Row],[Categoria]]="Prelievo",Dati[[#This Row],[Categoria]]="Affitto",Dati[[#This Row],[Categoria]]="BNL(Interessi Creditori)"),"Carta",IF(Dati[[#This Row],[Categoria]]&lt;&gt;0,"Cash",""))</f>
        <v/>
      </c>
      <c r="K836" s="59" t="str">
        <f>IF(OR(Data!$I836=SottocategorieUscite[[#Headers],[Fuori Casa]],Data!$I836=SottocategorieUscite[[#Headers],[Varie Uscite]],Data!$I836=SottocategorieUscite[[#Headers],[Personali]],Data!$I836=SottocategorieUscite[[#Headers],[Lavoro]]),"$ -","")</f>
        <v/>
      </c>
      <c r="L836" s="59" t="str">
        <f>IF(OR(Data!$I836=SottocategorieUscite[[#Headers],[Casa]],Data!$I836=SottocategorieUscite[[#Headers],[Utenze]],Data!$I836=SottocategorieUscite[[#Headers],[Business Uscite]],Data!$I836=SottocategorieUscite[[#Headers],[Banca]]),"$ -","")</f>
        <v/>
      </c>
      <c r="M836" s="59" t="str">
        <f>IF(OR($I836&lt;&gt;SottocategorieUscite[[#Headers],[Fuori Casa]],$I836&lt;&gt;SottocategorieUscite[[#Headers],[Varie Uscite]],$I836&lt;&gt;SottocategorieUscite[[#Headers],[Personali]],$I836&lt;&gt;SottocategorieUscite[[#Headers],[Lavoro]],$I836&lt;&gt;SottocategorieUscite[[#Headers],[Casa]],$I836&lt;&gt;SottocategorieUscite[[#Headers],[Utenze]],$I836&lt;&gt;SottocategorieUscite[[#Headers],[Business Uscite]],$I836&lt;&gt;SottocategorieUscite[[#Headers],[Banca]]),"","$ -")</f>
        <v/>
      </c>
      <c r="N836" s="59" t="str">
        <f>IF(OR(Data!$I836=SottocategorieEntrate[[#Headers],[Business Entrate]],Data!$I836=SottocategorieEntrate[[#Headers],[Varie Entrate]]),"$ -","")</f>
        <v/>
      </c>
      <c r="O836" s="59" t="str">
        <f>IF(OR(Data!$I836=SottocategorieEntrate[[#Headers],[Real Estate]],SottocategorieEntrate[[#Headers],[Other]]),"$ -","")</f>
        <v/>
      </c>
      <c r="P836" s="59" t="str">
        <f>IF(OR($I836&lt;&gt;SottocategorieEntrate[[#Headers],[Business Entrate]],$I836&lt;&gt;SottocategorieEntrate[[#Headers],[Varie Entrate]],$I836&lt;&gt;SottocategorieEntrate[[#Headers],[Real Estate]],$I836&lt;&gt;SottocategorieEntrate[[#Headers],[Other]]),"","$ -")</f>
        <v/>
      </c>
      <c r="Q836" s="59" t="str">
        <f>IF(Dati[[#This Row],[Categoria]]="Prelievo","€ -","")</f>
        <v/>
      </c>
      <c r="R836" s="244"/>
      <c r="S836" s="59" t="str">
        <f>IF(Dati[[#This Row],[Categoria]]="Savings",0,"")</f>
        <v/>
      </c>
      <c r="T836" s="59"/>
      <c r="U836" s="59"/>
      <c r="V836" s="59"/>
      <c r="W836" s="59"/>
      <c r="X836" s="59"/>
      <c r="Y836" s="59"/>
      <c r="Z836" s="59"/>
      <c r="AA836" s="59"/>
      <c r="AB836" s="59"/>
      <c r="AC836" s="59"/>
      <c r="AD836" s="59"/>
      <c r="AE836" s="59"/>
      <c r="AF836" s="59"/>
      <c r="AG836" s="59"/>
      <c r="AH836" s="59"/>
      <c r="AI836" s="59" t="str">
        <f>IF(SUM(Dati[[#This Row],[Inv. Business]:[Inv. Cryptocurrency]])=0," ",SUM(Dati[[#This Row],[Inv. Business]:[Inv. Cryptocurrency]]))</f>
        <v xml:space="preserve"> </v>
      </c>
      <c r="AJ836" s="59"/>
      <c r="AK836" s="59"/>
      <c r="AL836" s="59"/>
      <c r="AM836" s="59"/>
    </row>
    <row r="837" spans="2:39" x14ac:dyDescent="0.35">
      <c r="B837" s="237">
        <f t="shared" si="44"/>
        <v>809</v>
      </c>
      <c r="C837" s="49">
        <f t="shared" si="39"/>
        <v>45558</v>
      </c>
      <c r="D837" s="29">
        <f>DAY(Dati[[#This Row],[Data]])</f>
        <v>23</v>
      </c>
      <c r="E837" s="29" t="str">
        <f>IF(DAY(Data!$C$21:$C$1327)&gt;0,TEXT(Data!$C$21:$C$1327, "mmmm"),"")</f>
        <v>settembre</v>
      </c>
      <c r="F837" s="29" t="str">
        <f>IF(DAY(Data!$C$21:$C$1327)&gt;0,TEXT(Data!$C$21:$C$1327, "aaaa"),"")</f>
        <v>2024</v>
      </c>
      <c r="I837" t="str">
        <f>IF(OR(H837=$B$5,H837=$B$6,H837=$B$7,H837=$B$8,H837=$B$9,H837=$B$10,H837=$B$11,H837=$B$12,H837=$B$13,H837=$B$14),SottocategorieUscite[[#Headers],[Fuori Casa]],IF(OR(H837=$C$5,H837=$C$6,H837=$C$7,H837=$C$8,H837=$C$9,H837=$C$10,H837=$C$11,H837=$C$12,H837=$C$13,H837=$C$14),SottocategorieUscite[[#Headers],[Varie Uscite]],IF(OR(H837=$D$5,H837=$D$6,H837=$D$7,H837=$D$8,H837=$D$9,H837=$D$10,H837=$D$11,H837=$D$12,H837=$D$13,H837=$D$14),SottocategorieUscite[[#Headers],[Personali]],IF(OR(H837=$E$5,H837=$E$6,H837=$E$7,H837=$E$8,H837=$E$9,H837=$E$10,H837=$E$11,H837=$E$12,H837=$E$13,H837=$E$14),SottocategorieUscite[[#Headers],[Lavoro]],IF(OR(H837=$F$5,H837=$F$6,H837=$F$7,H837=$F$8,H837=$F$9,H837=$F$10,H837=$F$11,H837=$F$12,H837=$F$13,H837=$F$14),SottocategorieUscite[[#Headers],[Casa]],IF(OR(H837=$G$5,H837=$G$6,H837=$G$7,H837=$G$8,H837=$G$9,H837=$G$10,H837=$G$11,H837=$G$12,H837=$G$13,H837=$G$14),SottocategorieUscite[[#Headers],[Utenze]],IF(OR(H837=$H$5,H837=$H$6,H837=$H$7,H837=$H$8,H837=$H$9,H837=$H$10,H837=$H$11,H837=$H$12,H837=$H$13,H837=$H$14),SottocategorieUscite[[#Headers],[Business Uscite]],IF(OR(H837=$I$5,H837=$I$6,H837=$I$7,H837=$I$8,H837=$I$9,H837=$I$10,H837=$I$11,H837=$I$12,H837=$I$13,H837=$I$14),SottocategorieUscite[[#Headers],[Banca]],IF(OR(H837=K$5,H837=K$6,H837=K$7,H837=K$8,H837=K$9,H837=K$10,H837=K$11,H837=K$12,H837=K$13,H837=K$14),SottocategorieEntrate[[#Headers],[Business Entrate]],IF(OR(H837=L$5,H837=L$6,H837=L$7,H837=L$8,H837=L$9,H837=L$10,H837=L$11,H837=L$12,H837=L$13,H837=L$14),SottocategorieEntrate[[#Headers],[Varie Entrate]],IF(OR(H837=M$5,H837=M$6,H837=M$7,H837=M$8,H837=M$9,H837=M$10,H837=M$11,H837=M$12,H837=M$13,H837=M$14),SottocategorieEntrate[[#Headers],[Real Estate]],IF(OR(H837=N$5,H837=N$6,H837=N$7,H837=N$8,H837=N$9,H837=N$10,H837=N$11,H837=N$12,H837=N$13,H837=N$14),SottocategorieEntrate[[#Headers],[Other]],""))))))))))))</f>
        <v/>
      </c>
      <c r="J837" t="str">
        <f>IF(OR(Dati[[#This Row],[Categoria]]="Bollette",Dati[[#This Row],[Categoria]]="Conto &amp; Carte BNL",Dati[[#This Row],[Categoria]]="Prelievo",Dati[[#This Row],[Categoria]]="Affitto",Dati[[#This Row],[Categoria]]="BNL(Interessi Creditori)"),"Carta",IF(Dati[[#This Row],[Categoria]]&lt;&gt;0,"Cash",""))</f>
        <v/>
      </c>
      <c r="K837" s="59" t="str">
        <f>IF(OR(Data!$I837=SottocategorieUscite[[#Headers],[Fuori Casa]],Data!$I837=SottocategorieUscite[[#Headers],[Varie Uscite]],Data!$I837=SottocategorieUscite[[#Headers],[Personali]],Data!$I837=SottocategorieUscite[[#Headers],[Lavoro]]),"$ -","")</f>
        <v/>
      </c>
      <c r="L837" s="59" t="str">
        <f>IF(OR(Data!$I837=SottocategorieUscite[[#Headers],[Casa]],Data!$I837=SottocategorieUscite[[#Headers],[Utenze]],Data!$I837=SottocategorieUscite[[#Headers],[Business Uscite]],Data!$I837=SottocategorieUscite[[#Headers],[Banca]]),"$ -","")</f>
        <v/>
      </c>
      <c r="M837" s="59" t="str">
        <f>IF(OR($I837&lt;&gt;SottocategorieUscite[[#Headers],[Fuori Casa]],$I837&lt;&gt;SottocategorieUscite[[#Headers],[Varie Uscite]],$I837&lt;&gt;SottocategorieUscite[[#Headers],[Personali]],$I837&lt;&gt;SottocategorieUscite[[#Headers],[Lavoro]],$I837&lt;&gt;SottocategorieUscite[[#Headers],[Casa]],$I837&lt;&gt;SottocategorieUscite[[#Headers],[Utenze]],$I837&lt;&gt;SottocategorieUscite[[#Headers],[Business Uscite]],$I837&lt;&gt;SottocategorieUscite[[#Headers],[Banca]]),"","$ -")</f>
        <v/>
      </c>
      <c r="N837" s="59" t="str">
        <f>IF(OR(Data!$I837=SottocategorieEntrate[[#Headers],[Business Entrate]],Data!$I837=SottocategorieEntrate[[#Headers],[Varie Entrate]]),"$ -","")</f>
        <v/>
      </c>
      <c r="O837" s="59" t="str">
        <f>IF(OR(Data!$I837=SottocategorieEntrate[[#Headers],[Real Estate]],SottocategorieEntrate[[#Headers],[Other]]),"$ -","")</f>
        <v/>
      </c>
      <c r="P837" s="59" t="str">
        <f>IF(OR($I837&lt;&gt;SottocategorieEntrate[[#Headers],[Business Entrate]],$I837&lt;&gt;SottocategorieEntrate[[#Headers],[Varie Entrate]],$I837&lt;&gt;SottocategorieEntrate[[#Headers],[Real Estate]],$I837&lt;&gt;SottocategorieEntrate[[#Headers],[Other]]),"","$ -")</f>
        <v/>
      </c>
      <c r="Q837" s="59" t="str">
        <f>IF(Dati[[#This Row],[Categoria]]="Prelievo","€ -","")</f>
        <v/>
      </c>
      <c r="R837" s="244"/>
      <c r="S837" s="59" t="str">
        <f>IF(Dati[[#This Row],[Categoria]]="Savings",0,"")</f>
        <v/>
      </c>
      <c r="T837" s="59"/>
      <c r="U837" s="59"/>
      <c r="V837" s="59"/>
      <c r="W837" s="59"/>
      <c r="X837" s="59"/>
      <c r="Y837" s="59"/>
      <c r="Z837" s="59"/>
      <c r="AA837" s="59"/>
      <c r="AB837" s="59"/>
      <c r="AC837" s="59"/>
      <c r="AD837" s="59"/>
      <c r="AE837" s="59"/>
      <c r="AF837" s="59"/>
      <c r="AG837" s="59"/>
      <c r="AH837" s="59"/>
      <c r="AI837" s="59" t="str">
        <f>IF(SUM(Dati[[#This Row],[Inv. Business]:[Inv. Cryptocurrency]])=0," ",SUM(Dati[[#This Row],[Inv. Business]:[Inv. Cryptocurrency]]))</f>
        <v xml:space="preserve"> </v>
      </c>
      <c r="AJ837" s="59"/>
      <c r="AK837" s="59"/>
      <c r="AL837" s="59"/>
      <c r="AM837" s="59"/>
    </row>
    <row r="838" spans="2:39" x14ac:dyDescent="0.35">
      <c r="B838" s="237">
        <f t="shared" si="44"/>
        <v>810</v>
      </c>
      <c r="C838" s="49">
        <f t="shared" si="39"/>
        <v>45559</v>
      </c>
      <c r="D838" s="29">
        <f>DAY(Dati[[#This Row],[Data]])</f>
        <v>24</v>
      </c>
      <c r="E838" s="29" t="str">
        <f>IF(DAY(Data!$C$21:$C$1327)&gt;0,TEXT(Data!$C$21:$C$1327, "mmmm"),"")</f>
        <v>settembre</v>
      </c>
      <c r="F838" s="29" t="str">
        <f>IF(DAY(Data!$C$21:$C$1327)&gt;0,TEXT(Data!$C$21:$C$1327, "aaaa"),"")</f>
        <v>2024</v>
      </c>
      <c r="I838" t="str">
        <f>IF(OR(H838=$B$5,H838=$B$6,H838=$B$7,H838=$B$8,H838=$B$9,H838=$B$10,H838=$B$11,H838=$B$12,H838=$B$13,H838=$B$14),SottocategorieUscite[[#Headers],[Fuori Casa]],IF(OR(H838=$C$5,H838=$C$6,H838=$C$7,H838=$C$8,H838=$C$9,H838=$C$10,H838=$C$11,H838=$C$12,H838=$C$13,H838=$C$14),SottocategorieUscite[[#Headers],[Varie Uscite]],IF(OR(H838=$D$5,H838=$D$6,H838=$D$7,H838=$D$8,H838=$D$9,H838=$D$10,H838=$D$11,H838=$D$12,H838=$D$13,H838=$D$14),SottocategorieUscite[[#Headers],[Personali]],IF(OR(H838=$E$5,H838=$E$6,H838=$E$7,H838=$E$8,H838=$E$9,H838=$E$10,H838=$E$11,H838=$E$12,H838=$E$13,H838=$E$14),SottocategorieUscite[[#Headers],[Lavoro]],IF(OR(H838=$F$5,H838=$F$6,H838=$F$7,H838=$F$8,H838=$F$9,H838=$F$10,H838=$F$11,H838=$F$12,H838=$F$13,H838=$F$14),SottocategorieUscite[[#Headers],[Casa]],IF(OR(H838=$G$5,H838=$G$6,H838=$G$7,H838=$G$8,H838=$G$9,H838=$G$10,H838=$G$11,H838=$G$12,H838=$G$13,H838=$G$14),SottocategorieUscite[[#Headers],[Utenze]],IF(OR(H838=$H$5,H838=$H$6,H838=$H$7,H838=$H$8,H838=$H$9,H838=$H$10,H838=$H$11,H838=$H$12,H838=$H$13,H838=$H$14),SottocategorieUscite[[#Headers],[Business Uscite]],IF(OR(H838=$I$5,H838=$I$6,H838=$I$7,H838=$I$8,H838=$I$9,H838=$I$10,H838=$I$11,H838=$I$12,H838=$I$13,H838=$I$14),SottocategorieUscite[[#Headers],[Banca]],IF(OR(H838=K$5,H838=K$6,H838=K$7,H838=K$8,H838=K$9,H838=K$10,H838=K$11,H838=K$12,H838=K$13,H838=K$14),SottocategorieEntrate[[#Headers],[Business Entrate]],IF(OR(H838=L$5,H838=L$6,H838=L$7,H838=L$8,H838=L$9,H838=L$10,H838=L$11,H838=L$12,H838=L$13,H838=L$14),SottocategorieEntrate[[#Headers],[Varie Entrate]],IF(OR(H838=M$5,H838=M$6,H838=M$7,H838=M$8,H838=M$9,H838=M$10,H838=M$11,H838=M$12,H838=M$13,H838=M$14),SottocategorieEntrate[[#Headers],[Real Estate]],IF(OR(H838=N$5,H838=N$6,H838=N$7,H838=N$8,H838=N$9,H838=N$10,H838=N$11,H838=N$12,H838=N$13,H838=N$14),SottocategorieEntrate[[#Headers],[Other]],""))))))))))))</f>
        <v/>
      </c>
      <c r="J838" t="str">
        <f>IF(OR(Dati[[#This Row],[Categoria]]="Bollette",Dati[[#This Row],[Categoria]]="Conto &amp; Carte BNL",Dati[[#This Row],[Categoria]]="Prelievo",Dati[[#This Row],[Categoria]]="Affitto",Dati[[#This Row],[Categoria]]="BNL(Interessi Creditori)"),"Carta",IF(Dati[[#This Row],[Categoria]]&lt;&gt;0,"Cash",""))</f>
        <v/>
      </c>
      <c r="K838" s="59" t="str">
        <f>IF(OR(Data!$I838=SottocategorieUscite[[#Headers],[Fuori Casa]],Data!$I838=SottocategorieUscite[[#Headers],[Varie Uscite]],Data!$I838=SottocategorieUscite[[#Headers],[Personali]],Data!$I838=SottocategorieUscite[[#Headers],[Lavoro]]),"$ -","")</f>
        <v/>
      </c>
      <c r="L838" s="59" t="str">
        <f>IF(OR(Data!$I838=SottocategorieUscite[[#Headers],[Casa]],Data!$I838=SottocategorieUscite[[#Headers],[Utenze]],Data!$I838=SottocategorieUscite[[#Headers],[Business Uscite]],Data!$I838=SottocategorieUscite[[#Headers],[Banca]]),"$ -","")</f>
        <v/>
      </c>
      <c r="M838" s="59" t="str">
        <f>IF(OR($I838&lt;&gt;SottocategorieUscite[[#Headers],[Fuori Casa]],$I838&lt;&gt;SottocategorieUscite[[#Headers],[Varie Uscite]],$I838&lt;&gt;SottocategorieUscite[[#Headers],[Personali]],$I838&lt;&gt;SottocategorieUscite[[#Headers],[Lavoro]],$I838&lt;&gt;SottocategorieUscite[[#Headers],[Casa]],$I838&lt;&gt;SottocategorieUscite[[#Headers],[Utenze]],$I838&lt;&gt;SottocategorieUscite[[#Headers],[Business Uscite]],$I838&lt;&gt;SottocategorieUscite[[#Headers],[Banca]]),"","$ -")</f>
        <v/>
      </c>
      <c r="N838" s="59" t="str">
        <f>IF(OR(Data!$I838=SottocategorieEntrate[[#Headers],[Business Entrate]],Data!$I838=SottocategorieEntrate[[#Headers],[Varie Entrate]]),"$ -","")</f>
        <v/>
      </c>
      <c r="O838" s="59" t="str">
        <f>IF(OR(Data!$I838=SottocategorieEntrate[[#Headers],[Real Estate]],SottocategorieEntrate[[#Headers],[Other]]),"$ -","")</f>
        <v/>
      </c>
      <c r="P838" s="59" t="str">
        <f>IF(OR($I838&lt;&gt;SottocategorieEntrate[[#Headers],[Business Entrate]],$I838&lt;&gt;SottocategorieEntrate[[#Headers],[Varie Entrate]],$I838&lt;&gt;SottocategorieEntrate[[#Headers],[Real Estate]],$I838&lt;&gt;SottocategorieEntrate[[#Headers],[Other]]),"","$ -")</f>
        <v/>
      </c>
      <c r="Q838" s="59" t="str">
        <f>IF(Dati[[#This Row],[Categoria]]="Prelievo","€ -","")</f>
        <v/>
      </c>
      <c r="R838" s="244"/>
      <c r="S838" s="59" t="str">
        <f>IF(Dati[[#This Row],[Categoria]]="Savings",0,"")</f>
        <v/>
      </c>
      <c r="T838" s="59"/>
      <c r="U838" s="59"/>
      <c r="V838" s="59"/>
      <c r="W838" s="59"/>
      <c r="X838" s="59"/>
      <c r="Y838" s="59"/>
      <c r="Z838" s="59"/>
      <c r="AA838" s="59"/>
      <c r="AB838" s="59"/>
      <c r="AC838" s="59"/>
      <c r="AD838" s="59"/>
      <c r="AE838" s="59"/>
      <c r="AF838" s="59"/>
      <c r="AG838" s="59"/>
      <c r="AH838" s="59"/>
      <c r="AI838" s="59" t="str">
        <f>IF(SUM(Dati[[#This Row],[Inv. Business]:[Inv. Cryptocurrency]])=0," ",SUM(Dati[[#This Row],[Inv. Business]:[Inv. Cryptocurrency]]))</f>
        <v xml:space="preserve"> </v>
      </c>
      <c r="AJ838" s="59"/>
      <c r="AK838" s="59"/>
      <c r="AL838" s="59"/>
      <c r="AM838" s="59"/>
    </row>
    <row r="839" spans="2:39" x14ac:dyDescent="0.35">
      <c r="B839" s="237">
        <f t="shared" ref="B839" si="45">ROW(810:810)</f>
        <v>810</v>
      </c>
      <c r="C839" s="49">
        <f>C837+1</f>
        <v>45559</v>
      </c>
      <c r="D839" s="29">
        <f>DAY(Dati[[#This Row],[Data]])</f>
        <v>24</v>
      </c>
      <c r="E839" s="29" t="str">
        <f>IF(DAY(Data!$C$21:$C$1327)&gt;0,TEXT(Data!$C$21:$C$1327, "mmmm"),"")</f>
        <v>settembre</v>
      </c>
      <c r="F839" s="29" t="str">
        <f>IF(DAY(Data!$C$21:$C$1327)&gt;0,TEXT(Data!$C$21:$C$1327, "aaaa"),"")</f>
        <v>2024</v>
      </c>
      <c r="I839" t="str">
        <f>IF(OR(H839=$B$5,H839=$B$6,H839=$B$7,H839=$B$8,H839=$B$9,H839=$B$10,H839=$B$11,H839=$B$12,H839=$B$13,H839=$B$14),SottocategorieUscite[[#Headers],[Fuori Casa]],IF(OR(H839=$C$5,H839=$C$6,H839=$C$7,H839=$C$8,H839=$C$9,H839=$C$10,H839=$C$11,H839=$C$12,H839=$C$13,H839=$C$14),SottocategorieUscite[[#Headers],[Varie Uscite]],IF(OR(H839=$D$5,H839=$D$6,H839=$D$7,H839=$D$8,H839=$D$9,H839=$D$10,H839=$D$11,H839=$D$12,H839=$D$13,H839=$D$14),SottocategorieUscite[[#Headers],[Personali]],IF(OR(H839=$E$5,H839=$E$6,H839=$E$7,H839=$E$8,H839=$E$9,H839=$E$10,H839=$E$11,H839=$E$12,H839=$E$13,H839=$E$14),SottocategorieUscite[[#Headers],[Lavoro]],IF(OR(H839=$F$5,H839=$F$6,H839=$F$7,H839=$F$8,H839=$F$9,H839=$F$10,H839=$F$11,H839=$F$12,H839=$F$13,H839=$F$14),SottocategorieUscite[[#Headers],[Casa]],IF(OR(H839=$G$5,H839=$G$6,H839=$G$7,H839=$G$8,H839=$G$9,H839=$G$10,H839=$G$11,H839=$G$12,H839=$G$13,H839=$G$14),SottocategorieUscite[[#Headers],[Utenze]],IF(OR(H839=$H$5,H839=$H$6,H839=$H$7,H839=$H$8,H839=$H$9,H839=$H$10,H839=$H$11,H839=$H$12,H839=$H$13,H839=$H$14),SottocategorieUscite[[#Headers],[Business Uscite]],IF(OR(H839=$I$5,H839=$I$6,H839=$I$7,H839=$I$8,H839=$I$9,H839=$I$10,H839=$I$11,H839=$I$12,H839=$I$13,H839=$I$14),SottocategorieUscite[[#Headers],[Banca]],IF(OR(H839=K$5,H839=K$6,H839=K$7,H839=K$8,H839=K$9,H839=K$10,H839=K$11,H839=K$12,H839=K$13,H839=K$14),SottocategorieEntrate[[#Headers],[Business Entrate]],IF(OR(H839=L$5,H839=L$6,H839=L$7,H839=L$8,H839=L$9,H839=L$10,H839=L$11,H839=L$12,H839=L$13,H839=L$14),SottocategorieEntrate[[#Headers],[Varie Entrate]],IF(OR(H839=M$5,H839=M$6,H839=M$7,H839=M$8,H839=M$9,H839=M$10,H839=M$11,H839=M$12,H839=M$13,H839=M$14),SottocategorieEntrate[[#Headers],[Real Estate]],IF(OR(H839=N$5,H839=N$6,H839=N$7,H839=N$8,H839=N$9,H839=N$10,H839=N$11,H839=N$12,H839=N$13,H839=N$14),SottocategorieEntrate[[#Headers],[Other]],""))))))))))))</f>
        <v/>
      </c>
      <c r="J839" t="str">
        <f>IF(OR(Dati[[#This Row],[Categoria]]="Bollette",Dati[[#This Row],[Categoria]]="Conto &amp; Carte BNL",Dati[[#This Row],[Categoria]]="Prelievo",Dati[[#This Row],[Categoria]]="Affitto",Dati[[#This Row],[Categoria]]="BNL(Interessi Creditori)"),"Carta",IF(Dati[[#This Row],[Categoria]]&lt;&gt;0,"Cash",""))</f>
        <v/>
      </c>
      <c r="K839" s="59" t="str">
        <f>IF(OR(Data!$I839=SottocategorieUscite[[#Headers],[Fuori Casa]],Data!$I839=SottocategorieUscite[[#Headers],[Varie Uscite]],Data!$I839=SottocategorieUscite[[#Headers],[Personali]],Data!$I839=SottocategorieUscite[[#Headers],[Lavoro]]),"$ -","")</f>
        <v/>
      </c>
      <c r="L839" s="59" t="str">
        <f>IF(OR(Data!$I839=SottocategorieUscite[[#Headers],[Casa]],Data!$I839=SottocategorieUscite[[#Headers],[Utenze]],Data!$I839=SottocategorieUscite[[#Headers],[Business Uscite]],Data!$I839=SottocategorieUscite[[#Headers],[Banca]]),"$ -","")</f>
        <v/>
      </c>
      <c r="M839" s="59" t="str">
        <f>IF(OR($I839&lt;&gt;SottocategorieUscite[[#Headers],[Fuori Casa]],$I839&lt;&gt;SottocategorieUscite[[#Headers],[Varie Uscite]],$I839&lt;&gt;SottocategorieUscite[[#Headers],[Personali]],$I839&lt;&gt;SottocategorieUscite[[#Headers],[Lavoro]],$I839&lt;&gt;SottocategorieUscite[[#Headers],[Casa]],$I839&lt;&gt;SottocategorieUscite[[#Headers],[Utenze]],$I839&lt;&gt;SottocategorieUscite[[#Headers],[Business Uscite]],$I839&lt;&gt;SottocategorieUscite[[#Headers],[Banca]]),"","$ -")</f>
        <v/>
      </c>
      <c r="N839" s="59" t="str">
        <f>IF(OR(Data!$I839=SottocategorieEntrate[[#Headers],[Business Entrate]],Data!$I839=SottocategorieEntrate[[#Headers],[Varie Entrate]]),"$ -","")</f>
        <v/>
      </c>
      <c r="O839" s="59" t="str">
        <f>IF(OR(Data!$I839=SottocategorieEntrate[[#Headers],[Real Estate]],SottocategorieEntrate[[#Headers],[Other]]),"$ -","")</f>
        <v/>
      </c>
      <c r="P839" s="59" t="str">
        <f>IF(OR($I839&lt;&gt;SottocategorieEntrate[[#Headers],[Business Entrate]],$I839&lt;&gt;SottocategorieEntrate[[#Headers],[Varie Entrate]],$I839&lt;&gt;SottocategorieEntrate[[#Headers],[Real Estate]],$I839&lt;&gt;SottocategorieEntrate[[#Headers],[Other]]),"","$ -")</f>
        <v/>
      </c>
      <c r="Q839" s="59" t="str">
        <f>IF(Dati[[#This Row],[Categoria]]="Prelievo","€ -","")</f>
        <v/>
      </c>
      <c r="R839" s="244"/>
      <c r="S839" s="59" t="str">
        <f>IF(Dati[[#This Row],[Categoria]]="Savings",0,"")</f>
        <v/>
      </c>
      <c r="T839" s="59"/>
      <c r="U839" s="59"/>
      <c r="V839" s="59"/>
      <c r="W839" s="59"/>
      <c r="X839" s="59"/>
      <c r="Y839" s="59"/>
      <c r="Z839" s="59"/>
      <c r="AA839" s="59"/>
      <c r="AB839" s="59"/>
      <c r="AC839" s="59"/>
      <c r="AD839" s="59"/>
      <c r="AE839" s="59"/>
      <c r="AF839" s="59"/>
      <c r="AG839" s="59"/>
      <c r="AH839" s="59"/>
      <c r="AI839" s="59" t="str">
        <f>IF(SUM(Dati[[#This Row],[Inv. Business]:[Inv. Cryptocurrency]])=0," ",SUM(Dati[[#This Row],[Inv. Business]:[Inv. Cryptocurrency]]))</f>
        <v xml:space="preserve"> </v>
      </c>
      <c r="AJ839" s="59"/>
      <c r="AK839" s="59"/>
      <c r="AL839" s="59"/>
      <c r="AM839" s="59"/>
    </row>
    <row r="840" spans="2:39" x14ac:dyDescent="0.35">
      <c r="B840" s="237">
        <f t="shared" ref="B840:B841" si="46">ROW(810:810)</f>
        <v>810</v>
      </c>
      <c r="C840" s="49">
        <f>C837+1</f>
        <v>45559</v>
      </c>
      <c r="D840" s="29">
        <f>DAY(Dati[[#This Row],[Data]])</f>
        <v>24</v>
      </c>
      <c r="E840" s="29" t="str">
        <f>IF(DAY(Data!$C$21:$C$1327)&gt;0,TEXT(Data!$C$21:$C$1327, "mmmm"),"")</f>
        <v>settembre</v>
      </c>
      <c r="F840" s="29" t="str">
        <f>IF(DAY(Data!$C$21:$C$1327)&gt;0,TEXT(Data!$C$21:$C$1327, "aaaa"),"")</f>
        <v>2024</v>
      </c>
      <c r="I840" t="str">
        <f>IF(OR(H840=$B$5,H840=$B$6,H840=$B$7,H840=$B$8,H840=$B$9,H840=$B$10,H840=$B$11,H840=$B$12,H840=$B$13,H840=$B$14),SottocategorieUscite[[#Headers],[Fuori Casa]],IF(OR(H840=$C$5,H840=$C$6,H840=$C$7,H840=$C$8,H840=$C$9,H840=$C$10,H840=$C$11,H840=$C$12,H840=$C$13,H840=$C$14),SottocategorieUscite[[#Headers],[Varie Uscite]],IF(OR(H840=$D$5,H840=$D$6,H840=$D$7,H840=$D$8,H840=$D$9,H840=$D$10,H840=$D$11,H840=$D$12,H840=$D$13,H840=$D$14),SottocategorieUscite[[#Headers],[Personali]],IF(OR(H840=$E$5,H840=$E$6,H840=$E$7,H840=$E$8,H840=$E$9,H840=$E$10,H840=$E$11,H840=$E$12,H840=$E$13,H840=$E$14),SottocategorieUscite[[#Headers],[Lavoro]],IF(OR(H840=$F$5,H840=$F$6,H840=$F$7,H840=$F$8,H840=$F$9,H840=$F$10,H840=$F$11,H840=$F$12,H840=$F$13,H840=$F$14),SottocategorieUscite[[#Headers],[Casa]],IF(OR(H840=$G$5,H840=$G$6,H840=$G$7,H840=$G$8,H840=$G$9,H840=$G$10,H840=$G$11,H840=$G$12,H840=$G$13,H840=$G$14),SottocategorieUscite[[#Headers],[Utenze]],IF(OR(H840=$H$5,H840=$H$6,H840=$H$7,H840=$H$8,H840=$H$9,H840=$H$10,H840=$H$11,H840=$H$12,H840=$H$13,H840=$H$14),SottocategorieUscite[[#Headers],[Business Uscite]],IF(OR(H840=$I$5,H840=$I$6,H840=$I$7,H840=$I$8,H840=$I$9,H840=$I$10,H840=$I$11,H840=$I$12,H840=$I$13,H840=$I$14),SottocategorieUscite[[#Headers],[Banca]],IF(OR(H840=K$5,H840=K$6,H840=K$7,H840=K$8,H840=K$9,H840=K$10,H840=K$11,H840=K$12,H840=K$13,H840=K$14),SottocategorieEntrate[[#Headers],[Business Entrate]],IF(OR(H840=L$5,H840=L$6,H840=L$7,H840=L$8,H840=L$9,H840=L$10,H840=L$11,H840=L$12,H840=L$13,H840=L$14),SottocategorieEntrate[[#Headers],[Varie Entrate]],IF(OR(H840=M$5,H840=M$6,H840=M$7,H840=M$8,H840=M$9,H840=M$10,H840=M$11,H840=M$12,H840=M$13,H840=M$14),SottocategorieEntrate[[#Headers],[Real Estate]],IF(OR(H840=N$5,H840=N$6,H840=N$7,H840=N$8,H840=N$9,H840=N$10,H840=N$11,H840=N$12,H840=N$13,H840=N$14),SottocategorieEntrate[[#Headers],[Other]],""))))))))))))</f>
        <v/>
      </c>
      <c r="J840" t="str">
        <f>IF(OR(Dati[[#This Row],[Categoria]]="Bollette",Dati[[#This Row],[Categoria]]="Conto &amp; Carte BNL",Dati[[#This Row],[Categoria]]="Prelievo",Dati[[#This Row],[Categoria]]="Affitto",Dati[[#This Row],[Categoria]]="BNL(Interessi Creditori)"),"Carta",IF(Dati[[#This Row],[Categoria]]&lt;&gt;0,"Cash",""))</f>
        <v/>
      </c>
      <c r="K840" s="59" t="str">
        <f>IF(OR(Data!$I840=SottocategorieUscite[[#Headers],[Fuori Casa]],Data!$I840=SottocategorieUscite[[#Headers],[Varie Uscite]],Data!$I840=SottocategorieUscite[[#Headers],[Personali]],Data!$I840=SottocategorieUscite[[#Headers],[Lavoro]]),"$ -","")</f>
        <v/>
      </c>
      <c r="L840" s="59" t="str">
        <f>IF(OR(Data!$I840=SottocategorieUscite[[#Headers],[Casa]],Data!$I840=SottocategorieUscite[[#Headers],[Utenze]],Data!$I840=SottocategorieUscite[[#Headers],[Business Uscite]],Data!$I840=SottocategorieUscite[[#Headers],[Banca]]),"$ -","")</f>
        <v/>
      </c>
      <c r="M840" s="59" t="str">
        <f>IF(OR($I840&lt;&gt;SottocategorieUscite[[#Headers],[Fuori Casa]],$I840&lt;&gt;SottocategorieUscite[[#Headers],[Varie Uscite]],$I840&lt;&gt;SottocategorieUscite[[#Headers],[Personali]],$I840&lt;&gt;SottocategorieUscite[[#Headers],[Lavoro]],$I840&lt;&gt;SottocategorieUscite[[#Headers],[Casa]],$I840&lt;&gt;SottocategorieUscite[[#Headers],[Utenze]],$I840&lt;&gt;SottocategorieUscite[[#Headers],[Business Uscite]],$I840&lt;&gt;SottocategorieUscite[[#Headers],[Banca]]),"","$ -")</f>
        <v/>
      </c>
      <c r="N840" s="59" t="str">
        <f>IF(OR(Data!$I840=SottocategorieEntrate[[#Headers],[Business Entrate]],Data!$I840=SottocategorieEntrate[[#Headers],[Varie Entrate]]),"$ -","")</f>
        <v/>
      </c>
      <c r="O840" s="59" t="str">
        <f>IF(OR(Data!$I840=SottocategorieEntrate[[#Headers],[Real Estate]],SottocategorieEntrate[[#Headers],[Other]]),"$ -","")</f>
        <v/>
      </c>
      <c r="P840" s="59" t="str">
        <f>IF(OR($I840&lt;&gt;SottocategorieEntrate[[#Headers],[Business Entrate]],$I840&lt;&gt;SottocategorieEntrate[[#Headers],[Varie Entrate]],$I840&lt;&gt;SottocategorieEntrate[[#Headers],[Real Estate]],$I840&lt;&gt;SottocategorieEntrate[[#Headers],[Other]]),"","$ -")</f>
        <v/>
      </c>
      <c r="Q840" s="59" t="str">
        <f>IF(Dati[[#This Row],[Categoria]]="Prelievo","€ -","")</f>
        <v/>
      </c>
      <c r="R840" s="244"/>
      <c r="S840" s="59" t="str">
        <f>IF(Dati[[#This Row],[Categoria]]="Savings",0,"")</f>
        <v/>
      </c>
      <c r="T840" s="59"/>
      <c r="U840" s="59"/>
      <c r="V840" s="59"/>
      <c r="W840" s="59"/>
      <c r="X840" s="59"/>
      <c r="Y840" s="59"/>
      <c r="Z840" s="59"/>
      <c r="AA840" s="59"/>
      <c r="AB840" s="59"/>
      <c r="AC840" s="59"/>
      <c r="AD840" s="59"/>
      <c r="AE840" s="59"/>
      <c r="AF840" s="59"/>
      <c r="AG840" s="59"/>
      <c r="AH840" s="59"/>
      <c r="AI840" s="59" t="str">
        <f>IF(SUM(Dati[[#This Row],[Inv. Business]:[Inv. Cryptocurrency]])=0," ",SUM(Dati[[#This Row],[Inv. Business]:[Inv. Cryptocurrency]]))</f>
        <v xml:space="preserve"> </v>
      </c>
      <c r="AJ840" s="59"/>
      <c r="AK840" s="59"/>
      <c r="AL840" s="59"/>
      <c r="AM840" s="59"/>
    </row>
    <row r="841" spans="2:39" x14ac:dyDescent="0.35">
      <c r="B841" s="237">
        <f t="shared" si="46"/>
        <v>811</v>
      </c>
      <c r="C841" s="49">
        <f>C838+1</f>
        <v>45560</v>
      </c>
      <c r="D841" s="29">
        <f>DAY(Dati[[#This Row],[Data]])</f>
        <v>25</v>
      </c>
      <c r="E841" s="29" t="str">
        <f>IF(DAY(Data!$C$21:$C$1327)&gt;0,TEXT(Data!$C$21:$C$1327, "mmmm"),"")</f>
        <v>settembre</v>
      </c>
      <c r="F841" s="29" t="str">
        <f>IF(DAY(Data!$C$21:$C$1327)&gt;0,TEXT(Data!$C$21:$C$1327, "aaaa"),"")</f>
        <v>2024</v>
      </c>
      <c r="I841" t="str">
        <f>IF(OR(H841=$B$5,H841=$B$6,H841=$B$7,H841=$B$8,H841=$B$9,H841=$B$10,H841=$B$11,H841=$B$12,H841=$B$13,H841=$B$14),SottocategorieUscite[[#Headers],[Fuori Casa]],IF(OR(H841=$C$5,H841=$C$6,H841=$C$7,H841=$C$8,H841=$C$9,H841=$C$10,H841=$C$11,H841=$C$12,H841=$C$13,H841=$C$14),SottocategorieUscite[[#Headers],[Varie Uscite]],IF(OR(H841=$D$5,H841=$D$6,H841=$D$7,H841=$D$8,H841=$D$9,H841=$D$10,H841=$D$11,H841=$D$12,H841=$D$13,H841=$D$14),SottocategorieUscite[[#Headers],[Personali]],IF(OR(H841=$E$5,H841=$E$6,H841=$E$7,H841=$E$8,H841=$E$9,H841=$E$10,H841=$E$11,H841=$E$12,H841=$E$13,H841=$E$14),SottocategorieUscite[[#Headers],[Lavoro]],IF(OR(H841=$F$5,H841=$F$6,H841=$F$7,H841=$F$8,H841=$F$9,H841=$F$10,H841=$F$11,H841=$F$12,H841=$F$13,H841=$F$14),SottocategorieUscite[[#Headers],[Casa]],IF(OR(H841=$G$5,H841=$G$6,H841=$G$7,H841=$G$8,H841=$G$9,H841=$G$10,H841=$G$11,H841=$G$12,H841=$G$13,H841=$G$14),SottocategorieUscite[[#Headers],[Utenze]],IF(OR(H841=$H$5,H841=$H$6,H841=$H$7,H841=$H$8,H841=$H$9,H841=$H$10,H841=$H$11,H841=$H$12,H841=$H$13,H841=$H$14),SottocategorieUscite[[#Headers],[Business Uscite]],IF(OR(H841=$I$5,H841=$I$6,H841=$I$7,H841=$I$8,H841=$I$9,H841=$I$10,H841=$I$11,H841=$I$12,H841=$I$13,H841=$I$14),SottocategorieUscite[[#Headers],[Banca]],IF(OR(H841=K$5,H841=K$6,H841=K$7,H841=K$8,H841=K$9,H841=K$10,H841=K$11,H841=K$12,H841=K$13,H841=K$14),SottocategorieEntrate[[#Headers],[Business Entrate]],IF(OR(H841=L$5,H841=L$6,H841=L$7,H841=L$8,H841=L$9,H841=L$10,H841=L$11,H841=L$12,H841=L$13,H841=L$14),SottocategorieEntrate[[#Headers],[Varie Entrate]],IF(OR(H841=M$5,H841=M$6,H841=M$7,H841=M$8,H841=M$9,H841=M$10,H841=M$11,H841=M$12,H841=M$13,H841=M$14),SottocategorieEntrate[[#Headers],[Real Estate]],IF(OR(H841=N$5,H841=N$6,H841=N$7,H841=N$8,H841=N$9,H841=N$10,H841=N$11,H841=N$12,H841=N$13,H841=N$14),SottocategorieEntrate[[#Headers],[Other]],""))))))))))))</f>
        <v/>
      </c>
      <c r="J841" t="str">
        <f>IF(OR(Dati[[#This Row],[Categoria]]="Bollette",Dati[[#This Row],[Categoria]]="Conto &amp; Carte BNL",Dati[[#This Row],[Categoria]]="Prelievo",Dati[[#This Row],[Categoria]]="Affitto",Dati[[#This Row],[Categoria]]="BNL(Interessi Creditori)"),"Carta",IF(Dati[[#This Row],[Categoria]]&lt;&gt;0,"Cash",""))</f>
        <v/>
      </c>
      <c r="K841" s="59" t="str">
        <f>IF(OR(Data!$I841=SottocategorieUscite[[#Headers],[Fuori Casa]],Data!$I841=SottocategorieUscite[[#Headers],[Varie Uscite]],Data!$I841=SottocategorieUscite[[#Headers],[Personali]],Data!$I841=SottocategorieUscite[[#Headers],[Lavoro]]),"$ -","")</f>
        <v/>
      </c>
      <c r="L841" s="59" t="str">
        <f>IF(OR(Data!$I841=SottocategorieUscite[[#Headers],[Casa]],Data!$I841=SottocategorieUscite[[#Headers],[Utenze]],Data!$I841=SottocategorieUscite[[#Headers],[Business Uscite]],Data!$I841=SottocategorieUscite[[#Headers],[Banca]]),"$ -","")</f>
        <v/>
      </c>
      <c r="M841" s="59" t="str">
        <f>IF(OR($I841&lt;&gt;SottocategorieUscite[[#Headers],[Fuori Casa]],$I841&lt;&gt;SottocategorieUscite[[#Headers],[Varie Uscite]],$I841&lt;&gt;SottocategorieUscite[[#Headers],[Personali]],$I841&lt;&gt;SottocategorieUscite[[#Headers],[Lavoro]],$I841&lt;&gt;SottocategorieUscite[[#Headers],[Casa]],$I841&lt;&gt;SottocategorieUscite[[#Headers],[Utenze]],$I841&lt;&gt;SottocategorieUscite[[#Headers],[Business Uscite]],$I841&lt;&gt;SottocategorieUscite[[#Headers],[Banca]]),"","$ -")</f>
        <v/>
      </c>
      <c r="N841" s="59" t="str">
        <f>IF(OR(Data!$I841=SottocategorieEntrate[[#Headers],[Business Entrate]],Data!$I841=SottocategorieEntrate[[#Headers],[Varie Entrate]]),"$ -","")</f>
        <v/>
      </c>
      <c r="O841" s="59" t="str">
        <f>IF(OR(Data!$I841=SottocategorieEntrate[[#Headers],[Real Estate]],SottocategorieEntrate[[#Headers],[Other]]),"$ -","")</f>
        <v/>
      </c>
      <c r="P841" s="59" t="str">
        <f>IF(OR($I841&lt;&gt;SottocategorieEntrate[[#Headers],[Business Entrate]],$I841&lt;&gt;SottocategorieEntrate[[#Headers],[Varie Entrate]],$I841&lt;&gt;SottocategorieEntrate[[#Headers],[Real Estate]],$I841&lt;&gt;SottocategorieEntrate[[#Headers],[Other]]),"","$ -")</f>
        <v/>
      </c>
      <c r="Q841" s="59" t="str">
        <f>IF(Dati[[#This Row],[Categoria]]="Prelievo","€ -","")</f>
        <v/>
      </c>
      <c r="R841" s="244"/>
      <c r="S841" s="59" t="str">
        <f>IF(Dati[[#This Row],[Categoria]]="Savings",0,"")</f>
        <v/>
      </c>
      <c r="T841" s="59"/>
      <c r="U841" s="59"/>
      <c r="V841" s="59"/>
      <c r="W841" s="59"/>
      <c r="X841" s="59"/>
      <c r="Y841" s="59"/>
      <c r="Z841" s="59"/>
      <c r="AA841" s="59"/>
      <c r="AB841" s="59"/>
      <c r="AC841" s="59"/>
      <c r="AD841" s="59"/>
      <c r="AE841" s="59"/>
      <c r="AF841" s="59"/>
      <c r="AG841" s="59"/>
      <c r="AH841" s="59"/>
      <c r="AI841" s="59" t="str">
        <f>IF(SUM(Dati[[#This Row],[Inv. Business]:[Inv. Cryptocurrency]])=0," ",SUM(Dati[[#This Row],[Inv. Business]:[Inv. Cryptocurrency]]))</f>
        <v xml:space="preserve"> </v>
      </c>
      <c r="AJ841" s="59"/>
      <c r="AK841" s="59"/>
      <c r="AL841" s="59"/>
      <c r="AM841" s="59"/>
    </row>
    <row r="842" spans="2:39" x14ac:dyDescent="0.35">
      <c r="B842" s="237">
        <f>ROW(811:811)</f>
        <v>811</v>
      </c>
      <c r="C842" s="49">
        <f>C840+1</f>
        <v>45560</v>
      </c>
      <c r="D842" s="29">
        <f>DAY(Dati[[#This Row],[Data]])</f>
        <v>25</v>
      </c>
      <c r="E842" s="29" t="str">
        <f>IF(DAY(Data!$C$21:$C$1327)&gt;0,TEXT(Data!$C$21:$C$1327, "mmmm"),"")</f>
        <v>settembre</v>
      </c>
      <c r="F842" s="29" t="str">
        <f>IF(DAY(Data!$C$21:$C$1327)&gt;0,TEXT(Data!$C$21:$C$1327, "aaaa"),"")</f>
        <v>2024</v>
      </c>
      <c r="I842" t="str">
        <f>IF(OR(H842=$B$5,H842=$B$6,H842=$B$7,H842=$B$8,H842=$B$9,H842=$B$10,H842=$B$11,H842=$B$12,H842=$B$13,H842=$B$14),SottocategorieUscite[[#Headers],[Fuori Casa]],IF(OR(H842=$C$5,H842=$C$6,H842=$C$7,H842=$C$8,H842=$C$9,H842=$C$10,H842=$C$11,H842=$C$12,H842=$C$13,H842=$C$14),SottocategorieUscite[[#Headers],[Varie Uscite]],IF(OR(H842=$D$5,H842=$D$6,H842=$D$7,H842=$D$8,H842=$D$9,H842=$D$10,H842=$D$11,H842=$D$12,H842=$D$13,H842=$D$14),SottocategorieUscite[[#Headers],[Personali]],IF(OR(H842=$E$5,H842=$E$6,H842=$E$7,H842=$E$8,H842=$E$9,H842=$E$10,H842=$E$11,H842=$E$12,H842=$E$13,H842=$E$14),SottocategorieUscite[[#Headers],[Lavoro]],IF(OR(H842=$F$5,H842=$F$6,H842=$F$7,H842=$F$8,H842=$F$9,H842=$F$10,H842=$F$11,H842=$F$12,H842=$F$13,H842=$F$14),SottocategorieUscite[[#Headers],[Casa]],IF(OR(H842=$G$5,H842=$G$6,H842=$G$7,H842=$G$8,H842=$G$9,H842=$G$10,H842=$G$11,H842=$G$12,H842=$G$13,H842=$G$14),SottocategorieUscite[[#Headers],[Utenze]],IF(OR(H842=$H$5,H842=$H$6,H842=$H$7,H842=$H$8,H842=$H$9,H842=$H$10,H842=$H$11,H842=$H$12,H842=$H$13,H842=$H$14),SottocategorieUscite[[#Headers],[Business Uscite]],IF(OR(H842=$I$5,H842=$I$6,H842=$I$7,H842=$I$8,H842=$I$9,H842=$I$10,H842=$I$11,H842=$I$12,H842=$I$13,H842=$I$14),SottocategorieUscite[[#Headers],[Banca]],IF(OR(H842=K$5,H842=K$6,H842=K$7,H842=K$8,H842=K$9,H842=K$10,H842=K$11,H842=K$12,H842=K$13,H842=K$14),SottocategorieEntrate[[#Headers],[Business Entrate]],IF(OR(H842=L$5,H842=L$6,H842=L$7,H842=L$8,H842=L$9,H842=L$10,H842=L$11,H842=L$12,H842=L$13,H842=L$14),SottocategorieEntrate[[#Headers],[Varie Entrate]],IF(OR(H842=M$5,H842=M$6,H842=M$7,H842=M$8,H842=M$9,H842=M$10,H842=M$11,H842=M$12,H842=M$13,H842=M$14),SottocategorieEntrate[[#Headers],[Real Estate]],IF(OR(H842=N$5,H842=N$6,H842=N$7,H842=N$8,H842=N$9,H842=N$10,H842=N$11,H842=N$12,H842=N$13,H842=N$14),SottocategorieEntrate[[#Headers],[Other]],""))))))))))))</f>
        <v/>
      </c>
      <c r="J842" t="str">
        <f>IF(OR(Dati[[#This Row],[Categoria]]="Bollette",Dati[[#This Row],[Categoria]]="Conto &amp; Carte BNL",Dati[[#This Row],[Categoria]]="Prelievo",Dati[[#This Row],[Categoria]]="Affitto",Dati[[#This Row],[Categoria]]="BNL(Interessi Creditori)"),"Carta",IF(Dati[[#This Row],[Categoria]]&lt;&gt;0,"Cash",""))</f>
        <v/>
      </c>
      <c r="K842" s="59" t="str">
        <f>IF(OR(Data!$I842=SottocategorieUscite[[#Headers],[Fuori Casa]],Data!$I842=SottocategorieUscite[[#Headers],[Varie Uscite]],Data!$I842=SottocategorieUscite[[#Headers],[Personali]],Data!$I842=SottocategorieUscite[[#Headers],[Lavoro]]),"$ -","")</f>
        <v/>
      </c>
      <c r="L842" s="59" t="str">
        <f>IF(OR(Data!$I842=SottocategorieUscite[[#Headers],[Casa]],Data!$I842=SottocategorieUscite[[#Headers],[Utenze]],Data!$I842=SottocategorieUscite[[#Headers],[Business Uscite]],Data!$I842=SottocategorieUscite[[#Headers],[Banca]]),"$ -","")</f>
        <v/>
      </c>
      <c r="M842" s="59" t="str">
        <f>IF(OR($I842&lt;&gt;SottocategorieUscite[[#Headers],[Fuori Casa]],$I842&lt;&gt;SottocategorieUscite[[#Headers],[Varie Uscite]],$I842&lt;&gt;SottocategorieUscite[[#Headers],[Personali]],$I842&lt;&gt;SottocategorieUscite[[#Headers],[Lavoro]],$I842&lt;&gt;SottocategorieUscite[[#Headers],[Casa]],$I842&lt;&gt;SottocategorieUscite[[#Headers],[Utenze]],$I842&lt;&gt;SottocategorieUscite[[#Headers],[Business Uscite]],$I842&lt;&gt;SottocategorieUscite[[#Headers],[Banca]]),"","$ -")</f>
        <v/>
      </c>
      <c r="N842" s="59" t="str">
        <f>IF(OR(Data!$I842=SottocategorieEntrate[[#Headers],[Business Entrate]],Data!$I842=SottocategorieEntrate[[#Headers],[Varie Entrate]]),"$ -","")</f>
        <v/>
      </c>
      <c r="O842" s="59" t="str">
        <f>IF(OR(Data!$I842=SottocategorieEntrate[[#Headers],[Real Estate]],SottocategorieEntrate[[#Headers],[Other]]),"$ -","")</f>
        <v/>
      </c>
      <c r="P842" s="59" t="str">
        <f>IF(OR($I842&lt;&gt;SottocategorieEntrate[[#Headers],[Business Entrate]],$I842&lt;&gt;SottocategorieEntrate[[#Headers],[Varie Entrate]],$I842&lt;&gt;SottocategorieEntrate[[#Headers],[Real Estate]],$I842&lt;&gt;SottocategorieEntrate[[#Headers],[Other]]),"","$ -")</f>
        <v/>
      </c>
      <c r="Q842" s="59" t="str">
        <f>IF(Dati[[#This Row],[Categoria]]="Prelievo","€ -","")</f>
        <v/>
      </c>
      <c r="R842" s="244"/>
      <c r="S842" s="59" t="str">
        <f>IF(Dati[[#This Row],[Categoria]]="Savings",0,"")</f>
        <v/>
      </c>
      <c r="T842" s="59"/>
      <c r="U842" s="59"/>
      <c r="V842" s="59"/>
      <c r="W842" s="59"/>
      <c r="X842" s="59"/>
      <c r="Y842" s="59"/>
      <c r="Z842" s="59"/>
      <c r="AA842" s="59"/>
      <c r="AB842" s="59"/>
      <c r="AC842" s="59"/>
      <c r="AD842" s="59"/>
      <c r="AE842" s="59"/>
      <c r="AF842" s="59"/>
      <c r="AG842" s="59"/>
      <c r="AH842" s="59"/>
      <c r="AI842" s="59" t="str">
        <f>IF(SUM(Dati[[#This Row],[Inv. Business]:[Inv. Cryptocurrency]])=0," ",SUM(Dati[[#This Row],[Inv. Business]:[Inv. Cryptocurrency]]))</f>
        <v xml:space="preserve"> </v>
      </c>
      <c r="AJ842" s="59"/>
      <c r="AK842" s="59"/>
      <c r="AL842" s="59"/>
      <c r="AM842" s="59"/>
    </row>
    <row r="843" spans="2:39" x14ac:dyDescent="0.35">
      <c r="B843" s="237">
        <f t="shared" ref="B843:B845" si="47">ROW(811:811)</f>
        <v>811</v>
      </c>
      <c r="C843" s="49">
        <f>C840+1</f>
        <v>45560</v>
      </c>
      <c r="D843" s="29">
        <f>DAY(Dati[[#This Row],[Data]])</f>
        <v>25</v>
      </c>
      <c r="E843" s="29" t="str">
        <f>IF(DAY(Data!$C$21:$C$1327)&gt;0,TEXT(Data!$C$21:$C$1327, "mmmm"),"")</f>
        <v>settembre</v>
      </c>
      <c r="F843" s="29" t="str">
        <f>IF(DAY(Data!$C$21:$C$1327)&gt;0,TEXT(Data!$C$21:$C$1327, "aaaa"),"")</f>
        <v>2024</v>
      </c>
      <c r="I843" t="str">
        <f>IF(OR(H843=$B$5,H843=$B$6,H843=$B$7,H843=$B$8,H843=$B$9,H843=$B$10,H843=$B$11,H843=$B$12,H843=$B$13,H843=$B$14),SottocategorieUscite[[#Headers],[Fuori Casa]],IF(OR(H843=$C$5,H843=$C$6,H843=$C$7,H843=$C$8,H843=$C$9,H843=$C$10,H843=$C$11,H843=$C$12,H843=$C$13,H843=$C$14),SottocategorieUscite[[#Headers],[Varie Uscite]],IF(OR(H843=$D$5,H843=$D$6,H843=$D$7,H843=$D$8,H843=$D$9,H843=$D$10,H843=$D$11,H843=$D$12,H843=$D$13,H843=$D$14),SottocategorieUscite[[#Headers],[Personali]],IF(OR(H843=$E$5,H843=$E$6,H843=$E$7,H843=$E$8,H843=$E$9,H843=$E$10,H843=$E$11,H843=$E$12,H843=$E$13,H843=$E$14),SottocategorieUscite[[#Headers],[Lavoro]],IF(OR(H843=$F$5,H843=$F$6,H843=$F$7,H843=$F$8,H843=$F$9,H843=$F$10,H843=$F$11,H843=$F$12,H843=$F$13,H843=$F$14),SottocategorieUscite[[#Headers],[Casa]],IF(OR(H843=$G$5,H843=$G$6,H843=$G$7,H843=$G$8,H843=$G$9,H843=$G$10,H843=$G$11,H843=$G$12,H843=$G$13,H843=$G$14),SottocategorieUscite[[#Headers],[Utenze]],IF(OR(H843=$H$5,H843=$H$6,H843=$H$7,H843=$H$8,H843=$H$9,H843=$H$10,H843=$H$11,H843=$H$12,H843=$H$13,H843=$H$14),SottocategorieUscite[[#Headers],[Business Uscite]],IF(OR(H843=$I$5,H843=$I$6,H843=$I$7,H843=$I$8,H843=$I$9,H843=$I$10,H843=$I$11,H843=$I$12,H843=$I$13,H843=$I$14),SottocategorieUscite[[#Headers],[Banca]],IF(OR(H843=K$5,H843=K$6,H843=K$7,H843=K$8,H843=K$9,H843=K$10,H843=K$11,H843=K$12,H843=K$13,H843=K$14),SottocategorieEntrate[[#Headers],[Business Entrate]],IF(OR(H843=L$5,H843=L$6,H843=L$7,H843=L$8,H843=L$9,H843=L$10,H843=L$11,H843=L$12,H843=L$13,H843=L$14),SottocategorieEntrate[[#Headers],[Varie Entrate]],IF(OR(H843=M$5,H843=M$6,H843=M$7,H843=M$8,H843=M$9,H843=M$10,H843=M$11,H843=M$12,H843=M$13,H843=M$14),SottocategorieEntrate[[#Headers],[Real Estate]],IF(OR(H843=N$5,H843=N$6,H843=N$7,H843=N$8,H843=N$9,H843=N$10,H843=N$11,H843=N$12,H843=N$13,H843=N$14),SottocategorieEntrate[[#Headers],[Other]],""))))))))))))</f>
        <v/>
      </c>
      <c r="J843" t="str">
        <f>IF(OR(Dati[[#This Row],[Categoria]]="Bollette",Dati[[#This Row],[Categoria]]="Conto &amp; Carte BNL",Dati[[#This Row],[Categoria]]="Prelievo",Dati[[#This Row],[Categoria]]="Affitto",Dati[[#This Row],[Categoria]]="BNL(Interessi Creditori)"),"Carta",IF(Dati[[#This Row],[Categoria]]&lt;&gt;0,"Cash",""))</f>
        <v/>
      </c>
      <c r="K843" s="59" t="str">
        <f>IF(OR(Data!$I843=SottocategorieUscite[[#Headers],[Fuori Casa]],Data!$I843=SottocategorieUscite[[#Headers],[Varie Uscite]],Data!$I843=SottocategorieUscite[[#Headers],[Personali]],Data!$I843=SottocategorieUscite[[#Headers],[Lavoro]]),"$ -","")</f>
        <v/>
      </c>
      <c r="L843" s="59" t="str">
        <f>IF(OR(Data!$I843=SottocategorieUscite[[#Headers],[Casa]],Data!$I843=SottocategorieUscite[[#Headers],[Utenze]],Data!$I843=SottocategorieUscite[[#Headers],[Business Uscite]],Data!$I843=SottocategorieUscite[[#Headers],[Banca]]),"$ -","")</f>
        <v/>
      </c>
      <c r="M843" s="59" t="str">
        <f>IF(OR($I843&lt;&gt;SottocategorieUscite[[#Headers],[Fuori Casa]],$I843&lt;&gt;SottocategorieUscite[[#Headers],[Varie Uscite]],$I843&lt;&gt;SottocategorieUscite[[#Headers],[Personali]],$I843&lt;&gt;SottocategorieUscite[[#Headers],[Lavoro]],$I843&lt;&gt;SottocategorieUscite[[#Headers],[Casa]],$I843&lt;&gt;SottocategorieUscite[[#Headers],[Utenze]],$I843&lt;&gt;SottocategorieUscite[[#Headers],[Business Uscite]],$I843&lt;&gt;SottocategorieUscite[[#Headers],[Banca]]),"","$ -")</f>
        <v/>
      </c>
      <c r="N843" s="59" t="str">
        <f>IF(OR(Data!$I843=SottocategorieEntrate[[#Headers],[Business Entrate]],Data!$I843=SottocategorieEntrate[[#Headers],[Varie Entrate]]),"$ -","")</f>
        <v/>
      </c>
      <c r="O843" s="59" t="str">
        <f>IF(OR(Data!$I843=SottocategorieEntrate[[#Headers],[Real Estate]],SottocategorieEntrate[[#Headers],[Other]]),"$ -","")</f>
        <v/>
      </c>
      <c r="P843" s="59" t="str">
        <f>IF(OR($I843&lt;&gt;SottocategorieEntrate[[#Headers],[Business Entrate]],$I843&lt;&gt;SottocategorieEntrate[[#Headers],[Varie Entrate]],$I843&lt;&gt;SottocategorieEntrate[[#Headers],[Real Estate]],$I843&lt;&gt;SottocategorieEntrate[[#Headers],[Other]]),"","$ -")</f>
        <v/>
      </c>
      <c r="Q843" s="59" t="str">
        <f>IF(Dati[[#This Row],[Categoria]]="Prelievo","€ -","")</f>
        <v/>
      </c>
      <c r="R843" s="244"/>
      <c r="S843" s="59" t="str">
        <f>IF(Dati[[#This Row],[Categoria]]="Savings",0,"")</f>
        <v/>
      </c>
      <c r="T843" s="59"/>
      <c r="U843" s="59"/>
      <c r="V843" s="59"/>
      <c r="W843" s="59"/>
      <c r="X843" s="59"/>
      <c r="Y843" s="59"/>
      <c r="Z843" s="59"/>
      <c r="AA843" s="59"/>
      <c r="AB843" s="59"/>
      <c r="AC843" s="59"/>
      <c r="AD843" s="59"/>
      <c r="AE843" s="59"/>
      <c r="AF843" s="59"/>
      <c r="AG843" s="59"/>
      <c r="AH843" s="59"/>
      <c r="AI843" s="59" t="str">
        <f>IF(SUM(Dati[[#This Row],[Inv. Business]:[Inv. Cryptocurrency]])=0," ",SUM(Dati[[#This Row],[Inv. Business]:[Inv. Cryptocurrency]]))</f>
        <v xml:space="preserve"> </v>
      </c>
      <c r="AJ843" s="59"/>
      <c r="AK843" s="59"/>
      <c r="AL843" s="59"/>
      <c r="AM843" s="59"/>
    </row>
    <row r="844" spans="2:39" x14ac:dyDescent="0.35">
      <c r="B844" s="237">
        <f t="shared" si="47"/>
        <v>812</v>
      </c>
      <c r="C844" s="49">
        <f>C841+1</f>
        <v>45561</v>
      </c>
      <c r="D844" s="29">
        <f>DAY(Dati[[#This Row],[Data]])</f>
        <v>26</v>
      </c>
      <c r="E844" s="29" t="str">
        <f>IF(DAY(Data!$C$21:$C$1327)&gt;0,TEXT(Data!$C$21:$C$1327, "mmmm"),"")</f>
        <v>settembre</v>
      </c>
      <c r="F844" s="29" t="str">
        <f>IF(DAY(Data!$C$21:$C$1327)&gt;0,TEXT(Data!$C$21:$C$1327, "aaaa"),"")</f>
        <v>2024</v>
      </c>
      <c r="I844" t="str">
        <f>IF(OR(H844=$B$5,H844=$B$6,H844=$B$7,H844=$B$8,H844=$B$9,H844=$B$10,H844=$B$11,H844=$B$12,H844=$B$13,H844=$B$14),SottocategorieUscite[[#Headers],[Fuori Casa]],IF(OR(H844=$C$5,H844=$C$6,H844=$C$7,H844=$C$8,H844=$C$9,H844=$C$10,H844=$C$11,H844=$C$12,H844=$C$13,H844=$C$14),SottocategorieUscite[[#Headers],[Varie Uscite]],IF(OR(H844=$D$5,H844=$D$6,H844=$D$7,H844=$D$8,H844=$D$9,H844=$D$10,H844=$D$11,H844=$D$12,H844=$D$13,H844=$D$14),SottocategorieUscite[[#Headers],[Personali]],IF(OR(H844=$E$5,H844=$E$6,H844=$E$7,H844=$E$8,H844=$E$9,H844=$E$10,H844=$E$11,H844=$E$12,H844=$E$13,H844=$E$14),SottocategorieUscite[[#Headers],[Lavoro]],IF(OR(H844=$F$5,H844=$F$6,H844=$F$7,H844=$F$8,H844=$F$9,H844=$F$10,H844=$F$11,H844=$F$12,H844=$F$13,H844=$F$14),SottocategorieUscite[[#Headers],[Casa]],IF(OR(H844=$G$5,H844=$G$6,H844=$G$7,H844=$G$8,H844=$G$9,H844=$G$10,H844=$G$11,H844=$G$12,H844=$G$13,H844=$G$14),SottocategorieUscite[[#Headers],[Utenze]],IF(OR(H844=$H$5,H844=$H$6,H844=$H$7,H844=$H$8,H844=$H$9,H844=$H$10,H844=$H$11,H844=$H$12,H844=$H$13,H844=$H$14),SottocategorieUscite[[#Headers],[Business Uscite]],IF(OR(H844=$I$5,H844=$I$6,H844=$I$7,H844=$I$8,H844=$I$9,H844=$I$10,H844=$I$11,H844=$I$12,H844=$I$13,H844=$I$14),SottocategorieUscite[[#Headers],[Banca]],IF(OR(H844=K$5,H844=K$6,H844=K$7,H844=K$8,H844=K$9,H844=K$10,H844=K$11,H844=K$12,H844=K$13,H844=K$14),SottocategorieEntrate[[#Headers],[Business Entrate]],IF(OR(H844=L$5,H844=L$6,H844=L$7,H844=L$8,H844=L$9,H844=L$10,H844=L$11,H844=L$12,H844=L$13,H844=L$14),SottocategorieEntrate[[#Headers],[Varie Entrate]],IF(OR(H844=M$5,H844=M$6,H844=M$7,H844=M$8,H844=M$9,H844=M$10,H844=M$11,H844=M$12,H844=M$13,H844=M$14),SottocategorieEntrate[[#Headers],[Real Estate]],IF(OR(H844=N$5,H844=N$6,H844=N$7,H844=N$8,H844=N$9,H844=N$10,H844=N$11,H844=N$12,H844=N$13,H844=N$14),SottocategorieEntrate[[#Headers],[Other]],""))))))))))))</f>
        <v/>
      </c>
      <c r="J844" t="str">
        <f>IF(OR(Dati[[#This Row],[Categoria]]="Bollette",Dati[[#This Row],[Categoria]]="Conto &amp; Carte BNL",Dati[[#This Row],[Categoria]]="Prelievo",Dati[[#This Row],[Categoria]]="Affitto",Dati[[#This Row],[Categoria]]="BNL(Interessi Creditori)"),"Carta",IF(Dati[[#This Row],[Categoria]]&lt;&gt;0,"Cash",""))</f>
        <v/>
      </c>
      <c r="K844" s="59" t="str">
        <f>IF(OR(Data!$I844=SottocategorieUscite[[#Headers],[Fuori Casa]],Data!$I844=SottocategorieUscite[[#Headers],[Varie Uscite]],Data!$I844=SottocategorieUscite[[#Headers],[Personali]],Data!$I844=SottocategorieUscite[[#Headers],[Lavoro]]),"$ -","")</f>
        <v/>
      </c>
      <c r="L844" s="59" t="str">
        <f>IF(OR(Data!$I844=SottocategorieUscite[[#Headers],[Casa]],Data!$I844=SottocategorieUscite[[#Headers],[Utenze]],Data!$I844=SottocategorieUscite[[#Headers],[Business Uscite]],Data!$I844=SottocategorieUscite[[#Headers],[Banca]]),"$ -","")</f>
        <v/>
      </c>
      <c r="M844" s="59" t="str">
        <f>IF(OR($I844&lt;&gt;SottocategorieUscite[[#Headers],[Fuori Casa]],$I844&lt;&gt;SottocategorieUscite[[#Headers],[Varie Uscite]],$I844&lt;&gt;SottocategorieUscite[[#Headers],[Personali]],$I844&lt;&gt;SottocategorieUscite[[#Headers],[Lavoro]],$I844&lt;&gt;SottocategorieUscite[[#Headers],[Casa]],$I844&lt;&gt;SottocategorieUscite[[#Headers],[Utenze]],$I844&lt;&gt;SottocategorieUscite[[#Headers],[Business Uscite]],$I844&lt;&gt;SottocategorieUscite[[#Headers],[Banca]]),"","$ -")</f>
        <v/>
      </c>
      <c r="N844" s="59" t="str">
        <f>IF(OR(Data!$I844=SottocategorieEntrate[[#Headers],[Business Entrate]],Data!$I844=SottocategorieEntrate[[#Headers],[Varie Entrate]]),"$ -","")</f>
        <v/>
      </c>
      <c r="O844" s="59" t="str">
        <f>IF(OR(Data!$I844=SottocategorieEntrate[[#Headers],[Real Estate]],SottocategorieEntrate[[#Headers],[Other]]),"$ -","")</f>
        <v/>
      </c>
      <c r="P844" s="59" t="str">
        <f>IF(OR($I844&lt;&gt;SottocategorieEntrate[[#Headers],[Business Entrate]],$I844&lt;&gt;SottocategorieEntrate[[#Headers],[Varie Entrate]],$I844&lt;&gt;SottocategorieEntrate[[#Headers],[Real Estate]],$I844&lt;&gt;SottocategorieEntrate[[#Headers],[Other]]),"","$ -")</f>
        <v/>
      </c>
      <c r="Q844" s="59" t="str">
        <f>IF(Dati[[#This Row],[Categoria]]="Prelievo","€ -","")</f>
        <v/>
      </c>
      <c r="R844" s="244"/>
      <c r="S844" s="59" t="str">
        <f>IF(Dati[[#This Row],[Categoria]]="Savings",0,"")</f>
        <v/>
      </c>
      <c r="T844" s="59"/>
      <c r="U844" s="59"/>
      <c r="V844" s="59"/>
      <c r="W844" s="59"/>
      <c r="X844" s="59"/>
      <c r="Y844" s="59"/>
      <c r="Z844" s="59"/>
      <c r="AA844" s="59"/>
      <c r="AB844" s="59"/>
      <c r="AC844" s="59"/>
      <c r="AD844" s="59"/>
      <c r="AE844" s="59"/>
      <c r="AF844" s="59"/>
      <c r="AG844" s="59"/>
      <c r="AH844" s="59"/>
      <c r="AI844" s="59" t="str">
        <f>IF(SUM(Dati[[#This Row],[Inv. Business]:[Inv. Cryptocurrency]])=0," ",SUM(Dati[[#This Row],[Inv. Business]:[Inv. Cryptocurrency]]))</f>
        <v xml:space="preserve"> </v>
      </c>
      <c r="AJ844" s="59"/>
      <c r="AK844" s="59"/>
      <c r="AL844" s="59"/>
      <c r="AM844" s="59"/>
    </row>
    <row r="845" spans="2:39" x14ac:dyDescent="0.35">
      <c r="B845" s="237">
        <f t="shared" si="47"/>
        <v>813</v>
      </c>
      <c r="C845" s="49">
        <f t="shared" si="39"/>
        <v>45562</v>
      </c>
      <c r="D845" s="29">
        <f>DAY(Dati[[#This Row],[Data]])</f>
        <v>27</v>
      </c>
      <c r="E845" s="29" t="str">
        <f>IF(DAY(Data!$C$21:$C$1327)&gt;0,TEXT(Data!$C$21:$C$1327, "mmmm"),"")</f>
        <v>settembre</v>
      </c>
      <c r="F845" s="29" t="str">
        <f>IF(DAY(Data!$C$21:$C$1327)&gt;0,TEXT(Data!$C$21:$C$1327, "aaaa"),"")</f>
        <v>2024</v>
      </c>
      <c r="I845" t="str">
        <f>IF(OR(H845=$B$5,H845=$B$6,H845=$B$7,H845=$B$8,H845=$B$9,H845=$B$10,H845=$B$11,H845=$B$12,H845=$B$13,H845=$B$14),SottocategorieUscite[[#Headers],[Fuori Casa]],IF(OR(H845=$C$5,H845=$C$6,H845=$C$7,H845=$C$8,H845=$C$9,H845=$C$10,H845=$C$11,H845=$C$12,H845=$C$13,H845=$C$14),SottocategorieUscite[[#Headers],[Varie Uscite]],IF(OR(H845=$D$5,H845=$D$6,H845=$D$7,H845=$D$8,H845=$D$9,H845=$D$10,H845=$D$11,H845=$D$12,H845=$D$13,H845=$D$14),SottocategorieUscite[[#Headers],[Personali]],IF(OR(H845=$E$5,H845=$E$6,H845=$E$7,H845=$E$8,H845=$E$9,H845=$E$10,H845=$E$11,H845=$E$12,H845=$E$13,H845=$E$14),SottocategorieUscite[[#Headers],[Lavoro]],IF(OR(H845=$F$5,H845=$F$6,H845=$F$7,H845=$F$8,H845=$F$9,H845=$F$10,H845=$F$11,H845=$F$12,H845=$F$13,H845=$F$14),SottocategorieUscite[[#Headers],[Casa]],IF(OR(H845=$G$5,H845=$G$6,H845=$G$7,H845=$G$8,H845=$G$9,H845=$G$10,H845=$G$11,H845=$G$12,H845=$G$13,H845=$G$14),SottocategorieUscite[[#Headers],[Utenze]],IF(OR(H845=$H$5,H845=$H$6,H845=$H$7,H845=$H$8,H845=$H$9,H845=$H$10,H845=$H$11,H845=$H$12,H845=$H$13,H845=$H$14),SottocategorieUscite[[#Headers],[Business Uscite]],IF(OR(H845=$I$5,H845=$I$6,H845=$I$7,H845=$I$8,H845=$I$9,H845=$I$10,H845=$I$11,H845=$I$12,H845=$I$13,H845=$I$14),SottocategorieUscite[[#Headers],[Banca]],IF(OR(H845=K$5,H845=K$6,H845=K$7,H845=K$8,H845=K$9,H845=K$10,H845=K$11,H845=K$12,H845=K$13,H845=K$14),SottocategorieEntrate[[#Headers],[Business Entrate]],IF(OR(H845=L$5,H845=L$6,H845=L$7,H845=L$8,H845=L$9,H845=L$10,H845=L$11,H845=L$12,H845=L$13,H845=L$14),SottocategorieEntrate[[#Headers],[Varie Entrate]],IF(OR(H845=M$5,H845=M$6,H845=M$7,H845=M$8,H845=M$9,H845=M$10,H845=M$11,H845=M$12,H845=M$13,H845=M$14),SottocategorieEntrate[[#Headers],[Real Estate]],IF(OR(H845=N$5,H845=N$6,H845=N$7,H845=N$8,H845=N$9,H845=N$10,H845=N$11,H845=N$12,H845=N$13,H845=N$14),SottocategorieEntrate[[#Headers],[Other]],""))))))))))))</f>
        <v/>
      </c>
      <c r="J845" t="str">
        <f>IF(OR(Dati[[#This Row],[Categoria]]="Bollette",Dati[[#This Row],[Categoria]]="Conto &amp; Carte BNL",Dati[[#This Row],[Categoria]]="Prelievo",Dati[[#This Row],[Categoria]]="Affitto",Dati[[#This Row],[Categoria]]="BNL(Interessi Creditori)"),"Carta",IF(Dati[[#This Row],[Categoria]]&lt;&gt;0,"Cash",""))</f>
        <v/>
      </c>
      <c r="K845" s="59" t="str">
        <f>IF(OR(Data!$I845=SottocategorieUscite[[#Headers],[Fuori Casa]],Data!$I845=SottocategorieUscite[[#Headers],[Varie Uscite]],Data!$I845=SottocategorieUscite[[#Headers],[Personali]],Data!$I845=SottocategorieUscite[[#Headers],[Lavoro]]),"$ -","")</f>
        <v/>
      </c>
      <c r="L845" s="59" t="str">
        <f>IF(OR(Data!$I845=SottocategorieUscite[[#Headers],[Casa]],Data!$I845=SottocategorieUscite[[#Headers],[Utenze]],Data!$I845=SottocategorieUscite[[#Headers],[Business Uscite]],Data!$I845=SottocategorieUscite[[#Headers],[Banca]]),"$ -","")</f>
        <v/>
      </c>
      <c r="M845" s="59" t="str">
        <f>IF(OR($I845&lt;&gt;SottocategorieUscite[[#Headers],[Fuori Casa]],$I845&lt;&gt;SottocategorieUscite[[#Headers],[Varie Uscite]],$I845&lt;&gt;SottocategorieUscite[[#Headers],[Personali]],$I845&lt;&gt;SottocategorieUscite[[#Headers],[Lavoro]],$I845&lt;&gt;SottocategorieUscite[[#Headers],[Casa]],$I845&lt;&gt;SottocategorieUscite[[#Headers],[Utenze]],$I845&lt;&gt;SottocategorieUscite[[#Headers],[Business Uscite]],$I845&lt;&gt;SottocategorieUscite[[#Headers],[Banca]]),"","$ -")</f>
        <v/>
      </c>
      <c r="N845" s="59" t="str">
        <f>IF(OR(Data!$I845=SottocategorieEntrate[[#Headers],[Business Entrate]],Data!$I845=SottocategorieEntrate[[#Headers],[Varie Entrate]]),"$ -","")</f>
        <v/>
      </c>
      <c r="O845" s="59" t="str">
        <f>IF(OR(Data!$I845=SottocategorieEntrate[[#Headers],[Real Estate]],SottocategorieEntrate[[#Headers],[Other]]),"$ -","")</f>
        <v/>
      </c>
      <c r="P845" s="59" t="str">
        <f>IF(OR($I845&lt;&gt;SottocategorieEntrate[[#Headers],[Business Entrate]],$I845&lt;&gt;SottocategorieEntrate[[#Headers],[Varie Entrate]],$I845&lt;&gt;SottocategorieEntrate[[#Headers],[Real Estate]],$I845&lt;&gt;SottocategorieEntrate[[#Headers],[Other]]),"","$ -")</f>
        <v/>
      </c>
      <c r="Q845" s="59" t="str">
        <f>IF(Dati[[#This Row],[Categoria]]="Prelievo","€ -","")</f>
        <v/>
      </c>
      <c r="R845" s="244"/>
      <c r="S845" s="59" t="str">
        <f>IF(Dati[[#This Row],[Categoria]]="Savings",0,"")</f>
        <v/>
      </c>
      <c r="T845" s="59"/>
      <c r="U845" s="59"/>
      <c r="V845" s="59"/>
      <c r="W845" s="59"/>
      <c r="X845" s="59"/>
      <c r="Y845" s="59"/>
      <c r="Z845" s="59"/>
      <c r="AA845" s="59"/>
      <c r="AB845" s="59"/>
      <c r="AC845" s="59"/>
      <c r="AD845" s="59"/>
      <c r="AE845" s="59"/>
      <c r="AF845" s="59"/>
      <c r="AG845" s="59"/>
      <c r="AH845" s="59"/>
      <c r="AI845" s="59" t="str">
        <f>IF(SUM(Dati[[#This Row],[Inv. Business]:[Inv. Cryptocurrency]])=0," ",SUM(Dati[[#This Row],[Inv. Business]:[Inv. Cryptocurrency]]))</f>
        <v xml:space="preserve"> </v>
      </c>
      <c r="AJ845" s="59"/>
      <c r="AK845" s="59"/>
      <c r="AL845" s="59"/>
      <c r="AM845" s="59"/>
    </row>
    <row r="846" spans="2:39" x14ac:dyDescent="0.35">
      <c r="B846" s="237">
        <f>ROW(813:813)</f>
        <v>813</v>
      </c>
      <c r="C846" s="49">
        <f>C844+1</f>
        <v>45562</v>
      </c>
      <c r="D846" s="29">
        <f>DAY(Dati[[#This Row],[Data]])</f>
        <v>27</v>
      </c>
      <c r="E846" s="29" t="str">
        <f>IF(DAY(Data!$C$21:$C$1327)&gt;0,TEXT(Data!$C$21:$C$1327, "mmmm"),"")</f>
        <v>settembre</v>
      </c>
      <c r="F846" s="29" t="str">
        <f>IF(DAY(Data!$C$21:$C$1327)&gt;0,TEXT(Data!$C$21:$C$1327, "aaaa"),"")</f>
        <v>2024</v>
      </c>
      <c r="I846" t="str">
        <f>IF(OR(H846=$B$5,H846=$B$6,H846=$B$7,H846=$B$8,H846=$B$9,H846=$B$10,H846=$B$11,H846=$B$12,H846=$B$13,H846=$B$14),SottocategorieUscite[[#Headers],[Fuori Casa]],IF(OR(H846=$C$5,H846=$C$6,H846=$C$7,H846=$C$8,H846=$C$9,H846=$C$10,H846=$C$11,H846=$C$12,H846=$C$13,H846=$C$14),SottocategorieUscite[[#Headers],[Varie Uscite]],IF(OR(H846=$D$5,H846=$D$6,H846=$D$7,H846=$D$8,H846=$D$9,H846=$D$10,H846=$D$11,H846=$D$12,H846=$D$13,H846=$D$14),SottocategorieUscite[[#Headers],[Personali]],IF(OR(H846=$E$5,H846=$E$6,H846=$E$7,H846=$E$8,H846=$E$9,H846=$E$10,H846=$E$11,H846=$E$12,H846=$E$13,H846=$E$14),SottocategorieUscite[[#Headers],[Lavoro]],IF(OR(H846=$F$5,H846=$F$6,H846=$F$7,H846=$F$8,H846=$F$9,H846=$F$10,H846=$F$11,H846=$F$12,H846=$F$13,H846=$F$14),SottocategorieUscite[[#Headers],[Casa]],IF(OR(H846=$G$5,H846=$G$6,H846=$G$7,H846=$G$8,H846=$G$9,H846=$G$10,H846=$G$11,H846=$G$12,H846=$G$13,H846=$G$14),SottocategorieUscite[[#Headers],[Utenze]],IF(OR(H846=$H$5,H846=$H$6,H846=$H$7,H846=$H$8,H846=$H$9,H846=$H$10,H846=$H$11,H846=$H$12,H846=$H$13,H846=$H$14),SottocategorieUscite[[#Headers],[Business Uscite]],IF(OR(H846=$I$5,H846=$I$6,H846=$I$7,H846=$I$8,H846=$I$9,H846=$I$10,H846=$I$11,H846=$I$12,H846=$I$13,H846=$I$14),SottocategorieUscite[[#Headers],[Banca]],IF(OR(H846=K$5,H846=K$6,H846=K$7,H846=K$8,H846=K$9,H846=K$10,H846=K$11,H846=K$12,H846=K$13,H846=K$14),SottocategorieEntrate[[#Headers],[Business Entrate]],IF(OR(H846=L$5,H846=L$6,H846=L$7,H846=L$8,H846=L$9,H846=L$10,H846=L$11,H846=L$12,H846=L$13,H846=L$14),SottocategorieEntrate[[#Headers],[Varie Entrate]],IF(OR(H846=M$5,H846=M$6,H846=M$7,H846=M$8,H846=M$9,H846=M$10,H846=M$11,H846=M$12,H846=M$13,H846=M$14),SottocategorieEntrate[[#Headers],[Real Estate]],IF(OR(H846=N$5,H846=N$6,H846=N$7,H846=N$8,H846=N$9,H846=N$10,H846=N$11,H846=N$12,H846=N$13,H846=N$14),SottocategorieEntrate[[#Headers],[Other]],""))))))))))))</f>
        <v/>
      </c>
      <c r="J846" t="str">
        <f>IF(OR(Dati[[#This Row],[Categoria]]="Bollette",Dati[[#This Row],[Categoria]]="Conto &amp; Carte BNL",Dati[[#This Row],[Categoria]]="Prelievo",Dati[[#This Row],[Categoria]]="Affitto",Dati[[#This Row],[Categoria]]="BNL(Interessi Creditori)"),"Carta",IF(Dati[[#This Row],[Categoria]]&lt;&gt;0,"Cash",""))</f>
        <v/>
      </c>
      <c r="K846" s="59" t="str">
        <f>IF(OR(Data!$I846=SottocategorieUscite[[#Headers],[Fuori Casa]],Data!$I846=SottocategorieUscite[[#Headers],[Varie Uscite]],Data!$I846=SottocategorieUscite[[#Headers],[Personali]],Data!$I846=SottocategorieUscite[[#Headers],[Lavoro]]),"$ -","")</f>
        <v/>
      </c>
      <c r="L846" s="59" t="str">
        <f>IF(OR(Data!$I846=SottocategorieUscite[[#Headers],[Casa]],Data!$I846=SottocategorieUscite[[#Headers],[Utenze]],Data!$I846=SottocategorieUscite[[#Headers],[Business Uscite]],Data!$I846=SottocategorieUscite[[#Headers],[Banca]]),"$ -","")</f>
        <v/>
      </c>
      <c r="M846" s="59" t="str">
        <f>IF(OR($I846&lt;&gt;SottocategorieUscite[[#Headers],[Fuori Casa]],$I846&lt;&gt;SottocategorieUscite[[#Headers],[Varie Uscite]],$I846&lt;&gt;SottocategorieUscite[[#Headers],[Personali]],$I846&lt;&gt;SottocategorieUscite[[#Headers],[Lavoro]],$I846&lt;&gt;SottocategorieUscite[[#Headers],[Casa]],$I846&lt;&gt;SottocategorieUscite[[#Headers],[Utenze]],$I846&lt;&gt;SottocategorieUscite[[#Headers],[Business Uscite]],$I846&lt;&gt;SottocategorieUscite[[#Headers],[Banca]]),"","$ -")</f>
        <v/>
      </c>
      <c r="N846" s="59" t="str">
        <f>IF(OR(Data!$I846=SottocategorieEntrate[[#Headers],[Business Entrate]],Data!$I846=SottocategorieEntrate[[#Headers],[Varie Entrate]]),"$ -","")</f>
        <v/>
      </c>
      <c r="O846" s="59" t="str">
        <f>IF(OR(Data!$I846=SottocategorieEntrate[[#Headers],[Real Estate]],SottocategorieEntrate[[#Headers],[Other]]),"$ -","")</f>
        <v/>
      </c>
      <c r="P846" s="59" t="str">
        <f>IF(OR($I846&lt;&gt;SottocategorieEntrate[[#Headers],[Business Entrate]],$I846&lt;&gt;SottocategorieEntrate[[#Headers],[Varie Entrate]],$I846&lt;&gt;SottocategorieEntrate[[#Headers],[Real Estate]],$I846&lt;&gt;SottocategorieEntrate[[#Headers],[Other]]),"","$ -")</f>
        <v/>
      </c>
      <c r="Q846" s="59" t="str">
        <f>IF(Dati[[#This Row],[Categoria]]="Prelievo","€ -","")</f>
        <v/>
      </c>
      <c r="R846" s="244"/>
      <c r="S846" s="59" t="str">
        <f>IF(Dati[[#This Row],[Categoria]]="Savings",0,"")</f>
        <v/>
      </c>
      <c r="T846" s="59"/>
      <c r="U846" s="59"/>
      <c r="V846" s="59"/>
      <c r="W846" s="59"/>
      <c r="X846" s="59"/>
      <c r="Y846" s="59"/>
      <c r="Z846" s="59"/>
      <c r="AA846" s="59"/>
      <c r="AB846" s="59"/>
      <c r="AC846" s="59"/>
      <c r="AD846" s="59"/>
      <c r="AE846" s="59"/>
      <c r="AF846" s="59"/>
      <c r="AG846" s="59"/>
      <c r="AH846" s="59"/>
      <c r="AI846" s="59" t="str">
        <f>IF(SUM(Dati[[#This Row],[Inv. Business]:[Inv. Cryptocurrency]])=0," ",SUM(Dati[[#This Row],[Inv. Business]:[Inv. Cryptocurrency]]))</f>
        <v xml:space="preserve"> </v>
      </c>
      <c r="AJ846" s="59"/>
      <c r="AK846" s="59"/>
      <c r="AL846" s="59"/>
      <c r="AM846" s="59"/>
    </row>
    <row r="847" spans="2:39" x14ac:dyDescent="0.35">
      <c r="B847" s="237">
        <f>ROW(814:814)</f>
        <v>814</v>
      </c>
      <c r="C847" s="49">
        <f>C845+1</f>
        <v>45563</v>
      </c>
      <c r="D847" s="29">
        <f>DAY(Dati[[#This Row],[Data]])</f>
        <v>28</v>
      </c>
      <c r="E847" s="29" t="str">
        <f>IF(DAY(Data!$C$21:$C$1327)&gt;0,TEXT(Data!$C$21:$C$1327, "mmmm"),"")</f>
        <v>settembre</v>
      </c>
      <c r="F847" s="29" t="str">
        <f>IF(DAY(Data!$C$21:$C$1327)&gt;0,TEXT(Data!$C$21:$C$1327, "aaaa"),"")</f>
        <v>2024</v>
      </c>
      <c r="I847" t="str">
        <f>IF(OR(H847=$B$5,H847=$B$6,H847=$B$7,H847=$B$8,H847=$B$9,H847=$B$10,H847=$B$11,H847=$B$12,H847=$B$13,H847=$B$14),SottocategorieUscite[[#Headers],[Fuori Casa]],IF(OR(H847=$C$5,H847=$C$6,H847=$C$7,H847=$C$8,H847=$C$9,H847=$C$10,H847=$C$11,H847=$C$12,H847=$C$13,H847=$C$14),SottocategorieUscite[[#Headers],[Varie Uscite]],IF(OR(H847=$D$5,H847=$D$6,H847=$D$7,H847=$D$8,H847=$D$9,H847=$D$10,H847=$D$11,H847=$D$12,H847=$D$13,H847=$D$14),SottocategorieUscite[[#Headers],[Personali]],IF(OR(H847=$E$5,H847=$E$6,H847=$E$7,H847=$E$8,H847=$E$9,H847=$E$10,H847=$E$11,H847=$E$12,H847=$E$13,H847=$E$14),SottocategorieUscite[[#Headers],[Lavoro]],IF(OR(H847=$F$5,H847=$F$6,H847=$F$7,H847=$F$8,H847=$F$9,H847=$F$10,H847=$F$11,H847=$F$12,H847=$F$13,H847=$F$14),SottocategorieUscite[[#Headers],[Casa]],IF(OR(H847=$G$5,H847=$G$6,H847=$G$7,H847=$G$8,H847=$G$9,H847=$G$10,H847=$G$11,H847=$G$12,H847=$G$13,H847=$G$14),SottocategorieUscite[[#Headers],[Utenze]],IF(OR(H847=$H$5,H847=$H$6,H847=$H$7,H847=$H$8,H847=$H$9,H847=$H$10,H847=$H$11,H847=$H$12,H847=$H$13,H847=$H$14),SottocategorieUscite[[#Headers],[Business Uscite]],IF(OR(H847=$I$5,H847=$I$6,H847=$I$7,H847=$I$8,H847=$I$9,H847=$I$10,H847=$I$11,H847=$I$12,H847=$I$13,H847=$I$14),SottocategorieUscite[[#Headers],[Banca]],IF(OR(H847=K$5,H847=K$6,H847=K$7,H847=K$8,H847=K$9,H847=K$10,H847=K$11,H847=K$12,H847=K$13,H847=K$14),SottocategorieEntrate[[#Headers],[Business Entrate]],IF(OR(H847=L$5,H847=L$6,H847=L$7,H847=L$8,H847=L$9,H847=L$10,H847=L$11,H847=L$12,H847=L$13,H847=L$14),SottocategorieEntrate[[#Headers],[Varie Entrate]],IF(OR(H847=M$5,H847=M$6,H847=M$7,H847=M$8,H847=M$9,H847=M$10,H847=M$11,H847=M$12,H847=M$13,H847=M$14),SottocategorieEntrate[[#Headers],[Real Estate]],IF(OR(H847=N$5,H847=N$6,H847=N$7,H847=N$8,H847=N$9,H847=N$10,H847=N$11,H847=N$12,H847=N$13,H847=N$14),SottocategorieEntrate[[#Headers],[Other]],""))))))))))))</f>
        <v/>
      </c>
      <c r="J847" t="str">
        <f>IF(OR(Dati[[#This Row],[Categoria]]="Bollette",Dati[[#This Row],[Categoria]]="Conto &amp; Carte BNL",Dati[[#This Row],[Categoria]]="Prelievo",Dati[[#This Row],[Categoria]]="Affitto",Dati[[#This Row],[Categoria]]="BNL(Interessi Creditori)"),"Carta",IF(Dati[[#This Row],[Categoria]]&lt;&gt;0,"Cash",""))</f>
        <v/>
      </c>
      <c r="K847" s="59" t="str">
        <f>IF(OR(Data!$I847=SottocategorieUscite[[#Headers],[Fuori Casa]],Data!$I847=SottocategorieUscite[[#Headers],[Varie Uscite]],Data!$I847=SottocategorieUscite[[#Headers],[Personali]],Data!$I847=SottocategorieUscite[[#Headers],[Lavoro]]),"$ -","")</f>
        <v/>
      </c>
      <c r="L847" s="59" t="str">
        <f>IF(OR(Data!$I847=SottocategorieUscite[[#Headers],[Casa]],Data!$I847=SottocategorieUscite[[#Headers],[Utenze]],Data!$I847=SottocategorieUscite[[#Headers],[Business Uscite]],Data!$I847=SottocategorieUscite[[#Headers],[Banca]]),"$ -","")</f>
        <v/>
      </c>
      <c r="M847" s="59" t="str">
        <f>IF(OR($I847&lt;&gt;SottocategorieUscite[[#Headers],[Fuori Casa]],$I847&lt;&gt;SottocategorieUscite[[#Headers],[Varie Uscite]],$I847&lt;&gt;SottocategorieUscite[[#Headers],[Personali]],$I847&lt;&gt;SottocategorieUscite[[#Headers],[Lavoro]],$I847&lt;&gt;SottocategorieUscite[[#Headers],[Casa]],$I847&lt;&gt;SottocategorieUscite[[#Headers],[Utenze]],$I847&lt;&gt;SottocategorieUscite[[#Headers],[Business Uscite]],$I847&lt;&gt;SottocategorieUscite[[#Headers],[Banca]]),"","$ -")</f>
        <v/>
      </c>
      <c r="N847" s="59" t="str">
        <f>IF(OR(Data!$I847=SottocategorieEntrate[[#Headers],[Business Entrate]],Data!$I847=SottocategorieEntrate[[#Headers],[Varie Entrate]]),"$ -","")</f>
        <v/>
      </c>
      <c r="O847" s="59" t="str">
        <f>IF(OR(Data!$I847=SottocategorieEntrate[[#Headers],[Real Estate]],SottocategorieEntrate[[#Headers],[Other]]),"$ -","")</f>
        <v/>
      </c>
      <c r="P847" s="59" t="str">
        <f>IF(OR($I847&lt;&gt;SottocategorieEntrate[[#Headers],[Business Entrate]],$I847&lt;&gt;SottocategorieEntrate[[#Headers],[Varie Entrate]],$I847&lt;&gt;SottocategorieEntrate[[#Headers],[Real Estate]],$I847&lt;&gt;SottocategorieEntrate[[#Headers],[Other]]),"","$ -")</f>
        <v/>
      </c>
      <c r="Q847" s="59" t="str">
        <f>IF(Dati[[#This Row],[Categoria]]="Prelievo","€ -","")</f>
        <v/>
      </c>
      <c r="R847" s="244"/>
      <c r="S847" s="59" t="str">
        <f>IF(Dati[[#This Row],[Categoria]]="Savings",0,"")</f>
        <v/>
      </c>
      <c r="T847" s="59"/>
      <c r="U847" s="59"/>
      <c r="V847" s="59"/>
      <c r="W847" s="59"/>
      <c r="X847" s="59"/>
      <c r="Y847" s="59"/>
      <c r="Z847" s="59"/>
      <c r="AA847" s="59"/>
      <c r="AB847" s="59"/>
      <c r="AC847" s="59"/>
      <c r="AD847" s="59"/>
      <c r="AE847" s="59"/>
      <c r="AF847" s="59"/>
      <c r="AG847" s="59"/>
      <c r="AH847" s="59"/>
      <c r="AI847" s="59" t="str">
        <f>IF(SUM(Dati[[#This Row],[Inv. Business]:[Inv. Cryptocurrency]])=0," ",SUM(Dati[[#This Row],[Inv. Business]:[Inv. Cryptocurrency]]))</f>
        <v xml:space="preserve"> </v>
      </c>
      <c r="AJ847" s="59"/>
      <c r="AK847" s="59"/>
      <c r="AL847" s="59"/>
      <c r="AM847" s="59"/>
    </row>
    <row r="848" spans="2:39" x14ac:dyDescent="0.35">
      <c r="B848" s="237">
        <f>ROW(815:815)</f>
        <v>815</v>
      </c>
      <c r="C848" s="49">
        <f t="shared" si="39"/>
        <v>45564</v>
      </c>
      <c r="D848" s="29">
        <f>DAY(Dati[[#This Row],[Data]])</f>
        <v>29</v>
      </c>
      <c r="E848" s="29" t="str">
        <f>IF(DAY(Data!$C$21:$C$1327)&gt;0,TEXT(Data!$C$21:$C$1327, "mmmm"),"")</f>
        <v>settembre</v>
      </c>
      <c r="F848" s="29" t="str">
        <f>IF(DAY(Data!$C$21:$C$1327)&gt;0,TEXT(Data!$C$21:$C$1327, "aaaa"),"")</f>
        <v>2024</v>
      </c>
      <c r="I848" t="str">
        <f>IF(OR(H848=$B$5,H848=$B$6,H848=$B$7,H848=$B$8,H848=$B$9,H848=$B$10,H848=$B$11,H848=$B$12,H848=$B$13,H848=$B$14),SottocategorieUscite[[#Headers],[Fuori Casa]],IF(OR(H848=$C$5,H848=$C$6,H848=$C$7,H848=$C$8,H848=$C$9,H848=$C$10,H848=$C$11,H848=$C$12,H848=$C$13,H848=$C$14),SottocategorieUscite[[#Headers],[Varie Uscite]],IF(OR(H848=$D$5,H848=$D$6,H848=$D$7,H848=$D$8,H848=$D$9,H848=$D$10,H848=$D$11,H848=$D$12,H848=$D$13,H848=$D$14),SottocategorieUscite[[#Headers],[Personali]],IF(OR(H848=$E$5,H848=$E$6,H848=$E$7,H848=$E$8,H848=$E$9,H848=$E$10,H848=$E$11,H848=$E$12,H848=$E$13,H848=$E$14),SottocategorieUscite[[#Headers],[Lavoro]],IF(OR(H848=$F$5,H848=$F$6,H848=$F$7,H848=$F$8,H848=$F$9,H848=$F$10,H848=$F$11,H848=$F$12,H848=$F$13,H848=$F$14),SottocategorieUscite[[#Headers],[Casa]],IF(OR(H848=$G$5,H848=$G$6,H848=$G$7,H848=$G$8,H848=$G$9,H848=$G$10,H848=$G$11,H848=$G$12,H848=$G$13,H848=$G$14),SottocategorieUscite[[#Headers],[Utenze]],IF(OR(H848=$H$5,H848=$H$6,H848=$H$7,H848=$H$8,H848=$H$9,H848=$H$10,H848=$H$11,H848=$H$12,H848=$H$13,H848=$H$14),SottocategorieUscite[[#Headers],[Business Uscite]],IF(OR(H848=$I$5,H848=$I$6,H848=$I$7,H848=$I$8,H848=$I$9,H848=$I$10,H848=$I$11,H848=$I$12,H848=$I$13,H848=$I$14),SottocategorieUscite[[#Headers],[Banca]],IF(OR(H848=K$5,H848=K$6,H848=K$7,H848=K$8,H848=K$9,H848=K$10,H848=K$11,H848=K$12,H848=K$13,H848=K$14),SottocategorieEntrate[[#Headers],[Business Entrate]],IF(OR(H848=L$5,H848=L$6,H848=L$7,H848=L$8,H848=L$9,H848=L$10,H848=L$11,H848=L$12,H848=L$13,H848=L$14),SottocategorieEntrate[[#Headers],[Varie Entrate]],IF(OR(H848=M$5,H848=M$6,H848=M$7,H848=M$8,H848=M$9,H848=M$10,H848=M$11,H848=M$12,H848=M$13,H848=M$14),SottocategorieEntrate[[#Headers],[Real Estate]],IF(OR(H848=N$5,H848=N$6,H848=N$7,H848=N$8,H848=N$9,H848=N$10,H848=N$11,H848=N$12,H848=N$13,H848=N$14),SottocategorieEntrate[[#Headers],[Other]],""))))))))))))</f>
        <v/>
      </c>
      <c r="J848" t="str">
        <f>IF(OR(Dati[[#This Row],[Categoria]]="Bollette",Dati[[#This Row],[Categoria]]="Conto &amp; Carte BNL",Dati[[#This Row],[Categoria]]="Prelievo",Dati[[#This Row],[Categoria]]="Affitto",Dati[[#This Row],[Categoria]]="BNL(Interessi Creditori)"),"Carta",IF(Dati[[#This Row],[Categoria]]&lt;&gt;0,"Cash",""))</f>
        <v/>
      </c>
      <c r="K848" s="59" t="str">
        <f>IF(OR(Data!$I848=SottocategorieUscite[[#Headers],[Fuori Casa]],Data!$I848=SottocategorieUscite[[#Headers],[Varie Uscite]],Data!$I848=SottocategorieUscite[[#Headers],[Personali]],Data!$I848=SottocategorieUscite[[#Headers],[Lavoro]]),"$ -","")</f>
        <v/>
      </c>
      <c r="L848" s="59" t="str">
        <f>IF(OR(Data!$I848=SottocategorieUscite[[#Headers],[Casa]],Data!$I848=SottocategorieUscite[[#Headers],[Utenze]],Data!$I848=SottocategorieUscite[[#Headers],[Business Uscite]],Data!$I848=SottocategorieUscite[[#Headers],[Banca]]),"$ -","")</f>
        <v/>
      </c>
      <c r="M848" s="59" t="str">
        <f>IF(OR($I848&lt;&gt;SottocategorieUscite[[#Headers],[Fuori Casa]],$I848&lt;&gt;SottocategorieUscite[[#Headers],[Varie Uscite]],$I848&lt;&gt;SottocategorieUscite[[#Headers],[Personali]],$I848&lt;&gt;SottocategorieUscite[[#Headers],[Lavoro]],$I848&lt;&gt;SottocategorieUscite[[#Headers],[Casa]],$I848&lt;&gt;SottocategorieUscite[[#Headers],[Utenze]],$I848&lt;&gt;SottocategorieUscite[[#Headers],[Business Uscite]],$I848&lt;&gt;SottocategorieUscite[[#Headers],[Banca]]),"","$ -")</f>
        <v/>
      </c>
      <c r="N848" s="59" t="str">
        <f>IF(OR(Data!$I848=SottocategorieEntrate[[#Headers],[Business Entrate]],Data!$I848=SottocategorieEntrate[[#Headers],[Varie Entrate]]),"$ -","")</f>
        <v/>
      </c>
      <c r="O848" s="59" t="str">
        <f>IF(OR(Data!$I848=SottocategorieEntrate[[#Headers],[Real Estate]],SottocategorieEntrate[[#Headers],[Other]]),"$ -","")</f>
        <v/>
      </c>
      <c r="P848" s="59" t="str">
        <f>IF(OR($I848&lt;&gt;SottocategorieEntrate[[#Headers],[Business Entrate]],$I848&lt;&gt;SottocategorieEntrate[[#Headers],[Varie Entrate]],$I848&lt;&gt;SottocategorieEntrate[[#Headers],[Real Estate]],$I848&lt;&gt;SottocategorieEntrate[[#Headers],[Other]]),"","$ -")</f>
        <v/>
      </c>
      <c r="Q848" s="59" t="str">
        <f>IF(Dati[[#This Row],[Categoria]]="Prelievo","€ -","")</f>
        <v/>
      </c>
      <c r="R848" s="244"/>
      <c r="S848" s="59" t="str">
        <f>IF(Dati[[#This Row],[Categoria]]="Savings",0,"")</f>
        <v/>
      </c>
      <c r="T848" s="59"/>
      <c r="U848" s="59"/>
      <c r="V848" s="59"/>
      <c r="W848" s="59"/>
      <c r="X848" s="59"/>
      <c r="Y848" s="59"/>
      <c r="Z848" s="59"/>
      <c r="AA848" s="59"/>
      <c r="AB848" s="59"/>
      <c r="AC848" s="59"/>
      <c r="AD848" s="59"/>
      <c r="AE848" s="59"/>
      <c r="AF848" s="59"/>
      <c r="AG848" s="59"/>
      <c r="AH848" s="59"/>
      <c r="AI848" s="59" t="str">
        <f>IF(SUM(Dati[[#This Row],[Inv. Business]:[Inv. Cryptocurrency]])=0," ",SUM(Dati[[#This Row],[Inv. Business]:[Inv. Cryptocurrency]]))</f>
        <v xml:space="preserve"> </v>
      </c>
      <c r="AJ848" s="59"/>
      <c r="AK848" s="59"/>
      <c r="AL848" s="59"/>
      <c r="AM848" s="59"/>
    </row>
    <row r="849" spans="2:39" x14ac:dyDescent="0.35">
      <c r="B849" s="237">
        <f>ROW(816:816)</f>
        <v>816</v>
      </c>
      <c r="C849" s="49">
        <f t="shared" si="39"/>
        <v>45565</v>
      </c>
      <c r="D849" s="29">
        <f>DAY(Dati[[#This Row],[Data]])</f>
        <v>30</v>
      </c>
      <c r="E849" s="29" t="str">
        <f>IF(DAY(Data!$C$21:$C$1327)&gt;0,TEXT(Data!$C$21:$C$1327, "mmmm"),"")</f>
        <v>settembre</v>
      </c>
      <c r="F849" s="29" t="str">
        <f>IF(DAY(Data!$C$21:$C$1327)&gt;0,TEXT(Data!$C$21:$C$1327, "aaaa"),"")</f>
        <v>2024</v>
      </c>
      <c r="I849" t="str">
        <f>IF(OR(H849=$B$5,H849=$B$6,H849=$B$7,H849=$B$8,H849=$B$9,H849=$B$10,H849=$B$11,H849=$B$12,H849=$B$13,H849=$B$14),SottocategorieUscite[[#Headers],[Fuori Casa]],IF(OR(H849=$C$5,H849=$C$6,H849=$C$7,H849=$C$8,H849=$C$9,H849=$C$10,H849=$C$11,H849=$C$12,H849=$C$13,H849=$C$14),SottocategorieUscite[[#Headers],[Varie Uscite]],IF(OR(H849=$D$5,H849=$D$6,H849=$D$7,H849=$D$8,H849=$D$9,H849=$D$10,H849=$D$11,H849=$D$12,H849=$D$13,H849=$D$14),SottocategorieUscite[[#Headers],[Personali]],IF(OR(H849=$E$5,H849=$E$6,H849=$E$7,H849=$E$8,H849=$E$9,H849=$E$10,H849=$E$11,H849=$E$12,H849=$E$13,H849=$E$14),SottocategorieUscite[[#Headers],[Lavoro]],IF(OR(H849=$F$5,H849=$F$6,H849=$F$7,H849=$F$8,H849=$F$9,H849=$F$10,H849=$F$11,H849=$F$12,H849=$F$13,H849=$F$14),SottocategorieUscite[[#Headers],[Casa]],IF(OR(H849=$G$5,H849=$G$6,H849=$G$7,H849=$G$8,H849=$G$9,H849=$G$10,H849=$G$11,H849=$G$12,H849=$G$13,H849=$G$14),SottocategorieUscite[[#Headers],[Utenze]],IF(OR(H849=$H$5,H849=$H$6,H849=$H$7,H849=$H$8,H849=$H$9,H849=$H$10,H849=$H$11,H849=$H$12,H849=$H$13,H849=$H$14),SottocategorieUscite[[#Headers],[Business Uscite]],IF(OR(H849=$I$5,H849=$I$6,H849=$I$7,H849=$I$8,H849=$I$9,H849=$I$10,H849=$I$11,H849=$I$12,H849=$I$13,H849=$I$14),SottocategorieUscite[[#Headers],[Banca]],IF(OR(H849=K$5,H849=K$6,H849=K$7,H849=K$8,H849=K$9,H849=K$10,H849=K$11,H849=K$12,H849=K$13,H849=K$14),SottocategorieEntrate[[#Headers],[Business Entrate]],IF(OR(H849=L$5,H849=L$6,H849=L$7,H849=L$8,H849=L$9,H849=L$10,H849=L$11,H849=L$12,H849=L$13,H849=L$14),SottocategorieEntrate[[#Headers],[Varie Entrate]],IF(OR(H849=M$5,H849=M$6,H849=M$7,H849=M$8,H849=M$9,H849=M$10,H849=M$11,H849=M$12,H849=M$13,H849=M$14),SottocategorieEntrate[[#Headers],[Real Estate]],IF(OR(H849=N$5,H849=N$6,H849=N$7,H849=N$8,H849=N$9,H849=N$10,H849=N$11,H849=N$12,H849=N$13,H849=N$14),SottocategorieEntrate[[#Headers],[Other]],""))))))))))))</f>
        <v/>
      </c>
      <c r="J849" t="str">
        <f>IF(OR(Dati[[#This Row],[Categoria]]="Bollette",Dati[[#This Row],[Categoria]]="Conto &amp; Carte BNL",Dati[[#This Row],[Categoria]]="Prelievo",Dati[[#This Row],[Categoria]]="Affitto",Dati[[#This Row],[Categoria]]="BNL(Interessi Creditori)"),"Carta",IF(Dati[[#This Row],[Categoria]]&lt;&gt;0,"Cash",""))</f>
        <v/>
      </c>
      <c r="K849" s="59" t="str">
        <f>IF(OR(Data!$I849=SottocategorieUscite[[#Headers],[Fuori Casa]],Data!$I849=SottocategorieUscite[[#Headers],[Varie Uscite]],Data!$I849=SottocategorieUscite[[#Headers],[Personali]],Data!$I849=SottocategorieUscite[[#Headers],[Lavoro]]),"$ -","")</f>
        <v/>
      </c>
      <c r="L849" s="59" t="str">
        <f>IF(OR(Data!$I849=SottocategorieUscite[[#Headers],[Casa]],Data!$I849=SottocategorieUscite[[#Headers],[Utenze]],Data!$I849=SottocategorieUscite[[#Headers],[Business Uscite]],Data!$I849=SottocategorieUscite[[#Headers],[Banca]]),"$ -","")</f>
        <v/>
      </c>
      <c r="M849" s="59" t="str">
        <f>IF(OR($I849&lt;&gt;SottocategorieUscite[[#Headers],[Fuori Casa]],$I849&lt;&gt;SottocategorieUscite[[#Headers],[Varie Uscite]],$I849&lt;&gt;SottocategorieUscite[[#Headers],[Personali]],$I849&lt;&gt;SottocategorieUscite[[#Headers],[Lavoro]],$I849&lt;&gt;SottocategorieUscite[[#Headers],[Casa]],$I849&lt;&gt;SottocategorieUscite[[#Headers],[Utenze]],$I849&lt;&gt;SottocategorieUscite[[#Headers],[Business Uscite]],$I849&lt;&gt;SottocategorieUscite[[#Headers],[Banca]]),"","$ -")</f>
        <v/>
      </c>
      <c r="N849" s="59" t="str">
        <f>IF(OR(Data!$I849=SottocategorieEntrate[[#Headers],[Business Entrate]],Data!$I849=SottocategorieEntrate[[#Headers],[Varie Entrate]]),"$ -","")</f>
        <v/>
      </c>
      <c r="O849" s="59" t="str">
        <f>IF(OR(Data!$I849=SottocategorieEntrate[[#Headers],[Real Estate]],SottocategorieEntrate[[#Headers],[Other]]),"$ -","")</f>
        <v/>
      </c>
      <c r="P849" s="59" t="str">
        <f>IF(OR($I849&lt;&gt;SottocategorieEntrate[[#Headers],[Business Entrate]],$I849&lt;&gt;SottocategorieEntrate[[#Headers],[Varie Entrate]],$I849&lt;&gt;SottocategorieEntrate[[#Headers],[Real Estate]],$I849&lt;&gt;SottocategorieEntrate[[#Headers],[Other]]),"","$ -")</f>
        <v/>
      </c>
      <c r="Q849" s="59" t="str">
        <f>IF(Dati[[#This Row],[Categoria]]="Prelievo","€ -","")</f>
        <v/>
      </c>
      <c r="R849" s="244"/>
      <c r="S849" s="59" t="str">
        <f>IF(Dati[[#This Row],[Categoria]]="Savings",0,"")</f>
        <v/>
      </c>
      <c r="T849" s="59"/>
      <c r="U849" s="59"/>
      <c r="V849" s="59"/>
      <c r="W849" s="59"/>
      <c r="X849" s="59"/>
      <c r="Y849" s="59"/>
      <c r="Z849" s="59"/>
      <c r="AA849" s="59"/>
      <c r="AB849" s="59"/>
      <c r="AC849" s="59"/>
      <c r="AD849" s="59"/>
      <c r="AE849" s="59"/>
      <c r="AF849" s="59"/>
      <c r="AG849" s="59"/>
      <c r="AH849" s="59"/>
      <c r="AI849" s="59" t="str">
        <f>IF(SUM(Dati[[#This Row],[Inv. Business]:[Inv. Cryptocurrency]])=0," ",SUM(Dati[[#This Row],[Inv. Business]:[Inv. Cryptocurrency]]))</f>
        <v xml:space="preserve"> </v>
      </c>
      <c r="AJ849" s="59"/>
      <c r="AK849" s="59"/>
      <c r="AL849" s="59"/>
      <c r="AM849" s="59"/>
    </row>
    <row r="850" spans="2:39" x14ac:dyDescent="0.35">
      <c r="B850" s="237">
        <f>ROW(816:816)</f>
        <v>816</v>
      </c>
      <c r="C850" s="49">
        <f>C848+1</f>
        <v>45565</v>
      </c>
      <c r="D850" s="29">
        <f>DAY(Dati[[#This Row],[Data]])</f>
        <v>30</v>
      </c>
      <c r="E850" s="29" t="str">
        <f>IF(DAY(Data!$C$21:$C$1327)&gt;0,TEXT(Data!$C$21:$C$1327, "mmmm"),"")</f>
        <v>settembre</v>
      </c>
      <c r="F850" s="29" t="str">
        <f>IF(DAY(Data!$C$21:$C$1327)&gt;0,TEXT(Data!$C$21:$C$1327, "aaaa"),"")</f>
        <v>2024</v>
      </c>
      <c r="I850" t="str">
        <f>IF(OR(H850=$B$5,H850=$B$6,H850=$B$7,H850=$B$8,H850=$B$9,H850=$B$10,H850=$B$11,H850=$B$12,H850=$B$13,H850=$B$14),SottocategorieUscite[[#Headers],[Fuori Casa]],IF(OR(H850=$C$5,H850=$C$6,H850=$C$7,H850=$C$8,H850=$C$9,H850=$C$10,H850=$C$11,H850=$C$12,H850=$C$13,H850=$C$14),SottocategorieUscite[[#Headers],[Varie Uscite]],IF(OR(H850=$D$5,H850=$D$6,H850=$D$7,H850=$D$8,H850=$D$9,H850=$D$10,H850=$D$11,H850=$D$12,H850=$D$13,H850=$D$14),SottocategorieUscite[[#Headers],[Personali]],IF(OR(H850=$E$5,H850=$E$6,H850=$E$7,H850=$E$8,H850=$E$9,H850=$E$10,H850=$E$11,H850=$E$12,H850=$E$13,H850=$E$14),SottocategorieUscite[[#Headers],[Lavoro]],IF(OR(H850=$F$5,H850=$F$6,H850=$F$7,H850=$F$8,H850=$F$9,H850=$F$10,H850=$F$11,H850=$F$12,H850=$F$13,H850=$F$14),SottocategorieUscite[[#Headers],[Casa]],IF(OR(H850=$G$5,H850=$G$6,H850=$G$7,H850=$G$8,H850=$G$9,H850=$G$10,H850=$G$11,H850=$G$12,H850=$G$13,H850=$G$14),SottocategorieUscite[[#Headers],[Utenze]],IF(OR(H850=$H$5,H850=$H$6,H850=$H$7,H850=$H$8,H850=$H$9,H850=$H$10,H850=$H$11,H850=$H$12,H850=$H$13,H850=$H$14),SottocategorieUscite[[#Headers],[Business Uscite]],IF(OR(H850=$I$5,H850=$I$6,H850=$I$7,H850=$I$8,H850=$I$9,H850=$I$10,H850=$I$11,H850=$I$12,H850=$I$13,H850=$I$14),SottocategorieUscite[[#Headers],[Banca]],IF(OR(H850=K$5,H850=K$6,H850=K$7,H850=K$8,H850=K$9,H850=K$10,H850=K$11,H850=K$12,H850=K$13,H850=K$14),SottocategorieEntrate[[#Headers],[Business Entrate]],IF(OR(H850=L$5,H850=L$6,H850=L$7,H850=L$8,H850=L$9,H850=L$10,H850=L$11,H850=L$12,H850=L$13,H850=L$14),SottocategorieEntrate[[#Headers],[Varie Entrate]],IF(OR(H850=M$5,H850=M$6,H850=M$7,H850=M$8,H850=M$9,H850=M$10,H850=M$11,H850=M$12,H850=M$13,H850=M$14),SottocategorieEntrate[[#Headers],[Real Estate]],IF(OR(H850=N$5,H850=N$6,H850=N$7,H850=N$8,H850=N$9,H850=N$10,H850=N$11,H850=N$12,H850=N$13,H850=N$14),SottocategorieEntrate[[#Headers],[Other]],""))))))))))))</f>
        <v/>
      </c>
      <c r="J850" t="str">
        <f>IF(OR(Dati[[#This Row],[Categoria]]="Bollette",Dati[[#This Row],[Categoria]]="Conto &amp; Carte BNL",Dati[[#This Row],[Categoria]]="Prelievo",Dati[[#This Row],[Categoria]]="Affitto",Dati[[#This Row],[Categoria]]="BNL(Interessi Creditori)"),"Carta",IF(Dati[[#This Row],[Categoria]]&lt;&gt;0,"Cash",""))</f>
        <v/>
      </c>
      <c r="K850" s="59" t="str">
        <f>IF(OR(Data!$I850=SottocategorieUscite[[#Headers],[Fuori Casa]],Data!$I850=SottocategorieUscite[[#Headers],[Varie Uscite]],Data!$I850=SottocategorieUscite[[#Headers],[Personali]],Data!$I850=SottocategorieUscite[[#Headers],[Lavoro]]),"$ -","")</f>
        <v/>
      </c>
      <c r="L850" s="59" t="str">
        <f>IF(OR(Data!$I850=SottocategorieUscite[[#Headers],[Casa]],Data!$I850=SottocategorieUscite[[#Headers],[Utenze]],Data!$I850=SottocategorieUscite[[#Headers],[Business Uscite]],Data!$I850=SottocategorieUscite[[#Headers],[Banca]]),"$ -","")</f>
        <v/>
      </c>
      <c r="M850" s="59" t="str">
        <f>IF(OR($I850&lt;&gt;SottocategorieUscite[[#Headers],[Fuori Casa]],$I850&lt;&gt;SottocategorieUscite[[#Headers],[Varie Uscite]],$I850&lt;&gt;SottocategorieUscite[[#Headers],[Personali]],$I850&lt;&gt;SottocategorieUscite[[#Headers],[Lavoro]],$I850&lt;&gt;SottocategorieUscite[[#Headers],[Casa]],$I850&lt;&gt;SottocategorieUscite[[#Headers],[Utenze]],$I850&lt;&gt;SottocategorieUscite[[#Headers],[Business Uscite]],$I850&lt;&gt;SottocategorieUscite[[#Headers],[Banca]]),"","$ -")</f>
        <v/>
      </c>
      <c r="N850" s="59" t="str">
        <f>IF(OR(Data!$I850=SottocategorieEntrate[[#Headers],[Business Entrate]],Data!$I850=SottocategorieEntrate[[#Headers],[Varie Entrate]]),"$ -","")</f>
        <v/>
      </c>
      <c r="O850" s="59" t="str">
        <f>IF(OR(Data!$I850=SottocategorieEntrate[[#Headers],[Real Estate]],SottocategorieEntrate[[#Headers],[Other]]),"$ -","")</f>
        <v/>
      </c>
      <c r="P850" s="59" t="str">
        <f>IF(OR($I850&lt;&gt;SottocategorieEntrate[[#Headers],[Business Entrate]],$I850&lt;&gt;SottocategorieEntrate[[#Headers],[Varie Entrate]],$I850&lt;&gt;SottocategorieEntrate[[#Headers],[Real Estate]],$I850&lt;&gt;SottocategorieEntrate[[#Headers],[Other]]),"","$ -")</f>
        <v/>
      </c>
      <c r="Q850" s="59" t="str">
        <f>IF(Dati[[#This Row],[Categoria]]="Prelievo","€ -","")</f>
        <v/>
      </c>
      <c r="R850" s="244"/>
      <c r="S850" s="59" t="str">
        <f>IF(Dati[[#This Row],[Categoria]]="Savings",0,"")</f>
        <v/>
      </c>
      <c r="T850" s="59"/>
      <c r="U850" s="59"/>
      <c r="V850" s="59"/>
      <c r="W850" s="59"/>
      <c r="X850" s="59"/>
      <c r="Y850" s="59"/>
      <c r="Z850" s="59"/>
      <c r="AA850" s="59"/>
      <c r="AB850" s="59"/>
      <c r="AC850" s="59"/>
      <c r="AD850" s="59"/>
      <c r="AE850" s="59"/>
      <c r="AF850" s="59"/>
      <c r="AG850" s="59"/>
      <c r="AH850" s="59"/>
      <c r="AI850" s="59" t="str">
        <f>IF(SUM(Dati[[#This Row],[Inv. Business]:[Inv. Cryptocurrency]])=0," ",SUM(Dati[[#This Row],[Inv. Business]:[Inv. Cryptocurrency]]))</f>
        <v xml:space="preserve"> </v>
      </c>
      <c r="AJ850" s="59"/>
      <c r="AK850" s="59"/>
      <c r="AL850" s="59"/>
      <c r="AM850" s="59"/>
    </row>
    <row r="851" spans="2:39" x14ac:dyDescent="0.35">
      <c r="B851" s="237">
        <f>ROW(816:816)</f>
        <v>816</v>
      </c>
      <c r="C851" s="49">
        <f>C848+1</f>
        <v>45565</v>
      </c>
      <c r="D851" s="29">
        <f>DAY(Dati[[#This Row],[Data]])</f>
        <v>30</v>
      </c>
      <c r="E851" s="29" t="str">
        <f>IF(DAY(Data!$C$21:$C$1327)&gt;0,TEXT(Data!$C$21:$C$1327, "mmmm"),"")</f>
        <v>settembre</v>
      </c>
      <c r="F851" s="29" t="str">
        <f>IF(DAY(Data!$C$21:$C$1327)&gt;0,TEXT(Data!$C$21:$C$1327, "aaaa"),"")</f>
        <v>2024</v>
      </c>
      <c r="I851" t="str">
        <f>IF(OR(H851=$B$5,H851=$B$6,H851=$B$7,H851=$B$8,H851=$B$9,H851=$B$10,H851=$B$11,H851=$B$12,H851=$B$13,H851=$B$14),SottocategorieUscite[[#Headers],[Fuori Casa]],IF(OR(H851=$C$5,H851=$C$6,H851=$C$7,H851=$C$8,H851=$C$9,H851=$C$10,H851=$C$11,H851=$C$12,H851=$C$13,H851=$C$14),SottocategorieUscite[[#Headers],[Varie Uscite]],IF(OR(H851=$D$5,H851=$D$6,H851=$D$7,H851=$D$8,H851=$D$9,H851=$D$10,H851=$D$11,H851=$D$12,H851=$D$13,H851=$D$14),SottocategorieUscite[[#Headers],[Personali]],IF(OR(H851=$E$5,H851=$E$6,H851=$E$7,H851=$E$8,H851=$E$9,H851=$E$10,H851=$E$11,H851=$E$12,H851=$E$13,H851=$E$14),SottocategorieUscite[[#Headers],[Lavoro]],IF(OR(H851=$F$5,H851=$F$6,H851=$F$7,H851=$F$8,H851=$F$9,H851=$F$10,H851=$F$11,H851=$F$12,H851=$F$13,H851=$F$14),SottocategorieUscite[[#Headers],[Casa]],IF(OR(H851=$G$5,H851=$G$6,H851=$G$7,H851=$G$8,H851=$G$9,H851=$G$10,H851=$G$11,H851=$G$12,H851=$G$13,H851=$G$14),SottocategorieUscite[[#Headers],[Utenze]],IF(OR(H851=$H$5,H851=$H$6,H851=$H$7,H851=$H$8,H851=$H$9,H851=$H$10,H851=$H$11,H851=$H$12,H851=$H$13,H851=$H$14),SottocategorieUscite[[#Headers],[Business Uscite]],IF(OR(H851=$I$5,H851=$I$6,H851=$I$7,H851=$I$8,H851=$I$9,H851=$I$10,H851=$I$11,H851=$I$12,H851=$I$13,H851=$I$14),SottocategorieUscite[[#Headers],[Banca]],IF(OR(H851=K$5,H851=K$6,H851=K$7,H851=K$8,H851=K$9,H851=K$10,H851=K$11,H851=K$12,H851=K$13,H851=K$14),SottocategorieEntrate[[#Headers],[Business Entrate]],IF(OR(H851=L$5,H851=L$6,H851=L$7,H851=L$8,H851=L$9,H851=L$10,H851=L$11,H851=L$12,H851=L$13,H851=L$14),SottocategorieEntrate[[#Headers],[Varie Entrate]],IF(OR(H851=M$5,H851=M$6,H851=M$7,H851=M$8,H851=M$9,H851=M$10,H851=M$11,H851=M$12,H851=M$13,H851=M$14),SottocategorieEntrate[[#Headers],[Real Estate]],IF(OR(H851=N$5,H851=N$6,H851=N$7,H851=N$8,H851=N$9,H851=N$10,H851=N$11,H851=N$12,H851=N$13,H851=N$14),SottocategorieEntrate[[#Headers],[Other]],""))))))))))))</f>
        <v/>
      </c>
      <c r="J851" t="str">
        <f>IF(OR(Dati[[#This Row],[Categoria]]="Bollette",Dati[[#This Row],[Categoria]]="Conto &amp; Carte BNL",Dati[[#This Row],[Categoria]]="Prelievo",Dati[[#This Row],[Categoria]]="Affitto",Dati[[#This Row],[Categoria]]="BNL(Interessi Creditori)"),"Carta",IF(Dati[[#This Row],[Categoria]]&lt;&gt;0,"Cash",""))</f>
        <v/>
      </c>
      <c r="K851" s="59" t="str">
        <f>IF(OR(Data!$I851=SottocategorieUscite[[#Headers],[Fuori Casa]],Data!$I851=SottocategorieUscite[[#Headers],[Varie Uscite]],Data!$I851=SottocategorieUscite[[#Headers],[Personali]],Data!$I851=SottocategorieUscite[[#Headers],[Lavoro]]),"$ -","")</f>
        <v/>
      </c>
      <c r="L851" s="59" t="str">
        <f>IF(OR(Data!$I851=SottocategorieUscite[[#Headers],[Casa]],Data!$I851=SottocategorieUscite[[#Headers],[Utenze]],Data!$I851=SottocategorieUscite[[#Headers],[Business Uscite]],Data!$I851=SottocategorieUscite[[#Headers],[Banca]]),"$ -","")</f>
        <v/>
      </c>
      <c r="M851" s="59" t="str">
        <f>IF(OR($I851&lt;&gt;SottocategorieUscite[[#Headers],[Fuori Casa]],$I851&lt;&gt;SottocategorieUscite[[#Headers],[Varie Uscite]],$I851&lt;&gt;SottocategorieUscite[[#Headers],[Personali]],$I851&lt;&gt;SottocategorieUscite[[#Headers],[Lavoro]],$I851&lt;&gt;SottocategorieUscite[[#Headers],[Casa]],$I851&lt;&gt;SottocategorieUscite[[#Headers],[Utenze]],$I851&lt;&gt;SottocategorieUscite[[#Headers],[Business Uscite]],$I851&lt;&gt;SottocategorieUscite[[#Headers],[Banca]]),"","$ -")</f>
        <v/>
      </c>
      <c r="N851" s="59" t="str">
        <f>IF(OR(Data!$I851=SottocategorieEntrate[[#Headers],[Business Entrate]],Data!$I851=SottocategorieEntrate[[#Headers],[Varie Entrate]]),"$ -","")</f>
        <v/>
      </c>
      <c r="O851" s="59" t="str">
        <f>IF(OR(Data!$I851=SottocategorieEntrate[[#Headers],[Real Estate]],SottocategorieEntrate[[#Headers],[Other]]),"$ -","")</f>
        <v/>
      </c>
      <c r="P851" s="59" t="str">
        <f>IF(OR($I851&lt;&gt;SottocategorieEntrate[[#Headers],[Business Entrate]],$I851&lt;&gt;SottocategorieEntrate[[#Headers],[Varie Entrate]],$I851&lt;&gt;SottocategorieEntrate[[#Headers],[Real Estate]],$I851&lt;&gt;SottocategorieEntrate[[#Headers],[Other]]),"","$ -")</f>
        <v/>
      </c>
      <c r="Q851" s="59" t="str">
        <f>IF(Dati[[#This Row],[Categoria]]="Prelievo","€ -","")</f>
        <v/>
      </c>
      <c r="R851" s="244"/>
      <c r="S851" s="59" t="str">
        <f>IF(Dati[[#This Row],[Categoria]]="Savings",0,"")</f>
        <v/>
      </c>
      <c r="T851" s="59"/>
      <c r="U851" s="59"/>
      <c r="V851" s="59"/>
      <c r="W851" s="59"/>
      <c r="X851" s="59"/>
      <c r="Y851" s="59"/>
      <c r="Z851" s="59"/>
      <c r="AA851" s="59"/>
      <c r="AB851" s="59"/>
      <c r="AC851" s="59"/>
      <c r="AD851" s="59"/>
      <c r="AE851" s="59"/>
      <c r="AF851" s="59"/>
      <c r="AG851" s="59"/>
      <c r="AH851" s="59"/>
      <c r="AI851" s="59" t="str">
        <f>IF(SUM(Dati[[#This Row],[Inv. Business]:[Inv. Cryptocurrency]])=0," ",SUM(Dati[[#This Row],[Inv. Business]:[Inv. Cryptocurrency]]))</f>
        <v xml:space="preserve"> </v>
      </c>
      <c r="AJ851" s="59"/>
      <c r="AK851" s="59"/>
      <c r="AL851" s="59"/>
      <c r="AM851" s="59"/>
    </row>
    <row r="852" spans="2:39" x14ac:dyDescent="0.35">
      <c r="B852" s="237">
        <f>ROW(816:816)</f>
        <v>816</v>
      </c>
      <c r="C852" s="49">
        <f>C848+1</f>
        <v>45565</v>
      </c>
      <c r="D852" s="29">
        <f>DAY(Dati[[#This Row],[Data]])</f>
        <v>30</v>
      </c>
      <c r="E852" s="29" t="str">
        <f>IF(DAY(Data!$C$21:$C$1327)&gt;0,TEXT(Data!$C$21:$C$1327, "mmmm"),"")</f>
        <v>settembre</v>
      </c>
      <c r="F852" s="29" t="str">
        <f>IF(DAY(Data!$C$21:$C$1327)&gt;0,TEXT(Data!$C$21:$C$1327, "aaaa"),"")</f>
        <v>2024</v>
      </c>
      <c r="I852" t="str">
        <f>IF(OR(H852=$B$5,H852=$B$6,H852=$B$7,H852=$B$8,H852=$B$9,H852=$B$10,H852=$B$11,H852=$B$12,H852=$B$13,H852=$B$14),SottocategorieUscite[[#Headers],[Fuori Casa]],IF(OR(H852=$C$5,H852=$C$6,H852=$C$7,H852=$C$8,H852=$C$9,H852=$C$10,H852=$C$11,H852=$C$12,H852=$C$13,H852=$C$14),SottocategorieUscite[[#Headers],[Varie Uscite]],IF(OR(H852=$D$5,H852=$D$6,H852=$D$7,H852=$D$8,H852=$D$9,H852=$D$10,H852=$D$11,H852=$D$12,H852=$D$13,H852=$D$14),SottocategorieUscite[[#Headers],[Personali]],IF(OR(H852=$E$5,H852=$E$6,H852=$E$7,H852=$E$8,H852=$E$9,H852=$E$10,H852=$E$11,H852=$E$12,H852=$E$13,H852=$E$14),SottocategorieUscite[[#Headers],[Lavoro]],IF(OR(H852=$F$5,H852=$F$6,H852=$F$7,H852=$F$8,H852=$F$9,H852=$F$10,H852=$F$11,H852=$F$12,H852=$F$13,H852=$F$14),SottocategorieUscite[[#Headers],[Casa]],IF(OR(H852=$G$5,H852=$G$6,H852=$G$7,H852=$G$8,H852=$G$9,H852=$G$10,H852=$G$11,H852=$G$12,H852=$G$13,H852=$G$14),SottocategorieUscite[[#Headers],[Utenze]],IF(OR(H852=$H$5,H852=$H$6,H852=$H$7,H852=$H$8,H852=$H$9,H852=$H$10,H852=$H$11,H852=$H$12,H852=$H$13,H852=$H$14),SottocategorieUscite[[#Headers],[Business Uscite]],IF(OR(H852=$I$5,H852=$I$6,H852=$I$7,H852=$I$8,H852=$I$9,H852=$I$10,H852=$I$11,H852=$I$12,H852=$I$13,H852=$I$14),SottocategorieUscite[[#Headers],[Banca]],IF(OR(H852=K$5,H852=K$6,H852=K$7,H852=K$8,H852=K$9,H852=K$10,H852=K$11,H852=K$12,H852=K$13,H852=K$14),SottocategorieEntrate[[#Headers],[Business Entrate]],IF(OR(H852=L$5,H852=L$6,H852=L$7,H852=L$8,H852=L$9,H852=L$10,H852=L$11,H852=L$12,H852=L$13,H852=L$14),SottocategorieEntrate[[#Headers],[Varie Entrate]],IF(OR(H852=M$5,H852=M$6,H852=M$7,H852=M$8,H852=M$9,H852=M$10,H852=M$11,H852=M$12,H852=M$13,H852=M$14),SottocategorieEntrate[[#Headers],[Real Estate]],IF(OR(H852=N$5,H852=N$6,H852=N$7,H852=N$8,H852=N$9,H852=N$10,H852=N$11,H852=N$12,H852=N$13,H852=N$14),SottocategorieEntrate[[#Headers],[Other]],""))))))))))))</f>
        <v/>
      </c>
      <c r="J852" t="str">
        <f>IF(OR(Dati[[#This Row],[Categoria]]="Bollette",Dati[[#This Row],[Categoria]]="Conto &amp; Carte BNL",Dati[[#This Row],[Categoria]]="Prelievo",Dati[[#This Row],[Categoria]]="Affitto",Dati[[#This Row],[Categoria]]="BNL(Interessi Creditori)"),"Carta",IF(Dati[[#This Row],[Categoria]]&lt;&gt;0,"Cash",""))</f>
        <v/>
      </c>
      <c r="K852" s="59" t="str">
        <f>IF(OR(Data!$I852=SottocategorieUscite[[#Headers],[Fuori Casa]],Data!$I852=SottocategorieUscite[[#Headers],[Varie Uscite]],Data!$I852=SottocategorieUscite[[#Headers],[Personali]],Data!$I852=SottocategorieUscite[[#Headers],[Lavoro]]),"$ -","")</f>
        <v/>
      </c>
      <c r="L852" s="59" t="str">
        <f>IF(OR(Data!$I852=SottocategorieUscite[[#Headers],[Casa]],Data!$I852=SottocategorieUscite[[#Headers],[Utenze]],Data!$I852=SottocategorieUscite[[#Headers],[Business Uscite]],Data!$I852=SottocategorieUscite[[#Headers],[Banca]]),"$ -","")</f>
        <v/>
      </c>
      <c r="M852" s="59" t="str">
        <f>IF(OR($I852&lt;&gt;SottocategorieUscite[[#Headers],[Fuori Casa]],$I852&lt;&gt;SottocategorieUscite[[#Headers],[Varie Uscite]],$I852&lt;&gt;SottocategorieUscite[[#Headers],[Personali]],$I852&lt;&gt;SottocategorieUscite[[#Headers],[Lavoro]],$I852&lt;&gt;SottocategorieUscite[[#Headers],[Casa]],$I852&lt;&gt;SottocategorieUscite[[#Headers],[Utenze]],$I852&lt;&gt;SottocategorieUscite[[#Headers],[Business Uscite]],$I852&lt;&gt;SottocategorieUscite[[#Headers],[Banca]]),"","$ -")</f>
        <v/>
      </c>
      <c r="N852" s="59" t="str">
        <f>IF(OR(Data!$I852=SottocategorieEntrate[[#Headers],[Business Entrate]],Data!$I852=SottocategorieEntrate[[#Headers],[Varie Entrate]]),"$ -","")</f>
        <v/>
      </c>
      <c r="O852" s="59" t="str">
        <f>IF(OR(Data!$I852=SottocategorieEntrate[[#Headers],[Real Estate]],SottocategorieEntrate[[#Headers],[Other]]),"$ -","")</f>
        <v/>
      </c>
      <c r="P852" s="59" t="str">
        <f>IF(OR($I852&lt;&gt;SottocategorieEntrate[[#Headers],[Business Entrate]],$I852&lt;&gt;SottocategorieEntrate[[#Headers],[Varie Entrate]],$I852&lt;&gt;SottocategorieEntrate[[#Headers],[Real Estate]],$I852&lt;&gt;SottocategorieEntrate[[#Headers],[Other]]),"","$ -")</f>
        <v/>
      </c>
      <c r="Q852" s="59" t="str">
        <f>IF(Dati[[#This Row],[Categoria]]="Prelievo","€ -","")</f>
        <v/>
      </c>
      <c r="R852" s="244"/>
      <c r="S852" s="59" t="str">
        <f>IF(Dati[[#This Row],[Categoria]]="Savings",0,"")</f>
        <v/>
      </c>
      <c r="T852" s="59"/>
      <c r="U852" s="59"/>
      <c r="V852" s="59"/>
      <c r="W852" s="59"/>
      <c r="X852" s="59"/>
      <c r="Y852" s="59"/>
      <c r="Z852" s="59"/>
      <c r="AA852" s="59"/>
      <c r="AB852" s="59"/>
      <c r="AC852" s="59"/>
      <c r="AD852" s="59"/>
      <c r="AE852" s="59"/>
      <c r="AF852" s="59"/>
      <c r="AG852" s="59"/>
      <c r="AH852" s="59"/>
      <c r="AI852" s="59" t="str">
        <f>IF(SUM(Dati[[#This Row],[Inv. Business]:[Inv. Cryptocurrency]])=0," ",SUM(Dati[[#This Row],[Inv. Business]:[Inv. Cryptocurrency]]))</f>
        <v xml:space="preserve"> </v>
      </c>
      <c r="AJ852" s="59"/>
      <c r="AK852" s="59"/>
      <c r="AL852" s="59"/>
      <c r="AM852" s="59"/>
    </row>
    <row r="853" spans="2:39" x14ac:dyDescent="0.35">
      <c r="B853" s="237">
        <f>ROW(816:816)</f>
        <v>816</v>
      </c>
      <c r="C853" s="49">
        <f>C848+1</f>
        <v>45565</v>
      </c>
      <c r="D853" s="29">
        <f>DAY(Dati[[#This Row],[Data]])</f>
        <v>30</v>
      </c>
      <c r="E853" s="29" t="str">
        <f>IF(DAY(Data!$C$21:$C$1327)&gt;0,TEXT(Data!$C$21:$C$1327, "mmmm"),"")</f>
        <v>settembre</v>
      </c>
      <c r="F853" s="29" t="str">
        <f>IF(DAY(Data!$C$21:$C$1327)&gt;0,TEXT(Data!$C$21:$C$1327, "aaaa"),"")</f>
        <v>2024</v>
      </c>
      <c r="I853" t="str">
        <f>IF(OR(H853=$B$5,H853=$B$6,H853=$B$7,H853=$B$8,H853=$B$9,H853=$B$10,H853=$B$11,H853=$B$12,H853=$B$13,H853=$B$14),SottocategorieUscite[[#Headers],[Fuori Casa]],IF(OR(H853=$C$5,H853=$C$6,H853=$C$7,H853=$C$8,H853=$C$9,H853=$C$10,H853=$C$11,H853=$C$12,H853=$C$13,H853=$C$14),SottocategorieUscite[[#Headers],[Varie Uscite]],IF(OR(H853=$D$5,H853=$D$6,H853=$D$7,H853=$D$8,H853=$D$9,H853=$D$10,H853=$D$11,H853=$D$12,H853=$D$13,H853=$D$14),SottocategorieUscite[[#Headers],[Personali]],IF(OR(H853=$E$5,H853=$E$6,H853=$E$7,H853=$E$8,H853=$E$9,H853=$E$10,H853=$E$11,H853=$E$12,H853=$E$13,H853=$E$14),SottocategorieUscite[[#Headers],[Lavoro]],IF(OR(H853=$F$5,H853=$F$6,H853=$F$7,H853=$F$8,H853=$F$9,H853=$F$10,H853=$F$11,H853=$F$12,H853=$F$13,H853=$F$14),SottocategorieUscite[[#Headers],[Casa]],IF(OR(H853=$G$5,H853=$G$6,H853=$G$7,H853=$G$8,H853=$G$9,H853=$G$10,H853=$G$11,H853=$G$12,H853=$G$13,H853=$G$14),SottocategorieUscite[[#Headers],[Utenze]],IF(OR(H853=$H$5,H853=$H$6,H853=$H$7,H853=$H$8,H853=$H$9,H853=$H$10,H853=$H$11,H853=$H$12,H853=$H$13,H853=$H$14),SottocategorieUscite[[#Headers],[Business Uscite]],IF(OR(H853=$I$5,H853=$I$6,H853=$I$7,H853=$I$8,H853=$I$9,H853=$I$10,H853=$I$11,H853=$I$12,H853=$I$13,H853=$I$14),SottocategorieUscite[[#Headers],[Banca]],IF(OR(H853=K$5,H853=K$6,H853=K$7,H853=K$8,H853=K$9,H853=K$10,H853=K$11,H853=K$12,H853=K$13,H853=K$14),SottocategorieEntrate[[#Headers],[Business Entrate]],IF(OR(H853=L$5,H853=L$6,H853=L$7,H853=L$8,H853=L$9,H853=L$10,H853=L$11,H853=L$12,H853=L$13,H853=L$14),SottocategorieEntrate[[#Headers],[Varie Entrate]],IF(OR(H853=M$5,H853=M$6,H853=M$7,H853=M$8,H853=M$9,H853=M$10,H853=M$11,H853=M$12,H853=M$13,H853=M$14),SottocategorieEntrate[[#Headers],[Real Estate]],IF(OR(H853=N$5,H853=N$6,H853=N$7,H853=N$8,H853=N$9,H853=N$10,H853=N$11,H853=N$12,H853=N$13,H853=N$14),SottocategorieEntrate[[#Headers],[Other]],""))))))))))))</f>
        <v/>
      </c>
      <c r="J853" t="str">
        <f>IF(OR(Dati[[#This Row],[Categoria]]="Bollette",Dati[[#This Row],[Categoria]]="Conto &amp; Carte BNL",Dati[[#This Row],[Categoria]]="Prelievo",Dati[[#This Row],[Categoria]]="Affitto",Dati[[#This Row],[Categoria]]="BNL(Interessi Creditori)"),"Carta",IF(Dati[[#This Row],[Categoria]]&lt;&gt;0,"Cash",""))</f>
        <v/>
      </c>
      <c r="K853" s="59" t="str">
        <f>IF(OR(Data!$I853=SottocategorieUscite[[#Headers],[Fuori Casa]],Data!$I853=SottocategorieUscite[[#Headers],[Varie Uscite]],Data!$I853=SottocategorieUscite[[#Headers],[Personali]],Data!$I853=SottocategorieUscite[[#Headers],[Lavoro]]),"$ -","")</f>
        <v/>
      </c>
      <c r="L853" s="59" t="str">
        <f>IF(OR(Data!$I853=SottocategorieUscite[[#Headers],[Casa]],Data!$I853=SottocategorieUscite[[#Headers],[Utenze]],Data!$I853=SottocategorieUscite[[#Headers],[Business Uscite]],Data!$I853=SottocategorieUscite[[#Headers],[Banca]]),"$ -","")</f>
        <v/>
      </c>
      <c r="M853" s="59" t="str">
        <f>IF(OR($I853&lt;&gt;SottocategorieUscite[[#Headers],[Fuori Casa]],$I853&lt;&gt;SottocategorieUscite[[#Headers],[Varie Uscite]],$I853&lt;&gt;SottocategorieUscite[[#Headers],[Personali]],$I853&lt;&gt;SottocategorieUscite[[#Headers],[Lavoro]],$I853&lt;&gt;SottocategorieUscite[[#Headers],[Casa]],$I853&lt;&gt;SottocategorieUscite[[#Headers],[Utenze]],$I853&lt;&gt;SottocategorieUscite[[#Headers],[Business Uscite]],$I853&lt;&gt;SottocategorieUscite[[#Headers],[Banca]]),"","$ -")</f>
        <v/>
      </c>
      <c r="N853" s="59" t="str">
        <f>IF(OR(Data!$I853=SottocategorieEntrate[[#Headers],[Business Entrate]],Data!$I853=SottocategorieEntrate[[#Headers],[Varie Entrate]]),"$ -","")</f>
        <v/>
      </c>
      <c r="O853" s="59" t="str">
        <f>IF(OR(Data!$I853=SottocategorieEntrate[[#Headers],[Real Estate]],SottocategorieEntrate[[#Headers],[Other]]),"$ -","")</f>
        <v/>
      </c>
      <c r="P853" s="59" t="str">
        <f>IF(OR($I853&lt;&gt;SottocategorieEntrate[[#Headers],[Business Entrate]],$I853&lt;&gt;SottocategorieEntrate[[#Headers],[Varie Entrate]],$I853&lt;&gt;SottocategorieEntrate[[#Headers],[Real Estate]],$I853&lt;&gt;SottocategorieEntrate[[#Headers],[Other]]),"","$ -")</f>
        <v/>
      </c>
      <c r="Q853" s="59" t="str">
        <f>IF(Dati[[#This Row],[Categoria]]="Prelievo","€ -","")</f>
        <v/>
      </c>
      <c r="R853" s="244"/>
      <c r="S853" s="59" t="str">
        <f>IF(Dati[[#This Row],[Categoria]]="Savings",0,"")</f>
        <v/>
      </c>
      <c r="T853" s="59"/>
      <c r="U853" s="59"/>
      <c r="V853" s="59"/>
      <c r="W853" s="59"/>
      <c r="X853" s="59"/>
      <c r="Y853" s="59"/>
      <c r="Z853" s="59"/>
      <c r="AA853" s="59"/>
      <c r="AB853" s="59"/>
      <c r="AC853" s="59"/>
      <c r="AD853" s="59"/>
      <c r="AE853" s="59"/>
      <c r="AF853" s="59"/>
      <c r="AG853" s="59"/>
      <c r="AH853" s="59"/>
      <c r="AI853" s="59" t="str">
        <f>IF(SUM(Dati[[#This Row],[Inv. Business]:[Inv. Cryptocurrency]])=0," ",SUM(Dati[[#This Row],[Inv. Business]:[Inv. Cryptocurrency]]))</f>
        <v xml:space="preserve"> </v>
      </c>
      <c r="AJ853" s="59"/>
      <c r="AK853" s="59"/>
      <c r="AL853" s="59"/>
      <c r="AM853" s="59"/>
    </row>
    <row r="854" spans="2:39" x14ac:dyDescent="0.35">
      <c r="B854" s="237">
        <f>ROW(817:817)</f>
        <v>817</v>
      </c>
      <c r="C854" s="49">
        <f>C849+1</f>
        <v>45566</v>
      </c>
      <c r="D854" s="29">
        <f>DAY(Dati[[#This Row],[Data]])</f>
        <v>1</v>
      </c>
      <c r="E854" s="29" t="str">
        <f>IF(DAY(Data!$C$21:$C$1327)&gt;0,TEXT(Data!$C$21:$C$1327, "mmmm"),"")</f>
        <v>ottobre</v>
      </c>
      <c r="F854" s="29" t="str">
        <f>IF(DAY(Data!$C$21:$C$1327)&gt;0,TEXT(Data!$C$21:$C$1327, "aaaa"),"")</f>
        <v>2024</v>
      </c>
      <c r="I854" t="str">
        <f>IF(OR(H854=$B$5,H854=$B$6,H854=$B$7,H854=$B$8,H854=$B$9,H854=$B$10,H854=$B$11,H854=$B$12,H854=$B$13,H854=$B$14),SottocategorieUscite[[#Headers],[Fuori Casa]],IF(OR(H854=$C$5,H854=$C$6,H854=$C$7,H854=$C$8,H854=$C$9,H854=$C$10,H854=$C$11,H854=$C$12,H854=$C$13,H854=$C$14),SottocategorieUscite[[#Headers],[Varie Uscite]],IF(OR(H854=$D$5,H854=$D$6,H854=$D$7,H854=$D$8,H854=$D$9,H854=$D$10,H854=$D$11,H854=$D$12,H854=$D$13,H854=$D$14),SottocategorieUscite[[#Headers],[Personali]],IF(OR(H854=$E$5,H854=$E$6,H854=$E$7,H854=$E$8,H854=$E$9,H854=$E$10,H854=$E$11,H854=$E$12,H854=$E$13,H854=$E$14),SottocategorieUscite[[#Headers],[Lavoro]],IF(OR(H854=$F$5,H854=$F$6,H854=$F$7,H854=$F$8,H854=$F$9,H854=$F$10,H854=$F$11,H854=$F$12,H854=$F$13,H854=$F$14),SottocategorieUscite[[#Headers],[Casa]],IF(OR(H854=$G$5,H854=$G$6,H854=$G$7,H854=$G$8,H854=$G$9,H854=$G$10,H854=$G$11,H854=$G$12,H854=$G$13,H854=$G$14),SottocategorieUscite[[#Headers],[Utenze]],IF(OR(H854=$H$5,H854=$H$6,H854=$H$7,H854=$H$8,H854=$H$9,H854=$H$10,H854=$H$11,H854=$H$12,H854=$H$13,H854=$H$14),SottocategorieUscite[[#Headers],[Business Uscite]],IF(OR(H854=$I$5,H854=$I$6,H854=$I$7,H854=$I$8,H854=$I$9,H854=$I$10,H854=$I$11,H854=$I$12,H854=$I$13,H854=$I$14),SottocategorieUscite[[#Headers],[Banca]],IF(OR(H854=K$5,H854=K$6,H854=K$7,H854=K$8,H854=K$9,H854=K$10,H854=K$11,H854=K$12,H854=K$13,H854=K$14),SottocategorieEntrate[[#Headers],[Business Entrate]],IF(OR(H854=L$5,H854=L$6,H854=L$7,H854=L$8,H854=L$9,H854=L$10,H854=L$11,H854=L$12,H854=L$13,H854=L$14),SottocategorieEntrate[[#Headers],[Varie Entrate]],IF(OR(H854=M$5,H854=M$6,H854=M$7,H854=M$8,H854=M$9,H854=M$10,H854=M$11,H854=M$12,H854=M$13,H854=M$14),SottocategorieEntrate[[#Headers],[Real Estate]],IF(OR(H854=N$5,H854=N$6,H854=N$7,H854=N$8,H854=N$9,H854=N$10,H854=N$11,H854=N$12,H854=N$13,H854=N$14),SottocategorieEntrate[[#Headers],[Other]],""))))))))))))</f>
        <v/>
      </c>
      <c r="J854" t="str">
        <f>IF(OR(Dati[[#This Row],[Categoria]]="Bollette",Dati[[#This Row],[Categoria]]="Conto &amp; Carte BNL",Dati[[#This Row],[Categoria]]="Prelievo",Dati[[#This Row],[Categoria]]="Affitto",Dati[[#This Row],[Categoria]]="BNL(Interessi Creditori)"),"Carta",IF(Dati[[#This Row],[Categoria]]&lt;&gt;0,"Cash",""))</f>
        <v/>
      </c>
      <c r="K854" s="59" t="str">
        <f>IF(OR(Data!$I854=SottocategorieUscite[[#Headers],[Fuori Casa]],Data!$I854=SottocategorieUscite[[#Headers],[Varie Uscite]],Data!$I854=SottocategorieUscite[[#Headers],[Personali]],Data!$I854=SottocategorieUscite[[#Headers],[Lavoro]]),"$ -","")</f>
        <v/>
      </c>
      <c r="L854" s="59" t="str">
        <f>IF(OR(Data!$I854=SottocategorieUscite[[#Headers],[Casa]],Data!$I854=SottocategorieUscite[[#Headers],[Utenze]],Data!$I854=SottocategorieUscite[[#Headers],[Business Uscite]],Data!$I854=SottocategorieUscite[[#Headers],[Banca]]),"$ -","")</f>
        <v/>
      </c>
      <c r="M854" s="59" t="str">
        <f>IF(OR($I854&lt;&gt;SottocategorieUscite[[#Headers],[Fuori Casa]],$I854&lt;&gt;SottocategorieUscite[[#Headers],[Varie Uscite]],$I854&lt;&gt;SottocategorieUscite[[#Headers],[Personali]],$I854&lt;&gt;SottocategorieUscite[[#Headers],[Lavoro]],$I854&lt;&gt;SottocategorieUscite[[#Headers],[Casa]],$I854&lt;&gt;SottocategorieUscite[[#Headers],[Utenze]],$I854&lt;&gt;SottocategorieUscite[[#Headers],[Business Uscite]],$I854&lt;&gt;SottocategorieUscite[[#Headers],[Banca]]),"","$ -")</f>
        <v/>
      </c>
      <c r="N854" s="59" t="str">
        <f>IF(OR(Data!$I854=SottocategorieEntrate[[#Headers],[Business Entrate]],Data!$I854=SottocategorieEntrate[[#Headers],[Varie Entrate]]),"$ -","")</f>
        <v/>
      </c>
      <c r="O854" s="59" t="str">
        <f>IF(OR(Data!$I854=SottocategorieEntrate[[#Headers],[Real Estate]],SottocategorieEntrate[[#Headers],[Other]]),"$ -","")</f>
        <v/>
      </c>
      <c r="P854" s="59" t="str">
        <f>IF(OR($I854&lt;&gt;SottocategorieEntrate[[#Headers],[Business Entrate]],$I854&lt;&gt;SottocategorieEntrate[[#Headers],[Varie Entrate]],$I854&lt;&gt;SottocategorieEntrate[[#Headers],[Real Estate]],$I854&lt;&gt;SottocategorieEntrate[[#Headers],[Other]]),"","$ -")</f>
        <v/>
      </c>
      <c r="Q854" s="59" t="str">
        <f>IF(Dati[[#This Row],[Categoria]]="Prelievo","€ -","")</f>
        <v/>
      </c>
      <c r="R854" s="244"/>
      <c r="S854" s="59" t="str">
        <f>IF(Dati[[#This Row],[Categoria]]="Savings",0,"")</f>
        <v/>
      </c>
      <c r="T854" s="59"/>
      <c r="U854" s="59"/>
      <c r="V854" s="59"/>
      <c r="W854" s="59"/>
      <c r="X854" s="59"/>
      <c r="Y854" s="59"/>
      <c r="Z854" s="59"/>
      <c r="AA854" s="59"/>
      <c r="AB854" s="59"/>
      <c r="AC854" s="59"/>
      <c r="AD854" s="59"/>
      <c r="AE854" s="59"/>
      <c r="AF854" s="59"/>
      <c r="AG854" s="59"/>
      <c r="AH854" s="59"/>
      <c r="AI854" s="59" t="str">
        <f>IF(SUM(Dati[[#This Row],[Inv. Business]:[Inv. Cryptocurrency]])=0," ",SUM(Dati[[#This Row],[Inv. Business]:[Inv. Cryptocurrency]]))</f>
        <v xml:space="preserve"> </v>
      </c>
      <c r="AJ854" s="59"/>
      <c r="AK854" s="59"/>
      <c r="AL854" s="59"/>
      <c r="AM854" s="59"/>
    </row>
    <row r="855" spans="2:39" x14ac:dyDescent="0.35">
      <c r="B855" s="237">
        <f>ROW(818:818)</f>
        <v>818</v>
      </c>
      <c r="C855" s="49">
        <f t="shared" ref="C855:C974" si="48">C854+1</f>
        <v>45567</v>
      </c>
      <c r="D855" s="29">
        <f>DAY(Dati[[#This Row],[Data]])</f>
        <v>2</v>
      </c>
      <c r="E855" s="29" t="str">
        <f>IF(DAY(Data!$C$21:$C$1327)&gt;0,TEXT(Data!$C$21:$C$1327, "mmmm"),"")</f>
        <v>ottobre</v>
      </c>
      <c r="F855" s="29" t="str">
        <f>IF(DAY(Data!$C$21:$C$1327)&gt;0,TEXT(Data!$C$21:$C$1327, "aaaa"),"")</f>
        <v>2024</v>
      </c>
      <c r="I855" t="str">
        <f>IF(OR(H855=$B$5,H855=$B$6,H855=$B$7,H855=$B$8,H855=$B$9,H855=$B$10,H855=$B$11,H855=$B$12,H855=$B$13,H855=$B$14),SottocategorieUscite[[#Headers],[Fuori Casa]],IF(OR(H855=$C$5,H855=$C$6,H855=$C$7,H855=$C$8,H855=$C$9,H855=$C$10,H855=$C$11,H855=$C$12,H855=$C$13,H855=$C$14),SottocategorieUscite[[#Headers],[Varie Uscite]],IF(OR(H855=$D$5,H855=$D$6,H855=$D$7,H855=$D$8,H855=$D$9,H855=$D$10,H855=$D$11,H855=$D$12,H855=$D$13,H855=$D$14),SottocategorieUscite[[#Headers],[Personali]],IF(OR(H855=$E$5,H855=$E$6,H855=$E$7,H855=$E$8,H855=$E$9,H855=$E$10,H855=$E$11,H855=$E$12,H855=$E$13,H855=$E$14),SottocategorieUscite[[#Headers],[Lavoro]],IF(OR(H855=$F$5,H855=$F$6,H855=$F$7,H855=$F$8,H855=$F$9,H855=$F$10,H855=$F$11,H855=$F$12,H855=$F$13,H855=$F$14),SottocategorieUscite[[#Headers],[Casa]],IF(OR(H855=$G$5,H855=$G$6,H855=$G$7,H855=$G$8,H855=$G$9,H855=$G$10,H855=$G$11,H855=$G$12,H855=$G$13,H855=$G$14),SottocategorieUscite[[#Headers],[Utenze]],IF(OR(H855=$H$5,H855=$H$6,H855=$H$7,H855=$H$8,H855=$H$9,H855=$H$10,H855=$H$11,H855=$H$12,H855=$H$13,H855=$H$14),SottocategorieUscite[[#Headers],[Business Uscite]],IF(OR(H855=$I$5,H855=$I$6,H855=$I$7,H855=$I$8,H855=$I$9,H855=$I$10,H855=$I$11,H855=$I$12,H855=$I$13,H855=$I$14),SottocategorieUscite[[#Headers],[Banca]],IF(OR(H855=K$5,H855=K$6,H855=K$7,H855=K$8,H855=K$9,H855=K$10,H855=K$11,H855=K$12,H855=K$13,H855=K$14),SottocategorieEntrate[[#Headers],[Business Entrate]],IF(OR(H855=L$5,H855=L$6,H855=L$7,H855=L$8,H855=L$9,H855=L$10,H855=L$11,H855=L$12,H855=L$13,H855=L$14),SottocategorieEntrate[[#Headers],[Varie Entrate]],IF(OR(H855=M$5,H855=M$6,H855=M$7,H855=M$8,H855=M$9,H855=M$10,H855=M$11,H855=M$12,H855=M$13,H855=M$14),SottocategorieEntrate[[#Headers],[Real Estate]],IF(OR(H855=N$5,H855=N$6,H855=N$7,H855=N$8,H855=N$9,H855=N$10,H855=N$11,H855=N$12,H855=N$13,H855=N$14),SottocategorieEntrate[[#Headers],[Other]],""))))))))))))</f>
        <v/>
      </c>
      <c r="J855" t="str">
        <f>IF(OR(Dati[[#This Row],[Categoria]]="Bollette",Dati[[#This Row],[Categoria]]="Conto &amp; Carte BNL",Dati[[#This Row],[Categoria]]="Prelievo",Dati[[#This Row],[Categoria]]="Affitto",Dati[[#This Row],[Categoria]]="BNL(Interessi Creditori)"),"Carta",IF(Dati[[#This Row],[Categoria]]&lt;&gt;0,"Cash",""))</f>
        <v/>
      </c>
      <c r="K855" s="59" t="str">
        <f>IF(OR(Data!$I855=SottocategorieUscite[[#Headers],[Fuori Casa]],Data!$I855=SottocategorieUscite[[#Headers],[Varie Uscite]],Data!$I855=SottocategorieUscite[[#Headers],[Personali]],Data!$I855=SottocategorieUscite[[#Headers],[Lavoro]]),"$ -","")</f>
        <v/>
      </c>
      <c r="L855" s="59" t="str">
        <f>IF(OR(Data!$I855=SottocategorieUscite[[#Headers],[Casa]],Data!$I855=SottocategorieUscite[[#Headers],[Utenze]],Data!$I855=SottocategorieUscite[[#Headers],[Business Uscite]],Data!$I855=SottocategorieUscite[[#Headers],[Banca]]),"$ -","")</f>
        <v/>
      </c>
      <c r="M855" s="59" t="str">
        <f>IF(OR($I855&lt;&gt;SottocategorieUscite[[#Headers],[Fuori Casa]],$I855&lt;&gt;SottocategorieUscite[[#Headers],[Varie Uscite]],$I855&lt;&gt;SottocategorieUscite[[#Headers],[Personali]],$I855&lt;&gt;SottocategorieUscite[[#Headers],[Lavoro]],$I855&lt;&gt;SottocategorieUscite[[#Headers],[Casa]],$I855&lt;&gt;SottocategorieUscite[[#Headers],[Utenze]],$I855&lt;&gt;SottocategorieUscite[[#Headers],[Business Uscite]],$I855&lt;&gt;SottocategorieUscite[[#Headers],[Banca]]),"","$ -")</f>
        <v/>
      </c>
      <c r="N855" s="59" t="str">
        <f>IF(OR(Data!$I855=SottocategorieEntrate[[#Headers],[Business Entrate]],Data!$I855=SottocategorieEntrate[[#Headers],[Varie Entrate]]),"$ -","")</f>
        <v/>
      </c>
      <c r="O855" s="59" t="str">
        <f>IF(OR(Data!$I855=SottocategorieEntrate[[#Headers],[Real Estate]],SottocategorieEntrate[[#Headers],[Other]]),"$ -","")</f>
        <v/>
      </c>
      <c r="P855" s="59" t="str">
        <f>IF(OR($I855&lt;&gt;SottocategorieEntrate[[#Headers],[Business Entrate]],$I855&lt;&gt;SottocategorieEntrate[[#Headers],[Varie Entrate]],$I855&lt;&gt;SottocategorieEntrate[[#Headers],[Real Estate]],$I855&lt;&gt;SottocategorieEntrate[[#Headers],[Other]]),"","$ -")</f>
        <v/>
      </c>
      <c r="Q855" s="59" t="str">
        <f>IF(Dati[[#This Row],[Categoria]]="Prelievo","€ -","")</f>
        <v/>
      </c>
      <c r="R855" s="244"/>
      <c r="S855" s="59" t="str">
        <f>IF(Dati[[#This Row],[Categoria]]="Savings",0,"")</f>
        <v/>
      </c>
      <c r="T855" s="59"/>
      <c r="U855" s="59"/>
      <c r="V855" s="59"/>
      <c r="W855" s="59"/>
      <c r="X855" s="59"/>
      <c r="Y855" s="59"/>
      <c r="Z855" s="59"/>
      <c r="AA855" s="59"/>
      <c r="AB855" s="59"/>
      <c r="AC855" s="59"/>
      <c r="AD855" s="59"/>
      <c r="AE855" s="59"/>
      <c r="AF855" s="59"/>
      <c r="AG855" s="59"/>
      <c r="AH855" s="59"/>
      <c r="AI855" s="59" t="str">
        <f>IF(SUM(Dati[[#This Row],[Inv. Business]:[Inv. Cryptocurrency]])=0," ",SUM(Dati[[#This Row],[Inv. Business]:[Inv. Cryptocurrency]]))</f>
        <v xml:space="preserve"> </v>
      </c>
      <c r="AJ855" s="59"/>
      <c r="AK855" s="59"/>
      <c r="AL855" s="59"/>
      <c r="AM855" s="59"/>
    </row>
    <row r="856" spans="2:39" x14ac:dyDescent="0.35">
      <c r="B856" s="237">
        <f>ROW(818:818)</f>
        <v>818</v>
      </c>
      <c r="C856" s="49">
        <f>C854+1</f>
        <v>45567</v>
      </c>
      <c r="D856" s="29">
        <f>DAY(Dati[[#This Row],[Data]])</f>
        <v>2</v>
      </c>
      <c r="E856" s="29" t="str">
        <f>IF(DAY(Data!$C$21:$C$1327)&gt;0,TEXT(Data!$C$21:$C$1327, "mmmm"),"")</f>
        <v>ottobre</v>
      </c>
      <c r="F856" s="29" t="str">
        <f>IF(DAY(Data!$C$21:$C$1327)&gt;0,TEXT(Data!$C$21:$C$1327, "aaaa"),"")</f>
        <v>2024</v>
      </c>
      <c r="I856" t="str">
        <f>IF(OR(H856=$B$5,H856=$B$6,H856=$B$7,H856=$B$8,H856=$B$9,H856=$B$10,H856=$B$11,H856=$B$12,H856=$B$13,H856=$B$14),SottocategorieUscite[[#Headers],[Fuori Casa]],IF(OR(H856=$C$5,H856=$C$6,H856=$C$7,H856=$C$8,H856=$C$9,H856=$C$10,H856=$C$11,H856=$C$12,H856=$C$13,H856=$C$14),SottocategorieUscite[[#Headers],[Varie Uscite]],IF(OR(H856=$D$5,H856=$D$6,H856=$D$7,H856=$D$8,H856=$D$9,H856=$D$10,H856=$D$11,H856=$D$12,H856=$D$13,H856=$D$14),SottocategorieUscite[[#Headers],[Personali]],IF(OR(H856=$E$5,H856=$E$6,H856=$E$7,H856=$E$8,H856=$E$9,H856=$E$10,H856=$E$11,H856=$E$12,H856=$E$13,H856=$E$14),SottocategorieUscite[[#Headers],[Lavoro]],IF(OR(H856=$F$5,H856=$F$6,H856=$F$7,H856=$F$8,H856=$F$9,H856=$F$10,H856=$F$11,H856=$F$12,H856=$F$13,H856=$F$14),SottocategorieUscite[[#Headers],[Casa]],IF(OR(H856=$G$5,H856=$G$6,H856=$G$7,H856=$G$8,H856=$G$9,H856=$G$10,H856=$G$11,H856=$G$12,H856=$G$13,H856=$G$14),SottocategorieUscite[[#Headers],[Utenze]],IF(OR(H856=$H$5,H856=$H$6,H856=$H$7,H856=$H$8,H856=$H$9,H856=$H$10,H856=$H$11,H856=$H$12,H856=$H$13,H856=$H$14),SottocategorieUscite[[#Headers],[Business Uscite]],IF(OR(H856=$I$5,H856=$I$6,H856=$I$7,H856=$I$8,H856=$I$9,H856=$I$10,H856=$I$11,H856=$I$12,H856=$I$13,H856=$I$14),SottocategorieUscite[[#Headers],[Banca]],IF(OR(H856=K$5,H856=K$6,H856=K$7,H856=K$8,H856=K$9,H856=K$10,H856=K$11,H856=K$12,H856=K$13,H856=K$14),SottocategorieEntrate[[#Headers],[Business Entrate]],IF(OR(H856=L$5,H856=L$6,H856=L$7,H856=L$8,H856=L$9,H856=L$10,H856=L$11,H856=L$12,H856=L$13,H856=L$14),SottocategorieEntrate[[#Headers],[Varie Entrate]],IF(OR(H856=M$5,H856=M$6,H856=M$7,H856=M$8,H856=M$9,H856=M$10,H856=M$11,H856=M$12,H856=M$13,H856=M$14),SottocategorieEntrate[[#Headers],[Real Estate]],IF(OR(H856=N$5,H856=N$6,H856=N$7,H856=N$8,H856=N$9,H856=N$10,H856=N$11,H856=N$12,H856=N$13,H856=N$14),SottocategorieEntrate[[#Headers],[Other]],""))))))))))))</f>
        <v/>
      </c>
      <c r="J856" t="str">
        <f>IF(OR(Dati[[#This Row],[Categoria]]="Bollette",Dati[[#This Row],[Categoria]]="Conto &amp; Carte BNL",Dati[[#This Row],[Categoria]]="Prelievo",Dati[[#This Row],[Categoria]]="Affitto",Dati[[#This Row],[Categoria]]="BNL(Interessi Creditori)"),"Carta",IF(Dati[[#This Row],[Categoria]]&lt;&gt;0,"Cash",""))</f>
        <v/>
      </c>
      <c r="K856" s="59" t="str">
        <f>IF(OR(Data!$I856=SottocategorieUscite[[#Headers],[Fuori Casa]],Data!$I856=SottocategorieUscite[[#Headers],[Varie Uscite]],Data!$I856=SottocategorieUscite[[#Headers],[Personali]],Data!$I856=SottocategorieUscite[[#Headers],[Lavoro]]),"$ -","")</f>
        <v/>
      </c>
      <c r="L856" s="59" t="str">
        <f>IF(OR(Data!$I856=SottocategorieUscite[[#Headers],[Casa]],Data!$I856=SottocategorieUscite[[#Headers],[Utenze]],Data!$I856=SottocategorieUscite[[#Headers],[Business Uscite]],Data!$I856=SottocategorieUscite[[#Headers],[Banca]]),"$ -","")</f>
        <v/>
      </c>
      <c r="M856" s="59" t="str">
        <f>IF(OR($I856&lt;&gt;SottocategorieUscite[[#Headers],[Fuori Casa]],$I856&lt;&gt;SottocategorieUscite[[#Headers],[Varie Uscite]],$I856&lt;&gt;SottocategorieUscite[[#Headers],[Personali]],$I856&lt;&gt;SottocategorieUscite[[#Headers],[Lavoro]],$I856&lt;&gt;SottocategorieUscite[[#Headers],[Casa]],$I856&lt;&gt;SottocategorieUscite[[#Headers],[Utenze]],$I856&lt;&gt;SottocategorieUscite[[#Headers],[Business Uscite]],$I856&lt;&gt;SottocategorieUscite[[#Headers],[Banca]]),"","$ -")</f>
        <v/>
      </c>
      <c r="N856" s="59" t="str">
        <f>IF(OR(Data!$I856=SottocategorieEntrate[[#Headers],[Business Entrate]],Data!$I856=SottocategorieEntrate[[#Headers],[Varie Entrate]]),"$ -","")</f>
        <v/>
      </c>
      <c r="O856" s="59" t="str">
        <f>IF(OR(Data!$I856=SottocategorieEntrate[[#Headers],[Real Estate]],SottocategorieEntrate[[#Headers],[Other]]),"$ -","")</f>
        <v/>
      </c>
      <c r="P856" s="59" t="str">
        <f>IF(OR($I856&lt;&gt;SottocategorieEntrate[[#Headers],[Business Entrate]],$I856&lt;&gt;SottocategorieEntrate[[#Headers],[Varie Entrate]],$I856&lt;&gt;SottocategorieEntrate[[#Headers],[Real Estate]],$I856&lt;&gt;SottocategorieEntrate[[#Headers],[Other]]),"","$ -")</f>
        <v/>
      </c>
      <c r="Q856" s="59" t="str">
        <f>IF(Dati[[#This Row],[Categoria]]="Prelievo","€ -","")</f>
        <v/>
      </c>
      <c r="R856" s="244"/>
      <c r="S856" s="59" t="str">
        <f>IF(Dati[[#This Row],[Categoria]]="Savings",0,"")</f>
        <v/>
      </c>
      <c r="T856" s="59"/>
      <c r="U856" s="59"/>
      <c r="V856" s="59"/>
      <c r="W856" s="59"/>
      <c r="X856" s="59"/>
      <c r="Y856" s="59"/>
      <c r="Z856" s="59"/>
      <c r="AA856" s="59"/>
      <c r="AB856" s="59"/>
      <c r="AC856" s="59"/>
      <c r="AD856" s="59"/>
      <c r="AE856" s="59"/>
      <c r="AF856" s="59"/>
      <c r="AG856" s="59"/>
      <c r="AH856" s="59"/>
      <c r="AI856" s="59" t="str">
        <f>IF(SUM(Dati[[#This Row],[Inv. Business]:[Inv. Cryptocurrency]])=0," ",SUM(Dati[[#This Row],[Inv. Business]:[Inv. Cryptocurrency]]))</f>
        <v xml:space="preserve"> </v>
      </c>
      <c r="AJ856" s="59"/>
      <c r="AK856" s="59"/>
      <c r="AL856" s="59"/>
      <c r="AM856" s="59"/>
    </row>
    <row r="857" spans="2:39" x14ac:dyDescent="0.35">
      <c r="B857" s="237">
        <f>ROW(818:818)</f>
        <v>818</v>
      </c>
      <c r="C857" s="49">
        <f>C854+1</f>
        <v>45567</v>
      </c>
      <c r="D857" s="29">
        <f>DAY(Dati[[#This Row],[Data]])</f>
        <v>2</v>
      </c>
      <c r="E857" s="29" t="str">
        <f>IF(DAY(Data!$C$21:$C$1327)&gt;0,TEXT(Data!$C$21:$C$1327, "mmmm"),"")</f>
        <v>ottobre</v>
      </c>
      <c r="F857" s="29" t="str">
        <f>IF(DAY(Data!$C$21:$C$1327)&gt;0,TEXT(Data!$C$21:$C$1327, "aaaa"),"")</f>
        <v>2024</v>
      </c>
      <c r="I857" t="str">
        <f>IF(OR(H857=$B$5,H857=$B$6,H857=$B$7,H857=$B$8,H857=$B$9,H857=$B$10,H857=$B$11,H857=$B$12,H857=$B$13,H857=$B$14),SottocategorieUscite[[#Headers],[Fuori Casa]],IF(OR(H857=$C$5,H857=$C$6,H857=$C$7,H857=$C$8,H857=$C$9,H857=$C$10,H857=$C$11,H857=$C$12,H857=$C$13,H857=$C$14),SottocategorieUscite[[#Headers],[Varie Uscite]],IF(OR(H857=$D$5,H857=$D$6,H857=$D$7,H857=$D$8,H857=$D$9,H857=$D$10,H857=$D$11,H857=$D$12,H857=$D$13,H857=$D$14),SottocategorieUscite[[#Headers],[Personali]],IF(OR(H857=$E$5,H857=$E$6,H857=$E$7,H857=$E$8,H857=$E$9,H857=$E$10,H857=$E$11,H857=$E$12,H857=$E$13,H857=$E$14),SottocategorieUscite[[#Headers],[Lavoro]],IF(OR(H857=$F$5,H857=$F$6,H857=$F$7,H857=$F$8,H857=$F$9,H857=$F$10,H857=$F$11,H857=$F$12,H857=$F$13,H857=$F$14),SottocategorieUscite[[#Headers],[Casa]],IF(OR(H857=$G$5,H857=$G$6,H857=$G$7,H857=$G$8,H857=$G$9,H857=$G$10,H857=$G$11,H857=$G$12,H857=$G$13,H857=$G$14),SottocategorieUscite[[#Headers],[Utenze]],IF(OR(H857=$H$5,H857=$H$6,H857=$H$7,H857=$H$8,H857=$H$9,H857=$H$10,H857=$H$11,H857=$H$12,H857=$H$13,H857=$H$14),SottocategorieUscite[[#Headers],[Business Uscite]],IF(OR(H857=$I$5,H857=$I$6,H857=$I$7,H857=$I$8,H857=$I$9,H857=$I$10,H857=$I$11,H857=$I$12,H857=$I$13,H857=$I$14),SottocategorieUscite[[#Headers],[Banca]],IF(OR(H857=K$5,H857=K$6,H857=K$7,H857=K$8,H857=K$9,H857=K$10,H857=K$11,H857=K$12,H857=K$13,H857=K$14),SottocategorieEntrate[[#Headers],[Business Entrate]],IF(OR(H857=L$5,H857=L$6,H857=L$7,H857=L$8,H857=L$9,H857=L$10,H857=L$11,H857=L$12,H857=L$13,H857=L$14),SottocategorieEntrate[[#Headers],[Varie Entrate]],IF(OR(H857=M$5,H857=M$6,H857=M$7,H857=M$8,H857=M$9,H857=M$10,H857=M$11,H857=M$12,H857=M$13,H857=M$14),SottocategorieEntrate[[#Headers],[Real Estate]],IF(OR(H857=N$5,H857=N$6,H857=N$7,H857=N$8,H857=N$9,H857=N$10,H857=N$11,H857=N$12,H857=N$13,H857=N$14),SottocategorieEntrate[[#Headers],[Other]],""))))))))))))</f>
        <v/>
      </c>
      <c r="J857" t="str">
        <f>IF(OR(Dati[[#This Row],[Categoria]]="Bollette",Dati[[#This Row],[Categoria]]="Conto &amp; Carte BNL",Dati[[#This Row],[Categoria]]="Prelievo",Dati[[#This Row],[Categoria]]="Affitto",Dati[[#This Row],[Categoria]]="BNL(Interessi Creditori)"),"Carta",IF(Dati[[#This Row],[Categoria]]&lt;&gt;0,"Cash",""))</f>
        <v/>
      </c>
      <c r="K857" s="59" t="str">
        <f>IF(OR(Data!$I857=SottocategorieUscite[[#Headers],[Fuori Casa]],Data!$I857=SottocategorieUscite[[#Headers],[Varie Uscite]],Data!$I857=SottocategorieUscite[[#Headers],[Personali]],Data!$I857=SottocategorieUscite[[#Headers],[Lavoro]]),"$ -","")</f>
        <v/>
      </c>
      <c r="L857" s="59" t="str">
        <f>IF(OR(Data!$I857=SottocategorieUscite[[#Headers],[Casa]],Data!$I857=SottocategorieUscite[[#Headers],[Utenze]],Data!$I857=SottocategorieUscite[[#Headers],[Business Uscite]],Data!$I857=SottocategorieUscite[[#Headers],[Banca]]),"$ -","")</f>
        <v/>
      </c>
      <c r="M857" s="59" t="str">
        <f>IF(OR($I857&lt;&gt;SottocategorieUscite[[#Headers],[Fuori Casa]],$I857&lt;&gt;SottocategorieUscite[[#Headers],[Varie Uscite]],$I857&lt;&gt;SottocategorieUscite[[#Headers],[Personali]],$I857&lt;&gt;SottocategorieUscite[[#Headers],[Lavoro]],$I857&lt;&gt;SottocategorieUscite[[#Headers],[Casa]],$I857&lt;&gt;SottocategorieUscite[[#Headers],[Utenze]],$I857&lt;&gt;SottocategorieUscite[[#Headers],[Business Uscite]],$I857&lt;&gt;SottocategorieUscite[[#Headers],[Banca]]),"","$ -")</f>
        <v/>
      </c>
      <c r="N857" s="59" t="str">
        <f>IF(OR(Data!$I857=SottocategorieEntrate[[#Headers],[Business Entrate]],Data!$I857=SottocategorieEntrate[[#Headers],[Varie Entrate]]),"$ -","")</f>
        <v/>
      </c>
      <c r="O857" s="59" t="str">
        <f>IF(OR(Data!$I857=SottocategorieEntrate[[#Headers],[Real Estate]],SottocategorieEntrate[[#Headers],[Other]]),"$ -","")</f>
        <v/>
      </c>
      <c r="P857" s="59" t="str">
        <f>IF(OR($I857&lt;&gt;SottocategorieEntrate[[#Headers],[Business Entrate]],$I857&lt;&gt;SottocategorieEntrate[[#Headers],[Varie Entrate]],$I857&lt;&gt;SottocategorieEntrate[[#Headers],[Real Estate]],$I857&lt;&gt;SottocategorieEntrate[[#Headers],[Other]]),"","$ -")</f>
        <v/>
      </c>
      <c r="Q857" s="59" t="str">
        <f>IF(Dati[[#This Row],[Categoria]]="Prelievo","€ -","")</f>
        <v/>
      </c>
      <c r="R857" s="244"/>
      <c r="S857" s="59" t="str">
        <f>IF(Dati[[#This Row],[Categoria]]="Savings",0,"")</f>
        <v/>
      </c>
      <c r="T857" s="59"/>
      <c r="U857" s="59"/>
      <c r="V857" s="59"/>
      <c r="W857" s="59"/>
      <c r="X857" s="59"/>
      <c r="Y857" s="59"/>
      <c r="Z857" s="59"/>
      <c r="AA857" s="59"/>
      <c r="AB857" s="59"/>
      <c r="AC857" s="59"/>
      <c r="AD857" s="59"/>
      <c r="AE857" s="59"/>
      <c r="AF857" s="59"/>
      <c r="AG857" s="59"/>
      <c r="AH857" s="59"/>
      <c r="AI857" s="59" t="str">
        <f>IF(SUM(Dati[[#This Row],[Inv. Business]:[Inv. Cryptocurrency]])=0," ",SUM(Dati[[#This Row],[Inv. Business]:[Inv. Cryptocurrency]]))</f>
        <v xml:space="preserve"> </v>
      </c>
      <c r="AJ857" s="59"/>
      <c r="AK857" s="59"/>
      <c r="AL857" s="59"/>
      <c r="AM857" s="59"/>
    </row>
    <row r="858" spans="2:39" x14ac:dyDescent="0.35">
      <c r="B858" s="237">
        <f>ROW(819:819)</f>
        <v>819</v>
      </c>
      <c r="C858" s="49">
        <f>C855+1</f>
        <v>45568</v>
      </c>
      <c r="D858" s="29">
        <f>DAY(Dati[[#This Row],[Data]])</f>
        <v>3</v>
      </c>
      <c r="E858" s="29" t="str">
        <f>IF(DAY(Data!$C$21:$C$1327)&gt;0,TEXT(Data!$C$21:$C$1327, "mmmm"),"")</f>
        <v>ottobre</v>
      </c>
      <c r="F858" s="29" t="str">
        <f>IF(DAY(Data!$C$21:$C$1327)&gt;0,TEXT(Data!$C$21:$C$1327, "aaaa"),"")</f>
        <v>2024</v>
      </c>
      <c r="I858" t="str">
        <f>IF(OR(H858=$B$5,H858=$B$6,H858=$B$7,H858=$B$8,H858=$B$9,H858=$B$10,H858=$B$11,H858=$B$12,H858=$B$13,H858=$B$14),SottocategorieUscite[[#Headers],[Fuori Casa]],IF(OR(H858=$C$5,H858=$C$6,H858=$C$7,H858=$C$8,H858=$C$9,H858=$C$10,H858=$C$11,H858=$C$12,H858=$C$13,H858=$C$14),SottocategorieUscite[[#Headers],[Varie Uscite]],IF(OR(H858=$D$5,H858=$D$6,H858=$D$7,H858=$D$8,H858=$D$9,H858=$D$10,H858=$D$11,H858=$D$12,H858=$D$13,H858=$D$14),SottocategorieUscite[[#Headers],[Personali]],IF(OR(H858=$E$5,H858=$E$6,H858=$E$7,H858=$E$8,H858=$E$9,H858=$E$10,H858=$E$11,H858=$E$12,H858=$E$13,H858=$E$14),SottocategorieUscite[[#Headers],[Lavoro]],IF(OR(H858=$F$5,H858=$F$6,H858=$F$7,H858=$F$8,H858=$F$9,H858=$F$10,H858=$F$11,H858=$F$12,H858=$F$13,H858=$F$14),SottocategorieUscite[[#Headers],[Casa]],IF(OR(H858=$G$5,H858=$G$6,H858=$G$7,H858=$G$8,H858=$G$9,H858=$G$10,H858=$G$11,H858=$G$12,H858=$G$13,H858=$G$14),SottocategorieUscite[[#Headers],[Utenze]],IF(OR(H858=$H$5,H858=$H$6,H858=$H$7,H858=$H$8,H858=$H$9,H858=$H$10,H858=$H$11,H858=$H$12,H858=$H$13,H858=$H$14),SottocategorieUscite[[#Headers],[Business Uscite]],IF(OR(H858=$I$5,H858=$I$6,H858=$I$7,H858=$I$8,H858=$I$9,H858=$I$10,H858=$I$11,H858=$I$12,H858=$I$13,H858=$I$14),SottocategorieUscite[[#Headers],[Banca]],IF(OR(H858=K$5,H858=K$6,H858=K$7,H858=K$8,H858=K$9,H858=K$10,H858=K$11,H858=K$12,H858=K$13,H858=K$14),SottocategorieEntrate[[#Headers],[Business Entrate]],IF(OR(H858=L$5,H858=L$6,H858=L$7,H858=L$8,H858=L$9,H858=L$10,H858=L$11,H858=L$12,H858=L$13,H858=L$14),SottocategorieEntrate[[#Headers],[Varie Entrate]],IF(OR(H858=M$5,H858=M$6,H858=M$7,H858=M$8,H858=M$9,H858=M$10,H858=M$11,H858=M$12,H858=M$13,H858=M$14),SottocategorieEntrate[[#Headers],[Real Estate]],IF(OR(H858=N$5,H858=N$6,H858=N$7,H858=N$8,H858=N$9,H858=N$10,H858=N$11,H858=N$12,H858=N$13,H858=N$14),SottocategorieEntrate[[#Headers],[Other]],""))))))))))))</f>
        <v/>
      </c>
      <c r="J858" t="str">
        <f>IF(OR(Dati[[#This Row],[Categoria]]="Bollette",Dati[[#This Row],[Categoria]]="Conto &amp; Carte BNL",Dati[[#This Row],[Categoria]]="Prelievo",Dati[[#This Row],[Categoria]]="Affitto",Dati[[#This Row],[Categoria]]="BNL(Interessi Creditori)"),"Carta",IF(Dati[[#This Row],[Categoria]]&lt;&gt;0,"Cash",""))</f>
        <v/>
      </c>
      <c r="K858" s="59" t="str">
        <f>IF(OR(Data!$I858=SottocategorieUscite[[#Headers],[Fuori Casa]],Data!$I858=SottocategorieUscite[[#Headers],[Varie Uscite]],Data!$I858=SottocategorieUscite[[#Headers],[Personali]],Data!$I858=SottocategorieUscite[[#Headers],[Lavoro]]),"$ -","")</f>
        <v/>
      </c>
      <c r="L858" s="59" t="str">
        <f>IF(OR(Data!$I858=SottocategorieUscite[[#Headers],[Casa]],Data!$I858=SottocategorieUscite[[#Headers],[Utenze]],Data!$I858=SottocategorieUscite[[#Headers],[Business Uscite]],Data!$I858=SottocategorieUscite[[#Headers],[Banca]]),"$ -","")</f>
        <v/>
      </c>
      <c r="M858" s="59" t="str">
        <f>IF(OR($I858&lt;&gt;SottocategorieUscite[[#Headers],[Fuori Casa]],$I858&lt;&gt;SottocategorieUscite[[#Headers],[Varie Uscite]],$I858&lt;&gt;SottocategorieUscite[[#Headers],[Personali]],$I858&lt;&gt;SottocategorieUscite[[#Headers],[Lavoro]],$I858&lt;&gt;SottocategorieUscite[[#Headers],[Casa]],$I858&lt;&gt;SottocategorieUscite[[#Headers],[Utenze]],$I858&lt;&gt;SottocategorieUscite[[#Headers],[Business Uscite]],$I858&lt;&gt;SottocategorieUscite[[#Headers],[Banca]]),"","$ -")</f>
        <v/>
      </c>
      <c r="N858" s="59" t="str">
        <f>IF(OR(Data!$I858=SottocategorieEntrate[[#Headers],[Business Entrate]],Data!$I858=SottocategorieEntrate[[#Headers],[Varie Entrate]]),"$ -","")</f>
        <v/>
      </c>
      <c r="O858" s="59" t="str">
        <f>IF(OR(Data!$I858=SottocategorieEntrate[[#Headers],[Real Estate]],SottocategorieEntrate[[#Headers],[Other]]),"$ -","")</f>
        <v/>
      </c>
      <c r="P858" s="59" t="str">
        <f>IF(OR($I858&lt;&gt;SottocategorieEntrate[[#Headers],[Business Entrate]],$I858&lt;&gt;SottocategorieEntrate[[#Headers],[Varie Entrate]],$I858&lt;&gt;SottocategorieEntrate[[#Headers],[Real Estate]],$I858&lt;&gt;SottocategorieEntrate[[#Headers],[Other]]),"","$ -")</f>
        <v/>
      </c>
      <c r="Q858" s="59" t="str">
        <f>IF(Dati[[#This Row],[Categoria]]="Prelievo","€ -","")</f>
        <v/>
      </c>
      <c r="R858" s="244"/>
      <c r="S858" s="59" t="str">
        <f>IF(Dati[[#This Row],[Categoria]]="Savings",0,"")</f>
        <v/>
      </c>
      <c r="T858" s="59"/>
      <c r="U858" s="59"/>
      <c r="V858" s="59"/>
      <c r="W858" s="59"/>
      <c r="X858" s="59"/>
      <c r="Y858" s="59"/>
      <c r="Z858" s="59"/>
      <c r="AA858" s="59"/>
      <c r="AB858" s="59"/>
      <c r="AC858" s="59"/>
      <c r="AD858" s="59"/>
      <c r="AE858" s="59"/>
      <c r="AF858" s="59"/>
      <c r="AG858" s="59"/>
      <c r="AH858" s="59"/>
      <c r="AI858" s="59" t="str">
        <f>IF(SUM(Dati[[#This Row],[Inv. Business]:[Inv. Cryptocurrency]])=0," ",SUM(Dati[[#This Row],[Inv. Business]:[Inv. Cryptocurrency]]))</f>
        <v xml:space="preserve"> </v>
      </c>
      <c r="AJ858" s="59"/>
      <c r="AK858" s="59"/>
      <c r="AL858" s="59"/>
      <c r="AM858" s="59"/>
    </row>
    <row r="859" spans="2:39" x14ac:dyDescent="0.35">
      <c r="B859" s="237">
        <f>ROW(820:820)</f>
        <v>820</v>
      </c>
      <c r="C859" s="49">
        <f t="shared" si="48"/>
        <v>45569</v>
      </c>
      <c r="D859" s="29">
        <f>DAY(Dati[[#This Row],[Data]])</f>
        <v>4</v>
      </c>
      <c r="E859" s="29" t="str">
        <f>IF(DAY(Data!$C$21:$C$1327)&gt;0,TEXT(Data!$C$21:$C$1327, "mmmm"),"")</f>
        <v>ottobre</v>
      </c>
      <c r="F859" s="29" t="str">
        <f>IF(DAY(Data!$C$21:$C$1327)&gt;0,TEXT(Data!$C$21:$C$1327, "aaaa"),"")</f>
        <v>2024</v>
      </c>
      <c r="I859" t="str">
        <f>IF(OR(H859=$B$5,H859=$B$6,H859=$B$7,H859=$B$8,H859=$B$9,H859=$B$10,H859=$B$11,H859=$B$12,H859=$B$13,H859=$B$14),SottocategorieUscite[[#Headers],[Fuori Casa]],IF(OR(H859=$C$5,H859=$C$6,H859=$C$7,H859=$C$8,H859=$C$9,H859=$C$10,H859=$C$11,H859=$C$12,H859=$C$13,H859=$C$14),SottocategorieUscite[[#Headers],[Varie Uscite]],IF(OR(H859=$D$5,H859=$D$6,H859=$D$7,H859=$D$8,H859=$D$9,H859=$D$10,H859=$D$11,H859=$D$12,H859=$D$13,H859=$D$14),SottocategorieUscite[[#Headers],[Personali]],IF(OR(H859=$E$5,H859=$E$6,H859=$E$7,H859=$E$8,H859=$E$9,H859=$E$10,H859=$E$11,H859=$E$12,H859=$E$13,H859=$E$14),SottocategorieUscite[[#Headers],[Lavoro]],IF(OR(H859=$F$5,H859=$F$6,H859=$F$7,H859=$F$8,H859=$F$9,H859=$F$10,H859=$F$11,H859=$F$12,H859=$F$13,H859=$F$14),SottocategorieUscite[[#Headers],[Casa]],IF(OR(H859=$G$5,H859=$G$6,H859=$G$7,H859=$G$8,H859=$G$9,H859=$G$10,H859=$G$11,H859=$G$12,H859=$G$13,H859=$G$14),SottocategorieUscite[[#Headers],[Utenze]],IF(OR(H859=$H$5,H859=$H$6,H859=$H$7,H859=$H$8,H859=$H$9,H859=$H$10,H859=$H$11,H859=$H$12,H859=$H$13,H859=$H$14),SottocategorieUscite[[#Headers],[Business Uscite]],IF(OR(H859=$I$5,H859=$I$6,H859=$I$7,H859=$I$8,H859=$I$9,H859=$I$10,H859=$I$11,H859=$I$12,H859=$I$13,H859=$I$14),SottocategorieUscite[[#Headers],[Banca]],IF(OR(H859=K$5,H859=K$6,H859=K$7,H859=K$8,H859=K$9,H859=K$10,H859=K$11,H859=K$12,H859=K$13,H859=K$14),SottocategorieEntrate[[#Headers],[Business Entrate]],IF(OR(H859=L$5,H859=L$6,H859=L$7,H859=L$8,H859=L$9,H859=L$10,H859=L$11,H859=L$12,H859=L$13,H859=L$14),SottocategorieEntrate[[#Headers],[Varie Entrate]],IF(OR(H859=M$5,H859=M$6,H859=M$7,H859=M$8,H859=M$9,H859=M$10,H859=M$11,H859=M$12,H859=M$13,H859=M$14),SottocategorieEntrate[[#Headers],[Real Estate]],IF(OR(H859=N$5,H859=N$6,H859=N$7,H859=N$8,H859=N$9,H859=N$10,H859=N$11,H859=N$12,H859=N$13,H859=N$14),SottocategorieEntrate[[#Headers],[Other]],""))))))))))))</f>
        <v/>
      </c>
      <c r="J859" t="str">
        <f>IF(OR(Dati[[#This Row],[Categoria]]="Bollette",Dati[[#This Row],[Categoria]]="Conto &amp; Carte BNL",Dati[[#This Row],[Categoria]]="Prelievo",Dati[[#This Row],[Categoria]]="Affitto",Dati[[#This Row],[Categoria]]="BNL(Interessi Creditori)"),"Carta",IF(Dati[[#This Row],[Categoria]]&lt;&gt;0,"Cash",""))</f>
        <v/>
      </c>
      <c r="K859" s="59" t="str">
        <f>IF(OR(Data!$I859=SottocategorieUscite[[#Headers],[Fuori Casa]],Data!$I859=SottocategorieUscite[[#Headers],[Varie Uscite]],Data!$I859=SottocategorieUscite[[#Headers],[Personali]],Data!$I859=SottocategorieUscite[[#Headers],[Lavoro]]),"$ -","")</f>
        <v/>
      </c>
      <c r="L859" s="59" t="str">
        <f>IF(OR(Data!$I859=SottocategorieUscite[[#Headers],[Casa]],Data!$I859=SottocategorieUscite[[#Headers],[Utenze]],Data!$I859=SottocategorieUscite[[#Headers],[Business Uscite]],Data!$I859=SottocategorieUscite[[#Headers],[Banca]]),"$ -","")</f>
        <v/>
      </c>
      <c r="M859" s="59" t="str">
        <f>IF(OR($I859&lt;&gt;SottocategorieUscite[[#Headers],[Fuori Casa]],$I859&lt;&gt;SottocategorieUscite[[#Headers],[Varie Uscite]],$I859&lt;&gt;SottocategorieUscite[[#Headers],[Personali]],$I859&lt;&gt;SottocategorieUscite[[#Headers],[Lavoro]],$I859&lt;&gt;SottocategorieUscite[[#Headers],[Casa]],$I859&lt;&gt;SottocategorieUscite[[#Headers],[Utenze]],$I859&lt;&gt;SottocategorieUscite[[#Headers],[Business Uscite]],$I859&lt;&gt;SottocategorieUscite[[#Headers],[Banca]]),"","$ -")</f>
        <v/>
      </c>
      <c r="N859" s="59" t="str">
        <f>IF(OR(Data!$I859=SottocategorieEntrate[[#Headers],[Business Entrate]],Data!$I859=SottocategorieEntrate[[#Headers],[Varie Entrate]]),"$ -","")</f>
        <v/>
      </c>
      <c r="O859" s="59" t="str">
        <f>IF(OR(Data!$I859=SottocategorieEntrate[[#Headers],[Real Estate]],SottocategorieEntrate[[#Headers],[Other]]),"$ -","")</f>
        <v/>
      </c>
      <c r="P859" s="59" t="str">
        <f>IF(OR($I859&lt;&gt;SottocategorieEntrate[[#Headers],[Business Entrate]],$I859&lt;&gt;SottocategorieEntrate[[#Headers],[Varie Entrate]],$I859&lt;&gt;SottocategorieEntrate[[#Headers],[Real Estate]],$I859&lt;&gt;SottocategorieEntrate[[#Headers],[Other]]),"","$ -")</f>
        <v/>
      </c>
      <c r="Q859" s="59" t="str">
        <f>IF(Dati[[#This Row],[Categoria]]="Prelievo","€ -","")</f>
        <v/>
      </c>
      <c r="R859" s="244"/>
      <c r="S859" s="59" t="str">
        <f>IF(Dati[[#This Row],[Categoria]]="Savings",0,"")</f>
        <v/>
      </c>
      <c r="T859" s="59"/>
      <c r="U859" s="59"/>
      <c r="V859" s="59"/>
      <c r="W859" s="59"/>
      <c r="X859" s="59"/>
      <c r="Y859" s="59"/>
      <c r="Z859" s="59"/>
      <c r="AA859" s="59"/>
      <c r="AB859" s="59"/>
      <c r="AC859" s="59"/>
      <c r="AD859" s="59"/>
      <c r="AE859" s="59"/>
      <c r="AF859" s="59"/>
      <c r="AG859" s="59"/>
      <c r="AH859" s="59"/>
      <c r="AI859" s="59" t="str">
        <f>IF(SUM(Dati[[#This Row],[Inv. Business]:[Inv. Cryptocurrency]])=0," ",SUM(Dati[[#This Row],[Inv. Business]:[Inv. Cryptocurrency]]))</f>
        <v xml:space="preserve"> </v>
      </c>
      <c r="AJ859" s="59"/>
      <c r="AK859" s="59"/>
      <c r="AL859" s="59"/>
      <c r="AM859" s="59"/>
    </row>
    <row r="860" spans="2:39" x14ac:dyDescent="0.35">
      <c r="B860" s="237">
        <f>ROW(820:820)</f>
        <v>820</v>
      </c>
      <c r="C860" s="49">
        <f>C858+1</f>
        <v>45569</v>
      </c>
      <c r="D860" s="29">
        <f>DAY(Dati[[#This Row],[Data]])</f>
        <v>4</v>
      </c>
      <c r="E860" s="29" t="str">
        <f>IF(DAY(Data!$C$21:$C$1327)&gt;0,TEXT(Data!$C$21:$C$1327, "mmmm"),"")</f>
        <v>ottobre</v>
      </c>
      <c r="F860" s="29" t="str">
        <f>IF(DAY(Data!$C$21:$C$1327)&gt;0,TEXT(Data!$C$21:$C$1327, "aaaa"),"")</f>
        <v>2024</v>
      </c>
      <c r="I860" t="str">
        <f>IF(OR(H860=$B$5,H860=$B$6,H860=$B$7,H860=$B$8,H860=$B$9,H860=$B$10,H860=$B$11,H860=$B$12,H860=$B$13,H860=$B$14),SottocategorieUscite[[#Headers],[Fuori Casa]],IF(OR(H860=$C$5,H860=$C$6,H860=$C$7,H860=$C$8,H860=$C$9,H860=$C$10,H860=$C$11,H860=$C$12,H860=$C$13,H860=$C$14),SottocategorieUscite[[#Headers],[Varie Uscite]],IF(OR(H860=$D$5,H860=$D$6,H860=$D$7,H860=$D$8,H860=$D$9,H860=$D$10,H860=$D$11,H860=$D$12,H860=$D$13,H860=$D$14),SottocategorieUscite[[#Headers],[Personali]],IF(OR(H860=$E$5,H860=$E$6,H860=$E$7,H860=$E$8,H860=$E$9,H860=$E$10,H860=$E$11,H860=$E$12,H860=$E$13,H860=$E$14),SottocategorieUscite[[#Headers],[Lavoro]],IF(OR(H860=$F$5,H860=$F$6,H860=$F$7,H860=$F$8,H860=$F$9,H860=$F$10,H860=$F$11,H860=$F$12,H860=$F$13,H860=$F$14),SottocategorieUscite[[#Headers],[Casa]],IF(OR(H860=$G$5,H860=$G$6,H860=$G$7,H860=$G$8,H860=$G$9,H860=$G$10,H860=$G$11,H860=$G$12,H860=$G$13,H860=$G$14),SottocategorieUscite[[#Headers],[Utenze]],IF(OR(H860=$H$5,H860=$H$6,H860=$H$7,H860=$H$8,H860=$H$9,H860=$H$10,H860=$H$11,H860=$H$12,H860=$H$13,H860=$H$14),SottocategorieUscite[[#Headers],[Business Uscite]],IF(OR(H860=$I$5,H860=$I$6,H860=$I$7,H860=$I$8,H860=$I$9,H860=$I$10,H860=$I$11,H860=$I$12,H860=$I$13,H860=$I$14),SottocategorieUscite[[#Headers],[Banca]],IF(OR(H860=K$5,H860=K$6,H860=K$7,H860=K$8,H860=K$9,H860=K$10,H860=K$11,H860=K$12,H860=K$13,H860=K$14),SottocategorieEntrate[[#Headers],[Business Entrate]],IF(OR(H860=L$5,H860=L$6,H860=L$7,H860=L$8,H860=L$9,H860=L$10,H860=L$11,H860=L$12,H860=L$13,H860=L$14),SottocategorieEntrate[[#Headers],[Varie Entrate]],IF(OR(H860=M$5,H860=M$6,H860=M$7,H860=M$8,H860=M$9,H860=M$10,H860=M$11,H860=M$12,H860=M$13,H860=M$14),SottocategorieEntrate[[#Headers],[Real Estate]],IF(OR(H860=N$5,H860=N$6,H860=N$7,H860=N$8,H860=N$9,H860=N$10,H860=N$11,H860=N$12,H860=N$13,H860=N$14),SottocategorieEntrate[[#Headers],[Other]],""))))))))))))</f>
        <v/>
      </c>
      <c r="J860" t="str">
        <f>IF(OR(Dati[[#This Row],[Categoria]]="Bollette",Dati[[#This Row],[Categoria]]="Conto &amp; Carte BNL",Dati[[#This Row],[Categoria]]="Prelievo",Dati[[#This Row],[Categoria]]="Affitto",Dati[[#This Row],[Categoria]]="BNL(Interessi Creditori)"),"Carta",IF(Dati[[#This Row],[Categoria]]&lt;&gt;0,"Cash",""))</f>
        <v/>
      </c>
      <c r="K860" s="59" t="str">
        <f>IF(OR(Data!$I860=SottocategorieUscite[[#Headers],[Fuori Casa]],Data!$I860=SottocategorieUscite[[#Headers],[Varie Uscite]],Data!$I860=SottocategorieUscite[[#Headers],[Personali]],Data!$I860=SottocategorieUscite[[#Headers],[Lavoro]]),"$ -","")</f>
        <v/>
      </c>
      <c r="L860" s="59" t="str">
        <f>IF(OR(Data!$I860=SottocategorieUscite[[#Headers],[Casa]],Data!$I860=SottocategorieUscite[[#Headers],[Utenze]],Data!$I860=SottocategorieUscite[[#Headers],[Business Uscite]],Data!$I860=SottocategorieUscite[[#Headers],[Banca]]),"$ -","")</f>
        <v/>
      </c>
      <c r="M860" s="59" t="str">
        <f>IF(OR($I860&lt;&gt;SottocategorieUscite[[#Headers],[Fuori Casa]],$I860&lt;&gt;SottocategorieUscite[[#Headers],[Varie Uscite]],$I860&lt;&gt;SottocategorieUscite[[#Headers],[Personali]],$I860&lt;&gt;SottocategorieUscite[[#Headers],[Lavoro]],$I860&lt;&gt;SottocategorieUscite[[#Headers],[Casa]],$I860&lt;&gt;SottocategorieUscite[[#Headers],[Utenze]],$I860&lt;&gt;SottocategorieUscite[[#Headers],[Business Uscite]],$I860&lt;&gt;SottocategorieUscite[[#Headers],[Banca]]),"","$ -")</f>
        <v/>
      </c>
      <c r="N860" s="59" t="str">
        <f>IF(OR(Data!$I860=SottocategorieEntrate[[#Headers],[Business Entrate]],Data!$I860=SottocategorieEntrate[[#Headers],[Varie Entrate]]),"$ -","")</f>
        <v/>
      </c>
      <c r="O860" s="59" t="str">
        <f>IF(OR(Data!$I860=SottocategorieEntrate[[#Headers],[Real Estate]],SottocategorieEntrate[[#Headers],[Other]]),"$ -","")</f>
        <v/>
      </c>
      <c r="P860" s="59" t="str">
        <f>IF(OR($I860&lt;&gt;SottocategorieEntrate[[#Headers],[Business Entrate]],$I860&lt;&gt;SottocategorieEntrate[[#Headers],[Varie Entrate]],$I860&lt;&gt;SottocategorieEntrate[[#Headers],[Real Estate]],$I860&lt;&gt;SottocategorieEntrate[[#Headers],[Other]]),"","$ -")</f>
        <v/>
      </c>
      <c r="Q860" s="59" t="str">
        <f>IF(Dati[[#This Row],[Categoria]]="Prelievo","€ -","")</f>
        <v/>
      </c>
      <c r="R860" s="244"/>
      <c r="S860" s="59" t="str">
        <f>IF(Dati[[#This Row],[Categoria]]="Savings",0,"")</f>
        <v/>
      </c>
      <c r="T860" s="59"/>
      <c r="U860" s="59"/>
      <c r="V860" s="59"/>
      <c r="W860" s="59"/>
      <c r="X860" s="59"/>
      <c r="Y860" s="59"/>
      <c r="Z860" s="59"/>
      <c r="AA860" s="59"/>
      <c r="AB860" s="59"/>
      <c r="AC860" s="59"/>
      <c r="AD860" s="59"/>
      <c r="AE860" s="59"/>
      <c r="AF860" s="59"/>
      <c r="AG860" s="59"/>
      <c r="AH860" s="59"/>
      <c r="AI860" s="59" t="str">
        <f>IF(SUM(Dati[[#This Row],[Inv. Business]:[Inv. Cryptocurrency]])=0," ",SUM(Dati[[#This Row],[Inv. Business]:[Inv. Cryptocurrency]]))</f>
        <v xml:space="preserve"> </v>
      </c>
      <c r="AJ860" s="59"/>
      <c r="AK860" s="59"/>
      <c r="AL860" s="59"/>
      <c r="AM860" s="59"/>
    </row>
    <row r="861" spans="2:39" x14ac:dyDescent="0.35">
      <c r="B861" s="237">
        <f>ROW(821:821)</f>
        <v>821</v>
      </c>
      <c r="C861" s="49">
        <f>C859+1</f>
        <v>45570</v>
      </c>
      <c r="D861" s="29">
        <f>DAY(Dati[[#This Row],[Data]])</f>
        <v>5</v>
      </c>
      <c r="E861" s="29" t="str">
        <f>IF(DAY(Data!$C$21:$C$1327)&gt;0,TEXT(Data!$C$21:$C$1327, "mmmm"),"")</f>
        <v>ottobre</v>
      </c>
      <c r="F861" s="29" t="str">
        <f>IF(DAY(Data!$C$21:$C$1327)&gt;0,TEXT(Data!$C$21:$C$1327, "aaaa"),"")</f>
        <v>2024</v>
      </c>
      <c r="I861" t="str">
        <f>IF(OR(H861=$B$5,H861=$B$6,H861=$B$7,H861=$B$8,H861=$B$9,H861=$B$10,H861=$B$11,H861=$B$12,H861=$B$13,H861=$B$14),SottocategorieUscite[[#Headers],[Fuori Casa]],IF(OR(H861=$C$5,H861=$C$6,H861=$C$7,H861=$C$8,H861=$C$9,H861=$C$10,H861=$C$11,H861=$C$12,H861=$C$13,H861=$C$14),SottocategorieUscite[[#Headers],[Varie Uscite]],IF(OR(H861=$D$5,H861=$D$6,H861=$D$7,H861=$D$8,H861=$D$9,H861=$D$10,H861=$D$11,H861=$D$12,H861=$D$13,H861=$D$14),SottocategorieUscite[[#Headers],[Personali]],IF(OR(H861=$E$5,H861=$E$6,H861=$E$7,H861=$E$8,H861=$E$9,H861=$E$10,H861=$E$11,H861=$E$12,H861=$E$13,H861=$E$14),SottocategorieUscite[[#Headers],[Lavoro]],IF(OR(H861=$F$5,H861=$F$6,H861=$F$7,H861=$F$8,H861=$F$9,H861=$F$10,H861=$F$11,H861=$F$12,H861=$F$13,H861=$F$14),SottocategorieUscite[[#Headers],[Casa]],IF(OR(H861=$G$5,H861=$G$6,H861=$G$7,H861=$G$8,H861=$G$9,H861=$G$10,H861=$G$11,H861=$G$12,H861=$G$13,H861=$G$14),SottocategorieUscite[[#Headers],[Utenze]],IF(OR(H861=$H$5,H861=$H$6,H861=$H$7,H861=$H$8,H861=$H$9,H861=$H$10,H861=$H$11,H861=$H$12,H861=$H$13,H861=$H$14),SottocategorieUscite[[#Headers],[Business Uscite]],IF(OR(H861=$I$5,H861=$I$6,H861=$I$7,H861=$I$8,H861=$I$9,H861=$I$10,H861=$I$11,H861=$I$12,H861=$I$13,H861=$I$14),SottocategorieUscite[[#Headers],[Banca]],IF(OR(H861=K$5,H861=K$6,H861=K$7,H861=K$8,H861=K$9,H861=K$10,H861=K$11,H861=K$12,H861=K$13,H861=K$14),SottocategorieEntrate[[#Headers],[Business Entrate]],IF(OR(H861=L$5,H861=L$6,H861=L$7,H861=L$8,H861=L$9,H861=L$10,H861=L$11,H861=L$12,H861=L$13,H861=L$14),SottocategorieEntrate[[#Headers],[Varie Entrate]],IF(OR(H861=M$5,H861=M$6,H861=M$7,H861=M$8,H861=M$9,H861=M$10,H861=M$11,H861=M$12,H861=M$13,H861=M$14),SottocategorieEntrate[[#Headers],[Real Estate]],IF(OR(H861=N$5,H861=N$6,H861=N$7,H861=N$8,H861=N$9,H861=N$10,H861=N$11,H861=N$12,H861=N$13,H861=N$14),SottocategorieEntrate[[#Headers],[Other]],""))))))))))))</f>
        <v/>
      </c>
      <c r="J861" t="str">
        <f>IF(OR(Dati[[#This Row],[Categoria]]="Bollette",Dati[[#This Row],[Categoria]]="Conto &amp; Carte BNL",Dati[[#This Row],[Categoria]]="Prelievo",Dati[[#This Row],[Categoria]]="Affitto",Dati[[#This Row],[Categoria]]="BNL(Interessi Creditori)"),"Carta",IF(Dati[[#This Row],[Categoria]]&lt;&gt;0,"Cash",""))</f>
        <v/>
      </c>
      <c r="K861" s="59" t="str">
        <f>IF(OR(Data!$I861=SottocategorieUscite[[#Headers],[Fuori Casa]],Data!$I861=SottocategorieUscite[[#Headers],[Varie Uscite]],Data!$I861=SottocategorieUscite[[#Headers],[Personali]],Data!$I861=SottocategorieUscite[[#Headers],[Lavoro]]),"$ -","")</f>
        <v/>
      </c>
      <c r="L861" s="59" t="str">
        <f>IF(OR(Data!$I861=SottocategorieUscite[[#Headers],[Casa]],Data!$I861=SottocategorieUscite[[#Headers],[Utenze]],Data!$I861=SottocategorieUscite[[#Headers],[Business Uscite]],Data!$I861=SottocategorieUscite[[#Headers],[Banca]]),"$ -","")</f>
        <v/>
      </c>
      <c r="M861" s="59" t="str">
        <f>IF(OR($I861&lt;&gt;SottocategorieUscite[[#Headers],[Fuori Casa]],$I861&lt;&gt;SottocategorieUscite[[#Headers],[Varie Uscite]],$I861&lt;&gt;SottocategorieUscite[[#Headers],[Personali]],$I861&lt;&gt;SottocategorieUscite[[#Headers],[Lavoro]],$I861&lt;&gt;SottocategorieUscite[[#Headers],[Casa]],$I861&lt;&gt;SottocategorieUscite[[#Headers],[Utenze]],$I861&lt;&gt;SottocategorieUscite[[#Headers],[Business Uscite]],$I861&lt;&gt;SottocategorieUscite[[#Headers],[Banca]]),"","$ -")</f>
        <v/>
      </c>
      <c r="N861" s="59" t="str">
        <f>IF(OR(Data!$I861=SottocategorieEntrate[[#Headers],[Business Entrate]],Data!$I861=SottocategorieEntrate[[#Headers],[Varie Entrate]]),"$ -","")</f>
        <v/>
      </c>
      <c r="O861" s="59" t="str">
        <f>IF(OR(Data!$I861=SottocategorieEntrate[[#Headers],[Real Estate]],SottocategorieEntrate[[#Headers],[Other]]),"$ -","")</f>
        <v/>
      </c>
      <c r="P861" s="59" t="str">
        <f>IF(OR($I861&lt;&gt;SottocategorieEntrate[[#Headers],[Business Entrate]],$I861&lt;&gt;SottocategorieEntrate[[#Headers],[Varie Entrate]],$I861&lt;&gt;SottocategorieEntrate[[#Headers],[Real Estate]],$I861&lt;&gt;SottocategorieEntrate[[#Headers],[Other]]),"","$ -")</f>
        <v/>
      </c>
      <c r="Q861" s="59" t="str">
        <f>IF(Dati[[#This Row],[Categoria]]="Prelievo","€ -","")</f>
        <v/>
      </c>
      <c r="R861" s="244"/>
      <c r="S861" s="59" t="str">
        <f>IF(Dati[[#This Row],[Categoria]]="Savings",0,"")</f>
        <v/>
      </c>
      <c r="T861" s="59"/>
      <c r="U861" s="59"/>
      <c r="V861" s="59"/>
      <c r="W861" s="59"/>
      <c r="X861" s="59"/>
      <c r="Y861" s="59"/>
      <c r="Z861" s="59"/>
      <c r="AA861" s="59"/>
      <c r="AB861" s="59"/>
      <c r="AC861" s="59"/>
      <c r="AD861" s="59"/>
      <c r="AE861" s="59"/>
      <c r="AF861" s="59"/>
      <c r="AG861" s="59"/>
      <c r="AH861" s="59"/>
      <c r="AI861" s="59" t="str">
        <f>IF(SUM(Dati[[#This Row],[Inv. Business]:[Inv. Cryptocurrency]])=0," ",SUM(Dati[[#This Row],[Inv. Business]:[Inv. Cryptocurrency]]))</f>
        <v xml:space="preserve"> </v>
      </c>
      <c r="AJ861" s="59"/>
      <c r="AK861" s="59"/>
      <c r="AL861" s="59"/>
      <c r="AM861" s="59"/>
    </row>
    <row r="862" spans="2:39" x14ac:dyDescent="0.35">
      <c r="B862" s="237">
        <f>ROW(822:822)</f>
        <v>822</v>
      </c>
      <c r="C862" s="49">
        <f t="shared" si="48"/>
        <v>45571</v>
      </c>
      <c r="D862" s="29">
        <f>DAY(Dati[[#This Row],[Data]])</f>
        <v>6</v>
      </c>
      <c r="E862" s="29" t="str">
        <f>IF(DAY(Data!$C$21:$C$1327)&gt;0,TEXT(Data!$C$21:$C$1327, "mmmm"),"")</f>
        <v>ottobre</v>
      </c>
      <c r="F862" s="29" t="str">
        <f>IF(DAY(Data!$C$21:$C$1327)&gt;0,TEXT(Data!$C$21:$C$1327, "aaaa"),"")</f>
        <v>2024</v>
      </c>
      <c r="I862" t="str">
        <f>IF(OR(H862=$B$5,H862=$B$6,H862=$B$7,H862=$B$8,H862=$B$9,H862=$B$10,H862=$B$11,H862=$B$12,H862=$B$13,H862=$B$14),SottocategorieUscite[[#Headers],[Fuori Casa]],IF(OR(H862=$C$5,H862=$C$6,H862=$C$7,H862=$C$8,H862=$C$9,H862=$C$10,H862=$C$11,H862=$C$12,H862=$C$13,H862=$C$14),SottocategorieUscite[[#Headers],[Varie Uscite]],IF(OR(H862=$D$5,H862=$D$6,H862=$D$7,H862=$D$8,H862=$D$9,H862=$D$10,H862=$D$11,H862=$D$12,H862=$D$13,H862=$D$14),SottocategorieUscite[[#Headers],[Personali]],IF(OR(H862=$E$5,H862=$E$6,H862=$E$7,H862=$E$8,H862=$E$9,H862=$E$10,H862=$E$11,H862=$E$12,H862=$E$13,H862=$E$14),SottocategorieUscite[[#Headers],[Lavoro]],IF(OR(H862=$F$5,H862=$F$6,H862=$F$7,H862=$F$8,H862=$F$9,H862=$F$10,H862=$F$11,H862=$F$12,H862=$F$13,H862=$F$14),SottocategorieUscite[[#Headers],[Casa]],IF(OR(H862=$G$5,H862=$G$6,H862=$G$7,H862=$G$8,H862=$G$9,H862=$G$10,H862=$G$11,H862=$G$12,H862=$G$13,H862=$G$14),SottocategorieUscite[[#Headers],[Utenze]],IF(OR(H862=$H$5,H862=$H$6,H862=$H$7,H862=$H$8,H862=$H$9,H862=$H$10,H862=$H$11,H862=$H$12,H862=$H$13,H862=$H$14),SottocategorieUscite[[#Headers],[Business Uscite]],IF(OR(H862=$I$5,H862=$I$6,H862=$I$7,H862=$I$8,H862=$I$9,H862=$I$10,H862=$I$11,H862=$I$12,H862=$I$13,H862=$I$14),SottocategorieUscite[[#Headers],[Banca]],IF(OR(H862=K$5,H862=K$6,H862=K$7,H862=K$8,H862=K$9,H862=K$10,H862=K$11,H862=K$12,H862=K$13,H862=K$14),SottocategorieEntrate[[#Headers],[Business Entrate]],IF(OR(H862=L$5,H862=L$6,H862=L$7,H862=L$8,H862=L$9,H862=L$10,H862=L$11,H862=L$12,H862=L$13,H862=L$14),SottocategorieEntrate[[#Headers],[Varie Entrate]],IF(OR(H862=M$5,H862=M$6,H862=M$7,H862=M$8,H862=M$9,H862=M$10,H862=M$11,H862=M$12,H862=M$13,H862=M$14),SottocategorieEntrate[[#Headers],[Real Estate]],IF(OR(H862=N$5,H862=N$6,H862=N$7,H862=N$8,H862=N$9,H862=N$10,H862=N$11,H862=N$12,H862=N$13,H862=N$14),SottocategorieEntrate[[#Headers],[Other]],""))))))))))))</f>
        <v/>
      </c>
      <c r="J862" t="str">
        <f>IF(OR(Dati[[#This Row],[Categoria]]="Bollette",Dati[[#This Row],[Categoria]]="Conto &amp; Carte BNL",Dati[[#This Row],[Categoria]]="Prelievo",Dati[[#This Row],[Categoria]]="Affitto",Dati[[#This Row],[Categoria]]="BNL(Interessi Creditori)"),"Carta",IF(Dati[[#This Row],[Categoria]]&lt;&gt;0,"Cash",""))</f>
        <v/>
      </c>
      <c r="K862" s="59" t="str">
        <f>IF(OR(Data!$I862=SottocategorieUscite[[#Headers],[Fuori Casa]],Data!$I862=SottocategorieUscite[[#Headers],[Varie Uscite]],Data!$I862=SottocategorieUscite[[#Headers],[Personali]],Data!$I862=SottocategorieUscite[[#Headers],[Lavoro]]),"$ -","")</f>
        <v/>
      </c>
      <c r="L862" s="59" t="str">
        <f>IF(OR(Data!$I862=SottocategorieUscite[[#Headers],[Casa]],Data!$I862=SottocategorieUscite[[#Headers],[Utenze]],Data!$I862=SottocategorieUscite[[#Headers],[Business Uscite]],Data!$I862=SottocategorieUscite[[#Headers],[Banca]]),"$ -","")</f>
        <v/>
      </c>
      <c r="M862" s="59" t="str">
        <f>IF(OR($I862&lt;&gt;SottocategorieUscite[[#Headers],[Fuori Casa]],$I862&lt;&gt;SottocategorieUscite[[#Headers],[Varie Uscite]],$I862&lt;&gt;SottocategorieUscite[[#Headers],[Personali]],$I862&lt;&gt;SottocategorieUscite[[#Headers],[Lavoro]],$I862&lt;&gt;SottocategorieUscite[[#Headers],[Casa]],$I862&lt;&gt;SottocategorieUscite[[#Headers],[Utenze]],$I862&lt;&gt;SottocategorieUscite[[#Headers],[Business Uscite]],$I862&lt;&gt;SottocategorieUscite[[#Headers],[Banca]]),"","$ -")</f>
        <v/>
      </c>
      <c r="N862" s="59" t="str">
        <f>IF(OR(Data!$I862=SottocategorieEntrate[[#Headers],[Business Entrate]],Data!$I862=SottocategorieEntrate[[#Headers],[Varie Entrate]]),"$ -","")</f>
        <v/>
      </c>
      <c r="O862" s="59" t="str">
        <f>IF(OR(Data!$I862=SottocategorieEntrate[[#Headers],[Real Estate]],SottocategorieEntrate[[#Headers],[Other]]),"$ -","")</f>
        <v/>
      </c>
      <c r="P862" s="59" t="str">
        <f>IF(OR($I862&lt;&gt;SottocategorieEntrate[[#Headers],[Business Entrate]],$I862&lt;&gt;SottocategorieEntrate[[#Headers],[Varie Entrate]],$I862&lt;&gt;SottocategorieEntrate[[#Headers],[Real Estate]],$I862&lt;&gt;SottocategorieEntrate[[#Headers],[Other]]),"","$ -")</f>
        <v/>
      </c>
      <c r="Q862" s="59" t="str">
        <f>IF(Dati[[#This Row],[Categoria]]="Prelievo","€ -","")</f>
        <v/>
      </c>
      <c r="R862" s="244"/>
      <c r="S862" s="59" t="str">
        <f>IF(Dati[[#This Row],[Categoria]]="Savings",0,"")</f>
        <v/>
      </c>
      <c r="T862" s="59"/>
      <c r="U862" s="59"/>
      <c r="V862" s="59"/>
      <c r="W862" s="59"/>
      <c r="X862" s="59"/>
      <c r="Y862" s="59"/>
      <c r="Z862" s="59"/>
      <c r="AA862" s="59"/>
      <c r="AB862" s="59"/>
      <c r="AC862" s="59"/>
      <c r="AD862" s="59"/>
      <c r="AE862" s="59"/>
      <c r="AF862" s="59"/>
      <c r="AG862" s="59"/>
      <c r="AH862" s="59"/>
      <c r="AI862" s="59" t="str">
        <f>IF(SUM(Dati[[#This Row],[Inv. Business]:[Inv. Cryptocurrency]])=0," ",SUM(Dati[[#This Row],[Inv. Business]:[Inv. Cryptocurrency]]))</f>
        <v xml:space="preserve"> </v>
      </c>
      <c r="AJ862" s="59"/>
      <c r="AK862" s="59"/>
      <c r="AL862" s="59"/>
      <c r="AM862" s="59"/>
    </row>
    <row r="863" spans="2:39" x14ac:dyDescent="0.35">
      <c r="B863" s="237">
        <f>ROW(823:823)</f>
        <v>823</v>
      </c>
      <c r="C863" s="49">
        <f t="shared" si="48"/>
        <v>45572</v>
      </c>
      <c r="D863" s="29">
        <f>DAY(Dati[[#This Row],[Data]])</f>
        <v>7</v>
      </c>
      <c r="E863" s="29" t="str">
        <f>IF(DAY(Data!$C$21:$C$1327)&gt;0,TEXT(Data!$C$21:$C$1327, "mmmm"),"")</f>
        <v>ottobre</v>
      </c>
      <c r="F863" s="29" t="str">
        <f>IF(DAY(Data!$C$21:$C$1327)&gt;0,TEXT(Data!$C$21:$C$1327, "aaaa"),"")</f>
        <v>2024</v>
      </c>
      <c r="I863" t="str">
        <f>IF(OR(H863=$B$5,H863=$B$6,H863=$B$7,H863=$B$8,H863=$B$9,H863=$B$10,H863=$B$11,H863=$B$12,H863=$B$13,H863=$B$14),SottocategorieUscite[[#Headers],[Fuori Casa]],IF(OR(H863=$C$5,H863=$C$6,H863=$C$7,H863=$C$8,H863=$C$9,H863=$C$10,H863=$C$11,H863=$C$12,H863=$C$13,H863=$C$14),SottocategorieUscite[[#Headers],[Varie Uscite]],IF(OR(H863=$D$5,H863=$D$6,H863=$D$7,H863=$D$8,H863=$D$9,H863=$D$10,H863=$D$11,H863=$D$12,H863=$D$13,H863=$D$14),SottocategorieUscite[[#Headers],[Personali]],IF(OR(H863=$E$5,H863=$E$6,H863=$E$7,H863=$E$8,H863=$E$9,H863=$E$10,H863=$E$11,H863=$E$12,H863=$E$13,H863=$E$14),SottocategorieUscite[[#Headers],[Lavoro]],IF(OR(H863=$F$5,H863=$F$6,H863=$F$7,H863=$F$8,H863=$F$9,H863=$F$10,H863=$F$11,H863=$F$12,H863=$F$13,H863=$F$14),SottocategorieUscite[[#Headers],[Casa]],IF(OR(H863=$G$5,H863=$G$6,H863=$G$7,H863=$G$8,H863=$G$9,H863=$G$10,H863=$G$11,H863=$G$12,H863=$G$13,H863=$G$14),SottocategorieUscite[[#Headers],[Utenze]],IF(OR(H863=$H$5,H863=$H$6,H863=$H$7,H863=$H$8,H863=$H$9,H863=$H$10,H863=$H$11,H863=$H$12,H863=$H$13,H863=$H$14),SottocategorieUscite[[#Headers],[Business Uscite]],IF(OR(H863=$I$5,H863=$I$6,H863=$I$7,H863=$I$8,H863=$I$9,H863=$I$10,H863=$I$11,H863=$I$12,H863=$I$13,H863=$I$14),SottocategorieUscite[[#Headers],[Banca]],IF(OR(H863=K$5,H863=K$6,H863=K$7,H863=K$8,H863=K$9,H863=K$10,H863=K$11,H863=K$12,H863=K$13,H863=K$14),SottocategorieEntrate[[#Headers],[Business Entrate]],IF(OR(H863=L$5,H863=L$6,H863=L$7,H863=L$8,H863=L$9,H863=L$10,H863=L$11,H863=L$12,H863=L$13,H863=L$14),SottocategorieEntrate[[#Headers],[Varie Entrate]],IF(OR(H863=M$5,H863=M$6,H863=M$7,H863=M$8,H863=M$9,H863=M$10,H863=M$11,H863=M$12,H863=M$13,H863=M$14),SottocategorieEntrate[[#Headers],[Real Estate]],IF(OR(H863=N$5,H863=N$6,H863=N$7,H863=N$8,H863=N$9,H863=N$10,H863=N$11,H863=N$12,H863=N$13,H863=N$14),SottocategorieEntrate[[#Headers],[Other]],""))))))))))))</f>
        <v/>
      </c>
      <c r="J863" t="str">
        <f>IF(OR(Dati[[#This Row],[Categoria]]="Bollette",Dati[[#This Row],[Categoria]]="Conto &amp; Carte BNL",Dati[[#This Row],[Categoria]]="Prelievo",Dati[[#This Row],[Categoria]]="Affitto",Dati[[#This Row],[Categoria]]="BNL(Interessi Creditori)"),"Carta",IF(Dati[[#This Row],[Categoria]]&lt;&gt;0,"Cash",""))</f>
        <v/>
      </c>
      <c r="K863" s="59" t="str">
        <f>IF(OR(Data!$I863=SottocategorieUscite[[#Headers],[Fuori Casa]],Data!$I863=SottocategorieUscite[[#Headers],[Varie Uscite]],Data!$I863=SottocategorieUscite[[#Headers],[Personali]],Data!$I863=SottocategorieUscite[[#Headers],[Lavoro]]),"$ -","")</f>
        <v/>
      </c>
      <c r="L863" s="59" t="str">
        <f>IF(OR(Data!$I863=SottocategorieUscite[[#Headers],[Casa]],Data!$I863=SottocategorieUscite[[#Headers],[Utenze]],Data!$I863=SottocategorieUscite[[#Headers],[Business Uscite]],Data!$I863=SottocategorieUscite[[#Headers],[Banca]]),"$ -","")</f>
        <v/>
      </c>
      <c r="M863" s="59" t="str">
        <f>IF(OR($I863&lt;&gt;SottocategorieUscite[[#Headers],[Fuori Casa]],$I863&lt;&gt;SottocategorieUscite[[#Headers],[Varie Uscite]],$I863&lt;&gt;SottocategorieUscite[[#Headers],[Personali]],$I863&lt;&gt;SottocategorieUscite[[#Headers],[Lavoro]],$I863&lt;&gt;SottocategorieUscite[[#Headers],[Casa]],$I863&lt;&gt;SottocategorieUscite[[#Headers],[Utenze]],$I863&lt;&gt;SottocategorieUscite[[#Headers],[Business Uscite]],$I863&lt;&gt;SottocategorieUscite[[#Headers],[Banca]]),"","$ -")</f>
        <v/>
      </c>
      <c r="N863" s="59" t="str">
        <f>IF(OR(Data!$I863=SottocategorieEntrate[[#Headers],[Business Entrate]],Data!$I863=SottocategorieEntrate[[#Headers],[Varie Entrate]]),"$ -","")</f>
        <v/>
      </c>
      <c r="O863" s="59" t="str">
        <f>IF(OR(Data!$I863=SottocategorieEntrate[[#Headers],[Real Estate]],SottocategorieEntrate[[#Headers],[Other]]),"$ -","")</f>
        <v/>
      </c>
      <c r="P863" s="59" t="str">
        <f>IF(OR($I863&lt;&gt;SottocategorieEntrate[[#Headers],[Business Entrate]],$I863&lt;&gt;SottocategorieEntrate[[#Headers],[Varie Entrate]],$I863&lt;&gt;SottocategorieEntrate[[#Headers],[Real Estate]],$I863&lt;&gt;SottocategorieEntrate[[#Headers],[Other]]),"","$ -")</f>
        <v/>
      </c>
      <c r="Q863" s="59" t="str">
        <f>IF(Dati[[#This Row],[Categoria]]="Prelievo","€ -","")</f>
        <v/>
      </c>
      <c r="R863" s="244"/>
      <c r="S863" s="59" t="str">
        <f>IF(Dati[[#This Row],[Categoria]]="Savings",0,"")</f>
        <v/>
      </c>
      <c r="T863" s="59"/>
      <c r="U863" s="59"/>
      <c r="V863" s="59"/>
      <c r="W863" s="59"/>
      <c r="X863" s="59"/>
      <c r="Y863" s="59"/>
      <c r="Z863" s="59"/>
      <c r="AA863" s="59"/>
      <c r="AB863" s="59"/>
      <c r="AC863" s="59"/>
      <c r="AD863" s="59"/>
      <c r="AE863" s="59"/>
      <c r="AF863" s="59"/>
      <c r="AG863" s="59"/>
      <c r="AH863" s="59"/>
      <c r="AI863" s="59" t="str">
        <f>IF(SUM(Dati[[#This Row],[Inv. Business]:[Inv. Cryptocurrency]])=0," ",SUM(Dati[[#This Row],[Inv. Business]:[Inv. Cryptocurrency]]))</f>
        <v xml:space="preserve"> </v>
      </c>
      <c r="AJ863" s="59"/>
      <c r="AK863" s="59"/>
      <c r="AL863" s="59"/>
      <c r="AM863" s="59"/>
    </row>
    <row r="864" spans="2:39" x14ac:dyDescent="0.35">
      <c r="B864" s="237">
        <f>ROW(823:823)</f>
        <v>823</v>
      </c>
      <c r="C864" s="49">
        <f>C862+1</f>
        <v>45572</v>
      </c>
      <c r="D864" s="29">
        <f>DAY(Dati[[#This Row],[Data]])</f>
        <v>7</v>
      </c>
      <c r="E864" s="29" t="str">
        <f>IF(DAY(Data!$C$21:$C$1327)&gt;0,TEXT(Data!$C$21:$C$1327, "mmmm"),"")</f>
        <v>ottobre</v>
      </c>
      <c r="F864" s="29" t="str">
        <f>IF(DAY(Data!$C$21:$C$1327)&gt;0,TEXT(Data!$C$21:$C$1327, "aaaa"),"")</f>
        <v>2024</v>
      </c>
      <c r="I864" t="str">
        <f>IF(OR(H864=$B$5,H864=$B$6,H864=$B$7,H864=$B$8,H864=$B$9,H864=$B$10,H864=$B$11,H864=$B$12,H864=$B$13,H864=$B$14),SottocategorieUscite[[#Headers],[Fuori Casa]],IF(OR(H864=$C$5,H864=$C$6,H864=$C$7,H864=$C$8,H864=$C$9,H864=$C$10,H864=$C$11,H864=$C$12,H864=$C$13,H864=$C$14),SottocategorieUscite[[#Headers],[Varie Uscite]],IF(OR(H864=$D$5,H864=$D$6,H864=$D$7,H864=$D$8,H864=$D$9,H864=$D$10,H864=$D$11,H864=$D$12,H864=$D$13,H864=$D$14),SottocategorieUscite[[#Headers],[Personali]],IF(OR(H864=$E$5,H864=$E$6,H864=$E$7,H864=$E$8,H864=$E$9,H864=$E$10,H864=$E$11,H864=$E$12,H864=$E$13,H864=$E$14),SottocategorieUscite[[#Headers],[Lavoro]],IF(OR(H864=$F$5,H864=$F$6,H864=$F$7,H864=$F$8,H864=$F$9,H864=$F$10,H864=$F$11,H864=$F$12,H864=$F$13,H864=$F$14),SottocategorieUscite[[#Headers],[Casa]],IF(OR(H864=$G$5,H864=$G$6,H864=$G$7,H864=$G$8,H864=$G$9,H864=$G$10,H864=$G$11,H864=$G$12,H864=$G$13,H864=$G$14),SottocategorieUscite[[#Headers],[Utenze]],IF(OR(H864=$H$5,H864=$H$6,H864=$H$7,H864=$H$8,H864=$H$9,H864=$H$10,H864=$H$11,H864=$H$12,H864=$H$13,H864=$H$14),SottocategorieUscite[[#Headers],[Business Uscite]],IF(OR(H864=$I$5,H864=$I$6,H864=$I$7,H864=$I$8,H864=$I$9,H864=$I$10,H864=$I$11,H864=$I$12,H864=$I$13,H864=$I$14),SottocategorieUscite[[#Headers],[Banca]],IF(OR(H864=K$5,H864=K$6,H864=K$7,H864=K$8,H864=K$9,H864=K$10,H864=K$11,H864=K$12,H864=K$13,H864=K$14),SottocategorieEntrate[[#Headers],[Business Entrate]],IF(OR(H864=L$5,H864=L$6,H864=L$7,H864=L$8,H864=L$9,H864=L$10,H864=L$11,H864=L$12,H864=L$13,H864=L$14),SottocategorieEntrate[[#Headers],[Varie Entrate]],IF(OR(H864=M$5,H864=M$6,H864=M$7,H864=M$8,H864=M$9,H864=M$10,H864=M$11,H864=M$12,H864=M$13,H864=M$14),SottocategorieEntrate[[#Headers],[Real Estate]],IF(OR(H864=N$5,H864=N$6,H864=N$7,H864=N$8,H864=N$9,H864=N$10,H864=N$11,H864=N$12,H864=N$13,H864=N$14),SottocategorieEntrate[[#Headers],[Other]],""))))))))))))</f>
        <v/>
      </c>
      <c r="J864" t="str">
        <f>IF(OR(Dati[[#This Row],[Categoria]]="Bollette",Dati[[#This Row],[Categoria]]="Conto &amp; Carte BNL",Dati[[#This Row],[Categoria]]="Prelievo",Dati[[#This Row],[Categoria]]="Affitto",Dati[[#This Row],[Categoria]]="BNL(Interessi Creditori)"),"Carta",IF(Dati[[#This Row],[Categoria]]&lt;&gt;0,"Cash",""))</f>
        <v/>
      </c>
      <c r="K864" s="59" t="str">
        <f>IF(OR(Data!$I864=SottocategorieUscite[[#Headers],[Fuori Casa]],Data!$I864=SottocategorieUscite[[#Headers],[Varie Uscite]],Data!$I864=SottocategorieUscite[[#Headers],[Personali]],Data!$I864=SottocategorieUscite[[#Headers],[Lavoro]]),"$ -","")</f>
        <v/>
      </c>
      <c r="L864" s="59" t="str">
        <f>IF(OR(Data!$I864=SottocategorieUscite[[#Headers],[Casa]],Data!$I864=SottocategorieUscite[[#Headers],[Utenze]],Data!$I864=SottocategorieUscite[[#Headers],[Business Uscite]],Data!$I864=SottocategorieUscite[[#Headers],[Banca]]),"$ -","")</f>
        <v/>
      </c>
      <c r="M864" s="59" t="str">
        <f>IF(OR($I864&lt;&gt;SottocategorieUscite[[#Headers],[Fuori Casa]],$I864&lt;&gt;SottocategorieUscite[[#Headers],[Varie Uscite]],$I864&lt;&gt;SottocategorieUscite[[#Headers],[Personali]],$I864&lt;&gt;SottocategorieUscite[[#Headers],[Lavoro]],$I864&lt;&gt;SottocategorieUscite[[#Headers],[Casa]],$I864&lt;&gt;SottocategorieUscite[[#Headers],[Utenze]],$I864&lt;&gt;SottocategorieUscite[[#Headers],[Business Uscite]],$I864&lt;&gt;SottocategorieUscite[[#Headers],[Banca]]),"","$ -")</f>
        <v/>
      </c>
      <c r="N864" s="59" t="str">
        <f>IF(OR(Data!$I864=SottocategorieEntrate[[#Headers],[Business Entrate]],Data!$I864=SottocategorieEntrate[[#Headers],[Varie Entrate]]),"$ -","")</f>
        <v/>
      </c>
      <c r="O864" s="59" t="str">
        <f>IF(OR(Data!$I864=SottocategorieEntrate[[#Headers],[Real Estate]],SottocategorieEntrate[[#Headers],[Other]]),"$ -","")</f>
        <v/>
      </c>
      <c r="P864" s="59" t="str">
        <f>IF(OR($I864&lt;&gt;SottocategorieEntrate[[#Headers],[Business Entrate]],$I864&lt;&gt;SottocategorieEntrate[[#Headers],[Varie Entrate]],$I864&lt;&gt;SottocategorieEntrate[[#Headers],[Real Estate]],$I864&lt;&gt;SottocategorieEntrate[[#Headers],[Other]]),"","$ -")</f>
        <v/>
      </c>
      <c r="Q864" s="59" t="str">
        <f>IF(Dati[[#This Row],[Categoria]]="Prelievo","€ -","")</f>
        <v/>
      </c>
      <c r="R864" s="244"/>
      <c r="S864" s="59" t="str">
        <f>IF(Dati[[#This Row],[Categoria]]="Savings",0,"")</f>
        <v/>
      </c>
      <c r="T864" s="59"/>
      <c r="U864" s="59"/>
      <c r="V864" s="59"/>
      <c r="W864" s="59"/>
      <c r="X864" s="59"/>
      <c r="Y864" s="59"/>
      <c r="Z864" s="59"/>
      <c r="AA864" s="59"/>
      <c r="AB864" s="59"/>
      <c r="AC864" s="59"/>
      <c r="AD864" s="59"/>
      <c r="AE864" s="59"/>
      <c r="AF864" s="59"/>
      <c r="AG864" s="59"/>
      <c r="AH864" s="59"/>
      <c r="AI864" s="59" t="str">
        <f>IF(SUM(Dati[[#This Row],[Inv. Business]:[Inv. Cryptocurrency]])=0," ",SUM(Dati[[#This Row],[Inv. Business]:[Inv. Cryptocurrency]]))</f>
        <v xml:space="preserve"> </v>
      </c>
      <c r="AJ864" s="59"/>
      <c r="AK864" s="59"/>
      <c r="AL864" s="59"/>
      <c r="AM864" s="59"/>
    </row>
    <row r="865" spans="2:39" x14ac:dyDescent="0.35">
      <c r="B865" s="237">
        <f>ROW(824:824)</f>
        <v>824</v>
      </c>
      <c r="C865" s="49">
        <f>C863+1</f>
        <v>45573</v>
      </c>
      <c r="D865" s="29">
        <f>DAY(Dati[[#This Row],[Data]])</f>
        <v>8</v>
      </c>
      <c r="E865" s="29" t="str">
        <f>IF(DAY(Data!$C$21:$C$1327)&gt;0,TEXT(Data!$C$21:$C$1327, "mmmm"),"")</f>
        <v>ottobre</v>
      </c>
      <c r="F865" s="29" t="str">
        <f>IF(DAY(Data!$C$21:$C$1327)&gt;0,TEXT(Data!$C$21:$C$1327, "aaaa"),"")</f>
        <v>2024</v>
      </c>
      <c r="I865" t="str">
        <f>IF(OR(H865=$B$5,H865=$B$6,H865=$B$7,H865=$B$8,H865=$B$9,H865=$B$10,H865=$B$11,H865=$B$12,H865=$B$13,H865=$B$14),SottocategorieUscite[[#Headers],[Fuori Casa]],IF(OR(H865=$C$5,H865=$C$6,H865=$C$7,H865=$C$8,H865=$C$9,H865=$C$10,H865=$C$11,H865=$C$12,H865=$C$13,H865=$C$14),SottocategorieUscite[[#Headers],[Varie Uscite]],IF(OR(H865=$D$5,H865=$D$6,H865=$D$7,H865=$D$8,H865=$D$9,H865=$D$10,H865=$D$11,H865=$D$12,H865=$D$13,H865=$D$14),SottocategorieUscite[[#Headers],[Personali]],IF(OR(H865=$E$5,H865=$E$6,H865=$E$7,H865=$E$8,H865=$E$9,H865=$E$10,H865=$E$11,H865=$E$12,H865=$E$13,H865=$E$14),SottocategorieUscite[[#Headers],[Lavoro]],IF(OR(H865=$F$5,H865=$F$6,H865=$F$7,H865=$F$8,H865=$F$9,H865=$F$10,H865=$F$11,H865=$F$12,H865=$F$13,H865=$F$14),SottocategorieUscite[[#Headers],[Casa]],IF(OR(H865=$G$5,H865=$G$6,H865=$G$7,H865=$G$8,H865=$G$9,H865=$G$10,H865=$G$11,H865=$G$12,H865=$G$13,H865=$G$14),SottocategorieUscite[[#Headers],[Utenze]],IF(OR(H865=$H$5,H865=$H$6,H865=$H$7,H865=$H$8,H865=$H$9,H865=$H$10,H865=$H$11,H865=$H$12,H865=$H$13,H865=$H$14),SottocategorieUscite[[#Headers],[Business Uscite]],IF(OR(H865=$I$5,H865=$I$6,H865=$I$7,H865=$I$8,H865=$I$9,H865=$I$10,H865=$I$11,H865=$I$12,H865=$I$13,H865=$I$14),SottocategorieUscite[[#Headers],[Banca]],IF(OR(H865=K$5,H865=K$6,H865=K$7,H865=K$8,H865=K$9,H865=K$10,H865=K$11,H865=K$12,H865=K$13,H865=K$14),SottocategorieEntrate[[#Headers],[Business Entrate]],IF(OR(H865=L$5,H865=L$6,H865=L$7,H865=L$8,H865=L$9,H865=L$10,H865=L$11,H865=L$12,H865=L$13,H865=L$14),SottocategorieEntrate[[#Headers],[Varie Entrate]],IF(OR(H865=M$5,H865=M$6,H865=M$7,H865=M$8,H865=M$9,H865=M$10,H865=M$11,H865=M$12,H865=M$13,H865=M$14),SottocategorieEntrate[[#Headers],[Real Estate]],IF(OR(H865=N$5,H865=N$6,H865=N$7,H865=N$8,H865=N$9,H865=N$10,H865=N$11,H865=N$12,H865=N$13,H865=N$14),SottocategorieEntrate[[#Headers],[Other]],""))))))))))))</f>
        <v/>
      </c>
      <c r="J865" t="str">
        <f>IF(OR(Dati[[#This Row],[Categoria]]="Bollette",Dati[[#This Row],[Categoria]]="Conto &amp; Carte BNL",Dati[[#This Row],[Categoria]]="Prelievo",Dati[[#This Row],[Categoria]]="Affitto",Dati[[#This Row],[Categoria]]="BNL(Interessi Creditori)"),"Carta",IF(Dati[[#This Row],[Categoria]]&lt;&gt;0,"Cash",""))</f>
        <v/>
      </c>
      <c r="K865" s="59" t="str">
        <f>IF(OR(Data!$I865=SottocategorieUscite[[#Headers],[Fuori Casa]],Data!$I865=SottocategorieUscite[[#Headers],[Varie Uscite]],Data!$I865=SottocategorieUscite[[#Headers],[Personali]],Data!$I865=SottocategorieUscite[[#Headers],[Lavoro]]),"$ -","")</f>
        <v/>
      </c>
      <c r="L865" s="59" t="str">
        <f>IF(OR(Data!$I865=SottocategorieUscite[[#Headers],[Casa]],Data!$I865=SottocategorieUscite[[#Headers],[Utenze]],Data!$I865=SottocategorieUscite[[#Headers],[Business Uscite]],Data!$I865=SottocategorieUscite[[#Headers],[Banca]]),"$ -","")</f>
        <v/>
      </c>
      <c r="M865" s="59" t="str">
        <f>IF(OR($I865&lt;&gt;SottocategorieUscite[[#Headers],[Fuori Casa]],$I865&lt;&gt;SottocategorieUscite[[#Headers],[Varie Uscite]],$I865&lt;&gt;SottocategorieUscite[[#Headers],[Personali]],$I865&lt;&gt;SottocategorieUscite[[#Headers],[Lavoro]],$I865&lt;&gt;SottocategorieUscite[[#Headers],[Casa]],$I865&lt;&gt;SottocategorieUscite[[#Headers],[Utenze]],$I865&lt;&gt;SottocategorieUscite[[#Headers],[Business Uscite]],$I865&lt;&gt;SottocategorieUscite[[#Headers],[Banca]]),"","$ -")</f>
        <v/>
      </c>
      <c r="N865" s="59" t="str">
        <f>IF(OR(Data!$I865=SottocategorieEntrate[[#Headers],[Business Entrate]],Data!$I865=SottocategorieEntrate[[#Headers],[Varie Entrate]]),"$ -","")</f>
        <v/>
      </c>
      <c r="O865" s="59" t="str">
        <f>IF(OR(Data!$I865=SottocategorieEntrate[[#Headers],[Real Estate]],SottocategorieEntrate[[#Headers],[Other]]),"$ -","")</f>
        <v/>
      </c>
      <c r="P865" s="59" t="str">
        <f>IF(OR($I865&lt;&gt;SottocategorieEntrate[[#Headers],[Business Entrate]],$I865&lt;&gt;SottocategorieEntrate[[#Headers],[Varie Entrate]],$I865&lt;&gt;SottocategorieEntrate[[#Headers],[Real Estate]],$I865&lt;&gt;SottocategorieEntrate[[#Headers],[Other]]),"","$ -")</f>
        <v/>
      </c>
      <c r="Q865" s="59" t="str">
        <f>IF(Dati[[#This Row],[Categoria]]="Prelievo","€ -","")</f>
        <v/>
      </c>
      <c r="R865" s="244"/>
      <c r="S865" s="59" t="str">
        <f>IF(Dati[[#This Row],[Categoria]]="Savings",0,"")</f>
        <v/>
      </c>
      <c r="T865" s="59"/>
      <c r="U865" s="59"/>
      <c r="V865" s="59"/>
      <c r="W865" s="59"/>
      <c r="X865" s="59"/>
      <c r="Y865" s="59"/>
      <c r="Z865" s="59"/>
      <c r="AA865" s="59"/>
      <c r="AB865" s="59"/>
      <c r="AC865" s="59"/>
      <c r="AD865" s="59"/>
      <c r="AE865" s="59"/>
      <c r="AF865" s="59"/>
      <c r="AG865" s="59"/>
      <c r="AH865" s="59"/>
      <c r="AI865" s="59" t="str">
        <f>IF(SUM(Dati[[#This Row],[Inv. Business]:[Inv. Cryptocurrency]])=0," ",SUM(Dati[[#This Row],[Inv. Business]:[Inv. Cryptocurrency]]))</f>
        <v xml:space="preserve"> </v>
      </c>
      <c r="AJ865" s="59"/>
      <c r="AK865" s="59"/>
      <c r="AL865" s="59"/>
      <c r="AM865" s="59"/>
    </row>
    <row r="866" spans="2:39" x14ac:dyDescent="0.35">
      <c r="B866" s="237">
        <f>ROW(831:831)</f>
        <v>831</v>
      </c>
      <c r="C866" s="49">
        <f>C864+1</f>
        <v>45573</v>
      </c>
      <c r="D866" s="29">
        <f>DAY(Dati[[#This Row],[Data]])</f>
        <v>8</v>
      </c>
      <c r="E866" s="29" t="str">
        <f>IF(DAY(Data!$C$21:$C$1327)&gt;0,TEXT(Data!$C$21:$C$1327, "mmmm"),"")</f>
        <v>ottobre</v>
      </c>
      <c r="F866" s="29" t="str">
        <f>IF(DAY(Data!$C$21:$C$1327)&gt;0,TEXT(Data!$C$21:$C$1327, "aaaa"),"")</f>
        <v>2024</v>
      </c>
      <c r="I866" t="str">
        <f>IF(OR(H866=$B$5,H866=$B$6,H866=$B$7,H866=$B$8,H866=$B$9,H866=$B$10,H866=$B$11,H866=$B$12,H866=$B$13,H866=$B$14),SottocategorieUscite[[#Headers],[Fuori Casa]],IF(OR(H866=$C$5,H866=$C$6,H866=$C$7,H866=$C$8,H866=$C$9,H866=$C$10,H866=$C$11,H866=$C$12,H866=$C$13,H866=$C$14),SottocategorieUscite[[#Headers],[Varie Uscite]],IF(OR(H866=$D$5,H866=$D$6,H866=$D$7,H866=$D$8,H866=$D$9,H866=$D$10,H866=$D$11,H866=$D$12,H866=$D$13,H866=$D$14),SottocategorieUscite[[#Headers],[Personali]],IF(OR(H866=$E$5,H866=$E$6,H866=$E$7,H866=$E$8,H866=$E$9,H866=$E$10,H866=$E$11,H866=$E$12,H866=$E$13,H866=$E$14),SottocategorieUscite[[#Headers],[Lavoro]],IF(OR(H866=$F$5,H866=$F$6,H866=$F$7,H866=$F$8,H866=$F$9,H866=$F$10,H866=$F$11,H866=$F$12,H866=$F$13,H866=$F$14),SottocategorieUscite[[#Headers],[Casa]],IF(OR(H866=$G$5,H866=$G$6,H866=$G$7,H866=$G$8,H866=$G$9,H866=$G$10,H866=$G$11,H866=$G$12,H866=$G$13,H866=$G$14),SottocategorieUscite[[#Headers],[Utenze]],IF(OR(H866=$H$5,H866=$H$6,H866=$H$7,H866=$H$8,H866=$H$9,H866=$H$10,H866=$H$11,H866=$H$12,H866=$H$13,H866=$H$14),SottocategorieUscite[[#Headers],[Business Uscite]],IF(OR(H866=$I$5,H866=$I$6,H866=$I$7,H866=$I$8,H866=$I$9,H866=$I$10,H866=$I$11,H866=$I$12,H866=$I$13,H866=$I$14),SottocategorieUscite[[#Headers],[Banca]],IF(OR(H866=K$5,H866=K$6,H866=K$7,H866=K$8,H866=K$9,H866=K$10,H866=K$11,H866=K$12,H866=K$13,H866=K$14),SottocategorieEntrate[[#Headers],[Business Entrate]],IF(OR(H866=L$5,H866=L$6,H866=L$7,H866=L$8,H866=L$9,H866=L$10,H866=L$11,H866=L$12,H866=L$13,H866=L$14),SottocategorieEntrate[[#Headers],[Varie Entrate]],IF(OR(H866=M$5,H866=M$6,H866=M$7,H866=M$8,H866=M$9,H866=M$10,H866=M$11,H866=M$12,H866=M$13,H866=M$14),SottocategorieEntrate[[#Headers],[Real Estate]],IF(OR(H866=N$5,H866=N$6,H866=N$7,H866=N$8,H866=N$9,H866=N$10,H866=N$11,H866=N$12,H866=N$13,H866=N$14),SottocategorieEntrate[[#Headers],[Other]],""))))))))))))</f>
        <v/>
      </c>
      <c r="J866" t="str">
        <f>IF(OR(Dati[[#This Row],[Categoria]]="Bollette",Dati[[#This Row],[Categoria]]="Conto &amp; Carte BNL",Dati[[#This Row],[Categoria]]="Prelievo",Dati[[#This Row],[Categoria]]="Affitto",Dati[[#This Row],[Categoria]]="BNL(Interessi Creditori)"),"Carta",IF(Dati[[#This Row],[Categoria]]&lt;&gt;0,"Cash",""))</f>
        <v/>
      </c>
      <c r="K866" s="59" t="str">
        <f>IF(OR(Data!$I866=SottocategorieUscite[[#Headers],[Fuori Casa]],Data!$I866=SottocategorieUscite[[#Headers],[Varie Uscite]],Data!$I866=SottocategorieUscite[[#Headers],[Personali]],Data!$I866=SottocategorieUscite[[#Headers],[Lavoro]]),"$ -","")</f>
        <v/>
      </c>
      <c r="L866" s="59" t="str">
        <f>IF(OR(Data!$I866=SottocategorieUscite[[#Headers],[Casa]],Data!$I866=SottocategorieUscite[[#Headers],[Utenze]],Data!$I866=SottocategorieUscite[[#Headers],[Business Uscite]],Data!$I866=SottocategorieUscite[[#Headers],[Banca]]),"$ -","")</f>
        <v/>
      </c>
      <c r="M866" s="59" t="str">
        <f>IF(OR($I866&lt;&gt;SottocategorieUscite[[#Headers],[Fuori Casa]],$I866&lt;&gt;SottocategorieUscite[[#Headers],[Varie Uscite]],$I866&lt;&gt;SottocategorieUscite[[#Headers],[Personali]],$I866&lt;&gt;SottocategorieUscite[[#Headers],[Lavoro]],$I866&lt;&gt;SottocategorieUscite[[#Headers],[Casa]],$I866&lt;&gt;SottocategorieUscite[[#Headers],[Utenze]],$I866&lt;&gt;SottocategorieUscite[[#Headers],[Business Uscite]],$I866&lt;&gt;SottocategorieUscite[[#Headers],[Banca]]),"","$ -")</f>
        <v/>
      </c>
      <c r="N866" s="59" t="str">
        <f>IF(OR(Data!$I866=SottocategorieEntrate[[#Headers],[Business Entrate]],Data!$I866=SottocategorieEntrate[[#Headers],[Varie Entrate]]),"$ -","")</f>
        <v/>
      </c>
      <c r="O866" s="59" t="str">
        <f>IF(OR(Data!$I866=SottocategorieEntrate[[#Headers],[Real Estate]],SottocategorieEntrate[[#Headers],[Other]]),"$ -","")</f>
        <v/>
      </c>
      <c r="P866" s="59" t="str">
        <f>IF(OR($I866&lt;&gt;SottocategorieEntrate[[#Headers],[Business Entrate]],$I866&lt;&gt;SottocategorieEntrate[[#Headers],[Varie Entrate]],$I866&lt;&gt;SottocategorieEntrate[[#Headers],[Real Estate]],$I866&lt;&gt;SottocategorieEntrate[[#Headers],[Other]]),"","$ -")</f>
        <v/>
      </c>
      <c r="Q866" s="59" t="str">
        <f>IF(Dati[[#This Row],[Categoria]]="Prelievo","€ -","")</f>
        <v/>
      </c>
      <c r="R866" s="244"/>
      <c r="S866" s="59" t="str">
        <f>IF(Dati[[#This Row],[Categoria]]="Savings",0,"")</f>
        <v/>
      </c>
      <c r="T866" s="59"/>
      <c r="U866" s="59"/>
      <c r="V866" s="59"/>
      <c r="W866" s="59"/>
      <c r="X866" s="59"/>
      <c r="Y866" s="59"/>
      <c r="Z866" s="59"/>
      <c r="AA866" s="59"/>
      <c r="AB866" s="59"/>
      <c r="AC866" s="59"/>
      <c r="AD866" s="59"/>
      <c r="AE866" s="59"/>
      <c r="AF866" s="59"/>
      <c r="AG866" s="59"/>
      <c r="AH866" s="59"/>
      <c r="AI866" s="59" t="str">
        <f>IF(SUM(Dati[[#This Row],[Inv. Business]:[Inv. Cryptocurrency]])=0," ",SUM(Dati[[#This Row],[Inv. Business]:[Inv. Cryptocurrency]]))</f>
        <v xml:space="preserve"> </v>
      </c>
      <c r="AJ866" s="59"/>
      <c r="AK866" s="59"/>
      <c r="AL866" s="59"/>
      <c r="AM866" s="59"/>
    </row>
    <row r="867" spans="2:39" x14ac:dyDescent="0.35">
      <c r="B867" s="237">
        <f>ROW(831:831)</f>
        <v>831</v>
      </c>
      <c r="C867" s="49">
        <f>C864+1</f>
        <v>45573</v>
      </c>
      <c r="D867" s="29">
        <f>DAY(Dati[[#This Row],[Data]])</f>
        <v>8</v>
      </c>
      <c r="E867" s="29" t="str">
        <f>IF(DAY(Data!$C$21:$C$1327)&gt;0,TEXT(Data!$C$21:$C$1327, "mmmm"),"")</f>
        <v>ottobre</v>
      </c>
      <c r="F867" s="29" t="str">
        <f>IF(DAY(Data!$C$21:$C$1327)&gt;0,TEXT(Data!$C$21:$C$1327, "aaaa"),"")</f>
        <v>2024</v>
      </c>
      <c r="I867" t="str">
        <f>IF(OR(H867=$B$5,H867=$B$6,H867=$B$7,H867=$B$8,H867=$B$9,H867=$B$10,H867=$B$11,H867=$B$12,H867=$B$13,H867=$B$14),SottocategorieUscite[[#Headers],[Fuori Casa]],IF(OR(H867=$C$5,H867=$C$6,H867=$C$7,H867=$C$8,H867=$C$9,H867=$C$10,H867=$C$11,H867=$C$12,H867=$C$13,H867=$C$14),SottocategorieUscite[[#Headers],[Varie Uscite]],IF(OR(H867=$D$5,H867=$D$6,H867=$D$7,H867=$D$8,H867=$D$9,H867=$D$10,H867=$D$11,H867=$D$12,H867=$D$13,H867=$D$14),SottocategorieUscite[[#Headers],[Personali]],IF(OR(H867=$E$5,H867=$E$6,H867=$E$7,H867=$E$8,H867=$E$9,H867=$E$10,H867=$E$11,H867=$E$12,H867=$E$13,H867=$E$14),SottocategorieUscite[[#Headers],[Lavoro]],IF(OR(H867=$F$5,H867=$F$6,H867=$F$7,H867=$F$8,H867=$F$9,H867=$F$10,H867=$F$11,H867=$F$12,H867=$F$13,H867=$F$14),SottocategorieUscite[[#Headers],[Casa]],IF(OR(H867=$G$5,H867=$G$6,H867=$G$7,H867=$G$8,H867=$G$9,H867=$G$10,H867=$G$11,H867=$G$12,H867=$G$13,H867=$G$14),SottocategorieUscite[[#Headers],[Utenze]],IF(OR(H867=$H$5,H867=$H$6,H867=$H$7,H867=$H$8,H867=$H$9,H867=$H$10,H867=$H$11,H867=$H$12,H867=$H$13,H867=$H$14),SottocategorieUscite[[#Headers],[Business Uscite]],IF(OR(H867=$I$5,H867=$I$6,H867=$I$7,H867=$I$8,H867=$I$9,H867=$I$10,H867=$I$11,H867=$I$12,H867=$I$13,H867=$I$14),SottocategorieUscite[[#Headers],[Banca]],IF(OR(H867=K$5,H867=K$6,H867=K$7,H867=K$8,H867=K$9,H867=K$10,H867=K$11,H867=K$12,H867=K$13,H867=K$14),SottocategorieEntrate[[#Headers],[Business Entrate]],IF(OR(H867=L$5,H867=L$6,H867=L$7,H867=L$8,H867=L$9,H867=L$10,H867=L$11,H867=L$12,H867=L$13,H867=L$14),SottocategorieEntrate[[#Headers],[Varie Entrate]],IF(OR(H867=M$5,H867=M$6,H867=M$7,H867=M$8,H867=M$9,H867=M$10,H867=M$11,H867=M$12,H867=M$13,H867=M$14),SottocategorieEntrate[[#Headers],[Real Estate]],IF(OR(H867=N$5,H867=N$6,H867=N$7,H867=N$8,H867=N$9,H867=N$10,H867=N$11,H867=N$12,H867=N$13,H867=N$14),SottocategorieEntrate[[#Headers],[Other]],""))))))))))))</f>
        <v/>
      </c>
      <c r="J867" t="str">
        <f>IF(OR(Dati[[#This Row],[Categoria]]="Bollette",Dati[[#This Row],[Categoria]]="Conto &amp; Carte BNL",Dati[[#This Row],[Categoria]]="Prelievo",Dati[[#This Row],[Categoria]]="Affitto",Dati[[#This Row],[Categoria]]="BNL(Interessi Creditori)"),"Carta",IF(Dati[[#This Row],[Categoria]]&lt;&gt;0,"Cash",""))</f>
        <v/>
      </c>
      <c r="K867" s="59" t="str">
        <f>IF(OR(Data!$I867=SottocategorieUscite[[#Headers],[Fuori Casa]],Data!$I867=SottocategorieUscite[[#Headers],[Varie Uscite]],Data!$I867=SottocategorieUscite[[#Headers],[Personali]],Data!$I867=SottocategorieUscite[[#Headers],[Lavoro]]),"$ -","")</f>
        <v/>
      </c>
      <c r="L867" s="59" t="str">
        <f>IF(OR(Data!$I867=SottocategorieUscite[[#Headers],[Casa]],Data!$I867=SottocategorieUscite[[#Headers],[Utenze]],Data!$I867=SottocategorieUscite[[#Headers],[Business Uscite]],Data!$I867=SottocategorieUscite[[#Headers],[Banca]]),"$ -","")</f>
        <v/>
      </c>
      <c r="M867" s="59" t="str">
        <f>IF(OR($I867&lt;&gt;SottocategorieUscite[[#Headers],[Fuori Casa]],$I867&lt;&gt;SottocategorieUscite[[#Headers],[Varie Uscite]],$I867&lt;&gt;SottocategorieUscite[[#Headers],[Personali]],$I867&lt;&gt;SottocategorieUscite[[#Headers],[Lavoro]],$I867&lt;&gt;SottocategorieUscite[[#Headers],[Casa]],$I867&lt;&gt;SottocategorieUscite[[#Headers],[Utenze]],$I867&lt;&gt;SottocategorieUscite[[#Headers],[Business Uscite]],$I867&lt;&gt;SottocategorieUscite[[#Headers],[Banca]]),"","$ -")</f>
        <v/>
      </c>
      <c r="N867" s="59" t="str">
        <f>IF(OR(Data!$I867=SottocategorieEntrate[[#Headers],[Business Entrate]],Data!$I867=SottocategorieEntrate[[#Headers],[Varie Entrate]]),"$ -","")</f>
        <v/>
      </c>
      <c r="O867" s="59" t="str">
        <f>IF(OR(Data!$I867=SottocategorieEntrate[[#Headers],[Real Estate]],SottocategorieEntrate[[#Headers],[Other]]),"$ -","")</f>
        <v/>
      </c>
      <c r="P867" s="59" t="str">
        <f>IF(OR($I867&lt;&gt;SottocategorieEntrate[[#Headers],[Business Entrate]],$I867&lt;&gt;SottocategorieEntrate[[#Headers],[Varie Entrate]],$I867&lt;&gt;SottocategorieEntrate[[#Headers],[Real Estate]],$I867&lt;&gt;SottocategorieEntrate[[#Headers],[Other]]),"","$ -")</f>
        <v/>
      </c>
      <c r="Q867" s="59" t="str">
        <f>IF(Dati[[#This Row],[Categoria]]="Prelievo","€ -","")</f>
        <v/>
      </c>
      <c r="R867" s="244"/>
      <c r="S867" s="59" t="str">
        <f>IF(Dati[[#This Row],[Categoria]]="Savings",0,"")</f>
        <v/>
      </c>
      <c r="T867" s="59"/>
      <c r="U867" s="59"/>
      <c r="V867" s="59"/>
      <c r="W867" s="59"/>
      <c r="X867" s="59"/>
      <c r="Y867" s="59"/>
      <c r="Z867" s="59"/>
      <c r="AA867" s="59"/>
      <c r="AB867" s="59"/>
      <c r="AC867" s="59"/>
      <c r="AD867" s="59"/>
      <c r="AE867" s="59"/>
      <c r="AF867" s="59"/>
      <c r="AG867" s="59"/>
      <c r="AH867" s="59"/>
      <c r="AI867" s="59" t="str">
        <f>IF(SUM(Dati[[#This Row],[Inv. Business]:[Inv. Cryptocurrency]])=0," ",SUM(Dati[[#This Row],[Inv. Business]:[Inv. Cryptocurrency]]))</f>
        <v xml:space="preserve"> </v>
      </c>
      <c r="AJ867" s="59"/>
      <c r="AK867" s="59"/>
      <c r="AL867" s="59"/>
      <c r="AM867" s="59"/>
    </row>
    <row r="868" spans="2:39" x14ac:dyDescent="0.35">
      <c r="B868" s="237">
        <f>ROW(832:832)</f>
        <v>832</v>
      </c>
      <c r="C868" s="49">
        <f>C865+1</f>
        <v>45574</v>
      </c>
      <c r="D868" s="29">
        <f>DAY(Dati[[#This Row],[Data]])</f>
        <v>9</v>
      </c>
      <c r="E868" s="29" t="str">
        <f>IF(DAY(Data!$C$21:$C$1327)&gt;0,TEXT(Data!$C$21:$C$1327, "mmmm"),"")</f>
        <v>ottobre</v>
      </c>
      <c r="F868" s="29" t="str">
        <f>IF(DAY(Data!$C$21:$C$1327)&gt;0,TEXT(Data!$C$21:$C$1327, "aaaa"),"")</f>
        <v>2024</v>
      </c>
      <c r="I868" t="str">
        <f>IF(OR(H868=$B$5,H868=$B$6,H868=$B$7,H868=$B$8,H868=$B$9,H868=$B$10,H868=$B$11,H868=$B$12,H868=$B$13,H868=$B$14),SottocategorieUscite[[#Headers],[Fuori Casa]],IF(OR(H868=$C$5,H868=$C$6,H868=$C$7,H868=$C$8,H868=$C$9,H868=$C$10,H868=$C$11,H868=$C$12,H868=$C$13,H868=$C$14),SottocategorieUscite[[#Headers],[Varie Uscite]],IF(OR(H868=$D$5,H868=$D$6,H868=$D$7,H868=$D$8,H868=$D$9,H868=$D$10,H868=$D$11,H868=$D$12,H868=$D$13,H868=$D$14),SottocategorieUscite[[#Headers],[Personali]],IF(OR(H868=$E$5,H868=$E$6,H868=$E$7,H868=$E$8,H868=$E$9,H868=$E$10,H868=$E$11,H868=$E$12,H868=$E$13,H868=$E$14),SottocategorieUscite[[#Headers],[Lavoro]],IF(OR(H868=$F$5,H868=$F$6,H868=$F$7,H868=$F$8,H868=$F$9,H868=$F$10,H868=$F$11,H868=$F$12,H868=$F$13,H868=$F$14),SottocategorieUscite[[#Headers],[Casa]],IF(OR(H868=$G$5,H868=$G$6,H868=$G$7,H868=$G$8,H868=$G$9,H868=$G$10,H868=$G$11,H868=$G$12,H868=$G$13,H868=$G$14),SottocategorieUscite[[#Headers],[Utenze]],IF(OR(H868=$H$5,H868=$H$6,H868=$H$7,H868=$H$8,H868=$H$9,H868=$H$10,H868=$H$11,H868=$H$12,H868=$H$13,H868=$H$14),SottocategorieUscite[[#Headers],[Business Uscite]],IF(OR(H868=$I$5,H868=$I$6,H868=$I$7,H868=$I$8,H868=$I$9,H868=$I$10,H868=$I$11,H868=$I$12,H868=$I$13,H868=$I$14),SottocategorieUscite[[#Headers],[Banca]],IF(OR(H868=K$5,H868=K$6,H868=K$7,H868=K$8,H868=K$9,H868=K$10,H868=K$11,H868=K$12,H868=K$13,H868=K$14),SottocategorieEntrate[[#Headers],[Business Entrate]],IF(OR(H868=L$5,H868=L$6,H868=L$7,H868=L$8,H868=L$9,H868=L$10,H868=L$11,H868=L$12,H868=L$13,H868=L$14),SottocategorieEntrate[[#Headers],[Varie Entrate]],IF(OR(H868=M$5,H868=M$6,H868=M$7,H868=M$8,H868=M$9,H868=M$10,H868=M$11,H868=M$12,H868=M$13,H868=M$14),SottocategorieEntrate[[#Headers],[Real Estate]],IF(OR(H868=N$5,H868=N$6,H868=N$7,H868=N$8,H868=N$9,H868=N$10,H868=N$11,H868=N$12,H868=N$13,H868=N$14),SottocategorieEntrate[[#Headers],[Other]],""))))))))))))</f>
        <v/>
      </c>
      <c r="J868" t="str">
        <f>IF(OR(Dati[[#This Row],[Categoria]]="Bollette",Dati[[#This Row],[Categoria]]="Conto &amp; Carte BNL",Dati[[#This Row],[Categoria]]="Prelievo",Dati[[#This Row],[Categoria]]="Affitto",Dati[[#This Row],[Categoria]]="BNL(Interessi Creditori)"),"Carta",IF(Dati[[#This Row],[Categoria]]&lt;&gt;0,"Cash",""))</f>
        <v/>
      </c>
      <c r="K868" s="59" t="str">
        <f>IF(OR(Data!$I868=SottocategorieUscite[[#Headers],[Fuori Casa]],Data!$I868=SottocategorieUscite[[#Headers],[Varie Uscite]],Data!$I868=SottocategorieUscite[[#Headers],[Personali]],Data!$I868=SottocategorieUscite[[#Headers],[Lavoro]]),"$ -","")</f>
        <v/>
      </c>
      <c r="L868" s="59" t="str">
        <f>IF(OR(Data!$I868=SottocategorieUscite[[#Headers],[Casa]],Data!$I868=SottocategorieUscite[[#Headers],[Utenze]],Data!$I868=SottocategorieUscite[[#Headers],[Business Uscite]],Data!$I868=SottocategorieUscite[[#Headers],[Banca]]),"$ -","")</f>
        <v/>
      </c>
      <c r="M868" s="59" t="str">
        <f>IF(OR($I868&lt;&gt;SottocategorieUscite[[#Headers],[Fuori Casa]],$I868&lt;&gt;SottocategorieUscite[[#Headers],[Varie Uscite]],$I868&lt;&gt;SottocategorieUscite[[#Headers],[Personali]],$I868&lt;&gt;SottocategorieUscite[[#Headers],[Lavoro]],$I868&lt;&gt;SottocategorieUscite[[#Headers],[Casa]],$I868&lt;&gt;SottocategorieUscite[[#Headers],[Utenze]],$I868&lt;&gt;SottocategorieUscite[[#Headers],[Business Uscite]],$I868&lt;&gt;SottocategorieUscite[[#Headers],[Banca]]),"","$ -")</f>
        <v/>
      </c>
      <c r="N868" s="59" t="str">
        <f>IF(OR(Data!$I868=SottocategorieEntrate[[#Headers],[Business Entrate]],Data!$I868=SottocategorieEntrate[[#Headers],[Varie Entrate]]),"$ -","")</f>
        <v/>
      </c>
      <c r="O868" s="59" t="str">
        <f>IF(OR(Data!$I868=SottocategorieEntrate[[#Headers],[Real Estate]],SottocategorieEntrate[[#Headers],[Other]]),"$ -","")</f>
        <v/>
      </c>
      <c r="P868" s="59" t="str">
        <f>IF(OR($I868&lt;&gt;SottocategorieEntrate[[#Headers],[Business Entrate]],$I868&lt;&gt;SottocategorieEntrate[[#Headers],[Varie Entrate]],$I868&lt;&gt;SottocategorieEntrate[[#Headers],[Real Estate]],$I868&lt;&gt;SottocategorieEntrate[[#Headers],[Other]]),"","$ -")</f>
        <v/>
      </c>
      <c r="Q868" s="59" t="str">
        <f>IF(Dati[[#This Row],[Categoria]]="Prelievo","€ -","")</f>
        <v/>
      </c>
      <c r="R868" s="244"/>
      <c r="S868" s="59" t="str">
        <f>IF(Dati[[#This Row],[Categoria]]="Savings",0,"")</f>
        <v/>
      </c>
      <c r="T868" s="59"/>
      <c r="U868" s="59"/>
      <c r="V868" s="59"/>
      <c r="W868" s="59"/>
      <c r="X868" s="59"/>
      <c r="Y868" s="59"/>
      <c r="Z868" s="59"/>
      <c r="AA868" s="59"/>
      <c r="AB868" s="59"/>
      <c r="AC868" s="59"/>
      <c r="AD868" s="59"/>
      <c r="AE868" s="59"/>
      <c r="AF868" s="59"/>
      <c r="AG868" s="59"/>
      <c r="AH868" s="59"/>
      <c r="AI868" s="59" t="str">
        <f>IF(SUM(Dati[[#This Row],[Inv. Business]:[Inv. Cryptocurrency]])=0," ",SUM(Dati[[#This Row],[Inv. Business]:[Inv. Cryptocurrency]]))</f>
        <v xml:space="preserve"> </v>
      </c>
      <c r="AJ868" s="59"/>
      <c r="AK868" s="59"/>
      <c r="AL868" s="59"/>
      <c r="AM868" s="59"/>
    </row>
    <row r="869" spans="2:39" x14ac:dyDescent="0.35">
      <c r="B869" s="237">
        <f>ROW(833:833)</f>
        <v>833</v>
      </c>
      <c r="C869" s="49">
        <f>C867+1</f>
        <v>45574</v>
      </c>
      <c r="D869" s="29">
        <f>DAY(Dati[[#This Row],[Data]])</f>
        <v>9</v>
      </c>
      <c r="E869" s="29" t="str">
        <f>IF(DAY(Data!$C$21:$C$1327)&gt;0,TEXT(Data!$C$21:$C$1327, "mmmm"),"")</f>
        <v>ottobre</v>
      </c>
      <c r="F869" s="29" t="str">
        <f>IF(DAY(Data!$C$21:$C$1327)&gt;0,TEXT(Data!$C$21:$C$1327, "aaaa"),"")</f>
        <v>2024</v>
      </c>
      <c r="I869" t="str">
        <f>IF(OR(H869=$B$5,H869=$B$6,H869=$B$7,H869=$B$8,H869=$B$9,H869=$B$10,H869=$B$11,H869=$B$12,H869=$B$13,H869=$B$14),SottocategorieUscite[[#Headers],[Fuori Casa]],IF(OR(H869=$C$5,H869=$C$6,H869=$C$7,H869=$C$8,H869=$C$9,H869=$C$10,H869=$C$11,H869=$C$12,H869=$C$13,H869=$C$14),SottocategorieUscite[[#Headers],[Varie Uscite]],IF(OR(H869=$D$5,H869=$D$6,H869=$D$7,H869=$D$8,H869=$D$9,H869=$D$10,H869=$D$11,H869=$D$12,H869=$D$13,H869=$D$14),SottocategorieUscite[[#Headers],[Personali]],IF(OR(H869=$E$5,H869=$E$6,H869=$E$7,H869=$E$8,H869=$E$9,H869=$E$10,H869=$E$11,H869=$E$12,H869=$E$13,H869=$E$14),SottocategorieUscite[[#Headers],[Lavoro]],IF(OR(H869=$F$5,H869=$F$6,H869=$F$7,H869=$F$8,H869=$F$9,H869=$F$10,H869=$F$11,H869=$F$12,H869=$F$13,H869=$F$14),SottocategorieUscite[[#Headers],[Casa]],IF(OR(H869=$G$5,H869=$G$6,H869=$G$7,H869=$G$8,H869=$G$9,H869=$G$10,H869=$G$11,H869=$G$12,H869=$G$13,H869=$G$14),SottocategorieUscite[[#Headers],[Utenze]],IF(OR(H869=$H$5,H869=$H$6,H869=$H$7,H869=$H$8,H869=$H$9,H869=$H$10,H869=$H$11,H869=$H$12,H869=$H$13,H869=$H$14),SottocategorieUscite[[#Headers],[Business Uscite]],IF(OR(H869=$I$5,H869=$I$6,H869=$I$7,H869=$I$8,H869=$I$9,H869=$I$10,H869=$I$11,H869=$I$12,H869=$I$13,H869=$I$14),SottocategorieUscite[[#Headers],[Banca]],IF(OR(H869=K$5,H869=K$6,H869=K$7,H869=K$8,H869=K$9,H869=K$10,H869=K$11,H869=K$12,H869=K$13,H869=K$14),SottocategorieEntrate[[#Headers],[Business Entrate]],IF(OR(H869=L$5,H869=L$6,H869=L$7,H869=L$8,H869=L$9,H869=L$10,H869=L$11,H869=L$12,H869=L$13,H869=L$14),SottocategorieEntrate[[#Headers],[Varie Entrate]],IF(OR(H869=M$5,H869=M$6,H869=M$7,H869=M$8,H869=M$9,H869=M$10,H869=M$11,H869=M$12,H869=M$13,H869=M$14),SottocategorieEntrate[[#Headers],[Real Estate]],IF(OR(H869=N$5,H869=N$6,H869=N$7,H869=N$8,H869=N$9,H869=N$10,H869=N$11,H869=N$12,H869=N$13,H869=N$14),SottocategorieEntrate[[#Headers],[Other]],""))))))))))))</f>
        <v/>
      </c>
      <c r="J869" t="str">
        <f>IF(OR(Dati[[#This Row],[Categoria]]="Bollette",Dati[[#This Row],[Categoria]]="Conto &amp; Carte BNL",Dati[[#This Row],[Categoria]]="Prelievo",Dati[[#This Row],[Categoria]]="Affitto",Dati[[#This Row],[Categoria]]="BNL(Interessi Creditori)"),"Carta",IF(Dati[[#This Row],[Categoria]]&lt;&gt;0,"Cash",""))</f>
        <v/>
      </c>
      <c r="K869" s="59" t="str">
        <f>IF(OR(Data!$I869=SottocategorieUscite[[#Headers],[Fuori Casa]],Data!$I869=SottocategorieUscite[[#Headers],[Varie Uscite]],Data!$I869=SottocategorieUscite[[#Headers],[Personali]],Data!$I869=SottocategorieUscite[[#Headers],[Lavoro]]),"$ -","")</f>
        <v/>
      </c>
      <c r="L869" s="59" t="str">
        <f>IF(OR(Data!$I869=SottocategorieUscite[[#Headers],[Casa]],Data!$I869=SottocategorieUscite[[#Headers],[Utenze]],Data!$I869=SottocategorieUscite[[#Headers],[Business Uscite]],Data!$I869=SottocategorieUscite[[#Headers],[Banca]]),"$ -","")</f>
        <v/>
      </c>
      <c r="M869" s="59" t="str">
        <f>IF(OR($I869&lt;&gt;SottocategorieUscite[[#Headers],[Fuori Casa]],$I869&lt;&gt;SottocategorieUscite[[#Headers],[Varie Uscite]],$I869&lt;&gt;SottocategorieUscite[[#Headers],[Personali]],$I869&lt;&gt;SottocategorieUscite[[#Headers],[Lavoro]],$I869&lt;&gt;SottocategorieUscite[[#Headers],[Casa]],$I869&lt;&gt;SottocategorieUscite[[#Headers],[Utenze]],$I869&lt;&gt;SottocategorieUscite[[#Headers],[Business Uscite]],$I869&lt;&gt;SottocategorieUscite[[#Headers],[Banca]]),"","$ -")</f>
        <v/>
      </c>
      <c r="N869" s="59" t="str">
        <f>IF(OR(Data!$I869=SottocategorieEntrate[[#Headers],[Business Entrate]],Data!$I869=SottocategorieEntrate[[#Headers],[Varie Entrate]]),"$ -","")</f>
        <v/>
      </c>
      <c r="O869" s="59" t="str">
        <f>IF(OR(Data!$I869=SottocategorieEntrate[[#Headers],[Real Estate]],SottocategorieEntrate[[#Headers],[Other]]),"$ -","")</f>
        <v/>
      </c>
      <c r="P869" s="59" t="str">
        <f>IF(OR($I869&lt;&gt;SottocategorieEntrate[[#Headers],[Business Entrate]],$I869&lt;&gt;SottocategorieEntrate[[#Headers],[Varie Entrate]],$I869&lt;&gt;SottocategorieEntrate[[#Headers],[Real Estate]],$I869&lt;&gt;SottocategorieEntrate[[#Headers],[Other]]),"","$ -")</f>
        <v/>
      </c>
      <c r="Q869" s="59" t="str">
        <f>IF(Dati[[#This Row],[Categoria]]="Prelievo","€ -","")</f>
        <v/>
      </c>
      <c r="R869" s="244"/>
      <c r="S869" s="59" t="str">
        <f>IF(Dati[[#This Row],[Categoria]]="Savings",0,"")</f>
        <v/>
      </c>
      <c r="T869" s="59"/>
      <c r="U869" s="59"/>
      <c r="V869" s="59"/>
      <c r="W869" s="59"/>
      <c r="X869" s="59"/>
      <c r="Y869" s="59"/>
      <c r="Z869" s="59"/>
      <c r="AA869" s="59"/>
      <c r="AB869" s="59"/>
      <c r="AC869" s="59"/>
      <c r="AD869" s="59"/>
      <c r="AE869" s="59"/>
      <c r="AF869" s="59"/>
      <c r="AG869" s="59"/>
      <c r="AH869" s="59"/>
      <c r="AI869" s="59" t="str">
        <f>IF(SUM(Dati[[#This Row],[Inv. Business]:[Inv. Cryptocurrency]])=0," ",SUM(Dati[[#This Row],[Inv. Business]:[Inv. Cryptocurrency]]))</f>
        <v xml:space="preserve"> </v>
      </c>
      <c r="AJ869" s="59"/>
      <c r="AK869" s="59"/>
      <c r="AL869" s="59"/>
      <c r="AM869" s="59"/>
    </row>
    <row r="870" spans="2:39" x14ac:dyDescent="0.35">
      <c r="B870" s="237">
        <f>ROW(834:834)</f>
        <v>834</v>
      </c>
      <c r="C870" s="49">
        <f>C868+1</f>
        <v>45575</v>
      </c>
      <c r="D870" s="29">
        <f>DAY(Dati[[#This Row],[Data]])</f>
        <v>10</v>
      </c>
      <c r="E870" s="29" t="str">
        <f>IF(DAY(Data!$C$21:$C$1327)&gt;0,TEXT(Data!$C$21:$C$1327, "mmmm"),"")</f>
        <v>ottobre</v>
      </c>
      <c r="F870" s="29" t="str">
        <f>IF(DAY(Data!$C$21:$C$1327)&gt;0,TEXT(Data!$C$21:$C$1327, "aaaa"),"")</f>
        <v>2024</v>
      </c>
      <c r="I870" t="str">
        <f>IF(OR(H870=$B$5,H870=$B$6,H870=$B$7,H870=$B$8,H870=$B$9,H870=$B$10,H870=$B$11,H870=$B$12,H870=$B$13,H870=$B$14),SottocategorieUscite[[#Headers],[Fuori Casa]],IF(OR(H870=$C$5,H870=$C$6,H870=$C$7,H870=$C$8,H870=$C$9,H870=$C$10,H870=$C$11,H870=$C$12,H870=$C$13,H870=$C$14),SottocategorieUscite[[#Headers],[Varie Uscite]],IF(OR(H870=$D$5,H870=$D$6,H870=$D$7,H870=$D$8,H870=$D$9,H870=$D$10,H870=$D$11,H870=$D$12,H870=$D$13,H870=$D$14),SottocategorieUscite[[#Headers],[Personali]],IF(OR(H870=$E$5,H870=$E$6,H870=$E$7,H870=$E$8,H870=$E$9,H870=$E$10,H870=$E$11,H870=$E$12,H870=$E$13,H870=$E$14),SottocategorieUscite[[#Headers],[Lavoro]],IF(OR(H870=$F$5,H870=$F$6,H870=$F$7,H870=$F$8,H870=$F$9,H870=$F$10,H870=$F$11,H870=$F$12,H870=$F$13,H870=$F$14),SottocategorieUscite[[#Headers],[Casa]],IF(OR(H870=$G$5,H870=$G$6,H870=$G$7,H870=$G$8,H870=$G$9,H870=$G$10,H870=$G$11,H870=$G$12,H870=$G$13,H870=$G$14),SottocategorieUscite[[#Headers],[Utenze]],IF(OR(H870=$H$5,H870=$H$6,H870=$H$7,H870=$H$8,H870=$H$9,H870=$H$10,H870=$H$11,H870=$H$12,H870=$H$13,H870=$H$14),SottocategorieUscite[[#Headers],[Business Uscite]],IF(OR(H870=$I$5,H870=$I$6,H870=$I$7,H870=$I$8,H870=$I$9,H870=$I$10,H870=$I$11,H870=$I$12,H870=$I$13,H870=$I$14),SottocategorieUscite[[#Headers],[Banca]],IF(OR(H870=K$5,H870=K$6,H870=K$7,H870=K$8,H870=K$9,H870=K$10,H870=K$11,H870=K$12,H870=K$13,H870=K$14),SottocategorieEntrate[[#Headers],[Business Entrate]],IF(OR(H870=L$5,H870=L$6,H870=L$7,H870=L$8,H870=L$9,H870=L$10,H870=L$11,H870=L$12,H870=L$13,H870=L$14),SottocategorieEntrate[[#Headers],[Varie Entrate]],IF(OR(H870=M$5,H870=M$6,H870=M$7,H870=M$8,H870=M$9,H870=M$10,H870=M$11,H870=M$12,H870=M$13,H870=M$14),SottocategorieEntrate[[#Headers],[Real Estate]],IF(OR(H870=N$5,H870=N$6,H870=N$7,H870=N$8,H870=N$9,H870=N$10,H870=N$11,H870=N$12,H870=N$13,H870=N$14),SottocategorieEntrate[[#Headers],[Other]],""))))))))))))</f>
        <v/>
      </c>
      <c r="J870" t="str">
        <f>IF(OR(Dati[[#This Row],[Categoria]]="Bollette",Dati[[#This Row],[Categoria]]="Conto &amp; Carte BNL",Dati[[#This Row],[Categoria]]="Prelievo",Dati[[#This Row],[Categoria]]="Affitto",Dati[[#This Row],[Categoria]]="BNL(Interessi Creditori)"),"Carta",IF(Dati[[#This Row],[Categoria]]&lt;&gt;0,"Cash",""))</f>
        <v/>
      </c>
      <c r="K870" s="59" t="str">
        <f>IF(OR(Data!$I870=SottocategorieUscite[[#Headers],[Fuori Casa]],Data!$I870=SottocategorieUscite[[#Headers],[Varie Uscite]],Data!$I870=SottocategorieUscite[[#Headers],[Personali]],Data!$I870=SottocategorieUscite[[#Headers],[Lavoro]]),"$ -","")</f>
        <v/>
      </c>
      <c r="L870" s="59" t="str">
        <f>IF(OR(Data!$I870=SottocategorieUscite[[#Headers],[Casa]],Data!$I870=SottocategorieUscite[[#Headers],[Utenze]],Data!$I870=SottocategorieUscite[[#Headers],[Business Uscite]],Data!$I870=SottocategorieUscite[[#Headers],[Banca]]),"$ -","")</f>
        <v/>
      </c>
      <c r="M870" s="59" t="str">
        <f>IF(OR($I870&lt;&gt;SottocategorieUscite[[#Headers],[Fuori Casa]],$I870&lt;&gt;SottocategorieUscite[[#Headers],[Varie Uscite]],$I870&lt;&gt;SottocategorieUscite[[#Headers],[Personali]],$I870&lt;&gt;SottocategorieUscite[[#Headers],[Lavoro]],$I870&lt;&gt;SottocategorieUscite[[#Headers],[Casa]],$I870&lt;&gt;SottocategorieUscite[[#Headers],[Utenze]],$I870&lt;&gt;SottocategorieUscite[[#Headers],[Business Uscite]],$I870&lt;&gt;SottocategorieUscite[[#Headers],[Banca]]),"","$ -")</f>
        <v/>
      </c>
      <c r="N870" s="59" t="str">
        <f>IF(OR(Data!$I870=SottocategorieEntrate[[#Headers],[Business Entrate]],Data!$I870=SottocategorieEntrate[[#Headers],[Varie Entrate]]),"$ -","")</f>
        <v/>
      </c>
      <c r="O870" s="59" t="str">
        <f>IF(OR(Data!$I870=SottocategorieEntrate[[#Headers],[Real Estate]],SottocategorieEntrate[[#Headers],[Other]]),"$ -","")</f>
        <v/>
      </c>
      <c r="P870" s="59" t="str">
        <f>IF(OR($I870&lt;&gt;SottocategorieEntrate[[#Headers],[Business Entrate]],$I870&lt;&gt;SottocategorieEntrate[[#Headers],[Varie Entrate]],$I870&lt;&gt;SottocategorieEntrate[[#Headers],[Real Estate]],$I870&lt;&gt;SottocategorieEntrate[[#Headers],[Other]]),"","$ -")</f>
        <v/>
      </c>
      <c r="Q870" s="59" t="str">
        <f>IF(Dati[[#This Row],[Categoria]]="Prelievo","€ -","")</f>
        <v/>
      </c>
      <c r="R870" s="244"/>
      <c r="S870" s="59" t="str">
        <f>IF(Dati[[#This Row],[Categoria]]="Savings",0,"")</f>
        <v/>
      </c>
      <c r="T870" s="59"/>
      <c r="U870" s="59"/>
      <c r="V870" s="59"/>
      <c r="W870" s="59"/>
      <c r="X870" s="59"/>
      <c r="Y870" s="59"/>
      <c r="Z870" s="59"/>
      <c r="AA870" s="59"/>
      <c r="AB870" s="59"/>
      <c r="AC870" s="59"/>
      <c r="AD870" s="59"/>
      <c r="AE870" s="59"/>
      <c r="AF870" s="59"/>
      <c r="AG870" s="59"/>
      <c r="AH870" s="59"/>
      <c r="AI870" s="59" t="str">
        <f>IF(SUM(Dati[[#This Row],[Inv. Business]:[Inv. Cryptocurrency]])=0," ",SUM(Dati[[#This Row],[Inv. Business]:[Inv. Cryptocurrency]]))</f>
        <v xml:space="preserve"> </v>
      </c>
      <c r="AJ870" s="59"/>
      <c r="AK870" s="59"/>
      <c r="AL870" s="59"/>
      <c r="AM870" s="59"/>
    </row>
    <row r="871" spans="2:39" x14ac:dyDescent="0.35">
      <c r="B871" s="237">
        <f>ROW(834:834)</f>
        <v>834</v>
      </c>
      <c r="C871" s="49">
        <f>C869+1</f>
        <v>45575</v>
      </c>
      <c r="D871" s="29">
        <f>DAY(Dati[[#This Row],[Data]])</f>
        <v>10</v>
      </c>
      <c r="E871" s="29" t="str">
        <f>IF(DAY(Data!$C$21:$C$1327)&gt;0,TEXT(Data!$C$21:$C$1327, "mmmm"),"")</f>
        <v>ottobre</v>
      </c>
      <c r="F871" s="29" t="str">
        <f>IF(DAY(Data!$C$21:$C$1327)&gt;0,TEXT(Data!$C$21:$C$1327, "aaaa"),"")</f>
        <v>2024</v>
      </c>
      <c r="I871" t="str">
        <f>IF(OR(H871=$B$5,H871=$B$6,H871=$B$7,H871=$B$8,H871=$B$9,H871=$B$10,H871=$B$11,H871=$B$12,H871=$B$13,H871=$B$14),SottocategorieUscite[[#Headers],[Fuori Casa]],IF(OR(H871=$C$5,H871=$C$6,H871=$C$7,H871=$C$8,H871=$C$9,H871=$C$10,H871=$C$11,H871=$C$12,H871=$C$13,H871=$C$14),SottocategorieUscite[[#Headers],[Varie Uscite]],IF(OR(H871=$D$5,H871=$D$6,H871=$D$7,H871=$D$8,H871=$D$9,H871=$D$10,H871=$D$11,H871=$D$12,H871=$D$13,H871=$D$14),SottocategorieUscite[[#Headers],[Personali]],IF(OR(H871=$E$5,H871=$E$6,H871=$E$7,H871=$E$8,H871=$E$9,H871=$E$10,H871=$E$11,H871=$E$12,H871=$E$13,H871=$E$14),SottocategorieUscite[[#Headers],[Lavoro]],IF(OR(H871=$F$5,H871=$F$6,H871=$F$7,H871=$F$8,H871=$F$9,H871=$F$10,H871=$F$11,H871=$F$12,H871=$F$13,H871=$F$14),SottocategorieUscite[[#Headers],[Casa]],IF(OR(H871=$G$5,H871=$G$6,H871=$G$7,H871=$G$8,H871=$G$9,H871=$G$10,H871=$G$11,H871=$G$12,H871=$G$13,H871=$G$14),SottocategorieUscite[[#Headers],[Utenze]],IF(OR(H871=$H$5,H871=$H$6,H871=$H$7,H871=$H$8,H871=$H$9,H871=$H$10,H871=$H$11,H871=$H$12,H871=$H$13,H871=$H$14),SottocategorieUscite[[#Headers],[Business Uscite]],IF(OR(H871=$I$5,H871=$I$6,H871=$I$7,H871=$I$8,H871=$I$9,H871=$I$10,H871=$I$11,H871=$I$12,H871=$I$13,H871=$I$14),SottocategorieUscite[[#Headers],[Banca]],IF(OR(H871=K$5,H871=K$6,H871=K$7,H871=K$8,H871=K$9,H871=K$10,H871=K$11,H871=K$12,H871=K$13,H871=K$14),SottocategorieEntrate[[#Headers],[Business Entrate]],IF(OR(H871=L$5,H871=L$6,H871=L$7,H871=L$8,H871=L$9,H871=L$10,H871=L$11,H871=L$12,H871=L$13,H871=L$14),SottocategorieEntrate[[#Headers],[Varie Entrate]],IF(OR(H871=M$5,H871=M$6,H871=M$7,H871=M$8,H871=M$9,H871=M$10,H871=M$11,H871=M$12,H871=M$13,H871=M$14),SottocategorieEntrate[[#Headers],[Real Estate]],IF(OR(H871=N$5,H871=N$6,H871=N$7,H871=N$8,H871=N$9,H871=N$10,H871=N$11,H871=N$12,H871=N$13,H871=N$14),SottocategorieEntrate[[#Headers],[Other]],""))))))))))))</f>
        <v/>
      </c>
      <c r="J871" t="str">
        <f>IF(OR(Dati[[#This Row],[Categoria]]="Bollette",Dati[[#This Row],[Categoria]]="Conto &amp; Carte BNL",Dati[[#This Row],[Categoria]]="Prelievo",Dati[[#This Row],[Categoria]]="Affitto",Dati[[#This Row],[Categoria]]="BNL(Interessi Creditori)"),"Carta",IF(Dati[[#This Row],[Categoria]]&lt;&gt;0,"Cash",""))</f>
        <v/>
      </c>
      <c r="K871" s="59" t="str">
        <f>IF(OR(Data!$I871=SottocategorieUscite[[#Headers],[Fuori Casa]],Data!$I871=SottocategorieUscite[[#Headers],[Varie Uscite]],Data!$I871=SottocategorieUscite[[#Headers],[Personali]],Data!$I871=SottocategorieUscite[[#Headers],[Lavoro]]),"$ -","")</f>
        <v/>
      </c>
      <c r="L871" s="59" t="str">
        <f>IF(OR(Data!$I871=SottocategorieUscite[[#Headers],[Casa]],Data!$I871=SottocategorieUscite[[#Headers],[Utenze]],Data!$I871=SottocategorieUscite[[#Headers],[Business Uscite]],Data!$I871=SottocategorieUscite[[#Headers],[Banca]]),"$ -","")</f>
        <v/>
      </c>
      <c r="M871" s="59" t="str">
        <f>IF(OR($I871&lt;&gt;SottocategorieUscite[[#Headers],[Fuori Casa]],$I871&lt;&gt;SottocategorieUscite[[#Headers],[Varie Uscite]],$I871&lt;&gt;SottocategorieUscite[[#Headers],[Personali]],$I871&lt;&gt;SottocategorieUscite[[#Headers],[Lavoro]],$I871&lt;&gt;SottocategorieUscite[[#Headers],[Casa]],$I871&lt;&gt;SottocategorieUscite[[#Headers],[Utenze]],$I871&lt;&gt;SottocategorieUscite[[#Headers],[Business Uscite]],$I871&lt;&gt;SottocategorieUscite[[#Headers],[Banca]]),"","$ -")</f>
        <v/>
      </c>
      <c r="N871" s="59" t="str">
        <f>IF(OR(Data!$I871=SottocategorieEntrate[[#Headers],[Business Entrate]],Data!$I871=SottocategorieEntrate[[#Headers],[Varie Entrate]]),"$ -","")</f>
        <v/>
      </c>
      <c r="O871" s="59" t="str">
        <f>IF(OR(Data!$I871=SottocategorieEntrate[[#Headers],[Real Estate]],SottocategorieEntrate[[#Headers],[Other]]),"$ -","")</f>
        <v/>
      </c>
      <c r="P871" s="59" t="str">
        <f>IF(OR($I871&lt;&gt;SottocategorieEntrate[[#Headers],[Business Entrate]],$I871&lt;&gt;SottocategorieEntrate[[#Headers],[Varie Entrate]],$I871&lt;&gt;SottocategorieEntrate[[#Headers],[Real Estate]],$I871&lt;&gt;SottocategorieEntrate[[#Headers],[Other]]),"","$ -")</f>
        <v/>
      </c>
      <c r="Q871" s="59" t="str">
        <f>IF(Dati[[#This Row],[Categoria]]="Prelievo","€ -","")</f>
        <v/>
      </c>
      <c r="R871" s="244"/>
      <c r="S871" s="59" t="str">
        <f>IF(Dati[[#This Row],[Categoria]]="Savings",0,"")</f>
        <v/>
      </c>
      <c r="T871" s="59"/>
      <c r="U871" s="59"/>
      <c r="V871" s="59"/>
      <c r="W871" s="59"/>
      <c r="X871" s="59"/>
      <c r="Y871" s="59"/>
      <c r="Z871" s="59"/>
      <c r="AA871" s="59"/>
      <c r="AB871" s="59"/>
      <c r="AC871" s="59"/>
      <c r="AD871" s="59"/>
      <c r="AE871" s="59"/>
      <c r="AF871" s="59"/>
      <c r="AG871" s="59"/>
      <c r="AH871" s="59"/>
      <c r="AI871" s="59" t="str">
        <f>IF(SUM(Dati[[#This Row],[Inv. Business]:[Inv. Cryptocurrency]])=0," ",SUM(Dati[[#This Row],[Inv. Business]:[Inv. Cryptocurrency]]))</f>
        <v xml:space="preserve"> </v>
      </c>
      <c r="AJ871" s="59"/>
      <c r="AK871" s="59"/>
      <c r="AL871" s="59"/>
      <c r="AM871" s="59"/>
    </row>
    <row r="872" spans="2:39" x14ac:dyDescent="0.35">
      <c r="B872" s="237">
        <f>ROW(834:834)</f>
        <v>834</v>
      </c>
      <c r="C872" s="49">
        <f>C869+1</f>
        <v>45575</v>
      </c>
      <c r="D872" s="29">
        <f>DAY(Dati[[#This Row],[Data]])</f>
        <v>10</v>
      </c>
      <c r="E872" s="29" t="str">
        <f>IF(DAY(Data!$C$21:$C$1327)&gt;0,TEXT(Data!$C$21:$C$1327, "mmmm"),"")</f>
        <v>ottobre</v>
      </c>
      <c r="F872" s="29" t="str">
        <f>IF(DAY(Data!$C$21:$C$1327)&gt;0,TEXT(Data!$C$21:$C$1327, "aaaa"),"")</f>
        <v>2024</v>
      </c>
      <c r="I872" t="str">
        <f>IF(OR(H872=$B$5,H872=$B$6,H872=$B$7,H872=$B$8,H872=$B$9,H872=$B$10,H872=$B$11,H872=$B$12,H872=$B$13,H872=$B$14),SottocategorieUscite[[#Headers],[Fuori Casa]],IF(OR(H872=$C$5,H872=$C$6,H872=$C$7,H872=$C$8,H872=$C$9,H872=$C$10,H872=$C$11,H872=$C$12,H872=$C$13,H872=$C$14),SottocategorieUscite[[#Headers],[Varie Uscite]],IF(OR(H872=$D$5,H872=$D$6,H872=$D$7,H872=$D$8,H872=$D$9,H872=$D$10,H872=$D$11,H872=$D$12,H872=$D$13,H872=$D$14),SottocategorieUscite[[#Headers],[Personali]],IF(OR(H872=$E$5,H872=$E$6,H872=$E$7,H872=$E$8,H872=$E$9,H872=$E$10,H872=$E$11,H872=$E$12,H872=$E$13,H872=$E$14),SottocategorieUscite[[#Headers],[Lavoro]],IF(OR(H872=$F$5,H872=$F$6,H872=$F$7,H872=$F$8,H872=$F$9,H872=$F$10,H872=$F$11,H872=$F$12,H872=$F$13,H872=$F$14),SottocategorieUscite[[#Headers],[Casa]],IF(OR(H872=$G$5,H872=$G$6,H872=$G$7,H872=$G$8,H872=$G$9,H872=$G$10,H872=$G$11,H872=$G$12,H872=$G$13,H872=$G$14),SottocategorieUscite[[#Headers],[Utenze]],IF(OR(H872=$H$5,H872=$H$6,H872=$H$7,H872=$H$8,H872=$H$9,H872=$H$10,H872=$H$11,H872=$H$12,H872=$H$13,H872=$H$14),SottocategorieUscite[[#Headers],[Business Uscite]],IF(OR(H872=$I$5,H872=$I$6,H872=$I$7,H872=$I$8,H872=$I$9,H872=$I$10,H872=$I$11,H872=$I$12,H872=$I$13,H872=$I$14),SottocategorieUscite[[#Headers],[Banca]],IF(OR(H872=K$5,H872=K$6,H872=K$7,H872=K$8,H872=K$9,H872=K$10,H872=K$11,H872=K$12,H872=K$13,H872=K$14),SottocategorieEntrate[[#Headers],[Business Entrate]],IF(OR(H872=L$5,H872=L$6,H872=L$7,H872=L$8,H872=L$9,H872=L$10,H872=L$11,H872=L$12,H872=L$13,H872=L$14),SottocategorieEntrate[[#Headers],[Varie Entrate]],IF(OR(H872=M$5,H872=M$6,H872=M$7,H872=M$8,H872=M$9,H872=M$10,H872=M$11,H872=M$12,H872=M$13,H872=M$14),SottocategorieEntrate[[#Headers],[Real Estate]],IF(OR(H872=N$5,H872=N$6,H872=N$7,H872=N$8,H872=N$9,H872=N$10,H872=N$11,H872=N$12,H872=N$13,H872=N$14),SottocategorieEntrate[[#Headers],[Other]],""))))))))))))</f>
        <v/>
      </c>
      <c r="J872" t="str">
        <f>IF(OR(Dati[[#This Row],[Categoria]]="Bollette",Dati[[#This Row],[Categoria]]="Conto &amp; Carte BNL",Dati[[#This Row],[Categoria]]="Prelievo",Dati[[#This Row],[Categoria]]="Affitto",Dati[[#This Row],[Categoria]]="BNL(Interessi Creditori)"),"Carta",IF(Dati[[#This Row],[Categoria]]&lt;&gt;0,"Cash",""))</f>
        <v/>
      </c>
      <c r="K872" s="59" t="str">
        <f>IF(OR(Data!$I872=SottocategorieUscite[[#Headers],[Fuori Casa]],Data!$I872=SottocategorieUscite[[#Headers],[Varie Uscite]],Data!$I872=SottocategorieUscite[[#Headers],[Personali]],Data!$I872=SottocategorieUscite[[#Headers],[Lavoro]]),"$ -","")</f>
        <v/>
      </c>
      <c r="L872" s="59" t="str">
        <f>IF(OR(Data!$I872=SottocategorieUscite[[#Headers],[Casa]],Data!$I872=SottocategorieUscite[[#Headers],[Utenze]],Data!$I872=SottocategorieUscite[[#Headers],[Business Uscite]],Data!$I872=SottocategorieUscite[[#Headers],[Banca]]),"$ -","")</f>
        <v/>
      </c>
      <c r="M872" s="59" t="str">
        <f>IF(OR($I872&lt;&gt;SottocategorieUscite[[#Headers],[Fuori Casa]],$I872&lt;&gt;SottocategorieUscite[[#Headers],[Varie Uscite]],$I872&lt;&gt;SottocategorieUscite[[#Headers],[Personali]],$I872&lt;&gt;SottocategorieUscite[[#Headers],[Lavoro]],$I872&lt;&gt;SottocategorieUscite[[#Headers],[Casa]],$I872&lt;&gt;SottocategorieUscite[[#Headers],[Utenze]],$I872&lt;&gt;SottocategorieUscite[[#Headers],[Business Uscite]],$I872&lt;&gt;SottocategorieUscite[[#Headers],[Banca]]),"","$ -")</f>
        <v/>
      </c>
      <c r="N872" s="59" t="str">
        <f>IF(OR(Data!$I872=SottocategorieEntrate[[#Headers],[Business Entrate]],Data!$I872=SottocategorieEntrate[[#Headers],[Varie Entrate]]),"$ -","")</f>
        <v/>
      </c>
      <c r="O872" s="59" t="str">
        <f>IF(OR(Data!$I872=SottocategorieEntrate[[#Headers],[Real Estate]],SottocategorieEntrate[[#Headers],[Other]]),"$ -","")</f>
        <v/>
      </c>
      <c r="P872" s="59" t="str">
        <f>IF(OR($I872&lt;&gt;SottocategorieEntrate[[#Headers],[Business Entrate]],$I872&lt;&gt;SottocategorieEntrate[[#Headers],[Varie Entrate]],$I872&lt;&gt;SottocategorieEntrate[[#Headers],[Real Estate]],$I872&lt;&gt;SottocategorieEntrate[[#Headers],[Other]]),"","$ -")</f>
        <v/>
      </c>
      <c r="Q872" s="59" t="str">
        <f>IF(Dati[[#This Row],[Categoria]]="Prelievo","€ -","")</f>
        <v/>
      </c>
      <c r="R872" s="244"/>
      <c r="S872" s="59" t="str">
        <f>IF(Dati[[#This Row],[Categoria]]="Savings",0,"")</f>
        <v/>
      </c>
      <c r="T872" s="59"/>
      <c r="U872" s="59"/>
      <c r="V872" s="59"/>
      <c r="W872" s="59"/>
      <c r="X872" s="59"/>
      <c r="Y872" s="59"/>
      <c r="Z872" s="59"/>
      <c r="AA872" s="59"/>
      <c r="AB872" s="59"/>
      <c r="AC872" s="59"/>
      <c r="AD872" s="59"/>
      <c r="AE872" s="59"/>
      <c r="AF872" s="59"/>
      <c r="AG872" s="59"/>
      <c r="AH872" s="59"/>
      <c r="AI872" s="59" t="str">
        <f>IF(SUM(Dati[[#This Row],[Inv. Business]:[Inv. Cryptocurrency]])=0," ",SUM(Dati[[#This Row],[Inv. Business]:[Inv. Cryptocurrency]]))</f>
        <v xml:space="preserve"> </v>
      </c>
      <c r="AJ872" s="59"/>
      <c r="AK872" s="59"/>
      <c r="AL872" s="59"/>
      <c r="AM872" s="59"/>
    </row>
    <row r="873" spans="2:39" x14ac:dyDescent="0.35">
      <c r="B873" s="237">
        <f>ROW(834:834)</f>
        <v>834</v>
      </c>
      <c r="C873" s="49">
        <f>C869+1</f>
        <v>45575</v>
      </c>
      <c r="D873" s="29">
        <f>DAY(Dati[[#This Row],[Data]])</f>
        <v>10</v>
      </c>
      <c r="E873" s="29" t="str">
        <f>IF(DAY(Data!$C$21:$C$1327)&gt;0,TEXT(Data!$C$21:$C$1327, "mmmm"),"")</f>
        <v>ottobre</v>
      </c>
      <c r="F873" s="29" t="str">
        <f>IF(DAY(Data!$C$21:$C$1327)&gt;0,TEXT(Data!$C$21:$C$1327, "aaaa"),"")</f>
        <v>2024</v>
      </c>
      <c r="I873" t="str">
        <f>IF(OR(H873=$B$5,H873=$B$6,H873=$B$7,H873=$B$8,H873=$B$9,H873=$B$10,H873=$B$11,H873=$B$12,H873=$B$13,H873=$B$14),SottocategorieUscite[[#Headers],[Fuori Casa]],IF(OR(H873=$C$5,H873=$C$6,H873=$C$7,H873=$C$8,H873=$C$9,H873=$C$10,H873=$C$11,H873=$C$12,H873=$C$13,H873=$C$14),SottocategorieUscite[[#Headers],[Varie Uscite]],IF(OR(H873=$D$5,H873=$D$6,H873=$D$7,H873=$D$8,H873=$D$9,H873=$D$10,H873=$D$11,H873=$D$12,H873=$D$13,H873=$D$14),SottocategorieUscite[[#Headers],[Personali]],IF(OR(H873=$E$5,H873=$E$6,H873=$E$7,H873=$E$8,H873=$E$9,H873=$E$10,H873=$E$11,H873=$E$12,H873=$E$13,H873=$E$14),SottocategorieUscite[[#Headers],[Lavoro]],IF(OR(H873=$F$5,H873=$F$6,H873=$F$7,H873=$F$8,H873=$F$9,H873=$F$10,H873=$F$11,H873=$F$12,H873=$F$13,H873=$F$14),SottocategorieUscite[[#Headers],[Casa]],IF(OR(H873=$G$5,H873=$G$6,H873=$G$7,H873=$G$8,H873=$G$9,H873=$G$10,H873=$G$11,H873=$G$12,H873=$G$13,H873=$G$14),SottocategorieUscite[[#Headers],[Utenze]],IF(OR(H873=$H$5,H873=$H$6,H873=$H$7,H873=$H$8,H873=$H$9,H873=$H$10,H873=$H$11,H873=$H$12,H873=$H$13,H873=$H$14),SottocategorieUscite[[#Headers],[Business Uscite]],IF(OR(H873=$I$5,H873=$I$6,H873=$I$7,H873=$I$8,H873=$I$9,H873=$I$10,H873=$I$11,H873=$I$12,H873=$I$13,H873=$I$14),SottocategorieUscite[[#Headers],[Banca]],IF(OR(H873=K$5,H873=K$6,H873=K$7,H873=K$8,H873=K$9,H873=K$10,H873=K$11,H873=K$12,H873=K$13,H873=K$14),SottocategorieEntrate[[#Headers],[Business Entrate]],IF(OR(H873=L$5,H873=L$6,H873=L$7,H873=L$8,H873=L$9,H873=L$10,H873=L$11,H873=L$12,H873=L$13,H873=L$14),SottocategorieEntrate[[#Headers],[Varie Entrate]],IF(OR(H873=M$5,H873=M$6,H873=M$7,H873=M$8,H873=M$9,H873=M$10,H873=M$11,H873=M$12,H873=M$13,H873=M$14),SottocategorieEntrate[[#Headers],[Real Estate]],IF(OR(H873=N$5,H873=N$6,H873=N$7,H873=N$8,H873=N$9,H873=N$10,H873=N$11,H873=N$12,H873=N$13,H873=N$14),SottocategorieEntrate[[#Headers],[Other]],""))))))))))))</f>
        <v/>
      </c>
      <c r="J873" t="str">
        <f>IF(OR(Dati[[#This Row],[Categoria]]="Bollette",Dati[[#This Row],[Categoria]]="Conto &amp; Carte BNL",Dati[[#This Row],[Categoria]]="Prelievo",Dati[[#This Row],[Categoria]]="Affitto",Dati[[#This Row],[Categoria]]="BNL(Interessi Creditori)"),"Carta",IF(Dati[[#This Row],[Categoria]]&lt;&gt;0,"Cash",""))</f>
        <v/>
      </c>
      <c r="K873" s="59" t="str">
        <f>IF(OR(Data!$I873=SottocategorieUscite[[#Headers],[Fuori Casa]],Data!$I873=SottocategorieUscite[[#Headers],[Varie Uscite]],Data!$I873=SottocategorieUscite[[#Headers],[Personali]],Data!$I873=SottocategorieUscite[[#Headers],[Lavoro]]),"$ -","")</f>
        <v/>
      </c>
      <c r="L873" s="59" t="str">
        <f>IF(OR(Data!$I873=SottocategorieUscite[[#Headers],[Casa]],Data!$I873=SottocategorieUscite[[#Headers],[Utenze]],Data!$I873=SottocategorieUscite[[#Headers],[Business Uscite]],Data!$I873=SottocategorieUscite[[#Headers],[Banca]]),"$ -","")</f>
        <v/>
      </c>
      <c r="M873" s="59" t="str">
        <f>IF(OR($I873&lt;&gt;SottocategorieUscite[[#Headers],[Fuori Casa]],$I873&lt;&gt;SottocategorieUscite[[#Headers],[Varie Uscite]],$I873&lt;&gt;SottocategorieUscite[[#Headers],[Personali]],$I873&lt;&gt;SottocategorieUscite[[#Headers],[Lavoro]],$I873&lt;&gt;SottocategorieUscite[[#Headers],[Casa]],$I873&lt;&gt;SottocategorieUscite[[#Headers],[Utenze]],$I873&lt;&gt;SottocategorieUscite[[#Headers],[Business Uscite]],$I873&lt;&gt;SottocategorieUscite[[#Headers],[Banca]]),"","$ -")</f>
        <v/>
      </c>
      <c r="N873" s="59" t="str">
        <f>IF(OR(Data!$I873=SottocategorieEntrate[[#Headers],[Business Entrate]],Data!$I873=SottocategorieEntrate[[#Headers],[Varie Entrate]]),"$ -","")</f>
        <v/>
      </c>
      <c r="O873" s="59" t="str">
        <f>IF(OR(Data!$I873=SottocategorieEntrate[[#Headers],[Real Estate]],SottocategorieEntrate[[#Headers],[Other]]),"$ -","")</f>
        <v/>
      </c>
      <c r="P873" s="59" t="str">
        <f>IF(OR($I873&lt;&gt;SottocategorieEntrate[[#Headers],[Business Entrate]],$I873&lt;&gt;SottocategorieEntrate[[#Headers],[Varie Entrate]],$I873&lt;&gt;SottocategorieEntrate[[#Headers],[Real Estate]],$I873&lt;&gt;SottocategorieEntrate[[#Headers],[Other]]),"","$ -")</f>
        <v/>
      </c>
      <c r="Q873" s="59" t="str">
        <f>IF(Dati[[#This Row],[Categoria]]="Prelievo","€ -","")</f>
        <v/>
      </c>
      <c r="R873" s="244"/>
      <c r="S873" s="59" t="str">
        <f>IF(Dati[[#This Row],[Categoria]]="Savings",0,"")</f>
        <v/>
      </c>
      <c r="T873" s="59"/>
      <c r="U873" s="59"/>
      <c r="V873" s="59"/>
      <c r="W873" s="59"/>
      <c r="X873" s="59"/>
      <c r="Y873" s="59"/>
      <c r="Z873" s="59"/>
      <c r="AA873" s="59"/>
      <c r="AB873" s="59"/>
      <c r="AC873" s="59"/>
      <c r="AD873" s="59"/>
      <c r="AE873" s="59"/>
      <c r="AF873" s="59"/>
      <c r="AG873" s="59"/>
      <c r="AH873" s="59"/>
      <c r="AI873" s="59" t="str">
        <f>IF(SUM(Dati[[#This Row],[Inv. Business]:[Inv. Cryptocurrency]])=0," ",SUM(Dati[[#This Row],[Inv. Business]:[Inv. Cryptocurrency]]))</f>
        <v xml:space="preserve"> </v>
      </c>
      <c r="AJ873" s="59"/>
      <c r="AK873" s="59"/>
      <c r="AL873" s="59"/>
      <c r="AM873" s="59"/>
    </row>
    <row r="874" spans="2:39" x14ac:dyDescent="0.35">
      <c r="B874" s="237">
        <f>ROW(834:834)</f>
        <v>834</v>
      </c>
      <c r="C874" s="49">
        <f>C869+1</f>
        <v>45575</v>
      </c>
      <c r="D874" s="29">
        <f>DAY(Dati[[#This Row],[Data]])</f>
        <v>10</v>
      </c>
      <c r="E874" s="29" t="str">
        <f>IF(DAY(Data!$C$21:$C$1327)&gt;0,TEXT(Data!$C$21:$C$1327, "mmmm"),"")</f>
        <v>ottobre</v>
      </c>
      <c r="F874" s="29" t="str">
        <f>IF(DAY(Data!$C$21:$C$1327)&gt;0,TEXT(Data!$C$21:$C$1327, "aaaa"),"")</f>
        <v>2024</v>
      </c>
      <c r="I874" t="str">
        <f>IF(OR(H874=$B$5,H874=$B$6,H874=$B$7,H874=$B$8,H874=$B$9,H874=$B$10,H874=$B$11,H874=$B$12,H874=$B$13,H874=$B$14),SottocategorieUscite[[#Headers],[Fuori Casa]],IF(OR(H874=$C$5,H874=$C$6,H874=$C$7,H874=$C$8,H874=$C$9,H874=$C$10,H874=$C$11,H874=$C$12,H874=$C$13,H874=$C$14),SottocategorieUscite[[#Headers],[Varie Uscite]],IF(OR(H874=$D$5,H874=$D$6,H874=$D$7,H874=$D$8,H874=$D$9,H874=$D$10,H874=$D$11,H874=$D$12,H874=$D$13,H874=$D$14),SottocategorieUscite[[#Headers],[Personali]],IF(OR(H874=$E$5,H874=$E$6,H874=$E$7,H874=$E$8,H874=$E$9,H874=$E$10,H874=$E$11,H874=$E$12,H874=$E$13,H874=$E$14),SottocategorieUscite[[#Headers],[Lavoro]],IF(OR(H874=$F$5,H874=$F$6,H874=$F$7,H874=$F$8,H874=$F$9,H874=$F$10,H874=$F$11,H874=$F$12,H874=$F$13,H874=$F$14),SottocategorieUscite[[#Headers],[Casa]],IF(OR(H874=$G$5,H874=$G$6,H874=$G$7,H874=$G$8,H874=$G$9,H874=$G$10,H874=$G$11,H874=$G$12,H874=$G$13,H874=$G$14),SottocategorieUscite[[#Headers],[Utenze]],IF(OR(H874=$H$5,H874=$H$6,H874=$H$7,H874=$H$8,H874=$H$9,H874=$H$10,H874=$H$11,H874=$H$12,H874=$H$13,H874=$H$14),SottocategorieUscite[[#Headers],[Business Uscite]],IF(OR(H874=$I$5,H874=$I$6,H874=$I$7,H874=$I$8,H874=$I$9,H874=$I$10,H874=$I$11,H874=$I$12,H874=$I$13,H874=$I$14),SottocategorieUscite[[#Headers],[Banca]],IF(OR(H874=K$5,H874=K$6,H874=K$7,H874=K$8,H874=K$9,H874=K$10,H874=K$11,H874=K$12,H874=K$13,H874=K$14),SottocategorieEntrate[[#Headers],[Business Entrate]],IF(OR(H874=L$5,H874=L$6,H874=L$7,H874=L$8,H874=L$9,H874=L$10,H874=L$11,H874=L$12,H874=L$13,H874=L$14),SottocategorieEntrate[[#Headers],[Varie Entrate]],IF(OR(H874=M$5,H874=M$6,H874=M$7,H874=M$8,H874=M$9,H874=M$10,H874=M$11,H874=M$12,H874=M$13,H874=M$14),SottocategorieEntrate[[#Headers],[Real Estate]],IF(OR(H874=N$5,H874=N$6,H874=N$7,H874=N$8,H874=N$9,H874=N$10,H874=N$11,H874=N$12,H874=N$13,H874=N$14),SottocategorieEntrate[[#Headers],[Other]],""))))))))))))</f>
        <v/>
      </c>
      <c r="J874" t="str">
        <f>IF(OR(Dati[[#This Row],[Categoria]]="Bollette",Dati[[#This Row],[Categoria]]="Conto &amp; Carte BNL",Dati[[#This Row],[Categoria]]="Prelievo",Dati[[#This Row],[Categoria]]="Affitto",Dati[[#This Row],[Categoria]]="BNL(Interessi Creditori)"),"Carta",IF(Dati[[#This Row],[Categoria]]&lt;&gt;0,"Cash",""))</f>
        <v/>
      </c>
      <c r="K874" s="59" t="str">
        <f>IF(OR(Data!$I874=SottocategorieUscite[[#Headers],[Fuori Casa]],Data!$I874=SottocategorieUscite[[#Headers],[Varie Uscite]],Data!$I874=SottocategorieUscite[[#Headers],[Personali]],Data!$I874=SottocategorieUscite[[#Headers],[Lavoro]]),"$ -","")</f>
        <v/>
      </c>
      <c r="L874" s="59" t="str">
        <f>IF(OR(Data!$I874=SottocategorieUscite[[#Headers],[Casa]],Data!$I874=SottocategorieUscite[[#Headers],[Utenze]],Data!$I874=SottocategorieUscite[[#Headers],[Business Uscite]],Data!$I874=SottocategorieUscite[[#Headers],[Banca]]),"$ -","")</f>
        <v/>
      </c>
      <c r="M874" s="59" t="str">
        <f>IF(OR($I874&lt;&gt;SottocategorieUscite[[#Headers],[Fuori Casa]],$I874&lt;&gt;SottocategorieUscite[[#Headers],[Varie Uscite]],$I874&lt;&gt;SottocategorieUscite[[#Headers],[Personali]],$I874&lt;&gt;SottocategorieUscite[[#Headers],[Lavoro]],$I874&lt;&gt;SottocategorieUscite[[#Headers],[Casa]],$I874&lt;&gt;SottocategorieUscite[[#Headers],[Utenze]],$I874&lt;&gt;SottocategorieUscite[[#Headers],[Business Uscite]],$I874&lt;&gt;SottocategorieUscite[[#Headers],[Banca]]),"","$ -")</f>
        <v/>
      </c>
      <c r="N874" s="59" t="str">
        <f>IF(OR(Data!$I874=SottocategorieEntrate[[#Headers],[Business Entrate]],Data!$I874=SottocategorieEntrate[[#Headers],[Varie Entrate]]),"$ -","")</f>
        <v/>
      </c>
      <c r="O874" s="59" t="str">
        <f>IF(OR(Data!$I874=SottocategorieEntrate[[#Headers],[Real Estate]],SottocategorieEntrate[[#Headers],[Other]]),"$ -","")</f>
        <v/>
      </c>
      <c r="P874" s="59" t="str">
        <f>IF(OR($I874&lt;&gt;SottocategorieEntrate[[#Headers],[Business Entrate]],$I874&lt;&gt;SottocategorieEntrate[[#Headers],[Varie Entrate]],$I874&lt;&gt;SottocategorieEntrate[[#Headers],[Real Estate]],$I874&lt;&gt;SottocategorieEntrate[[#Headers],[Other]]),"","$ -")</f>
        <v/>
      </c>
      <c r="Q874" s="59" t="str">
        <f>IF(Dati[[#This Row],[Categoria]]="Prelievo","€ -","")</f>
        <v/>
      </c>
      <c r="R874" s="244"/>
      <c r="S874" s="59" t="str">
        <f>IF(Dati[[#This Row],[Categoria]]="Savings",0,"")</f>
        <v/>
      </c>
      <c r="T874" s="59"/>
      <c r="U874" s="59"/>
      <c r="V874" s="59"/>
      <c r="W874" s="59"/>
      <c r="X874" s="59"/>
      <c r="Y874" s="59"/>
      <c r="Z874" s="59"/>
      <c r="AA874" s="59"/>
      <c r="AB874" s="59"/>
      <c r="AC874" s="59"/>
      <c r="AD874" s="59"/>
      <c r="AE874" s="59"/>
      <c r="AF874" s="59"/>
      <c r="AG874" s="59"/>
      <c r="AH874" s="59"/>
      <c r="AI874" s="59" t="str">
        <f>IF(SUM(Dati[[#This Row],[Inv. Business]:[Inv. Cryptocurrency]])=0," ",SUM(Dati[[#This Row],[Inv. Business]:[Inv. Cryptocurrency]]))</f>
        <v xml:space="preserve"> </v>
      </c>
      <c r="AJ874" s="59"/>
      <c r="AK874" s="59"/>
      <c r="AL874" s="59"/>
      <c r="AM874" s="59"/>
    </row>
    <row r="875" spans="2:39" x14ac:dyDescent="0.35">
      <c r="B875" s="237">
        <f>ROW(835:835)</f>
        <v>835</v>
      </c>
      <c r="C875" s="49">
        <f>C870+1</f>
        <v>45576</v>
      </c>
      <c r="D875" s="29">
        <f>DAY(Dati[[#This Row],[Data]])</f>
        <v>11</v>
      </c>
      <c r="E875" s="29" t="str">
        <f>IF(DAY(Data!$C$21:$C$1327)&gt;0,TEXT(Data!$C$21:$C$1327, "mmmm"),"")</f>
        <v>ottobre</v>
      </c>
      <c r="F875" s="29" t="str">
        <f>IF(DAY(Data!$C$21:$C$1327)&gt;0,TEXT(Data!$C$21:$C$1327, "aaaa"),"")</f>
        <v>2024</v>
      </c>
      <c r="I875" t="str">
        <f>IF(OR(H875=$B$5,H875=$B$6,H875=$B$7,H875=$B$8,H875=$B$9,H875=$B$10,H875=$B$11,H875=$B$12,H875=$B$13,H875=$B$14),SottocategorieUscite[[#Headers],[Fuori Casa]],IF(OR(H875=$C$5,H875=$C$6,H875=$C$7,H875=$C$8,H875=$C$9,H875=$C$10,H875=$C$11,H875=$C$12,H875=$C$13,H875=$C$14),SottocategorieUscite[[#Headers],[Varie Uscite]],IF(OR(H875=$D$5,H875=$D$6,H875=$D$7,H875=$D$8,H875=$D$9,H875=$D$10,H875=$D$11,H875=$D$12,H875=$D$13,H875=$D$14),SottocategorieUscite[[#Headers],[Personali]],IF(OR(H875=$E$5,H875=$E$6,H875=$E$7,H875=$E$8,H875=$E$9,H875=$E$10,H875=$E$11,H875=$E$12,H875=$E$13,H875=$E$14),SottocategorieUscite[[#Headers],[Lavoro]],IF(OR(H875=$F$5,H875=$F$6,H875=$F$7,H875=$F$8,H875=$F$9,H875=$F$10,H875=$F$11,H875=$F$12,H875=$F$13,H875=$F$14),SottocategorieUscite[[#Headers],[Casa]],IF(OR(H875=$G$5,H875=$G$6,H875=$G$7,H875=$G$8,H875=$G$9,H875=$G$10,H875=$G$11,H875=$G$12,H875=$G$13,H875=$G$14),SottocategorieUscite[[#Headers],[Utenze]],IF(OR(H875=$H$5,H875=$H$6,H875=$H$7,H875=$H$8,H875=$H$9,H875=$H$10,H875=$H$11,H875=$H$12,H875=$H$13,H875=$H$14),SottocategorieUscite[[#Headers],[Business Uscite]],IF(OR(H875=$I$5,H875=$I$6,H875=$I$7,H875=$I$8,H875=$I$9,H875=$I$10,H875=$I$11,H875=$I$12,H875=$I$13,H875=$I$14),SottocategorieUscite[[#Headers],[Banca]],IF(OR(H875=K$5,H875=K$6,H875=K$7,H875=K$8,H875=K$9,H875=K$10,H875=K$11,H875=K$12,H875=K$13,H875=K$14),SottocategorieEntrate[[#Headers],[Business Entrate]],IF(OR(H875=L$5,H875=L$6,H875=L$7,H875=L$8,H875=L$9,H875=L$10,H875=L$11,H875=L$12,H875=L$13,H875=L$14),SottocategorieEntrate[[#Headers],[Varie Entrate]],IF(OR(H875=M$5,H875=M$6,H875=M$7,H875=M$8,H875=M$9,H875=M$10,H875=M$11,H875=M$12,H875=M$13,H875=M$14),SottocategorieEntrate[[#Headers],[Real Estate]],IF(OR(H875=N$5,H875=N$6,H875=N$7,H875=N$8,H875=N$9,H875=N$10,H875=N$11,H875=N$12,H875=N$13,H875=N$14),SottocategorieEntrate[[#Headers],[Other]],""))))))))))))</f>
        <v/>
      </c>
      <c r="J875" t="str">
        <f>IF(OR(Dati[[#This Row],[Categoria]]="Bollette",Dati[[#This Row],[Categoria]]="Conto &amp; Carte BNL",Dati[[#This Row],[Categoria]]="Prelievo",Dati[[#This Row],[Categoria]]="Affitto",Dati[[#This Row],[Categoria]]="BNL(Interessi Creditori)"),"Carta",IF(Dati[[#This Row],[Categoria]]&lt;&gt;0,"Cash",""))</f>
        <v/>
      </c>
      <c r="K875" s="59" t="str">
        <f>IF(OR(Data!$I875=SottocategorieUscite[[#Headers],[Fuori Casa]],Data!$I875=SottocategorieUscite[[#Headers],[Varie Uscite]],Data!$I875=SottocategorieUscite[[#Headers],[Personali]],Data!$I875=SottocategorieUscite[[#Headers],[Lavoro]]),"$ -","")</f>
        <v/>
      </c>
      <c r="L875" s="59" t="str">
        <f>IF(OR(Data!$I875=SottocategorieUscite[[#Headers],[Casa]],Data!$I875=SottocategorieUscite[[#Headers],[Utenze]],Data!$I875=SottocategorieUscite[[#Headers],[Business Uscite]],Data!$I875=SottocategorieUscite[[#Headers],[Banca]]),"$ -","")</f>
        <v/>
      </c>
      <c r="M875" s="59" t="str">
        <f>IF(OR($I875&lt;&gt;SottocategorieUscite[[#Headers],[Fuori Casa]],$I875&lt;&gt;SottocategorieUscite[[#Headers],[Varie Uscite]],$I875&lt;&gt;SottocategorieUscite[[#Headers],[Personali]],$I875&lt;&gt;SottocategorieUscite[[#Headers],[Lavoro]],$I875&lt;&gt;SottocategorieUscite[[#Headers],[Casa]],$I875&lt;&gt;SottocategorieUscite[[#Headers],[Utenze]],$I875&lt;&gt;SottocategorieUscite[[#Headers],[Business Uscite]],$I875&lt;&gt;SottocategorieUscite[[#Headers],[Banca]]),"","$ -")</f>
        <v/>
      </c>
      <c r="N875" s="59" t="str">
        <f>IF(OR(Data!$I875=SottocategorieEntrate[[#Headers],[Business Entrate]],Data!$I875=SottocategorieEntrate[[#Headers],[Varie Entrate]]),"$ -","")</f>
        <v/>
      </c>
      <c r="O875" s="59" t="str">
        <f>IF(OR(Data!$I875=SottocategorieEntrate[[#Headers],[Real Estate]],SottocategorieEntrate[[#Headers],[Other]]),"$ -","")</f>
        <v/>
      </c>
      <c r="P875" s="59" t="str">
        <f>IF(OR($I875&lt;&gt;SottocategorieEntrate[[#Headers],[Business Entrate]],$I875&lt;&gt;SottocategorieEntrate[[#Headers],[Varie Entrate]],$I875&lt;&gt;SottocategorieEntrate[[#Headers],[Real Estate]],$I875&lt;&gt;SottocategorieEntrate[[#Headers],[Other]]),"","$ -")</f>
        <v/>
      </c>
      <c r="Q875" s="59" t="str">
        <f>IF(Dati[[#This Row],[Categoria]]="Prelievo","€ -","")</f>
        <v/>
      </c>
      <c r="R875" s="244"/>
      <c r="S875" s="59" t="str">
        <f>IF(Dati[[#This Row],[Categoria]]="Savings",0,"")</f>
        <v/>
      </c>
      <c r="T875" s="59"/>
      <c r="U875" s="59"/>
      <c r="V875" s="59"/>
      <c r="W875" s="59"/>
      <c r="X875" s="59"/>
      <c r="Y875" s="59"/>
      <c r="Z875" s="59"/>
      <c r="AA875" s="59"/>
      <c r="AB875" s="59"/>
      <c r="AC875" s="59"/>
      <c r="AD875" s="59"/>
      <c r="AE875" s="59"/>
      <c r="AF875" s="59"/>
      <c r="AG875" s="59"/>
      <c r="AH875" s="59"/>
      <c r="AI875" s="59" t="str">
        <f>IF(SUM(Dati[[#This Row],[Inv. Business]:[Inv. Cryptocurrency]])=0," ",SUM(Dati[[#This Row],[Inv. Business]:[Inv. Cryptocurrency]]))</f>
        <v xml:space="preserve"> </v>
      </c>
      <c r="AJ875" s="59"/>
      <c r="AK875" s="59"/>
      <c r="AL875" s="59"/>
      <c r="AM875" s="59"/>
    </row>
    <row r="876" spans="2:39" x14ac:dyDescent="0.35">
      <c r="B876" s="237">
        <f>ROW(835:835)</f>
        <v>835</v>
      </c>
      <c r="C876" s="49">
        <f>C874+1</f>
        <v>45576</v>
      </c>
      <c r="D876" s="29">
        <f>DAY(Dati[[#This Row],[Data]])</f>
        <v>11</v>
      </c>
      <c r="E876" s="29" t="str">
        <f>IF(DAY(Data!$C$21:$C$1327)&gt;0,TEXT(Data!$C$21:$C$1327, "mmmm"),"")</f>
        <v>ottobre</v>
      </c>
      <c r="F876" s="29" t="str">
        <f>IF(DAY(Data!$C$21:$C$1327)&gt;0,TEXT(Data!$C$21:$C$1327, "aaaa"),"")</f>
        <v>2024</v>
      </c>
      <c r="I876" t="str">
        <f>IF(OR(H876=$B$5,H876=$B$6,H876=$B$7,H876=$B$8,H876=$B$9,H876=$B$10,H876=$B$11,H876=$B$12,H876=$B$13,H876=$B$14),SottocategorieUscite[[#Headers],[Fuori Casa]],IF(OR(H876=$C$5,H876=$C$6,H876=$C$7,H876=$C$8,H876=$C$9,H876=$C$10,H876=$C$11,H876=$C$12,H876=$C$13,H876=$C$14),SottocategorieUscite[[#Headers],[Varie Uscite]],IF(OR(H876=$D$5,H876=$D$6,H876=$D$7,H876=$D$8,H876=$D$9,H876=$D$10,H876=$D$11,H876=$D$12,H876=$D$13,H876=$D$14),SottocategorieUscite[[#Headers],[Personali]],IF(OR(H876=$E$5,H876=$E$6,H876=$E$7,H876=$E$8,H876=$E$9,H876=$E$10,H876=$E$11,H876=$E$12,H876=$E$13,H876=$E$14),SottocategorieUscite[[#Headers],[Lavoro]],IF(OR(H876=$F$5,H876=$F$6,H876=$F$7,H876=$F$8,H876=$F$9,H876=$F$10,H876=$F$11,H876=$F$12,H876=$F$13,H876=$F$14),SottocategorieUscite[[#Headers],[Casa]],IF(OR(H876=$G$5,H876=$G$6,H876=$G$7,H876=$G$8,H876=$G$9,H876=$G$10,H876=$G$11,H876=$G$12,H876=$G$13,H876=$G$14),SottocategorieUscite[[#Headers],[Utenze]],IF(OR(H876=$H$5,H876=$H$6,H876=$H$7,H876=$H$8,H876=$H$9,H876=$H$10,H876=$H$11,H876=$H$12,H876=$H$13,H876=$H$14),SottocategorieUscite[[#Headers],[Business Uscite]],IF(OR(H876=$I$5,H876=$I$6,H876=$I$7,H876=$I$8,H876=$I$9,H876=$I$10,H876=$I$11,H876=$I$12,H876=$I$13,H876=$I$14),SottocategorieUscite[[#Headers],[Banca]],IF(OR(H876=K$5,H876=K$6,H876=K$7,H876=K$8,H876=K$9,H876=K$10,H876=K$11,H876=K$12,H876=K$13,H876=K$14),SottocategorieEntrate[[#Headers],[Business Entrate]],IF(OR(H876=L$5,H876=L$6,H876=L$7,H876=L$8,H876=L$9,H876=L$10,H876=L$11,H876=L$12,H876=L$13,H876=L$14),SottocategorieEntrate[[#Headers],[Varie Entrate]],IF(OR(H876=M$5,H876=M$6,H876=M$7,H876=M$8,H876=M$9,H876=M$10,H876=M$11,H876=M$12,H876=M$13,H876=M$14),SottocategorieEntrate[[#Headers],[Real Estate]],IF(OR(H876=N$5,H876=N$6,H876=N$7,H876=N$8,H876=N$9,H876=N$10,H876=N$11,H876=N$12,H876=N$13,H876=N$14),SottocategorieEntrate[[#Headers],[Other]],""))))))))))))</f>
        <v/>
      </c>
      <c r="J876" t="str">
        <f>IF(OR(Dati[[#This Row],[Categoria]]="Bollette",Dati[[#This Row],[Categoria]]="Conto &amp; Carte BNL",Dati[[#This Row],[Categoria]]="Prelievo",Dati[[#This Row],[Categoria]]="Affitto",Dati[[#This Row],[Categoria]]="BNL(Interessi Creditori)"),"Carta",IF(Dati[[#This Row],[Categoria]]&lt;&gt;0,"Cash",""))</f>
        <v/>
      </c>
      <c r="K876" s="59" t="str">
        <f>IF(OR(Data!$I876=SottocategorieUscite[[#Headers],[Fuori Casa]],Data!$I876=SottocategorieUscite[[#Headers],[Varie Uscite]],Data!$I876=SottocategorieUscite[[#Headers],[Personali]],Data!$I876=SottocategorieUscite[[#Headers],[Lavoro]]),"$ -","")</f>
        <v/>
      </c>
      <c r="L876" s="59" t="str">
        <f>IF(OR(Data!$I876=SottocategorieUscite[[#Headers],[Casa]],Data!$I876=SottocategorieUscite[[#Headers],[Utenze]],Data!$I876=SottocategorieUscite[[#Headers],[Business Uscite]],Data!$I876=SottocategorieUscite[[#Headers],[Banca]]),"$ -","")</f>
        <v/>
      </c>
      <c r="M876" s="59" t="str">
        <f>IF(OR($I876&lt;&gt;SottocategorieUscite[[#Headers],[Fuori Casa]],$I876&lt;&gt;SottocategorieUscite[[#Headers],[Varie Uscite]],$I876&lt;&gt;SottocategorieUscite[[#Headers],[Personali]],$I876&lt;&gt;SottocategorieUscite[[#Headers],[Lavoro]],$I876&lt;&gt;SottocategorieUscite[[#Headers],[Casa]],$I876&lt;&gt;SottocategorieUscite[[#Headers],[Utenze]],$I876&lt;&gt;SottocategorieUscite[[#Headers],[Business Uscite]],$I876&lt;&gt;SottocategorieUscite[[#Headers],[Banca]]),"","$ -")</f>
        <v/>
      </c>
      <c r="N876" s="59" t="str">
        <f>IF(OR(Data!$I876=SottocategorieEntrate[[#Headers],[Business Entrate]],Data!$I876=SottocategorieEntrate[[#Headers],[Varie Entrate]]),"$ -","")</f>
        <v/>
      </c>
      <c r="O876" s="59" t="str">
        <f>IF(OR(Data!$I876=SottocategorieEntrate[[#Headers],[Real Estate]],SottocategorieEntrate[[#Headers],[Other]]),"$ -","")</f>
        <v/>
      </c>
      <c r="P876" s="59" t="str">
        <f>IF(OR($I876&lt;&gt;SottocategorieEntrate[[#Headers],[Business Entrate]],$I876&lt;&gt;SottocategorieEntrate[[#Headers],[Varie Entrate]],$I876&lt;&gt;SottocategorieEntrate[[#Headers],[Real Estate]],$I876&lt;&gt;SottocategorieEntrate[[#Headers],[Other]]),"","$ -")</f>
        <v/>
      </c>
      <c r="Q876" s="59" t="str">
        <f>IF(Dati[[#This Row],[Categoria]]="Prelievo","€ -","")</f>
        <v/>
      </c>
      <c r="R876" s="244"/>
      <c r="S876" s="59" t="str">
        <f>IF(Dati[[#This Row],[Categoria]]="Savings",0,"")</f>
        <v/>
      </c>
      <c r="T876" s="59"/>
      <c r="U876" s="59"/>
      <c r="V876" s="59"/>
      <c r="W876" s="59"/>
      <c r="X876" s="59"/>
      <c r="Y876" s="59"/>
      <c r="Z876" s="59"/>
      <c r="AA876" s="59"/>
      <c r="AB876" s="59"/>
      <c r="AC876" s="59"/>
      <c r="AD876" s="59"/>
      <c r="AE876" s="59"/>
      <c r="AF876" s="59"/>
      <c r="AG876" s="59"/>
      <c r="AH876" s="59"/>
      <c r="AI876" s="59" t="str">
        <f>IF(SUM(Dati[[#This Row],[Inv. Business]:[Inv. Cryptocurrency]])=0," ",SUM(Dati[[#This Row],[Inv. Business]:[Inv. Cryptocurrency]]))</f>
        <v xml:space="preserve"> </v>
      </c>
      <c r="AJ876" s="59"/>
      <c r="AK876" s="59"/>
      <c r="AL876" s="59"/>
      <c r="AM876" s="59"/>
    </row>
    <row r="877" spans="2:39" x14ac:dyDescent="0.35">
      <c r="B877" s="237">
        <f>ROW(835:835)</f>
        <v>835</v>
      </c>
      <c r="C877" s="49">
        <f>C874+1</f>
        <v>45576</v>
      </c>
      <c r="D877" s="29">
        <f>DAY(Dati[[#This Row],[Data]])</f>
        <v>11</v>
      </c>
      <c r="E877" s="29" t="str">
        <f>IF(DAY(Data!$C$21:$C$1327)&gt;0,TEXT(Data!$C$21:$C$1327, "mmmm"),"")</f>
        <v>ottobre</v>
      </c>
      <c r="F877" s="29" t="str">
        <f>IF(DAY(Data!$C$21:$C$1327)&gt;0,TEXT(Data!$C$21:$C$1327, "aaaa"),"")</f>
        <v>2024</v>
      </c>
      <c r="I877" t="str">
        <f>IF(OR(H877=$B$5,H877=$B$6,H877=$B$7,H877=$B$8,H877=$B$9,H877=$B$10,H877=$B$11,H877=$B$12,H877=$B$13,H877=$B$14),SottocategorieUscite[[#Headers],[Fuori Casa]],IF(OR(H877=$C$5,H877=$C$6,H877=$C$7,H877=$C$8,H877=$C$9,H877=$C$10,H877=$C$11,H877=$C$12,H877=$C$13,H877=$C$14),SottocategorieUscite[[#Headers],[Varie Uscite]],IF(OR(H877=$D$5,H877=$D$6,H877=$D$7,H877=$D$8,H877=$D$9,H877=$D$10,H877=$D$11,H877=$D$12,H877=$D$13,H877=$D$14),SottocategorieUscite[[#Headers],[Personali]],IF(OR(H877=$E$5,H877=$E$6,H877=$E$7,H877=$E$8,H877=$E$9,H877=$E$10,H877=$E$11,H877=$E$12,H877=$E$13,H877=$E$14),SottocategorieUscite[[#Headers],[Lavoro]],IF(OR(H877=$F$5,H877=$F$6,H877=$F$7,H877=$F$8,H877=$F$9,H877=$F$10,H877=$F$11,H877=$F$12,H877=$F$13,H877=$F$14),SottocategorieUscite[[#Headers],[Casa]],IF(OR(H877=$G$5,H877=$G$6,H877=$G$7,H877=$G$8,H877=$G$9,H877=$G$10,H877=$G$11,H877=$G$12,H877=$G$13,H877=$G$14),SottocategorieUscite[[#Headers],[Utenze]],IF(OR(H877=$H$5,H877=$H$6,H877=$H$7,H877=$H$8,H877=$H$9,H877=$H$10,H877=$H$11,H877=$H$12,H877=$H$13,H877=$H$14),SottocategorieUscite[[#Headers],[Business Uscite]],IF(OR(H877=$I$5,H877=$I$6,H877=$I$7,H877=$I$8,H877=$I$9,H877=$I$10,H877=$I$11,H877=$I$12,H877=$I$13,H877=$I$14),SottocategorieUscite[[#Headers],[Banca]],IF(OR(H877=K$5,H877=K$6,H877=K$7,H877=K$8,H877=K$9,H877=K$10,H877=K$11,H877=K$12,H877=K$13,H877=K$14),SottocategorieEntrate[[#Headers],[Business Entrate]],IF(OR(H877=L$5,H877=L$6,H877=L$7,H877=L$8,H877=L$9,H877=L$10,H877=L$11,H877=L$12,H877=L$13,H877=L$14),SottocategorieEntrate[[#Headers],[Varie Entrate]],IF(OR(H877=M$5,H877=M$6,H877=M$7,H877=M$8,H877=M$9,H877=M$10,H877=M$11,H877=M$12,H877=M$13,H877=M$14),SottocategorieEntrate[[#Headers],[Real Estate]],IF(OR(H877=N$5,H877=N$6,H877=N$7,H877=N$8,H877=N$9,H877=N$10,H877=N$11,H877=N$12,H877=N$13,H877=N$14),SottocategorieEntrate[[#Headers],[Other]],""))))))))))))</f>
        <v/>
      </c>
      <c r="J877" t="str">
        <f>IF(OR(Dati[[#This Row],[Categoria]]="Bollette",Dati[[#This Row],[Categoria]]="Conto &amp; Carte BNL",Dati[[#This Row],[Categoria]]="Prelievo",Dati[[#This Row],[Categoria]]="Affitto",Dati[[#This Row],[Categoria]]="BNL(Interessi Creditori)"),"Carta",IF(Dati[[#This Row],[Categoria]]&lt;&gt;0,"Cash",""))</f>
        <v/>
      </c>
      <c r="K877" s="59" t="str">
        <f>IF(OR(Data!$I877=SottocategorieUscite[[#Headers],[Fuori Casa]],Data!$I877=SottocategorieUscite[[#Headers],[Varie Uscite]],Data!$I877=SottocategorieUscite[[#Headers],[Personali]],Data!$I877=SottocategorieUscite[[#Headers],[Lavoro]]),"$ -","")</f>
        <v/>
      </c>
      <c r="L877" s="59" t="str">
        <f>IF(OR(Data!$I877=SottocategorieUscite[[#Headers],[Casa]],Data!$I877=SottocategorieUscite[[#Headers],[Utenze]],Data!$I877=SottocategorieUscite[[#Headers],[Business Uscite]],Data!$I877=SottocategorieUscite[[#Headers],[Banca]]),"$ -","")</f>
        <v/>
      </c>
      <c r="M877" s="59" t="str">
        <f>IF(OR($I877&lt;&gt;SottocategorieUscite[[#Headers],[Fuori Casa]],$I877&lt;&gt;SottocategorieUscite[[#Headers],[Varie Uscite]],$I877&lt;&gt;SottocategorieUscite[[#Headers],[Personali]],$I877&lt;&gt;SottocategorieUscite[[#Headers],[Lavoro]],$I877&lt;&gt;SottocategorieUscite[[#Headers],[Casa]],$I877&lt;&gt;SottocategorieUscite[[#Headers],[Utenze]],$I877&lt;&gt;SottocategorieUscite[[#Headers],[Business Uscite]],$I877&lt;&gt;SottocategorieUscite[[#Headers],[Banca]]),"","$ -")</f>
        <v/>
      </c>
      <c r="N877" s="59" t="str">
        <f>IF(OR(Data!$I877=SottocategorieEntrate[[#Headers],[Business Entrate]],Data!$I877=SottocategorieEntrate[[#Headers],[Varie Entrate]]),"$ -","")</f>
        <v/>
      </c>
      <c r="O877" s="59" t="str">
        <f>IF(OR(Data!$I877=SottocategorieEntrate[[#Headers],[Real Estate]],SottocategorieEntrate[[#Headers],[Other]]),"$ -","")</f>
        <v/>
      </c>
      <c r="P877" s="59" t="str">
        <f>IF(OR($I877&lt;&gt;SottocategorieEntrate[[#Headers],[Business Entrate]],$I877&lt;&gt;SottocategorieEntrate[[#Headers],[Varie Entrate]],$I877&lt;&gt;SottocategorieEntrate[[#Headers],[Real Estate]],$I877&lt;&gt;SottocategorieEntrate[[#Headers],[Other]]),"","$ -")</f>
        <v/>
      </c>
      <c r="Q877" s="59" t="str">
        <f>IF(Dati[[#This Row],[Categoria]]="Prelievo","€ -","")</f>
        <v/>
      </c>
      <c r="R877" s="244"/>
      <c r="S877" s="59" t="str">
        <f>IF(Dati[[#This Row],[Categoria]]="Savings",0,"")</f>
        <v/>
      </c>
      <c r="T877" s="59"/>
      <c r="U877" s="59"/>
      <c r="V877" s="59"/>
      <c r="W877" s="59"/>
      <c r="X877" s="59"/>
      <c r="Y877" s="59"/>
      <c r="Z877" s="59"/>
      <c r="AA877" s="59"/>
      <c r="AB877" s="59"/>
      <c r="AC877" s="59"/>
      <c r="AD877" s="59"/>
      <c r="AE877" s="59"/>
      <c r="AF877" s="59"/>
      <c r="AG877" s="59"/>
      <c r="AH877" s="59"/>
      <c r="AI877" s="59" t="str">
        <f>IF(SUM(Dati[[#This Row],[Inv. Business]:[Inv. Cryptocurrency]])=0," ",SUM(Dati[[#This Row],[Inv. Business]:[Inv. Cryptocurrency]]))</f>
        <v xml:space="preserve"> </v>
      </c>
      <c r="AJ877" s="59"/>
      <c r="AK877" s="59"/>
      <c r="AL877" s="59"/>
      <c r="AM877" s="59"/>
    </row>
    <row r="878" spans="2:39" x14ac:dyDescent="0.35">
      <c r="B878" s="237">
        <f>ROW(836:836)</f>
        <v>836</v>
      </c>
      <c r="C878" s="49">
        <f>C875+1</f>
        <v>45577</v>
      </c>
      <c r="D878" s="29">
        <f>DAY(Dati[[#This Row],[Data]])</f>
        <v>12</v>
      </c>
      <c r="E878" s="29" t="str">
        <f>IF(DAY(Data!$C$21:$C$1327)&gt;0,TEXT(Data!$C$21:$C$1327, "mmmm"),"")</f>
        <v>ottobre</v>
      </c>
      <c r="F878" s="29" t="str">
        <f>IF(DAY(Data!$C$21:$C$1327)&gt;0,TEXT(Data!$C$21:$C$1327, "aaaa"),"")</f>
        <v>2024</v>
      </c>
      <c r="I878" t="str">
        <f>IF(OR(H878=$B$5,H878=$B$6,H878=$B$7,H878=$B$8,H878=$B$9,H878=$B$10,H878=$B$11,H878=$B$12,H878=$B$13,H878=$B$14),SottocategorieUscite[[#Headers],[Fuori Casa]],IF(OR(H878=$C$5,H878=$C$6,H878=$C$7,H878=$C$8,H878=$C$9,H878=$C$10,H878=$C$11,H878=$C$12,H878=$C$13,H878=$C$14),SottocategorieUscite[[#Headers],[Varie Uscite]],IF(OR(H878=$D$5,H878=$D$6,H878=$D$7,H878=$D$8,H878=$D$9,H878=$D$10,H878=$D$11,H878=$D$12,H878=$D$13,H878=$D$14),SottocategorieUscite[[#Headers],[Personali]],IF(OR(H878=$E$5,H878=$E$6,H878=$E$7,H878=$E$8,H878=$E$9,H878=$E$10,H878=$E$11,H878=$E$12,H878=$E$13,H878=$E$14),SottocategorieUscite[[#Headers],[Lavoro]],IF(OR(H878=$F$5,H878=$F$6,H878=$F$7,H878=$F$8,H878=$F$9,H878=$F$10,H878=$F$11,H878=$F$12,H878=$F$13,H878=$F$14),SottocategorieUscite[[#Headers],[Casa]],IF(OR(H878=$G$5,H878=$G$6,H878=$G$7,H878=$G$8,H878=$G$9,H878=$G$10,H878=$G$11,H878=$G$12,H878=$G$13,H878=$G$14),SottocategorieUscite[[#Headers],[Utenze]],IF(OR(H878=$H$5,H878=$H$6,H878=$H$7,H878=$H$8,H878=$H$9,H878=$H$10,H878=$H$11,H878=$H$12,H878=$H$13,H878=$H$14),SottocategorieUscite[[#Headers],[Business Uscite]],IF(OR(H878=$I$5,H878=$I$6,H878=$I$7,H878=$I$8,H878=$I$9,H878=$I$10,H878=$I$11,H878=$I$12,H878=$I$13,H878=$I$14),SottocategorieUscite[[#Headers],[Banca]],IF(OR(H878=K$5,H878=K$6,H878=K$7,H878=K$8,H878=K$9,H878=K$10,H878=K$11,H878=K$12,H878=K$13,H878=K$14),SottocategorieEntrate[[#Headers],[Business Entrate]],IF(OR(H878=L$5,H878=L$6,H878=L$7,H878=L$8,H878=L$9,H878=L$10,H878=L$11,H878=L$12,H878=L$13,H878=L$14),SottocategorieEntrate[[#Headers],[Varie Entrate]],IF(OR(H878=M$5,H878=M$6,H878=M$7,H878=M$8,H878=M$9,H878=M$10,H878=M$11,H878=M$12,H878=M$13,H878=M$14),SottocategorieEntrate[[#Headers],[Real Estate]],IF(OR(H878=N$5,H878=N$6,H878=N$7,H878=N$8,H878=N$9,H878=N$10,H878=N$11,H878=N$12,H878=N$13,H878=N$14),SottocategorieEntrate[[#Headers],[Other]],""))))))))))))</f>
        <v/>
      </c>
      <c r="J878" t="str">
        <f>IF(OR(Dati[[#This Row],[Categoria]]="Bollette",Dati[[#This Row],[Categoria]]="Conto &amp; Carte BNL",Dati[[#This Row],[Categoria]]="Prelievo",Dati[[#This Row],[Categoria]]="Affitto",Dati[[#This Row],[Categoria]]="BNL(Interessi Creditori)"),"Carta",IF(Dati[[#This Row],[Categoria]]&lt;&gt;0,"Cash",""))</f>
        <v/>
      </c>
      <c r="K878" s="59" t="str">
        <f>IF(OR(Data!$I878=SottocategorieUscite[[#Headers],[Fuori Casa]],Data!$I878=SottocategorieUscite[[#Headers],[Varie Uscite]],Data!$I878=SottocategorieUscite[[#Headers],[Personali]],Data!$I878=SottocategorieUscite[[#Headers],[Lavoro]]),"$ -","")</f>
        <v/>
      </c>
      <c r="L878" s="59" t="str">
        <f>IF(OR(Data!$I878=SottocategorieUscite[[#Headers],[Casa]],Data!$I878=SottocategorieUscite[[#Headers],[Utenze]],Data!$I878=SottocategorieUscite[[#Headers],[Business Uscite]],Data!$I878=SottocategorieUscite[[#Headers],[Banca]]),"$ -","")</f>
        <v/>
      </c>
      <c r="M878" s="59" t="str">
        <f>IF(OR($I878&lt;&gt;SottocategorieUscite[[#Headers],[Fuori Casa]],$I878&lt;&gt;SottocategorieUscite[[#Headers],[Varie Uscite]],$I878&lt;&gt;SottocategorieUscite[[#Headers],[Personali]],$I878&lt;&gt;SottocategorieUscite[[#Headers],[Lavoro]],$I878&lt;&gt;SottocategorieUscite[[#Headers],[Casa]],$I878&lt;&gt;SottocategorieUscite[[#Headers],[Utenze]],$I878&lt;&gt;SottocategorieUscite[[#Headers],[Business Uscite]],$I878&lt;&gt;SottocategorieUscite[[#Headers],[Banca]]),"","$ -")</f>
        <v/>
      </c>
      <c r="N878" s="59" t="str">
        <f>IF(OR(Data!$I878=SottocategorieEntrate[[#Headers],[Business Entrate]],Data!$I878=SottocategorieEntrate[[#Headers],[Varie Entrate]]),"$ -","")</f>
        <v/>
      </c>
      <c r="O878" s="59" t="str">
        <f>IF(OR(Data!$I878=SottocategorieEntrate[[#Headers],[Real Estate]],SottocategorieEntrate[[#Headers],[Other]]),"$ -","")</f>
        <v/>
      </c>
      <c r="P878" s="59" t="str">
        <f>IF(OR($I878&lt;&gt;SottocategorieEntrate[[#Headers],[Business Entrate]],$I878&lt;&gt;SottocategorieEntrate[[#Headers],[Varie Entrate]],$I878&lt;&gt;SottocategorieEntrate[[#Headers],[Real Estate]],$I878&lt;&gt;SottocategorieEntrate[[#Headers],[Other]]),"","$ -")</f>
        <v/>
      </c>
      <c r="Q878" s="59" t="str">
        <f>IF(Dati[[#This Row],[Categoria]]="Prelievo","€ -","")</f>
        <v/>
      </c>
      <c r="R878" s="244"/>
      <c r="S878" s="59" t="str">
        <f>IF(Dati[[#This Row],[Categoria]]="Savings",0,"")</f>
        <v/>
      </c>
      <c r="T878" s="59"/>
      <c r="U878" s="59"/>
      <c r="V878" s="59"/>
      <c r="W878" s="59"/>
      <c r="X878" s="59"/>
      <c r="Y878" s="59"/>
      <c r="Z878" s="59"/>
      <c r="AA878" s="59"/>
      <c r="AB878" s="59"/>
      <c r="AC878" s="59"/>
      <c r="AD878" s="59"/>
      <c r="AE878" s="59"/>
      <c r="AF878" s="59"/>
      <c r="AG878" s="59"/>
      <c r="AH878" s="59"/>
      <c r="AI878" s="59" t="str">
        <f>IF(SUM(Dati[[#This Row],[Inv. Business]:[Inv. Cryptocurrency]])=0," ",SUM(Dati[[#This Row],[Inv. Business]:[Inv. Cryptocurrency]]))</f>
        <v xml:space="preserve"> </v>
      </c>
      <c r="AJ878" s="59"/>
      <c r="AK878" s="59"/>
      <c r="AL878" s="59"/>
      <c r="AM878" s="59"/>
    </row>
    <row r="879" spans="2:39" x14ac:dyDescent="0.35">
      <c r="B879" s="237">
        <f>ROW(836:836)</f>
        <v>836</v>
      </c>
      <c r="C879" s="49">
        <f>C877+1</f>
        <v>45577</v>
      </c>
      <c r="D879" s="29">
        <f>DAY(Dati[[#This Row],[Data]])</f>
        <v>12</v>
      </c>
      <c r="E879" s="29" t="str">
        <f>IF(DAY(Data!$C$21:$C$1327)&gt;0,TEXT(Data!$C$21:$C$1327, "mmmm"),"")</f>
        <v>ottobre</v>
      </c>
      <c r="F879" s="29" t="str">
        <f>IF(DAY(Data!$C$21:$C$1327)&gt;0,TEXT(Data!$C$21:$C$1327, "aaaa"),"")</f>
        <v>2024</v>
      </c>
      <c r="I879" t="str">
        <f>IF(OR(H879=$B$5,H879=$B$6,H879=$B$7,H879=$B$8,H879=$B$9,H879=$B$10,H879=$B$11,H879=$B$12,H879=$B$13,H879=$B$14),SottocategorieUscite[[#Headers],[Fuori Casa]],IF(OR(H879=$C$5,H879=$C$6,H879=$C$7,H879=$C$8,H879=$C$9,H879=$C$10,H879=$C$11,H879=$C$12,H879=$C$13,H879=$C$14),SottocategorieUscite[[#Headers],[Varie Uscite]],IF(OR(H879=$D$5,H879=$D$6,H879=$D$7,H879=$D$8,H879=$D$9,H879=$D$10,H879=$D$11,H879=$D$12,H879=$D$13,H879=$D$14),SottocategorieUscite[[#Headers],[Personali]],IF(OR(H879=$E$5,H879=$E$6,H879=$E$7,H879=$E$8,H879=$E$9,H879=$E$10,H879=$E$11,H879=$E$12,H879=$E$13,H879=$E$14),SottocategorieUscite[[#Headers],[Lavoro]],IF(OR(H879=$F$5,H879=$F$6,H879=$F$7,H879=$F$8,H879=$F$9,H879=$F$10,H879=$F$11,H879=$F$12,H879=$F$13,H879=$F$14),SottocategorieUscite[[#Headers],[Casa]],IF(OR(H879=$G$5,H879=$G$6,H879=$G$7,H879=$G$8,H879=$G$9,H879=$G$10,H879=$G$11,H879=$G$12,H879=$G$13,H879=$G$14),SottocategorieUscite[[#Headers],[Utenze]],IF(OR(H879=$H$5,H879=$H$6,H879=$H$7,H879=$H$8,H879=$H$9,H879=$H$10,H879=$H$11,H879=$H$12,H879=$H$13,H879=$H$14),SottocategorieUscite[[#Headers],[Business Uscite]],IF(OR(H879=$I$5,H879=$I$6,H879=$I$7,H879=$I$8,H879=$I$9,H879=$I$10,H879=$I$11,H879=$I$12,H879=$I$13,H879=$I$14),SottocategorieUscite[[#Headers],[Banca]],IF(OR(H879=K$5,H879=K$6,H879=K$7,H879=K$8,H879=K$9,H879=K$10,H879=K$11,H879=K$12,H879=K$13,H879=K$14),SottocategorieEntrate[[#Headers],[Business Entrate]],IF(OR(H879=L$5,H879=L$6,H879=L$7,H879=L$8,H879=L$9,H879=L$10,H879=L$11,H879=L$12,H879=L$13,H879=L$14),SottocategorieEntrate[[#Headers],[Varie Entrate]],IF(OR(H879=M$5,H879=M$6,H879=M$7,H879=M$8,H879=M$9,H879=M$10,H879=M$11,H879=M$12,H879=M$13,H879=M$14),SottocategorieEntrate[[#Headers],[Real Estate]],IF(OR(H879=N$5,H879=N$6,H879=N$7,H879=N$8,H879=N$9,H879=N$10,H879=N$11,H879=N$12,H879=N$13,H879=N$14),SottocategorieEntrate[[#Headers],[Other]],""))))))))))))</f>
        <v/>
      </c>
      <c r="J879" t="str">
        <f>IF(OR(Dati[[#This Row],[Categoria]]="Bollette",Dati[[#This Row],[Categoria]]="Conto &amp; Carte BNL",Dati[[#This Row],[Categoria]]="Prelievo",Dati[[#This Row],[Categoria]]="Affitto",Dati[[#This Row],[Categoria]]="BNL(Interessi Creditori)"),"Carta",IF(Dati[[#This Row],[Categoria]]&lt;&gt;0,"Cash",""))</f>
        <v/>
      </c>
      <c r="K879" s="59" t="str">
        <f>IF(OR(Data!$I879=SottocategorieUscite[[#Headers],[Fuori Casa]],Data!$I879=SottocategorieUscite[[#Headers],[Varie Uscite]],Data!$I879=SottocategorieUscite[[#Headers],[Personali]],Data!$I879=SottocategorieUscite[[#Headers],[Lavoro]]),"$ -","")</f>
        <v/>
      </c>
      <c r="L879" s="59" t="str">
        <f>IF(OR(Data!$I879=SottocategorieUscite[[#Headers],[Casa]],Data!$I879=SottocategorieUscite[[#Headers],[Utenze]],Data!$I879=SottocategorieUscite[[#Headers],[Business Uscite]],Data!$I879=SottocategorieUscite[[#Headers],[Banca]]),"$ -","")</f>
        <v/>
      </c>
      <c r="M879" s="59" t="str">
        <f>IF(OR($I879&lt;&gt;SottocategorieUscite[[#Headers],[Fuori Casa]],$I879&lt;&gt;SottocategorieUscite[[#Headers],[Varie Uscite]],$I879&lt;&gt;SottocategorieUscite[[#Headers],[Personali]],$I879&lt;&gt;SottocategorieUscite[[#Headers],[Lavoro]],$I879&lt;&gt;SottocategorieUscite[[#Headers],[Casa]],$I879&lt;&gt;SottocategorieUscite[[#Headers],[Utenze]],$I879&lt;&gt;SottocategorieUscite[[#Headers],[Business Uscite]],$I879&lt;&gt;SottocategorieUscite[[#Headers],[Banca]]),"","$ -")</f>
        <v/>
      </c>
      <c r="N879" s="59" t="str">
        <f>IF(OR(Data!$I879=SottocategorieEntrate[[#Headers],[Business Entrate]],Data!$I879=SottocategorieEntrate[[#Headers],[Varie Entrate]]),"$ -","")</f>
        <v/>
      </c>
      <c r="O879" s="59" t="str">
        <f>IF(OR(Data!$I879=SottocategorieEntrate[[#Headers],[Real Estate]],SottocategorieEntrate[[#Headers],[Other]]),"$ -","")</f>
        <v/>
      </c>
      <c r="P879" s="59" t="str">
        <f>IF(OR($I879&lt;&gt;SottocategorieEntrate[[#Headers],[Business Entrate]],$I879&lt;&gt;SottocategorieEntrate[[#Headers],[Varie Entrate]],$I879&lt;&gt;SottocategorieEntrate[[#Headers],[Real Estate]],$I879&lt;&gt;SottocategorieEntrate[[#Headers],[Other]]),"","$ -")</f>
        <v/>
      </c>
      <c r="Q879" s="59" t="str">
        <f>IF(Dati[[#This Row],[Categoria]]="Prelievo","€ -","")</f>
        <v/>
      </c>
      <c r="R879" s="244"/>
      <c r="S879" s="59" t="str">
        <f>IF(Dati[[#This Row],[Categoria]]="Savings",0,"")</f>
        <v/>
      </c>
      <c r="T879" s="59"/>
      <c r="U879" s="59"/>
      <c r="V879" s="59"/>
      <c r="W879" s="59"/>
      <c r="X879" s="59"/>
      <c r="Y879" s="59"/>
      <c r="Z879" s="59"/>
      <c r="AA879" s="59"/>
      <c r="AB879" s="59"/>
      <c r="AC879" s="59"/>
      <c r="AD879" s="59"/>
      <c r="AE879" s="59"/>
      <c r="AF879" s="59"/>
      <c r="AG879" s="59"/>
      <c r="AH879" s="59"/>
      <c r="AI879" s="59" t="str">
        <f>IF(SUM(Dati[[#This Row],[Inv. Business]:[Inv. Cryptocurrency]])=0," ",SUM(Dati[[#This Row],[Inv. Business]:[Inv. Cryptocurrency]]))</f>
        <v xml:space="preserve"> </v>
      </c>
      <c r="AJ879" s="59"/>
      <c r="AK879" s="59"/>
      <c r="AL879" s="59"/>
      <c r="AM879" s="59"/>
    </row>
    <row r="880" spans="2:39" x14ac:dyDescent="0.35">
      <c r="B880" s="237">
        <f>ROW(836:836)</f>
        <v>836</v>
      </c>
      <c r="C880" s="49">
        <f>C877+1</f>
        <v>45577</v>
      </c>
      <c r="D880" s="29">
        <f>DAY(Dati[[#This Row],[Data]])</f>
        <v>12</v>
      </c>
      <c r="E880" s="29" t="str">
        <f>IF(DAY(Data!$C$21:$C$1327)&gt;0,TEXT(Data!$C$21:$C$1327, "mmmm"),"")</f>
        <v>ottobre</v>
      </c>
      <c r="F880" s="29" t="str">
        <f>IF(DAY(Data!$C$21:$C$1327)&gt;0,TEXT(Data!$C$21:$C$1327, "aaaa"),"")</f>
        <v>2024</v>
      </c>
      <c r="I880" t="str">
        <f>IF(OR(H880=$B$5,H880=$B$6,H880=$B$7,H880=$B$8,H880=$B$9,H880=$B$10,H880=$B$11,H880=$B$12,H880=$B$13,H880=$B$14),SottocategorieUscite[[#Headers],[Fuori Casa]],IF(OR(H880=$C$5,H880=$C$6,H880=$C$7,H880=$C$8,H880=$C$9,H880=$C$10,H880=$C$11,H880=$C$12,H880=$C$13,H880=$C$14),SottocategorieUscite[[#Headers],[Varie Uscite]],IF(OR(H880=$D$5,H880=$D$6,H880=$D$7,H880=$D$8,H880=$D$9,H880=$D$10,H880=$D$11,H880=$D$12,H880=$D$13,H880=$D$14),SottocategorieUscite[[#Headers],[Personali]],IF(OR(H880=$E$5,H880=$E$6,H880=$E$7,H880=$E$8,H880=$E$9,H880=$E$10,H880=$E$11,H880=$E$12,H880=$E$13,H880=$E$14),SottocategorieUscite[[#Headers],[Lavoro]],IF(OR(H880=$F$5,H880=$F$6,H880=$F$7,H880=$F$8,H880=$F$9,H880=$F$10,H880=$F$11,H880=$F$12,H880=$F$13,H880=$F$14),SottocategorieUscite[[#Headers],[Casa]],IF(OR(H880=$G$5,H880=$G$6,H880=$G$7,H880=$G$8,H880=$G$9,H880=$G$10,H880=$G$11,H880=$G$12,H880=$G$13,H880=$G$14),SottocategorieUscite[[#Headers],[Utenze]],IF(OR(H880=$H$5,H880=$H$6,H880=$H$7,H880=$H$8,H880=$H$9,H880=$H$10,H880=$H$11,H880=$H$12,H880=$H$13,H880=$H$14),SottocategorieUscite[[#Headers],[Business Uscite]],IF(OR(H880=$I$5,H880=$I$6,H880=$I$7,H880=$I$8,H880=$I$9,H880=$I$10,H880=$I$11,H880=$I$12,H880=$I$13,H880=$I$14),SottocategorieUscite[[#Headers],[Banca]],IF(OR(H880=K$5,H880=K$6,H880=K$7,H880=K$8,H880=K$9,H880=K$10,H880=K$11,H880=K$12,H880=K$13,H880=K$14),SottocategorieEntrate[[#Headers],[Business Entrate]],IF(OR(H880=L$5,H880=L$6,H880=L$7,H880=L$8,H880=L$9,H880=L$10,H880=L$11,H880=L$12,H880=L$13,H880=L$14),SottocategorieEntrate[[#Headers],[Varie Entrate]],IF(OR(H880=M$5,H880=M$6,H880=M$7,H880=M$8,H880=M$9,H880=M$10,H880=M$11,H880=M$12,H880=M$13,H880=M$14),SottocategorieEntrate[[#Headers],[Real Estate]],IF(OR(H880=N$5,H880=N$6,H880=N$7,H880=N$8,H880=N$9,H880=N$10,H880=N$11,H880=N$12,H880=N$13,H880=N$14),SottocategorieEntrate[[#Headers],[Other]],""))))))))))))</f>
        <v/>
      </c>
      <c r="J880" t="str">
        <f>IF(OR(Dati[[#This Row],[Categoria]]="Bollette",Dati[[#This Row],[Categoria]]="Conto &amp; Carte BNL",Dati[[#This Row],[Categoria]]="Prelievo",Dati[[#This Row],[Categoria]]="Affitto",Dati[[#This Row],[Categoria]]="BNL(Interessi Creditori)"),"Carta",IF(Dati[[#This Row],[Categoria]]&lt;&gt;0,"Cash",""))</f>
        <v/>
      </c>
      <c r="K880" s="59" t="str">
        <f>IF(OR(Data!$I880=SottocategorieUscite[[#Headers],[Fuori Casa]],Data!$I880=SottocategorieUscite[[#Headers],[Varie Uscite]],Data!$I880=SottocategorieUscite[[#Headers],[Personali]],Data!$I880=SottocategorieUscite[[#Headers],[Lavoro]]),"$ -","")</f>
        <v/>
      </c>
      <c r="L880" s="59" t="str">
        <f>IF(OR(Data!$I880=SottocategorieUscite[[#Headers],[Casa]],Data!$I880=SottocategorieUscite[[#Headers],[Utenze]],Data!$I880=SottocategorieUscite[[#Headers],[Business Uscite]],Data!$I880=SottocategorieUscite[[#Headers],[Banca]]),"$ -","")</f>
        <v/>
      </c>
      <c r="M880" s="59" t="str">
        <f>IF(OR($I880&lt;&gt;SottocategorieUscite[[#Headers],[Fuori Casa]],$I880&lt;&gt;SottocategorieUscite[[#Headers],[Varie Uscite]],$I880&lt;&gt;SottocategorieUscite[[#Headers],[Personali]],$I880&lt;&gt;SottocategorieUscite[[#Headers],[Lavoro]],$I880&lt;&gt;SottocategorieUscite[[#Headers],[Casa]],$I880&lt;&gt;SottocategorieUscite[[#Headers],[Utenze]],$I880&lt;&gt;SottocategorieUscite[[#Headers],[Business Uscite]],$I880&lt;&gt;SottocategorieUscite[[#Headers],[Banca]]),"","$ -")</f>
        <v/>
      </c>
      <c r="N880" s="59" t="str">
        <f>IF(OR(Data!$I880=SottocategorieEntrate[[#Headers],[Business Entrate]],Data!$I880=SottocategorieEntrate[[#Headers],[Varie Entrate]]),"$ -","")</f>
        <v/>
      </c>
      <c r="O880" s="59" t="str">
        <f>IF(OR(Data!$I880=SottocategorieEntrate[[#Headers],[Real Estate]],SottocategorieEntrate[[#Headers],[Other]]),"$ -","")</f>
        <v/>
      </c>
      <c r="P880" s="59" t="str">
        <f>IF(OR($I880&lt;&gt;SottocategorieEntrate[[#Headers],[Business Entrate]],$I880&lt;&gt;SottocategorieEntrate[[#Headers],[Varie Entrate]],$I880&lt;&gt;SottocategorieEntrate[[#Headers],[Real Estate]],$I880&lt;&gt;SottocategorieEntrate[[#Headers],[Other]]),"","$ -")</f>
        <v/>
      </c>
      <c r="Q880" s="59" t="str">
        <f>IF(Dati[[#This Row],[Categoria]]="Prelievo","€ -","")</f>
        <v/>
      </c>
      <c r="R880" s="244"/>
      <c r="S880" s="59" t="str">
        <f>IF(Dati[[#This Row],[Categoria]]="Savings",0,"")</f>
        <v/>
      </c>
      <c r="T880" s="59"/>
      <c r="U880" s="59"/>
      <c r="V880" s="59"/>
      <c r="W880" s="59"/>
      <c r="X880" s="59"/>
      <c r="Y880" s="59"/>
      <c r="Z880" s="59"/>
      <c r="AA880" s="59"/>
      <c r="AB880" s="59"/>
      <c r="AC880" s="59"/>
      <c r="AD880" s="59"/>
      <c r="AE880" s="59"/>
      <c r="AF880" s="59"/>
      <c r="AG880" s="59"/>
      <c r="AH880" s="59"/>
      <c r="AI880" s="59" t="str">
        <f>IF(SUM(Dati[[#This Row],[Inv. Business]:[Inv. Cryptocurrency]])=0," ",SUM(Dati[[#This Row],[Inv. Business]:[Inv. Cryptocurrency]]))</f>
        <v xml:space="preserve"> </v>
      </c>
      <c r="AJ880" s="59"/>
      <c r="AK880" s="59"/>
      <c r="AL880" s="59"/>
      <c r="AM880" s="59"/>
    </row>
    <row r="881" spans="2:39" x14ac:dyDescent="0.35">
      <c r="B881" s="237">
        <f>ROW(837:837)</f>
        <v>837</v>
      </c>
      <c r="C881" s="49">
        <f>C878+1</f>
        <v>45578</v>
      </c>
      <c r="D881" s="29">
        <f>DAY(Dati[[#This Row],[Data]])</f>
        <v>13</v>
      </c>
      <c r="E881" s="29" t="str">
        <f>IF(DAY(Data!$C$21:$C$1327)&gt;0,TEXT(Data!$C$21:$C$1327, "mmmm"),"")</f>
        <v>ottobre</v>
      </c>
      <c r="F881" s="29" t="str">
        <f>IF(DAY(Data!$C$21:$C$1327)&gt;0,TEXT(Data!$C$21:$C$1327, "aaaa"),"")</f>
        <v>2024</v>
      </c>
      <c r="I881" t="str">
        <f>IF(OR(H881=$B$5,H881=$B$6,H881=$B$7,H881=$B$8,H881=$B$9,H881=$B$10,H881=$B$11,H881=$B$12,H881=$B$13,H881=$B$14),SottocategorieUscite[[#Headers],[Fuori Casa]],IF(OR(H881=$C$5,H881=$C$6,H881=$C$7,H881=$C$8,H881=$C$9,H881=$C$10,H881=$C$11,H881=$C$12,H881=$C$13,H881=$C$14),SottocategorieUscite[[#Headers],[Varie Uscite]],IF(OR(H881=$D$5,H881=$D$6,H881=$D$7,H881=$D$8,H881=$D$9,H881=$D$10,H881=$D$11,H881=$D$12,H881=$D$13,H881=$D$14),SottocategorieUscite[[#Headers],[Personali]],IF(OR(H881=$E$5,H881=$E$6,H881=$E$7,H881=$E$8,H881=$E$9,H881=$E$10,H881=$E$11,H881=$E$12,H881=$E$13,H881=$E$14),SottocategorieUscite[[#Headers],[Lavoro]],IF(OR(H881=$F$5,H881=$F$6,H881=$F$7,H881=$F$8,H881=$F$9,H881=$F$10,H881=$F$11,H881=$F$12,H881=$F$13,H881=$F$14),SottocategorieUscite[[#Headers],[Casa]],IF(OR(H881=$G$5,H881=$G$6,H881=$G$7,H881=$G$8,H881=$G$9,H881=$G$10,H881=$G$11,H881=$G$12,H881=$G$13,H881=$G$14),SottocategorieUscite[[#Headers],[Utenze]],IF(OR(H881=$H$5,H881=$H$6,H881=$H$7,H881=$H$8,H881=$H$9,H881=$H$10,H881=$H$11,H881=$H$12,H881=$H$13,H881=$H$14),SottocategorieUscite[[#Headers],[Business Uscite]],IF(OR(H881=$I$5,H881=$I$6,H881=$I$7,H881=$I$8,H881=$I$9,H881=$I$10,H881=$I$11,H881=$I$12,H881=$I$13,H881=$I$14),SottocategorieUscite[[#Headers],[Banca]],IF(OR(H881=K$5,H881=K$6,H881=K$7,H881=K$8,H881=K$9,H881=K$10,H881=K$11,H881=K$12,H881=K$13,H881=K$14),SottocategorieEntrate[[#Headers],[Business Entrate]],IF(OR(H881=L$5,H881=L$6,H881=L$7,H881=L$8,H881=L$9,H881=L$10,H881=L$11,H881=L$12,H881=L$13,H881=L$14),SottocategorieEntrate[[#Headers],[Varie Entrate]],IF(OR(H881=M$5,H881=M$6,H881=M$7,H881=M$8,H881=M$9,H881=M$10,H881=M$11,H881=M$12,H881=M$13,H881=M$14),SottocategorieEntrate[[#Headers],[Real Estate]],IF(OR(H881=N$5,H881=N$6,H881=N$7,H881=N$8,H881=N$9,H881=N$10,H881=N$11,H881=N$12,H881=N$13,H881=N$14),SottocategorieEntrate[[#Headers],[Other]],""))))))))))))</f>
        <v/>
      </c>
      <c r="J881" t="str">
        <f>IF(OR(Dati[[#This Row],[Categoria]]="Bollette",Dati[[#This Row],[Categoria]]="Conto &amp; Carte BNL",Dati[[#This Row],[Categoria]]="Prelievo",Dati[[#This Row],[Categoria]]="Affitto",Dati[[#This Row],[Categoria]]="BNL(Interessi Creditori)"),"Carta",IF(Dati[[#This Row],[Categoria]]&lt;&gt;0,"Cash",""))</f>
        <v/>
      </c>
      <c r="K881" s="59" t="str">
        <f>IF(OR(Data!$I881=SottocategorieUscite[[#Headers],[Fuori Casa]],Data!$I881=SottocategorieUscite[[#Headers],[Varie Uscite]],Data!$I881=SottocategorieUscite[[#Headers],[Personali]],Data!$I881=SottocategorieUscite[[#Headers],[Lavoro]]),"$ -","")</f>
        <v/>
      </c>
      <c r="L881" s="59" t="str">
        <f>IF(OR(Data!$I881=SottocategorieUscite[[#Headers],[Casa]],Data!$I881=SottocategorieUscite[[#Headers],[Utenze]],Data!$I881=SottocategorieUscite[[#Headers],[Business Uscite]],Data!$I881=SottocategorieUscite[[#Headers],[Banca]]),"$ -","")</f>
        <v/>
      </c>
      <c r="M881" s="59" t="str">
        <f>IF(OR($I881&lt;&gt;SottocategorieUscite[[#Headers],[Fuori Casa]],$I881&lt;&gt;SottocategorieUscite[[#Headers],[Varie Uscite]],$I881&lt;&gt;SottocategorieUscite[[#Headers],[Personali]],$I881&lt;&gt;SottocategorieUscite[[#Headers],[Lavoro]],$I881&lt;&gt;SottocategorieUscite[[#Headers],[Casa]],$I881&lt;&gt;SottocategorieUscite[[#Headers],[Utenze]],$I881&lt;&gt;SottocategorieUscite[[#Headers],[Business Uscite]],$I881&lt;&gt;SottocategorieUscite[[#Headers],[Banca]]),"","$ -")</f>
        <v/>
      </c>
      <c r="N881" s="59" t="str">
        <f>IF(OR(Data!$I881=SottocategorieEntrate[[#Headers],[Business Entrate]],Data!$I881=SottocategorieEntrate[[#Headers],[Varie Entrate]]),"$ -","")</f>
        <v/>
      </c>
      <c r="O881" s="59" t="str">
        <f>IF(OR(Data!$I881=SottocategorieEntrate[[#Headers],[Real Estate]],SottocategorieEntrate[[#Headers],[Other]]),"$ -","")</f>
        <v/>
      </c>
      <c r="P881" s="59" t="str">
        <f>IF(OR($I881&lt;&gt;SottocategorieEntrate[[#Headers],[Business Entrate]],$I881&lt;&gt;SottocategorieEntrate[[#Headers],[Varie Entrate]],$I881&lt;&gt;SottocategorieEntrate[[#Headers],[Real Estate]],$I881&lt;&gt;SottocategorieEntrate[[#Headers],[Other]]),"","$ -")</f>
        <v/>
      </c>
      <c r="Q881" s="59" t="str">
        <f>IF(Dati[[#This Row],[Categoria]]="Prelievo","€ -","")</f>
        <v/>
      </c>
      <c r="R881" s="244"/>
      <c r="S881" s="59" t="str">
        <f>IF(Dati[[#This Row],[Categoria]]="Savings",0,"")</f>
        <v/>
      </c>
      <c r="T881" s="59"/>
      <c r="U881" s="59"/>
      <c r="V881" s="59"/>
      <c r="W881" s="59"/>
      <c r="X881" s="59"/>
      <c r="Y881" s="59"/>
      <c r="Z881" s="59"/>
      <c r="AA881" s="59"/>
      <c r="AB881" s="59"/>
      <c r="AC881" s="59"/>
      <c r="AD881" s="59"/>
      <c r="AE881" s="59"/>
      <c r="AF881" s="59"/>
      <c r="AG881" s="59"/>
      <c r="AH881" s="59"/>
      <c r="AI881" s="59" t="str">
        <f>IF(SUM(Dati[[#This Row],[Inv. Business]:[Inv. Cryptocurrency]])=0," ",SUM(Dati[[#This Row],[Inv. Business]:[Inv. Cryptocurrency]]))</f>
        <v xml:space="preserve"> </v>
      </c>
      <c r="AJ881" s="59"/>
      <c r="AK881" s="59"/>
      <c r="AL881" s="59"/>
      <c r="AM881" s="59"/>
    </row>
    <row r="882" spans="2:39" x14ac:dyDescent="0.35">
      <c r="B882" s="237">
        <f>ROW(838:838)</f>
        <v>838</v>
      </c>
      <c r="C882" s="49">
        <f t="shared" si="48"/>
        <v>45579</v>
      </c>
      <c r="D882" s="29">
        <f>DAY(Dati[[#This Row],[Data]])</f>
        <v>14</v>
      </c>
      <c r="E882" s="29" t="str">
        <f>IF(DAY(Data!$C$21:$C$1327)&gt;0,TEXT(Data!$C$21:$C$1327, "mmmm"),"")</f>
        <v>ottobre</v>
      </c>
      <c r="F882" s="29" t="str">
        <f>IF(DAY(Data!$C$21:$C$1327)&gt;0,TEXT(Data!$C$21:$C$1327, "aaaa"),"")</f>
        <v>2024</v>
      </c>
      <c r="I882" t="str">
        <f>IF(OR(H882=$B$5,H882=$B$6,H882=$B$7,H882=$B$8,H882=$B$9,H882=$B$10,H882=$B$11,H882=$B$12,H882=$B$13,H882=$B$14),SottocategorieUscite[[#Headers],[Fuori Casa]],IF(OR(H882=$C$5,H882=$C$6,H882=$C$7,H882=$C$8,H882=$C$9,H882=$C$10,H882=$C$11,H882=$C$12,H882=$C$13,H882=$C$14),SottocategorieUscite[[#Headers],[Varie Uscite]],IF(OR(H882=$D$5,H882=$D$6,H882=$D$7,H882=$D$8,H882=$D$9,H882=$D$10,H882=$D$11,H882=$D$12,H882=$D$13,H882=$D$14),SottocategorieUscite[[#Headers],[Personali]],IF(OR(H882=$E$5,H882=$E$6,H882=$E$7,H882=$E$8,H882=$E$9,H882=$E$10,H882=$E$11,H882=$E$12,H882=$E$13,H882=$E$14),SottocategorieUscite[[#Headers],[Lavoro]],IF(OR(H882=$F$5,H882=$F$6,H882=$F$7,H882=$F$8,H882=$F$9,H882=$F$10,H882=$F$11,H882=$F$12,H882=$F$13,H882=$F$14),SottocategorieUscite[[#Headers],[Casa]],IF(OR(H882=$G$5,H882=$G$6,H882=$G$7,H882=$G$8,H882=$G$9,H882=$G$10,H882=$G$11,H882=$G$12,H882=$G$13,H882=$G$14),SottocategorieUscite[[#Headers],[Utenze]],IF(OR(H882=$H$5,H882=$H$6,H882=$H$7,H882=$H$8,H882=$H$9,H882=$H$10,H882=$H$11,H882=$H$12,H882=$H$13,H882=$H$14),SottocategorieUscite[[#Headers],[Business Uscite]],IF(OR(H882=$I$5,H882=$I$6,H882=$I$7,H882=$I$8,H882=$I$9,H882=$I$10,H882=$I$11,H882=$I$12,H882=$I$13,H882=$I$14),SottocategorieUscite[[#Headers],[Banca]],IF(OR(H882=K$5,H882=K$6,H882=K$7,H882=K$8,H882=K$9,H882=K$10,H882=K$11,H882=K$12,H882=K$13,H882=K$14),SottocategorieEntrate[[#Headers],[Business Entrate]],IF(OR(H882=L$5,H882=L$6,H882=L$7,H882=L$8,H882=L$9,H882=L$10,H882=L$11,H882=L$12,H882=L$13,H882=L$14),SottocategorieEntrate[[#Headers],[Varie Entrate]],IF(OR(H882=M$5,H882=M$6,H882=M$7,H882=M$8,H882=M$9,H882=M$10,H882=M$11,H882=M$12,H882=M$13,H882=M$14),SottocategorieEntrate[[#Headers],[Real Estate]],IF(OR(H882=N$5,H882=N$6,H882=N$7,H882=N$8,H882=N$9,H882=N$10,H882=N$11,H882=N$12,H882=N$13,H882=N$14),SottocategorieEntrate[[#Headers],[Other]],""))))))))))))</f>
        <v/>
      </c>
      <c r="J882" t="str">
        <f>IF(OR(Dati[[#This Row],[Categoria]]="Bollette",Dati[[#This Row],[Categoria]]="Conto &amp; Carte BNL",Dati[[#This Row],[Categoria]]="Prelievo",Dati[[#This Row],[Categoria]]="Affitto",Dati[[#This Row],[Categoria]]="BNL(Interessi Creditori)"),"Carta",IF(Dati[[#This Row],[Categoria]]&lt;&gt;0,"Cash",""))</f>
        <v/>
      </c>
      <c r="K882" s="59" t="str">
        <f>IF(OR(Data!$I882=SottocategorieUscite[[#Headers],[Fuori Casa]],Data!$I882=SottocategorieUscite[[#Headers],[Varie Uscite]],Data!$I882=SottocategorieUscite[[#Headers],[Personali]],Data!$I882=SottocategorieUscite[[#Headers],[Lavoro]]),"$ -","")</f>
        <v/>
      </c>
      <c r="L882" s="59" t="str">
        <f>IF(OR(Data!$I882=SottocategorieUscite[[#Headers],[Casa]],Data!$I882=SottocategorieUscite[[#Headers],[Utenze]],Data!$I882=SottocategorieUscite[[#Headers],[Business Uscite]],Data!$I882=SottocategorieUscite[[#Headers],[Banca]]),"$ -","")</f>
        <v/>
      </c>
      <c r="M882" s="59" t="str">
        <f>IF(OR($I882&lt;&gt;SottocategorieUscite[[#Headers],[Fuori Casa]],$I882&lt;&gt;SottocategorieUscite[[#Headers],[Varie Uscite]],$I882&lt;&gt;SottocategorieUscite[[#Headers],[Personali]],$I882&lt;&gt;SottocategorieUscite[[#Headers],[Lavoro]],$I882&lt;&gt;SottocategorieUscite[[#Headers],[Casa]],$I882&lt;&gt;SottocategorieUscite[[#Headers],[Utenze]],$I882&lt;&gt;SottocategorieUscite[[#Headers],[Business Uscite]],$I882&lt;&gt;SottocategorieUscite[[#Headers],[Banca]]),"","$ -")</f>
        <v/>
      </c>
      <c r="N882" s="59" t="str">
        <f>IF(OR(Data!$I882=SottocategorieEntrate[[#Headers],[Business Entrate]],Data!$I882=SottocategorieEntrate[[#Headers],[Varie Entrate]]),"$ -","")</f>
        <v/>
      </c>
      <c r="O882" s="59" t="str">
        <f>IF(OR(Data!$I882=SottocategorieEntrate[[#Headers],[Real Estate]],SottocategorieEntrate[[#Headers],[Other]]),"$ -","")</f>
        <v/>
      </c>
      <c r="P882" s="59" t="str">
        <f>IF(OR($I882&lt;&gt;SottocategorieEntrate[[#Headers],[Business Entrate]],$I882&lt;&gt;SottocategorieEntrate[[#Headers],[Varie Entrate]],$I882&lt;&gt;SottocategorieEntrate[[#Headers],[Real Estate]],$I882&lt;&gt;SottocategorieEntrate[[#Headers],[Other]]),"","$ -")</f>
        <v/>
      </c>
      <c r="Q882" s="59" t="str">
        <f>IF(Dati[[#This Row],[Categoria]]="Prelievo","€ -","")</f>
        <v/>
      </c>
      <c r="R882" s="244"/>
      <c r="S882" s="59" t="str">
        <f>IF(Dati[[#This Row],[Categoria]]="Savings",0,"")</f>
        <v/>
      </c>
      <c r="T882" s="59"/>
      <c r="U882" s="59"/>
      <c r="V882" s="59"/>
      <c r="W882" s="59"/>
      <c r="X882" s="59"/>
      <c r="Y882" s="59"/>
      <c r="Z882" s="59"/>
      <c r="AA882" s="59"/>
      <c r="AB882" s="59"/>
      <c r="AC882" s="59"/>
      <c r="AD882" s="59"/>
      <c r="AE882" s="59"/>
      <c r="AF882" s="59"/>
      <c r="AG882" s="59"/>
      <c r="AH882" s="59"/>
      <c r="AI882" s="59" t="str">
        <f>IF(SUM(Dati[[#This Row],[Inv. Business]:[Inv. Cryptocurrency]])=0," ",SUM(Dati[[#This Row],[Inv. Business]:[Inv. Cryptocurrency]]))</f>
        <v xml:space="preserve"> </v>
      </c>
      <c r="AJ882" s="59"/>
      <c r="AK882" s="59"/>
      <c r="AL882" s="59"/>
      <c r="AM882" s="59"/>
    </row>
    <row r="883" spans="2:39" x14ac:dyDescent="0.35">
      <c r="B883" s="237">
        <f>ROW(841:841)</f>
        <v>841</v>
      </c>
      <c r="C883" s="49">
        <f t="shared" si="48"/>
        <v>45580</v>
      </c>
      <c r="D883" s="29">
        <f>DAY(Dati[[#This Row],[Data]])</f>
        <v>15</v>
      </c>
      <c r="E883" s="29" t="str">
        <f>IF(DAY(Data!$C$21:$C$1327)&gt;0,TEXT(Data!$C$21:$C$1327, "mmmm"),"")</f>
        <v>ottobre</v>
      </c>
      <c r="F883" s="29" t="str">
        <f>IF(DAY(Data!$C$21:$C$1327)&gt;0,TEXT(Data!$C$21:$C$1327, "aaaa"),"")</f>
        <v>2024</v>
      </c>
      <c r="I883" t="str">
        <f>IF(OR(H883=$B$5,H883=$B$6,H883=$B$7,H883=$B$8,H883=$B$9,H883=$B$10,H883=$B$11,H883=$B$12,H883=$B$13,H883=$B$14),SottocategorieUscite[[#Headers],[Fuori Casa]],IF(OR(H883=$C$5,H883=$C$6,H883=$C$7,H883=$C$8,H883=$C$9,H883=$C$10,H883=$C$11,H883=$C$12,H883=$C$13,H883=$C$14),SottocategorieUscite[[#Headers],[Varie Uscite]],IF(OR(H883=$D$5,H883=$D$6,H883=$D$7,H883=$D$8,H883=$D$9,H883=$D$10,H883=$D$11,H883=$D$12,H883=$D$13,H883=$D$14),SottocategorieUscite[[#Headers],[Personali]],IF(OR(H883=$E$5,H883=$E$6,H883=$E$7,H883=$E$8,H883=$E$9,H883=$E$10,H883=$E$11,H883=$E$12,H883=$E$13,H883=$E$14),SottocategorieUscite[[#Headers],[Lavoro]],IF(OR(H883=$F$5,H883=$F$6,H883=$F$7,H883=$F$8,H883=$F$9,H883=$F$10,H883=$F$11,H883=$F$12,H883=$F$13,H883=$F$14),SottocategorieUscite[[#Headers],[Casa]],IF(OR(H883=$G$5,H883=$G$6,H883=$G$7,H883=$G$8,H883=$G$9,H883=$G$10,H883=$G$11,H883=$G$12,H883=$G$13,H883=$G$14),SottocategorieUscite[[#Headers],[Utenze]],IF(OR(H883=$H$5,H883=$H$6,H883=$H$7,H883=$H$8,H883=$H$9,H883=$H$10,H883=$H$11,H883=$H$12,H883=$H$13,H883=$H$14),SottocategorieUscite[[#Headers],[Business Uscite]],IF(OR(H883=$I$5,H883=$I$6,H883=$I$7,H883=$I$8,H883=$I$9,H883=$I$10,H883=$I$11,H883=$I$12,H883=$I$13,H883=$I$14),SottocategorieUscite[[#Headers],[Banca]],IF(OR(H883=K$5,H883=K$6,H883=K$7,H883=K$8,H883=K$9,H883=K$10,H883=K$11,H883=K$12,H883=K$13,H883=K$14),SottocategorieEntrate[[#Headers],[Business Entrate]],IF(OR(H883=L$5,H883=L$6,H883=L$7,H883=L$8,H883=L$9,H883=L$10,H883=L$11,H883=L$12,H883=L$13,H883=L$14),SottocategorieEntrate[[#Headers],[Varie Entrate]],IF(OR(H883=M$5,H883=M$6,H883=M$7,H883=M$8,H883=M$9,H883=M$10,H883=M$11,H883=M$12,H883=M$13,H883=M$14),SottocategorieEntrate[[#Headers],[Real Estate]],IF(OR(H883=N$5,H883=N$6,H883=N$7,H883=N$8,H883=N$9,H883=N$10,H883=N$11,H883=N$12,H883=N$13,H883=N$14),SottocategorieEntrate[[#Headers],[Other]],""))))))))))))</f>
        <v/>
      </c>
      <c r="J883" t="str">
        <f>IF(OR(Dati[[#This Row],[Categoria]]="Bollette",Dati[[#This Row],[Categoria]]="Conto &amp; Carte BNL",Dati[[#This Row],[Categoria]]="Prelievo",Dati[[#This Row],[Categoria]]="Affitto",Dati[[#This Row],[Categoria]]="BNL(Interessi Creditori)"),"Carta",IF(Dati[[#This Row],[Categoria]]&lt;&gt;0,"Cash",""))</f>
        <v/>
      </c>
      <c r="K883" s="59" t="str">
        <f>IF(OR(Data!$I883=SottocategorieUscite[[#Headers],[Fuori Casa]],Data!$I883=SottocategorieUscite[[#Headers],[Varie Uscite]],Data!$I883=SottocategorieUscite[[#Headers],[Personali]],Data!$I883=SottocategorieUscite[[#Headers],[Lavoro]]),"$ -","")</f>
        <v/>
      </c>
      <c r="L883" s="59" t="str">
        <f>IF(OR(Data!$I883=SottocategorieUscite[[#Headers],[Casa]],Data!$I883=SottocategorieUscite[[#Headers],[Utenze]],Data!$I883=SottocategorieUscite[[#Headers],[Business Uscite]],Data!$I883=SottocategorieUscite[[#Headers],[Banca]]),"$ -","")</f>
        <v/>
      </c>
      <c r="M883" s="59" t="str">
        <f>IF(OR($I883&lt;&gt;SottocategorieUscite[[#Headers],[Fuori Casa]],$I883&lt;&gt;SottocategorieUscite[[#Headers],[Varie Uscite]],$I883&lt;&gt;SottocategorieUscite[[#Headers],[Personali]],$I883&lt;&gt;SottocategorieUscite[[#Headers],[Lavoro]],$I883&lt;&gt;SottocategorieUscite[[#Headers],[Casa]],$I883&lt;&gt;SottocategorieUscite[[#Headers],[Utenze]],$I883&lt;&gt;SottocategorieUscite[[#Headers],[Business Uscite]],$I883&lt;&gt;SottocategorieUscite[[#Headers],[Banca]]),"","$ -")</f>
        <v/>
      </c>
      <c r="N883" s="59" t="str">
        <f>IF(OR(Data!$I883=SottocategorieEntrate[[#Headers],[Business Entrate]],Data!$I883=SottocategorieEntrate[[#Headers],[Varie Entrate]]),"$ -","")</f>
        <v/>
      </c>
      <c r="O883" s="59" t="str">
        <f>IF(OR(Data!$I883=SottocategorieEntrate[[#Headers],[Real Estate]],SottocategorieEntrate[[#Headers],[Other]]),"$ -","")</f>
        <v/>
      </c>
      <c r="P883" s="59" t="str">
        <f>IF(OR($I883&lt;&gt;SottocategorieEntrate[[#Headers],[Business Entrate]],$I883&lt;&gt;SottocategorieEntrate[[#Headers],[Varie Entrate]],$I883&lt;&gt;SottocategorieEntrate[[#Headers],[Real Estate]],$I883&lt;&gt;SottocategorieEntrate[[#Headers],[Other]]),"","$ -")</f>
        <v/>
      </c>
      <c r="Q883" s="59" t="str">
        <f>IF(Dati[[#This Row],[Categoria]]="Prelievo","€ -","")</f>
        <v/>
      </c>
      <c r="R883" s="244"/>
      <c r="S883" s="59" t="str">
        <f>IF(Dati[[#This Row],[Categoria]]="Savings",0,"")</f>
        <v/>
      </c>
      <c r="T883" s="59"/>
      <c r="U883" s="59"/>
      <c r="V883" s="59"/>
      <c r="W883" s="59"/>
      <c r="X883" s="59"/>
      <c r="Y883" s="59"/>
      <c r="Z883" s="59"/>
      <c r="AA883" s="59"/>
      <c r="AB883" s="59"/>
      <c r="AC883" s="59"/>
      <c r="AD883" s="59"/>
      <c r="AE883" s="59"/>
      <c r="AF883" s="59"/>
      <c r="AG883" s="59"/>
      <c r="AH883" s="59"/>
      <c r="AI883" s="59" t="str">
        <f>IF(SUM(Dati[[#This Row],[Inv. Business]:[Inv. Cryptocurrency]])=0," ",SUM(Dati[[#This Row],[Inv. Business]:[Inv. Cryptocurrency]]))</f>
        <v xml:space="preserve"> </v>
      </c>
      <c r="AJ883" s="59"/>
      <c r="AK883" s="59"/>
      <c r="AL883" s="59"/>
      <c r="AM883" s="59"/>
    </row>
    <row r="884" spans="2:39" x14ac:dyDescent="0.35">
      <c r="B884" s="237">
        <f>ROW(843:843)</f>
        <v>843</v>
      </c>
      <c r="C884" s="49">
        <f>C882+1</f>
        <v>45580</v>
      </c>
      <c r="D884" s="29">
        <f>DAY(Dati[[#This Row],[Data]])</f>
        <v>15</v>
      </c>
      <c r="E884" s="29" t="str">
        <f>IF(DAY(Data!$C$21:$C$1327)&gt;0,TEXT(Data!$C$21:$C$1327, "mmmm"),"")</f>
        <v>ottobre</v>
      </c>
      <c r="F884" s="29" t="str">
        <f>IF(DAY(Data!$C$21:$C$1327)&gt;0,TEXT(Data!$C$21:$C$1327, "aaaa"),"")</f>
        <v>2024</v>
      </c>
      <c r="I884" t="str">
        <f>IF(OR(H884=$B$5,H884=$B$6,H884=$B$7,H884=$B$8,H884=$B$9,H884=$B$10,H884=$B$11,H884=$B$12,H884=$B$13,H884=$B$14),SottocategorieUscite[[#Headers],[Fuori Casa]],IF(OR(H884=$C$5,H884=$C$6,H884=$C$7,H884=$C$8,H884=$C$9,H884=$C$10,H884=$C$11,H884=$C$12,H884=$C$13,H884=$C$14),SottocategorieUscite[[#Headers],[Varie Uscite]],IF(OR(H884=$D$5,H884=$D$6,H884=$D$7,H884=$D$8,H884=$D$9,H884=$D$10,H884=$D$11,H884=$D$12,H884=$D$13,H884=$D$14),SottocategorieUscite[[#Headers],[Personali]],IF(OR(H884=$E$5,H884=$E$6,H884=$E$7,H884=$E$8,H884=$E$9,H884=$E$10,H884=$E$11,H884=$E$12,H884=$E$13,H884=$E$14),SottocategorieUscite[[#Headers],[Lavoro]],IF(OR(H884=$F$5,H884=$F$6,H884=$F$7,H884=$F$8,H884=$F$9,H884=$F$10,H884=$F$11,H884=$F$12,H884=$F$13,H884=$F$14),SottocategorieUscite[[#Headers],[Casa]],IF(OR(H884=$G$5,H884=$G$6,H884=$G$7,H884=$G$8,H884=$G$9,H884=$G$10,H884=$G$11,H884=$G$12,H884=$G$13,H884=$G$14),SottocategorieUscite[[#Headers],[Utenze]],IF(OR(H884=$H$5,H884=$H$6,H884=$H$7,H884=$H$8,H884=$H$9,H884=$H$10,H884=$H$11,H884=$H$12,H884=$H$13,H884=$H$14),SottocategorieUscite[[#Headers],[Business Uscite]],IF(OR(H884=$I$5,H884=$I$6,H884=$I$7,H884=$I$8,H884=$I$9,H884=$I$10,H884=$I$11,H884=$I$12,H884=$I$13,H884=$I$14),SottocategorieUscite[[#Headers],[Banca]],IF(OR(H884=K$5,H884=K$6,H884=K$7,H884=K$8,H884=K$9,H884=K$10,H884=K$11,H884=K$12,H884=K$13,H884=K$14),SottocategorieEntrate[[#Headers],[Business Entrate]],IF(OR(H884=L$5,H884=L$6,H884=L$7,H884=L$8,H884=L$9,H884=L$10,H884=L$11,H884=L$12,H884=L$13,H884=L$14),SottocategorieEntrate[[#Headers],[Varie Entrate]],IF(OR(H884=M$5,H884=M$6,H884=M$7,H884=M$8,H884=M$9,H884=M$10,H884=M$11,H884=M$12,H884=M$13,H884=M$14),SottocategorieEntrate[[#Headers],[Real Estate]],IF(OR(H884=N$5,H884=N$6,H884=N$7,H884=N$8,H884=N$9,H884=N$10,H884=N$11,H884=N$12,H884=N$13,H884=N$14),SottocategorieEntrate[[#Headers],[Other]],""))))))))))))</f>
        <v/>
      </c>
      <c r="J884" t="str">
        <f>IF(OR(Dati[[#This Row],[Categoria]]="Bollette",Dati[[#This Row],[Categoria]]="Conto &amp; Carte BNL",Dati[[#This Row],[Categoria]]="Prelievo",Dati[[#This Row],[Categoria]]="Affitto",Dati[[#This Row],[Categoria]]="BNL(Interessi Creditori)"),"Carta",IF(Dati[[#This Row],[Categoria]]&lt;&gt;0,"Cash",""))</f>
        <v/>
      </c>
      <c r="K884" s="59" t="str">
        <f>IF(OR(Data!$I884=SottocategorieUscite[[#Headers],[Fuori Casa]],Data!$I884=SottocategorieUscite[[#Headers],[Varie Uscite]],Data!$I884=SottocategorieUscite[[#Headers],[Personali]],Data!$I884=SottocategorieUscite[[#Headers],[Lavoro]]),"$ -","")</f>
        <v/>
      </c>
      <c r="L884" s="59" t="str">
        <f>IF(OR(Data!$I884=SottocategorieUscite[[#Headers],[Casa]],Data!$I884=SottocategorieUscite[[#Headers],[Utenze]],Data!$I884=SottocategorieUscite[[#Headers],[Business Uscite]],Data!$I884=SottocategorieUscite[[#Headers],[Banca]]),"$ -","")</f>
        <v/>
      </c>
      <c r="M884" s="59" t="str">
        <f>IF(OR($I884&lt;&gt;SottocategorieUscite[[#Headers],[Fuori Casa]],$I884&lt;&gt;SottocategorieUscite[[#Headers],[Varie Uscite]],$I884&lt;&gt;SottocategorieUscite[[#Headers],[Personali]],$I884&lt;&gt;SottocategorieUscite[[#Headers],[Lavoro]],$I884&lt;&gt;SottocategorieUscite[[#Headers],[Casa]],$I884&lt;&gt;SottocategorieUscite[[#Headers],[Utenze]],$I884&lt;&gt;SottocategorieUscite[[#Headers],[Business Uscite]],$I884&lt;&gt;SottocategorieUscite[[#Headers],[Banca]]),"","$ -")</f>
        <v/>
      </c>
      <c r="N884" s="59" t="str">
        <f>IF(OR(Data!$I884=SottocategorieEntrate[[#Headers],[Business Entrate]],Data!$I884=SottocategorieEntrate[[#Headers],[Varie Entrate]]),"$ -","")</f>
        <v/>
      </c>
      <c r="O884" s="59" t="str">
        <f>IF(OR(Data!$I884=SottocategorieEntrate[[#Headers],[Real Estate]],SottocategorieEntrate[[#Headers],[Other]]),"$ -","")</f>
        <v/>
      </c>
      <c r="P884" s="59" t="str">
        <f>IF(OR($I884&lt;&gt;SottocategorieEntrate[[#Headers],[Business Entrate]],$I884&lt;&gt;SottocategorieEntrate[[#Headers],[Varie Entrate]],$I884&lt;&gt;SottocategorieEntrate[[#Headers],[Real Estate]],$I884&lt;&gt;SottocategorieEntrate[[#Headers],[Other]]),"","$ -")</f>
        <v/>
      </c>
      <c r="Q884" s="59" t="str">
        <f>IF(Dati[[#This Row],[Categoria]]="Prelievo","€ -","")</f>
        <v/>
      </c>
      <c r="R884" s="244"/>
      <c r="S884" s="59" t="str">
        <f>IF(Dati[[#This Row],[Categoria]]="Savings",0,"")</f>
        <v/>
      </c>
      <c r="T884" s="59"/>
      <c r="U884" s="59"/>
      <c r="V884" s="59"/>
      <c r="W884" s="59"/>
      <c r="X884" s="59"/>
      <c r="Y884" s="59"/>
      <c r="Z884" s="59"/>
      <c r="AA884" s="59"/>
      <c r="AB884" s="59"/>
      <c r="AC884" s="59"/>
      <c r="AD884" s="59"/>
      <c r="AE884" s="59"/>
      <c r="AF884" s="59"/>
      <c r="AG884" s="59"/>
      <c r="AH884" s="59"/>
      <c r="AI884" s="59" t="str">
        <f>IF(SUM(Dati[[#This Row],[Inv. Business]:[Inv. Cryptocurrency]])=0," ",SUM(Dati[[#This Row],[Inv. Business]:[Inv. Cryptocurrency]]))</f>
        <v xml:space="preserve"> </v>
      </c>
      <c r="AJ884" s="59"/>
      <c r="AK884" s="59"/>
      <c r="AL884" s="59"/>
      <c r="AM884" s="59"/>
    </row>
    <row r="885" spans="2:39" x14ac:dyDescent="0.35">
      <c r="B885" s="237">
        <f>ROW(844:844)</f>
        <v>844</v>
      </c>
      <c r="C885" s="49">
        <f>C883+1</f>
        <v>45581</v>
      </c>
      <c r="D885" s="29">
        <f>DAY(Dati[[#This Row],[Data]])</f>
        <v>16</v>
      </c>
      <c r="E885" s="29" t="str">
        <f>IF(DAY(Data!$C$21:$C$1327)&gt;0,TEXT(Data!$C$21:$C$1327, "mmmm"),"")</f>
        <v>ottobre</v>
      </c>
      <c r="F885" s="29" t="str">
        <f>IF(DAY(Data!$C$21:$C$1327)&gt;0,TEXT(Data!$C$21:$C$1327, "aaaa"),"")</f>
        <v>2024</v>
      </c>
      <c r="I885" t="str">
        <f>IF(OR(H885=$B$5,H885=$B$6,H885=$B$7,H885=$B$8,H885=$B$9,H885=$B$10,H885=$B$11,H885=$B$12,H885=$B$13,H885=$B$14),SottocategorieUscite[[#Headers],[Fuori Casa]],IF(OR(H885=$C$5,H885=$C$6,H885=$C$7,H885=$C$8,H885=$C$9,H885=$C$10,H885=$C$11,H885=$C$12,H885=$C$13,H885=$C$14),SottocategorieUscite[[#Headers],[Varie Uscite]],IF(OR(H885=$D$5,H885=$D$6,H885=$D$7,H885=$D$8,H885=$D$9,H885=$D$10,H885=$D$11,H885=$D$12,H885=$D$13,H885=$D$14),SottocategorieUscite[[#Headers],[Personali]],IF(OR(H885=$E$5,H885=$E$6,H885=$E$7,H885=$E$8,H885=$E$9,H885=$E$10,H885=$E$11,H885=$E$12,H885=$E$13,H885=$E$14),SottocategorieUscite[[#Headers],[Lavoro]],IF(OR(H885=$F$5,H885=$F$6,H885=$F$7,H885=$F$8,H885=$F$9,H885=$F$10,H885=$F$11,H885=$F$12,H885=$F$13,H885=$F$14),SottocategorieUscite[[#Headers],[Casa]],IF(OR(H885=$G$5,H885=$G$6,H885=$G$7,H885=$G$8,H885=$G$9,H885=$G$10,H885=$G$11,H885=$G$12,H885=$G$13,H885=$G$14),SottocategorieUscite[[#Headers],[Utenze]],IF(OR(H885=$H$5,H885=$H$6,H885=$H$7,H885=$H$8,H885=$H$9,H885=$H$10,H885=$H$11,H885=$H$12,H885=$H$13,H885=$H$14),SottocategorieUscite[[#Headers],[Business Uscite]],IF(OR(H885=$I$5,H885=$I$6,H885=$I$7,H885=$I$8,H885=$I$9,H885=$I$10,H885=$I$11,H885=$I$12,H885=$I$13,H885=$I$14),SottocategorieUscite[[#Headers],[Banca]],IF(OR(H885=K$5,H885=K$6,H885=K$7,H885=K$8,H885=K$9,H885=K$10,H885=K$11,H885=K$12,H885=K$13,H885=K$14),SottocategorieEntrate[[#Headers],[Business Entrate]],IF(OR(H885=L$5,H885=L$6,H885=L$7,H885=L$8,H885=L$9,H885=L$10,H885=L$11,H885=L$12,H885=L$13,H885=L$14),SottocategorieEntrate[[#Headers],[Varie Entrate]],IF(OR(H885=M$5,H885=M$6,H885=M$7,H885=M$8,H885=M$9,H885=M$10,H885=M$11,H885=M$12,H885=M$13,H885=M$14),SottocategorieEntrate[[#Headers],[Real Estate]],IF(OR(H885=N$5,H885=N$6,H885=N$7,H885=N$8,H885=N$9,H885=N$10,H885=N$11,H885=N$12,H885=N$13,H885=N$14),SottocategorieEntrate[[#Headers],[Other]],""))))))))))))</f>
        <v/>
      </c>
      <c r="J885" t="str">
        <f>IF(OR(Dati[[#This Row],[Categoria]]="Bollette",Dati[[#This Row],[Categoria]]="Conto &amp; Carte BNL",Dati[[#This Row],[Categoria]]="Prelievo",Dati[[#This Row],[Categoria]]="Affitto",Dati[[#This Row],[Categoria]]="BNL(Interessi Creditori)"),"Carta",IF(Dati[[#This Row],[Categoria]]&lt;&gt;0,"Cash",""))</f>
        <v/>
      </c>
      <c r="K885" s="59" t="str">
        <f>IF(OR(Data!$I885=SottocategorieUscite[[#Headers],[Fuori Casa]],Data!$I885=SottocategorieUscite[[#Headers],[Varie Uscite]],Data!$I885=SottocategorieUscite[[#Headers],[Personali]],Data!$I885=SottocategorieUscite[[#Headers],[Lavoro]]),"$ -","")</f>
        <v/>
      </c>
      <c r="L885" s="59" t="str">
        <f>IF(OR(Data!$I885=SottocategorieUscite[[#Headers],[Casa]],Data!$I885=SottocategorieUscite[[#Headers],[Utenze]],Data!$I885=SottocategorieUscite[[#Headers],[Business Uscite]],Data!$I885=SottocategorieUscite[[#Headers],[Banca]]),"$ -","")</f>
        <v/>
      </c>
      <c r="M885" s="59" t="str">
        <f>IF(OR($I885&lt;&gt;SottocategorieUscite[[#Headers],[Fuori Casa]],$I885&lt;&gt;SottocategorieUscite[[#Headers],[Varie Uscite]],$I885&lt;&gt;SottocategorieUscite[[#Headers],[Personali]],$I885&lt;&gt;SottocategorieUscite[[#Headers],[Lavoro]],$I885&lt;&gt;SottocategorieUscite[[#Headers],[Casa]],$I885&lt;&gt;SottocategorieUscite[[#Headers],[Utenze]],$I885&lt;&gt;SottocategorieUscite[[#Headers],[Business Uscite]],$I885&lt;&gt;SottocategorieUscite[[#Headers],[Banca]]),"","$ -")</f>
        <v/>
      </c>
      <c r="N885" s="59" t="str">
        <f>IF(OR(Data!$I885=SottocategorieEntrate[[#Headers],[Business Entrate]],Data!$I885=SottocategorieEntrate[[#Headers],[Varie Entrate]]),"$ -","")</f>
        <v/>
      </c>
      <c r="O885" s="59" t="str">
        <f>IF(OR(Data!$I885=SottocategorieEntrate[[#Headers],[Real Estate]],SottocategorieEntrate[[#Headers],[Other]]),"$ -","")</f>
        <v/>
      </c>
      <c r="P885" s="59" t="str">
        <f>IF(OR($I885&lt;&gt;SottocategorieEntrate[[#Headers],[Business Entrate]],$I885&lt;&gt;SottocategorieEntrate[[#Headers],[Varie Entrate]],$I885&lt;&gt;SottocategorieEntrate[[#Headers],[Real Estate]],$I885&lt;&gt;SottocategorieEntrate[[#Headers],[Other]]),"","$ -")</f>
        <v/>
      </c>
      <c r="Q885" s="59" t="str">
        <f>IF(Dati[[#This Row],[Categoria]]="Prelievo","€ -","")</f>
        <v/>
      </c>
      <c r="R885" s="244"/>
      <c r="S885" s="59" t="str">
        <f>IF(Dati[[#This Row],[Categoria]]="Savings",0,"")</f>
        <v/>
      </c>
      <c r="T885" s="59"/>
      <c r="U885" s="59"/>
      <c r="V885" s="59"/>
      <c r="W885" s="59"/>
      <c r="X885" s="59"/>
      <c r="Y885" s="59"/>
      <c r="Z885" s="59"/>
      <c r="AA885" s="59"/>
      <c r="AB885" s="59"/>
      <c r="AC885" s="59"/>
      <c r="AD885" s="59"/>
      <c r="AE885" s="59"/>
      <c r="AF885" s="59"/>
      <c r="AG885" s="59"/>
      <c r="AH885" s="59"/>
      <c r="AI885" s="59" t="str">
        <f>IF(SUM(Dati[[#This Row],[Inv. Business]:[Inv. Cryptocurrency]])=0," ",SUM(Dati[[#This Row],[Inv. Business]:[Inv. Cryptocurrency]]))</f>
        <v xml:space="preserve"> </v>
      </c>
      <c r="AJ885" s="59"/>
      <c r="AK885" s="59"/>
      <c r="AL885" s="59"/>
      <c r="AM885" s="59"/>
    </row>
    <row r="886" spans="2:39" x14ac:dyDescent="0.35">
      <c r="B886" s="237">
        <f>ROW(845:845)</f>
        <v>845</v>
      </c>
      <c r="C886" s="49">
        <f t="shared" si="48"/>
        <v>45582</v>
      </c>
      <c r="D886" s="29">
        <f>DAY(Dati[[#This Row],[Data]])</f>
        <v>17</v>
      </c>
      <c r="E886" s="29" t="str">
        <f>IF(DAY(Data!$C$21:$C$1327)&gt;0,TEXT(Data!$C$21:$C$1327, "mmmm"),"")</f>
        <v>ottobre</v>
      </c>
      <c r="F886" s="29" t="str">
        <f>IF(DAY(Data!$C$21:$C$1327)&gt;0,TEXT(Data!$C$21:$C$1327, "aaaa"),"")</f>
        <v>2024</v>
      </c>
      <c r="I886" t="str">
        <f>IF(OR(H886=$B$5,H886=$B$6,H886=$B$7,H886=$B$8,H886=$B$9,H886=$B$10,H886=$B$11,H886=$B$12,H886=$B$13,H886=$B$14),SottocategorieUscite[[#Headers],[Fuori Casa]],IF(OR(H886=$C$5,H886=$C$6,H886=$C$7,H886=$C$8,H886=$C$9,H886=$C$10,H886=$C$11,H886=$C$12,H886=$C$13,H886=$C$14),SottocategorieUscite[[#Headers],[Varie Uscite]],IF(OR(H886=$D$5,H886=$D$6,H886=$D$7,H886=$D$8,H886=$D$9,H886=$D$10,H886=$D$11,H886=$D$12,H886=$D$13,H886=$D$14),SottocategorieUscite[[#Headers],[Personali]],IF(OR(H886=$E$5,H886=$E$6,H886=$E$7,H886=$E$8,H886=$E$9,H886=$E$10,H886=$E$11,H886=$E$12,H886=$E$13,H886=$E$14),SottocategorieUscite[[#Headers],[Lavoro]],IF(OR(H886=$F$5,H886=$F$6,H886=$F$7,H886=$F$8,H886=$F$9,H886=$F$10,H886=$F$11,H886=$F$12,H886=$F$13,H886=$F$14),SottocategorieUscite[[#Headers],[Casa]],IF(OR(H886=$G$5,H886=$G$6,H886=$G$7,H886=$G$8,H886=$G$9,H886=$G$10,H886=$G$11,H886=$G$12,H886=$G$13,H886=$G$14),SottocategorieUscite[[#Headers],[Utenze]],IF(OR(H886=$H$5,H886=$H$6,H886=$H$7,H886=$H$8,H886=$H$9,H886=$H$10,H886=$H$11,H886=$H$12,H886=$H$13,H886=$H$14),SottocategorieUscite[[#Headers],[Business Uscite]],IF(OR(H886=$I$5,H886=$I$6,H886=$I$7,H886=$I$8,H886=$I$9,H886=$I$10,H886=$I$11,H886=$I$12,H886=$I$13,H886=$I$14),SottocategorieUscite[[#Headers],[Banca]],IF(OR(H886=K$5,H886=K$6,H886=K$7,H886=K$8,H886=K$9,H886=K$10,H886=K$11,H886=K$12,H886=K$13,H886=K$14),SottocategorieEntrate[[#Headers],[Business Entrate]],IF(OR(H886=L$5,H886=L$6,H886=L$7,H886=L$8,H886=L$9,H886=L$10,H886=L$11,H886=L$12,H886=L$13,H886=L$14),SottocategorieEntrate[[#Headers],[Varie Entrate]],IF(OR(H886=M$5,H886=M$6,H886=M$7,H886=M$8,H886=M$9,H886=M$10,H886=M$11,H886=M$12,H886=M$13,H886=M$14),SottocategorieEntrate[[#Headers],[Real Estate]],IF(OR(H886=N$5,H886=N$6,H886=N$7,H886=N$8,H886=N$9,H886=N$10,H886=N$11,H886=N$12,H886=N$13,H886=N$14),SottocategorieEntrate[[#Headers],[Other]],""))))))))))))</f>
        <v/>
      </c>
      <c r="J886" t="str">
        <f>IF(OR(Dati[[#This Row],[Categoria]]="Bollette",Dati[[#This Row],[Categoria]]="Conto &amp; Carte BNL",Dati[[#This Row],[Categoria]]="Prelievo",Dati[[#This Row],[Categoria]]="Affitto",Dati[[#This Row],[Categoria]]="BNL(Interessi Creditori)"),"Carta",IF(Dati[[#This Row],[Categoria]]&lt;&gt;0,"Cash",""))</f>
        <v/>
      </c>
      <c r="K886" s="59" t="str">
        <f>IF(OR(Data!$I886=SottocategorieUscite[[#Headers],[Fuori Casa]],Data!$I886=SottocategorieUscite[[#Headers],[Varie Uscite]],Data!$I886=SottocategorieUscite[[#Headers],[Personali]],Data!$I886=SottocategorieUscite[[#Headers],[Lavoro]]),"$ -","")</f>
        <v/>
      </c>
      <c r="L886" s="59" t="str">
        <f>IF(OR(Data!$I886=SottocategorieUscite[[#Headers],[Casa]],Data!$I886=SottocategorieUscite[[#Headers],[Utenze]],Data!$I886=SottocategorieUscite[[#Headers],[Business Uscite]],Data!$I886=SottocategorieUscite[[#Headers],[Banca]]),"$ -","")</f>
        <v/>
      </c>
      <c r="M886" s="59" t="str">
        <f>IF(OR($I886&lt;&gt;SottocategorieUscite[[#Headers],[Fuori Casa]],$I886&lt;&gt;SottocategorieUscite[[#Headers],[Varie Uscite]],$I886&lt;&gt;SottocategorieUscite[[#Headers],[Personali]],$I886&lt;&gt;SottocategorieUscite[[#Headers],[Lavoro]],$I886&lt;&gt;SottocategorieUscite[[#Headers],[Casa]],$I886&lt;&gt;SottocategorieUscite[[#Headers],[Utenze]],$I886&lt;&gt;SottocategorieUscite[[#Headers],[Business Uscite]],$I886&lt;&gt;SottocategorieUscite[[#Headers],[Banca]]),"","$ -")</f>
        <v/>
      </c>
      <c r="N886" s="59" t="str">
        <f>IF(OR(Data!$I886=SottocategorieEntrate[[#Headers],[Business Entrate]],Data!$I886=SottocategorieEntrate[[#Headers],[Varie Entrate]]),"$ -","")</f>
        <v/>
      </c>
      <c r="O886" s="59" t="str">
        <f>IF(OR(Data!$I886=SottocategorieEntrate[[#Headers],[Real Estate]],SottocategorieEntrate[[#Headers],[Other]]),"$ -","")</f>
        <v/>
      </c>
      <c r="P886" s="59" t="str">
        <f>IF(OR($I886&lt;&gt;SottocategorieEntrate[[#Headers],[Business Entrate]],$I886&lt;&gt;SottocategorieEntrate[[#Headers],[Varie Entrate]],$I886&lt;&gt;SottocategorieEntrate[[#Headers],[Real Estate]],$I886&lt;&gt;SottocategorieEntrate[[#Headers],[Other]]),"","$ -")</f>
        <v/>
      </c>
      <c r="Q886" s="59" t="str">
        <f>IF(Dati[[#This Row],[Categoria]]="Prelievo","€ -","")</f>
        <v/>
      </c>
      <c r="R886" s="244"/>
      <c r="S886" s="59" t="str">
        <f>IF(Dati[[#This Row],[Categoria]]="Savings",0,"")</f>
        <v/>
      </c>
      <c r="T886" s="59"/>
      <c r="U886" s="59"/>
      <c r="V886" s="59"/>
      <c r="W886" s="59"/>
      <c r="X886" s="59"/>
      <c r="Y886" s="59"/>
      <c r="Z886" s="59"/>
      <c r="AA886" s="59"/>
      <c r="AB886" s="59"/>
      <c r="AC886" s="59"/>
      <c r="AD886" s="59"/>
      <c r="AE886" s="59"/>
      <c r="AF886" s="59"/>
      <c r="AG886" s="59"/>
      <c r="AH886" s="59"/>
      <c r="AI886" s="59" t="str">
        <f>IF(SUM(Dati[[#This Row],[Inv. Business]:[Inv. Cryptocurrency]])=0," ",SUM(Dati[[#This Row],[Inv. Business]:[Inv. Cryptocurrency]]))</f>
        <v xml:space="preserve"> </v>
      </c>
      <c r="AJ886" s="59"/>
      <c r="AK886" s="59"/>
      <c r="AL886" s="59"/>
      <c r="AM886" s="59"/>
    </row>
    <row r="887" spans="2:39" x14ac:dyDescent="0.35">
      <c r="B887" s="237">
        <f>ROW(846:846)</f>
        <v>846</v>
      </c>
      <c r="C887" s="49">
        <f>C885+1</f>
        <v>45582</v>
      </c>
      <c r="D887" s="29">
        <f>DAY(Dati[[#This Row],[Data]])</f>
        <v>17</v>
      </c>
      <c r="E887" s="29" t="str">
        <f>IF(DAY(Data!$C$21:$C$1327)&gt;0,TEXT(Data!$C$21:$C$1327, "mmmm"),"")</f>
        <v>ottobre</v>
      </c>
      <c r="F887" s="29" t="str">
        <f>IF(DAY(Data!$C$21:$C$1327)&gt;0,TEXT(Data!$C$21:$C$1327, "aaaa"),"")</f>
        <v>2024</v>
      </c>
      <c r="I887" t="str">
        <f>IF(OR(H887=$B$5,H887=$B$6,H887=$B$7,H887=$B$8,H887=$B$9,H887=$B$10,H887=$B$11,H887=$B$12,H887=$B$13,H887=$B$14),SottocategorieUscite[[#Headers],[Fuori Casa]],IF(OR(H887=$C$5,H887=$C$6,H887=$C$7,H887=$C$8,H887=$C$9,H887=$C$10,H887=$C$11,H887=$C$12,H887=$C$13,H887=$C$14),SottocategorieUscite[[#Headers],[Varie Uscite]],IF(OR(H887=$D$5,H887=$D$6,H887=$D$7,H887=$D$8,H887=$D$9,H887=$D$10,H887=$D$11,H887=$D$12,H887=$D$13,H887=$D$14),SottocategorieUscite[[#Headers],[Personali]],IF(OR(H887=$E$5,H887=$E$6,H887=$E$7,H887=$E$8,H887=$E$9,H887=$E$10,H887=$E$11,H887=$E$12,H887=$E$13,H887=$E$14),SottocategorieUscite[[#Headers],[Lavoro]],IF(OR(H887=$F$5,H887=$F$6,H887=$F$7,H887=$F$8,H887=$F$9,H887=$F$10,H887=$F$11,H887=$F$12,H887=$F$13,H887=$F$14),SottocategorieUscite[[#Headers],[Casa]],IF(OR(H887=$G$5,H887=$G$6,H887=$G$7,H887=$G$8,H887=$G$9,H887=$G$10,H887=$G$11,H887=$G$12,H887=$G$13,H887=$G$14),SottocategorieUscite[[#Headers],[Utenze]],IF(OR(H887=$H$5,H887=$H$6,H887=$H$7,H887=$H$8,H887=$H$9,H887=$H$10,H887=$H$11,H887=$H$12,H887=$H$13,H887=$H$14),SottocategorieUscite[[#Headers],[Business Uscite]],IF(OR(H887=$I$5,H887=$I$6,H887=$I$7,H887=$I$8,H887=$I$9,H887=$I$10,H887=$I$11,H887=$I$12,H887=$I$13,H887=$I$14),SottocategorieUscite[[#Headers],[Banca]],IF(OR(H887=K$5,H887=K$6,H887=K$7,H887=K$8,H887=K$9,H887=K$10,H887=K$11,H887=K$12,H887=K$13,H887=K$14),SottocategorieEntrate[[#Headers],[Business Entrate]],IF(OR(H887=L$5,H887=L$6,H887=L$7,H887=L$8,H887=L$9,H887=L$10,H887=L$11,H887=L$12,H887=L$13,H887=L$14),SottocategorieEntrate[[#Headers],[Varie Entrate]],IF(OR(H887=M$5,H887=M$6,H887=M$7,H887=M$8,H887=M$9,H887=M$10,H887=M$11,H887=M$12,H887=M$13,H887=M$14),SottocategorieEntrate[[#Headers],[Real Estate]],IF(OR(H887=N$5,H887=N$6,H887=N$7,H887=N$8,H887=N$9,H887=N$10,H887=N$11,H887=N$12,H887=N$13,H887=N$14),SottocategorieEntrate[[#Headers],[Other]],""))))))))))))</f>
        <v/>
      </c>
      <c r="J887" t="str">
        <f>IF(OR(Dati[[#This Row],[Categoria]]="Bollette",Dati[[#This Row],[Categoria]]="Conto &amp; Carte BNL",Dati[[#This Row],[Categoria]]="Prelievo",Dati[[#This Row],[Categoria]]="Affitto",Dati[[#This Row],[Categoria]]="BNL(Interessi Creditori)"),"Carta",IF(Dati[[#This Row],[Categoria]]&lt;&gt;0,"Cash",""))</f>
        <v/>
      </c>
      <c r="K887" s="59" t="str">
        <f>IF(OR(Data!$I887=SottocategorieUscite[[#Headers],[Fuori Casa]],Data!$I887=SottocategorieUscite[[#Headers],[Varie Uscite]],Data!$I887=SottocategorieUscite[[#Headers],[Personali]],Data!$I887=SottocategorieUscite[[#Headers],[Lavoro]]),"$ -","")</f>
        <v/>
      </c>
      <c r="L887" s="59" t="str">
        <f>IF(OR(Data!$I887=SottocategorieUscite[[#Headers],[Casa]],Data!$I887=SottocategorieUscite[[#Headers],[Utenze]],Data!$I887=SottocategorieUscite[[#Headers],[Business Uscite]],Data!$I887=SottocategorieUscite[[#Headers],[Banca]]),"$ -","")</f>
        <v/>
      </c>
      <c r="M887" s="59" t="str">
        <f>IF(OR($I887&lt;&gt;SottocategorieUscite[[#Headers],[Fuori Casa]],$I887&lt;&gt;SottocategorieUscite[[#Headers],[Varie Uscite]],$I887&lt;&gt;SottocategorieUscite[[#Headers],[Personali]],$I887&lt;&gt;SottocategorieUscite[[#Headers],[Lavoro]],$I887&lt;&gt;SottocategorieUscite[[#Headers],[Casa]],$I887&lt;&gt;SottocategorieUscite[[#Headers],[Utenze]],$I887&lt;&gt;SottocategorieUscite[[#Headers],[Business Uscite]],$I887&lt;&gt;SottocategorieUscite[[#Headers],[Banca]]),"","$ -")</f>
        <v/>
      </c>
      <c r="N887" s="59" t="str">
        <f>IF(OR(Data!$I887=SottocategorieEntrate[[#Headers],[Business Entrate]],Data!$I887=SottocategorieEntrate[[#Headers],[Varie Entrate]]),"$ -","")</f>
        <v/>
      </c>
      <c r="O887" s="59" t="str">
        <f>IF(OR(Data!$I887=SottocategorieEntrate[[#Headers],[Real Estate]],SottocategorieEntrate[[#Headers],[Other]]),"$ -","")</f>
        <v/>
      </c>
      <c r="P887" s="59" t="str">
        <f>IF(OR($I887&lt;&gt;SottocategorieEntrate[[#Headers],[Business Entrate]],$I887&lt;&gt;SottocategorieEntrate[[#Headers],[Varie Entrate]],$I887&lt;&gt;SottocategorieEntrate[[#Headers],[Real Estate]],$I887&lt;&gt;SottocategorieEntrate[[#Headers],[Other]]),"","$ -")</f>
        <v/>
      </c>
      <c r="Q887" s="59" t="str">
        <f>IF(Dati[[#This Row],[Categoria]]="Prelievo","€ -","")</f>
        <v/>
      </c>
      <c r="R887" s="244"/>
      <c r="S887" s="59" t="str">
        <f>IF(Dati[[#This Row],[Categoria]]="Savings",0,"")</f>
        <v/>
      </c>
      <c r="T887" s="59"/>
      <c r="U887" s="59"/>
      <c r="V887" s="59"/>
      <c r="W887" s="59"/>
      <c r="X887" s="59"/>
      <c r="Y887" s="59"/>
      <c r="Z887" s="59"/>
      <c r="AA887" s="59"/>
      <c r="AB887" s="59"/>
      <c r="AC887" s="59"/>
      <c r="AD887" s="59"/>
      <c r="AE887" s="59"/>
      <c r="AF887" s="59"/>
      <c r="AG887" s="59"/>
      <c r="AH887" s="59"/>
      <c r="AI887" s="59" t="str">
        <f>IF(SUM(Dati[[#This Row],[Inv. Business]:[Inv. Cryptocurrency]])=0," ",SUM(Dati[[#This Row],[Inv. Business]:[Inv. Cryptocurrency]]))</f>
        <v xml:space="preserve"> </v>
      </c>
      <c r="AJ887" s="59"/>
      <c r="AK887" s="59"/>
      <c r="AL887" s="59"/>
      <c r="AM887" s="59"/>
    </row>
    <row r="888" spans="2:39" x14ac:dyDescent="0.35">
      <c r="B888" s="237">
        <f>ROW(846:846)</f>
        <v>846</v>
      </c>
      <c r="C888" s="49">
        <f>C885+1</f>
        <v>45582</v>
      </c>
      <c r="D888" s="29">
        <f>DAY(Dati[[#This Row],[Data]])</f>
        <v>17</v>
      </c>
      <c r="E888" s="29" t="str">
        <f>IF(DAY(Data!$C$21:$C$1327)&gt;0,TEXT(Data!$C$21:$C$1327, "mmmm"),"")</f>
        <v>ottobre</v>
      </c>
      <c r="F888" s="29" t="str">
        <f>IF(DAY(Data!$C$21:$C$1327)&gt;0,TEXT(Data!$C$21:$C$1327, "aaaa"),"")</f>
        <v>2024</v>
      </c>
      <c r="I888" t="str">
        <f>IF(OR(H888=$B$5,H888=$B$6,H888=$B$7,H888=$B$8,H888=$B$9,H888=$B$10,H888=$B$11,H888=$B$12,H888=$B$13,H888=$B$14),SottocategorieUscite[[#Headers],[Fuori Casa]],IF(OR(H888=$C$5,H888=$C$6,H888=$C$7,H888=$C$8,H888=$C$9,H888=$C$10,H888=$C$11,H888=$C$12,H888=$C$13,H888=$C$14),SottocategorieUscite[[#Headers],[Varie Uscite]],IF(OR(H888=$D$5,H888=$D$6,H888=$D$7,H888=$D$8,H888=$D$9,H888=$D$10,H888=$D$11,H888=$D$12,H888=$D$13,H888=$D$14),SottocategorieUscite[[#Headers],[Personali]],IF(OR(H888=$E$5,H888=$E$6,H888=$E$7,H888=$E$8,H888=$E$9,H888=$E$10,H888=$E$11,H888=$E$12,H888=$E$13,H888=$E$14),SottocategorieUscite[[#Headers],[Lavoro]],IF(OR(H888=$F$5,H888=$F$6,H888=$F$7,H888=$F$8,H888=$F$9,H888=$F$10,H888=$F$11,H888=$F$12,H888=$F$13,H888=$F$14),SottocategorieUscite[[#Headers],[Casa]],IF(OR(H888=$G$5,H888=$G$6,H888=$G$7,H888=$G$8,H888=$G$9,H888=$G$10,H888=$G$11,H888=$G$12,H888=$G$13,H888=$G$14),SottocategorieUscite[[#Headers],[Utenze]],IF(OR(H888=$H$5,H888=$H$6,H888=$H$7,H888=$H$8,H888=$H$9,H888=$H$10,H888=$H$11,H888=$H$12,H888=$H$13,H888=$H$14),SottocategorieUscite[[#Headers],[Business Uscite]],IF(OR(H888=$I$5,H888=$I$6,H888=$I$7,H888=$I$8,H888=$I$9,H888=$I$10,H888=$I$11,H888=$I$12,H888=$I$13,H888=$I$14),SottocategorieUscite[[#Headers],[Banca]],IF(OR(H888=K$5,H888=K$6,H888=K$7,H888=K$8,H888=K$9,H888=K$10,H888=K$11,H888=K$12,H888=K$13,H888=K$14),SottocategorieEntrate[[#Headers],[Business Entrate]],IF(OR(H888=L$5,H888=L$6,H888=L$7,H888=L$8,H888=L$9,H888=L$10,H888=L$11,H888=L$12,H888=L$13,H888=L$14),SottocategorieEntrate[[#Headers],[Varie Entrate]],IF(OR(H888=M$5,H888=M$6,H888=M$7,H888=M$8,H888=M$9,H888=M$10,H888=M$11,H888=M$12,H888=M$13,H888=M$14),SottocategorieEntrate[[#Headers],[Real Estate]],IF(OR(H888=N$5,H888=N$6,H888=N$7,H888=N$8,H888=N$9,H888=N$10,H888=N$11,H888=N$12,H888=N$13,H888=N$14),SottocategorieEntrate[[#Headers],[Other]],""))))))))))))</f>
        <v/>
      </c>
      <c r="J888" t="str">
        <f>IF(OR(Dati[[#This Row],[Categoria]]="Bollette",Dati[[#This Row],[Categoria]]="Conto &amp; Carte BNL",Dati[[#This Row],[Categoria]]="Prelievo",Dati[[#This Row],[Categoria]]="Affitto",Dati[[#This Row],[Categoria]]="BNL(Interessi Creditori)"),"Carta",IF(Dati[[#This Row],[Categoria]]&lt;&gt;0,"Cash",""))</f>
        <v/>
      </c>
      <c r="K888" s="59" t="str">
        <f>IF(OR(Data!$I888=SottocategorieUscite[[#Headers],[Fuori Casa]],Data!$I888=SottocategorieUscite[[#Headers],[Varie Uscite]],Data!$I888=SottocategorieUscite[[#Headers],[Personali]],Data!$I888=SottocategorieUscite[[#Headers],[Lavoro]]),"$ -","")</f>
        <v/>
      </c>
      <c r="L888" s="59" t="str">
        <f>IF(OR(Data!$I888=SottocategorieUscite[[#Headers],[Casa]],Data!$I888=SottocategorieUscite[[#Headers],[Utenze]],Data!$I888=SottocategorieUscite[[#Headers],[Business Uscite]],Data!$I888=SottocategorieUscite[[#Headers],[Banca]]),"$ -","")</f>
        <v/>
      </c>
      <c r="M888" s="59" t="str">
        <f>IF(OR($I888&lt;&gt;SottocategorieUscite[[#Headers],[Fuori Casa]],$I888&lt;&gt;SottocategorieUscite[[#Headers],[Varie Uscite]],$I888&lt;&gt;SottocategorieUscite[[#Headers],[Personali]],$I888&lt;&gt;SottocategorieUscite[[#Headers],[Lavoro]],$I888&lt;&gt;SottocategorieUscite[[#Headers],[Casa]],$I888&lt;&gt;SottocategorieUscite[[#Headers],[Utenze]],$I888&lt;&gt;SottocategorieUscite[[#Headers],[Business Uscite]],$I888&lt;&gt;SottocategorieUscite[[#Headers],[Banca]]),"","$ -")</f>
        <v/>
      </c>
      <c r="N888" s="59" t="str">
        <f>IF(OR(Data!$I888=SottocategorieEntrate[[#Headers],[Business Entrate]],Data!$I888=SottocategorieEntrate[[#Headers],[Varie Entrate]]),"$ -","")</f>
        <v/>
      </c>
      <c r="O888" s="59" t="str">
        <f>IF(OR(Data!$I888=SottocategorieEntrate[[#Headers],[Real Estate]],SottocategorieEntrate[[#Headers],[Other]]),"$ -","")</f>
        <v/>
      </c>
      <c r="P888" s="59" t="str">
        <f>IF(OR($I888&lt;&gt;SottocategorieEntrate[[#Headers],[Business Entrate]],$I888&lt;&gt;SottocategorieEntrate[[#Headers],[Varie Entrate]],$I888&lt;&gt;SottocategorieEntrate[[#Headers],[Real Estate]],$I888&lt;&gt;SottocategorieEntrate[[#Headers],[Other]]),"","$ -")</f>
        <v/>
      </c>
      <c r="Q888" s="59" t="str">
        <f>IF(Dati[[#This Row],[Categoria]]="Prelievo","€ -","")</f>
        <v/>
      </c>
      <c r="R888" s="244"/>
      <c r="S888" s="59" t="str">
        <f>IF(Dati[[#This Row],[Categoria]]="Savings",0,"")</f>
        <v/>
      </c>
      <c r="T888" s="59"/>
      <c r="U888" s="59"/>
      <c r="V888" s="59"/>
      <c r="W888" s="59"/>
      <c r="X888" s="59"/>
      <c r="Y888" s="59"/>
      <c r="Z888" s="59"/>
      <c r="AA888" s="59"/>
      <c r="AB888" s="59"/>
      <c r="AC888" s="59"/>
      <c r="AD888" s="59"/>
      <c r="AE888" s="59"/>
      <c r="AF888" s="59"/>
      <c r="AG888" s="59"/>
      <c r="AH888" s="59"/>
      <c r="AI888" s="59" t="str">
        <f>IF(SUM(Dati[[#This Row],[Inv. Business]:[Inv. Cryptocurrency]])=0," ",SUM(Dati[[#This Row],[Inv. Business]:[Inv. Cryptocurrency]]))</f>
        <v xml:space="preserve"> </v>
      </c>
      <c r="AJ888" s="59"/>
      <c r="AK888" s="59"/>
      <c r="AL888" s="59"/>
      <c r="AM888" s="59"/>
    </row>
    <row r="889" spans="2:39" x14ac:dyDescent="0.35">
      <c r="B889" s="237">
        <f>ROW(846:846)</f>
        <v>846</v>
      </c>
      <c r="C889" s="49">
        <f>C885+1</f>
        <v>45582</v>
      </c>
      <c r="D889" s="29">
        <f>DAY(Dati[[#This Row],[Data]])</f>
        <v>17</v>
      </c>
      <c r="E889" s="29" t="str">
        <f>IF(DAY(Data!$C$21:$C$1327)&gt;0,TEXT(Data!$C$21:$C$1327, "mmmm"),"")</f>
        <v>ottobre</v>
      </c>
      <c r="F889" s="29" t="str">
        <f>IF(DAY(Data!$C$21:$C$1327)&gt;0,TEXT(Data!$C$21:$C$1327, "aaaa"),"")</f>
        <v>2024</v>
      </c>
      <c r="I889" t="str">
        <f>IF(OR(H889=$B$5,H889=$B$6,H889=$B$7,H889=$B$8,H889=$B$9,H889=$B$10,H889=$B$11,H889=$B$12,H889=$B$13,H889=$B$14),SottocategorieUscite[[#Headers],[Fuori Casa]],IF(OR(H889=$C$5,H889=$C$6,H889=$C$7,H889=$C$8,H889=$C$9,H889=$C$10,H889=$C$11,H889=$C$12,H889=$C$13,H889=$C$14),SottocategorieUscite[[#Headers],[Varie Uscite]],IF(OR(H889=$D$5,H889=$D$6,H889=$D$7,H889=$D$8,H889=$D$9,H889=$D$10,H889=$D$11,H889=$D$12,H889=$D$13,H889=$D$14),SottocategorieUscite[[#Headers],[Personali]],IF(OR(H889=$E$5,H889=$E$6,H889=$E$7,H889=$E$8,H889=$E$9,H889=$E$10,H889=$E$11,H889=$E$12,H889=$E$13,H889=$E$14),SottocategorieUscite[[#Headers],[Lavoro]],IF(OR(H889=$F$5,H889=$F$6,H889=$F$7,H889=$F$8,H889=$F$9,H889=$F$10,H889=$F$11,H889=$F$12,H889=$F$13,H889=$F$14),SottocategorieUscite[[#Headers],[Casa]],IF(OR(H889=$G$5,H889=$G$6,H889=$G$7,H889=$G$8,H889=$G$9,H889=$G$10,H889=$G$11,H889=$G$12,H889=$G$13,H889=$G$14),SottocategorieUscite[[#Headers],[Utenze]],IF(OR(H889=$H$5,H889=$H$6,H889=$H$7,H889=$H$8,H889=$H$9,H889=$H$10,H889=$H$11,H889=$H$12,H889=$H$13,H889=$H$14),SottocategorieUscite[[#Headers],[Business Uscite]],IF(OR(H889=$I$5,H889=$I$6,H889=$I$7,H889=$I$8,H889=$I$9,H889=$I$10,H889=$I$11,H889=$I$12,H889=$I$13,H889=$I$14),SottocategorieUscite[[#Headers],[Banca]],IF(OR(H889=K$5,H889=K$6,H889=K$7,H889=K$8,H889=K$9,H889=K$10,H889=K$11,H889=K$12,H889=K$13,H889=K$14),SottocategorieEntrate[[#Headers],[Business Entrate]],IF(OR(H889=L$5,H889=L$6,H889=L$7,H889=L$8,H889=L$9,H889=L$10,H889=L$11,H889=L$12,H889=L$13,H889=L$14),SottocategorieEntrate[[#Headers],[Varie Entrate]],IF(OR(H889=M$5,H889=M$6,H889=M$7,H889=M$8,H889=M$9,H889=M$10,H889=M$11,H889=M$12,H889=M$13,H889=M$14),SottocategorieEntrate[[#Headers],[Real Estate]],IF(OR(H889=N$5,H889=N$6,H889=N$7,H889=N$8,H889=N$9,H889=N$10,H889=N$11,H889=N$12,H889=N$13,H889=N$14),SottocategorieEntrate[[#Headers],[Other]],""))))))))))))</f>
        <v/>
      </c>
      <c r="J889" t="str">
        <f>IF(OR(Dati[[#This Row],[Categoria]]="Bollette",Dati[[#This Row],[Categoria]]="Conto &amp; Carte BNL",Dati[[#This Row],[Categoria]]="Prelievo",Dati[[#This Row],[Categoria]]="Affitto",Dati[[#This Row],[Categoria]]="BNL(Interessi Creditori)"),"Carta",IF(Dati[[#This Row],[Categoria]]&lt;&gt;0,"Cash",""))</f>
        <v/>
      </c>
      <c r="K889" s="59" t="str">
        <f>IF(OR(Data!$I889=SottocategorieUscite[[#Headers],[Fuori Casa]],Data!$I889=SottocategorieUscite[[#Headers],[Varie Uscite]],Data!$I889=SottocategorieUscite[[#Headers],[Personali]],Data!$I889=SottocategorieUscite[[#Headers],[Lavoro]]),"$ -","")</f>
        <v/>
      </c>
      <c r="L889" s="59" t="str">
        <f>IF(OR(Data!$I889=SottocategorieUscite[[#Headers],[Casa]],Data!$I889=SottocategorieUscite[[#Headers],[Utenze]],Data!$I889=SottocategorieUscite[[#Headers],[Business Uscite]],Data!$I889=SottocategorieUscite[[#Headers],[Banca]]),"$ -","")</f>
        <v/>
      </c>
      <c r="M889" s="59" t="str">
        <f>IF(OR($I889&lt;&gt;SottocategorieUscite[[#Headers],[Fuori Casa]],$I889&lt;&gt;SottocategorieUscite[[#Headers],[Varie Uscite]],$I889&lt;&gt;SottocategorieUscite[[#Headers],[Personali]],$I889&lt;&gt;SottocategorieUscite[[#Headers],[Lavoro]],$I889&lt;&gt;SottocategorieUscite[[#Headers],[Casa]],$I889&lt;&gt;SottocategorieUscite[[#Headers],[Utenze]],$I889&lt;&gt;SottocategorieUscite[[#Headers],[Business Uscite]],$I889&lt;&gt;SottocategorieUscite[[#Headers],[Banca]]),"","$ -")</f>
        <v/>
      </c>
      <c r="N889" s="59" t="str">
        <f>IF(OR(Data!$I889=SottocategorieEntrate[[#Headers],[Business Entrate]],Data!$I889=SottocategorieEntrate[[#Headers],[Varie Entrate]]),"$ -","")</f>
        <v/>
      </c>
      <c r="O889" s="59" t="str">
        <f>IF(OR(Data!$I889=SottocategorieEntrate[[#Headers],[Real Estate]],SottocategorieEntrate[[#Headers],[Other]]),"$ -","")</f>
        <v/>
      </c>
      <c r="P889" s="59" t="str">
        <f>IF(OR($I889&lt;&gt;SottocategorieEntrate[[#Headers],[Business Entrate]],$I889&lt;&gt;SottocategorieEntrate[[#Headers],[Varie Entrate]],$I889&lt;&gt;SottocategorieEntrate[[#Headers],[Real Estate]],$I889&lt;&gt;SottocategorieEntrate[[#Headers],[Other]]),"","$ -")</f>
        <v/>
      </c>
      <c r="Q889" s="59" t="str">
        <f>IF(Dati[[#This Row],[Categoria]]="Prelievo","€ -","")</f>
        <v/>
      </c>
      <c r="R889" s="244"/>
      <c r="S889" s="59" t="str">
        <f>IF(Dati[[#This Row],[Categoria]]="Savings",0,"")</f>
        <v/>
      </c>
      <c r="T889" s="59"/>
      <c r="U889" s="59"/>
      <c r="V889" s="59"/>
      <c r="W889" s="59"/>
      <c r="X889" s="59"/>
      <c r="Y889" s="59"/>
      <c r="Z889" s="59"/>
      <c r="AA889" s="59"/>
      <c r="AB889" s="59"/>
      <c r="AC889" s="59"/>
      <c r="AD889" s="59"/>
      <c r="AE889" s="59"/>
      <c r="AF889" s="59"/>
      <c r="AG889" s="59"/>
      <c r="AH889" s="59"/>
      <c r="AI889" s="59" t="str">
        <f>IF(SUM(Dati[[#This Row],[Inv. Business]:[Inv. Cryptocurrency]])=0," ",SUM(Dati[[#This Row],[Inv. Business]:[Inv. Cryptocurrency]]))</f>
        <v xml:space="preserve"> </v>
      </c>
      <c r="AJ889" s="59"/>
      <c r="AK889" s="59"/>
      <c r="AL889" s="59"/>
      <c r="AM889" s="59"/>
    </row>
    <row r="890" spans="2:39" x14ac:dyDescent="0.35">
      <c r="B890" s="237">
        <f>ROW(847:847)</f>
        <v>847</v>
      </c>
      <c r="C890" s="49">
        <f>C886+1</f>
        <v>45583</v>
      </c>
      <c r="D890" s="29">
        <f>DAY(Dati[[#This Row],[Data]])</f>
        <v>18</v>
      </c>
      <c r="E890" s="29" t="str">
        <f>IF(DAY(Data!$C$21:$C$1327)&gt;0,TEXT(Data!$C$21:$C$1327, "mmmm"),"")</f>
        <v>ottobre</v>
      </c>
      <c r="F890" s="29" t="str">
        <f>IF(DAY(Data!$C$21:$C$1327)&gt;0,TEXT(Data!$C$21:$C$1327, "aaaa"),"")</f>
        <v>2024</v>
      </c>
      <c r="I890" t="str">
        <f>IF(OR(H890=$B$5,H890=$B$6,H890=$B$7,H890=$B$8,H890=$B$9,H890=$B$10,H890=$B$11,H890=$B$12,H890=$B$13,H890=$B$14),SottocategorieUscite[[#Headers],[Fuori Casa]],IF(OR(H890=$C$5,H890=$C$6,H890=$C$7,H890=$C$8,H890=$C$9,H890=$C$10,H890=$C$11,H890=$C$12,H890=$C$13,H890=$C$14),SottocategorieUscite[[#Headers],[Varie Uscite]],IF(OR(H890=$D$5,H890=$D$6,H890=$D$7,H890=$D$8,H890=$D$9,H890=$D$10,H890=$D$11,H890=$D$12,H890=$D$13,H890=$D$14),SottocategorieUscite[[#Headers],[Personali]],IF(OR(H890=$E$5,H890=$E$6,H890=$E$7,H890=$E$8,H890=$E$9,H890=$E$10,H890=$E$11,H890=$E$12,H890=$E$13,H890=$E$14),SottocategorieUscite[[#Headers],[Lavoro]],IF(OR(H890=$F$5,H890=$F$6,H890=$F$7,H890=$F$8,H890=$F$9,H890=$F$10,H890=$F$11,H890=$F$12,H890=$F$13,H890=$F$14),SottocategorieUscite[[#Headers],[Casa]],IF(OR(H890=$G$5,H890=$G$6,H890=$G$7,H890=$G$8,H890=$G$9,H890=$G$10,H890=$G$11,H890=$G$12,H890=$G$13,H890=$G$14),SottocategorieUscite[[#Headers],[Utenze]],IF(OR(H890=$H$5,H890=$H$6,H890=$H$7,H890=$H$8,H890=$H$9,H890=$H$10,H890=$H$11,H890=$H$12,H890=$H$13,H890=$H$14),SottocategorieUscite[[#Headers],[Business Uscite]],IF(OR(H890=$I$5,H890=$I$6,H890=$I$7,H890=$I$8,H890=$I$9,H890=$I$10,H890=$I$11,H890=$I$12,H890=$I$13,H890=$I$14),SottocategorieUscite[[#Headers],[Banca]],IF(OR(H890=K$5,H890=K$6,H890=K$7,H890=K$8,H890=K$9,H890=K$10,H890=K$11,H890=K$12,H890=K$13,H890=K$14),SottocategorieEntrate[[#Headers],[Business Entrate]],IF(OR(H890=L$5,H890=L$6,H890=L$7,H890=L$8,H890=L$9,H890=L$10,H890=L$11,H890=L$12,H890=L$13,H890=L$14),SottocategorieEntrate[[#Headers],[Varie Entrate]],IF(OR(H890=M$5,H890=M$6,H890=M$7,H890=M$8,H890=M$9,H890=M$10,H890=M$11,H890=M$12,H890=M$13,H890=M$14),SottocategorieEntrate[[#Headers],[Real Estate]],IF(OR(H890=N$5,H890=N$6,H890=N$7,H890=N$8,H890=N$9,H890=N$10,H890=N$11,H890=N$12,H890=N$13,H890=N$14),SottocategorieEntrate[[#Headers],[Other]],""))))))))))))</f>
        <v/>
      </c>
      <c r="J890" t="str">
        <f>IF(OR(Dati[[#This Row],[Categoria]]="Bollette",Dati[[#This Row],[Categoria]]="Conto &amp; Carte BNL",Dati[[#This Row],[Categoria]]="Prelievo",Dati[[#This Row],[Categoria]]="Affitto",Dati[[#This Row],[Categoria]]="BNL(Interessi Creditori)"),"Carta",IF(Dati[[#This Row],[Categoria]]&lt;&gt;0,"Cash",""))</f>
        <v/>
      </c>
      <c r="K890" s="59" t="str">
        <f>IF(OR(Data!$I890=SottocategorieUscite[[#Headers],[Fuori Casa]],Data!$I890=SottocategorieUscite[[#Headers],[Varie Uscite]],Data!$I890=SottocategorieUscite[[#Headers],[Personali]],Data!$I890=SottocategorieUscite[[#Headers],[Lavoro]]),"$ -","")</f>
        <v/>
      </c>
      <c r="L890" s="59" t="str">
        <f>IF(OR(Data!$I890=SottocategorieUscite[[#Headers],[Casa]],Data!$I890=SottocategorieUscite[[#Headers],[Utenze]],Data!$I890=SottocategorieUscite[[#Headers],[Business Uscite]],Data!$I890=SottocategorieUscite[[#Headers],[Banca]]),"$ -","")</f>
        <v/>
      </c>
      <c r="M890" s="59" t="str">
        <f>IF(OR($I890&lt;&gt;SottocategorieUscite[[#Headers],[Fuori Casa]],$I890&lt;&gt;SottocategorieUscite[[#Headers],[Varie Uscite]],$I890&lt;&gt;SottocategorieUscite[[#Headers],[Personali]],$I890&lt;&gt;SottocategorieUscite[[#Headers],[Lavoro]],$I890&lt;&gt;SottocategorieUscite[[#Headers],[Casa]],$I890&lt;&gt;SottocategorieUscite[[#Headers],[Utenze]],$I890&lt;&gt;SottocategorieUscite[[#Headers],[Business Uscite]],$I890&lt;&gt;SottocategorieUscite[[#Headers],[Banca]]),"","$ -")</f>
        <v/>
      </c>
      <c r="N890" s="59" t="str">
        <f>IF(OR(Data!$I890=SottocategorieEntrate[[#Headers],[Business Entrate]],Data!$I890=SottocategorieEntrate[[#Headers],[Varie Entrate]]),"$ -","")</f>
        <v/>
      </c>
      <c r="O890" s="59" t="str">
        <f>IF(OR(Data!$I890=SottocategorieEntrate[[#Headers],[Real Estate]],SottocategorieEntrate[[#Headers],[Other]]),"$ -","")</f>
        <v/>
      </c>
      <c r="P890" s="59" t="str">
        <f>IF(OR($I890&lt;&gt;SottocategorieEntrate[[#Headers],[Business Entrate]],$I890&lt;&gt;SottocategorieEntrate[[#Headers],[Varie Entrate]],$I890&lt;&gt;SottocategorieEntrate[[#Headers],[Real Estate]],$I890&lt;&gt;SottocategorieEntrate[[#Headers],[Other]]),"","$ -")</f>
        <v/>
      </c>
      <c r="Q890" s="59" t="str">
        <f>IF(Dati[[#This Row],[Categoria]]="Prelievo","€ -","")</f>
        <v/>
      </c>
      <c r="R890" s="244"/>
      <c r="S890" s="59" t="str">
        <f>IF(Dati[[#This Row],[Categoria]]="Savings",0,"")</f>
        <v/>
      </c>
      <c r="T890" s="59"/>
      <c r="U890" s="59"/>
      <c r="V890" s="59"/>
      <c r="W890" s="59"/>
      <c r="X890" s="59"/>
      <c r="Y890" s="59"/>
      <c r="Z890" s="59"/>
      <c r="AA890" s="59"/>
      <c r="AB890" s="59"/>
      <c r="AC890" s="59"/>
      <c r="AD890" s="59"/>
      <c r="AE890" s="59"/>
      <c r="AF890" s="59"/>
      <c r="AG890" s="59"/>
      <c r="AH890" s="59"/>
      <c r="AI890" s="59" t="str">
        <f>IF(SUM(Dati[[#This Row],[Inv. Business]:[Inv. Cryptocurrency]])=0," ",SUM(Dati[[#This Row],[Inv. Business]:[Inv. Cryptocurrency]]))</f>
        <v xml:space="preserve"> </v>
      </c>
      <c r="AJ890" s="59"/>
      <c r="AK890" s="59"/>
      <c r="AL890" s="59"/>
      <c r="AM890" s="59"/>
    </row>
    <row r="891" spans="2:39" x14ac:dyDescent="0.35">
      <c r="B891" s="237">
        <f>ROW(848:848)</f>
        <v>848</v>
      </c>
      <c r="C891" s="49">
        <f t="shared" si="48"/>
        <v>45584</v>
      </c>
      <c r="D891" s="29">
        <f>DAY(Dati[[#This Row],[Data]])</f>
        <v>19</v>
      </c>
      <c r="E891" s="29" t="str">
        <f>IF(DAY(Data!$C$21:$C$1327)&gt;0,TEXT(Data!$C$21:$C$1327, "mmmm"),"")</f>
        <v>ottobre</v>
      </c>
      <c r="F891" s="29" t="str">
        <f>IF(DAY(Data!$C$21:$C$1327)&gt;0,TEXT(Data!$C$21:$C$1327, "aaaa"),"")</f>
        <v>2024</v>
      </c>
      <c r="I891" t="str">
        <f>IF(OR(H891=$B$5,H891=$B$6,H891=$B$7,H891=$B$8,H891=$B$9,H891=$B$10,H891=$B$11,H891=$B$12,H891=$B$13,H891=$B$14),SottocategorieUscite[[#Headers],[Fuori Casa]],IF(OR(H891=$C$5,H891=$C$6,H891=$C$7,H891=$C$8,H891=$C$9,H891=$C$10,H891=$C$11,H891=$C$12,H891=$C$13,H891=$C$14),SottocategorieUscite[[#Headers],[Varie Uscite]],IF(OR(H891=$D$5,H891=$D$6,H891=$D$7,H891=$D$8,H891=$D$9,H891=$D$10,H891=$D$11,H891=$D$12,H891=$D$13,H891=$D$14),SottocategorieUscite[[#Headers],[Personali]],IF(OR(H891=$E$5,H891=$E$6,H891=$E$7,H891=$E$8,H891=$E$9,H891=$E$10,H891=$E$11,H891=$E$12,H891=$E$13,H891=$E$14),SottocategorieUscite[[#Headers],[Lavoro]],IF(OR(H891=$F$5,H891=$F$6,H891=$F$7,H891=$F$8,H891=$F$9,H891=$F$10,H891=$F$11,H891=$F$12,H891=$F$13,H891=$F$14),SottocategorieUscite[[#Headers],[Casa]],IF(OR(H891=$G$5,H891=$G$6,H891=$G$7,H891=$G$8,H891=$G$9,H891=$G$10,H891=$G$11,H891=$G$12,H891=$G$13,H891=$G$14),SottocategorieUscite[[#Headers],[Utenze]],IF(OR(H891=$H$5,H891=$H$6,H891=$H$7,H891=$H$8,H891=$H$9,H891=$H$10,H891=$H$11,H891=$H$12,H891=$H$13,H891=$H$14),SottocategorieUscite[[#Headers],[Business Uscite]],IF(OR(H891=$I$5,H891=$I$6,H891=$I$7,H891=$I$8,H891=$I$9,H891=$I$10,H891=$I$11,H891=$I$12,H891=$I$13,H891=$I$14),SottocategorieUscite[[#Headers],[Banca]],IF(OR(H891=K$5,H891=K$6,H891=K$7,H891=K$8,H891=K$9,H891=K$10,H891=K$11,H891=K$12,H891=K$13,H891=K$14),SottocategorieEntrate[[#Headers],[Business Entrate]],IF(OR(H891=L$5,H891=L$6,H891=L$7,H891=L$8,H891=L$9,H891=L$10,H891=L$11,H891=L$12,H891=L$13,H891=L$14),SottocategorieEntrate[[#Headers],[Varie Entrate]],IF(OR(H891=M$5,H891=M$6,H891=M$7,H891=M$8,H891=M$9,H891=M$10,H891=M$11,H891=M$12,H891=M$13,H891=M$14),SottocategorieEntrate[[#Headers],[Real Estate]],IF(OR(H891=N$5,H891=N$6,H891=N$7,H891=N$8,H891=N$9,H891=N$10,H891=N$11,H891=N$12,H891=N$13,H891=N$14),SottocategorieEntrate[[#Headers],[Other]],""))))))))))))</f>
        <v/>
      </c>
      <c r="J891" t="str">
        <f>IF(OR(Dati[[#This Row],[Categoria]]="Bollette",Dati[[#This Row],[Categoria]]="Conto &amp; Carte BNL",Dati[[#This Row],[Categoria]]="Prelievo",Dati[[#This Row],[Categoria]]="Affitto",Dati[[#This Row],[Categoria]]="BNL(Interessi Creditori)"),"Carta",IF(Dati[[#This Row],[Categoria]]&lt;&gt;0,"Cash",""))</f>
        <v/>
      </c>
      <c r="K891" s="59" t="str">
        <f>IF(OR(Data!$I891=SottocategorieUscite[[#Headers],[Fuori Casa]],Data!$I891=SottocategorieUscite[[#Headers],[Varie Uscite]],Data!$I891=SottocategorieUscite[[#Headers],[Personali]],Data!$I891=SottocategorieUscite[[#Headers],[Lavoro]]),"$ -","")</f>
        <v/>
      </c>
      <c r="L891" s="59" t="str">
        <f>IF(OR(Data!$I891=SottocategorieUscite[[#Headers],[Casa]],Data!$I891=SottocategorieUscite[[#Headers],[Utenze]],Data!$I891=SottocategorieUscite[[#Headers],[Business Uscite]],Data!$I891=SottocategorieUscite[[#Headers],[Banca]]),"$ -","")</f>
        <v/>
      </c>
      <c r="M891" s="59" t="str">
        <f>IF(OR($I891&lt;&gt;SottocategorieUscite[[#Headers],[Fuori Casa]],$I891&lt;&gt;SottocategorieUscite[[#Headers],[Varie Uscite]],$I891&lt;&gt;SottocategorieUscite[[#Headers],[Personali]],$I891&lt;&gt;SottocategorieUscite[[#Headers],[Lavoro]],$I891&lt;&gt;SottocategorieUscite[[#Headers],[Casa]],$I891&lt;&gt;SottocategorieUscite[[#Headers],[Utenze]],$I891&lt;&gt;SottocategorieUscite[[#Headers],[Business Uscite]],$I891&lt;&gt;SottocategorieUscite[[#Headers],[Banca]]),"","$ -")</f>
        <v/>
      </c>
      <c r="N891" s="59" t="str">
        <f>IF(OR(Data!$I891=SottocategorieEntrate[[#Headers],[Business Entrate]],Data!$I891=SottocategorieEntrate[[#Headers],[Varie Entrate]]),"$ -","")</f>
        <v/>
      </c>
      <c r="O891" s="59" t="str">
        <f>IF(OR(Data!$I891=SottocategorieEntrate[[#Headers],[Real Estate]],SottocategorieEntrate[[#Headers],[Other]]),"$ -","")</f>
        <v/>
      </c>
      <c r="P891" s="59" t="str">
        <f>IF(OR($I891&lt;&gt;SottocategorieEntrate[[#Headers],[Business Entrate]],$I891&lt;&gt;SottocategorieEntrate[[#Headers],[Varie Entrate]],$I891&lt;&gt;SottocategorieEntrate[[#Headers],[Real Estate]],$I891&lt;&gt;SottocategorieEntrate[[#Headers],[Other]]),"","$ -")</f>
        <v/>
      </c>
      <c r="Q891" s="59" t="str">
        <f>IF(Dati[[#This Row],[Categoria]]="Prelievo","€ -","")</f>
        <v/>
      </c>
      <c r="R891" s="244"/>
      <c r="S891" s="59" t="str">
        <f>IF(Dati[[#This Row],[Categoria]]="Savings",0,"")</f>
        <v/>
      </c>
      <c r="T891" s="59"/>
      <c r="U891" s="59"/>
      <c r="V891" s="59"/>
      <c r="W891" s="59"/>
      <c r="X891" s="59"/>
      <c r="Y891" s="59"/>
      <c r="Z891" s="59"/>
      <c r="AA891" s="59"/>
      <c r="AB891" s="59"/>
      <c r="AC891" s="59"/>
      <c r="AD891" s="59"/>
      <c r="AE891" s="59"/>
      <c r="AF891" s="59"/>
      <c r="AG891" s="59"/>
      <c r="AH891" s="59"/>
      <c r="AI891" s="59" t="str">
        <f>IF(SUM(Dati[[#This Row],[Inv. Business]:[Inv. Cryptocurrency]])=0," ",SUM(Dati[[#This Row],[Inv. Business]:[Inv. Cryptocurrency]]))</f>
        <v xml:space="preserve"> </v>
      </c>
      <c r="AJ891" s="59"/>
      <c r="AK891" s="59"/>
      <c r="AL891" s="59"/>
      <c r="AM891" s="59"/>
    </row>
    <row r="892" spans="2:39" x14ac:dyDescent="0.35">
      <c r="B892" s="237">
        <f>ROW(848:848)</f>
        <v>848</v>
      </c>
      <c r="C892" s="49">
        <f>C890+1</f>
        <v>45584</v>
      </c>
      <c r="D892" s="29">
        <f>DAY(Dati[[#This Row],[Data]])</f>
        <v>19</v>
      </c>
      <c r="E892" s="29" t="str">
        <f>IF(DAY(Data!$C$21:$C$1327)&gt;0,TEXT(Data!$C$21:$C$1327, "mmmm"),"")</f>
        <v>ottobre</v>
      </c>
      <c r="F892" s="29" t="str">
        <f>IF(DAY(Data!$C$21:$C$1327)&gt;0,TEXT(Data!$C$21:$C$1327, "aaaa"),"")</f>
        <v>2024</v>
      </c>
      <c r="I892" t="str">
        <f>IF(OR(H892=$B$5,H892=$B$6,H892=$B$7,H892=$B$8,H892=$B$9,H892=$B$10,H892=$B$11,H892=$B$12,H892=$B$13,H892=$B$14),SottocategorieUscite[[#Headers],[Fuori Casa]],IF(OR(H892=$C$5,H892=$C$6,H892=$C$7,H892=$C$8,H892=$C$9,H892=$C$10,H892=$C$11,H892=$C$12,H892=$C$13,H892=$C$14),SottocategorieUscite[[#Headers],[Varie Uscite]],IF(OR(H892=$D$5,H892=$D$6,H892=$D$7,H892=$D$8,H892=$D$9,H892=$D$10,H892=$D$11,H892=$D$12,H892=$D$13,H892=$D$14),SottocategorieUscite[[#Headers],[Personali]],IF(OR(H892=$E$5,H892=$E$6,H892=$E$7,H892=$E$8,H892=$E$9,H892=$E$10,H892=$E$11,H892=$E$12,H892=$E$13,H892=$E$14),SottocategorieUscite[[#Headers],[Lavoro]],IF(OR(H892=$F$5,H892=$F$6,H892=$F$7,H892=$F$8,H892=$F$9,H892=$F$10,H892=$F$11,H892=$F$12,H892=$F$13,H892=$F$14),SottocategorieUscite[[#Headers],[Casa]],IF(OR(H892=$G$5,H892=$G$6,H892=$G$7,H892=$G$8,H892=$G$9,H892=$G$10,H892=$G$11,H892=$G$12,H892=$G$13,H892=$G$14),SottocategorieUscite[[#Headers],[Utenze]],IF(OR(H892=$H$5,H892=$H$6,H892=$H$7,H892=$H$8,H892=$H$9,H892=$H$10,H892=$H$11,H892=$H$12,H892=$H$13,H892=$H$14),SottocategorieUscite[[#Headers],[Business Uscite]],IF(OR(H892=$I$5,H892=$I$6,H892=$I$7,H892=$I$8,H892=$I$9,H892=$I$10,H892=$I$11,H892=$I$12,H892=$I$13,H892=$I$14),SottocategorieUscite[[#Headers],[Banca]],IF(OR(H892=K$5,H892=K$6,H892=K$7,H892=K$8,H892=K$9,H892=K$10,H892=K$11,H892=K$12,H892=K$13,H892=K$14),SottocategorieEntrate[[#Headers],[Business Entrate]],IF(OR(H892=L$5,H892=L$6,H892=L$7,H892=L$8,H892=L$9,H892=L$10,H892=L$11,H892=L$12,H892=L$13,H892=L$14),SottocategorieEntrate[[#Headers],[Varie Entrate]],IF(OR(H892=M$5,H892=M$6,H892=M$7,H892=M$8,H892=M$9,H892=M$10,H892=M$11,H892=M$12,H892=M$13,H892=M$14),SottocategorieEntrate[[#Headers],[Real Estate]],IF(OR(H892=N$5,H892=N$6,H892=N$7,H892=N$8,H892=N$9,H892=N$10,H892=N$11,H892=N$12,H892=N$13,H892=N$14),SottocategorieEntrate[[#Headers],[Other]],""))))))))))))</f>
        <v/>
      </c>
      <c r="J892" t="str">
        <f>IF(OR(Dati[[#This Row],[Categoria]]="Bollette",Dati[[#This Row],[Categoria]]="Conto &amp; Carte BNL",Dati[[#This Row],[Categoria]]="Prelievo",Dati[[#This Row],[Categoria]]="Affitto",Dati[[#This Row],[Categoria]]="BNL(Interessi Creditori)"),"Carta",IF(Dati[[#This Row],[Categoria]]&lt;&gt;0,"Cash",""))</f>
        <v/>
      </c>
      <c r="K892" s="59" t="str">
        <f>IF(OR(Data!$I892=SottocategorieUscite[[#Headers],[Fuori Casa]],Data!$I892=SottocategorieUscite[[#Headers],[Varie Uscite]],Data!$I892=SottocategorieUscite[[#Headers],[Personali]],Data!$I892=SottocategorieUscite[[#Headers],[Lavoro]]),"$ -","")</f>
        <v/>
      </c>
      <c r="L892" s="59" t="str">
        <f>IF(OR(Data!$I892=SottocategorieUscite[[#Headers],[Casa]],Data!$I892=SottocategorieUscite[[#Headers],[Utenze]],Data!$I892=SottocategorieUscite[[#Headers],[Business Uscite]],Data!$I892=SottocategorieUscite[[#Headers],[Banca]]),"$ -","")</f>
        <v/>
      </c>
      <c r="M892" s="59" t="str">
        <f>IF(OR($I892&lt;&gt;SottocategorieUscite[[#Headers],[Fuori Casa]],$I892&lt;&gt;SottocategorieUscite[[#Headers],[Varie Uscite]],$I892&lt;&gt;SottocategorieUscite[[#Headers],[Personali]],$I892&lt;&gt;SottocategorieUscite[[#Headers],[Lavoro]],$I892&lt;&gt;SottocategorieUscite[[#Headers],[Casa]],$I892&lt;&gt;SottocategorieUscite[[#Headers],[Utenze]],$I892&lt;&gt;SottocategorieUscite[[#Headers],[Business Uscite]],$I892&lt;&gt;SottocategorieUscite[[#Headers],[Banca]]),"","$ -")</f>
        <v/>
      </c>
      <c r="N892" s="59" t="str">
        <f>IF(OR(Data!$I892=SottocategorieEntrate[[#Headers],[Business Entrate]],Data!$I892=SottocategorieEntrate[[#Headers],[Varie Entrate]]),"$ -","")</f>
        <v/>
      </c>
      <c r="O892" s="59" t="str">
        <f>IF(OR(Data!$I892=SottocategorieEntrate[[#Headers],[Real Estate]],SottocategorieEntrate[[#Headers],[Other]]),"$ -","")</f>
        <v/>
      </c>
      <c r="P892" s="59" t="str">
        <f>IF(OR($I892&lt;&gt;SottocategorieEntrate[[#Headers],[Business Entrate]],$I892&lt;&gt;SottocategorieEntrate[[#Headers],[Varie Entrate]],$I892&lt;&gt;SottocategorieEntrate[[#Headers],[Real Estate]],$I892&lt;&gt;SottocategorieEntrate[[#Headers],[Other]]),"","$ -")</f>
        <v/>
      </c>
      <c r="Q892" s="59" t="str">
        <f>IF(Dati[[#This Row],[Categoria]]="Prelievo","€ -","")</f>
        <v/>
      </c>
      <c r="R892" s="244"/>
      <c r="S892" s="59" t="str">
        <f>IF(Dati[[#This Row],[Categoria]]="Savings",0,"")</f>
        <v/>
      </c>
      <c r="T892" s="59"/>
      <c r="U892" s="59"/>
      <c r="V892" s="59"/>
      <c r="W892" s="59"/>
      <c r="X892" s="59"/>
      <c r="Y892" s="59"/>
      <c r="Z892" s="59"/>
      <c r="AA892" s="59"/>
      <c r="AB892" s="59"/>
      <c r="AC892" s="59"/>
      <c r="AD892" s="59"/>
      <c r="AE892" s="59"/>
      <c r="AF892" s="59"/>
      <c r="AG892" s="59"/>
      <c r="AH892" s="59"/>
      <c r="AI892" s="59" t="str">
        <f>IF(SUM(Dati[[#This Row],[Inv. Business]:[Inv. Cryptocurrency]])=0," ",SUM(Dati[[#This Row],[Inv. Business]:[Inv. Cryptocurrency]]))</f>
        <v xml:space="preserve"> </v>
      </c>
      <c r="AJ892" s="59"/>
      <c r="AK892" s="59"/>
      <c r="AL892" s="59"/>
      <c r="AM892" s="59"/>
    </row>
    <row r="893" spans="2:39" x14ac:dyDescent="0.35">
      <c r="B893" s="237">
        <f>ROW(849:849)</f>
        <v>849</v>
      </c>
      <c r="C893" s="49">
        <f>C891+1</f>
        <v>45585</v>
      </c>
      <c r="D893" s="29">
        <f>DAY(Dati[[#This Row],[Data]])</f>
        <v>20</v>
      </c>
      <c r="E893" s="29" t="str">
        <f>IF(DAY(Data!$C$21:$C$1327)&gt;0,TEXT(Data!$C$21:$C$1327, "mmmm"),"")</f>
        <v>ottobre</v>
      </c>
      <c r="F893" s="29" t="str">
        <f>IF(DAY(Data!$C$21:$C$1327)&gt;0,TEXT(Data!$C$21:$C$1327, "aaaa"),"")</f>
        <v>2024</v>
      </c>
      <c r="I893" t="str">
        <f>IF(OR(H893=$B$5,H893=$B$6,H893=$B$7,H893=$B$8,H893=$B$9,H893=$B$10,H893=$B$11,H893=$B$12,H893=$B$13,H893=$B$14),SottocategorieUscite[[#Headers],[Fuori Casa]],IF(OR(H893=$C$5,H893=$C$6,H893=$C$7,H893=$C$8,H893=$C$9,H893=$C$10,H893=$C$11,H893=$C$12,H893=$C$13,H893=$C$14),SottocategorieUscite[[#Headers],[Varie Uscite]],IF(OR(H893=$D$5,H893=$D$6,H893=$D$7,H893=$D$8,H893=$D$9,H893=$D$10,H893=$D$11,H893=$D$12,H893=$D$13,H893=$D$14),SottocategorieUscite[[#Headers],[Personali]],IF(OR(H893=$E$5,H893=$E$6,H893=$E$7,H893=$E$8,H893=$E$9,H893=$E$10,H893=$E$11,H893=$E$12,H893=$E$13,H893=$E$14),SottocategorieUscite[[#Headers],[Lavoro]],IF(OR(H893=$F$5,H893=$F$6,H893=$F$7,H893=$F$8,H893=$F$9,H893=$F$10,H893=$F$11,H893=$F$12,H893=$F$13,H893=$F$14),SottocategorieUscite[[#Headers],[Casa]],IF(OR(H893=$G$5,H893=$G$6,H893=$G$7,H893=$G$8,H893=$G$9,H893=$G$10,H893=$G$11,H893=$G$12,H893=$G$13,H893=$G$14),SottocategorieUscite[[#Headers],[Utenze]],IF(OR(H893=$H$5,H893=$H$6,H893=$H$7,H893=$H$8,H893=$H$9,H893=$H$10,H893=$H$11,H893=$H$12,H893=$H$13,H893=$H$14),SottocategorieUscite[[#Headers],[Business Uscite]],IF(OR(H893=$I$5,H893=$I$6,H893=$I$7,H893=$I$8,H893=$I$9,H893=$I$10,H893=$I$11,H893=$I$12,H893=$I$13,H893=$I$14),SottocategorieUscite[[#Headers],[Banca]],IF(OR(H893=K$5,H893=K$6,H893=K$7,H893=K$8,H893=K$9,H893=K$10,H893=K$11,H893=K$12,H893=K$13,H893=K$14),SottocategorieEntrate[[#Headers],[Business Entrate]],IF(OR(H893=L$5,H893=L$6,H893=L$7,H893=L$8,H893=L$9,H893=L$10,H893=L$11,H893=L$12,H893=L$13,H893=L$14),SottocategorieEntrate[[#Headers],[Varie Entrate]],IF(OR(H893=M$5,H893=M$6,H893=M$7,H893=M$8,H893=M$9,H893=M$10,H893=M$11,H893=M$12,H893=M$13,H893=M$14),SottocategorieEntrate[[#Headers],[Real Estate]],IF(OR(H893=N$5,H893=N$6,H893=N$7,H893=N$8,H893=N$9,H893=N$10,H893=N$11,H893=N$12,H893=N$13,H893=N$14),SottocategorieEntrate[[#Headers],[Other]],""))))))))))))</f>
        <v/>
      </c>
      <c r="J893" t="str">
        <f>IF(OR(Dati[[#This Row],[Categoria]]="Bollette",Dati[[#This Row],[Categoria]]="Conto &amp; Carte BNL",Dati[[#This Row],[Categoria]]="Prelievo",Dati[[#This Row],[Categoria]]="Affitto",Dati[[#This Row],[Categoria]]="BNL(Interessi Creditori)"),"Carta",IF(Dati[[#This Row],[Categoria]]&lt;&gt;0,"Cash",""))</f>
        <v/>
      </c>
      <c r="K893" s="59" t="str">
        <f>IF(OR(Data!$I893=SottocategorieUscite[[#Headers],[Fuori Casa]],Data!$I893=SottocategorieUscite[[#Headers],[Varie Uscite]],Data!$I893=SottocategorieUscite[[#Headers],[Personali]],Data!$I893=SottocategorieUscite[[#Headers],[Lavoro]]),"$ -","")</f>
        <v/>
      </c>
      <c r="L893" s="59" t="str">
        <f>IF(OR(Data!$I893=SottocategorieUscite[[#Headers],[Casa]],Data!$I893=SottocategorieUscite[[#Headers],[Utenze]],Data!$I893=SottocategorieUscite[[#Headers],[Business Uscite]],Data!$I893=SottocategorieUscite[[#Headers],[Banca]]),"$ -","")</f>
        <v/>
      </c>
      <c r="M893" s="59" t="str">
        <f>IF(OR($I893&lt;&gt;SottocategorieUscite[[#Headers],[Fuori Casa]],$I893&lt;&gt;SottocategorieUscite[[#Headers],[Varie Uscite]],$I893&lt;&gt;SottocategorieUscite[[#Headers],[Personali]],$I893&lt;&gt;SottocategorieUscite[[#Headers],[Lavoro]],$I893&lt;&gt;SottocategorieUscite[[#Headers],[Casa]],$I893&lt;&gt;SottocategorieUscite[[#Headers],[Utenze]],$I893&lt;&gt;SottocategorieUscite[[#Headers],[Business Uscite]],$I893&lt;&gt;SottocategorieUscite[[#Headers],[Banca]]),"","$ -")</f>
        <v/>
      </c>
      <c r="N893" s="59" t="str">
        <f>IF(OR(Data!$I893=SottocategorieEntrate[[#Headers],[Business Entrate]],Data!$I893=SottocategorieEntrate[[#Headers],[Varie Entrate]]),"$ -","")</f>
        <v/>
      </c>
      <c r="O893" s="59" t="str">
        <f>IF(OR(Data!$I893=SottocategorieEntrate[[#Headers],[Real Estate]],SottocategorieEntrate[[#Headers],[Other]]),"$ -","")</f>
        <v/>
      </c>
      <c r="P893" s="59" t="str">
        <f>IF(OR($I893&lt;&gt;SottocategorieEntrate[[#Headers],[Business Entrate]],$I893&lt;&gt;SottocategorieEntrate[[#Headers],[Varie Entrate]],$I893&lt;&gt;SottocategorieEntrate[[#Headers],[Real Estate]],$I893&lt;&gt;SottocategorieEntrate[[#Headers],[Other]]),"","$ -")</f>
        <v/>
      </c>
      <c r="Q893" s="59" t="str">
        <f>IF(Dati[[#This Row],[Categoria]]="Prelievo","€ -","")</f>
        <v/>
      </c>
      <c r="R893" s="244"/>
      <c r="S893" s="59" t="str">
        <f>IF(Dati[[#This Row],[Categoria]]="Savings",0,"")</f>
        <v/>
      </c>
      <c r="T893" s="59"/>
      <c r="U893" s="59"/>
      <c r="V893" s="59"/>
      <c r="W893" s="59"/>
      <c r="X893" s="59"/>
      <c r="Y893" s="59"/>
      <c r="Z893" s="59"/>
      <c r="AA893" s="59"/>
      <c r="AB893" s="59"/>
      <c r="AC893" s="59"/>
      <c r="AD893" s="59"/>
      <c r="AE893" s="59"/>
      <c r="AF893" s="59"/>
      <c r="AG893" s="59"/>
      <c r="AH893" s="59"/>
      <c r="AI893" s="59" t="str">
        <f>IF(SUM(Dati[[#This Row],[Inv. Business]:[Inv. Cryptocurrency]])=0," ",SUM(Dati[[#This Row],[Inv. Business]:[Inv. Cryptocurrency]]))</f>
        <v xml:space="preserve"> </v>
      </c>
      <c r="AJ893" s="59"/>
      <c r="AK893" s="59"/>
      <c r="AL893" s="59"/>
      <c r="AM893" s="59"/>
    </row>
    <row r="894" spans="2:39" x14ac:dyDescent="0.35">
      <c r="B894" s="237">
        <f>ROW(853:853)</f>
        <v>853</v>
      </c>
      <c r="C894" s="49">
        <f>C892+1</f>
        <v>45585</v>
      </c>
      <c r="D894" s="29">
        <f>DAY(Dati[[#This Row],[Data]])</f>
        <v>20</v>
      </c>
      <c r="E894" s="29" t="str">
        <f>IF(DAY(Data!$C$21:$C$1327)&gt;0,TEXT(Data!$C$21:$C$1327, "mmmm"),"")</f>
        <v>ottobre</v>
      </c>
      <c r="F894" s="29" t="str">
        <f>IF(DAY(Data!$C$21:$C$1327)&gt;0,TEXT(Data!$C$21:$C$1327, "aaaa"),"")</f>
        <v>2024</v>
      </c>
      <c r="I894" t="str">
        <f>IF(OR(H894=$B$5,H894=$B$6,H894=$B$7,H894=$B$8,H894=$B$9,H894=$B$10,H894=$B$11,H894=$B$12,H894=$B$13,H894=$B$14),SottocategorieUscite[[#Headers],[Fuori Casa]],IF(OR(H894=$C$5,H894=$C$6,H894=$C$7,H894=$C$8,H894=$C$9,H894=$C$10,H894=$C$11,H894=$C$12,H894=$C$13,H894=$C$14),SottocategorieUscite[[#Headers],[Varie Uscite]],IF(OR(H894=$D$5,H894=$D$6,H894=$D$7,H894=$D$8,H894=$D$9,H894=$D$10,H894=$D$11,H894=$D$12,H894=$D$13,H894=$D$14),SottocategorieUscite[[#Headers],[Personali]],IF(OR(H894=$E$5,H894=$E$6,H894=$E$7,H894=$E$8,H894=$E$9,H894=$E$10,H894=$E$11,H894=$E$12,H894=$E$13,H894=$E$14),SottocategorieUscite[[#Headers],[Lavoro]],IF(OR(H894=$F$5,H894=$F$6,H894=$F$7,H894=$F$8,H894=$F$9,H894=$F$10,H894=$F$11,H894=$F$12,H894=$F$13,H894=$F$14),SottocategorieUscite[[#Headers],[Casa]],IF(OR(H894=$G$5,H894=$G$6,H894=$G$7,H894=$G$8,H894=$G$9,H894=$G$10,H894=$G$11,H894=$G$12,H894=$G$13,H894=$G$14),SottocategorieUscite[[#Headers],[Utenze]],IF(OR(H894=$H$5,H894=$H$6,H894=$H$7,H894=$H$8,H894=$H$9,H894=$H$10,H894=$H$11,H894=$H$12,H894=$H$13,H894=$H$14),SottocategorieUscite[[#Headers],[Business Uscite]],IF(OR(H894=$I$5,H894=$I$6,H894=$I$7,H894=$I$8,H894=$I$9,H894=$I$10,H894=$I$11,H894=$I$12,H894=$I$13,H894=$I$14),SottocategorieUscite[[#Headers],[Banca]],IF(OR(H894=K$5,H894=K$6,H894=K$7,H894=K$8,H894=K$9,H894=K$10,H894=K$11,H894=K$12,H894=K$13,H894=K$14),SottocategorieEntrate[[#Headers],[Business Entrate]],IF(OR(H894=L$5,H894=L$6,H894=L$7,H894=L$8,H894=L$9,H894=L$10,H894=L$11,H894=L$12,H894=L$13,H894=L$14),SottocategorieEntrate[[#Headers],[Varie Entrate]],IF(OR(H894=M$5,H894=M$6,H894=M$7,H894=M$8,H894=M$9,H894=M$10,H894=M$11,H894=M$12,H894=M$13,H894=M$14),SottocategorieEntrate[[#Headers],[Real Estate]],IF(OR(H894=N$5,H894=N$6,H894=N$7,H894=N$8,H894=N$9,H894=N$10,H894=N$11,H894=N$12,H894=N$13,H894=N$14),SottocategorieEntrate[[#Headers],[Other]],""))))))))))))</f>
        <v/>
      </c>
      <c r="J894" t="str">
        <f>IF(OR(Dati[[#This Row],[Categoria]]="Bollette",Dati[[#This Row],[Categoria]]="Conto &amp; Carte BNL",Dati[[#This Row],[Categoria]]="Prelievo",Dati[[#This Row],[Categoria]]="Affitto",Dati[[#This Row],[Categoria]]="BNL(Interessi Creditori)"),"Carta",IF(Dati[[#This Row],[Categoria]]&lt;&gt;0,"Cash",""))</f>
        <v/>
      </c>
      <c r="K894" s="59" t="str">
        <f>IF(OR(Data!$I894=SottocategorieUscite[[#Headers],[Fuori Casa]],Data!$I894=SottocategorieUscite[[#Headers],[Varie Uscite]],Data!$I894=SottocategorieUscite[[#Headers],[Personali]],Data!$I894=SottocategorieUscite[[#Headers],[Lavoro]]),"$ -","")</f>
        <v/>
      </c>
      <c r="L894" s="59" t="str">
        <f>IF(OR(Data!$I894=SottocategorieUscite[[#Headers],[Casa]],Data!$I894=SottocategorieUscite[[#Headers],[Utenze]],Data!$I894=SottocategorieUscite[[#Headers],[Business Uscite]],Data!$I894=SottocategorieUscite[[#Headers],[Banca]]),"$ -","")</f>
        <v/>
      </c>
      <c r="M894" s="59" t="str">
        <f>IF(OR($I894&lt;&gt;SottocategorieUscite[[#Headers],[Fuori Casa]],$I894&lt;&gt;SottocategorieUscite[[#Headers],[Varie Uscite]],$I894&lt;&gt;SottocategorieUscite[[#Headers],[Personali]],$I894&lt;&gt;SottocategorieUscite[[#Headers],[Lavoro]],$I894&lt;&gt;SottocategorieUscite[[#Headers],[Casa]],$I894&lt;&gt;SottocategorieUscite[[#Headers],[Utenze]],$I894&lt;&gt;SottocategorieUscite[[#Headers],[Business Uscite]],$I894&lt;&gt;SottocategorieUscite[[#Headers],[Banca]]),"","$ -")</f>
        <v/>
      </c>
      <c r="N894" s="59" t="str">
        <f>IF(OR(Data!$I894=SottocategorieEntrate[[#Headers],[Business Entrate]],Data!$I894=SottocategorieEntrate[[#Headers],[Varie Entrate]]),"$ -","")</f>
        <v/>
      </c>
      <c r="O894" s="59" t="str">
        <f>IF(OR(Data!$I894=SottocategorieEntrate[[#Headers],[Real Estate]],SottocategorieEntrate[[#Headers],[Other]]),"$ -","")</f>
        <v/>
      </c>
      <c r="P894" s="59" t="str">
        <f>IF(OR($I894&lt;&gt;SottocategorieEntrate[[#Headers],[Business Entrate]],$I894&lt;&gt;SottocategorieEntrate[[#Headers],[Varie Entrate]],$I894&lt;&gt;SottocategorieEntrate[[#Headers],[Real Estate]],$I894&lt;&gt;SottocategorieEntrate[[#Headers],[Other]]),"","$ -")</f>
        <v/>
      </c>
      <c r="Q894" s="59" t="str">
        <f>IF(Dati[[#This Row],[Categoria]]="Prelievo","€ -","")</f>
        <v/>
      </c>
      <c r="R894" s="244"/>
      <c r="S894" s="59" t="str">
        <f>IF(Dati[[#This Row],[Categoria]]="Savings",0,"")</f>
        <v/>
      </c>
      <c r="T894" s="59"/>
      <c r="U894" s="59"/>
      <c r="V894" s="59"/>
      <c r="W894" s="59"/>
      <c r="X894" s="59"/>
      <c r="Y894" s="59"/>
      <c r="Z894" s="59"/>
      <c r="AA894" s="59"/>
      <c r="AB894" s="59"/>
      <c r="AC894" s="59"/>
      <c r="AD894" s="59"/>
      <c r="AE894" s="59"/>
      <c r="AF894" s="59"/>
      <c r="AG894" s="59"/>
      <c r="AH894" s="59"/>
      <c r="AI894" s="59" t="str">
        <f>IF(SUM(Dati[[#This Row],[Inv. Business]:[Inv. Cryptocurrency]])=0," ",SUM(Dati[[#This Row],[Inv. Business]:[Inv. Cryptocurrency]]))</f>
        <v xml:space="preserve"> </v>
      </c>
      <c r="AJ894" s="59"/>
      <c r="AK894" s="59"/>
      <c r="AL894" s="59"/>
      <c r="AM894" s="59"/>
    </row>
    <row r="895" spans="2:39" x14ac:dyDescent="0.35">
      <c r="B895" s="237">
        <f>ROW(854:854)</f>
        <v>854</v>
      </c>
      <c r="C895" s="49">
        <f>C893+1</f>
        <v>45586</v>
      </c>
      <c r="D895" s="29">
        <f>DAY(Dati[[#This Row],[Data]])</f>
        <v>21</v>
      </c>
      <c r="E895" s="29" t="str">
        <f>IF(DAY(Data!$C$21:$C$1327)&gt;0,TEXT(Data!$C$21:$C$1327, "mmmm"),"")</f>
        <v>ottobre</v>
      </c>
      <c r="F895" s="29" t="str">
        <f>IF(DAY(Data!$C$21:$C$1327)&gt;0,TEXT(Data!$C$21:$C$1327, "aaaa"),"")</f>
        <v>2024</v>
      </c>
      <c r="I895" t="str">
        <f>IF(OR(H895=$B$5,H895=$B$6,H895=$B$7,H895=$B$8,H895=$B$9,H895=$B$10,H895=$B$11,H895=$B$12,H895=$B$13,H895=$B$14),SottocategorieUscite[[#Headers],[Fuori Casa]],IF(OR(H895=$C$5,H895=$C$6,H895=$C$7,H895=$C$8,H895=$C$9,H895=$C$10,H895=$C$11,H895=$C$12,H895=$C$13,H895=$C$14),SottocategorieUscite[[#Headers],[Varie Uscite]],IF(OR(H895=$D$5,H895=$D$6,H895=$D$7,H895=$D$8,H895=$D$9,H895=$D$10,H895=$D$11,H895=$D$12,H895=$D$13,H895=$D$14),SottocategorieUscite[[#Headers],[Personali]],IF(OR(H895=$E$5,H895=$E$6,H895=$E$7,H895=$E$8,H895=$E$9,H895=$E$10,H895=$E$11,H895=$E$12,H895=$E$13,H895=$E$14),SottocategorieUscite[[#Headers],[Lavoro]],IF(OR(H895=$F$5,H895=$F$6,H895=$F$7,H895=$F$8,H895=$F$9,H895=$F$10,H895=$F$11,H895=$F$12,H895=$F$13,H895=$F$14),SottocategorieUscite[[#Headers],[Casa]],IF(OR(H895=$G$5,H895=$G$6,H895=$G$7,H895=$G$8,H895=$G$9,H895=$G$10,H895=$G$11,H895=$G$12,H895=$G$13,H895=$G$14),SottocategorieUscite[[#Headers],[Utenze]],IF(OR(H895=$H$5,H895=$H$6,H895=$H$7,H895=$H$8,H895=$H$9,H895=$H$10,H895=$H$11,H895=$H$12,H895=$H$13,H895=$H$14),SottocategorieUscite[[#Headers],[Business Uscite]],IF(OR(H895=$I$5,H895=$I$6,H895=$I$7,H895=$I$8,H895=$I$9,H895=$I$10,H895=$I$11,H895=$I$12,H895=$I$13,H895=$I$14),SottocategorieUscite[[#Headers],[Banca]],IF(OR(H895=K$5,H895=K$6,H895=K$7,H895=K$8,H895=K$9,H895=K$10,H895=K$11,H895=K$12,H895=K$13,H895=K$14),SottocategorieEntrate[[#Headers],[Business Entrate]],IF(OR(H895=L$5,H895=L$6,H895=L$7,H895=L$8,H895=L$9,H895=L$10,H895=L$11,H895=L$12,H895=L$13,H895=L$14),SottocategorieEntrate[[#Headers],[Varie Entrate]],IF(OR(H895=M$5,H895=M$6,H895=M$7,H895=M$8,H895=M$9,H895=M$10,H895=M$11,H895=M$12,H895=M$13,H895=M$14),SottocategorieEntrate[[#Headers],[Real Estate]],IF(OR(H895=N$5,H895=N$6,H895=N$7,H895=N$8,H895=N$9,H895=N$10,H895=N$11,H895=N$12,H895=N$13,H895=N$14),SottocategorieEntrate[[#Headers],[Other]],""))))))))))))</f>
        <v/>
      </c>
      <c r="J895" t="str">
        <f>IF(OR(Dati[[#This Row],[Categoria]]="Bollette",Dati[[#This Row],[Categoria]]="Conto &amp; Carte BNL",Dati[[#This Row],[Categoria]]="Prelievo",Dati[[#This Row],[Categoria]]="Affitto",Dati[[#This Row],[Categoria]]="BNL(Interessi Creditori)"),"Carta",IF(Dati[[#This Row],[Categoria]]&lt;&gt;0,"Cash",""))</f>
        <v/>
      </c>
      <c r="K895" s="59" t="str">
        <f>IF(OR(Data!$I895=SottocategorieUscite[[#Headers],[Fuori Casa]],Data!$I895=SottocategorieUscite[[#Headers],[Varie Uscite]],Data!$I895=SottocategorieUscite[[#Headers],[Personali]],Data!$I895=SottocategorieUscite[[#Headers],[Lavoro]]),"$ -","")</f>
        <v/>
      </c>
      <c r="L895" s="59" t="str">
        <f>IF(OR(Data!$I895=SottocategorieUscite[[#Headers],[Casa]],Data!$I895=SottocategorieUscite[[#Headers],[Utenze]],Data!$I895=SottocategorieUscite[[#Headers],[Business Uscite]],Data!$I895=SottocategorieUscite[[#Headers],[Banca]]),"$ -","")</f>
        <v/>
      </c>
      <c r="M895" s="59" t="str">
        <f>IF(OR($I895&lt;&gt;SottocategorieUscite[[#Headers],[Fuori Casa]],$I895&lt;&gt;SottocategorieUscite[[#Headers],[Varie Uscite]],$I895&lt;&gt;SottocategorieUscite[[#Headers],[Personali]],$I895&lt;&gt;SottocategorieUscite[[#Headers],[Lavoro]],$I895&lt;&gt;SottocategorieUscite[[#Headers],[Casa]],$I895&lt;&gt;SottocategorieUscite[[#Headers],[Utenze]],$I895&lt;&gt;SottocategorieUscite[[#Headers],[Business Uscite]],$I895&lt;&gt;SottocategorieUscite[[#Headers],[Banca]]),"","$ -")</f>
        <v/>
      </c>
      <c r="N895" s="59" t="str">
        <f>IF(OR(Data!$I895=SottocategorieEntrate[[#Headers],[Business Entrate]],Data!$I895=SottocategorieEntrate[[#Headers],[Varie Entrate]]),"$ -","")</f>
        <v/>
      </c>
      <c r="O895" s="59" t="str">
        <f>IF(OR(Data!$I895=SottocategorieEntrate[[#Headers],[Real Estate]],SottocategorieEntrate[[#Headers],[Other]]),"$ -","")</f>
        <v/>
      </c>
      <c r="P895" s="59" t="str">
        <f>IF(OR($I895&lt;&gt;SottocategorieEntrate[[#Headers],[Business Entrate]],$I895&lt;&gt;SottocategorieEntrate[[#Headers],[Varie Entrate]],$I895&lt;&gt;SottocategorieEntrate[[#Headers],[Real Estate]],$I895&lt;&gt;SottocategorieEntrate[[#Headers],[Other]]),"","$ -")</f>
        <v/>
      </c>
      <c r="Q895" s="59" t="str">
        <f>IF(Dati[[#This Row],[Categoria]]="Prelievo","€ -","")</f>
        <v/>
      </c>
      <c r="R895" s="244"/>
      <c r="S895" s="59" t="str">
        <f>IF(Dati[[#This Row],[Categoria]]="Savings",0,"")</f>
        <v/>
      </c>
      <c r="T895" s="59"/>
      <c r="U895" s="59"/>
      <c r="V895" s="59"/>
      <c r="W895" s="59"/>
      <c r="X895" s="59"/>
      <c r="Y895" s="59"/>
      <c r="Z895" s="59"/>
      <c r="AA895" s="59"/>
      <c r="AB895" s="59"/>
      <c r="AC895" s="59"/>
      <c r="AD895" s="59"/>
      <c r="AE895" s="59"/>
      <c r="AF895" s="59"/>
      <c r="AG895" s="59"/>
      <c r="AH895" s="59"/>
      <c r="AI895" s="59" t="str">
        <f>IF(SUM(Dati[[#This Row],[Inv. Business]:[Inv. Cryptocurrency]])=0," ",SUM(Dati[[#This Row],[Inv. Business]:[Inv. Cryptocurrency]]))</f>
        <v xml:space="preserve"> </v>
      </c>
      <c r="AJ895" s="59"/>
      <c r="AK895" s="59"/>
      <c r="AL895" s="59"/>
      <c r="AM895" s="59"/>
    </row>
    <row r="896" spans="2:39" x14ac:dyDescent="0.35">
      <c r="B896" s="237">
        <f>ROW(855:855)</f>
        <v>855</v>
      </c>
      <c r="C896" s="49">
        <f t="shared" si="48"/>
        <v>45587</v>
      </c>
      <c r="D896" s="29">
        <f>DAY(Dati[[#This Row],[Data]])</f>
        <v>22</v>
      </c>
      <c r="E896" s="29" t="str">
        <f>IF(DAY(Data!$C$21:$C$1327)&gt;0,TEXT(Data!$C$21:$C$1327, "mmmm"),"")</f>
        <v>ottobre</v>
      </c>
      <c r="F896" s="29" t="str">
        <f>IF(DAY(Data!$C$21:$C$1327)&gt;0,TEXT(Data!$C$21:$C$1327, "aaaa"),"")</f>
        <v>2024</v>
      </c>
      <c r="I896" t="str">
        <f>IF(OR(H896=$B$5,H896=$B$6,H896=$B$7,H896=$B$8,H896=$B$9,H896=$B$10,H896=$B$11,H896=$B$12,H896=$B$13,H896=$B$14),SottocategorieUscite[[#Headers],[Fuori Casa]],IF(OR(H896=$C$5,H896=$C$6,H896=$C$7,H896=$C$8,H896=$C$9,H896=$C$10,H896=$C$11,H896=$C$12,H896=$C$13,H896=$C$14),SottocategorieUscite[[#Headers],[Varie Uscite]],IF(OR(H896=$D$5,H896=$D$6,H896=$D$7,H896=$D$8,H896=$D$9,H896=$D$10,H896=$D$11,H896=$D$12,H896=$D$13,H896=$D$14),SottocategorieUscite[[#Headers],[Personali]],IF(OR(H896=$E$5,H896=$E$6,H896=$E$7,H896=$E$8,H896=$E$9,H896=$E$10,H896=$E$11,H896=$E$12,H896=$E$13,H896=$E$14),SottocategorieUscite[[#Headers],[Lavoro]],IF(OR(H896=$F$5,H896=$F$6,H896=$F$7,H896=$F$8,H896=$F$9,H896=$F$10,H896=$F$11,H896=$F$12,H896=$F$13,H896=$F$14),SottocategorieUscite[[#Headers],[Casa]],IF(OR(H896=$G$5,H896=$G$6,H896=$G$7,H896=$G$8,H896=$G$9,H896=$G$10,H896=$G$11,H896=$G$12,H896=$G$13,H896=$G$14),SottocategorieUscite[[#Headers],[Utenze]],IF(OR(H896=$H$5,H896=$H$6,H896=$H$7,H896=$H$8,H896=$H$9,H896=$H$10,H896=$H$11,H896=$H$12,H896=$H$13,H896=$H$14),SottocategorieUscite[[#Headers],[Business Uscite]],IF(OR(H896=$I$5,H896=$I$6,H896=$I$7,H896=$I$8,H896=$I$9,H896=$I$10,H896=$I$11,H896=$I$12,H896=$I$13,H896=$I$14),SottocategorieUscite[[#Headers],[Banca]],IF(OR(H896=K$5,H896=K$6,H896=K$7,H896=K$8,H896=K$9,H896=K$10,H896=K$11,H896=K$12,H896=K$13,H896=K$14),SottocategorieEntrate[[#Headers],[Business Entrate]],IF(OR(H896=L$5,H896=L$6,H896=L$7,H896=L$8,H896=L$9,H896=L$10,H896=L$11,H896=L$12,H896=L$13,H896=L$14),SottocategorieEntrate[[#Headers],[Varie Entrate]],IF(OR(H896=M$5,H896=M$6,H896=M$7,H896=M$8,H896=M$9,H896=M$10,H896=M$11,H896=M$12,H896=M$13,H896=M$14),SottocategorieEntrate[[#Headers],[Real Estate]],IF(OR(H896=N$5,H896=N$6,H896=N$7,H896=N$8,H896=N$9,H896=N$10,H896=N$11,H896=N$12,H896=N$13,H896=N$14),SottocategorieEntrate[[#Headers],[Other]],""))))))))))))</f>
        <v/>
      </c>
      <c r="J896" t="str">
        <f>IF(OR(Dati[[#This Row],[Categoria]]="Bollette",Dati[[#This Row],[Categoria]]="Conto &amp; Carte BNL",Dati[[#This Row],[Categoria]]="Prelievo",Dati[[#This Row],[Categoria]]="Affitto",Dati[[#This Row],[Categoria]]="BNL(Interessi Creditori)"),"Carta",IF(Dati[[#This Row],[Categoria]]&lt;&gt;0,"Cash",""))</f>
        <v/>
      </c>
      <c r="K896" s="59" t="str">
        <f>IF(OR(Data!$I896=SottocategorieUscite[[#Headers],[Fuori Casa]],Data!$I896=SottocategorieUscite[[#Headers],[Varie Uscite]],Data!$I896=SottocategorieUscite[[#Headers],[Personali]],Data!$I896=SottocategorieUscite[[#Headers],[Lavoro]]),"$ -","")</f>
        <v/>
      </c>
      <c r="L896" s="59" t="str">
        <f>IF(OR(Data!$I896=SottocategorieUscite[[#Headers],[Casa]],Data!$I896=SottocategorieUscite[[#Headers],[Utenze]],Data!$I896=SottocategorieUscite[[#Headers],[Business Uscite]],Data!$I896=SottocategorieUscite[[#Headers],[Banca]]),"$ -","")</f>
        <v/>
      </c>
      <c r="M896" s="59" t="str">
        <f>IF(OR($I896&lt;&gt;SottocategorieUscite[[#Headers],[Fuori Casa]],$I896&lt;&gt;SottocategorieUscite[[#Headers],[Varie Uscite]],$I896&lt;&gt;SottocategorieUscite[[#Headers],[Personali]],$I896&lt;&gt;SottocategorieUscite[[#Headers],[Lavoro]],$I896&lt;&gt;SottocategorieUscite[[#Headers],[Casa]],$I896&lt;&gt;SottocategorieUscite[[#Headers],[Utenze]],$I896&lt;&gt;SottocategorieUscite[[#Headers],[Business Uscite]],$I896&lt;&gt;SottocategorieUscite[[#Headers],[Banca]]),"","$ -")</f>
        <v/>
      </c>
      <c r="N896" s="59" t="str">
        <f>IF(OR(Data!$I896=SottocategorieEntrate[[#Headers],[Business Entrate]],Data!$I896=SottocategorieEntrate[[#Headers],[Varie Entrate]]),"$ -","")</f>
        <v/>
      </c>
      <c r="O896" s="59" t="str">
        <f>IF(OR(Data!$I896=SottocategorieEntrate[[#Headers],[Real Estate]],SottocategorieEntrate[[#Headers],[Other]]),"$ -","")</f>
        <v/>
      </c>
      <c r="P896" s="59" t="str">
        <f>IF(OR($I896&lt;&gt;SottocategorieEntrate[[#Headers],[Business Entrate]],$I896&lt;&gt;SottocategorieEntrate[[#Headers],[Varie Entrate]],$I896&lt;&gt;SottocategorieEntrate[[#Headers],[Real Estate]],$I896&lt;&gt;SottocategorieEntrate[[#Headers],[Other]]),"","$ -")</f>
        <v/>
      </c>
      <c r="Q896" s="59" t="str">
        <f>IF(Dati[[#This Row],[Categoria]]="Prelievo","€ -","")</f>
        <v/>
      </c>
      <c r="R896" s="244"/>
      <c r="S896" s="59" t="str">
        <f>IF(Dati[[#This Row],[Categoria]]="Savings",0,"")</f>
        <v/>
      </c>
      <c r="T896" s="59"/>
      <c r="U896" s="59"/>
      <c r="V896" s="59"/>
      <c r="W896" s="59"/>
      <c r="X896" s="59"/>
      <c r="Y896" s="59"/>
      <c r="Z896" s="59"/>
      <c r="AA896" s="59"/>
      <c r="AB896" s="59"/>
      <c r="AC896" s="59"/>
      <c r="AD896" s="59"/>
      <c r="AE896" s="59"/>
      <c r="AF896" s="59"/>
      <c r="AG896" s="59"/>
      <c r="AH896" s="59"/>
      <c r="AI896" s="59" t="str">
        <f>IF(SUM(Dati[[#This Row],[Inv. Business]:[Inv. Cryptocurrency]])=0," ",SUM(Dati[[#This Row],[Inv. Business]:[Inv. Cryptocurrency]]))</f>
        <v xml:space="preserve"> </v>
      </c>
      <c r="AJ896" s="59"/>
      <c r="AK896" s="59"/>
      <c r="AL896" s="59"/>
      <c r="AM896" s="59"/>
    </row>
    <row r="897" spans="2:39" x14ac:dyDescent="0.35">
      <c r="B897" s="237">
        <f>ROW(858:858)</f>
        <v>858</v>
      </c>
      <c r="C897" s="49">
        <f t="shared" si="48"/>
        <v>45588</v>
      </c>
      <c r="D897" s="29">
        <f>DAY(Dati[[#This Row],[Data]])</f>
        <v>23</v>
      </c>
      <c r="E897" s="29" t="str">
        <f>IF(DAY(Data!$C$21:$C$1327)&gt;0,TEXT(Data!$C$21:$C$1327, "mmmm"),"")</f>
        <v>ottobre</v>
      </c>
      <c r="F897" s="29" t="str">
        <f>IF(DAY(Data!$C$21:$C$1327)&gt;0,TEXT(Data!$C$21:$C$1327, "aaaa"),"")</f>
        <v>2024</v>
      </c>
      <c r="I897" t="str">
        <f>IF(OR(H897=$B$5,H897=$B$6,H897=$B$7,H897=$B$8,H897=$B$9,H897=$B$10,H897=$B$11,H897=$B$12,H897=$B$13,H897=$B$14),SottocategorieUscite[[#Headers],[Fuori Casa]],IF(OR(H897=$C$5,H897=$C$6,H897=$C$7,H897=$C$8,H897=$C$9,H897=$C$10,H897=$C$11,H897=$C$12,H897=$C$13,H897=$C$14),SottocategorieUscite[[#Headers],[Varie Uscite]],IF(OR(H897=$D$5,H897=$D$6,H897=$D$7,H897=$D$8,H897=$D$9,H897=$D$10,H897=$D$11,H897=$D$12,H897=$D$13,H897=$D$14),SottocategorieUscite[[#Headers],[Personali]],IF(OR(H897=$E$5,H897=$E$6,H897=$E$7,H897=$E$8,H897=$E$9,H897=$E$10,H897=$E$11,H897=$E$12,H897=$E$13,H897=$E$14),SottocategorieUscite[[#Headers],[Lavoro]],IF(OR(H897=$F$5,H897=$F$6,H897=$F$7,H897=$F$8,H897=$F$9,H897=$F$10,H897=$F$11,H897=$F$12,H897=$F$13,H897=$F$14),SottocategorieUscite[[#Headers],[Casa]],IF(OR(H897=$G$5,H897=$G$6,H897=$G$7,H897=$G$8,H897=$G$9,H897=$G$10,H897=$G$11,H897=$G$12,H897=$G$13,H897=$G$14),SottocategorieUscite[[#Headers],[Utenze]],IF(OR(H897=$H$5,H897=$H$6,H897=$H$7,H897=$H$8,H897=$H$9,H897=$H$10,H897=$H$11,H897=$H$12,H897=$H$13,H897=$H$14),SottocategorieUscite[[#Headers],[Business Uscite]],IF(OR(H897=$I$5,H897=$I$6,H897=$I$7,H897=$I$8,H897=$I$9,H897=$I$10,H897=$I$11,H897=$I$12,H897=$I$13,H897=$I$14),SottocategorieUscite[[#Headers],[Banca]],IF(OR(H897=K$5,H897=K$6,H897=K$7,H897=K$8,H897=K$9,H897=K$10,H897=K$11,H897=K$12,H897=K$13,H897=K$14),SottocategorieEntrate[[#Headers],[Business Entrate]],IF(OR(H897=L$5,H897=L$6,H897=L$7,H897=L$8,H897=L$9,H897=L$10,H897=L$11,H897=L$12,H897=L$13,H897=L$14),SottocategorieEntrate[[#Headers],[Varie Entrate]],IF(OR(H897=M$5,H897=M$6,H897=M$7,H897=M$8,H897=M$9,H897=M$10,H897=M$11,H897=M$12,H897=M$13,H897=M$14),SottocategorieEntrate[[#Headers],[Real Estate]],IF(OR(H897=N$5,H897=N$6,H897=N$7,H897=N$8,H897=N$9,H897=N$10,H897=N$11,H897=N$12,H897=N$13,H897=N$14),SottocategorieEntrate[[#Headers],[Other]],""))))))))))))</f>
        <v/>
      </c>
      <c r="J897" t="str">
        <f>IF(OR(Dati[[#This Row],[Categoria]]="Bollette",Dati[[#This Row],[Categoria]]="Conto &amp; Carte BNL",Dati[[#This Row],[Categoria]]="Prelievo",Dati[[#This Row],[Categoria]]="Affitto",Dati[[#This Row],[Categoria]]="BNL(Interessi Creditori)"),"Carta",IF(Dati[[#This Row],[Categoria]]&lt;&gt;0,"Cash",""))</f>
        <v/>
      </c>
      <c r="K897" s="59" t="str">
        <f>IF(OR(Data!$I897=SottocategorieUscite[[#Headers],[Fuori Casa]],Data!$I897=SottocategorieUscite[[#Headers],[Varie Uscite]],Data!$I897=SottocategorieUscite[[#Headers],[Personali]],Data!$I897=SottocategorieUscite[[#Headers],[Lavoro]]),"$ -","")</f>
        <v/>
      </c>
      <c r="L897" s="59" t="str">
        <f>IF(OR(Data!$I897=SottocategorieUscite[[#Headers],[Casa]],Data!$I897=SottocategorieUscite[[#Headers],[Utenze]],Data!$I897=SottocategorieUscite[[#Headers],[Business Uscite]],Data!$I897=SottocategorieUscite[[#Headers],[Banca]]),"$ -","")</f>
        <v/>
      </c>
      <c r="M897" s="59" t="str">
        <f>IF(OR($I897&lt;&gt;SottocategorieUscite[[#Headers],[Fuori Casa]],$I897&lt;&gt;SottocategorieUscite[[#Headers],[Varie Uscite]],$I897&lt;&gt;SottocategorieUscite[[#Headers],[Personali]],$I897&lt;&gt;SottocategorieUscite[[#Headers],[Lavoro]],$I897&lt;&gt;SottocategorieUscite[[#Headers],[Casa]],$I897&lt;&gt;SottocategorieUscite[[#Headers],[Utenze]],$I897&lt;&gt;SottocategorieUscite[[#Headers],[Business Uscite]],$I897&lt;&gt;SottocategorieUscite[[#Headers],[Banca]]),"","$ -")</f>
        <v/>
      </c>
      <c r="N897" s="59" t="str">
        <f>IF(OR(Data!$I897=SottocategorieEntrate[[#Headers],[Business Entrate]],Data!$I897=SottocategorieEntrate[[#Headers],[Varie Entrate]]),"$ -","")</f>
        <v/>
      </c>
      <c r="O897" s="59" t="str">
        <f>IF(OR(Data!$I897=SottocategorieEntrate[[#Headers],[Real Estate]],SottocategorieEntrate[[#Headers],[Other]]),"$ -","")</f>
        <v/>
      </c>
      <c r="P897" s="59" t="str">
        <f>IF(OR($I897&lt;&gt;SottocategorieEntrate[[#Headers],[Business Entrate]],$I897&lt;&gt;SottocategorieEntrate[[#Headers],[Varie Entrate]],$I897&lt;&gt;SottocategorieEntrate[[#Headers],[Real Estate]],$I897&lt;&gt;SottocategorieEntrate[[#Headers],[Other]]),"","$ -")</f>
        <v/>
      </c>
      <c r="Q897" s="59" t="str">
        <f>IF(Dati[[#This Row],[Categoria]]="Prelievo","€ -","")</f>
        <v/>
      </c>
      <c r="R897" s="244"/>
      <c r="S897" s="59" t="str">
        <f>IF(Dati[[#This Row],[Categoria]]="Savings",0,"")</f>
        <v/>
      </c>
      <c r="T897" s="59"/>
      <c r="U897" s="59"/>
      <c r="V897" s="59"/>
      <c r="W897" s="59"/>
      <c r="X897" s="59"/>
      <c r="Y897" s="59"/>
      <c r="Z897" s="59"/>
      <c r="AA897" s="59"/>
      <c r="AB897" s="59"/>
      <c r="AC897" s="59"/>
      <c r="AD897" s="59"/>
      <c r="AE897" s="59"/>
      <c r="AF897" s="59"/>
      <c r="AG897" s="59"/>
      <c r="AH897" s="59"/>
      <c r="AI897" s="59" t="str">
        <f>IF(SUM(Dati[[#This Row],[Inv. Business]:[Inv. Cryptocurrency]])=0," ",SUM(Dati[[#This Row],[Inv. Business]:[Inv. Cryptocurrency]]))</f>
        <v xml:space="preserve"> </v>
      </c>
      <c r="AJ897" s="59"/>
      <c r="AK897" s="59"/>
      <c r="AL897" s="59"/>
      <c r="AM897" s="59"/>
    </row>
    <row r="898" spans="2:39" x14ac:dyDescent="0.35">
      <c r="B898" s="237">
        <f>ROW(858:858)</f>
        <v>858</v>
      </c>
      <c r="C898" s="49">
        <f>C896+1</f>
        <v>45588</v>
      </c>
      <c r="D898" s="29">
        <f>DAY(Dati[[#This Row],[Data]])</f>
        <v>23</v>
      </c>
      <c r="E898" s="29" t="str">
        <f>IF(DAY(Data!$C$21:$C$1327)&gt;0,TEXT(Data!$C$21:$C$1327, "mmmm"),"")</f>
        <v>ottobre</v>
      </c>
      <c r="F898" s="29" t="str">
        <f>IF(DAY(Data!$C$21:$C$1327)&gt;0,TEXT(Data!$C$21:$C$1327, "aaaa"),"")</f>
        <v>2024</v>
      </c>
      <c r="I898" t="str">
        <f>IF(OR(H898=$B$5,H898=$B$6,H898=$B$7,H898=$B$8,H898=$B$9,H898=$B$10,H898=$B$11,H898=$B$12,H898=$B$13,H898=$B$14),SottocategorieUscite[[#Headers],[Fuori Casa]],IF(OR(H898=$C$5,H898=$C$6,H898=$C$7,H898=$C$8,H898=$C$9,H898=$C$10,H898=$C$11,H898=$C$12,H898=$C$13,H898=$C$14),SottocategorieUscite[[#Headers],[Varie Uscite]],IF(OR(H898=$D$5,H898=$D$6,H898=$D$7,H898=$D$8,H898=$D$9,H898=$D$10,H898=$D$11,H898=$D$12,H898=$D$13,H898=$D$14),SottocategorieUscite[[#Headers],[Personali]],IF(OR(H898=$E$5,H898=$E$6,H898=$E$7,H898=$E$8,H898=$E$9,H898=$E$10,H898=$E$11,H898=$E$12,H898=$E$13,H898=$E$14),SottocategorieUscite[[#Headers],[Lavoro]],IF(OR(H898=$F$5,H898=$F$6,H898=$F$7,H898=$F$8,H898=$F$9,H898=$F$10,H898=$F$11,H898=$F$12,H898=$F$13,H898=$F$14),SottocategorieUscite[[#Headers],[Casa]],IF(OR(H898=$G$5,H898=$G$6,H898=$G$7,H898=$G$8,H898=$G$9,H898=$G$10,H898=$G$11,H898=$G$12,H898=$G$13,H898=$G$14),SottocategorieUscite[[#Headers],[Utenze]],IF(OR(H898=$H$5,H898=$H$6,H898=$H$7,H898=$H$8,H898=$H$9,H898=$H$10,H898=$H$11,H898=$H$12,H898=$H$13,H898=$H$14),SottocategorieUscite[[#Headers],[Business Uscite]],IF(OR(H898=$I$5,H898=$I$6,H898=$I$7,H898=$I$8,H898=$I$9,H898=$I$10,H898=$I$11,H898=$I$12,H898=$I$13,H898=$I$14),SottocategorieUscite[[#Headers],[Banca]],IF(OR(H898=K$5,H898=K$6,H898=K$7,H898=K$8,H898=K$9,H898=K$10,H898=K$11,H898=K$12,H898=K$13,H898=K$14),SottocategorieEntrate[[#Headers],[Business Entrate]],IF(OR(H898=L$5,H898=L$6,H898=L$7,H898=L$8,H898=L$9,H898=L$10,H898=L$11,H898=L$12,H898=L$13,H898=L$14),SottocategorieEntrate[[#Headers],[Varie Entrate]],IF(OR(H898=M$5,H898=M$6,H898=M$7,H898=M$8,H898=M$9,H898=M$10,H898=M$11,H898=M$12,H898=M$13,H898=M$14),SottocategorieEntrate[[#Headers],[Real Estate]],IF(OR(H898=N$5,H898=N$6,H898=N$7,H898=N$8,H898=N$9,H898=N$10,H898=N$11,H898=N$12,H898=N$13,H898=N$14),SottocategorieEntrate[[#Headers],[Other]],""))))))))))))</f>
        <v/>
      </c>
      <c r="J898" t="str">
        <f>IF(OR(Dati[[#This Row],[Categoria]]="Bollette",Dati[[#This Row],[Categoria]]="Conto &amp; Carte BNL",Dati[[#This Row],[Categoria]]="Prelievo",Dati[[#This Row],[Categoria]]="Affitto",Dati[[#This Row],[Categoria]]="BNL(Interessi Creditori)"),"Carta",IF(Dati[[#This Row],[Categoria]]&lt;&gt;0,"Cash",""))</f>
        <v/>
      </c>
      <c r="K898" s="59" t="str">
        <f>IF(OR(Data!$I898=SottocategorieUscite[[#Headers],[Fuori Casa]],Data!$I898=SottocategorieUscite[[#Headers],[Varie Uscite]],Data!$I898=SottocategorieUscite[[#Headers],[Personali]],Data!$I898=SottocategorieUscite[[#Headers],[Lavoro]]),"$ -","")</f>
        <v/>
      </c>
      <c r="L898" s="59" t="str">
        <f>IF(OR(Data!$I898=SottocategorieUscite[[#Headers],[Casa]],Data!$I898=SottocategorieUscite[[#Headers],[Utenze]],Data!$I898=SottocategorieUscite[[#Headers],[Business Uscite]],Data!$I898=SottocategorieUscite[[#Headers],[Banca]]),"$ -","")</f>
        <v/>
      </c>
      <c r="M898" s="59" t="str">
        <f>IF(OR($I898&lt;&gt;SottocategorieUscite[[#Headers],[Fuori Casa]],$I898&lt;&gt;SottocategorieUscite[[#Headers],[Varie Uscite]],$I898&lt;&gt;SottocategorieUscite[[#Headers],[Personali]],$I898&lt;&gt;SottocategorieUscite[[#Headers],[Lavoro]],$I898&lt;&gt;SottocategorieUscite[[#Headers],[Casa]],$I898&lt;&gt;SottocategorieUscite[[#Headers],[Utenze]],$I898&lt;&gt;SottocategorieUscite[[#Headers],[Business Uscite]],$I898&lt;&gt;SottocategorieUscite[[#Headers],[Banca]]),"","$ -")</f>
        <v/>
      </c>
      <c r="N898" s="59" t="str">
        <f>IF(OR(Data!$I898=SottocategorieEntrate[[#Headers],[Business Entrate]],Data!$I898=SottocategorieEntrate[[#Headers],[Varie Entrate]]),"$ -","")</f>
        <v/>
      </c>
      <c r="O898" s="59" t="str">
        <f>IF(OR(Data!$I898=SottocategorieEntrate[[#Headers],[Real Estate]],SottocategorieEntrate[[#Headers],[Other]]),"$ -","")</f>
        <v/>
      </c>
      <c r="P898" s="59" t="str">
        <f>IF(OR($I898&lt;&gt;SottocategorieEntrate[[#Headers],[Business Entrate]],$I898&lt;&gt;SottocategorieEntrate[[#Headers],[Varie Entrate]],$I898&lt;&gt;SottocategorieEntrate[[#Headers],[Real Estate]],$I898&lt;&gt;SottocategorieEntrate[[#Headers],[Other]]),"","$ -")</f>
        <v/>
      </c>
      <c r="Q898" s="59" t="str">
        <f>IF(Dati[[#This Row],[Categoria]]="Prelievo","€ -","")</f>
        <v/>
      </c>
      <c r="R898" s="244"/>
      <c r="S898" s="59" t="str">
        <f>IF(Dati[[#This Row],[Categoria]]="Savings",0,"")</f>
        <v/>
      </c>
      <c r="T898" s="59"/>
      <c r="U898" s="59"/>
      <c r="V898" s="59"/>
      <c r="W898" s="59"/>
      <c r="X898" s="59"/>
      <c r="Y898" s="59"/>
      <c r="Z898" s="59"/>
      <c r="AA898" s="59"/>
      <c r="AB898" s="59"/>
      <c r="AC898" s="59"/>
      <c r="AD898" s="59"/>
      <c r="AE898" s="59"/>
      <c r="AF898" s="59"/>
      <c r="AG898" s="59"/>
      <c r="AH898" s="59"/>
      <c r="AI898" s="59" t="str">
        <f>IF(SUM(Dati[[#This Row],[Inv. Business]:[Inv. Cryptocurrency]])=0," ",SUM(Dati[[#This Row],[Inv. Business]:[Inv. Cryptocurrency]]))</f>
        <v xml:space="preserve"> </v>
      </c>
      <c r="AJ898" s="59"/>
      <c r="AK898" s="59"/>
      <c r="AL898" s="59"/>
      <c r="AM898" s="59"/>
    </row>
    <row r="899" spans="2:39" x14ac:dyDescent="0.35">
      <c r="B899" s="237">
        <f>ROW(858:858)</f>
        <v>858</v>
      </c>
      <c r="C899" s="49">
        <f>C896+1</f>
        <v>45588</v>
      </c>
      <c r="D899" s="29">
        <f>DAY(Dati[[#This Row],[Data]])</f>
        <v>23</v>
      </c>
      <c r="E899" s="29" t="str">
        <f>IF(DAY(Data!$C$21:$C$1327)&gt;0,TEXT(Data!$C$21:$C$1327, "mmmm"),"")</f>
        <v>ottobre</v>
      </c>
      <c r="F899" s="29" t="str">
        <f>IF(DAY(Data!$C$21:$C$1327)&gt;0,TEXT(Data!$C$21:$C$1327, "aaaa"),"")</f>
        <v>2024</v>
      </c>
      <c r="I899" t="str">
        <f>IF(OR(H899=$B$5,H899=$B$6,H899=$B$7,H899=$B$8,H899=$B$9,H899=$B$10,H899=$B$11,H899=$B$12,H899=$B$13,H899=$B$14),SottocategorieUscite[[#Headers],[Fuori Casa]],IF(OR(H899=$C$5,H899=$C$6,H899=$C$7,H899=$C$8,H899=$C$9,H899=$C$10,H899=$C$11,H899=$C$12,H899=$C$13,H899=$C$14),SottocategorieUscite[[#Headers],[Varie Uscite]],IF(OR(H899=$D$5,H899=$D$6,H899=$D$7,H899=$D$8,H899=$D$9,H899=$D$10,H899=$D$11,H899=$D$12,H899=$D$13,H899=$D$14),SottocategorieUscite[[#Headers],[Personali]],IF(OR(H899=$E$5,H899=$E$6,H899=$E$7,H899=$E$8,H899=$E$9,H899=$E$10,H899=$E$11,H899=$E$12,H899=$E$13,H899=$E$14),SottocategorieUscite[[#Headers],[Lavoro]],IF(OR(H899=$F$5,H899=$F$6,H899=$F$7,H899=$F$8,H899=$F$9,H899=$F$10,H899=$F$11,H899=$F$12,H899=$F$13,H899=$F$14),SottocategorieUscite[[#Headers],[Casa]],IF(OR(H899=$G$5,H899=$G$6,H899=$G$7,H899=$G$8,H899=$G$9,H899=$G$10,H899=$G$11,H899=$G$12,H899=$G$13,H899=$G$14),SottocategorieUscite[[#Headers],[Utenze]],IF(OR(H899=$H$5,H899=$H$6,H899=$H$7,H899=$H$8,H899=$H$9,H899=$H$10,H899=$H$11,H899=$H$12,H899=$H$13,H899=$H$14),SottocategorieUscite[[#Headers],[Business Uscite]],IF(OR(H899=$I$5,H899=$I$6,H899=$I$7,H899=$I$8,H899=$I$9,H899=$I$10,H899=$I$11,H899=$I$12,H899=$I$13,H899=$I$14),SottocategorieUscite[[#Headers],[Banca]],IF(OR(H899=K$5,H899=K$6,H899=K$7,H899=K$8,H899=K$9,H899=K$10,H899=K$11,H899=K$12,H899=K$13,H899=K$14),SottocategorieEntrate[[#Headers],[Business Entrate]],IF(OR(H899=L$5,H899=L$6,H899=L$7,H899=L$8,H899=L$9,H899=L$10,H899=L$11,H899=L$12,H899=L$13,H899=L$14),SottocategorieEntrate[[#Headers],[Varie Entrate]],IF(OR(H899=M$5,H899=M$6,H899=M$7,H899=M$8,H899=M$9,H899=M$10,H899=M$11,H899=M$12,H899=M$13,H899=M$14),SottocategorieEntrate[[#Headers],[Real Estate]],IF(OR(H899=N$5,H899=N$6,H899=N$7,H899=N$8,H899=N$9,H899=N$10,H899=N$11,H899=N$12,H899=N$13,H899=N$14),SottocategorieEntrate[[#Headers],[Other]],""))))))))))))</f>
        <v/>
      </c>
      <c r="J899" t="str">
        <f>IF(OR(Dati[[#This Row],[Categoria]]="Bollette",Dati[[#This Row],[Categoria]]="Conto &amp; Carte BNL",Dati[[#This Row],[Categoria]]="Prelievo",Dati[[#This Row],[Categoria]]="Affitto",Dati[[#This Row],[Categoria]]="BNL(Interessi Creditori)"),"Carta",IF(Dati[[#This Row],[Categoria]]&lt;&gt;0,"Cash",""))</f>
        <v/>
      </c>
      <c r="K899" s="59" t="str">
        <f>IF(OR(Data!$I899=SottocategorieUscite[[#Headers],[Fuori Casa]],Data!$I899=SottocategorieUscite[[#Headers],[Varie Uscite]],Data!$I899=SottocategorieUscite[[#Headers],[Personali]],Data!$I899=SottocategorieUscite[[#Headers],[Lavoro]]),"$ -","")</f>
        <v/>
      </c>
      <c r="L899" s="59" t="str">
        <f>IF(OR(Data!$I899=SottocategorieUscite[[#Headers],[Casa]],Data!$I899=SottocategorieUscite[[#Headers],[Utenze]],Data!$I899=SottocategorieUscite[[#Headers],[Business Uscite]],Data!$I899=SottocategorieUscite[[#Headers],[Banca]]),"$ -","")</f>
        <v/>
      </c>
      <c r="M899" s="59" t="str">
        <f>IF(OR($I899&lt;&gt;SottocategorieUscite[[#Headers],[Fuori Casa]],$I899&lt;&gt;SottocategorieUscite[[#Headers],[Varie Uscite]],$I899&lt;&gt;SottocategorieUscite[[#Headers],[Personali]],$I899&lt;&gt;SottocategorieUscite[[#Headers],[Lavoro]],$I899&lt;&gt;SottocategorieUscite[[#Headers],[Casa]],$I899&lt;&gt;SottocategorieUscite[[#Headers],[Utenze]],$I899&lt;&gt;SottocategorieUscite[[#Headers],[Business Uscite]],$I899&lt;&gt;SottocategorieUscite[[#Headers],[Banca]]),"","$ -")</f>
        <v/>
      </c>
      <c r="N899" s="59" t="str">
        <f>IF(OR(Data!$I899=SottocategorieEntrate[[#Headers],[Business Entrate]],Data!$I899=SottocategorieEntrate[[#Headers],[Varie Entrate]]),"$ -","")</f>
        <v/>
      </c>
      <c r="O899" s="59" t="str">
        <f>IF(OR(Data!$I899=SottocategorieEntrate[[#Headers],[Real Estate]],SottocategorieEntrate[[#Headers],[Other]]),"$ -","")</f>
        <v/>
      </c>
      <c r="P899" s="59" t="str">
        <f>IF(OR($I899&lt;&gt;SottocategorieEntrate[[#Headers],[Business Entrate]],$I899&lt;&gt;SottocategorieEntrate[[#Headers],[Varie Entrate]],$I899&lt;&gt;SottocategorieEntrate[[#Headers],[Real Estate]],$I899&lt;&gt;SottocategorieEntrate[[#Headers],[Other]]),"","$ -")</f>
        <v/>
      </c>
      <c r="Q899" s="59" t="str">
        <f>IF(Dati[[#This Row],[Categoria]]="Prelievo","€ -","")</f>
        <v/>
      </c>
      <c r="R899" s="244"/>
      <c r="S899" s="59" t="str">
        <f>IF(Dati[[#This Row],[Categoria]]="Savings",0,"")</f>
        <v/>
      </c>
      <c r="T899" s="59"/>
      <c r="U899" s="59"/>
      <c r="V899" s="59"/>
      <c r="W899" s="59"/>
      <c r="X899" s="59"/>
      <c r="Y899" s="59"/>
      <c r="Z899" s="59"/>
      <c r="AA899" s="59"/>
      <c r="AB899" s="59"/>
      <c r="AC899" s="59"/>
      <c r="AD899" s="59"/>
      <c r="AE899" s="59"/>
      <c r="AF899" s="59"/>
      <c r="AG899" s="59"/>
      <c r="AH899" s="59"/>
      <c r="AI899" s="59" t="str">
        <f>IF(SUM(Dati[[#This Row],[Inv. Business]:[Inv. Cryptocurrency]])=0," ",SUM(Dati[[#This Row],[Inv. Business]:[Inv. Cryptocurrency]]))</f>
        <v xml:space="preserve"> </v>
      </c>
      <c r="AJ899" s="59"/>
      <c r="AK899" s="59"/>
      <c r="AL899" s="59"/>
      <c r="AM899" s="59"/>
    </row>
    <row r="900" spans="2:39" x14ac:dyDescent="0.35">
      <c r="B900" s="237">
        <f>ROW(859:859)</f>
        <v>859</v>
      </c>
      <c r="C900" s="49">
        <f>C897+1</f>
        <v>45589</v>
      </c>
      <c r="D900" s="29">
        <f>DAY(Dati[[#This Row],[Data]])</f>
        <v>24</v>
      </c>
      <c r="E900" s="29" t="str">
        <f>IF(DAY(Data!$C$21:$C$1327)&gt;0,TEXT(Data!$C$21:$C$1327, "mmmm"),"")</f>
        <v>ottobre</v>
      </c>
      <c r="F900" s="29" t="str">
        <f>IF(DAY(Data!$C$21:$C$1327)&gt;0,TEXT(Data!$C$21:$C$1327, "aaaa"),"")</f>
        <v>2024</v>
      </c>
      <c r="I900" t="str">
        <f>IF(OR(H900=$B$5,H900=$B$6,H900=$B$7,H900=$B$8,H900=$B$9,H900=$B$10,H900=$B$11,H900=$B$12,H900=$B$13,H900=$B$14),SottocategorieUscite[[#Headers],[Fuori Casa]],IF(OR(H900=$C$5,H900=$C$6,H900=$C$7,H900=$C$8,H900=$C$9,H900=$C$10,H900=$C$11,H900=$C$12,H900=$C$13,H900=$C$14),SottocategorieUscite[[#Headers],[Varie Uscite]],IF(OR(H900=$D$5,H900=$D$6,H900=$D$7,H900=$D$8,H900=$D$9,H900=$D$10,H900=$D$11,H900=$D$12,H900=$D$13,H900=$D$14),SottocategorieUscite[[#Headers],[Personali]],IF(OR(H900=$E$5,H900=$E$6,H900=$E$7,H900=$E$8,H900=$E$9,H900=$E$10,H900=$E$11,H900=$E$12,H900=$E$13,H900=$E$14),SottocategorieUscite[[#Headers],[Lavoro]],IF(OR(H900=$F$5,H900=$F$6,H900=$F$7,H900=$F$8,H900=$F$9,H900=$F$10,H900=$F$11,H900=$F$12,H900=$F$13,H900=$F$14),SottocategorieUscite[[#Headers],[Casa]],IF(OR(H900=$G$5,H900=$G$6,H900=$G$7,H900=$G$8,H900=$G$9,H900=$G$10,H900=$G$11,H900=$G$12,H900=$G$13,H900=$G$14),SottocategorieUscite[[#Headers],[Utenze]],IF(OR(H900=$H$5,H900=$H$6,H900=$H$7,H900=$H$8,H900=$H$9,H900=$H$10,H900=$H$11,H900=$H$12,H900=$H$13,H900=$H$14),SottocategorieUscite[[#Headers],[Business Uscite]],IF(OR(H900=$I$5,H900=$I$6,H900=$I$7,H900=$I$8,H900=$I$9,H900=$I$10,H900=$I$11,H900=$I$12,H900=$I$13,H900=$I$14),SottocategorieUscite[[#Headers],[Banca]],IF(OR(H900=K$5,H900=K$6,H900=K$7,H900=K$8,H900=K$9,H900=K$10,H900=K$11,H900=K$12,H900=K$13,H900=K$14),SottocategorieEntrate[[#Headers],[Business Entrate]],IF(OR(H900=L$5,H900=L$6,H900=L$7,H900=L$8,H900=L$9,H900=L$10,H900=L$11,H900=L$12,H900=L$13,H900=L$14),SottocategorieEntrate[[#Headers],[Varie Entrate]],IF(OR(H900=M$5,H900=M$6,H900=M$7,H900=M$8,H900=M$9,H900=M$10,H900=M$11,H900=M$12,H900=M$13,H900=M$14),SottocategorieEntrate[[#Headers],[Real Estate]],IF(OR(H900=N$5,H900=N$6,H900=N$7,H900=N$8,H900=N$9,H900=N$10,H900=N$11,H900=N$12,H900=N$13,H900=N$14),SottocategorieEntrate[[#Headers],[Other]],""))))))))))))</f>
        <v/>
      </c>
      <c r="J900" t="str">
        <f>IF(OR(Dati[[#This Row],[Categoria]]="Bollette",Dati[[#This Row],[Categoria]]="Conto &amp; Carte BNL",Dati[[#This Row],[Categoria]]="Prelievo",Dati[[#This Row],[Categoria]]="Affitto",Dati[[#This Row],[Categoria]]="BNL(Interessi Creditori)"),"Carta",IF(Dati[[#This Row],[Categoria]]&lt;&gt;0,"Cash",""))</f>
        <v/>
      </c>
      <c r="K900" s="59" t="str">
        <f>IF(OR(Data!$I900=SottocategorieUscite[[#Headers],[Fuori Casa]],Data!$I900=SottocategorieUscite[[#Headers],[Varie Uscite]],Data!$I900=SottocategorieUscite[[#Headers],[Personali]],Data!$I900=SottocategorieUscite[[#Headers],[Lavoro]]),"$ -","")</f>
        <v/>
      </c>
      <c r="L900" s="59" t="str">
        <f>IF(OR(Data!$I900=SottocategorieUscite[[#Headers],[Casa]],Data!$I900=SottocategorieUscite[[#Headers],[Utenze]],Data!$I900=SottocategorieUscite[[#Headers],[Business Uscite]],Data!$I900=SottocategorieUscite[[#Headers],[Banca]]),"$ -","")</f>
        <v/>
      </c>
      <c r="M900" s="59" t="str">
        <f>IF(OR($I900&lt;&gt;SottocategorieUscite[[#Headers],[Fuori Casa]],$I900&lt;&gt;SottocategorieUscite[[#Headers],[Varie Uscite]],$I900&lt;&gt;SottocategorieUscite[[#Headers],[Personali]],$I900&lt;&gt;SottocategorieUscite[[#Headers],[Lavoro]],$I900&lt;&gt;SottocategorieUscite[[#Headers],[Casa]],$I900&lt;&gt;SottocategorieUscite[[#Headers],[Utenze]],$I900&lt;&gt;SottocategorieUscite[[#Headers],[Business Uscite]],$I900&lt;&gt;SottocategorieUscite[[#Headers],[Banca]]),"","$ -")</f>
        <v/>
      </c>
      <c r="N900" s="59" t="str">
        <f>IF(OR(Data!$I900=SottocategorieEntrate[[#Headers],[Business Entrate]],Data!$I900=SottocategorieEntrate[[#Headers],[Varie Entrate]]),"$ -","")</f>
        <v/>
      </c>
      <c r="O900" s="59" t="str">
        <f>IF(OR(Data!$I900=SottocategorieEntrate[[#Headers],[Real Estate]],SottocategorieEntrate[[#Headers],[Other]]),"$ -","")</f>
        <v/>
      </c>
      <c r="P900" s="59" t="str">
        <f>IF(OR($I900&lt;&gt;SottocategorieEntrate[[#Headers],[Business Entrate]],$I900&lt;&gt;SottocategorieEntrate[[#Headers],[Varie Entrate]],$I900&lt;&gt;SottocategorieEntrate[[#Headers],[Real Estate]],$I900&lt;&gt;SottocategorieEntrate[[#Headers],[Other]]),"","$ -")</f>
        <v/>
      </c>
      <c r="Q900" s="59" t="str">
        <f>IF(Dati[[#This Row],[Categoria]]="Prelievo","€ -","")</f>
        <v/>
      </c>
      <c r="R900" s="244"/>
      <c r="S900" s="59" t="str">
        <f>IF(Dati[[#This Row],[Categoria]]="Savings",0,"")</f>
        <v/>
      </c>
      <c r="T900" s="59"/>
      <c r="U900" s="59"/>
      <c r="V900" s="59"/>
      <c r="W900" s="59"/>
      <c r="X900" s="59"/>
      <c r="Y900" s="59"/>
      <c r="Z900" s="59"/>
      <c r="AA900" s="59"/>
      <c r="AB900" s="59"/>
      <c r="AC900" s="59"/>
      <c r="AD900" s="59"/>
      <c r="AE900" s="59"/>
      <c r="AF900" s="59"/>
      <c r="AG900" s="59"/>
      <c r="AH900" s="59"/>
      <c r="AI900" s="59" t="str">
        <f>IF(SUM(Dati[[#This Row],[Inv. Business]:[Inv. Cryptocurrency]])=0," ",SUM(Dati[[#This Row],[Inv. Business]:[Inv. Cryptocurrency]]))</f>
        <v xml:space="preserve"> </v>
      </c>
      <c r="AJ900" s="59"/>
      <c r="AK900" s="59"/>
      <c r="AL900" s="59"/>
      <c r="AM900" s="59"/>
    </row>
    <row r="901" spans="2:39" x14ac:dyDescent="0.35">
      <c r="B901" s="237">
        <f>ROW(861:861)</f>
        <v>861</v>
      </c>
      <c r="C901" s="49">
        <f t="shared" si="48"/>
        <v>45590</v>
      </c>
      <c r="D901" s="29">
        <f>DAY(Dati[[#This Row],[Data]])</f>
        <v>25</v>
      </c>
      <c r="E901" s="29" t="str">
        <f>IF(DAY(Data!$C$21:$C$1327)&gt;0,TEXT(Data!$C$21:$C$1327, "mmmm"),"")</f>
        <v>ottobre</v>
      </c>
      <c r="F901" s="29" t="str">
        <f>IF(DAY(Data!$C$21:$C$1327)&gt;0,TEXT(Data!$C$21:$C$1327, "aaaa"),"")</f>
        <v>2024</v>
      </c>
      <c r="I901" t="str">
        <f>IF(OR(H901=$B$5,H901=$B$6,H901=$B$7,H901=$B$8,H901=$B$9,H901=$B$10,H901=$B$11,H901=$B$12,H901=$B$13,H901=$B$14),SottocategorieUscite[[#Headers],[Fuori Casa]],IF(OR(H901=$C$5,H901=$C$6,H901=$C$7,H901=$C$8,H901=$C$9,H901=$C$10,H901=$C$11,H901=$C$12,H901=$C$13,H901=$C$14),SottocategorieUscite[[#Headers],[Varie Uscite]],IF(OR(H901=$D$5,H901=$D$6,H901=$D$7,H901=$D$8,H901=$D$9,H901=$D$10,H901=$D$11,H901=$D$12,H901=$D$13,H901=$D$14),SottocategorieUscite[[#Headers],[Personali]],IF(OR(H901=$E$5,H901=$E$6,H901=$E$7,H901=$E$8,H901=$E$9,H901=$E$10,H901=$E$11,H901=$E$12,H901=$E$13,H901=$E$14),SottocategorieUscite[[#Headers],[Lavoro]],IF(OR(H901=$F$5,H901=$F$6,H901=$F$7,H901=$F$8,H901=$F$9,H901=$F$10,H901=$F$11,H901=$F$12,H901=$F$13,H901=$F$14),SottocategorieUscite[[#Headers],[Casa]],IF(OR(H901=$G$5,H901=$G$6,H901=$G$7,H901=$G$8,H901=$G$9,H901=$G$10,H901=$G$11,H901=$G$12,H901=$G$13,H901=$G$14),SottocategorieUscite[[#Headers],[Utenze]],IF(OR(H901=$H$5,H901=$H$6,H901=$H$7,H901=$H$8,H901=$H$9,H901=$H$10,H901=$H$11,H901=$H$12,H901=$H$13,H901=$H$14),SottocategorieUscite[[#Headers],[Business Uscite]],IF(OR(H901=$I$5,H901=$I$6,H901=$I$7,H901=$I$8,H901=$I$9,H901=$I$10,H901=$I$11,H901=$I$12,H901=$I$13,H901=$I$14),SottocategorieUscite[[#Headers],[Banca]],IF(OR(H901=K$5,H901=K$6,H901=K$7,H901=K$8,H901=K$9,H901=K$10,H901=K$11,H901=K$12,H901=K$13,H901=K$14),SottocategorieEntrate[[#Headers],[Business Entrate]],IF(OR(H901=L$5,H901=L$6,H901=L$7,H901=L$8,H901=L$9,H901=L$10,H901=L$11,H901=L$12,H901=L$13,H901=L$14),SottocategorieEntrate[[#Headers],[Varie Entrate]],IF(OR(H901=M$5,H901=M$6,H901=M$7,H901=M$8,H901=M$9,H901=M$10,H901=M$11,H901=M$12,H901=M$13,H901=M$14),SottocategorieEntrate[[#Headers],[Real Estate]],IF(OR(H901=N$5,H901=N$6,H901=N$7,H901=N$8,H901=N$9,H901=N$10,H901=N$11,H901=N$12,H901=N$13,H901=N$14),SottocategorieEntrate[[#Headers],[Other]],""))))))))))))</f>
        <v/>
      </c>
      <c r="J901" t="str">
        <f>IF(OR(Dati[[#This Row],[Categoria]]="Bollette",Dati[[#This Row],[Categoria]]="Conto &amp; Carte BNL",Dati[[#This Row],[Categoria]]="Prelievo",Dati[[#This Row],[Categoria]]="Affitto",Dati[[#This Row],[Categoria]]="BNL(Interessi Creditori)"),"Carta",IF(Dati[[#This Row],[Categoria]]&lt;&gt;0,"Cash",""))</f>
        <v/>
      </c>
      <c r="K901" s="59" t="str">
        <f>IF(OR(Data!$I901=SottocategorieUscite[[#Headers],[Fuori Casa]],Data!$I901=SottocategorieUscite[[#Headers],[Varie Uscite]],Data!$I901=SottocategorieUscite[[#Headers],[Personali]],Data!$I901=SottocategorieUscite[[#Headers],[Lavoro]]),"$ -","")</f>
        <v/>
      </c>
      <c r="L901" s="59" t="str">
        <f>IF(OR(Data!$I901=SottocategorieUscite[[#Headers],[Casa]],Data!$I901=SottocategorieUscite[[#Headers],[Utenze]],Data!$I901=SottocategorieUscite[[#Headers],[Business Uscite]],Data!$I901=SottocategorieUscite[[#Headers],[Banca]]),"$ -","")</f>
        <v/>
      </c>
      <c r="M901" s="59" t="str">
        <f>IF(OR($I901&lt;&gt;SottocategorieUscite[[#Headers],[Fuori Casa]],$I901&lt;&gt;SottocategorieUscite[[#Headers],[Varie Uscite]],$I901&lt;&gt;SottocategorieUscite[[#Headers],[Personali]],$I901&lt;&gt;SottocategorieUscite[[#Headers],[Lavoro]],$I901&lt;&gt;SottocategorieUscite[[#Headers],[Casa]],$I901&lt;&gt;SottocategorieUscite[[#Headers],[Utenze]],$I901&lt;&gt;SottocategorieUscite[[#Headers],[Business Uscite]],$I901&lt;&gt;SottocategorieUscite[[#Headers],[Banca]]),"","$ -")</f>
        <v/>
      </c>
      <c r="N901" s="59" t="str">
        <f>IF(OR(Data!$I901=SottocategorieEntrate[[#Headers],[Business Entrate]],Data!$I901=SottocategorieEntrate[[#Headers],[Varie Entrate]]),"$ -","")</f>
        <v/>
      </c>
      <c r="O901" s="59" t="str">
        <f>IF(OR(Data!$I901=SottocategorieEntrate[[#Headers],[Real Estate]],SottocategorieEntrate[[#Headers],[Other]]),"$ -","")</f>
        <v/>
      </c>
      <c r="P901" s="59" t="str">
        <f>IF(OR($I901&lt;&gt;SottocategorieEntrate[[#Headers],[Business Entrate]],$I901&lt;&gt;SottocategorieEntrate[[#Headers],[Varie Entrate]],$I901&lt;&gt;SottocategorieEntrate[[#Headers],[Real Estate]],$I901&lt;&gt;SottocategorieEntrate[[#Headers],[Other]]),"","$ -")</f>
        <v/>
      </c>
      <c r="Q901" s="59" t="str">
        <f>IF(Dati[[#This Row],[Categoria]]="Prelievo","€ -","")</f>
        <v/>
      </c>
      <c r="R901" s="244"/>
      <c r="S901" s="59" t="str">
        <f>IF(Dati[[#This Row],[Categoria]]="Savings",0,"")</f>
        <v/>
      </c>
      <c r="T901" s="59"/>
      <c r="U901" s="59"/>
      <c r="V901" s="59"/>
      <c r="W901" s="59"/>
      <c r="X901" s="59"/>
      <c r="Y901" s="59"/>
      <c r="Z901" s="59"/>
      <c r="AA901" s="59"/>
      <c r="AB901" s="59"/>
      <c r="AC901" s="59"/>
      <c r="AD901" s="59"/>
      <c r="AE901" s="59"/>
      <c r="AF901" s="59"/>
      <c r="AG901" s="59"/>
      <c r="AH901" s="59"/>
      <c r="AI901" s="59" t="str">
        <f>IF(SUM(Dati[[#This Row],[Inv. Business]:[Inv. Cryptocurrency]])=0," ",SUM(Dati[[#This Row],[Inv. Business]:[Inv. Cryptocurrency]]))</f>
        <v xml:space="preserve"> </v>
      </c>
      <c r="AJ901" s="59"/>
      <c r="AK901" s="59"/>
      <c r="AL901" s="59"/>
      <c r="AM901" s="59"/>
    </row>
    <row r="902" spans="2:39" x14ac:dyDescent="0.35">
      <c r="B902" s="237">
        <f>ROW(862:862)</f>
        <v>862</v>
      </c>
      <c r="C902" s="49">
        <f t="shared" si="48"/>
        <v>45591</v>
      </c>
      <c r="D902" s="29">
        <f>DAY(Dati[[#This Row],[Data]])</f>
        <v>26</v>
      </c>
      <c r="E902" s="29" t="str">
        <f>IF(DAY(Data!$C$21:$C$1327)&gt;0,TEXT(Data!$C$21:$C$1327, "mmmm"),"")</f>
        <v>ottobre</v>
      </c>
      <c r="F902" s="29" t="str">
        <f>IF(DAY(Data!$C$21:$C$1327)&gt;0,TEXT(Data!$C$21:$C$1327, "aaaa"),"")</f>
        <v>2024</v>
      </c>
      <c r="I902" t="str">
        <f>IF(OR(H902=$B$5,H902=$B$6,H902=$B$7,H902=$B$8,H902=$B$9,H902=$B$10,H902=$B$11,H902=$B$12,H902=$B$13,H902=$B$14),SottocategorieUscite[[#Headers],[Fuori Casa]],IF(OR(H902=$C$5,H902=$C$6,H902=$C$7,H902=$C$8,H902=$C$9,H902=$C$10,H902=$C$11,H902=$C$12,H902=$C$13,H902=$C$14),SottocategorieUscite[[#Headers],[Varie Uscite]],IF(OR(H902=$D$5,H902=$D$6,H902=$D$7,H902=$D$8,H902=$D$9,H902=$D$10,H902=$D$11,H902=$D$12,H902=$D$13,H902=$D$14),SottocategorieUscite[[#Headers],[Personali]],IF(OR(H902=$E$5,H902=$E$6,H902=$E$7,H902=$E$8,H902=$E$9,H902=$E$10,H902=$E$11,H902=$E$12,H902=$E$13,H902=$E$14),SottocategorieUscite[[#Headers],[Lavoro]],IF(OR(H902=$F$5,H902=$F$6,H902=$F$7,H902=$F$8,H902=$F$9,H902=$F$10,H902=$F$11,H902=$F$12,H902=$F$13,H902=$F$14),SottocategorieUscite[[#Headers],[Casa]],IF(OR(H902=$G$5,H902=$G$6,H902=$G$7,H902=$G$8,H902=$G$9,H902=$G$10,H902=$G$11,H902=$G$12,H902=$G$13,H902=$G$14),SottocategorieUscite[[#Headers],[Utenze]],IF(OR(H902=$H$5,H902=$H$6,H902=$H$7,H902=$H$8,H902=$H$9,H902=$H$10,H902=$H$11,H902=$H$12,H902=$H$13,H902=$H$14),SottocategorieUscite[[#Headers],[Business Uscite]],IF(OR(H902=$I$5,H902=$I$6,H902=$I$7,H902=$I$8,H902=$I$9,H902=$I$10,H902=$I$11,H902=$I$12,H902=$I$13,H902=$I$14),SottocategorieUscite[[#Headers],[Banca]],IF(OR(H902=K$5,H902=K$6,H902=K$7,H902=K$8,H902=K$9,H902=K$10,H902=K$11,H902=K$12,H902=K$13,H902=K$14),SottocategorieEntrate[[#Headers],[Business Entrate]],IF(OR(H902=L$5,H902=L$6,H902=L$7,H902=L$8,H902=L$9,H902=L$10,H902=L$11,H902=L$12,H902=L$13,H902=L$14),SottocategorieEntrate[[#Headers],[Varie Entrate]],IF(OR(H902=M$5,H902=M$6,H902=M$7,H902=M$8,H902=M$9,H902=M$10,H902=M$11,H902=M$12,H902=M$13,H902=M$14),SottocategorieEntrate[[#Headers],[Real Estate]],IF(OR(H902=N$5,H902=N$6,H902=N$7,H902=N$8,H902=N$9,H902=N$10,H902=N$11,H902=N$12,H902=N$13,H902=N$14),SottocategorieEntrate[[#Headers],[Other]],""))))))))))))</f>
        <v/>
      </c>
      <c r="J902" t="str">
        <f>IF(OR(Dati[[#This Row],[Categoria]]="Bollette",Dati[[#This Row],[Categoria]]="Conto &amp; Carte BNL",Dati[[#This Row],[Categoria]]="Prelievo",Dati[[#This Row],[Categoria]]="Affitto",Dati[[#This Row],[Categoria]]="BNL(Interessi Creditori)"),"Carta",IF(Dati[[#This Row],[Categoria]]&lt;&gt;0,"Cash",""))</f>
        <v/>
      </c>
      <c r="K902" s="59" t="str">
        <f>IF(OR(Data!$I902=SottocategorieUscite[[#Headers],[Fuori Casa]],Data!$I902=SottocategorieUscite[[#Headers],[Varie Uscite]],Data!$I902=SottocategorieUscite[[#Headers],[Personali]],Data!$I902=SottocategorieUscite[[#Headers],[Lavoro]]),"$ -","")</f>
        <v/>
      </c>
      <c r="L902" s="59" t="str">
        <f>IF(OR(Data!$I902=SottocategorieUscite[[#Headers],[Casa]],Data!$I902=SottocategorieUscite[[#Headers],[Utenze]],Data!$I902=SottocategorieUscite[[#Headers],[Business Uscite]],Data!$I902=SottocategorieUscite[[#Headers],[Banca]]),"$ -","")</f>
        <v/>
      </c>
      <c r="M902" s="59" t="str">
        <f>IF(OR($I902&lt;&gt;SottocategorieUscite[[#Headers],[Fuori Casa]],$I902&lt;&gt;SottocategorieUscite[[#Headers],[Varie Uscite]],$I902&lt;&gt;SottocategorieUscite[[#Headers],[Personali]],$I902&lt;&gt;SottocategorieUscite[[#Headers],[Lavoro]],$I902&lt;&gt;SottocategorieUscite[[#Headers],[Casa]],$I902&lt;&gt;SottocategorieUscite[[#Headers],[Utenze]],$I902&lt;&gt;SottocategorieUscite[[#Headers],[Business Uscite]],$I902&lt;&gt;SottocategorieUscite[[#Headers],[Banca]]),"","$ -")</f>
        <v/>
      </c>
      <c r="N902" s="59" t="str">
        <f>IF(OR(Data!$I902=SottocategorieEntrate[[#Headers],[Business Entrate]],Data!$I902=SottocategorieEntrate[[#Headers],[Varie Entrate]]),"$ -","")</f>
        <v/>
      </c>
      <c r="O902" s="59" t="str">
        <f>IF(OR(Data!$I902=SottocategorieEntrate[[#Headers],[Real Estate]],SottocategorieEntrate[[#Headers],[Other]]),"$ -","")</f>
        <v/>
      </c>
      <c r="P902" s="59" t="str">
        <f>IF(OR($I902&lt;&gt;SottocategorieEntrate[[#Headers],[Business Entrate]],$I902&lt;&gt;SottocategorieEntrate[[#Headers],[Varie Entrate]],$I902&lt;&gt;SottocategorieEntrate[[#Headers],[Real Estate]],$I902&lt;&gt;SottocategorieEntrate[[#Headers],[Other]]),"","$ -")</f>
        <v/>
      </c>
      <c r="Q902" s="59" t="str">
        <f>IF(Dati[[#This Row],[Categoria]]="Prelievo","€ -","")</f>
        <v/>
      </c>
      <c r="R902" s="244"/>
      <c r="S902" s="59" t="str">
        <f>IF(Dati[[#This Row],[Categoria]]="Savings",0,"")</f>
        <v/>
      </c>
      <c r="T902" s="59"/>
      <c r="U902" s="59"/>
      <c r="V902" s="59"/>
      <c r="W902" s="59"/>
      <c r="X902" s="59"/>
      <c r="Y902" s="59"/>
      <c r="Z902" s="59"/>
      <c r="AA902" s="59"/>
      <c r="AB902" s="59"/>
      <c r="AC902" s="59"/>
      <c r="AD902" s="59"/>
      <c r="AE902" s="59"/>
      <c r="AF902" s="59"/>
      <c r="AG902" s="59"/>
      <c r="AH902" s="59"/>
      <c r="AI902" s="59" t="str">
        <f>IF(SUM(Dati[[#This Row],[Inv. Business]:[Inv. Cryptocurrency]])=0," ",SUM(Dati[[#This Row],[Inv. Business]:[Inv. Cryptocurrency]]))</f>
        <v xml:space="preserve"> </v>
      </c>
      <c r="AJ902" s="59"/>
      <c r="AK902" s="59"/>
      <c r="AL902" s="59"/>
      <c r="AM902" s="59"/>
    </row>
    <row r="903" spans="2:39" x14ac:dyDescent="0.35">
      <c r="B903" s="237">
        <f>ROW(863:863)</f>
        <v>863</v>
      </c>
      <c r="C903" s="49">
        <f t="shared" si="48"/>
        <v>45592</v>
      </c>
      <c r="D903" s="29">
        <f>DAY(Dati[[#This Row],[Data]])</f>
        <v>27</v>
      </c>
      <c r="E903" s="29" t="str">
        <f>IF(DAY(Data!$C$21:$C$1327)&gt;0,TEXT(Data!$C$21:$C$1327, "mmmm"),"")</f>
        <v>ottobre</v>
      </c>
      <c r="F903" s="29" t="str">
        <f>IF(DAY(Data!$C$21:$C$1327)&gt;0,TEXT(Data!$C$21:$C$1327, "aaaa"),"")</f>
        <v>2024</v>
      </c>
      <c r="I903" t="str">
        <f>IF(OR(H903=$B$5,H903=$B$6,H903=$B$7,H903=$B$8,H903=$B$9,H903=$B$10,H903=$B$11,H903=$B$12,H903=$B$13,H903=$B$14),SottocategorieUscite[[#Headers],[Fuori Casa]],IF(OR(H903=$C$5,H903=$C$6,H903=$C$7,H903=$C$8,H903=$C$9,H903=$C$10,H903=$C$11,H903=$C$12,H903=$C$13,H903=$C$14),SottocategorieUscite[[#Headers],[Varie Uscite]],IF(OR(H903=$D$5,H903=$D$6,H903=$D$7,H903=$D$8,H903=$D$9,H903=$D$10,H903=$D$11,H903=$D$12,H903=$D$13,H903=$D$14),SottocategorieUscite[[#Headers],[Personali]],IF(OR(H903=$E$5,H903=$E$6,H903=$E$7,H903=$E$8,H903=$E$9,H903=$E$10,H903=$E$11,H903=$E$12,H903=$E$13,H903=$E$14),SottocategorieUscite[[#Headers],[Lavoro]],IF(OR(H903=$F$5,H903=$F$6,H903=$F$7,H903=$F$8,H903=$F$9,H903=$F$10,H903=$F$11,H903=$F$12,H903=$F$13,H903=$F$14),SottocategorieUscite[[#Headers],[Casa]],IF(OR(H903=$G$5,H903=$G$6,H903=$G$7,H903=$G$8,H903=$G$9,H903=$G$10,H903=$G$11,H903=$G$12,H903=$G$13,H903=$G$14),SottocategorieUscite[[#Headers],[Utenze]],IF(OR(H903=$H$5,H903=$H$6,H903=$H$7,H903=$H$8,H903=$H$9,H903=$H$10,H903=$H$11,H903=$H$12,H903=$H$13,H903=$H$14),SottocategorieUscite[[#Headers],[Business Uscite]],IF(OR(H903=$I$5,H903=$I$6,H903=$I$7,H903=$I$8,H903=$I$9,H903=$I$10,H903=$I$11,H903=$I$12,H903=$I$13,H903=$I$14),SottocategorieUscite[[#Headers],[Banca]],IF(OR(H903=K$5,H903=K$6,H903=K$7,H903=K$8,H903=K$9,H903=K$10,H903=K$11,H903=K$12,H903=K$13,H903=K$14),SottocategorieEntrate[[#Headers],[Business Entrate]],IF(OR(H903=L$5,H903=L$6,H903=L$7,H903=L$8,H903=L$9,H903=L$10,H903=L$11,H903=L$12,H903=L$13,H903=L$14),SottocategorieEntrate[[#Headers],[Varie Entrate]],IF(OR(H903=M$5,H903=M$6,H903=M$7,H903=M$8,H903=M$9,H903=M$10,H903=M$11,H903=M$12,H903=M$13,H903=M$14),SottocategorieEntrate[[#Headers],[Real Estate]],IF(OR(H903=N$5,H903=N$6,H903=N$7,H903=N$8,H903=N$9,H903=N$10,H903=N$11,H903=N$12,H903=N$13,H903=N$14),SottocategorieEntrate[[#Headers],[Other]],""))))))))))))</f>
        <v/>
      </c>
      <c r="J903" t="str">
        <f>IF(OR(Dati[[#This Row],[Categoria]]="Bollette",Dati[[#This Row],[Categoria]]="Conto &amp; Carte BNL",Dati[[#This Row],[Categoria]]="Prelievo",Dati[[#This Row],[Categoria]]="Affitto",Dati[[#This Row],[Categoria]]="BNL(Interessi Creditori)"),"Carta",IF(Dati[[#This Row],[Categoria]]&lt;&gt;0,"Cash",""))</f>
        <v/>
      </c>
      <c r="K903" s="59" t="str">
        <f>IF(OR(Data!$I903=SottocategorieUscite[[#Headers],[Fuori Casa]],Data!$I903=SottocategorieUscite[[#Headers],[Varie Uscite]],Data!$I903=SottocategorieUscite[[#Headers],[Personali]],Data!$I903=SottocategorieUscite[[#Headers],[Lavoro]]),"$ -","")</f>
        <v/>
      </c>
      <c r="L903" s="59" t="str">
        <f>IF(OR(Data!$I903=SottocategorieUscite[[#Headers],[Casa]],Data!$I903=SottocategorieUscite[[#Headers],[Utenze]],Data!$I903=SottocategorieUscite[[#Headers],[Business Uscite]],Data!$I903=SottocategorieUscite[[#Headers],[Banca]]),"$ -","")</f>
        <v/>
      </c>
      <c r="M903" s="59" t="str">
        <f>IF(OR($I903&lt;&gt;SottocategorieUscite[[#Headers],[Fuori Casa]],$I903&lt;&gt;SottocategorieUscite[[#Headers],[Varie Uscite]],$I903&lt;&gt;SottocategorieUscite[[#Headers],[Personali]],$I903&lt;&gt;SottocategorieUscite[[#Headers],[Lavoro]],$I903&lt;&gt;SottocategorieUscite[[#Headers],[Casa]],$I903&lt;&gt;SottocategorieUscite[[#Headers],[Utenze]],$I903&lt;&gt;SottocategorieUscite[[#Headers],[Business Uscite]],$I903&lt;&gt;SottocategorieUscite[[#Headers],[Banca]]),"","$ -")</f>
        <v/>
      </c>
      <c r="N903" s="59" t="str">
        <f>IF(OR(Data!$I903=SottocategorieEntrate[[#Headers],[Business Entrate]],Data!$I903=SottocategorieEntrate[[#Headers],[Varie Entrate]]),"$ -","")</f>
        <v/>
      </c>
      <c r="O903" s="59" t="str">
        <f>IF(OR(Data!$I903=SottocategorieEntrate[[#Headers],[Real Estate]],SottocategorieEntrate[[#Headers],[Other]]),"$ -","")</f>
        <v/>
      </c>
      <c r="P903" s="59" t="str">
        <f>IF(OR($I903&lt;&gt;SottocategorieEntrate[[#Headers],[Business Entrate]],$I903&lt;&gt;SottocategorieEntrate[[#Headers],[Varie Entrate]],$I903&lt;&gt;SottocategorieEntrate[[#Headers],[Real Estate]],$I903&lt;&gt;SottocategorieEntrate[[#Headers],[Other]]),"","$ -")</f>
        <v/>
      </c>
      <c r="Q903" s="59" t="str">
        <f>IF(Dati[[#This Row],[Categoria]]="Prelievo","€ -","")</f>
        <v/>
      </c>
      <c r="R903" s="244"/>
      <c r="S903" s="59" t="str">
        <f>IF(Dati[[#This Row],[Categoria]]="Savings",0,"")</f>
        <v/>
      </c>
      <c r="T903" s="59"/>
      <c r="U903" s="59"/>
      <c r="V903" s="59"/>
      <c r="W903" s="59"/>
      <c r="X903" s="59"/>
      <c r="Y903" s="59"/>
      <c r="Z903" s="59"/>
      <c r="AA903" s="59"/>
      <c r="AB903" s="59"/>
      <c r="AC903" s="59"/>
      <c r="AD903" s="59"/>
      <c r="AE903" s="59"/>
      <c r="AF903" s="59"/>
      <c r="AG903" s="59"/>
      <c r="AH903" s="59"/>
      <c r="AI903" s="59" t="str">
        <f>IF(SUM(Dati[[#This Row],[Inv. Business]:[Inv. Cryptocurrency]])=0," ",SUM(Dati[[#This Row],[Inv. Business]:[Inv. Cryptocurrency]]))</f>
        <v xml:space="preserve"> </v>
      </c>
      <c r="AJ903" s="59"/>
      <c r="AK903" s="59"/>
      <c r="AL903" s="59"/>
      <c r="AM903" s="59"/>
    </row>
    <row r="904" spans="2:39" x14ac:dyDescent="0.35">
      <c r="B904" s="237">
        <f>ROW(865:865)</f>
        <v>865</v>
      </c>
      <c r="C904" s="49">
        <f t="shared" si="48"/>
        <v>45593</v>
      </c>
      <c r="D904" s="29">
        <f>DAY(Dati[[#This Row],[Data]])</f>
        <v>28</v>
      </c>
      <c r="E904" s="29" t="str">
        <f>IF(DAY(Data!$C$21:$C$1327)&gt;0,TEXT(Data!$C$21:$C$1327, "mmmm"),"")</f>
        <v>ottobre</v>
      </c>
      <c r="F904" s="29" t="str">
        <f>IF(DAY(Data!$C$21:$C$1327)&gt;0,TEXT(Data!$C$21:$C$1327, "aaaa"),"")</f>
        <v>2024</v>
      </c>
      <c r="I904" t="str">
        <f>IF(OR(H904=$B$5,H904=$B$6,H904=$B$7,H904=$B$8,H904=$B$9,H904=$B$10,H904=$B$11,H904=$B$12,H904=$B$13,H904=$B$14),SottocategorieUscite[[#Headers],[Fuori Casa]],IF(OR(H904=$C$5,H904=$C$6,H904=$C$7,H904=$C$8,H904=$C$9,H904=$C$10,H904=$C$11,H904=$C$12,H904=$C$13,H904=$C$14),SottocategorieUscite[[#Headers],[Varie Uscite]],IF(OR(H904=$D$5,H904=$D$6,H904=$D$7,H904=$D$8,H904=$D$9,H904=$D$10,H904=$D$11,H904=$D$12,H904=$D$13,H904=$D$14),SottocategorieUscite[[#Headers],[Personali]],IF(OR(H904=$E$5,H904=$E$6,H904=$E$7,H904=$E$8,H904=$E$9,H904=$E$10,H904=$E$11,H904=$E$12,H904=$E$13,H904=$E$14),SottocategorieUscite[[#Headers],[Lavoro]],IF(OR(H904=$F$5,H904=$F$6,H904=$F$7,H904=$F$8,H904=$F$9,H904=$F$10,H904=$F$11,H904=$F$12,H904=$F$13,H904=$F$14),SottocategorieUscite[[#Headers],[Casa]],IF(OR(H904=$G$5,H904=$G$6,H904=$G$7,H904=$G$8,H904=$G$9,H904=$G$10,H904=$G$11,H904=$G$12,H904=$G$13,H904=$G$14),SottocategorieUscite[[#Headers],[Utenze]],IF(OR(H904=$H$5,H904=$H$6,H904=$H$7,H904=$H$8,H904=$H$9,H904=$H$10,H904=$H$11,H904=$H$12,H904=$H$13,H904=$H$14),SottocategorieUscite[[#Headers],[Business Uscite]],IF(OR(H904=$I$5,H904=$I$6,H904=$I$7,H904=$I$8,H904=$I$9,H904=$I$10,H904=$I$11,H904=$I$12,H904=$I$13,H904=$I$14),SottocategorieUscite[[#Headers],[Banca]],IF(OR(H904=K$5,H904=K$6,H904=K$7,H904=K$8,H904=K$9,H904=K$10,H904=K$11,H904=K$12,H904=K$13,H904=K$14),SottocategorieEntrate[[#Headers],[Business Entrate]],IF(OR(H904=L$5,H904=L$6,H904=L$7,H904=L$8,H904=L$9,H904=L$10,H904=L$11,H904=L$12,H904=L$13,H904=L$14),SottocategorieEntrate[[#Headers],[Varie Entrate]],IF(OR(H904=M$5,H904=M$6,H904=M$7,H904=M$8,H904=M$9,H904=M$10,H904=M$11,H904=M$12,H904=M$13,H904=M$14),SottocategorieEntrate[[#Headers],[Real Estate]],IF(OR(H904=N$5,H904=N$6,H904=N$7,H904=N$8,H904=N$9,H904=N$10,H904=N$11,H904=N$12,H904=N$13,H904=N$14),SottocategorieEntrate[[#Headers],[Other]],""))))))))))))</f>
        <v/>
      </c>
      <c r="J904" t="str">
        <f>IF(OR(Dati[[#This Row],[Categoria]]="Bollette",Dati[[#This Row],[Categoria]]="Conto &amp; Carte BNL",Dati[[#This Row],[Categoria]]="Prelievo",Dati[[#This Row],[Categoria]]="Affitto",Dati[[#This Row],[Categoria]]="BNL(Interessi Creditori)"),"Carta",IF(Dati[[#This Row],[Categoria]]&lt;&gt;0,"Cash",""))</f>
        <v/>
      </c>
      <c r="K904" s="59" t="str">
        <f>IF(OR(Data!$I904=SottocategorieUscite[[#Headers],[Fuori Casa]],Data!$I904=SottocategorieUscite[[#Headers],[Varie Uscite]],Data!$I904=SottocategorieUscite[[#Headers],[Personali]],Data!$I904=SottocategorieUscite[[#Headers],[Lavoro]]),"$ -","")</f>
        <v/>
      </c>
      <c r="L904" s="59" t="str">
        <f>IF(OR(Data!$I904=SottocategorieUscite[[#Headers],[Casa]],Data!$I904=SottocategorieUscite[[#Headers],[Utenze]],Data!$I904=SottocategorieUscite[[#Headers],[Business Uscite]],Data!$I904=SottocategorieUscite[[#Headers],[Banca]]),"$ -","")</f>
        <v/>
      </c>
      <c r="M904" s="59" t="str">
        <f>IF(OR($I904&lt;&gt;SottocategorieUscite[[#Headers],[Fuori Casa]],$I904&lt;&gt;SottocategorieUscite[[#Headers],[Varie Uscite]],$I904&lt;&gt;SottocategorieUscite[[#Headers],[Personali]],$I904&lt;&gt;SottocategorieUscite[[#Headers],[Lavoro]],$I904&lt;&gt;SottocategorieUscite[[#Headers],[Casa]],$I904&lt;&gt;SottocategorieUscite[[#Headers],[Utenze]],$I904&lt;&gt;SottocategorieUscite[[#Headers],[Business Uscite]],$I904&lt;&gt;SottocategorieUscite[[#Headers],[Banca]]),"","$ -")</f>
        <v/>
      </c>
      <c r="N904" s="59" t="str">
        <f>IF(OR(Data!$I904=SottocategorieEntrate[[#Headers],[Business Entrate]],Data!$I904=SottocategorieEntrate[[#Headers],[Varie Entrate]]),"$ -","")</f>
        <v/>
      </c>
      <c r="O904" s="59" t="str">
        <f>IF(OR(Data!$I904=SottocategorieEntrate[[#Headers],[Real Estate]],SottocategorieEntrate[[#Headers],[Other]]),"$ -","")</f>
        <v/>
      </c>
      <c r="P904" s="59" t="str">
        <f>IF(OR($I904&lt;&gt;SottocategorieEntrate[[#Headers],[Business Entrate]],$I904&lt;&gt;SottocategorieEntrate[[#Headers],[Varie Entrate]],$I904&lt;&gt;SottocategorieEntrate[[#Headers],[Real Estate]],$I904&lt;&gt;SottocategorieEntrate[[#Headers],[Other]]),"","$ -")</f>
        <v/>
      </c>
      <c r="Q904" s="59" t="str">
        <f>IF(Dati[[#This Row],[Categoria]]="Prelievo","€ -","")</f>
        <v/>
      </c>
      <c r="R904" s="244"/>
      <c r="S904" s="59" t="str">
        <f>IF(Dati[[#This Row],[Categoria]]="Savings",0,"")</f>
        <v/>
      </c>
      <c r="T904" s="59"/>
      <c r="U904" s="59"/>
      <c r="V904" s="59"/>
      <c r="W904" s="59"/>
      <c r="X904" s="59"/>
      <c r="Y904" s="59"/>
      <c r="Z904" s="59"/>
      <c r="AA904" s="59"/>
      <c r="AB904" s="59"/>
      <c r="AC904" s="59"/>
      <c r="AD904" s="59"/>
      <c r="AE904" s="59"/>
      <c r="AF904" s="59"/>
      <c r="AG904" s="59"/>
      <c r="AH904" s="59"/>
      <c r="AI904" s="59" t="str">
        <f>IF(SUM(Dati[[#This Row],[Inv. Business]:[Inv. Cryptocurrency]])=0," ",SUM(Dati[[#This Row],[Inv. Business]:[Inv. Cryptocurrency]]))</f>
        <v xml:space="preserve"> </v>
      </c>
      <c r="AJ904" s="59"/>
      <c r="AK904" s="59"/>
      <c r="AL904" s="59"/>
      <c r="AM904" s="59"/>
    </row>
    <row r="905" spans="2:39" x14ac:dyDescent="0.35">
      <c r="B905" s="237">
        <f>ROW(867:867)</f>
        <v>867</v>
      </c>
      <c r="C905" s="49">
        <f>C903+1</f>
        <v>45593</v>
      </c>
      <c r="D905" s="29">
        <f>DAY(Dati[[#This Row],[Data]])</f>
        <v>28</v>
      </c>
      <c r="E905" s="29" t="str">
        <f>IF(DAY(Data!$C$21:$C$1327)&gt;0,TEXT(Data!$C$21:$C$1327, "mmmm"),"")</f>
        <v>ottobre</v>
      </c>
      <c r="F905" s="29" t="str">
        <f>IF(DAY(Data!$C$21:$C$1327)&gt;0,TEXT(Data!$C$21:$C$1327, "aaaa"),"")</f>
        <v>2024</v>
      </c>
      <c r="I905" t="str">
        <f>IF(OR(H905=$B$5,H905=$B$6,H905=$B$7,H905=$B$8,H905=$B$9,H905=$B$10,H905=$B$11,H905=$B$12,H905=$B$13,H905=$B$14),SottocategorieUscite[[#Headers],[Fuori Casa]],IF(OR(H905=$C$5,H905=$C$6,H905=$C$7,H905=$C$8,H905=$C$9,H905=$C$10,H905=$C$11,H905=$C$12,H905=$C$13,H905=$C$14),SottocategorieUscite[[#Headers],[Varie Uscite]],IF(OR(H905=$D$5,H905=$D$6,H905=$D$7,H905=$D$8,H905=$D$9,H905=$D$10,H905=$D$11,H905=$D$12,H905=$D$13,H905=$D$14),SottocategorieUscite[[#Headers],[Personali]],IF(OR(H905=$E$5,H905=$E$6,H905=$E$7,H905=$E$8,H905=$E$9,H905=$E$10,H905=$E$11,H905=$E$12,H905=$E$13,H905=$E$14),SottocategorieUscite[[#Headers],[Lavoro]],IF(OR(H905=$F$5,H905=$F$6,H905=$F$7,H905=$F$8,H905=$F$9,H905=$F$10,H905=$F$11,H905=$F$12,H905=$F$13,H905=$F$14),SottocategorieUscite[[#Headers],[Casa]],IF(OR(H905=$G$5,H905=$G$6,H905=$G$7,H905=$G$8,H905=$G$9,H905=$G$10,H905=$G$11,H905=$G$12,H905=$G$13,H905=$G$14),SottocategorieUscite[[#Headers],[Utenze]],IF(OR(H905=$H$5,H905=$H$6,H905=$H$7,H905=$H$8,H905=$H$9,H905=$H$10,H905=$H$11,H905=$H$12,H905=$H$13,H905=$H$14),SottocategorieUscite[[#Headers],[Business Uscite]],IF(OR(H905=$I$5,H905=$I$6,H905=$I$7,H905=$I$8,H905=$I$9,H905=$I$10,H905=$I$11,H905=$I$12,H905=$I$13,H905=$I$14),SottocategorieUscite[[#Headers],[Banca]],IF(OR(H905=K$5,H905=K$6,H905=K$7,H905=K$8,H905=K$9,H905=K$10,H905=K$11,H905=K$12,H905=K$13,H905=K$14),SottocategorieEntrate[[#Headers],[Business Entrate]],IF(OR(H905=L$5,H905=L$6,H905=L$7,H905=L$8,H905=L$9,H905=L$10,H905=L$11,H905=L$12,H905=L$13,H905=L$14),SottocategorieEntrate[[#Headers],[Varie Entrate]],IF(OR(H905=M$5,H905=M$6,H905=M$7,H905=M$8,H905=M$9,H905=M$10,H905=M$11,H905=M$12,H905=M$13,H905=M$14),SottocategorieEntrate[[#Headers],[Real Estate]],IF(OR(H905=N$5,H905=N$6,H905=N$7,H905=N$8,H905=N$9,H905=N$10,H905=N$11,H905=N$12,H905=N$13,H905=N$14),SottocategorieEntrate[[#Headers],[Other]],""))))))))))))</f>
        <v/>
      </c>
      <c r="J905" t="str">
        <f>IF(OR(Dati[[#This Row],[Categoria]]="Bollette",Dati[[#This Row],[Categoria]]="Conto &amp; Carte BNL",Dati[[#This Row],[Categoria]]="Prelievo",Dati[[#This Row],[Categoria]]="Affitto",Dati[[#This Row],[Categoria]]="BNL(Interessi Creditori)"),"Carta",IF(Dati[[#This Row],[Categoria]]&lt;&gt;0,"Cash",""))</f>
        <v/>
      </c>
      <c r="K905" s="59" t="str">
        <f>IF(OR(Data!$I905=SottocategorieUscite[[#Headers],[Fuori Casa]],Data!$I905=SottocategorieUscite[[#Headers],[Varie Uscite]],Data!$I905=SottocategorieUscite[[#Headers],[Personali]],Data!$I905=SottocategorieUscite[[#Headers],[Lavoro]]),"$ -","")</f>
        <v/>
      </c>
      <c r="L905" s="59" t="str">
        <f>IF(OR(Data!$I905=SottocategorieUscite[[#Headers],[Casa]],Data!$I905=SottocategorieUscite[[#Headers],[Utenze]],Data!$I905=SottocategorieUscite[[#Headers],[Business Uscite]],Data!$I905=SottocategorieUscite[[#Headers],[Banca]]),"$ -","")</f>
        <v/>
      </c>
      <c r="M905" s="59" t="str">
        <f>IF(OR($I905&lt;&gt;SottocategorieUscite[[#Headers],[Fuori Casa]],$I905&lt;&gt;SottocategorieUscite[[#Headers],[Varie Uscite]],$I905&lt;&gt;SottocategorieUscite[[#Headers],[Personali]],$I905&lt;&gt;SottocategorieUscite[[#Headers],[Lavoro]],$I905&lt;&gt;SottocategorieUscite[[#Headers],[Casa]],$I905&lt;&gt;SottocategorieUscite[[#Headers],[Utenze]],$I905&lt;&gt;SottocategorieUscite[[#Headers],[Business Uscite]],$I905&lt;&gt;SottocategorieUscite[[#Headers],[Banca]]),"","$ -")</f>
        <v/>
      </c>
      <c r="N905" s="59" t="str">
        <f>IF(OR(Data!$I905=SottocategorieEntrate[[#Headers],[Business Entrate]],Data!$I905=SottocategorieEntrate[[#Headers],[Varie Entrate]]),"$ -","")</f>
        <v/>
      </c>
      <c r="O905" s="59" t="str">
        <f>IF(OR(Data!$I905=SottocategorieEntrate[[#Headers],[Real Estate]],SottocategorieEntrate[[#Headers],[Other]]),"$ -","")</f>
        <v/>
      </c>
      <c r="P905" s="59" t="str">
        <f>IF(OR($I905&lt;&gt;SottocategorieEntrate[[#Headers],[Business Entrate]],$I905&lt;&gt;SottocategorieEntrate[[#Headers],[Varie Entrate]],$I905&lt;&gt;SottocategorieEntrate[[#Headers],[Real Estate]],$I905&lt;&gt;SottocategorieEntrate[[#Headers],[Other]]),"","$ -")</f>
        <v/>
      </c>
      <c r="Q905" s="59" t="str">
        <f>IF(Dati[[#This Row],[Categoria]]="Prelievo","€ -","")</f>
        <v/>
      </c>
      <c r="R905" s="244"/>
      <c r="S905" s="59" t="str">
        <f>IF(Dati[[#This Row],[Categoria]]="Savings",0,"")</f>
        <v/>
      </c>
      <c r="T905" s="59"/>
      <c r="U905" s="59"/>
      <c r="V905" s="59"/>
      <c r="W905" s="59"/>
      <c r="X905" s="59"/>
      <c r="Y905" s="59"/>
      <c r="Z905" s="59"/>
      <c r="AA905" s="59"/>
      <c r="AB905" s="59"/>
      <c r="AC905" s="59"/>
      <c r="AD905" s="59"/>
      <c r="AE905" s="59"/>
      <c r="AF905" s="59"/>
      <c r="AG905" s="59"/>
      <c r="AH905" s="59"/>
      <c r="AI905" s="59" t="str">
        <f>IF(SUM(Dati[[#This Row],[Inv. Business]:[Inv. Cryptocurrency]])=0," ",SUM(Dati[[#This Row],[Inv. Business]:[Inv. Cryptocurrency]]))</f>
        <v xml:space="preserve"> </v>
      </c>
      <c r="AJ905" s="59"/>
      <c r="AK905" s="59"/>
      <c r="AL905" s="59"/>
      <c r="AM905" s="59"/>
    </row>
    <row r="906" spans="2:39" x14ac:dyDescent="0.35">
      <c r="B906" s="237">
        <f>ROW(867:867)</f>
        <v>867</v>
      </c>
      <c r="C906" s="49">
        <f>C903+1</f>
        <v>45593</v>
      </c>
      <c r="D906" s="29">
        <f>DAY(Dati[[#This Row],[Data]])</f>
        <v>28</v>
      </c>
      <c r="E906" s="29" t="str">
        <f>IF(DAY(Data!$C$21:$C$1327)&gt;0,TEXT(Data!$C$21:$C$1327, "mmmm"),"")</f>
        <v>ottobre</v>
      </c>
      <c r="F906" s="29" t="str">
        <f>IF(DAY(Data!$C$21:$C$1327)&gt;0,TEXT(Data!$C$21:$C$1327, "aaaa"),"")</f>
        <v>2024</v>
      </c>
      <c r="I906" t="str">
        <f>IF(OR(H906=$B$5,H906=$B$6,H906=$B$7,H906=$B$8,H906=$B$9,H906=$B$10,H906=$B$11,H906=$B$12,H906=$B$13,H906=$B$14),SottocategorieUscite[[#Headers],[Fuori Casa]],IF(OR(H906=$C$5,H906=$C$6,H906=$C$7,H906=$C$8,H906=$C$9,H906=$C$10,H906=$C$11,H906=$C$12,H906=$C$13,H906=$C$14),SottocategorieUscite[[#Headers],[Varie Uscite]],IF(OR(H906=$D$5,H906=$D$6,H906=$D$7,H906=$D$8,H906=$D$9,H906=$D$10,H906=$D$11,H906=$D$12,H906=$D$13,H906=$D$14),SottocategorieUscite[[#Headers],[Personali]],IF(OR(H906=$E$5,H906=$E$6,H906=$E$7,H906=$E$8,H906=$E$9,H906=$E$10,H906=$E$11,H906=$E$12,H906=$E$13,H906=$E$14),SottocategorieUscite[[#Headers],[Lavoro]],IF(OR(H906=$F$5,H906=$F$6,H906=$F$7,H906=$F$8,H906=$F$9,H906=$F$10,H906=$F$11,H906=$F$12,H906=$F$13,H906=$F$14),SottocategorieUscite[[#Headers],[Casa]],IF(OR(H906=$G$5,H906=$G$6,H906=$G$7,H906=$G$8,H906=$G$9,H906=$G$10,H906=$G$11,H906=$G$12,H906=$G$13,H906=$G$14),SottocategorieUscite[[#Headers],[Utenze]],IF(OR(H906=$H$5,H906=$H$6,H906=$H$7,H906=$H$8,H906=$H$9,H906=$H$10,H906=$H$11,H906=$H$12,H906=$H$13,H906=$H$14),SottocategorieUscite[[#Headers],[Business Uscite]],IF(OR(H906=$I$5,H906=$I$6,H906=$I$7,H906=$I$8,H906=$I$9,H906=$I$10,H906=$I$11,H906=$I$12,H906=$I$13,H906=$I$14),SottocategorieUscite[[#Headers],[Banca]],IF(OR(H906=K$5,H906=K$6,H906=K$7,H906=K$8,H906=K$9,H906=K$10,H906=K$11,H906=K$12,H906=K$13,H906=K$14),SottocategorieEntrate[[#Headers],[Business Entrate]],IF(OR(H906=L$5,H906=L$6,H906=L$7,H906=L$8,H906=L$9,H906=L$10,H906=L$11,H906=L$12,H906=L$13,H906=L$14),SottocategorieEntrate[[#Headers],[Varie Entrate]],IF(OR(H906=M$5,H906=M$6,H906=M$7,H906=M$8,H906=M$9,H906=M$10,H906=M$11,H906=M$12,H906=M$13,H906=M$14),SottocategorieEntrate[[#Headers],[Real Estate]],IF(OR(H906=N$5,H906=N$6,H906=N$7,H906=N$8,H906=N$9,H906=N$10,H906=N$11,H906=N$12,H906=N$13,H906=N$14),SottocategorieEntrate[[#Headers],[Other]],""))))))))))))</f>
        <v/>
      </c>
      <c r="J906" t="str">
        <f>IF(OR(Dati[[#This Row],[Categoria]]="Bollette",Dati[[#This Row],[Categoria]]="Conto &amp; Carte BNL",Dati[[#This Row],[Categoria]]="Prelievo",Dati[[#This Row],[Categoria]]="Affitto",Dati[[#This Row],[Categoria]]="BNL(Interessi Creditori)"),"Carta",IF(Dati[[#This Row],[Categoria]]&lt;&gt;0,"Cash",""))</f>
        <v/>
      </c>
      <c r="K906" s="59" t="str">
        <f>IF(OR(Data!$I906=SottocategorieUscite[[#Headers],[Fuori Casa]],Data!$I906=SottocategorieUscite[[#Headers],[Varie Uscite]],Data!$I906=SottocategorieUscite[[#Headers],[Personali]],Data!$I906=SottocategorieUscite[[#Headers],[Lavoro]]),"$ -","")</f>
        <v/>
      </c>
      <c r="L906" s="59" t="str">
        <f>IF(OR(Data!$I906=SottocategorieUscite[[#Headers],[Casa]],Data!$I906=SottocategorieUscite[[#Headers],[Utenze]],Data!$I906=SottocategorieUscite[[#Headers],[Business Uscite]],Data!$I906=SottocategorieUscite[[#Headers],[Banca]]),"$ -","")</f>
        <v/>
      </c>
      <c r="M906" s="59" t="str">
        <f>IF(OR($I906&lt;&gt;SottocategorieUscite[[#Headers],[Fuori Casa]],$I906&lt;&gt;SottocategorieUscite[[#Headers],[Varie Uscite]],$I906&lt;&gt;SottocategorieUscite[[#Headers],[Personali]],$I906&lt;&gt;SottocategorieUscite[[#Headers],[Lavoro]],$I906&lt;&gt;SottocategorieUscite[[#Headers],[Casa]],$I906&lt;&gt;SottocategorieUscite[[#Headers],[Utenze]],$I906&lt;&gt;SottocategorieUscite[[#Headers],[Business Uscite]],$I906&lt;&gt;SottocategorieUscite[[#Headers],[Banca]]),"","$ -")</f>
        <v/>
      </c>
      <c r="N906" s="59" t="str">
        <f>IF(OR(Data!$I906=SottocategorieEntrate[[#Headers],[Business Entrate]],Data!$I906=SottocategorieEntrate[[#Headers],[Varie Entrate]]),"$ -","")</f>
        <v/>
      </c>
      <c r="O906" s="59" t="str">
        <f>IF(OR(Data!$I906=SottocategorieEntrate[[#Headers],[Real Estate]],SottocategorieEntrate[[#Headers],[Other]]),"$ -","")</f>
        <v/>
      </c>
      <c r="P906" s="59" t="str">
        <f>IF(OR($I906&lt;&gt;SottocategorieEntrate[[#Headers],[Business Entrate]],$I906&lt;&gt;SottocategorieEntrate[[#Headers],[Varie Entrate]],$I906&lt;&gt;SottocategorieEntrate[[#Headers],[Real Estate]],$I906&lt;&gt;SottocategorieEntrate[[#Headers],[Other]]),"","$ -")</f>
        <v/>
      </c>
      <c r="Q906" s="59" t="str">
        <f>IF(Dati[[#This Row],[Categoria]]="Prelievo","€ -","")</f>
        <v/>
      </c>
      <c r="R906" s="244"/>
      <c r="S906" s="59" t="str">
        <f>IF(Dati[[#This Row],[Categoria]]="Savings",0,"")</f>
        <v/>
      </c>
      <c r="T906" s="59"/>
      <c r="U906" s="59"/>
      <c r="V906" s="59"/>
      <c r="W906" s="59"/>
      <c r="X906" s="59"/>
      <c r="Y906" s="59"/>
      <c r="Z906" s="59"/>
      <c r="AA906" s="59"/>
      <c r="AB906" s="59"/>
      <c r="AC906" s="59"/>
      <c r="AD906" s="59"/>
      <c r="AE906" s="59"/>
      <c r="AF906" s="59"/>
      <c r="AG906" s="59"/>
      <c r="AH906" s="59"/>
      <c r="AI906" s="59" t="str">
        <f>IF(SUM(Dati[[#This Row],[Inv. Business]:[Inv. Cryptocurrency]])=0," ",SUM(Dati[[#This Row],[Inv. Business]:[Inv. Cryptocurrency]]))</f>
        <v xml:space="preserve"> </v>
      </c>
      <c r="AJ906" s="59"/>
      <c r="AK906" s="59"/>
      <c r="AL906" s="59"/>
      <c r="AM906" s="59"/>
    </row>
    <row r="907" spans="2:39" x14ac:dyDescent="0.35">
      <c r="B907" s="237">
        <f>ROW(868:868)</f>
        <v>868</v>
      </c>
      <c r="C907" s="49">
        <f>C904+1</f>
        <v>45594</v>
      </c>
      <c r="D907" s="29">
        <f>DAY(Dati[[#This Row],[Data]])</f>
        <v>29</v>
      </c>
      <c r="E907" s="29" t="str">
        <f>IF(DAY(Data!$C$21:$C$1327)&gt;0,TEXT(Data!$C$21:$C$1327, "mmmm"),"")</f>
        <v>ottobre</v>
      </c>
      <c r="F907" s="29" t="str">
        <f>IF(DAY(Data!$C$21:$C$1327)&gt;0,TEXT(Data!$C$21:$C$1327, "aaaa"),"")</f>
        <v>2024</v>
      </c>
      <c r="I907" t="str">
        <f>IF(OR(H907=$B$5,H907=$B$6,H907=$B$7,H907=$B$8,H907=$B$9,H907=$B$10,H907=$B$11,H907=$B$12,H907=$B$13,H907=$B$14),SottocategorieUscite[[#Headers],[Fuori Casa]],IF(OR(H907=$C$5,H907=$C$6,H907=$C$7,H907=$C$8,H907=$C$9,H907=$C$10,H907=$C$11,H907=$C$12,H907=$C$13,H907=$C$14),SottocategorieUscite[[#Headers],[Varie Uscite]],IF(OR(H907=$D$5,H907=$D$6,H907=$D$7,H907=$D$8,H907=$D$9,H907=$D$10,H907=$D$11,H907=$D$12,H907=$D$13,H907=$D$14),SottocategorieUscite[[#Headers],[Personali]],IF(OR(H907=$E$5,H907=$E$6,H907=$E$7,H907=$E$8,H907=$E$9,H907=$E$10,H907=$E$11,H907=$E$12,H907=$E$13,H907=$E$14),SottocategorieUscite[[#Headers],[Lavoro]],IF(OR(H907=$F$5,H907=$F$6,H907=$F$7,H907=$F$8,H907=$F$9,H907=$F$10,H907=$F$11,H907=$F$12,H907=$F$13,H907=$F$14),SottocategorieUscite[[#Headers],[Casa]],IF(OR(H907=$G$5,H907=$G$6,H907=$G$7,H907=$G$8,H907=$G$9,H907=$G$10,H907=$G$11,H907=$G$12,H907=$G$13,H907=$G$14),SottocategorieUscite[[#Headers],[Utenze]],IF(OR(H907=$H$5,H907=$H$6,H907=$H$7,H907=$H$8,H907=$H$9,H907=$H$10,H907=$H$11,H907=$H$12,H907=$H$13,H907=$H$14),SottocategorieUscite[[#Headers],[Business Uscite]],IF(OR(H907=$I$5,H907=$I$6,H907=$I$7,H907=$I$8,H907=$I$9,H907=$I$10,H907=$I$11,H907=$I$12,H907=$I$13,H907=$I$14),SottocategorieUscite[[#Headers],[Banca]],IF(OR(H907=K$5,H907=K$6,H907=K$7,H907=K$8,H907=K$9,H907=K$10,H907=K$11,H907=K$12,H907=K$13,H907=K$14),SottocategorieEntrate[[#Headers],[Business Entrate]],IF(OR(H907=L$5,H907=L$6,H907=L$7,H907=L$8,H907=L$9,H907=L$10,H907=L$11,H907=L$12,H907=L$13,H907=L$14),SottocategorieEntrate[[#Headers],[Varie Entrate]],IF(OR(H907=M$5,H907=M$6,H907=M$7,H907=M$8,H907=M$9,H907=M$10,H907=M$11,H907=M$12,H907=M$13,H907=M$14),SottocategorieEntrate[[#Headers],[Real Estate]],IF(OR(H907=N$5,H907=N$6,H907=N$7,H907=N$8,H907=N$9,H907=N$10,H907=N$11,H907=N$12,H907=N$13,H907=N$14),SottocategorieEntrate[[#Headers],[Other]],""))))))))))))</f>
        <v/>
      </c>
      <c r="J907" t="str">
        <f>IF(OR(Dati[[#This Row],[Categoria]]="Bollette",Dati[[#This Row],[Categoria]]="Conto &amp; Carte BNL",Dati[[#This Row],[Categoria]]="Prelievo",Dati[[#This Row],[Categoria]]="Affitto",Dati[[#This Row],[Categoria]]="BNL(Interessi Creditori)"),"Carta",IF(Dati[[#This Row],[Categoria]]&lt;&gt;0,"Cash",""))</f>
        <v/>
      </c>
      <c r="K907" s="59" t="str">
        <f>IF(OR(Data!$I907=SottocategorieUscite[[#Headers],[Fuori Casa]],Data!$I907=SottocategorieUscite[[#Headers],[Varie Uscite]],Data!$I907=SottocategorieUscite[[#Headers],[Personali]],Data!$I907=SottocategorieUscite[[#Headers],[Lavoro]]),"$ -","")</f>
        <v/>
      </c>
      <c r="L907" s="59" t="str">
        <f>IF(OR(Data!$I907=SottocategorieUscite[[#Headers],[Casa]],Data!$I907=SottocategorieUscite[[#Headers],[Utenze]],Data!$I907=SottocategorieUscite[[#Headers],[Business Uscite]],Data!$I907=SottocategorieUscite[[#Headers],[Banca]]),"$ -","")</f>
        <v/>
      </c>
      <c r="M907" s="59" t="str">
        <f>IF(OR($I907&lt;&gt;SottocategorieUscite[[#Headers],[Fuori Casa]],$I907&lt;&gt;SottocategorieUscite[[#Headers],[Varie Uscite]],$I907&lt;&gt;SottocategorieUscite[[#Headers],[Personali]],$I907&lt;&gt;SottocategorieUscite[[#Headers],[Lavoro]],$I907&lt;&gt;SottocategorieUscite[[#Headers],[Casa]],$I907&lt;&gt;SottocategorieUscite[[#Headers],[Utenze]],$I907&lt;&gt;SottocategorieUscite[[#Headers],[Business Uscite]],$I907&lt;&gt;SottocategorieUscite[[#Headers],[Banca]]),"","$ -")</f>
        <v/>
      </c>
      <c r="N907" s="59" t="str">
        <f>IF(OR(Data!$I907=SottocategorieEntrate[[#Headers],[Business Entrate]],Data!$I907=SottocategorieEntrate[[#Headers],[Varie Entrate]]),"$ -","")</f>
        <v/>
      </c>
      <c r="O907" s="59" t="str">
        <f>IF(OR(Data!$I907=SottocategorieEntrate[[#Headers],[Real Estate]],SottocategorieEntrate[[#Headers],[Other]]),"$ -","")</f>
        <v/>
      </c>
      <c r="P907" s="59" t="str">
        <f>IF(OR($I907&lt;&gt;SottocategorieEntrate[[#Headers],[Business Entrate]],$I907&lt;&gt;SottocategorieEntrate[[#Headers],[Varie Entrate]],$I907&lt;&gt;SottocategorieEntrate[[#Headers],[Real Estate]],$I907&lt;&gt;SottocategorieEntrate[[#Headers],[Other]]),"","$ -")</f>
        <v/>
      </c>
      <c r="Q907" s="59" t="str">
        <f>IF(Dati[[#This Row],[Categoria]]="Prelievo","€ -","")</f>
        <v/>
      </c>
      <c r="R907" s="244"/>
      <c r="S907" s="59" t="str">
        <f>IF(Dati[[#This Row],[Categoria]]="Savings",0,"")</f>
        <v/>
      </c>
      <c r="T907" s="59"/>
      <c r="U907" s="59"/>
      <c r="V907" s="59"/>
      <c r="W907" s="59"/>
      <c r="X907" s="59"/>
      <c r="Y907" s="59"/>
      <c r="Z907" s="59"/>
      <c r="AA907" s="59"/>
      <c r="AB907" s="59"/>
      <c r="AC907" s="59"/>
      <c r="AD907" s="59"/>
      <c r="AE907" s="59"/>
      <c r="AF907" s="59"/>
      <c r="AG907" s="59"/>
      <c r="AH907" s="59"/>
      <c r="AI907" s="59" t="str">
        <f>IF(SUM(Dati[[#This Row],[Inv. Business]:[Inv. Cryptocurrency]])=0," ",SUM(Dati[[#This Row],[Inv. Business]:[Inv. Cryptocurrency]]))</f>
        <v xml:space="preserve"> </v>
      </c>
      <c r="AJ907" s="59"/>
      <c r="AK907" s="59"/>
      <c r="AL907" s="59"/>
      <c r="AM907" s="59"/>
    </row>
    <row r="908" spans="2:39" x14ac:dyDescent="0.35">
      <c r="B908" s="237">
        <f>ROW(870:870)</f>
        <v>870</v>
      </c>
      <c r="C908" s="49">
        <f t="shared" si="48"/>
        <v>45595</v>
      </c>
      <c r="D908" s="29">
        <f>DAY(Dati[[#This Row],[Data]])</f>
        <v>30</v>
      </c>
      <c r="E908" s="29" t="str">
        <f>IF(DAY(Data!$C$21:$C$1327)&gt;0,TEXT(Data!$C$21:$C$1327, "mmmm"),"")</f>
        <v>ottobre</v>
      </c>
      <c r="F908" s="29" t="str">
        <f>IF(DAY(Data!$C$21:$C$1327)&gt;0,TEXT(Data!$C$21:$C$1327, "aaaa"),"")</f>
        <v>2024</v>
      </c>
      <c r="I908" t="str">
        <f>IF(OR(H908=$B$5,H908=$B$6,H908=$B$7,H908=$B$8,H908=$B$9,H908=$B$10,H908=$B$11,H908=$B$12,H908=$B$13,H908=$B$14),SottocategorieUscite[[#Headers],[Fuori Casa]],IF(OR(H908=$C$5,H908=$C$6,H908=$C$7,H908=$C$8,H908=$C$9,H908=$C$10,H908=$C$11,H908=$C$12,H908=$C$13,H908=$C$14),SottocategorieUscite[[#Headers],[Varie Uscite]],IF(OR(H908=$D$5,H908=$D$6,H908=$D$7,H908=$D$8,H908=$D$9,H908=$D$10,H908=$D$11,H908=$D$12,H908=$D$13,H908=$D$14),SottocategorieUscite[[#Headers],[Personali]],IF(OR(H908=$E$5,H908=$E$6,H908=$E$7,H908=$E$8,H908=$E$9,H908=$E$10,H908=$E$11,H908=$E$12,H908=$E$13,H908=$E$14),SottocategorieUscite[[#Headers],[Lavoro]],IF(OR(H908=$F$5,H908=$F$6,H908=$F$7,H908=$F$8,H908=$F$9,H908=$F$10,H908=$F$11,H908=$F$12,H908=$F$13,H908=$F$14),SottocategorieUscite[[#Headers],[Casa]],IF(OR(H908=$G$5,H908=$G$6,H908=$G$7,H908=$G$8,H908=$G$9,H908=$G$10,H908=$G$11,H908=$G$12,H908=$G$13,H908=$G$14),SottocategorieUscite[[#Headers],[Utenze]],IF(OR(H908=$H$5,H908=$H$6,H908=$H$7,H908=$H$8,H908=$H$9,H908=$H$10,H908=$H$11,H908=$H$12,H908=$H$13,H908=$H$14),SottocategorieUscite[[#Headers],[Business Uscite]],IF(OR(H908=$I$5,H908=$I$6,H908=$I$7,H908=$I$8,H908=$I$9,H908=$I$10,H908=$I$11,H908=$I$12,H908=$I$13,H908=$I$14),SottocategorieUscite[[#Headers],[Banca]],IF(OR(H908=K$5,H908=K$6,H908=K$7,H908=K$8,H908=K$9,H908=K$10,H908=K$11,H908=K$12,H908=K$13,H908=K$14),SottocategorieEntrate[[#Headers],[Business Entrate]],IF(OR(H908=L$5,H908=L$6,H908=L$7,H908=L$8,H908=L$9,H908=L$10,H908=L$11,H908=L$12,H908=L$13,H908=L$14),SottocategorieEntrate[[#Headers],[Varie Entrate]],IF(OR(H908=M$5,H908=M$6,H908=M$7,H908=M$8,H908=M$9,H908=M$10,H908=M$11,H908=M$12,H908=M$13,H908=M$14),SottocategorieEntrate[[#Headers],[Real Estate]],IF(OR(H908=N$5,H908=N$6,H908=N$7,H908=N$8,H908=N$9,H908=N$10,H908=N$11,H908=N$12,H908=N$13,H908=N$14),SottocategorieEntrate[[#Headers],[Other]],""))))))))))))</f>
        <v/>
      </c>
      <c r="J908" t="str">
        <f>IF(OR(Dati[[#This Row],[Categoria]]="Bollette",Dati[[#This Row],[Categoria]]="Conto &amp; Carte BNL",Dati[[#This Row],[Categoria]]="Prelievo",Dati[[#This Row],[Categoria]]="Affitto",Dati[[#This Row],[Categoria]]="BNL(Interessi Creditori)"),"Carta",IF(Dati[[#This Row],[Categoria]]&lt;&gt;0,"Cash",""))</f>
        <v/>
      </c>
      <c r="K908" s="59" t="str">
        <f>IF(OR(Data!$I908=SottocategorieUscite[[#Headers],[Fuori Casa]],Data!$I908=SottocategorieUscite[[#Headers],[Varie Uscite]],Data!$I908=SottocategorieUscite[[#Headers],[Personali]],Data!$I908=SottocategorieUscite[[#Headers],[Lavoro]]),"$ -","")</f>
        <v/>
      </c>
      <c r="L908" s="59" t="str">
        <f>IF(OR(Data!$I908=SottocategorieUscite[[#Headers],[Casa]],Data!$I908=SottocategorieUscite[[#Headers],[Utenze]],Data!$I908=SottocategorieUscite[[#Headers],[Business Uscite]],Data!$I908=SottocategorieUscite[[#Headers],[Banca]]),"$ -","")</f>
        <v/>
      </c>
      <c r="M908" s="59" t="str">
        <f>IF(OR($I908&lt;&gt;SottocategorieUscite[[#Headers],[Fuori Casa]],$I908&lt;&gt;SottocategorieUscite[[#Headers],[Varie Uscite]],$I908&lt;&gt;SottocategorieUscite[[#Headers],[Personali]],$I908&lt;&gt;SottocategorieUscite[[#Headers],[Lavoro]],$I908&lt;&gt;SottocategorieUscite[[#Headers],[Casa]],$I908&lt;&gt;SottocategorieUscite[[#Headers],[Utenze]],$I908&lt;&gt;SottocategorieUscite[[#Headers],[Business Uscite]],$I908&lt;&gt;SottocategorieUscite[[#Headers],[Banca]]),"","$ -")</f>
        <v/>
      </c>
      <c r="N908" s="59" t="str">
        <f>IF(OR(Data!$I908=SottocategorieEntrate[[#Headers],[Business Entrate]],Data!$I908=SottocategorieEntrate[[#Headers],[Varie Entrate]]),"$ -","")</f>
        <v/>
      </c>
      <c r="O908" s="59" t="str">
        <f>IF(OR(Data!$I908=SottocategorieEntrate[[#Headers],[Real Estate]],SottocategorieEntrate[[#Headers],[Other]]),"$ -","")</f>
        <v/>
      </c>
      <c r="P908" s="59" t="str">
        <f>IF(OR($I908&lt;&gt;SottocategorieEntrate[[#Headers],[Business Entrate]],$I908&lt;&gt;SottocategorieEntrate[[#Headers],[Varie Entrate]],$I908&lt;&gt;SottocategorieEntrate[[#Headers],[Real Estate]],$I908&lt;&gt;SottocategorieEntrate[[#Headers],[Other]]),"","$ -")</f>
        <v/>
      </c>
      <c r="Q908" s="59" t="str">
        <f>IF(Dati[[#This Row],[Categoria]]="Prelievo","€ -","")</f>
        <v/>
      </c>
      <c r="R908" s="244"/>
      <c r="S908" s="59" t="str">
        <f>IF(Dati[[#This Row],[Categoria]]="Savings",0,"")</f>
        <v/>
      </c>
      <c r="T908" s="59"/>
      <c r="U908" s="59"/>
      <c r="V908" s="59"/>
      <c r="W908" s="59"/>
      <c r="X908" s="59"/>
      <c r="Y908" s="59"/>
      <c r="Z908" s="59"/>
      <c r="AA908" s="59"/>
      <c r="AB908" s="59"/>
      <c r="AC908" s="59"/>
      <c r="AD908" s="59"/>
      <c r="AE908" s="59"/>
      <c r="AF908" s="59"/>
      <c r="AG908" s="59"/>
      <c r="AH908" s="59"/>
      <c r="AI908" s="59" t="str">
        <f>IF(SUM(Dati[[#This Row],[Inv. Business]:[Inv. Cryptocurrency]])=0," ",SUM(Dati[[#This Row],[Inv. Business]:[Inv. Cryptocurrency]]))</f>
        <v xml:space="preserve"> </v>
      </c>
      <c r="AJ908" s="59"/>
      <c r="AK908" s="59"/>
      <c r="AL908" s="59"/>
      <c r="AM908" s="59"/>
    </row>
    <row r="909" spans="2:39" x14ac:dyDescent="0.35">
      <c r="B909" s="237">
        <f>ROW(875:875)</f>
        <v>875</v>
      </c>
      <c r="C909" s="49">
        <f t="shared" si="48"/>
        <v>45596</v>
      </c>
      <c r="D909" s="29">
        <f>DAY(Dati[[#This Row],[Data]])</f>
        <v>31</v>
      </c>
      <c r="E909" s="29" t="str">
        <f>IF(DAY(Data!$C$21:$C$1327)&gt;0,TEXT(Data!$C$21:$C$1327, "mmmm"),"")</f>
        <v>ottobre</v>
      </c>
      <c r="F909" s="29" t="str">
        <f>IF(DAY(Data!$C$21:$C$1327)&gt;0,TEXT(Data!$C$21:$C$1327, "aaaa"),"")</f>
        <v>2024</v>
      </c>
      <c r="I909" t="str">
        <f>IF(OR(H909=$B$5,H909=$B$6,H909=$B$7,H909=$B$8,H909=$B$9,H909=$B$10,H909=$B$11,H909=$B$12,H909=$B$13,H909=$B$14),SottocategorieUscite[[#Headers],[Fuori Casa]],IF(OR(H909=$C$5,H909=$C$6,H909=$C$7,H909=$C$8,H909=$C$9,H909=$C$10,H909=$C$11,H909=$C$12,H909=$C$13,H909=$C$14),SottocategorieUscite[[#Headers],[Varie Uscite]],IF(OR(H909=$D$5,H909=$D$6,H909=$D$7,H909=$D$8,H909=$D$9,H909=$D$10,H909=$D$11,H909=$D$12,H909=$D$13,H909=$D$14),SottocategorieUscite[[#Headers],[Personali]],IF(OR(H909=$E$5,H909=$E$6,H909=$E$7,H909=$E$8,H909=$E$9,H909=$E$10,H909=$E$11,H909=$E$12,H909=$E$13,H909=$E$14),SottocategorieUscite[[#Headers],[Lavoro]],IF(OR(H909=$F$5,H909=$F$6,H909=$F$7,H909=$F$8,H909=$F$9,H909=$F$10,H909=$F$11,H909=$F$12,H909=$F$13,H909=$F$14),SottocategorieUscite[[#Headers],[Casa]],IF(OR(H909=$G$5,H909=$G$6,H909=$G$7,H909=$G$8,H909=$G$9,H909=$G$10,H909=$G$11,H909=$G$12,H909=$G$13,H909=$G$14),SottocategorieUscite[[#Headers],[Utenze]],IF(OR(H909=$H$5,H909=$H$6,H909=$H$7,H909=$H$8,H909=$H$9,H909=$H$10,H909=$H$11,H909=$H$12,H909=$H$13,H909=$H$14),SottocategorieUscite[[#Headers],[Business Uscite]],IF(OR(H909=$I$5,H909=$I$6,H909=$I$7,H909=$I$8,H909=$I$9,H909=$I$10,H909=$I$11,H909=$I$12,H909=$I$13,H909=$I$14),SottocategorieUscite[[#Headers],[Banca]],IF(OR(H909=K$5,H909=K$6,H909=K$7,H909=K$8,H909=K$9,H909=K$10,H909=K$11,H909=K$12,H909=K$13,H909=K$14),SottocategorieEntrate[[#Headers],[Business Entrate]],IF(OR(H909=L$5,H909=L$6,H909=L$7,H909=L$8,H909=L$9,H909=L$10,H909=L$11,H909=L$12,H909=L$13,H909=L$14),SottocategorieEntrate[[#Headers],[Varie Entrate]],IF(OR(H909=M$5,H909=M$6,H909=M$7,H909=M$8,H909=M$9,H909=M$10,H909=M$11,H909=M$12,H909=M$13,H909=M$14),SottocategorieEntrate[[#Headers],[Real Estate]],IF(OR(H909=N$5,H909=N$6,H909=N$7,H909=N$8,H909=N$9,H909=N$10,H909=N$11,H909=N$12,H909=N$13,H909=N$14),SottocategorieEntrate[[#Headers],[Other]],""))))))))))))</f>
        <v/>
      </c>
      <c r="J909" t="str">
        <f>IF(OR(Dati[[#This Row],[Categoria]]="Bollette",Dati[[#This Row],[Categoria]]="Conto &amp; Carte BNL",Dati[[#This Row],[Categoria]]="Prelievo",Dati[[#This Row],[Categoria]]="Affitto",Dati[[#This Row],[Categoria]]="BNL(Interessi Creditori)"),"Carta",IF(Dati[[#This Row],[Categoria]]&lt;&gt;0,"Cash",""))</f>
        <v/>
      </c>
      <c r="K909" s="59" t="str">
        <f>IF(OR(Data!$I909=SottocategorieUscite[[#Headers],[Fuori Casa]],Data!$I909=SottocategorieUscite[[#Headers],[Varie Uscite]],Data!$I909=SottocategorieUscite[[#Headers],[Personali]],Data!$I909=SottocategorieUscite[[#Headers],[Lavoro]]),"$ -","")</f>
        <v/>
      </c>
      <c r="L909" s="59" t="str">
        <f>IF(OR(Data!$I909=SottocategorieUscite[[#Headers],[Casa]],Data!$I909=SottocategorieUscite[[#Headers],[Utenze]],Data!$I909=SottocategorieUscite[[#Headers],[Business Uscite]],Data!$I909=SottocategorieUscite[[#Headers],[Banca]]),"$ -","")</f>
        <v/>
      </c>
      <c r="M909" s="59" t="str">
        <f>IF(OR($I909&lt;&gt;SottocategorieUscite[[#Headers],[Fuori Casa]],$I909&lt;&gt;SottocategorieUscite[[#Headers],[Varie Uscite]],$I909&lt;&gt;SottocategorieUscite[[#Headers],[Personali]],$I909&lt;&gt;SottocategorieUscite[[#Headers],[Lavoro]],$I909&lt;&gt;SottocategorieUscite[[#Headers],[Casa]],$I909&lt;&gt;SottocategorieUscite[[#Headers],[Utenze]],$I909&lt;&gt;SottocategorieUscite[[#Headers],[Business Uscite]],$I909&lt;&gt;SottocategorieUscite[[#Headers],[Banca]]),"","$ -")</f>
        <v/>
      </c>
      <c r="N909" s="59" t="str">
        <f>IF(OR(Data!$I909=SottocategorieEntrate[[#Headers],[Business Entrate]],Data!$I909=SottocategorieEntrate[[#Headers],[Varie Entrate]]),"$ -","")</f>
        <v/>
      </c>
      <c r="O909" s="59" t="str">
        <f>IF(OR(Data!$I909=SottocategorieEntrate[[#Headers],[Real Estate]],SottocategorieEntrate[[#Headers],[Other]]),"$ -","")</f>
        <v/>
      </c>
      <c r="P909" s="59" t="str">
        <f>IF(OR($I909&lt;&gt;SottocategorieEntrate[[#Headers],[Business Entrate]],$I909&lt;&gt;SottocategorieEntrate[[#Headers],[Varie Entrate]],$I909&lt;&gt;SottocategorieEntrate[[#Headers],[Real Estate]],$I909&lt;&gt;SottocategorieEntrate[[#Headers],[Other]]),"","$ -")</f>
        <v/>
      </c>
      <c r="Q909" s="59" t="str">
        <f>IF(Dati[[#This Row],[Categoria]]="Prelievo","€ -","")</f>
        <v/>
      </c>
      <c r="R909" s="244"/>
      <c r="S909" s="59" t="str">
        <f>IF(Dati[[#This Row],[Categoria]]="Savings",0,"")</f>
        <v/>
      </c>
      <c r="T909" s="59"/>
      <c r="U909" s="59"/>
      <c r="V909" s="59"/>
      <c r="W909" s="59"/>
      <c r="X909" s="59"/>
      <c r="Y909" s="59"/>
      <c r="Z909" s="59"/>
      <c r="AA909" s="59"/>
      <c r="AB909" s="59"/>
      <c r="AC909" s="59"/>
      <c r="AD909" s="59"/>
      <c r="AE909" s="59"/>
      <c r="AF909" s="59"/>
      <c r="AG909" s="59"/>
      <c r="AH909" s="59"/>
      <c r="AI909" s="59" t="str">
        <f>IF(SUM(Dati[[#This Row],[Inv. Business]:[Inv. Cryptocurrency]])=0," ",SUM(Dati[[#This Row],[Inv. Business]:[Inv. Cryptocurrency]]))</f>
        <v xml:space="preserve"> </v>
      </c>
      <c r="AJ909" s="59"/>
      <c r="AK909" s="59"/>
      <c r="AL909" s="59"/>
      <c r="AM909" s="59"/>
    </row>
    <row r="910" spans="2:39" x14ac:dyDescent="0.35">
      <c r="B910" s="237">
        <f>ROW(878:878)</f>
        <v>878</v>
      </c>
      <c r="C910" s="49">
        <f t="shared" si="48"/>
        <v>45597</v>
      </c>
      <c r="D910" s="29">
        <f>DAY(Dati[[#This Row],[Data]])</f>
        <v>1</v>
      </c>
      <c r="E910" s="29" t="str">
        <f>IF(DAY(Data!$C$21:$C$1327)&gt;0,TEXT(Data!$C$21:$C$1327, "mmmm"),"")</f>
        <v>novembre</v>
      </c>
      <c r="F910" s="29" t="str">
        <f>IF(DAY(Data!$C$21:$C$1327)&gt;0,TEXT(Data!$C$21:$C$1327, "aaaa"),"")</f>
        <v>2024</v>
      </c>
      <c r="I910" t="str">
        <f>IF(OR(H910=$B$5,H910=$B$6,H910=$B$7,H910=$B$8,H910=$B$9,H910=$B$10,H910=$B$11,H910=$B$12,H910=$B$13,H910=$B$14),SottocategorieUscite[[#Headers],[Fuori Casa]],IF(OR(H910=$C$5,H910=$C$6,H910=$C$7,H910=$C$8,H910=$C$9,H910=$C$10,H910=$C$11,H910=$C$12,H910=$C$13,H910=$C$14),SottocategorieUscite[[#Headers],[Varie Uscite]],IF(OR(H910=$D$5,H910=$D$6,H910=$D$7,H910=$D$8,H910=$D$9,H910=$D$10,H910=$D$11,H910=$D$12,H910=$D$13,H910=$D$14),SottocategorieUscite[[#Headers],[Personali]],IF(OR(H910=$E$5,H910=$E$6,H910=$E$7,H910=$E$8,H910=$E$9,H910=$E$10,H910=$E$11,H910=$E$12,H910=$E$13,H910=$E$14),SottocategorieUscite[[#Headers],[Lavoro]],IF(OR(H910=$F$5,H910=$F$6,H910=$F$7,H910=$F$8,H910=$F$9,H910=$F$10,H910=$F$11,H910=$F$12,H910=$F$13,H910=$F$14),SottocategorieUscite[[#Headers],[Casa]],IF(OR(H910=$G$5,H910=$G$6,H910=$G$7,H910=$G$8,H910=$G$9,H910=$G$10,H910=$G$11,H910=$G$12,H910=$G$13,H910=$G$14),SottocategorieUscite[[#Headers],[Utenze]],IF(OR(H910=$H$5,H910=$H$6,H910=$H$7,H910=$H$8,H910=$H$9,H910=$H$10,H910=$H$11,H910=$H$12,H910=$H$13,H910=$H$14),SottocategorieUscite[[#Headers],[Business Uscite]],IF(OR(H910=$I$5,H910=$I$6,H910=$I$7,H910=$I$8,H910=$I$9,H910=$I$10,H910=$I$11,H910=$I$12,H910=$I$13,H910=$I$14),SottocategorieUscite[[#Headers],[Banca]],IF(OR(H910=K$5,H910=K$6,H910=K$7,H910=K$8,H910=K$9,H910=K$10,H910=K$11,H910=K$12,H910=K$13,H910=K$14),SottocategorieEntrate[[#Headers],[Business Entrate]],IF(OR(H910=L$5,H910=L$6,H910=L$7,H910=L$8,H910=L$9,H910=L$10,H910=L$11,H910=L$12,H910=L$13,H910=L$14),SottocategorieEntrate[[#Headers],[Varie Entrate]],IF(OR(H910=M$5,H910=M$6,H910=M$7,H910=M$8,H910=M$9,H910=M$10,H910=M$11,H910=M$12,H910=M$13,H910=M$14),SottocategorieEntrate[[#Headers],[Real Estate]],IF(OR(H910=N$5,H910=N$6,H910=N$7,H910=N$8,H910=N$9,H910=N$10,H910=N$11,H910=N$12,H910=N$13,H910=N$14),SottocategorieEntrate[[#Headers],[Other]],""))))))))))))</f>
        <v/>
      </c>
      <c r="J910" t="str">
        <f>IF(OR(Dati[[#This Row],[Categoria]]="Bollette",Dati[[#This Row],[Categoria]]="Conto &amp; Carte BNL",Dati[[#This Row],[Categoria]]="Prelievo",Dati[[#This Row],[Categoria]]="Affitto",Dati[[#This Row],[Categoria]]="BNL(Interessi Creditori)"),"Carta",IF(Dati[[#This Row],[Categoria]]&lt;&gt;0,"Cash",""))</f>
        <v/>
      </c>
      <c r="K910" s="59" t="str">
        <f>IF(OR(Data!$I910=SottocategorieUscite[[#Headers],[Fuori Casa]],Data!$I910=SottocategorieUscite[[#Headers],[Varie Uscite]],Data!$I910=SottocategorieUscite[[#Headers],[Personali]],Data!$I910=SottocategorieUscite[[#Headers],[Lavoro]]),"$ -","")</f>
        <v/>
      </c>
      <c r="L910" s="59" t="str">
        <f>IF(OR(Data!$I910=SottocategorieUscite[[#Headers],[Casa]],Data!$I910=SottocategorieUscite[[#Headers],[Utenze]],Data!$I910=SottocategorieUscite[[#Headers],[Business Uscite]],Data!$I910=SottocategorieUscite[[#Headers],[Banca]]),"$ -","")</f>
        <v/>
      </c>
      <c r="M910" s="59" t="str">
        <f>IF(OR($I910&lt;&gt;SottocategorieUscite[[#Headers],[Fuori Casa]],$I910&lt;&gt;SottocategorieUscite[[#Headers],[Varie Uscite]],$I910&lt;&gt;SottocategorieUscite[[#Headers],[Personali]],$I910&lt;&gt;SottocategorieUscite[[#Headers],[Lavoro]],$I910&lt;&gt;SottocategorieUscite[[#Headers],[Casa]],$I910&lt;&gt;SottocategorieUscite[[#Headers],[Utenze]],$I910&lt;&gt;SottocategorieUscite[[#Headers],[Business Uscite]],$I910&lt;&gt;SottocategorieUscite[[#Headers],[Banca]]),"","$ -")</f>
        <v/>
      </c>
      <c r="N910" s="59" t="str">
        <f>IF(OR(Data!$I910=SottocategorieEntrate[[#Headers],[Business Entrate]],Data!$I910=SottocategorieEntrate[[#Headers],[Varie Entrate]]),"$ -","")</f>
        <v/>
      </c>
      <c r="O910" s="59" t="str">
        <f>IF(OR(Data!$I910=SottocategorieEntrate[[#Headers],[Real Estate]],SottocategorieEntrate[[#Headers],[Other]]),"$ -","")</f>
        <v/>
      </c>
      <c r="P910" s="59" t="str">
        <f>IF(OR($I910&lt;&gt;SottocategorieEntrate[[#Headers],[Business Entrate]],$I910&lt;&gt;SottocategorieEntrate[[#Headers],[Varie Entrate]],$I910&lt;&gt;SottocategorieEntrate[[#Headers],[Real Estate]],$I910&lt;&gt;SottocategorieEntrate[[#Headers],[Other]]),"","$ -")</f>
        <v/>
      </c>
      <c r="Q910" s="59" t="str">
        <f>IF(Dati[[#This Row],[Categoria]]="Prelievo","€ -","")</f>
        <v/>
      </c>
      <c r="R910" s="244"/>
      <c r="S910" s="59" t="str">
        <f>IF(Dati[[#This Row],[Categoria]]="Savings",0,"")</f>
        <v/>
      </c>
      <c r="T910" s="59"/>
      <c r="U910" s="59"/>
      <c r="V910" s="59"/>
      <c r="W910" s="59"/>
      <c r="X910" s="59"/>
      <c r="Y910" s="59"/>
      <c r="Z910" s="59"/>
      <c r="AA910" s="59"/>
      <c r="AB910" s="59"/>
      <c r="AC910" s="59"/>
      <c r="AD910" s="59"/>
      <c r="AE910" s="59"/>
      <c r="AF910" s="59"/>
      <c r="AG910" s="59"/>
      <c r="AH910" s="59"/>
      <c r="AI910" s="59" t="str">
        <f>IF(SUM(Dati[[#This Row],[Inv. Business]:[Inv. Cryptocurrency]])=0," ",SUM(Dati[[#This Row],[Inv. Business]:[Inv. Cryptocurrency]]))</f>
        <v xml:space="preserve"> </v>
      </c>
      <c r="AJ910" s="59"/>
      <c r="AK910" s="59"/>
      <c r="AL910" s="59"/>
      <c r="AM910" s="59"/>
    </row>
    <row r="911" spans="2:39" x14ac:dyDescent="0.35">
      <c r="B911" s="237">
        <f>ROW(881:881)</f>
        <v>881</v>
      </c>
      <c r="C911" s="49">
        <f t="shared" si="48"/>
        <v>45598</v>
      </c>
      <c r="D911" s="29">
        <f>DAY(Dati[[#This Row],[Data]])</f>
        <v>2</v>
      </c>
      <c r="E911" s="29" t="str">
        <f>IF(DAY(Data!$C$21:$C$1327)&gt;0,TEXT(Data!$C$21:$C$1327, "mmmm"),"")</f>
        <v>novembre</v>
      </c>
      <c r="F911" s="29" t="str">
        <f>IF(DAY(Data!$C$21:$C$1327)&gt;0,TEXT(Data!$C$21:$C$1327, "aaaa"),"")</f>
        <v>2024</v>
      </c>
      <c r="I911" t="str">
        <f>IF(OR(H911=$B$5,H911=$B$6,H911=$B$7,H911=$B$8,H911=$B$9,H911=$B$10,H911=$B$11,H911=$B$12,H911=$B$13,H911=$B$14),SottocategorieUscite[[#Headers],[Fuori Casa]],IF(OR(H911=$C$5,H911=$C$6,H911=$C$7,H911=$C$8,H911=$C$9,H911=$C$10,H911=$C$11,H911=$C$12,H911=$C$13,H911=$C$14),SottocategorieUscite[[#Headers],[Varie Uscite]],IF(OR(H911=$D$5,H911=$D$6,H911=$D$7,H911=$D$8,H911=$D$9,H911=$D$10,H911=$D$11,H911=$D$12,H911=$D$13,H911=$D$14),SottocategorieUscite[[#Headers],[Personali]],IF(OR(H911=$E$5,H911=$E$6,H911=$E$7,H911=$E$8,H911=$E$9,H911=$E$10,H911=$E$11,H911=$E$12,H911=$E$13,H911=$E$14),SottocategorieUscite[[#Headers],[Lavoro]],IF(OR(H911=$F$5,H911=$F$6,H911=$F$7,H911=$F$8,H911=$F$9,H911=$F$10,H911=$F$11,H911=$F$12,H911=$F$13,H911=$F$14),SottocategorieUscite[[#Headers],[Casa]],IF(OR(H911=$G$5,H911=$G$6,H911=$G$7,H911=$G$8,H911=$G$9,H911=$G$10,H911=$G$11,H911=$G$12,H911=$G$13,H911=$G$14),SottocategorieUscite[[#Headers],[Utenze]],IF(OR(H911=$H$5,H911=$H$6,H911=$H$7,H911=$H$8,H911=$H$9,H911=$H$10,H911=$H$11,H911=$H$12,H911=$H$13,H911=$H$14),SottocategorieUscite[[#Headers],[Business Uscite]],IF(OR(H911=$I$5,H911=$I$6,H911=$I$7,H911=$I$8,H911=$I$9,H911=$I$10,H911=$I$11,H911=$I$12,H911=$I$13,H911=$I$14),SottocategorieUscite[[#Headers],[Banca]],IF(OR(H911=K$5,H911=K$6,H911=K$7,H911=K$8,H911=K$9,H911=K$10,H911=K$11,H911=K$12,H911=K$13,H911=K$14),SottocategorieEntrate[[#Headers],[Business Entrate]],IF(OR(H911=L$5,H911=L$6,H911=L$7,H911=L$8,H911=L$9,H911=L$10,H911=L$11,H911=L$12,H911=L$13,H911=L$14),SottocategorieEntrate[[#Headers],[Varie Entrate]],IF(OR(H911=M$5,H911=M$6,H911=M$7,H911=M$8,H911=M$9,H911=M$10,H911=M$11,H911=M$12,H911=M$13,H911=M$14),SottocategorieEntrate[[#Headers],[Real Estate]],IF(OR(H911=N$5,H911=N$6,H911=N$7,H911=N$8,H911=N$9,H911=N$10,H911=N$11,H911=N$12,H911=N$13,H911=N$14),SottocategorieEntrate[[#Headers],[Other]],""))))))))))))</f>
        <v/>
      </c>
      <c r="J911" t="str">
        <f>IF(OR(Dati[[#This Row],[Categoria]]="Bollette",Dati[[#This Row],[Categoria]]="Conto &amp; Carte BNL",Dati[[#This Row],[Categoria]]="Prelievo",Dati[[#This Row],[Categoria]]="Affitto",Dati[[#This Row],[Categoria]]="BNL(Interessi Creditori)"),"Carta",IF(Dati[[#This Row],[Categoria]]&lt;&gt;0,"Cash",""))</f>
        <v/>
      </c>
      <c r="K911" s="59" t="str">
        <f>IF(OR(Data!$I911=SottocategorieUscite[[#Headers],[Fuori Casa]],Data!$I911=SottocategorieUscite[[#Headers],[Varie Uscite]],Data!$I911=SottocategorieUscite[[#Headers],[Personali]],Data!$I911=SottocategorieUscite[[#Headers],[Lavoro]]),"$ -","")</f>
        <v/>
      </c>
      <c r="L911" s="59" t="str">
        <f>IF(OR(Data!$I911=SottocategorieUscite[[#Headers],[Casa]],Data!$I911=SottocategorieUscite[[#Headers],[Utenze]],Data!$I911=SottocategorieUscite[[#Headers],[Business Uscite]],Data!$I911=SottocategorieUscite[[#Headers],[Banca]]),"$ -","")</f>
        <v/>
      </c>
      <c r="M911" s="59" t="str">
        <f>IF(OR($I911&lt;&gt;SottocategorieUscite[[#Headers],[Fuori Casa]],$I911&lt;&gt;SottocategorieUscite[[#Headers],[Varie Uscite]],$I911&lt;&gt;SottocategorieUscite[[#Headers],[Personali]],$I911&lt;&gt;SottocategorieUscite[[#Headers],[Lavoro]],$I911&lt;&gt;SottocategorieUscite[[#Headers],[Casa]],$I911&lt;&gt;SottocategorieUscite[[#Headers],[Utenze]],$I911&lt;&gt;SottocategorieUscite[[#Headers],[Business Uscite]],$I911&lt;&gt;SottocategorieUscite[[#Headers],[Banca]]),"","$ -")</f>
        <v/>
      </c>
      <c r="N911" s="59" t="str">
        <f>IF(OR(Data!$I911=SottocategorieEntrate[[#Headers],[Business Entrate]],Data!$I911=SottocategorieEntrate[[#Headers],[Varie Entrate]]),"$ -","")</f>
        <v/>
      </c>
      <c r="O911" s="59" t="str">
        <f>IF(OR(Data!$I911=SottocategorieEntrate[[#Headers],[Real Estate]],SottocategorieEntrate[[#Headers],[Other]]),"$ -","")</f>
        <v/>
      </c>
      <c r="P911" s="59" t="str">
        <f>IF(OR($I911&lt;&gt;SottocategorieEntrate[[#Headers],[Business Entrate]],$I911&lt;&gt;SottocategorieEntrate[[#Headers],[Varie Entrate]],$I911&lt;&gt;SottocategorieEntrate[[#Headers],[Real Estate]],$I911&lt;&gt;SottocategorieEntrate[[#Headers],[Other]]),"","$ -")</f>
        <v/>
      </c>
      <c r="Q911" s="59" t="str">
        <f>IF(Dati[[#This Row],[Categoria]]="Prelievo","€ -","")</f>
        <v/>
      </c>
      <c r="R911" s="244"/>
      <c r="S911" s="59" t="str">
        <f>IF(Dati[[#This Row],[Categoria]]="Savings",0,"")</f>
        <v/>
      </c>
      <c r="T911" s="59"/>
      <c r="U911" s="59"/>
      <c r="V911" s="59"/>
      <c r="W911" s="59"/>
      <c r="X911" s="59"/>
      <c r="Y911" s="59"/>
      <c r="Z911" s="59"/>
      <c r="AA911" s="59"/>
      <c r="AB911" s="59"/>
      <c r="AC911" s="59"/>
      <c r="AD911" s="59"/>
      <c r="AE911" s="59"/>
      <c r="AF911" s="59"/>
      <c r="AG911" s="59"/>
      <c r="AH911" s="59"/>
      <c r="AI911" s="59" t="str">
        <f>IF(SUM(Dati[[#This Row],[Inv. Business]:[Inv. Cryptocurrency]])=0," ",SUM(Dati[[#This Row],[Inv. Business]:[Inv. Cryptocurrency]]))</f>
        <v xml:space="preserve"> </v>
      </c>
      <c r="AJ911" s="59"/>
      <c r="AK911" s="59"/>
      <c r="AL911" s="59"/>
      <c r="AM911" s="59"/>
    </row>
    <row r="912" spans="2:39" x14ac:dyDescent="0.35">
      <c r="B912" s="237">
        <f>ROW(882:882)</f>
        <v>882</v>
      </c>
      <c r="C912" s="49">
        <f t="shared" si="48"/>
        <v>45599</v>
      </c>
      <c r="D912" s="29">
        <f>DAY(Dati[[#This Row],[Data]])</f>
        <v>3</v>
      </c>
      <c r="E912" s="29" t="str">
        <f>IF(DAY(Data!$C$21:$C$1327)&gt;0,TEXT(Data!$C$21:$C$1327, "mmmm"),"")</f>
        <v>novembre</v>
      </c>
      <c r="F912" s="29" t="str">
        <f>IF(DAY(Data!$C$21:$C$1327)&gt;0,TEXT(Data!$C$21:$C$1327, "aaaa"),"")</f>
        <v>2024</v>
      </c>
      <c r="I912" t="str">
        <f>IF(OR(H912=$B$5,H912=$B$6,H912=$B$7,H912=$B$8,H912=$B$9,H912=$B$10,H912=$B$11,H912=$B$12,H912=$B$13,H912=$B$14),SottocategorieUscite[[#Headers],[Fuori Casa]],IF(OR(H912=$C$5,H912=$C$6,H912=$C$7,H912=$C$8,H912=$C$9,H912=$C$10,H912=$C$11,H912=$C$12,H912=$C$13,H912=$C$14),SottocategorieUscite[[#Headers],[Varie Uscite]],IF(OR(H912=$D$5,H912=$D$6,H912=$D$7,H912=$D$8,H912=$D$9,H912=$D$10,H912=$D$11,H912=$D$12,H912=$D$13,H912=$D$14),SottocategorieUscite[[#Headers],[Personali]],IF(OR(H912=$E$5,H912=$E$6,H912=$E$7,H912=$E$8,H912=$E$9,H912=$E$10,H912=$E$11,H912=$E$12,H912=$E$13,H912=$E$14),SottocategorieUscite[[#Headers],[Lavoro]],IF(OR(H912=$F$5,H912=$F$6,H912=$F$7,H912=$F$8,H912=$F$9,H912=$F$10,H912=$F$11,H912=$F$12,H912=$F$13,H912=$F$14),SottocategorieUscite[[#Headers],[Casa]],IF(OR(H912=$G$5,H912=$G$6,H912=$G$7,H912=$G$8,H912=$G$9,H912=$G$10,H912=$G$11,H912=$G$12,H912=$G$13,H912=$G$14),SottocategorieUscite[[#Headers],[Utenze]],IF(OR(H912=$H$5,H912=$H$6,H912=$H$7,H912=$H$8,H912=$H$9,H912=$H$10,H912=$H$11,H912=$H$12,H912=$H$13,H912=$H$14),SottocategorieUscite[[#Headers],[Business Uscite]],IF(OR(H912=$I$5,H912=$I$6,H912=$I$7,H912=$I$8,H912=$I$9,H912=$I$10,H912=$I$11,H912=$I$12,H912=$I$13,H912=$I$14),SottocategorieUscite[[#Headers],[Banca]],IF(OR(H912=K$5,H912=K$6,H912=K$7,H912=K$8,H912=K$9,H912=K$10,H912=K$11,H912=K$12,H912=K$13,H912=K$14),SottocategorieEntrate[[#Headers],[Business Entrate]],IF(OR(H912=L$5,H912=L$6,H912=L$7,H912=L$8,H912=L$9,H912=L$10,H912=L$11,H912=L$12,H912=L$13,H912=L$14),SottocategorieEntrate[[#Headers],[Varie Entrate]],IF(OR(H912=M$5,H912=M$6,H912=M$7,H912=M$8,H912=M$9,H912=M$10,H912=M$11,H912=M$12,H912=M$13,H912=M$14),SottocategorieEntrate[[#Headers],[Real Estate]],IF(OR(H912=N$5,H912=N$6,H912=N$7,H912=N$8,H912=N$9,H912=N$10,H912=N$11,H912=N$12,H912=N$13,H912=N$14),SottocategorieEntrate[[#Headers],[Other]],""))))))))))))</f>
        <v/>
      </c>
      <c r="J912" t="str">
        <f>IF(OR(Dati[[#This Row],[Categoria]]="Bollette",Dati[[#This Row],[Categoria]]="Conto &amp; Carte BNL",Dati[[#This Row],[Categoria]]="Prelievo",Dati[[#This Row],[Categoria]]="Affitto",Dati[[#This Row],[Categoria]]="BNL(Interessi Creditori)"),"Carta",IF(Dati[[#This Row],[Categoria]]&lt;&gt;0,"Cash",""))</f>
        <v/>
      </c>
      <c r="K912" s="59" t="str">
        <f>IF(OR(Data!$I912=SottocategorieUscite[[#Headers],[Fuori Casa]],Data!$I912=SottocategorieUscite[[#Headers],[Varie Uscite]],Data!$I912=SottocategorieUscite[[#Headers],[Personali]],Data!$I912=SottocategorieUscite[[#Headers],[Lavoro]]),"$ -","")</f>
        <v/>
      </c>
      <c r="L912" s="59" t="str">
        <f>IF(OR(Data!$I912=SottocategorieUscite[[#Headers],[Casa]],Data!$I912=SottocategorieUscite[[#Headers],[Utenze]],Data!$I912=SottocategorieUscite[[#Headers],[Business Uscite]],Data!$I912=SottocategorieUscite[[#Headers],[Banca]]),"$ -","")</f>
        <v/>
      </c>
      <c r="M912" s="59" t="str">
        <f>IF(OR($I912&lt;&gt;SottocategorieUscite[[#Headers],[Fuori Casa]],$I912&lt;&gt;SottocategorieUscite[[#Headers],[Varie Uscite]],$I912&lt;&gt;SottocategorieUscite[[#Headers],[Personali]],$I912&lt;&gt;SottocategorieUscite[[#Headers],[Lavoro]],$I912&lt;&gt;SottocategorieUscite[[#Headers],[Casa]],$I912&lt;&gt;SottocategorieUscite[[#Headers],[Utenze]],$I912&lt;&gt;SottocategorieUscite[[#Headers],[Business Uscite]],$I912&lt;&gt;SottocategorieUscite[[#Headers],[Banca]]),"","$ -")</f>
        <v/>
      </c>
      <c r="N912" s="59" t="str">
        <f>IF(OR(Data!$I912=SottocategorieEntrate[[#Headers],[Business Entrate]],Data!$I912=SottocategorieEntrate[[#Headers],[Varie Entrate]]),"$ -","")</f>
        <v/>
      </c>
      <c r="O912" s="59" t="str">
        <f>IF(OR(Data!$I912=SottocategorieEntrate[[#Headers],[Real Estate]],SottocategorieEntrate[[#Headers],[Other]]),"$ -","")</f>
        <v/>
      </c>
      <c r="P912" s="59" t="str">
        <f>IF(OR($I912&lt;&gt;SottocategorieEntrate[[#Headers],[Business Entrate]],$I912&lt;&gt;SottocategorieEntrate[[#Headers],[Varie Entrate]],$I912&lt;&gt;SottocategorieEntrate[[#Headers],[Real Estate]],$I912&lt;&gt;SottocategorieEntrate[[#Headers],[Other]]),"","$ -")</f>
        <v/>
      </c>
      <c r="Q912" s="59" t="str">
        <f>IF(Dati[[#This Row],[Categoria]]="Prelievo","€ -","")</f>
        <v/>
      </c>
      <c r="R912" s="244"/>
      <c r="S912" s="59" t="str">
        <f>IF(Dati[[#This Row],[Categoria]]="Savings",0,"")</f>
        <v/>
      </c>
      <c r="T912" s="59"/>
      <c r="U912" s="59"/>
      <c r="V912" s="59"/>
      <c r="W912" s="59"/>
      <c r="X912" s="59"/>
      <c r="Y912" s="59"/>
      <c r="Z912" s="59"/>
      <c r="AA912" s="59"/>
      <c r="AB912" s="59"/>
      <c r="AC912" s="59"/>
      <c r="AD912" s="59"/>
      <c r="AE912" s="59"/>
      <c r="AF912" s="59"/>
      <c r="AG912" s="59"/>
      <c r="AH912" s="59"/>
      <c r="AI912" s="59" t="str">
        <f>IF(SUM(Dati[[#This Row],[Inv. Business]:[Inv. Cryptocurrency]])=0," ",SUM(Dati[[#This Row],[Inv. Business]:[Inv. Cryptocurrency]]))</f>
        <v xml:space="preserve"> </v>
      </c>
      <c r="AJ912" s="59"/>
      <c r="AK912" s="59"/>
      <c r="AL912" s="59"/>
      <c r="AM912" s="59"/>
    </row>
    <row r="913" spans="2:39" x14ac:dyDescent="0.35">
      <c r="B913" s="237">
        <f>ROW(883:883)</f>
        <v>883</v>
      </c>
      <c r="C913" s="49">
        <f t="shared" si="48"/>
        <v>45600</v>
      </c>
      <c r="D913" s="29">
        <f>DAY(Dati[[#This Row],[Data]])</f>
        <v>4</v>
      </c>
      <c r="E913" s="29" t="str">
        <f>IF(DAY(Data!$C$21:$C$1327)&gt;0,TEXT(Data!$C$21:$C$1327, "mmmm"),"")</f>
        <v>novembre</v>
      </c>
      <c r="F913" s="29" t="str">
        <f>IF(DAY(Data!$C$21:$C$1327)&gt;0,TEXT(Data!$C$21:$C$1327, "aaaa"),"")</f>
        <v>2024</v>
      </c>
      <c r="I913" t="str">
        <f>IF(OR(H913=$B$5,H913=$B$6,H913=$B$7,H913=$B$8,H913=$B$9,H913=$B$10,H913=$B$11,H913=$B$12,H913=$B$13,H913=$B$14),SottocategorieUscite[[#Headers],[Fuori Casa]],IF(OR(H913=$C$5,H913=$C$6,H913=$C$7,H913=$C$8,H913=$C$9,H913=$C$10,H913=$C$11,H913=$C$12,H913=$C$13,H913=$C$14),SottocategorieUscite[[#Headers],[Varie Uscite]],IF(OR(H913=$D$5,H913=$D$6,H913=$D$7,H913=$D$8,H913=$D$9,H913=$D$10,H913=$D$11,H913=$D$12,H913=$D$13,H913=$D$14),SottocategorieUscite[[#Headers],[Personali]],IF(OR(H913=$E$5,H913=$E$6,H913=$E$7,H913=$E$8,H913=$E$9,H913=$E$10,H913=$E$11,H913=$E$12,H913=$E$13,H913=$E$14),SottocategorieUscite[[#Headers],[Lavoro]],IF(OR(H913=$F$5,H913=$F$6,H913=$F$7,H913=$F$8,H913=$F$9,H913=$F$10,H913=$F$11,H913=$F$12,H913=$F$13,H913=$F$14),SottocategorieUscite[[#Headers],[Casa]],IF(OR(H913=$G$5,H913=$G$6,H913=$G$7,H913=$G$8,H913=$G$9,H913=$G$10,H913=$G$11,H913=$G$12,H913=$G$13,H913=$G$14),SottocategorieUscite[[#Headers],[Utenze]],IF(OR(H913=$H$5,H913=$H$6,H913=$H$7,H913=$H$8,H913=$H$9,H913=$H$10,H913=$H$11,H913=$H$12,H913=$H$13,H913=$H$14),SottocategorieUscite[[#Headers],[Business Uscite]],IF(OR(H913=$I$5,H913=$I$6,H913=$I$7,H913=$I$8,H913=$I$9,H913=$I$10,H913=$I$11,H913=$I$12,H913=$I$13,H913=$I$14),SottocategorieUscite[[#Headers],[Banca]],IF(OR(H913=K$5,H913=K$6,H913=K$7,H913=K$8,H913=K$9,H913=K$10,H913=K$11,H913=K$12,H913=K$13,H913=K$14),SottocategorieEntrate[[#Headers],[Business Entrate]],IF(OR(H913=L$5,H913=L$6,H913=L$7,H913=L$8,H913=L$9,H913=L$10,H913=L$11,H913=L$12,H913=L$13,H913=L$14),SottocategorieEntrate[[#Headers],[Varie Entrate]],IF(OR(H913=M$5,H913=M$6,H913=M$7,H913=M$8,H913=M$9,H913=M$10,H913=M$11,H913=M$12,H913=M$13,H913=M$14),SottocategorieEntrate[[#Headers],[Real Estate]],IF(OR(H913=N$5,H913=N$6,H913=N$7,H913=N$8,H913=N$9,H913=N$10,H913=N$11,H913=N$12,H913=N$13,H913=N$14),SottocategorieEntrate[[#Headers],[Other]],""))))))))))))</f>
        <v/>
      </c>
      <c r="J913" t="str">
        <f>IF(OR(Dati[[#This Row],[Categoria]]="Bollette",Dati[[#This Row],[Categoria]]="Conto &amp; Carte BNL",Dati[[#This Row],[Categoria]]="Prelievo",Dati[[#This Row],[Categoria]]="Affitto",Dati[[#This Row],[Categoria]]="BNL(Interessi Creditori)"),"Carta",IF(Dati[[#This Row],[Categoria]]&lt;&gt;0,"Cash",""))</f>
        <v/>
      </c>
      <c r="K913" s="59" t="str">
        <f>IF(OR(Data!$I913=SottocategorieUscite[[#Headers],[Fuori Casa]],Data!$I913=SottocategorieUscite[[#Headers],[Varie Uscite]],Data!$I913=SottocategorieUscite[[#Headers],[Personali]],Data!$I913=SottocategorieUscite[[#Headers],[Lavoro]]),"$ -","")</f>
        <v/>
      </c>
      <c r="L913" s="59" t="str">
        <f>IF(OR(Data!$I913=SottocategorieUscite[[#Headers],[Casa]],Data!$I913=SottocategorieUscite[[#Headers],[Utenze]],Data!$I913=SottocategorieUscite[[#Headers],[Business Uscite]],Data!$I913=SottocategorieUscite[[#Headers],[Banca]]),"$ -","")</f>
        <v/>
      </c>
      <c r="M913" s="59" t="str">
        <f>IF(OR($I913&lt;&gt;SottocategorieUscite[[#Headers],[Fuori Casa]],$I913&lt;&gt;SottocategorieUscite[[#Headers],[Varie Uscite]],$I913&lt;&gt;SottocategorieUscite[[#Headers],[Personali]],$I913&lt;&gt;SottocategorieUscite[[#Headers],[Lavoro]],$I913&lt;&gt;SottocategorieUscite[[#Headers],[Casa]],$I913&lt;&gt;SottocategorieUscite[[#Headers],[Utenze]],$I913&lt;&gt;SottocategorieUscite[[#Headers],[Business Uscite]],$I913&lt;&gt;SottocategorieUscite[[#Headers],[Banca]]),"","$ -")</f>
        <v/>
      </c>
      <c r="N913" s="59" t="str">
        <f>IF(OR(Data!$I913=SottocategorieEntrate[[#Headers],[Business Entrate]],Data!$I913=SottocategorieEntrate[[#Headers],[Varie Entrate]]),"$ -","")</f>
        <v/>
      </c>
      <c r="O913" s="59" t="str">
        <f>IF(OR(Data!$I913=SottocategorieEntrate[[#Headers],[Real Estate]],SottocategorieEntrate[[#Headers],[Other]]),"$ -","")</f>
        <v/>
      </c>
      <c r="P913" s="59" t="str">
        <f>IF(OR($I913&lt;&gt;SottocategorieEntrate[[#Headers],[Business Entrate]],$I913&lt;&gt;SottocategorieEntrate[[#Headers],[Varie Entrate]],$I913&lt;&gt;SottocategorieEntrate[[#Headers],[Real Estate]],$I913&lt;&gt;SottocategorieEntrate[[#Headers],[Other]]),"","$ -")</f>
        <v/>
      </c>
      <c r="Q913" s="59" t="str">
        <f>IF(Dati[[#This Row],[Categoria]]="Prelievo","€ -","")</f>
        <v/>
      </c>
      <c r="R913" s="244"/>
      <c r="S913" s="59" t="str">
        <f>IF(Dati[[#This Row],[Categoria]]="Savings",0,"")</f>
        <v/>
      </c>
      <c r="T913" s="59"/>
      <c r="U913" s="59"/>
      <c r="V913" s="59"/>
      <c r="W913" s="59"/>
      <c r="X913" s="59"/>
      <c r="Y913" s="59"/>
      <c r="Z913" s="59"/>
      <c r="AA913" s="59"/>
      <c r="AB913" s="59"/>
      <c r="AC913" s="59"/>
      <c r="AD913" s="59"/>
      <c r="AE913" s="59"/>
      <c r="AF913" s="59"/>
      <c r="AG913" s="59"/>
      <c r="AH913" s="59"/>
      <c r="AI913" s="59" t="str">
        <f>IF(SUM(Dati[[#This Row],[Inv. Business]:[Inv. Cryptocurrency]])=0," ",SUM(Dati[[#This Row],[Inv. Business]:[Inv. Cryptocurrency]]))</f>
        <v xml:space="preserve"> </v>
      </c>
      <c r="AJ913" s="59"/>
      <c r="AK913" s="59"/>
      <c r="AL913" s="59"/>
      <c r="AM913" s="59"/>
    </row>
    <row r="914" spans="2:39" x14ac:dyDescent="0.35">
      <c r="B914" s="237">
        <f>ROW(884:884)</f>
        <v>884</v>
      </c>
      <c r="C914" s="49">
        <f>C912+1</f>
        <v>45600</v>
      </c>
      <c r="D914" s="29">
        <f>DAY(Dati[[#This Row],[Data]])</f>
        <v>4</v>
      </c>
      <c r="E914" s="29" t="str">
        <f>IF(DAY(Data!$C$21:$C$1327)&gt;0,TEXT(Data!$C$21:$C$1327, "mmmm"),"")</f>
        <v>novembre</v>
      </c>
      <c r="F914" s="29" t="str">
        <f>IF(DAY(Data!$C$21:$C$1327)&gt;0,TEXT(Data!$C$21:$C$1327, "aaaa"),"")</f>
        <v>2024</v>
      </c>
      <c r="I914" t="str">
        <f>IF(OR(H914=$B$5,H914=$B$6,H914=$B$7,H914=$B$8,H914=$B$9,H914=$B$10,H914=$B$11,H914=$B$12,H914=$B$13,H914=$B$14),SottocategorieUscite[[#Headers],[Fuori Casa]],IF(OR(H914=$C$5,H914=$C$6,H914=$C$7,H914=$C$8,H914=$C$9,H914=$C$10,H914=$C$11,H914=$C$12,H914=$C$13,H914=$C$14),SottocategorieUscite[[#Headers],[Varie Uscite]],IF(OR(H914=$D$5,H914=$D$6,H914=$D$7,H914=$D$8,H914=$D$9,H914=$D$10,H914=$D$11,H914=$D$12,H914=$D$13,H914=$D$14),SottocategorieUscite[[#Headers],[Personali]],IF(OR(H914=$E$5,H914=$E$6,H914=$E$7,H914=$E$8,H914=$E$9,H914=$E$10,H914=$E$11,H914=$E$12,H914=$E$13,H914=$E$14),SottocategorieUscite[[#Headers],[Lavoro]],IF(OR(H914=$F$5,H914=$F$6,H914=$F$7,H914=$F$8,H914=$F$9,H914=$F$10,H914=$F$11,H914=$F$12,H914=$F$13,H914=$F$14),SottocategorieUscite[[#Headers],[Casa]],IF(OR(H914=$G$5,H914=$G$6,H914=$G$7,H914=$G$8,H914=$G$9,H914=$G$10,H914=$G$11,H914=$G$12,H914=$G$13,H914=$G$14),SottocategorieUscite[[#Headers],[Utenze]],IF(OR(H914=$H$5,H914=$H$6,H914=$H$7,H914=$H$8,H914=$H$9,H914=$H$10,H914=$H$11,H914=$H$12,H914=$H$13,H914=$H$14),SottocategorieUscite[[#Headers],[Business Uscite]],IF(OR(H914=$I$5,H914=$I$6,H914=$I$7,H914=$I$8,H914=$I$9,H914=$I$10,H914=$I$11,H914=$I$12,H914=$I$13,H914=$I$14),SottocategorieUscite[[#Headers],[Banca]],IF(OR(H914=K$5,H914=K$6,H914=K$7,H914=K$8,H914=K$9,H914=K$10,H914=K$11,H914=K$12,H914=K$13,H914=K$14),SottocategorieEntrate[[#Headers],[Business Entrate]],IF(OR(H914=L$5,H914=L$6,H914=L$7,H914=L$8,H914=L$9,H914=L$10,H914=L$11,H914=L$12,H914=L$13,H914=L$14),SottocategorieEntrate[[#Headers],[Varie Entrate]],IF(OR(H914=M$5,H914=M$6,H914=M$7,H914=M$8,H914=M$9,H914=M$10,H914=M$11,H914=M$12,H914=M$13,H914=M$14),SottocategorieEntrate[[#Headers],[Real Estate]],IF(OR(H914=N$5,H914=N$6,H914=N$7,H914=N$8,H914=N$9,H914=N$10,H914=N$11,H914=N$12,H914=N$13,H914=N$14),SottocategorieEntrate[[#Headers],[Other]],""))))))))))))</f>
        <v/>
      </c>
      <c r="J914" t="str">
        <f>IF(OR(Dati[[#This Row],[Categoria]]="Bollette",Dati[[#This Row],[Categoria]]="Conto &amp; Carte BNL",Dati[[#This Row],[Categoria]]="Prelievo",Dati[[#This Row],[Categoria]]="Affitto",Dati[[#This Row],[Categoria]]="BNL(Interessi Creditori)"),"Carta",IF(Dati[[#This Row],[Categoria]]&lt;&gt;0,"Cash",""))</f>
        <v/>
      </c>
      <c r="K914" s="59" t="str">
        <f>IF(OR(Data!$I914=SottocategorieUscite[[#Headers],[Fuori Casa]],Data!$I914=SottocategorieUscite[[#Headers],[Varie Uscite]],Data!$I914=SottocategorieUscite[[#Headers],[Personali]],Data!$I914=SottocategorieUscite[[#Headers],[Lavoro]]),"$ -","")</f>
        <v/>
      </c>
      <c r="L914" s="59" t="str">
        <f>IF(OR(Data!$I914=SottocategorieUscite[[#Headers],[Casa]],Data!$I914=SottocategorieUscite[[#Headers],[Utenze]],Data!$I914=SottocategorieUscite[[#Headers],[Business Uscite]],Data!$I914=SottocategorieUscite[[#Headers],[Banca]]),"$ -","")</f>
        <v/>
      </c>
      <c r="M914" s="59" t="str">
        <f>IF(OR($I914&lt;&gt;SottocategorieUscite[[#Headers],[Fuori Casa]],$I914&lt;&gt;SottocategorieUscite[[#Headers],[Varie Uscite]],$I914&lt;&gt;SottocategorieUscite[[#Headers],[Personali]],$I914&lt;&gt;SottocategorieUscite[[#Headers],[Lavoro]],$I914&lt;&gt;SottocategorieUscite[[#Headers],[Casa]],$I914&lt;&gt;SottocategorieUscite[[#Headers],[Utenze]],$I914&lt;&gt;SottocategorieUscite[[#Headers],[Business Uscite]],$I914&lt;&gt;SottocategorieUscite[[#Headers],[Banca]]),"","$ -")</f>
        <v/>
      </c>
      <c r="N914" s="59" t="str">
        <f>IF(OR(Data!$I914=SottocategorieEntrate[[#Headers],[Business Entrate]],Data!$I914=SottocategorieEntrate[[#Headers],[Varie Entrate]]),"$ -","")</f>
        <v/>
      </c>
      <c r="O914" s="59" t="str">
        <f>IF(OR(Data!$I914=SottocategorieEntrate[[#Headers],[Real Estate]],SottocategorieEntrate[[#Headers],[Other]]),"$ -","")</f>
        <v/>
      </c>
      <c r="P914" s="59" t="str">
        <f>IF(OR($I914&lt;&gt;SottocategorieEntrate[[#Headers],[Business Entrate]],$I914&lt;&gt;SottocategorieEntrate[[#Headers],[Varie Entrate]],$I914&lt;&gt;SottocategorieEntrate[[#Headers],[Real Estate]],$I914&lt;&gt;SottocategorieEntrate[[#Headers],[Other]]),"","$ -")</f>
        <v/>
      </c>
      <c r="Q914" s="59" t="str">
        <f>IF(Dati[[#This Row],[Categoria]]="Prelievo","€ -","")</f>
        <v/>
      </c>
      <c r="R914" s="244"/>
      <c r="S914" s="59" t="str">
        <f>IF(Dati[[#This Row],[Categoria]]="Savings",0,"")</f>
        <v/>
      </c>
      <c r="T914" s="59"/>
      <c r="U914" s="59"/>
      <c r="V914" s="59"/>
      <c r="W914" s="59"/>
      <c r="X914" s="59"/>
      <c r="Y914" s="59"/>
      <c r="Z914" s="59"/>
      <c r="AA914" s="59"/>
      <c r="AB914" s="59"/>
      <c r="AC914" s="59"/>
      <c r="AD914" s="59"/>
      <c r="AE914" s="59"/>
      <c r="AF914" s="59"/>
      <c r="AG914" s="59"/>
      <c r="AH914" s="59"/>
      <c r="AI914" s="59" t="str">
        <f>IF(SUM(Dati[[#This Row],[Inv. Business]:[Inv. Cryptocurrency]])=0," ",SUM(Dati[[#This Row],[Inv. Business]:[Inv. Cryptocurrency]]))</f>
        <v xml:space="preserve"> </v>
      </c>
      <c r="AJ914" s="59"/>
      <c r="AK914" s="59"/>
      <c r="AL914" s="59"/>
      <c r="AM914" s="59"/>
    </row>
    <row r="915" spans="2:39" x14ac:dyDescent="0.35">
      <c r="B915" s="237">
        <f>ROW(884:884)</f>
        <v>884</v>
      </c>
      <c r="C915" s="49">
        <f>C912+1</f>
        <v>45600</v>
      </c>
      <c r="D915" s="29">
        <f>DAY(Dati[[#This Row],[Data]])</f>
        <v>4</v>
      </c>
      <c r="E915" s="29" t="str">
        <f>IF(DAY(Data!$C$21:$C$1327)&gt;0,TEXT(Data!$C$21:$C$1327, "mmmm"),"")</f>
        <v>novembre</v>
      </c>
      <c r="F915" s="29" t="str">
        <f>IF(DAY(Data!$C$21:$C$1327)&gt;0,TEXT(Data!$C$21:$C$1327, "aaaa"),"")</f>
        <v>2024</v>
      </c>
      <c r="I915" t="str">
        <f>IF(OR(H915=$B$5,H915=$B$6,H915=$B$7,H915=$B$8,H915=$B$9,H915=$B$10,H915=$B$11,H915=$B$12,H915=$B$13,H915=$B$14),SottocategorieUscite[[#Headers],[Fuori Casa]],IF(OR(H915=$C$5,H915=$C$6,H915=$C$7,H915=$C$8,H915=$C$9,H915=$C$10,H915=$C$11,H915=$C$12,H915=$C$13,H915=$C$14),SottocategorieUscite[[#Headers],[Varie Uscite]],IF(OR(H915=$D$5,H915=$D$6,H915=$D$7,H915=$D$8,H915=$D$9,H915=$D$10,H915=$D$11,H915=$D$12,H915=$D$13,H915=$D$14),SottocategorieUscite[[#Headers],[Personali]],IF(OR(H915=$E$5,H915=$E$6,H915=$E$7,H915=$E$8,H915=$E$9,H915=$E$10,H915=$E$11,H915=$E$12,H915=$E$13,H915=$E$14),SottocategorieUscite[[#Headers],[Lavoro]],IF(OR(H915=$F$5,H915=$F$6,H915=$F$7,H915=$F$8,H915=$F$9,H915=$F$10,H915=$F$11,H915=$F$12,H915=$F$13,H915=$F$14),SottocategorieUscite[[#Headers],[Casa]],IF(OR(H915=$G$5,H915=$G$6,H915=$G$7,H915=$G$8,H915=$G$9,H915=$G$10,H915=$G$11,H915=$G$12,H915=$G$13,H915=$G$14),SottocategorieUscite[[#Headers],[Utenze]],IF(OR(H915=$H$5,H915=$H$6,H915=$H$7,H915=$H$8,H915=$H$9,H915=$H$10,H915=$H$11,H915=$H$12,H915=$H$13,H915=$H$14),SottocategorieUscite[[#Headers],[Business Uscite]],IF(OR(H915=$I$5,H915=$I$6,H915=$I$7,H915=$I$8,H915=$I$9,H915=$I$10,H915=$I$11,H915=$I$12,H915=$I$13,H915=$I$14),SottocategorieUscite[[#Headers],[Banca]],IF(OR(H915=K$5,H915=K$6,H915=K$7,H915=K$8,H915=K$9,H915=K$10,H915=K$11,H915=K$12,H915=K$13,H915=K$14),SottocategorieEntrate[[#Headers],[Business Entrate]],IF(OR(H915=L$5,H915=L$6,H915=L$7,H915=L$8,H915=L$9,H915=L$10,H915=L$11,H915=L$12,H915=L$13,H915=L$14),SottocategorieEntrate[[#Headers],[Varie Entrate]],IF(OR(H915=M$5,H915=M$6,H915=M$7,H915=M$8,H915=M$9,H915=M$10,H915=M$11,H915=M$12,H915=M$13,H915=M$14),SottocategorieEntrate[[#Headers],[Real Estate]],IF(OR(H915=N$5,H915=N$6,H915=N$7,H915=N$8,H915=N$9,H915=N$10,H915=N$11,H915=N$12,H915=N$13,H915=N$14),SottocategorieEntrate[[#Headers],[Other]],""))))))))))))</f>
        <v/>
      </c>
      <c r="J915" t="str">
        <f>IF(OR(Dati[[#This Row],[Categoria]]="Bollette",Dati[[#This Row],[Categoria]]="Conto &amp; Carte BNL",Dati[[#This Row],[Categoria]]="Prelievo",Dati[[#This Row],[Categoria]]="Affitto",Dati[[#This Row],[Categoria]]="BNL(Interessi Creditori)"),"Carta",IF(Dati[[#This Row],[Categoria]]&lt;&gt;0,"Cash",""))</f>
        <v/>
      </c>
      <c r="K915" s="59" t="str">
        <f>IF(OR(Data!$I915=SottocategorieUscite[[#Headers],[Fuori Casa]],Data!$I915=SottocategorieUscite[[#Headers],[Varie Uscite]],Data!$I915=SottocategorieUscite[[#Headers],[Personali]],Data!$I915=SottocategorieUscite[[#Headers],[Lavoro]]),"$ -","")</f>
        <v/>
      </c>
      <c r="L915" s="59" t="str">
        <f>IF(OR(Data!$I915=SottocategorieUscite[[#Headers],[Casa]],Data!$I915=SottocategorieUscite[[#Headers],[Utenze]],Data!$I915=SottocategorieUscite[[#Headers],[Business Uscite]],Data!$I915=SottocategorieUscite[[#Headers],[Banca]]),"$ -","")</f>
        <v/>
      </c>
      <c r="M915" s="59" t="str">
        <f>IF(OR($I915&lt;&gt;SottocategorieUscite[[#Headers],[Fuori Casa]],$I915&lt;&gt;SottocategorieUscite[[#Headers],[Varie Uscite]],$I915&lt;&gt;SottocategorieUscite[[#Headers],[Personali]],$I915&lt;&gt;SottocategorieUscite[[#Headers],[Lavoro]],$I915&lt;&gt;SottocategorieUscite[[#Headers],[Casa]],$I915&lt;&gt;SottocategorieUscite[[#Headers],[Utenze]],$I915&lt;&gt;SottocategorieUscite[[#Headers],[Business Uscite]],$I915&lt;&gt;SottocategorieUscite[[#Headers],[Banca]]),"","$ -")</f>
        <v/>
      </c>
      <c r="N915" s="59" t="str">
        <f>IF(OR(Data!$I915=SottocategorieEntrate[[#Headers],[Business Entrate]],Data!$I915=SottocategorieEntrate[[#Headers],[Varie Entrate]]),"$ -","")</f>
        <v/>
      </c>
      <c r="O915" s="59" t="str">
        <f>IF(OR(Data!$I915=SottocategorieEntrate[[#Headers],[Real Estate]],SottocategorieEntrate[[#Headers],[Other]]),"$ -","")</f>
        <v/>
      </c>
      <c r="P915" s="59" t="str">
        <f>IF(OR($I915&lt;&gt;SottocategorieEntrate[[#Headers],[Business Entrate]],$I915&lt;&gt;SottocategorieEntrate[[#Headers],[Varie Entrate]],$I915&lt;&gt;SottocategorieEntrate[[#Headers],[Real Estate]],$I915&lt;&gt;SottocategorieEntrate[[#Headers],[Other]]),"","$ -")</f>
        <v/>
      </c>
      <c r="Q915" s="59" t="str">
        <f>IF(Dati[[#This Row],[Categoria]]="Prelievo","€ -","")</f>
        <v/>
      </c>
      <c r="R915" s="244"/>
      <c r="S915" s="59" t="str">
        <f>IF(Dati[[#This Row],[Categoria]]="Savings",0,"")</f>
        <v/>
      </c>
      <c r="T915" s="59"/>
      <c r="U915" s="59"/>
      <c r="V915" s="59"/>
      <c r="W915" s="59"/>
      <c r="X915" s="59"/>
      <c r="Y915" s="59"/>
      <c r="Z915" s="59"/>
      <c r="AA915" s="59"/>
      <c r="AB915" s="59"/>
      <c r="AC915" s="59"/>
      <c r="AD915" s="59"/>
      <c r="AE915" s="59"/>
      <c r="AF915" s="59"/>
      <c r="AG915" s="59"/>
      <c r="AH915" s="59"/>
      <c r="AI915" s="59" t="str">
        <f>IF(SUM(Dati[[#This Row],[Inv. Business]:[Inv. Cryptocurrency]])=0," ",SUM(Dati[[#This Row],[Inv. Business]:[Inv. Cryptocurrency]]))</f>
        <v xml:space="preserve"> </v>
      </c>
      <c r="AJ915" s="59"/>
      <c r="AK915" s="59"/>
      <c r="AL915" s="59"/>
      <c r="AM915" s="59"/>
    </row>
    <row r="916" spans="2:39" x14ac:dyDescent="0.35">
      <c r="B916" s="237">
        <f>ROW(884:884)</f>
        <v>884</v>
      </c>
      <c r="C916" s="49">
        <f>C912+1</f>
        <v>45600</v>
      </c>
      <c r="D916" s="29">
        <f>DAY(Dati[[#This Row],[Data]])</f>
        <v>4</v>
      </c>
      <c r="E916" s="29" t="str">
        <f>IF(DAY(Data!$C$21:$C$1327)&gt;0,TEXT(Data!$C$21:$C$1327, "mmmm"),"")</f>
        <v>novembre</v>
      </c>
      <c r="F916" s="29" t="str">
        <f>IF(DAY(Data!$C$21:$C$1327)&gt;0,TEXT(Data!$C$21:$C$1327, "aaaa"),"")</f>
        <v>2024</v>
      </c>
      <c r="I916" t="str">
        <f>IF(OR(H916=$B$5,H916=$B$6,H916=$B$7,H916=$B$8,H916=$B$9,H916=$B$10,H916=$B$11,H916=$B$12,H916=$B$13,H916=$B$14),SottocategorieUscite[[#Headers],[Fuori Casa]],IF(OR(H916=$C$5,H916=$C$6,H916=$C$7,H916=$C$8,H916=$C$9,H916=$C$10,H916=$C$11,H916=$C$12,H916=$C$13,H916=$C$14),SottocategorieUscite[[#Headers],[Varie Uscite]],IF(OR(H916=$D$5,H916=$D$6,H916=$D$7,H916=$D$8,H916=$D$9,H916=$D$10,H916=$D$11,H916=$D$12,H916=$D$13,H916=$D$14),SottocategorieUscite[[#Headers],[Personali]],IF(OR(H916=$E$5,H916=$E$6,H916=$E$7,H916=$E$8,H916=$E$9,H916=$E$10,H916=$E$11,H916=$E$12,H916=$E$13,H916=$E$14),SottocategorieUscite[[#Headers],[Lavoro]],IF(OR(H916=$F$5,H916=$F$6,H916=$F$7,H916=$F$8,H916=$F$9,H916=$F$10,H916=$F$11,H916=$F$12,H916=$F$13,H916=$F$14),SottocategorieUscite[[#Headers],[Casa]],IF(OR(H916=$G$5,H916=$G$6,H916=$G$7,H916=$G$8,H916=$G$9,H916=$G$10,H916=$G$11,H916=$G$12,H916=$G$13,H916=$G$14),SottocategorieUscite[[#Headers],[Utenze]],IF(OR(H916=$H$5,H916=$H$6,H916=$H$7,H916=$H$8,H916=$H$9,H916=$H$10,H916=$H$11,H916=$H$12,H916=$H$13,H916=$H$14),SottocategorieUscite[[#Headers],[Business Uscite]],IF(OR(H916=$I$5,H916=$I$6,H916=$I$7,H916=$I$8,H916=$I$9,H916=$I$10,H916=$I$11,H916=$I$12,H916=$I$13,H916=$I$14),SottocategorieUscite[[#Headers],[Banca]],IF(OR(H916=K$5,H916=K$6,H916=K$7,H916=K$8,H916=K$9,H916=K$10,H916=K$11,H916=K$12,H916=K$13,H916=K$14),SottocategorieEntrate[[#Headers],[Business Entrate]],IF(OR(H916=L$5,H916=L$6,H916=L$7,H916=L$8,H916=L$9,H916=L$10,H916=L$11,H916=L$12,H916=L$13,H916=L$14),SottocategorieEntrate[[#Headers],[Varie Entrate]],IF(OR(H916=M$5,H916=M$6,H916=M$7,H916=M$8,H916=M$9,H916=M$10,H916=M$11,H916=M$12,H916=M$13,H916=M$14),SottocategorieEntrate[[#Headers],[Real Estate]],IF(OR(H916=N$5,H916=N$6,H916=N$7,H916=N$8,H916=N$9,H916=N$10,H916=N$11,H916=N$12,H916=N$13,H916=N$14),SottocategorieEntrate[[#Headers],[Other]],""))))))))))))</f>
        <v/>
      </c>
      <c r="J916" t="str">
        <f>IF(OR(Dati[[#This Row],[Categoria]]="Bollette",Dati[[#This Row],[Categoria]]="Conto &amp; Carte BNL",Dati[[#This Row],[Categoria]]="Prelievo",Dati[[#This Row],[Categoria]]="Affitto",Dati[[#This Row],[Categoria]]="BNL(Interessi Creditori)"),"Carta",IF(Dati[[#This Row],[Categoria]]&lt;&gt;0,"Cash",""))</f>
        <v/>
      </c>
      <c r="K916" s="59" t="str">
        <f>IF(OR(Data!$I916=SottocategorieUscite[[#Headers],[Fuori Casa]],Data!$I916=SottocategorieUscite[[#Headers],[Varie Uscite]],Data!$I916=SottocategorieUscite[[#Headers],[Personali]],Data!$I916=SottocategorieUscite[[#Headers],[Lavoro]]),"$ -","")</f>
        <v/>
      </c>
      <c r="L916" s="59" t="str">
        <f>IF(OR(Data!$I916=SottocategorieUscite[[#Headers],[Casa]],Data!$I916=SottocategorieUscite[[#Headers],[Utenze]],Data!$I916=SottocategorieUscite[[#Headers],[Business Uscite]],Data!$I916=SottocategorieUscite[[#Headers],[Banca]]),"$ -","")</f>
        <v/>
      </c>
      <c r="M916" s="59" t="str">
        <f>IF(OR($I916&lt;&gt;SottocategorieUscite[[#Headers],[Fuori Casa]],$I916&lt;&gt;SottocategorieUscite[[#Headers],[Varie Uscite]],$I916&lt;&gt;SottocategorieUscite[[#Headers],[Personali]],$I916&lt;&gt;SottocategorieUscite[[#Headers],[Lavoro]],$I916&lt;&gt;SottocategorieUscite[[#Headers],[Casa]],$I916&lt;&gt;SottocategorieUscite[[#Headers],[Utenze]],$I916&lt;&gt;SottocategorieUscite[[#Headers],[Business Uscite]],$I916&lt;&gt;SottocategorieUscite[[#Headers],[Banca]]),"","$ -")</f>
        <v/>
      </c>
      <c r="N916" s="59" t="str">
        <f>IF(OR(Data!$I916=SottocategorieEntrate[[#Headers],[Business Entrate]],Data!$I916=SottocategorieEntrate[[#Headers],[Varie Entrate]]),"$ -","")</f>
        <v/>
      </c>
      <c r="O916" s="59" t="str">
        <f>IF(OR(Data!$I916=SottocategorieEntrate[[#Headers],[Real Estate]],SottocategorieEntrate[[#Headers],[Other]]),"$ -","")</f>
        <v/>
      </c>
      <c r="P916" s="59" t="str">
        <f>IF(OR($I916&lt;&gt;SottocategorieEntrate[[#Headers],[Business Entrate]],$I916&lt;&gt;SottocategorieEntrate[[#Headers],[Varie Entrate]],$I916&lt;&gt;SottocategorieEntrate[[#Headers],[Real Estate]],$I916&lt;&gt;SottocategorieEntrate[[#Headers],[Other]]),"","$ -")</f>
        <v/>
      </c>
      <c r="Q916" s="59" t="str">
        <f>IF(Dati[[#This Row],[Categoria]]="Prelievo","€ -","")</f>
        <v/>
      </c>
      <c r="R916" s="244"/>
      <c r="S916" s="59" t="str">
        <f>IF(Dati[[#This Row],[Categoria]]="Savings",0,"")</f>
        <v/>
      </c>
      <c r="T916" s="59"/>
      <c r="U916" s="59"/>
      <c r="V916" s="59"/>
      <c r="W916" s="59"/>
      <c r="X916" s="59"/>
      <c r="Y916" s="59"/>
      <c r="Z916" s="59"/>
      <c r="AA916" s="59"/>
      <c r="AB916" s="59"/>
      <c r="AC916" s="59"/>
      <c r="AD916" s="59"/>
      <c r="AE916" s="59"/>
      <c r="AF916" s="59"/>
      <c r="AG916" s="59"/>
      <c r="AH916" s="59"/>
      <c r="AI916" s="59" t="str">
        <f>IF(SUM(Dati[[#This Row],[Inv. Business]:[Inv. Cryptocurrency]])=0," ",SUM(Dati[[#This Row],[Inv. Business]:[Inv. Cryptocurrency]]))</f>
        <v xml:space="preserve"> </v>
      </c>
      <c r="AJ916" s="59"/>
      <c r="AK916" s="59"/>
      <c r="AL916" s="59"/>
      <c r="AM916" s="59"/>
    </row>
    <row r="917" spans="2:39" x14ac:dyDescent="0.35">
      <c r="B917" s="237">
        <f>ROW(884:884)</f>
        <v>884</v>
      </c>
      <c r="C917" s="49">
        <f>C912+1</f>
        <v>45600</v>
      </c>
      <c r="D917" s="29">
        <f>DAY(Dati[[#This Row],[Data]])</f>
        <v>4</v>
      </c>
      <c r="E917" s="29" t="str">
        <f>IF(DAY(Data!$C$21:$C$1327)&gt;0,TEXT(Data!$C$21:$C$1327, "mmmm"),"")</f>
        <v>novembre</v>
      </c>
      <c r="F917" s="29" t="str">
        <f>IF(DAY(Data!$C$21:$C$1327)&gt;0,TEXT(Data!$C$21:$C$1327, "aaaa"),"")</f>
        <v>2024</v>
      </c>
      <c r="I917" t="str">
        <f>IF(OR(H917=$B$5,H917=$B$6,H917=$B$7,H917=$B$8,H917=$B$9,H917=$B$10,H917=$B$11,H917=$B$12,H917=$B$13,H917=$B$14),SottocategorieUscite[[#Headers],[Fuori Casa]],IF(OR(H917=$C$5,H917=$C$6,H917=$C$7,H917=$C$8,H917=$C$9,H917=$C$10,H917=$C$11,H917=$C$12,H917=$C$13,H917=$C$14),SottocategorieUscite[[#Headers],[Varie Uscite]],IF(OR(H917=$D$5,H917=$D$6,H917=$D$7,H917=$D$8,H917=$D$9,H917=$D$10,H917=$D$11,H917=$D$12,H917=$D$13,H917=$D$14),SottocategorieUscite[[#Headers],[Personali]],IF(OR(H917=$E$5,H917=$E$6,H917=$E$7,H917=$E$8,H917=$E$9,H917=$E$10,H917=$E$11,H917=$E$12,H917=$E$13,H917=$E$14),SottocategorieUscite[[#Headers],[Lavoro]],IF(OR(H917=$F$5,H917=$F$6,H917=$F$7,H917=$F$8,H917=$F$9,H917=$F$10,H917=$F$11,H917=$F$12,H917=$F$13,H917=$F$14),SottocategorieUscite[[#Headers],[Casa]],IF(OR(H917=$G$5,H917=$G$6,H917=$G$7,H917=$G$8,H917=$G$9,H917=$G$10,H917=$G$11,H917=$G$12,H917=$G$13,H917=$G$14),SottocategorieUscite[[#Headers],[Utenze]],IF(OR(H917=$H$5,H917=$H$6,H917=$H$7,H917=$H$8,H917=$H$9,H917=$H$10,H917=$H$11,H917=$H$12,H917=$H$13,H917=$H$14),SottocategorieUscite[[#Headers],[Business Uscite]],IF(OR(H917=$I$5,H917=$I$6,H917=$I$7,H917=$I$8,H917=$I$9,H917=$I$10,H917=$I$11,H917=$I$12,H917=$I$13,H917=$I$14),SottocategorieUscite[[#Headers],[Banca]],IF(OR(H917=K$5,H917=K$6,H917=K$7,H917=K$8,H917=K$9,H917=K$10,H917=K$11,H917=K$12,H917=K$13,H917=K$14),SottocategorieEntrate[[#Headers],[Business Entrate]],IF(OR(H917=L$5,H917=L$6,H917=L$7,H917=L$8,H917=L$9,H917=L$10,H917=L$11,H917=L$12,H917=L$13,H917=L$14),SottocategorieEntrate[[#Headers],[Varie Entrate]],IF(OR(H917=M$5,H917=M$6,H917=M$7,H917=M$8,H917=M$9,H917=M$10,H917=M$11,H917=M$12,H917=M$13,H917=M$14),SottocategorieEntrate[[#Headers],[Real Estate]],IF(OR(H917=N$5,H917=N$6,H917=N$7,H917=N$8,H917=N$9,H917=N$10,H917=N$11,H917=N$12,H917=N$13,H917=N$14),SottocategorieEntrate[[#Headers],[Other]],""))))))))))))</f>
        <v/>
      </c>
      <c r="J917" t="str">
        <f>IF(OR(Dati[[#This Row],[Categoria]]="Bollette",Dati[[#This Row],[Categoria]]="Conto &amp; Carte BNL",Dati[[#This Row],[Categoria]]="Prelievo",Dati[[#This Row],[Categoria]]="Affitto",Dati[[#This Row],[Categoria]]="BNL(Interessi Creditori)"),"Carta",IF(Dati[[#This Row],[Categoria]]&lt;&gt;0,"Cash",""))</f>
        <v/>
      </c>
      <c r="K917" s="59" t="str">
        <f>IF(OR(Data!$I917=SottocategorieUscite[[#Headers],[Fuori Casa]],Data!$I917=SottocategorieUscite[[#Headers],[Varie Uscite]],Data!$I917=SottocategorieUscite[[#Headers],[Personali]],Data!$I917=SottocategorieUscite[[#Headers],[Lavoro]]),"$ -","")</f>
        <v/>
      </c>
      <c r="L917" s="59" t="str">
        <f>IF(OR(Data!$I917=SottocategorieUscite[[#Headers],[Casa]],Data!$I917=SottocategorieUscite[[#Headers],[Utenze]],Data!$I917=SottocategorieUscite[[#Headers],[Business Uscite]],Data!$I917=SottocategorieUscite[[#Headers],[Banca]]),"$ -","")</f>
        <v/>
      </c>
      <c r="M917" s="59" t="str">
        <f>IF(OR($I917&lt;&gt;SottocategorieUscite[[#Headers],[Fuori Casa]],$I917&lt;&gt;SottocategorieUscite[[#Headers],[Varie Uscite]],$I917&lt;&gt;SottocategorieUscite[[#Headers],[Personali]],$I917&lt;&gt;SottocategorieUscite[[#Headers],[Lavoro]],$I917&lt;&gt;SottocategorieUscite[[#Headers],[Casa]],$I917&lt;&gt;SottocategorieUscite[[#Headers],[Utenze]],$I917&lt;&gt;SottocategorieUscite[[#Headers],[Business Uscite]],$I917&lt;&gt;SottocategorieUscite[[#Headers],[Banca]]),"","$ -")</f>
        <v/>
      </c>
      <c r="N917" s="59" t="str">
        <f>IF(OR(Data!$I917=SottocategorieEntrate[[#Headers],[Business Entrate]],Data!$I917=SottocategorieEntrate[[#Headers],[Varie Entrate]]),"$ -","")</f>
        <v/>
      </c>
      <c r="O917" s="59" t="str">
        <f>IF(OR(Data!$I917=SottocategorieEntrate[[#Headers],[Real Estate]],SottocategorieEntrate[[#Headers],[Other]]),"$ -","")</f>
        <v/>
      </c>
      <c r="P917" s="59" t="str">
        <f>IF(OR($I917&lt;&gt;SottocategorieEntrate[[#Headers],[Business Entrate]],$I917&lt;&gt;SottocategorieEntrate[[#Headers],[Varie Entrate]],$I917&lt;&gt;SottocategorieEntrate[[#Headers],[Real Estate]],$I917&lt;&gt;SottocategorieEntrate[[#Headers],[Other]]),"","$ -")</f>
        <v/>
      </c>
      <c r="Q917" s="59" t="str">
        <f>IF(Dati[[#This Row],[Categoria]]="Prelievo","€ -","")</f>
        <v/>
      </c>
      <c r="R917" s="244"/>
      <c r="S917" s="59" t="str">
        <f>IF(Dati[[#This Row],[Categoria]]="Savings",0,"")</f>
        <v/>
      </c>
      <c r="T917" s="59"/>
      <c r="U917" s="59"/>
      <c r="V917" s="59"/>
      <c r="W917" s="59"/>
      <c r="X917" s="59"/>
      <c r="Y917" s="59"/>
      <c r="Z917" s="59"/>
      <c r="AA917" s="59"/>
      <c r="AB917" s="59"/>
      <c r="AC917" s="59"/>
      <c r="AD917" s="59"/>
      <c r="AE917" s="59"/>
      <c r="AF917" s="59"/>
      <c r="AG917" s="59"/>
      <c r="AH917" s="59"/>
      <c r="AI917" s="59" t="str">
        <f>IF(SUM(Dati[[#This Row],[Inv. Business]:[Inv. Cryptocurrency]])=0," ",SUM(Dati[[#This Row],[Inv. Business]:[Inv. Cryptocurrency]]))</f>
        <v xml:space="preserve"> </v>
      </c>
      <c r="AJ917" s="59"/>
      <c r="AK917" s="59"/>
      <c r="AL917" s="59"/>
      <c r="AM917" s="59"/>
    </row>
    <row r="918" spans="2:39" x14ac:dyDescent="0.35">
      <c r="B918" s="237">
        <f>ROW(885:885)</f>
        <v>885</v>
      </c>
      <c r="C918" s="49">
        <f>C913+1</f>
        <v>45601</v>
      </c>
      <c r="D918" s="29">
        <f>DAY(Dati[[#This Row],[Data]])</f>
        <v>5</v>
      </c>
      <c r="E918" s="29" t="str">
        <f>IF(DAY(Data!$C$21:$C$1327)&gt;0,TEXT(Data!$C$21:$C$1327, "mmmm"),"")</f>
        <v>novembre</v>
      </c>
      <c r="F918" s="29" t="str">
        <f>IF(DAY(Data!$C$21:$C$1327)&gt;0,TEXT(Data!$C$21:$C$1327, "aaaa"),"")</f>
        <v>2024</v>
      </c>
      <c r="I918" t="str">
        <f>IF(OR(H918=$B$5,H918=$B$6,H918=$B$7,H918=$B$8,H918=$B$9,H918=$B$10,H918=$B$11,H918=$B$12,H918=$B$13,H918=$B$14),SottocategorieUscite[[#Headers],[Fuori Casa]],IF(OR(H918=$C$5,H918=$C$6,H918=$C$7,H918=$C$8,H918=$C$9,H918=$C$10,H918=$C$11,H918=$C$12,H918=$C$13,H918=$C$14),SottocategorieUscite[[#Headers],[Varie Uscite]],IF(OR(H918=$D$5,H918=$D$6,H918=$D$7,H918=$D$8,H918=$D$9,H918=$D$10,H918=$D$11,H918=$D$12,H918=$D$13,H918=$D$14),SottocategorieUscite[[#Headers],[Personali]],IF(OR(H918=$E$5,H918=$E$6,H918=$E$7,H918=$E$8,H918=$E$9,H918=$E$10,H918=$E$11,H918=$E$12,H918=$E$13,H918=$E$14),SottocategorieUscite[[#Headers],[Lavoro]],IF(OR(H918=$F$5,H918=$F$6,H918=$F$7,H918=$F$8,H918=$F$9,H918=$F$10,H918=$F$11,H918=$F$12,H918=$F$13,H918=$F$14),SottocategorieUscite[[#Headers],[Casa]],IF(OR(H918=$G$5,H918=$G$6,H918=$G$7,H918=$G$8,H918=$G$9,H918=$G$10,H918=$G$11,H918=$G$12,H918=$G$13,H918=$G$14),SottocategorieUscite[[#Headers],[Utenze]],IF(OR(H918=$H$5,H918=$H$6,H918=$H$7,H918=$H$8,H918=$H$9,H918=$H$10,H918=$H$11,H918=$H$12,H918=$H$13,H918=$H$14),SottocategorieUscite[[#Headers],[Business Uscite]],IF(OR(H918=$I$5,H918=$I$6,H918=$I$7,H918=$I$8,H918=$I$9,H918=$I$10,H918=$I$11,H918=$I$12,H918=$I$13,H918=$I$14),SottocategorieUscite[[#Headers],[Banca]],IF(OR(H918=K$5,H918=K$6,H918=K$7,H918=K$8,H918=K$9,H918=K$10,H918=K$11,H918=K$12,H918=K$13,H918=K$14),SottocategorieEntrate[[#Headers],[Business Entrate]],IF(OR(H918=L$5,H918=L$6,H918=L$7,H918=L$8,H918=L$9,H918=L$10,H918=L$11,H918=L$12,H918=L$13,H918=L$14),SottocategorieEntrate[[#Headers],[Varie Entrate]],IF(OR(H918=M$5,H918=M$6,H918=M$7,H918=M$8,H918=M$9,H918=M$10,H918=M$11,H918=M$12,H918=M$13,H918=M$14),SottocategorieEntrate[[#Headers],[Real Estate]],IF(OR(H918=N$5,H918=N$6,H918=N$7,H918=N$8,H918=N$9,H918=N$10,H918=N$11,H918=N$12,H918=N$13,H918=N$14),SottocategorieEntrate[[#Headers],[Other]],""))))))))))))</f>
        <v/>
      </c>
      <c r="J918" t="str">
        <f>IF(OR(Dati[[#This Row],[Categoria]]="Bollette",Dati[[#This Row],[Categoria]]="Conto &amp; Carte BNL",Dati[[#This Row],[Categoria]]="Prelievo",Dati[[#This Row],[Categoria]]="Affitto",Dati[[#This Row],[Categoria]]="BNL(Interessi Creditori)"),"Carta",IF(Dati[[#This Row],[Categoria]]&lt;&gt;0,"Cash",""))</f>
        <v/>
      </c>
      <c r="K918" s="59" t="str">
        <f>IF(OR(Data!$I918=SottocategorieUscite[[#Headers],[Fuori Casa]],Data!$I918=SottocategorieUscite[[#Headers],[Varie Uscite]],Data!$I918=SottocategorieUscite[[#Headers],[Personali]],Data!$I918=SottocategorieUscite[[#Headers],[Lavoro]]),"$ -","")</f>
        <v/>
      </c>
      <c r="L918" s="59" t="str">
        <f>IF(OR(Data!$I918=SottocategorieUscite[[#Headers],[Casa]],Data!$I918=SottocategorieUscite[[#Headers],[Utenze]],Data!$I918=SottocategorieUscite[[#Headers],[Business Uscite]],Data!$I918=SottocategorieUscite[[#Headers],[Banca]]),"$ -","")</f>
        <v/>
      </c>
      <c r="M918" s="59" t="str">
        <f>IF(OR($I918&lt;&gt;SottocategorieUscite[[#Headers],[Fuori Casa]],$I918&lt;&gt;SottocategorieUscite[[#Headers],[Varie Uscite]],$I918&lt;&gt;SottocategorieUscite[[#Headers],[Personali]],$I918&lt;&gt;SottocategorieUscite[[#Headers],[Lavoro]],$I918&lt;&gt;SottocategorieUscite[[#Headers],[Casa]],$I918&lt;&gt;SottocategorieUscite[[#Headers],[Utenze]],$I918&lt;&gt;SottocategorieUscite[[#Headers],[Business Uscite]],$I918&lt;&gt;SottocategorieUscite[[#Headers],[Banca]]),"","$ -")</f>
        <v/>
      </c>
      <c r="N918" s="59" t="str">
        <f>IF(OR(Data!$I918=SottocategorieEntrate[[#Headers],[Business Entrate]],Data!$I918=SottocategorieEntrate[[#Headers],[Varie Entrate]]),"$ -","")</f>
        <v/>
      </c>
      <c r="O918" s="59" t="str">
        <f>IF(OR(Data!$I918=SottocategorieEntrate[[#Headers],[Real Estate]],SottocategorieEntrate[[#Headers],[Other]]),"$ -","")</f>
        <v/>
      </c>
      <c r="P918" s="59" t="str">
        <f>IF(OR($I918&lt;&gt;SottocategorieEntrate[[#Headers],[Business Entrate]],$I918&lt;&gt;SottocategorieEntrate[[#Headers],[Varie Entrate]],$I918&lt;&gt;SottocategorieEntrate[[#Headers],[Real Estate]],$I918&lt;&gt;SottocategorieEntrate[[#Headers],[Other]]),"","$ -")</f>
        <v/>
      </c>
      <c r="Q918" s="59" t="str">
        <f>IF(Dati[[#This Row],[Categoria]]="Prelievo","€ -","")</f>
        <v/>
      </c>
      <c r="R918" s="244"/>
      <c r="S918" s="59" t="str">
        <f>IF(Dati[[#This Row],[Categoria]]="Savings",0,"")</f>
        <v/>
      </c>
      <c r="T918" s="59"/>
      <c r="U918" s="59"/>
      <c r="V918" s="59"/>
      <c r="W918" s="59"/>
      <c r="X918" s="59"/>
      <c r="Y918" s="59"/>
      <c r="Z918" s="59"/>
      <c r="AA918" s="59"/>
      <c r="AB918" s="59"/>
      <c r="AC918" s="59"/>
      <c r="AD918" s="59"/>
      <c r="AE918" s="59"/>
      <c r="AF918" s="59"/>
      <c r="AG918" s="59"/>
      <c r="AH918" s="59"/>
      <c r="AI918" s="59" t="str">
        <f>IF(SUM(Dati[[#This Row],[Inv. Business]:[Inv. Cryptocurrency]])=0," ",SUM(Dati[[#This Row],[Inv. Business]:[Inv. Cryptocurrency]]))</f>
        <v xml:space="preserve"> </v>
      </c>
      <c r="AJ918" s="59"/>
      <c r="AK918" s="59"/>
      <c r="AL918" s="59"/>
      <c r="AM918" s="59"/>
    </row>
    <row r="919" spans="2:39" x14ac:dyDescent="0.35">
      <c r="B919" s="237">
        <f>ROW(885:885)</f>
        <v>885</v>
      </c>
      <c r="C919" s="49">
        <f>C917+1</f>
        <v>45601</v>
      </c>
      <c r="D919" s="29">
        <f>DAY(Dati[[#This Row],[Data]])</f>
        <v>5</v>
      </c>
      <c r="E919" s="29" t="str">
        <f>IF(DAY(Data!$C$21:$C$1327)&gt;0,TEXT(Data!$C$21:$C$1327, "mmmm"),"")</f>
        <v>novembre</v>
      </c>
      <c r="F919" s="29" t="str">
        <f>IF(DAY(Data!$C$21:$C$1327)&gt;0,TEXT(Data!$C$21:$C$1327, "aaaa"),"")</f>
        <v>2024</v>
      </c>
      <c r="I919" t="str">
        <f>IF(OR(H919=$B$5,H919=$B$6,H919=$B$7,H919=$B$8,H919=$B$9,H919=$B$10,H919=$B$11,H919=$B$12,H919=$B$13,H919=$B$14),SottocategorieUscite[[#Headers],[Fuori Casa]],IF(OR(H919=$C$5,H919=$C$6,H919=$C$7,H919=$C$8,H919=$C$9,H919=$C$10,H919=$C$11,H919=$C$12,H919=$C$13,H919=$C$14),SottocategorieUscite[[#Headers],[Varie Uscite]],IF(OR(H919=$D$5,H919=$D$6,H919=$D$7,H919=$D$8,H919=$D$9,H919=$D$10,H919=$D$11,H919=$D$12,H919=$D$13,H919=$D$14),SottocategorieUscite[[#Headers],[Personali]],IF(OR(H919=$E$5,H919=$E$6,H919=$E$7,H919=$E$8,H919=$E$9,H919=$E$10,H919=$E$11,H919=$E$12,H919=$E$13,H919=$E$14),SottocategorieUscite[[#Headers],[Lavoro]],IF(OR(H919=$F$5,H919=$F$6,H919=$F$7,H919=$F$8,H919=$F$9,H919=$F$10,H919=$F$11,H919=$F$12,H919=$F$13,H919=$F$14),SottocategorieUscite[[#Headers],[Casa]],IF(OR(H919=$G$5,H919=$G$6,H919=$G$7,H919=$G$8,H919=$G$9,H919=$G$10,H919=$G$11,H919=$G$12,H919=$G$13,H919=$G$14),SottocategorieUscite[[#Headers],[Utenze]],IF(OR(H919=$H$5,H919=$H$6,H919=$H$7,H919=$H$8,H919=$H$9,H919=$H$10,H919=$H$11,H919=$H$12,H919=$H$13,H919=$H$14),SottocategorieUscite[[#Headers],[Business Uscite]],IF(OR(H919=$I$5,H919=$I$6,H919=$I$7,H919=$I$8,H919=$I$9,H919=$I$10,H919=$I$11,H919=$I$12,H919=$I$13,H919=$I$14),SottocategorieUscite[[#Headers],[Banca]],IF(OR(H919=K$5,H919=K$6,H919=K$7,H919=K$8,H919=K$9,H919=K$10,H919=K$11,H919=K$12,H919=K$13,H919=K$14),SottocategorieEntrate[[#Headers],[Business Entrate]],IF(OR(H919=L$5,H919=L$6,H919=L$7,H919=L$8,H919=L$9,H919=L$10,H919=L$11,H919=L$12,H919=L$13,H919=L$14),SottocategorieEntrate[[#Headers],[Varie Entrate]],IF(OR(H919=M$5,H919=M$6,H919=M$7,H919=M$8,H919=M$9,H919=M$10,H919=M$11,H919=M$12,H919=M$13,H919=M$14),SottocategorieEntrate[[#Headers],[Real Estate]],IF(OR(H919=N$5,H919=N$6,H919=N$7,H919=N$8,H919=N$9,H919=N$10,H919=N$11,H919=N$12,H919=N$13,H919=N$14),SottocategorieEntrate[[#Headers],[Other]],""))))))))))))</f>
        <v/>
      </c>
      <c r="J919" t="str">
        <f>IF(OR(Dati[[#This Row],[Categoria]]="Bollette",Dati[[#This Row],[Categoria]]="Conto &amp; Carte BNL",Dati[[#This Row],[Categoria]]="Prelievo",Dati[[#This Row],[Categoria]]="Affitto",Dati[[#This Row],[Categoria]]="BNL(Interessi Creditori)"),"Carta",IF(Dati[[#This Row],[Categoria]]&lt;&gt;0,"Cash",""))</f>
        <v/>
      </c>
      <c r="K919" s="59" t="str">
        <f>IF(OR(Data!$I919=SottocategorieUscite[[#Headers],[Fuori Casa]],Data!$I919=SottocategorieUscite[[#Headers],[Varie Uscite]],Data!$I919=SottocategorieUscite[[#Headers],[Personali]],Data!$I919=SottocategorieUscite[[#Headers],[Lavoro]]),"$ -","")</f>
        <v/>
      </c>
      <c r="L919" s="59" t="str">
        <f>IF(OR(Data!$I919=SottocategorieUscite[[#Headers],[Casa]],Data!$I919=SottocategorieUscite[[#Headers],[Utenze]],Data!$I919=SottocategorieUscite[[#Headers],[Business Uscite]],Data!$I919=SottocategorieUscite[[#Headers],[Banca]]),"$ -","")</f>
        <v/>
      </c>
      <c r="M919" s="59" t="str">
        <f>IF(OR($I919&lt;&gt;SottocategorieUscite[[#Headers],[Fuori Casa]],$I919&lt;&gt;SottocategorieUscite[[#Headers],[Varie Uscite]],$I919&lt;&gt;SottocategorieUscite[[#Headers],[Personali]],$I919&lt;&gt;SottocategorieUscite[[#Headers],[Lavoro]],$I919&lt;&gt;SottocategorieUscite[[#Headers],[Casa]],$I919&lt;&gt;SottocategorieUscite[[#Headers],[Utenze]],$I919&lt;&gt;SottocategorieUscite[[#Headers],[Business Uscite]],$I919&lt;&gt;SottocategorieUscite[[#Headers],[Banca]]),"","$ -")</f>
        <v/>
      </c>
      <c r="N919" s="59" t="str">
        <f>IF(OR(Data!$I919=SottocategorieEntrate[[#Headers],[Business Entrate]],Data!$I919=SottocategorieEntrate[[#Headers],[Varie Entrate]]),"$ -","")</f>
        <v/>
      </c>
      <c r="O919" s="59" t="str">
        <f>IF(OR(Data!$I919=SottocategorieEntrate[[#Headers],[Real Estate]],SottocategorieEntrate[[#Headers],[Other]]),"$ -","")</f>
        <v/>
      </c>
      <c r="P919" s="59" t="str">
        <f>IF(OR($I919&lt;&gt;SottocategorieEntrate[[#Headers],[Business Entrate]],$I919&lt;&gt;SottocategorieEntrate[[#Headers],[Varie Entrate]],$I919&lt;&gt;SottocategorieEntrate[[#Headers],[Real Estate]],$I919&lt;&gt;SottocategorieEntrate[[#Headers],[Other]]),"","$ -")</f>
        <v/>
      </c>
      <c r="Q919" s="59" t="str">
        <f>IF(Dati[[#This Row],[Categoria]]="Prelievo","€ -","")</f>
        <v/>
      </c>
      <c r="R919" s="244"/>
      <c r="S919" s="59" t="str">
        <f>IF(Dati[[#This Row],[Categoria]]="Savings",0,"")</f>
        <v/>
      </c>
      <c r="T919" s="59"/>
      <c r="U919" s="59"/>
      <c r="V919" s="59"/>
      <c r="W919" s="59"/>
      <c r="X919" s="59"/>
      <c r="Y919" s="59"/>
      <c r="Z919" s="59"/>
      <c r="AA919" s="59"/>
      <c r="AB919" s="59"/>
      <c r="AC919" s="59"/>
      <c r="AD919" s="59"/>
      <c r="AE919" s="59"/>
      <c r="AF919" s="59"/>
      <c r="AG919" s="59"/>
      <c r="AH919" s="59"/>
      <c r="AI919" s="59" t="str">
        <f>IF(SUM(Dati[[#This Row],[Inv. Business]:[Inv. Cryptocurrency]])=0," ",SUM(Dati[[#This Row],[Inv. Business]:[Inv. Cryptocurrency]]))</f>
        <v xml:space="preserve"> </v>
      </c>
      <c r="AJ919" s="59"/>
      <c r="AK919" s="59"/>
      <c r="AL919" s="59"/>
      <c r="AM919" s="59"/>
    </row>
    <row r="920" spans="2:39" x14ac:dyDescent="0.35">
      <c r="B920" s="237">
        <f>ROW(885:885)</f>
        <v>885</v>
      </c>
      <c r="C920" s="49">
        <f>C917+1</f>
        <v>45601</v>
      </c>
      <c r="D920" s="29">
        <f>DAY(Dati[[#This Row],[Data]])</f>
        <v>5</v>
      </c>
      <c r="E920" s="29" t="str">
        <f>IF(DAY(Data!$C$21:$C$1327)&gt;0,TEXT(Data!$C$21:$C$1327, "mmmm"),"")</f>
        <v>novembre</v>
      </c>
      <c r="F920" s="29" t="str">
        <f>IF(DAY(Data!$C$21:$C$1327)&gt;0,TEXT(Data!$C$21:$C$1327, "aaaa"),"")</f>
        <v>2024</v>
      </c>
      <c r="I920" t="str">
        <f>IF(OR(H920=$B$5,H920=$B$6,H920=$B$7,H920=$B$8,H920=$B$9,H920=$B$10,H920=$B$11,H920=$B$12,H920=$B$13,H920=$B$14),SottocategorieUscite[[#Headers],[Fuori Casa]],IF(OR(H920=$C$5,H920=$C$6,H920=$C$7,H920=$C$8,H920=$C$9,H920=$C$10,H920=$C$11,H920=$C$12,H920=$C$13,H920=$C$14),SottocategorieUscite[[#Headers],[Varie Uscite]],IF(OR(H920=$D$5,H920=$D$6,H920=$D$7,H920=$D$8,H920=$D$9,H920=$D$10,H920=$D$11,H920=$D$12,H920=$D$13,H920=$D$14),SottocategorieUscite[[#Headers],[Personali]],IF(OR(H920=$E$5,H920=$E$6,H920=$E$7,H920=$E$8,H920=$E$9,H920=$E$10,H920=$E$11,H920=$E$12,H920=$E$13,H920=$E$14),SottocategorieUscite[[#Headers],[Lavoro]],IF(OR(H920=$F$5,H920=$F$6,H920=$F$7,H920=$F$8,H920=$F$9,H920=$F$10,H920=$F$11,H920=$F$12,H920=$F$13,H920=$F$14),SottocategorieUscite[[#Headers],[Casa]],IF(OR(H920=$G$5,H920=$G$6,H920=$G$7,H920=$G$8,H920=$G$9,H920=$G$10,H920=$G$11,H920=$G$12,H920=$G$13,H920=$G$14),SottocategorieUscite[[#Headers],[Utenze]],IF(OR(H920=$H$5,H920=$H$6,H920=$H$7,H920=$H$8,H920=$H$9,H920=$H$10,H920=$H$11,H920=$H$12,H920=$H$13,H920=$H$14),SottocategorieUscite[[#Headers],[Business Uscite]],IF(OR(H920=$I$5,H920=$I$6,H920=$I$7,H920=$I$8,H920=$I$9,H920=$I$10,H920=$I$11,H920=$I$12,H920=$I$13,H920=$I$14),SottocategorieUscite[[#Headers],[Banca]],IF(OR(H920=K$5,H920=K$6,H920=K$7,H920=K$8,H920=K$9,H920=K$10,H920=K$11,H920=K$12,H920=K$13,H920=K$14),SottocategorieEntrate[[#Headers],[Business Entrate]],IF(OR(H920=L$5,H920=L$6,H920=L$7,H920=L$8,H920=L$9,H920=L$10,H920=L$11,H920=L$12,H920=L$13,H920=L$14),SottocategorieEntrate[[#Headers],[Varie Entrate]],IF(OR(H920=M$5,H920=M$6,H920=M$7,H920=M$8,H920=M$9,H920=M$10,H920=M$11,H920=M$12,H920=M$13,H920=M$14),SottocategorieEntrate[[#Headers],[Real Estate]],IF(OR(H920=N$5,H920=N$6,H920=N$7,H920=N$8,H920=N$9,H920=N$10,H920=N$11,H920=N$12,H920=N$13,H920=N$14),SottocategorieEntrate[[#Headers],[Other]],""))))))))))))</f>
        <v/>
      </c>
      <c r="J920" t="str">
        <f>IF(OR(Dati[[#This Row],[Categoria]]="Bollette",Dati[[#This Row],[Categoria]]="Conto &amp; Carte BNL",Dati[[#This Row],[Categoria]]="Prelievo",Dati[[#This Row],[Categoria]]="Affitto",Dati[[#This Row],[Categoria]]="BNL(Interessi Creditori)"),"Carta",IF(Dati[[#This Row],[Categoria]]&lt;&gt;0,"Cash",""))</f>
        <v/>
      </c>
      <c r="K920" s="59" t="str">
        <f>IF(OR(Data!$I920=SottocategorieUscite[[#Headers],[Fuori Casa]],Data!$I920=SottocategorieUscite[[#Headers],[Varie Uscite]],Data!$I920=SottocategorieUscite[[#Headers],[Personali]],Data!$I920=SottocategorieUscite[[#Headers],[Lavoro]]),"$ -","")</f>
        <v/>
      </c>
      <c r="L920" s="59" t="str">
        <f>IF(OR(Data!$I920=SottocategorieUscite[[#Headers],[Casa]],Data!$I920=SottocategorieUscite[[#Headers],[Utenze]],Data!$I920=SottocategorieUscite[[#Headers],[Business Uscite]],Data!$I920=SottocategorieUscite[[#Headers],[Banca]]),"$ -","")</f>
        <v/>
      </c>
      <c r="M920" s="59" t="str">
        <f>IF(OR($I920&lt;&gt;SottocategorieUscite[[#Headers],[Fuori Casa]],$I920&lt;&gt;SottocategorieUscite[[#Headers],[Varie Uscite]],$I920&lt;&gt;SottocategorieUscite[[#Headers],[Personali]],$I920&lt;&gt;SottocategorieUscite[[#Headers],[Lavoro]],$I920&lt;&gt;SottocategorieUscite[[#Headers],[Casa]],$I920&lt;&gt;SottocategorieUscite[[#Headers],[Utenze]],$I920&lt;&gt;SottocategorieUscite[[#Headers],[Business Uscite]],$I920&lt;&gt;SottocategorieUscite[[#Headers],[Banca]]),"","$ -")</f>
        <v/>
      </c>
      <c r="N920" s="59" t="str">
        <f>IF(OR(Data!$I920=SottocategorieEntrate[[#Headers],[Business Entrate]],Data!$I920=SottocategorieEntrate[[#Headers],[Varie Entrate]]),"$ -","")</f>
        <v/>
      </c>
      <c r="O920" s="59" t="str">
        <f>IF(OR(Data!$I920=SottocategorieEntrate[[#Headers],[Real Estate]],SottocategorieEntrate[[#Headers],[Other]]),"$ -","")</f>
        <v/>
      </c>
      <c r="P920" s="59" t="str">
        <f>IF(OR($I920&lt;&gt;SottocategorieEntrate[[#Headers],[Business Entrate]],$I920&lt;&gt;SottocategorieEntrate[[#Headers],[Varie Entrate]],$I920&lt;&gt;SottocategorieEntrate[[#Headers],[Real Estate]],$I920&lt;&gt;SottocategorieEntrate[[#Headers],[Other]]),"","$ -")</f>
        <v/>
      </c>
      <c r="Q920" s="59" t="str">
        <f>IF(Dati[[#This Row],[Categoria]]="Prelievo","€ -","")</f>
        <v/>
      </c>
      <c r="R920" s="244"/>
      <c r="S920" s="59" t="str">
        <f>IF(Dati[[#This Row],[Categoria]]="Savings",0,"")</f>
        <v/>
      </c>
      <c r="T920" s="59"/>
      <c r="U920" s="59"/>
      <c r="V920" s="59"/>
      <c r="W920" s="59"/>
      <c r="X920" s="59"/>
      <c r="Y920" s="59"/>
      <c r="Z920" s="59"/>
      <c r="AA920" s="59"/>
      <c r="AB920" s="59"/>
      <c r="AC920" s="59"/>
      <c r="AD920" s="59"/>
      <c r="AE920" s="59"/>
      <c r="AF920" s="59"/>
      <c r="AG920" s="59"/>
      <c r="AH920" s="59"/>
      <c r="AI920" s="59" t="str">
        <f>IF(SUM(Dati[[#This Row],[Inv. Business]:[Inv. Cryptocurrency]])=0," ",SUM(Dati[[#This Row],[Inv. Business]:[Inv. Cryptocurrency]]))</f>
        <v xml:space="preserve"> </v>
      </c>
      <c r="AJ920" s="59"/>
      <c r="AK920" s="59"/>
      <c r="AL920" s="59"/>
      <c r="AM920" s="59"/>
    </row>
    <row r="921" spans="2:39" x14ac:dyDescent="0.35">
      <c r="B921" s="237">
        <f>ROW(885:885)</f>
        <v>885</v>
      </c>
      <c r="C921" s="49">
        <f>C917+1</f>
        <v>45601</v>
      </c>
      <c r="D921" s="29">
        <f>DAY(Dati[[#This Row],[Data]])</f>
        <v>5</v>
      </c>
      <c r="E921" s="29" t="str">
        <f>IF(DAY(Data!$C$21:$C$1327)&gt;0,TEXT(Data!$C$21:$C$1327, "mmmm"),"")</f>
        <v>novembre</v>
      </c>
      <c r="F921" s="29" t="str">
        <f>IF(DAY(Data!$C$21:$C$1327)&gt;0,TEXT(Data!$C$21:$C$1327, "aaaa"),"")</f>
        <v>2024</v>
      </c>
      <c r="I921" t="str">
        <f>IF(OR(H921=$B$5,H921=$B$6,H921=$B$7,H921=$B$8,H921=$B$9,H921=$B$10,H921=$B$11,H921=$B$12,H921=$B$13,H921=$B$14),SottocategorieUscite[[#Headers],[Fuori Casa]],IF(OR(H921=$C$5,H921=$C$6,H921=$C$7,H921=$C$8,H921=$C$9,H921=$C$10,H921=$C$11,H921=$C$12,H921=$C$13,H921=$C$14),SottocategorieUscite[[#Headers],[Varie Uscite]],IF(OR(H921=$D$5,H921=$D$6,H921=$D$7,H921=$D$8,H921=$D$9,H921=$D$10,H921=$D$11,H921=$D$12,H921=$D$13,H921=$D$14),SottocategorieUscite[[#Headers],[Personali]],IF(OR(H921=$E$5,H921=$E$6,H921=$E$7,H921=$E$8,H921=$E$9,H921=$E$10,H921=$E$11,H921=$E$12,H921=$E$13,H921=$E$14),SottocategorieUscite[[#Headers],[Lavoro]],IF(OR(H921=$F$5,H921=$F$6,H921=$F$7,H921=$F$8,H921=$F$9,H921=$F$10,H921=$F$11,H921=$F$12,H921=$F$13,H921=$F$14),SottocategorieUscite[[#Headers],[Casa]],IF(OR(H921=$G$5,H921=$G$6,H921=$G$7,H921=$G$8,H921=$G$9,H921=$G$10,H921=$G$11,H921=$G$12,H921=$G$13,H921=$G$14),SottocategorieUscite[[#Headers],[Utenze]],IF(OR(H921=$H$5,H921=$H$6,H921=$H$7,H921=$H$8,H921=$H$9,H921=$H$10,H921=$H$11,H921=$H$12,H921=$H$13,H921=$H$14),SottocategorieUscite[[#Headers],[Business Uscite]],IF(OR(H921=$I$5,H921=$I$6,H921=$I$7,H921=$I$8,H921=$I$9,H921=$I$10,H921=$I$11,H921=$I$12,H921=$I$13,H921=$I$14),SottocategorieUscite[[#Headers],[Banca]],IF(OR(H921=K$5,H921=K$6,H921=K$7,H921=K$8,H921=K$9,H921=K$10,H921=K$11,H921=K$12,H921=K$13,H921=K$14),SottocategorieEntrate[[#Headers],[Business Entrate]],IF(OR(H921=L$5,H921=L$6,H921=L$7,H921=L$8,H921=L$9,H921=L$10,H921=L$11,H921=L$12,H921=L$13,H921=L$14),SottocategorieEntrate[[#Headers],[Varie Entrate]],IF(OR(H921=M$5,H921=M$6,H921=M$7,H921=M$8,H921=M$9,H921=M$10,H921=M$11,H921=M$12,H921=M$13,H921=M$14),SottocategorieEntrate[[#Headers],[Real Estate]],IF(OR(H921=N$5,H921=N$6,H921=N$7,H921=N$8,H921=N$9,H921=N$10,H921=N$11,H921=N$12,H921=N$13,H921=N$14),SottocategorieEntrate[[#Headers],[Other]],""))))))))))))</f>
        <v/>
      </c>
      <c r="J921" t="str">
        <f>IF(OR(Dati[[#This Row],[Categoria]]="Bollette",Dati[[#This Row],[Categoria]]="Conto &amp; Carte BNL",Dati[[#This Row],[Categoria]]="Prelievo",Dati[[#This Row],[Categoria]]="Affitto",Dati[[#This Row],[Categoria]]="BNL(Interessi Creditori)"),"Carta",IF(Dati[[#This Row],[Categoria]]&lt;&gt;0,"Cash",""))</f>
        <v/>
      </c>
      <c r="K921" s="59" t="str">
        <f>IF(OR(Data!$I921=SottocategorieUscite[[#Headers],[Fuori Casa]],Data!$I921=SottocategorieUscite[[#Headers],[Varie Uscite]],Data!$I921=SottocategorieUscite[[#Headers],[Personali]],Data!$I921=SottocategorieUscite[[#Headers],[Lavoro]]),"$ -","")</f>
        <v/>
      </c>
      <c r="L921" s="59" t="str">
        <f>IF(OR(Data!$I921=SottocategorieUscite[[#Headers],[Casa]],Data!$I921=SottocategorieUscite[[#Headers],[Utenze]],Data!$I921=SottocategorieUscite[[#Headers],[Business Uscite]],Data!$I921=SottocategorieUscite[[#Headers],[Banca]]),"$ -","")</f>
        <v/>
      </c>
      <c r="M921" s="59" t="str">
        <f>IF(OR($I921&lt;&gt;SottocategorieUscite[[#Headers],[Fuori Casa]],$I921&lt;&gt;SottocategorieUscite[[#Headers],[Varie Uscite]],$I921&lt;&gt;SottocategorieUscite[[#Headers],[Personali]],$I921&lt;&gt;SottocategorieUscite[[#Headers],[Lavoro]],$I921&lt;&gt;SottocategorieUscite[[#Headers],[Casa]],$I921&lt;&gt;SottocategorieUscite[[#Headers],[Utenze]],$I921&lt;&gt;SottocategorieUscite[[#Headers],[Business Uscite]],$I921&lt;&gt;SottocategorieUscite[[#Headers],[Banca]]),"","$ -")</f>
        <v/>
      </c>
      <c r="N921" s="59" t="str">
        <f>IF(OR(Data!$I921=SottocategorieEntrate[[#Headers],[Business Entrate]],Data!$I921=SottocategorieEntrate[[#Headers],[Varie Entrate]]),"$ -","")</f>
        <v/>
      </c>
      <c r="O921" s="59" t="str">
        <f>IF(OR(Data!$I921=SottocategorieEntrate[[#Headers],[Real Estate]],SottocategorieEntrate[[#Headers],[Other]]),"$ -","")</f>
        <v/>
      </c>
      <c r="P921" s="59" t="str">
        <f>IF(OR($I921&lt;&gt;SottocategorieEntrate[[#Headers],[Business Entrate]],$I921&lt;&gt;SottocategorieEntrate[[#Headers],[Varie Entrate]],$I921&lt;&gt;SottocategorieEntrate[[#Headers],[Real Estate]],$I921&lt;&gt;SottocategorieEntrate[[#Headers],[Other]]),"","$ -")</f>
        <v/>
      </c>
      <c r="Q921" s="59" t="str">
        <f>IF(Dati[[#This Row],[Categoria]]="Prelievo","€ -","")</f>
        <v/>
      </c>
      <c r="R921" s="244"/>
      <c r="S921" s="59" t="str">
        <f>IF(Dati[[#This Row],[Categoria]]="Savings",0,"")</f>
        <v/>
      </c>
      <c r="T921" s="59"/>
      <c r="U921" s="59"/>
      <c r="V921" s="59"/>
      <c r="W921" s="59"/>
      <c r="X921" s="59"/>
      <c r="Y921" s="59"/>
      <c r="Z921" s="59"/>
      <c r="AA921" s="59"/>
      <c r="AB921" s="59"/>
      <c r="AC921" s="59"/>
      <c r="AD921" s="59"/>
      <c r="AE921" s="59"/>
      <c r="AF921" s="59"/>
      <c r="AG921" s="59"/>
      <c r="AH921" s="59"/>
      <c r="AI921" s="59" t="str">
        <f>IF(SUM(Dati[[#This Row],[Inv. Business]:[Inv. Cryptocurrency]])=0," ",SUM(Dati[[#This Row],[Inv. Business]:[Inv. Cryptocurrency]]))</f>
        <v xml:space="preserve"> </v>
      </c>
      <c r="AJ921" s="59"/>
      <c r="AK921" s="59"/>
      <c r="AL921" s="59"/>
      <c r="AM921" s="59"/>
    </row>
    <row r="922" spans="2:39" x14ac:dyDescent="0.35">
      <c r="B922" s="237">
        <f>ROW(886:886)</f>
        <v>886</v>
      </c>
      <c r="C922" s="49">
        <f>C918+1</f>
        <v>45602</v>
      </c>
      <c r="D922" s="29">
        <f>DAY(Dati[[#This Row],[Data]])</f>
        <v>6</v>
      </c>
      <c r="E922" s="29" t="str">
        <f>IF(DAY(Data!$C$21:$C$1327)&gt;0,TEXT(Data!$C$21:$C$1327, "mmmm"),"")</f>
        <v>novembre</v>
      </c>
      <c r="F922" s="29" t="str">
        <f>IF(DAY(Data!$C$21:$C$1327)&gt;0,TEXT(Data!$C$21:$C$1327, "aaaa"),"")</f>
        <v>2024</v>
      </c>
      <c r="I922" t="str">
        <f>IF(OR(H922=$B$5,H922=$B$6,H922=$B$7,H922=$B$8,H922=$B$9,H922=$B$10,H922=$B$11,H922=$B$12,H922=$B$13,H922=$B$14),SottocategorieUscite[[#Headers],[Fuori Casa]],IF(OR(H922=$C$5,H922=$C$6,H922=$C$7,H922=$C$8,H922=$C$9,H922=$C$10,H922=$C$11,H922=$C$12,H922=$C$13,H922=$C$14),SottocategorieUscite[[#Headers],[Varie Uscite]],IF(OR(H922=$D$5,H922=$D$6,H922=$D$7,H922=$D$8,H922=$D$9,H922=$D$10,H922=$D$11,H922=$D$12,H922=$D$13,H922=$D$14),SottocategorieUscite[[#Headers],[Personali]],IF(OR(H922=$E$5,H922=$E$6,H922=$E$7,H922=$E$8,H922=$E$9,H922=$E$10,H922=$E$11,H922=$E$12,H922=$E$13,H922=$E$14),SottocategorieUscite[[#Headers],[Lavoro]],IF(OR(H922=$F$5,H922=$F$6,H922=$F$7,H922=$F$8,H922=$F$9,H922=$F$10,H922=$F$11,H922=$F$12,H922=$F$13,H922=$F$14),SottocategorieUscite[[#Headers],[Casa]],IF(OR(H922=$G$5,H922=$G$6,H922=$G$7,H922=$G$8,H922=$G$9,H922=$G$10,H922=$G$11,H922=$G$12,H922=$G$13,H922=$G$14),SottocategorieUscite[[#Headers],[Utenze]],IF(OR(H922=$H$5,H922=$H$6,H922=$H$7,H922=$H$8,H922=$H$9,H922=$H$10,H922=$H$11,H922=$H$12,H922=$H$13,H922=$H$14),SottocategorieUscite[[#Headers],[Business Uscite]],IF(OR(H922=$I$5,H922=$I$6,H922=$I$7,H922=$I$8,H922=$I$9,H922=$I$10,H922=$I$11,H922=$I$12,H922=$I$13,H922=$I$14),SottocategorieUscite[[#Headers],[Banca]],IF(OR(H922=K$5,H922=K$6,H922=K$7,H922=K$8,H922=K$9,H922=K$10,H922=K$11,H922=K$12,H922=K$13,H922=K$14),SottocategorieEntrate[[#Headers],[Business Entrate]],IF(OR(H922=L$5,H922=L$6,H922=L$7,H922=L$8,H922=L$9,H922=L$10,H922=L$11,H922=L$12,H922=L$13,H922=L$14),SottocategorieEntrate[[#Headers],[Varie Entrate]],IF(OR(H922=M$5,H922=M$6,H922=M$7,H922=M$8,H922=M$9,H922=M$10,H922=M$11,H922=M$12,H922=M$13,H922=M$14),SottocategorieEntrate[[#Headers],[Real Estate]],IF(OR(H922=N$5,H922=N$6,H922=N$7,H922=N$8,H922=N$9,H922=N$10,H922=N$11,H922=N$12,H922=N$13,H922=N$14),SottocategorieEntrate[[#Headers],[Other]],""))))))))))))</f>
        <v/>
      </c>
      <c r="J922" t="str">
        <f>IF(OR(Dati[[#This Row],[Categoria]]="Bollette",Dati[[#This Row],[Categoria]]="Conto &amp; Carte BNL",Dati[[#This Row],[Categoria]]="Prelievo",Dati[[#This Row],[Categoria]]="Affitto",Dati[[#This Row],[Categoria]]="BNL(Interessi Creditori)"),"Carta",IF(Dati[[#This Row],[Categoria]]&lt;&gt;0,"Cash",""))</f>
        <v/>
      </c>
      <c r="K922" s="59" t="str">
        <f>IF(OR(Data!$I922=SottocategorieUscite[[#Headers],[Fuori Casa]],Data!$I922=SottocategorieUscite[[#Headers],[Varie Uscite]],Data!$I922=SottocategorieUscite[[#Headers],[Personali]],Data!$I922=SottocategorieUscite[[#Headers],[Lavoro]]),"$ -","")</f>
        <v/>
      </c>
      <c r="L922" s="59" t="str">
        <f>IF(OR(Data!$I922=SottocategorieUscite[[#Headers],[Casa]],Data!$I922=SottocategorieUscite[[#Headers],[Utenze]],Data!$I922=SottocategorieUscite[[#Headers],[Business Uscite]],Data!$I922=SottocategorieUscite[[#Headers],[Banca]]),"$ -","")</f>
        <v/>
      </c>
      <c r="M922" s="59" t="str">
        <f>IF(OR($I922&lt;&gt;SottocategorieUscite[[#Headers],[Fuori Casa]],$I922&lt;&gt;SottocategorieUscite[[#Headers],[Varie Uscite]],$I922&lt;&gt;SottocategorieUscite[[#Headers],[Personali]],$I922&lt;&gt;SottocategorieUscite[[#Headers],[Lavoro]],$I922&lt;&gt;SottocategorieUscite[[#Headers],[Casa]],$I922&lt;&gt;SottocategorieUscite[[#Headers],[Utenze]],$I922&lt;&gt;SottocategorieUscite[[#Headers],[Business Uscite]],$I922&lt;&gt;SottocategorieUscite[[#Headers],[Banca]]),"","$ -")</f>
        <v/>
      </c>
      <c r="N922" s="59" t="str">
        <f>IF(OR(Data!$I922=SottocategorieEntrate[[#Headers],[Business Entrate]],Data!$I922=SottocategorieEntrate[[#Headers],[Varie Entrate]]),"$ -","")</f>
        <v/>
      </c>
      <c r="O922" s="59" t="str">
        <f>IF(OR(Data!$I922=SottocategorieEntrate[[#Headers],[Real Estate]],SottocategorieEntrate[[#Headers],[Other]]),"$ -","")</f>
        <v/>
      </c>
      <c r="P922" s="59" t="str">
        <f>IF(OR($I922&lt;&gt;SottocategorieEntrate[[#Headers],[Business Entrate]],$I922&lt;&gt;SottocategorieEntrate[[#Headers],[Varie Entrate]],$I922&lt;&gt;SottocategorieEntrate[[#Headers],[Real Estate]],$I922&lt;&gt;SottocategorieEntrate[[#Headers],[Other]]),"","$ -")</f>
        <v/>
      </c>
      <c r="Q922" s="59" t="str">
        <f>IF(Dati[[#This Row],[Categoria]]="Prelievo","€ -","")</f>
        <v/>
      </c>
      <c r="R922" s="244"/>
      <c r="S922" s="59" t="str">
        <f>IF(Dati[[#This Row],[Categoria]]="Savings",0,"")</f>
        <v/>
      </c>
      <c r="T922" s="59"/>
      <c r="U922" s="59"/>
      <c r="V922" s="59"/>
      <c r="W922" s="59"/>
      <c r="X922" s="59"/>
      <c r="Y922" s="59"/>
      <c r="Z922" s="59"/>
      <c r="AA922" s="59"/>
      <c r="AB922" s="59"/>
      <c r="AC922" s="59"/>
      <c r="AD922" s="59"/>
      <c r="AE922" s="59"/>
      <c r="AF922" s="59"/>
      <c r="AG922" s="59"/>
      <c r="AH922" s="59"/>
      <c r="AI922" s="59" t="str">
        <f>IF(SUM(Dati[[#This Row],[Inv. Business]:[Inv. Cryptocurrency]])=0," ",SUM(Dati[[#This Row],[Inv. Business]:[Inv. Cryptocurrency]]))</f>
        <v xml:space="preserve"> </v>
      </c>
      <c r="AJ922" s="59"/>
      <c r="AK922" s="59"/>
      <c r="AL922" s="59"/>
      <c r="AM922" s="59"/>
    </row>
    <row r="923" spans="2:39" x14ac:dyDescent="0.35">
      <c r="B923" s="237">
        <f>ROW(889:889)</f>
        <v>889</v>
      </c>
      <c r="C923" s="49">
        <f>C921+1</f>
        <v>45602</v>
      </c>
      <c r="D923" s="29">
        <f>DAY(Dati[[#This Row],[Data]])</f>
        <v>6</v>
      </c>
      <c r="E923" s="29" t="str">
        <f>IF(DAY(Data!$C$21:$C$1327)&gt;0,TEXT(Data!$C$21:$C$1327, "mmmm"),"")</f>
        <v>novembre</v>
      </c>
      <c r="F923" s="29" t="str">
        <f>IF(DAY(Data!$C$21:$C$1327)&gt;0,TEXT(Data!$C$21:$C$1327, "aaaa"),"")</f>
        <v>2024</v>
      </c>
      <c r="I923" t="str">
        <f>IF(OR(H923=$B$5,H923=$B$6,H923=$B$7,H923=$B$8,H923=$B$9,H923=$B$10,H923=$B$11,H923=$B$12,H923=$B$13,H923=$B$14),SottocategorieUscite[[#Headers],[Fuori Casa]],IF(OR(H923=$C$5,H923=$C$6,H923=$C$7,H923=$C$8,H923=$C$9,H923=$C$10,H923=$C$11,H923=$C$12,H923=$C$13,H923=$C$14),SottocategorieUscite[[#Headers],[Varie Uscite]],IF(OR(H923=$D$5,H923=$D$6,H923=$D$7,H923=$D$8,H923=$D$9,H923=$D$10,H923=$D$11,H923=$D$12,H923=$D$13,H923=$D$14),SottocategorieUscite[[#Headers],[Personali]],IF(OR(H923=$E$5,H923=$E$6,H923=$E$7,H923=$E$8,H923=$E$9,H923=$E$10,H923=$E$11,H923=$E$12,H923=$E$13,H923=$E$14),SottocategorieUscite[[#Headers],[Lavoro]],IF(OR(H923=$F$5,H923=$F$6,H923=$F$7,H923=$F$8,H923=$F$9,H923=$F$10,H923=$F$11,H923=$F$12,H923=$F$13,H923=$F$14),SottocategorieUscite[[#Headers],[Casa]],IF(OR(H923=$G$5,H923=$G$6,H923=$G$7,H923=$G$8,H923=$G$9,H923=$G$10,H923=$G$11,H923=$G$12,H923=$G$13,H923=$G$14),SottocategorieUscite[[#Headers],[Utenze]],IF(OR(H923=$H$5,H923=$H$6,H923=$H$7,H923=$H$8,H923=$H$9,H923=$H$10,H923=$H$11,H923=$H$12,H923=$H$13,H923=$H$14),SottocategorieUscite[[#Headers],[Business Uscite]],IF(OR(H923=$I$5,H923=$I$6,H923=$I$7,H923=$I$8,H923=$I$9,H923=$I$10,H923=$I$11,H923=$I$12,H923=$I$13,H923=$I$14),SottocategorieUscite[[#Headers],[Banca]],IF(OR(H923=K$5,H923=K$6,H923=K$7,H923=K$8,H923=K$9,H923=K$10,H923=K$11,H923=K$12,H923=K$13,H923=K$14),SottocategorieEntrate[[#Headers],[Business Entrate]],IF(OR(H923=L$5,H923=L$6,H923=L$7,H923=L$8,H923=L$9,H923=L$10,H923=L$11,H923=L$12,H923=L$13,H923=L$14),SottocategorieEntrate[[#Headers],[Varie Entrate]],IF(OR(H923=M$5,H923=M$6,H923=M$7,H923=M$8,H923=M$9,H923=M$10,H923=M$11,H923=M$12,H923=M$13,H923=M$14),SottocategorieEntrate[[#Headers],[Real Estate]],IF(OR(H923=N$5,H923=N$6,H923=N$7,H923=N$8,H923=N$9,H923=N$10,H923=N$11,H923=N$12,H923=N$13,H923=N$14),SottocategorieEntrate[[#Headers],[Other]],""))))))))))))</f>
        <v/>
      </c>
      <c r="J923" t="str">
        <f>IF(OR(Dati[[#This Row],[Categoria]]="Bollette",Dati[[#This Row],[Categoria]]="Conto &amp; Carte BNL",Dati[[#This Row],[Categoria]]="Prelievo",Dati[[#This Row],[Categoria]]="Affitto",Dati[[#This Row],[Categoria]]="BNL(Interessi Creditori)"),"Carta",IF(Dati[[#This Row],[Categoria]]&lt;&gt;0,"Cash",""))</f>
        <v/>
      </c>
      <c r="K923" s="59" t="str">
        <f>IF(OR(Data!$I923=SottocategorieUscite[[#Headers],[Fuori Casa]],Data!$I923=SottocategorieUscite[[#Headers],[Varie Uscite]],Data!$I923=SottocategorieUscite[[#Headers],[Personali]],Data!$I923=SottocategorieUscite[[#Headers],[Lavoro]]),"$ -","")</f>
        <v/>
      </c>
      <c r="L923" s="59" t="str">
        <f>IF(OR(Data!$I923=SottocategorieUscite[[#Headers],[Casa]],Data!$I923=SottocategorieUscite[[#Headers],[Utenze]],Data!$I923=SottocategorieUscite[[#Headers],[Business Uscite]],Data!$I923=SottocategorieUscite[[#Headers],[Banca]]),"$ -","")</f>
        <v/>
      </c>
      <c r="M923" s="59" t="str">
        <f>IF(OR($I923&lt;&gt;SottocategorieUscite[[#Headers],[Fuori Casa]],$I923&lt;&gt;SottocategorieUscite[[#Headers],[Varie Uscite]],$I923&lt;&gt;SottocategorieUscite[[#Headers],[Personali]],$I923&lt;&gt;SottocategorieUscite[[#Headers],[Lavoro]],$I923&lt;&gt;SottocategorieUscite[[#Headers],[Casa]],$I923&lt;&gt;SottocategorieUscite[[#Headers],[Utenze]],$I923&lt;&gt;SottocategorieUscite[[#Headers],[Business Uscite]],$I923&lt;&gt;SottocategorieUscite[[#Headers],[Banca]]),"","$ -")</f>
        <v/>
      </c>
      <c r="N923" s="59" t="str">
        <f>IF(OR(Data!$I923=SottocategorieEntrate[[#Headers],[Business Entrate]],Data!$I923=SottocategorieEntrate[[#Headers],[Varie Entrate]]),"$ -","")</f>
        <v/>
      </c>
      <c r="O923" s="59" t="str">
        <f>IF(OR(Data!$I923=SottocategorieEntrate[[#Headers],[Real Estate]],SottocategorieEntrate[[#Headers],[Other]]),"$ -","")</f>
        <v/>
      </c>
      <c r="P923" s="59" t="str">
        <f>IF(OR($I923&lt;&gt;SottocategorieEntrate[[#Headers],[Business Entrate]],$I923&lt;&gt;SottocategorieEntrate[[#Headers],[Varie Entrate]],$I923&lt;&gt;SottocategorieEntrate[[#Headers],[Real Estate]],$I923&lt;&gt;SottocategorieEntrate[[#Headers],[Other]]),"","$ -")</f>
        <v/>
      </c>
      <c r="Q923" s="59" t="str">
        <f>IF(Dati[[#This Row],[Categoria]]="Prelievo","€ -","")</f>
        <v/>
      </c>
      <c r="R923" s="244"/>
      <c r="S923" s="59" t="str">
        <f>IF(Dati[[#This Row],[Categoria]]="Savings",0,"")</f>
        <v/>
      </c>
      <c r="T923" s="59"/>
      <c r="U923" s="59"/>
      <c r="V923" s="59"/>
      <c r="W923" s="59"/>
      <c r="X923" s="59"/>
      <c r="Y923" s="59"/>
      <c r="Z923" s="59"/>
      <c r="AA923" s="59"/>
      <c r="AB923" s="59"/>
      <c r="AC923" s="59"/>
      <c r="AD923" s="59"/>
      <c r="AE923" s="59"/>
      <c r="AF923" s="59"/>
      <c r="AG923" s="59"/>
      <c r="AH923" s="59"/>
      <c r="AI923" s="59" t="str">
        <f>IF(SUM(Dati[[#This Row],[Inv. Business]:[Inv. Cryptocurrency]])=0," ",SUM(Dati[[#This Row],[Inv. Business]:[Inv. Cryptocurrency]]))</f>
        <v xml:space="preserve"> </v>
      </c>
      <c r="AJ923" s="59"/>
      <c r="AK923" s="59"/>
      <c r="AL923" s="59"/>
      <c r="AM923" s="59"/>
    </row>
    <row r="924" spans="2:39" x14ac:dyDescent="0.35">
      <c r="B924" s="237">
        <f>ROW(890:890)</f>
        <v>890</v>
      </c>
      <c r="C924" s="49">
        <f>C922+1</f>
        <v>45603</v>
      </c>
      <c r="D924" s="29">
        <f>DAY(Dati[[#This Row],[Data]])</f>
        <v>7</v>
      </c>
      <c r="E924" s="29" t="str">
        <f>IF(DAY(Data!$C$21:$C$1327)&gt;0,TEXT(Data!$C$21:$C$1327, "mmmm"),"")</f>
        <v>novembre</v>
      </c>
      <c r="F924" s="29" t="str">
        <f>IF(DAY(Data!$C$21:$C$1327)&gt;0,TEXT(Data!$C$21:$C$1327, "aaaa"),"")</f>
        <v>2024</v>
      </c>
      <c r="I924" t="str">
        <f>IF(OR(H924=$B$5,H924=$B$6,H924=$B$7,H924=$B$8,H924=$B$9,H924=$B$10,H924=$B$11,H924=$B$12,H924=$B$13,H924=$B$14),SottocategorieUscite[[#Headers],[Fuori Casa]],IF(OR(H924=$C$5,H924=$C$6,H924=$C$7,H924=$C$8,H924=$C$9,H924=$C$10,H924=$C$11,H924=$C$12,H924=$C$13,H924=$C$14),SottocategorieUscite[[#Headers],[Varie Uscite]],IF(OR(H924=$D$5,H924=$D$6,H924=$D$7,H924=$D$8,H924=$D$9,H924=$D$10,H924=$D$11,H924=$D$12,H924=$D$13,H924=$D$14),SottocategorieUscite[[#Headers],[Personali]],IF(OR(H924=$E$5,H924=$E$6,H924=$E$7,H924=$E$8,H924=$E$9,H924=$E$10,H924=$E$11,H924=$E$12,H924=$E$13,H924=$E$14),SottocategorieUscite[[#Headers],[Lavoro]],IF(OR(H924=$F$5,H924=$F$6,H924=$F$7,H924=$F$8,H924=$F$9,H924=$F$10,H924=$F$11,H924=$F$12,H924=$F$13,H924=$F$14),SottocategorieUscite[[#Headers],[Casa]],IF(OR(H924=$G$5,H924=$G$6,H924=$G$7,H924=$G$8,H924=$G$9,H924=$G$10,H924=$G$11,H924=$G$12,H924=$G$13,H924=$G$14),SottocategorieUscite[[#Headers],[Utenze]],IF(OR(H924=$H$5,H924=$H$6,H924=$H$7,H924=$H$8,H924=$H$9,H924=$H$10,H924=$H$11,H924=$H$12,H924=$H$13,H924=$H$14),SottocategorieUscite[[#Headers],[Business Uscite]],IF(OR(H924=$I$5,H924=$I$6,H924=$I$7,H924=$I$8,H924=$I$9,H924=$I$10,H924=$I$11,H924=$I$12,H924=$I$13,H924=$I$14),SottocategorieUscite[[#Headers],[Banca]],IF(OR(H924=K$5,H924=K$6,H924=K$7,H924=K$8,H924=K$9,H924=K$10,H924=K$11,H924=K$12,H924=K$13,H924=K$14),SottocategorieEntrate[[#Headers],[Business Entrate]],IF(OR(H924=L$5,H924=L$6,H924=L$7,H924=L$8,H924=L$9,H924=L$10,H924=L$11,H924=L$12,H924=L$13,H924=L$14),SottocategorieEntrate[[#Headers],[Varie Entrate]],IF(OR(H924=M$5,H924=M$6,H924=M$7,H924=M$8,H924=M$9,H924=M$10,H924=M$11,H924=M$12,H924=M$13,H924=M$14),SottocategorieEntrate[[#Headers],[Real Estate]],IF(OR(H924=N$5,H924=N$6,H924=N$7,H924=N$8,H924=N$9,H924=N$10,H924=N$11,H924=N$12,H924=N$13,H924=N$14),SottocategorieEntrate[[#Headers],[Other]],""))))))))))))</f>
        <v/>
      </c>
      <c r="J924" t="str">
        <f>IF(OR(Dati[[#This Row],[Categoria]]="Bollette",Dati[[#This Row],[Categoria]]="Conto &amp; Carte BNL",Dati[[#This Row],[Categoria]]="Prelievo",Dati[[#This Row],[Categoria]]="Affitto",Dati[[#This Row],[Categoria]]="BNL(Interessi Creditori)"),"Carta",IF(Dati[[#This Row],[Categoria]]&lt;&gt;0,"Cash",""))</f>
        <v/>
      </c>
      <c r="K924" s="59" t="str">
        <f>IF(OR(Data!$I924=SottocategorieUscite[[#Headers],[Fuori Casa]],Data!$I924=SottocategorieUscite[[#Headers],[Varie Uscite]],Data!$I924=SottocategorieUscite[[#Headers],[Personali]],Data!$I924=SottocategorieUscite[[#Headers],[Lavoro]]),"$ -","")</f>
        <v/>
      </c>
      <c r="L924" s="59" t="str">
        <f>IF(OR(Data!$I924=SottocategorieUscite[[#Headers],[Casa]],Data!$I924=SottocategorieUscite[[#Headers],[Utenze]],Data!$I924=SottocategorieUscite[[#Headers],[Business Uscite]],Data!$I924=SottocategorieUscite[[#Headers],[Banca]]),"$ -","")</f>
        <v/>
      </c>
      <c r="M924" s="59" t="str">
        <f>IF(OR($I924&lt;&gt;SottocategorieUscite[[#Headers],[Fuori Casa]],$I924&lt;&gt;SottocategorieUscite[[#Headers],[Varie Uscite]],$I924&lt;&gt;SottocategorieUscite[[#Headers],[Personali]],$I924&lt;&gt;SottocategorieUscite[[#Headers],[Lavoro]],$I924&lt;&gt;SottocategorieUscite[[#Headers],[Casa]],$I924&lt;&gt;SottocategorieUscite[[#Headers],[Utenze]],$I924&lt;&gt;SottocategorieUscite[[#Headers],[Business Uscite]],$I924&lt;&gt;SottocategorieUscite[[#Headers],[Banca]]),"","$ -")</f>
        <v/>
      </c>
      <c r="N924" s="59" t="str">
        <f>IF(OR(Data!$I924=SottocategorieEntrate[[#Headers],[Business Entrate]],Data!$I924=SottocategorieEntrate[[#Headers],[Varie Entrate]]),"$ -","")</f>
        <v/>
      </c>
      <c r="O924" s="59" t="str">
        <f>IF(OR(Data!$I924=SottocategorieEntrate[[#Headers],[Real Estate]],SottocategorieEntrate[[#Headers],[Other]]),"$ -","")</f>
        <v/>
      </c>
      <c r="P924" s="59" t="str">
        <f>IF(OR($I924&lt;&gt;SottocategorieEntrate[[#Headers],[Business Entrate]],$I924&lt;&gt;SottocategorieEntrate[[#Headers],[Varie Entrate]],$I924&lt;&gt;SottocategorieEntrate[[#Headers],[Real Estate]],$I924&lt;&gt;SottocategorieEntrate[[#Headers],[Other]]),"","$ -")</f>
        <v/>
      </c>
      <c r="Q924" s="59" t="str">
        <f>IF(Dati[[#This Row],[Categoria]]="Prelievo","€ -","")</f>
        <v/>
      </c>
      <c r="R924" s="244"/>
      <c r="S924" s="59" t="str">
        <f>IF(Dati[[#This Row],[Categoria]]="Savings",0,"")</f>
        <v/>
      </c>
      <c r="T924" s="59"/>
      <c r="U924" s="59"/>
      <c r="V924" s="59"/>
      <c r="W924" s="59"/>
      <c r="X924" s="59"/>
      <c r="Y924" s="59"/>
      <c r="Z924" s="59"/>
      <c r="AA924" s="59"/>
      <c r="AB924" s="59"/>
      <c r="AC924" s="59"/>
      <c r="AD924" s="59"/>
      <c r="AE924" s="59"/>
      <c r="AF924" s="59"/>
      <c r="AG924" s="59"/>
      <c r="AH924" s="59"/>
      <c r="AI924" s="59" t="str">
        <f>IF(SUM(Dati[[#This Row],[Inv. Business]:[Inv. Cryptocurrency]])=0," ",SUM(Dati[[#This Row],[Inv. Business]:[Inv. Cryptocurrency]]))</f>
        <v xml:space="preserve"> </v>
      </c>
      <c r="AJ924" s="59"/>
      <c r="AK924" s="59"/>
      <c r="AL924" s="59"/>
      <c r="AM924" s="59"/>
    </row>
    <row r="925" spans="2:39" x14ac:dyDescent="0.35">
      <c r="B925" s="237">
        <f>ROW(891:891)</f>
        <v>891</v>
      </c>
      <c r="C925" s="49">
        <f t="shared" si="48"/>
        <v>45604</v>
      </c>
      <c r="D925" s="29">
        <f>DAY(Dati[[#This Row],[Data]])</f>
        <v>8</v>
      </c>
      <c r="E925" s="29" t="str">
        <f>IF(DAY(Data!$C$21:$C$1327)&gt;0,TEXT(Data!$C$21:$C$1327, "mmmm"),"")</f>
        <v>novembre</v>
      </c>
      <c r="F925" s="29" t="str">
        <f>IF(DAY(Data!$C$21:$C$1327)&gt;0,TEXT(Data!$C$21:$C$1327, "aaaa"),"")</f>
        <v>2024</v>
      </c>
      <c r="I925" t="str">
        <f>IF(OR(H925=$B$5,H925=$B$6,H925=$B$7,H925=$B$8,H925=$B$9,H925=$B$10,H925=$B$11,H925=$B$12,H925=$B$13,H925=$B$14),SottocategorieUscite[[#Headers],[Fuori Casa]],IF(OR(H925=$C$5,H925=$C$6,H925=$C$7,H925=$C$8,H925=$C$9,H925=$C$10,H925=$C$11,H925=$C$12,H925=$C$13,H925=$C$14),SottocategorieUscite[[#Headers],[Varie Uscite]],IF(OR(H925=$D$5,H925=$D$6,H925=$D$7,H925=$D$8,H925=$D$9,H925=$D$10,H925=$D$11,H925=$D$12,H925=$D$13,H925=$D$14),SottocategorieUscite[[#Headers],[Personali]],IF(OR(H925=$E$5,H925=$E$6,H925=$E$7,H925=$E$8,H925=$E$9,H925=$E$10,H925=$E$11,H925=$E$12,H925=$E$13,H925=$E$14),SottocategorieUscite[[#Headers],[Lavoro]],IF(OR(H925=$F$5,H925=$F$6,H925=$F$7,H925=$F$8,H925=$F$9,H925=$F$10,H925=$F$11,H925=$F$12,H925=$F$13,H925=$F$14),SottocategorieUscite[[#Headers],[Casa]],IF(OR(H925=$G$5,H925=$G$6,H925=$G$7,H925=$G$8,H925=$G$9,H925=$G$10,H925=$G$11,H925=$G$12,H925=$G$13,H925=$G$14),SottocategorieUscite[[#Headers],[Utenze]],IF(OR(H925=$H$5,H925=$H$6,H925=$H$7,H925=$H$8,H925=$H$9,H925=$H$10,H925=$H$11,H925=$H$12,H925=$H$13,H925=$H$14),SottocategorieUscite[[#Headers],[Business Uscite]],IF(OR(H925=$I$5,H925=$I$6,H925=$I$7,H925=$I$8,H925=$I$9,H925=$I$10,H925=$I$11,H925=$I$12,H925=$I$13,H925=$I$14),SottocategorieUscite[[#Headers],[Banca]],IF(OR(H925=K$5,H925=K$6,H925=K$7,H925=K$8,H925=K$9,H925=K$10,H925=K$11,H925=K$12,H925=K$13,H925=K$14),SottocategorieEntrate[[#Headers],[Business Entrate]],IF(OR(H925=L$5,H925=L$6,H925=L$7,H925=L$8,H925=L$9,H925=L$10,H925=L$11,H925=L$12,H925=L$13,H925=L$14),SottocategorieEntrate[[#Headers],[Varie Entrate]],IF(OR(H925=M$5,H925=M$6,H925=M$7,H925=M$8,H925=M$9,H925=M$10,H925=M$11,H925=M$12,H925=M$13,H925=M$14),SottocategorieEntrate[[#Headers],[Real Estate]],IF(OR(H925=N$5,H925=N$6,H925=N$7,H925=N$8,H925=N$9,H925=N$10,H925=N$11,H925=N$12,H925=N$13,H925=N$14),SottocategorieEntrate[[#Headers],[Other]],""))))))))))))</f>
        <v/>
      </c>
      <c r="J925" t="str">
        <f>IF(OR(Dati[[#This Row],[Categoria]]="Bollette",Dati[[#This Row],[Categoria]]="Conto &amp; Carte BNL",Dati[[#This Row],[Categoria]]="Prelievo",Dati[[#This Row],[Categoria]]="Affitto",Dati[[#This Row],[Categoria]]="BNL(Interessi Creditori)"),"Carta",IF(Dati[[#This Row],[Categoria]]&lt;&gt;0,"Cash",""))</f>
        <v/>
      </c>
      <c r="K925" s="59" t="str">
        <f>IF(OR(Data!$I925=SottocategorieUscite[[#Headers],[Fuori Casa]],Data!$I925=SottocategorieUscite[[#Headers],[Varie Uscite]],Data!$I925=SottocategorieUscite[[#Headers],[Personali]],Data!$I925=SottocategorieUscite[[#Headers],[Lavoro]]),"$ -","")</f>
        <v/>
      </c>
      <c r="L925" s="59" t="str">
        <f>IF(OR(Data!$I925=SottocategorieUscite[[#Headers],[Casa]],Data!$I925=SottocategorieUscite[[#Headers],[Utenze]],Data!$I925=SottocategorieUscite[[#Headers],[Business Uscite]],Data!$I925=SottocategorieUscite[[#Headers],[Banca]]),"$ -","")</f>
        <v/>
      </c>
      <c r="M925" s="59" t="str">
        <f>IF(OR($I925&lt;&gt;SottocategorieUscite[[#Headers],[Fuori Casa]],$I925&lt;&gt;SottocategorieUscite[[#Headers],[Varie Uscite]],$I925&lt;&gt;SottocategorieUscite[[#Headers],[Personali]],$I925&lt;&gt;SottocategorieUscite[[#Headers],[Lavoro]],$I925&lt;&gt;SottocategorieUscite[[#Headers],[Casa]],$I925&lt;&gt;SottocategorieUscite[[#Headers],[Utenze]],$I925&lt;&gt;SottocategorieUscite[[#Headers],[Business Uscite]],$I925&lt;&gt;SottocategorieUscite[[#Headers],[Banca]]),"","$ -")</f>
        <v/>
      </c>
      <c r="N925" s="59" t="str">
        <f>IF(OR(Data!$I925=SottocategorieEntrate[[#Headers],[Business Entrate]],Data!$I925=SottocategorieEntrate[[#Headers],[Varie Entrate]]),"$ -","")</f>
        <v/>
      </c>
      <c r="O925" s="59" t="str">
        <f>IF(OR(Data!$I925=SottocategorieEntrate[[#Headers],[Real Estate]],SottocategorieEntrate[[#Headers],[Other]]),"$ -","")</f>
        <v/>
      </c>
      <c r="P925" s="59" t="str">
        <f>IF(OR($I925&lt;&gt;SottocategorieEntrate[[#Headers],[Business Entrate]],$I925&lt;&gt;SottocategorieEntrate[[#Headers],[Varie Entrate]],$I925&lt;&gt;SottocategorieEntrate[[#Headers],[Real Estate]],$I925&lt;&gt;SottocategorieEntrate[[#Headers],[Other]]),"","$ -")</f>
        <v/>
      </c>
      <c r="Q925" s="59" t="str">
        <f>IF(Dati[[#This Row],[Categoria]]="Prelievo","€ -","")</f>
        <v/>
      </c>
      <c r="R925" s="244"/>
      <c r="S925" s="59" t="str">
        <f>IF(Dati[[#This Row],[Categoria]]="Savings",0,"")</f>
        <v/>
      </c>
      <c r="T925" s="59"/>
      <c r="U925" s="59"/>
      <c r="V925" s="59"/>
      <c r="W925" s="59"/>
      <c r="X925" s="59"/>
      <c r="Y925" s="59"/>
      <c r="Z925" s="59"/>
      <c r="AA925" s="59"/>
      <c r="AB925" s="59"/>
      <c r="AC925" s="59"/>
      <c r="AD925" s="59"/>
      <c r="AE925" s="59"/>
      <c r="AF925" s="59"/>
      <c r="AG925" s="59"/>
      <c r="AH925" s="59"/>
      <c r="AI925" s="59" t="str">
        <f>IF(SUM(Dati[[#This Row],[Inv. Business]:[Inv. Cryptocurrency]])=0," ",SUM(Dati[[#This Row],[Inv. Business]:[Inv. Cryptocurrency]]))</f>
        <v xml:space="preserve"> </v>
      </c>
      <c r="AJ925" s="59"/>
      <c r="AK925" s="59"/>
      <c r="AL925" s="59"/>
      <c r="AM925" s="59"/>
    </row>
    <row r="926" spans="2:39" x14ac:dyDescent="0.35">
      <c r="B926" s="237">
        <f>ROW(893:893)</f>
        <v>893</v>
      </c>
      <c r="C926" s="49">
        <f t="shared" si="48"/>
        <v>45605</v>
      </c>
      <c r="D926" s="29">
        <f>DAY(Dati[[#This Row],[Data]])</f>
        <v>9</v>
      </c>
      <c r="E926" s="29" t="str">
        <f>IF(DAY(Data!$C$21:$C$1327)&gt;0,TEXT(Data!$C$21:$C$1327, "mmmm"),"")</f>
        <v>novembre</v>
      </c>
      <c r="F926" s="29" t="str">
        <f>IF(DAY(Data!$C$21:$C$1327)&gt;0,TEXT(Data!$C$21:$C$1327, "aaaa"),"")</f>
        <v>2024</v>
      </c>
      <c r="I926" t="str">
        <f>IF(OR(H926=$B$5,H926=$B$6,H926=$B$7,H926=$B$8,H926=$B$9,H926=$B$10,H926=$B$11,H926=$B$12,H926=$B$13,H926=$B$14),SottocategorieUscite[[#Headers],[Fuori Casa]],IF(OR(H926=$C$5,H926=$C$6,H926=$C$7,H926=$C$8,H926=$C$9,H926=$C$10,H926=$C$11,H926=$C$12,H926=$C$13,H926=$C$14),SottocategorieUscite[[#Headers],[Varie Uscite]],IF(OR(H926=$D$5,H926=$D$6,H926=$D$7,H926=$D$8,H926=$D$9,H926=$D$10,H926=$D$11,H926=$D$12,H926=$D$13,H926=$D$14),SottocategorieUscite[[#Headers],[Personali]],IF(OR(H926=$E$5,H926=$E$6,H926=$E$7,H926=$E$8,H926=$E$9,H926=$E$10,H926=$E$11,H926=$E$12,H926=$E$13,H926=$E$14),SottocategorieUscite[[#Headers],[Lavoro]],IF(OR(H926=$F$5,H926=$F$6,H926=$F$7,H926=$F$8,H926=$F$9,H926=$F$10,H926=$F$11,H926=$F$12,H926=$F$13,H926=$F$14),SottocategorieUscite[[#Headers],[Casa]],IF(OR(H926=$G$5,H926=$G$6,H926=$G$7,H926=$G$8,H926=$G$9,H926=$G$10,H926=$G$11,H926=$G$12,H926=$G$13,H926=$G$14),SottocategorieUscite[[#Headers],[Utenze]],IF(OR(H926=$H$5,H926=$H$6,H926=$H$7,H926=$H$8,H926=$H$9,H926=$H$10,H926=$H$11,H926=$H$12,H926=$H$13,H926=$H$14),SottocategorieUscite[[#Headers],[Business Uscite]],IF(OR(H926=$I$5,H926=$I$6,H926=$I$7,H926=$I$8,H926=$I$9,H926=$I$10,H926=$I$11,H926=$I$12,H926=$I$13,H926=$I$14),SottocategorieUscite[[#Headers],[Banca]],IF(OR(H926=K$5,H926=K$6,H926=K$7,H926=K$8,H926=K$9,H926=K$10,H926=K$11,H926=K$12,H926=K$13,H926=K$14),SottocategorieEntrate[[#Headers],[Business Entrate]],IF(OR(H926=L$5,H926=L$6,H926=L$7,H926=L$8,H926=L$9,H926=L$10,H926=L$11,H926=L$12,H926=L$13,H926=L$14),SottocategorieEntrate[[#Headers],[Varie Entrate]],IF(OR(H926=M$5,H926=M$6,H926=M$7,H926=M$8,H926=M$9,H926=M$10,H926=M$11,H926=M$12,H926=M$13,H926=M$14),SottocategorieEntrate[[#Headers],[Real Estate]],IF(OR(H926=N$5,H926=N$6,H926=N$7,H926=N$8,H926=N$9,H926=N$10,H926=N$11,H926=N$12,H926=N$13,H926=N$14),SottocategorieEntrate[[#Headers],[Other]],""))))))))))))</f>
        <v/>
      </c>
      <c r="J926" t="str">
        <f>IF(OR(Dati[[#This Row],[Categoria]]="Bollette",Dati[[#This Row],[Categoria]]="Conto &amp; Carte BNL",Dati[[#This Row],[Categoria]]="Prelievo",Dati[[#This Row],[Categoria]]="Affitto",Dati[[#This Row],[Categoria]]="BNL(Interessi Creditori)"),"Carta",IF(Dati[[#This Row],[Categoria]]&lt;&gt;0,"Cash",""))</f>
        <v/>
      </c>
      <c r="K926" s="59" t="str">
        <f>IF(OR(Data!$I926=SottocategorieUscite[[#Headers],[Fuori Casa]],Data!$I926=SottocategorieUscite[[#Headers],[Varie Uscite]],Data!$I926=SottocategorieUscite[[#Headers],[Personali]],Data!$I926=SottocategorieUscite[[#Headers],[Lavoro]]),"$ -","")</f>
        <v/>
      </c>
      <c r="L926" s="59" t="str">
        <f>IF(OR(Data!$I926=SottocategorieUscite[[#Headers],[Casa]],Data!$I926=SottocategorieUscite[[#Headers],[Utenze]],Data!$I926=SottocategorieUscite[[#Headers],[Business Uscite]],Data!$I926=SottocategorieUscite[[#Headers],[Banca]]),"$ -","")</f>
        <v/>
      </c>
      <c r="M926" s="59" t="str">
        <f>IF(OR($I926&lt;&gt;SottocategorieUscite[[#Headers],[Fuori Casa]],$I926&lt;&gt;SottocategorieUscite[[#Headers],[Varie Uscite]],$I926&lt;&gt;SottocategorieUscite[[#Headers],[Personali]],$I926&lt;&gt;SottocategorieUscite[[#Headers],[Lavoro]],$I926&lt;&gt;SottocategorieUscite[[#Headers],[Casa]],$I926&lt;&gt;SottocategorieUscite[[#Headers],[Utenze]],$I926&lt;&gt;SottocategorieUscite[[#Headers],[Business Uscite]],$I926&lt;&gt;SottocategorieUscite[[#Headers],[Banca]]),"","$ -")</f>
        <v/>
      </c>
      <c r="N926" s="59" t="str">
        <f>IF(OR(Data!$I926=SottocategorieEntrate[[#Headers],[Business Entrate]],Data!$I926=SottocategorieEntrate[[#Headers],[Varie Entrate]]),"$ -","")</f>
        <v/>
      </c>
      <c r="O926" s="59" t="str">
        <f>IF(OR(Data!$I926=SottocategorieEntrate[[#Headers],[Real Estate]],SottocategorieEntrate[[#Headers],[Other]]),"$ -","")</f>
        <v/>
      </c>
      <c r="P926" s="59" t="str">
        <f>IF(OR($I926&lt;&gt;SottocategorieEntrate[[#Headers],[Business Entrate]],$I926&lt;&gt;SottocategorieEntrate[[#Headers],[Varie Entrate]],$I926&lt;&gt;SottocategorieEntrate[[#Headers],[Real Estate]],$I926&lt;&gt;SottocategorieEntrate[[#Headers],[Other]]),"","$ -")</f>
        <v/>
      </c>
      <c r="Q926" s="59" t="str">
        <f>IF(Dati[[#This Row],[Categoria]]="Prelievo","€ -","")</f>
        <v/>
      </c>
      <c r="R926" s="244"/>
      <c r="S926" s="59" t="str">
        <f>IF(Dati[[#This Row],[Categoria]]="Savings",0,"")</f>
        <v/>
      </c>
      <c r="T926" s="59"/>
      <c r="U926" s="59"/>
      <c r="V926" s="59"/>
      <c r="W926" s="59"/>
      <c r="X926" s="59"/>
      <c r="Y926" s="59"/>
      <c r="Z926" s="59"/>
      <c r="AA926" s="59"/>
      <c r="AB926" s="59"/>
      <c r="AC926" s="59"/>
      <c r="AD926" s="59"/>
      <c r="AE926" s="59"/>
      <c r="AF926" s="59"/>
      <c r="AG926" s="59"/>
      <c r="AH926" s="59"/>
      <c r="AI926" s="59" t="str">
        <f>IF(SUM(Dati[[#This Row],[Inv. Business]:[Inv. Cryptocurrency]])=0," ",SUM(Dati[[#This Row],[Inv. Business]:[Inv. Cryptocurrency]]))</f>
        <v xml:space="preserve"> </v>
      </c>
      <c r="AJ926" s="59"/>
      <c r="AK926" s="59"/>
      <c r="AL926" s="59"/>
      <c r="AM926" s="59"/>
    </row>
    <row r="927" spans="2:39" x14ac:dyDescent="0.35">
      <c r="B927" s="237">
        <f>ROW(895:895)</f>
        <v>895</v>
      </c>
      <c r="C927" s="49">
        <f t="shared" si="48"/>
        <v>45606</v>
      </c>
      <c r="D927" s="29">
        <f>DAY(Dati[[#This Row],[Data]])</f>
        <v>10</v>
      </c>
      <c r="E927" s="29" t="str">
        <f>IF(DAY(Data!$C$21:$C$1327)&gt;0,TEXT(Data!$C$21:$C$1327, "mmmm"),"")</f>
        <v>novembre</v>
      </c>
      <c r="F927" s="29" t="str">
        <f>IF(DAY(Data!$C$21:$C$1327)&gt;0,TEXT(Data!$C$21:$C$1327, "aaaa"),"")</f>
        <v>2024</v>
      </c>
      <c r="I927" t="str">
        <f>IF(OR(H927=$B$5,H927=$B$6,H927=$B$7,H927=$B$8,H927=$B$9,H927=$B$10,H927=$B$11,H927=$B$12,H927=$B$13,H927=$B$14),SottocategorieUscite[[#Headers],[Fuori Casa]],IF(OR(H927=$C$5,H927=$C$6,H927=$C$7,H927=$C$8,H927=$C$9,H927=$C$10,H927=$C$11,H927=$C$12,H927=$C$13,H927=$C$14),SottocategorieUscite[[#Headers],[Varie Uscite]],IF(OR(H927=$D$5,H927=$D$6,H927=$D$7,H927=$D$8,H927=$D$9,H927=$D$10,H927=$D$11,H927=$D$12,H927=$D$13,H927=$D$14),SottocategorieUscite[[#Headers],[Personali]],IF(OR(H927=$E$5,H927=$E$6,H927=$E$7,H927=$E$8,H927=$E$9,H927=$E$10,H927=$E$11,H927=$E$12,H927=$E$13,H927=$E$14),SottocategorieUscite[[#Headers],[Lavoro]],IF(OR(H927=$F$5,H927=$F$6,H927=$F$7,H927=$F$8,H927=$F$9,H927=$F$10,H927=$F$11,H927=$F$12,H927=$F$13,H927=$F$14),SottocategorieUscite[[#Headers],[Casa]],IF(OR(H927=$G$5,H927=$G$6,H927=$G$7,H927=$G$8,H927=$G$9,H927=$G$10,H927=$G$11,H927=$G$12,H927=$G$13,H927=$G$14),SottocategorieUscite[[#Headers],[Utenze]],IF(OR(H927=$H$5,H927=$H$6,H927=$H$7,H927=$H$8,H927=$H$9,H927=$H$10,H927=$H$11,H927=$H$12,H927=$H$13,H927=$H$14),SottocategorieUscite[[#Headers],[Business Uscite]],IF(OR(H927=$I$5,H927=$I$6,H927=$I$7,H927=$I$8,H927=$I$9,H927=$I$10,H927=$I$11,H927=$I$12,H927=$I$13,H927=$I$14),SottocategorieUscite[[#Headers],[Banca]],IF(OR(H927=K$5,H927=K$6,H927=K$7,H927=K$8,H927=K$9,H927=K$10,H927=K$11,H927=K$12,H927=K$13,H927=K$14),SottocategorieEntrate[[#Headers],[Business Entrate]],IF(OR(H927=L$5,H927=L$6,H927=L$7,H927=L$8,H927=L$9,H927=L$10,H927=L$11,H927=L$12,H927=L$13,H927=L$14),SottocategorieEntrate[[#Headers],[Varie Entrate]],IF(OR(H927=M$5,H927=M$6,H927=M$7,H927=M$8,H927=M$9,H927=M$10,H927=M$11,H927=M$12,H927=M$13,H927=M$14),SottocategorieEntrate[[#Headers],[Real Estate]],IF(OR(H927=N$5,H927=N$6,H927=N$7,H927=N$8,H927=N$9,H927=N$10,H927=N$11,H927=N$12,H927=N$13,H927=N$14),SottocategorieEntrate[[#Headers],[Other]],""))))))))))))</f>
        <v/>
      </c>
      <c r="J927" t="str">
        <f>IF(OR(Dati[[#This Row],[Categoria]]="Bollette",Dati[[#This Row],[Categoria]]="Conto &amp; Carte BNL",Dati[[#This Row],[Categoria]]="Prelievo",Dati[[#This Row],[Categoria]]="Affitto",Dati[[#This Row],[Categoria]]="BNL(Interessi Creditori)"),"Carta",IF(Dati[[#This Row],[Categoria]]&lt;&gt;0,"Cash",""))</f>
        <v/>
      </c>
      <c r="K927" s="59" t="str">
        <f>IF(OR(Data!$I927=SottocategorieUscite[[#Headers],[Fuori Casa]],Data!$I927=SottocategorieUscite[[#Headers],[Varie Uscite]],Data!$I927=SottocategorieUscite[[#Headers],[Personali]],Data!$I927=SottocategorieUscite[[#Headers],[Lavoro]]),"$ -","")</f>
        <v/>
      </c>
      <c r="L927" s="59" t="str">
        <f>IF(OR(Data!$I927=SottocategorieUscite[[#Headers],[Casa]],Data!$I927=SottocategorieUscite[[#Headers],[Utenze]],Data!$I927=SottocategorieUscite[[#Headers],[Business Uscite]],Data!$I927=SottocategorieUscite[[#Headers],[Banca]]),"$ -","")</f>
        <v/>
      </c>
      <c r="M927" s="59" t="str">
        <f>IF(OR($I927&lt;&gt;SottocategorieUscite[[#Headers],[Fuori Casa]],$I927&lt;&gt;SottocategorieUscite[[#Headers],[Varie Uscite]],$I927&lt;&gt;SottocategorieUscite[[#Headers],[Personali]],$I927&lt;&gt;SottocategorieUscite[[#Headers],[Lavoro]],$I927&lt;&gt;SottocategorieUscite[[#Headers],[Casa]],$I927&lt;&gt;SottocategorieUscite[[#Headers],[Utenze]],$I927&lt;&gt;SottocategorieUscite[[#Headers],[Business Uscite]],$I927&lt;&gt;SottocategorieUscite[[#Headers],[Banca]]),"","$ -")</f>
        <v/>
      </c>
      <c r="N927" s="59" t="str">
        <f>IF(OR(Data!$I927=SottocategorieEntrate[[#Headers],[Business Entrate]],Data!$I927=SottocategorieEntrate[[#Headers],[Varie Entrate]]),"$ -","")</f>
        <v/>
      </c>
      <c r="O927" s="59" t="str">
        <f>IF(OR(Data!$I927=SottocategorieEntrate[[#Headers],[Real Estate]],SottocategorieEntrate[[#Headers],[Other]]),"$ -","")</f>
        <v/>
      </c>
      <c r="P927" s="59" t="str">
        <f>IF(OR($I927&lt;&gt;SottocategorieEntrate[[#Headers],[Business Entrate]],$I927&lt;&gt;SottocategorieEntrate[[#Headers],[Varie Entrate]],$I927&lt;&gt;SottocategorieEntrate[[#Headers],[Real Estate]],$I927&lt;&gt;SottocategorieEntrate[[#Headers],[Other]]),"","$ -")</f>
        <v/>
      </c>
      <c r="Q927" s="59" t="str">
        <f>IF(Dati[[#This Row],[Categoria]]="Prelievo","€ -","")</f>
        <v/>
      </c>
      <c r="R927" s="244"/>
      <c r="S927" s="59" t="str">
        <f>IF(Dati[[#This Row],[Categoria]]="Savings",0,"")</f>
        <v/>
      </c>
      <c r="T927" s="59"/>
      <c r="U927" s="59"/>
      <c r="V927" s="59"/>
      <c r="W927" s="59"/>
      <c r="X927" s="59"/>
      <c r="Y927" s="59"/>
      <c r="Z927" s="59"/>
      <c r="AA927" s="59"/>
      <c r="AB927" s="59"/>
      <c r="AC927" s="59"/>
      <c r="AD927" s="59"/>
      <c r="AE927" s="59"/>
      <c r="AF927" s="59"/>
      <c r="AG927" s="59"/>
      <c r="AH927" s="59"/>
      <c r="AI927" s="59" t="str">
        <f>IF(SUM(Dati[[#This Row],[Inv. Business]:[Inv. Cryptocurrency]])=0," ",SUM(Dati[[#This Row],[Inv. Business]:[Inv. Cryptocurrency]]))</f>
        <v xml:space="preserve"> </v>
      </c>
      <c r="AJ927" s="59"/>
      <c r="AK927" s="59"/>
      <c r="AL927" s="59"/>
      <c r="AM927" s="59"/>
    </row>
    <row r="928" spans="2:39" x14ac:dyDescent="0.35">
      <c r="B928" s="237">
        <f>ROW(896:896)</f>
        <v>896</v>
      </c>
      <c r="C928" s="49">
        <f t="shared" si="48"/>
        <v>45607</v>
      </c>
      <c r="D928" s="29">
        <f>DAY(Dati[[#This Row],[Data]])</f>
        <v>11</v>
      </c>
      <c r="E928" s="29" t="str">
        <f>IF(DAY(Data!$C$21:$C$1327)&gt;0,TEXT(Data!$C$21:$C$1327, "mmmm"),"")</f>
        <v>novembre</v>
      </c>
      <c r="F928" s="29" t="str">
        <f>IF(DAY(Data!$C$21:$C$1327)&gt;0,TEXT(Data!$C$21:$C$1327, "aaaa"),"")</f>
        <v>2024</v>
      </c>
      <c r="I928" t="str">
        <f>IF(OR(H928=$B$5,H928=$B$6,H928=$B$7,H928=$B$8,H928=$B$9,H928=$B$10,H928=$B$11,H928=$B$12,H928=$B$13,H928=$B$14),SottocategorieUscite[[#Headers],[Fuori Casa]],IF(OR(H928=$C$5,H928=$C$6,H928=$C$7,H928=$C$8,H928=$C$9,H928=$C$10,H928=$C$11,H928=$C$12,H928=$C$13,H928=$C$14),SottocategorieUscite[[#Headers],[Varie Uscite]],IF(OR(H928=$D$5,H928=$D$6,H928=$D$7,H928=$D$8,H928=$D$9,H928=$D$10,H928=$D$11,H928=$D$12,H928=$D$13,H928=$D$14),SottocategorieUscite[[#Headers],[Personali]],IF(OR(H928=$E$5,H928=$E$6,H928=$E$7,H928=$E$8,H928=$E$9,H928=$E$10,H928=$E$11,H928=$E$12,H928=$E$13,H928=$E$14),SottocategorieUscite[[#Headers],[Lavoro]],IF(OR(H928=$F$5,H928=$F$6,H928=$F$7,H928=$F$8,H928=$F$9,H928=$F$10,H928=$F$11,H928=$F$12,H928=$F$13,H928=$F$14),SottocategorieUscite[[#Headers],[Casa]],IF(OR(H928=$G$5,H928=$G$6,H928=$G$7,H928=$G$8,H928=$G$9,H928=$G$10,H928=$G$11,H928=$G$12,H928=$G$13,H928=$G$14),SottocategorieUscite[[#Headers],[Utenze]],IF(OR(H928=$H$5,H928=$H$6,H928=$H$7,H928=$H$8,H928=$H$9,H928=$H$10,H928=$H$11,H928=$H$12,H928=$H$13,H928=$H$14),SottocategorieUscite[[#Headers],[Business Uscite]],IF(OR(H928=$I$5,H928=$I$6,H928=$I$7,H928=$I$8,H928=$I$9,H928=$I$10,H928=$I$11,H928=$I$12,H928=$I$13,H928=$I$14),SottocategorieUscite[[#Headers],[Banca]],IF(OR(H928=K$5,H928=K$6,H928=K$7,H928=K$8,H928=K$9,H928=K$10,H928=K$11,H928=K$12,H928=K$13,H928=K$14),SottocategorieEntrate[[#Headers],[Business Entrate]],IF(OR(H928=L$5,H928=L$6,H928=L$7,H928=L$8,H928=L$9,H928=L$10,H928=L$11,H928=L$12,H928=L$13,H928=L$14),SottocategorieEntrate[[#Headers],[Varie Entrate]],IF(OR(H928=M$5,H928=M$6,H928=M$7,H928=M$8,H928=M$9,H928=M$10,H928=M$11,H928=M$12,H928=M$13,H928=M$14),SottocategorieEntrate[[#Headers],[Real Estate]],IF(OR(H928=N$5,H928=N$6,H928=N$7,H928=N$8,H928=N$9,H928=N$10,H928=N$11,H928=N$12,H928=N$13,H928=N$14),SottocategorieEntrate[[#Headers],[Other]],""))))))))))))</f>
        <v/>
      </c>
      <c r="J928" t="str">
        <f>IF(OR(Dati[[#This Row],[Categoria]]="Bollette",Dati[[#This Row],[Categoria]]="Conto &amp; Carte BNL",Dati[[#This Row],[Categoria]]="Prelievo",Dati[[#This Row],[Categoria]]="Affitto",Dati[[#This Row],[Categoria]]="BNL(Interessi Creditori)"),"Carta",IF(Dati[[#This Row],[Categoria]]&lt;&gt;0,"Cash",""))</f>
        <v/>
      </c>
      <c r="K928" s="59" t="str">
        <f>IF(OR(Data!$I928=SottocategorieUscite[[#Headers],[Fuori Casa]],Data!$I928=SottocategorieUscite[[#Headers],[Varie Uscite]],Data!$I928=SottocategorieUscite[[#Headers],[Personali]],Data!$I928=SottocategorieUscite[[#Headers],[Lavoro]]),"$ -","")</f>
        <v/>
      </c>
      <c r="L928" s="59" t="str">
        <f>IF(OR(Data!$I928=SottocategorieUscite[[#Headers],[Casa]],Data!$I928=SottocategorieUscite[[#Headers],[Utenze]],Data!$I928=SottocategorieUscite[[#Headers],[Business Uscite]],Data!$I928=SottocategorieUscite[[#Headers],[Banca]]),"$ -","")</f>
        <v/>
      </c>
      <c r="M928" s="59" t="str">
        <f>IF(OR($I928&lt;&gt;SottocategorieUscite[[#Headers],[Fuori Casa]],$I928&lt;&gt;SottocategorieUscite[[#Headers],[Varie Uscite]],$I928&lt;&gt;SottocategorieUscite[[#Headers],[Personali]],$I928&lt;&gt;SottocategorieUscite[[#Headers],[Lavoro]],$I928&lt;&gt;SottocategorieUscite[[#Headers],[Casa]],$I928&lt;&gt;SottocategorieUscite[[#Headers],[Utenze]],$I928&lt;&gt;SottocategorieUscite[[#Headers],[Business Uscite]],$I928&lt;&gt;SottocategorieUscite[[#Headers],[Banca]]),"","$ -")</f>
        <v/>
      </c>
      <c r="N928" s="59" t="str">
        <f>IF(OR(Data!$I928=SottocategorieEntrate[[#Headers],[Business Entrate]],Data!$I928=SottocategorieEntrate[[#Headers],[Varie Entrate]]),"$ -","")</f>
        <v/>
      </c>
      <c r="O928" s="59" t="str">
        <f>IF(OR(Data!$I928=SottocategorieEntrate[[#Headers],[Real Estate]],SottocategorieEntrate[[#Headers],[Other]]),"$ -","")</f>
        <v/>
      </c>
      <c r="P928" s="59" t="str">
        <f>IF(OR($I928&lt;&gt;SottocategorieEntrate[[#Headers],[Business Entrate]],$I928&lt;&gt;SottocategorieEntrate[[#Headers],[Varie Entrate]],$I928&lt;&gt;SottocategorieEntrate[[#Headers],[Real Estate]],$I928&lt;&gt;SottocategorieEntrate[[#Headers],[Other]]),"","$ -")</f>
        <v/>
      </c>
      <c r="Q928" s="59" t="str">
        <f>IF(Dati[[#This Row],[Categoria]]="Prelievo","€ -","")</f>
        <v/>
      </c>
      <c r="R928" s="244"/>
      <c r="S928" s="59" t="str">
        <f>IF(Dati[[#This Row],[Categoria]]="Savings",0,"")</f>
        <v/>
      </c>
      <c r="T928" s="59"/>
      <c r="U928" s="59"/>
      <c r="V928" s="59"/>
      <c r="W928" s="59"/>
      <c r="X928" s="59"/>
      <c r="Y928" s="59"/>
      <c r="Z928" s="59"/>
      <c r="AA928" s="59"/>
      <c r="AB928" s="59"/>
      <c r="AC928" s="59"/>
      <c r="AD928" s="59"/>
      <c r="AE928" s="59"/>
      <c r="AF928" s="59"/>
      <c r="AG928" s="59"/>
      <c r="AH928" s="59"/>
      <c r="AI928" s="59" t="str">
        <f>IF(SUM(Dati[[#This Row],[Inv. Business]:[Inv. Cryptocurrency]])=0," ",SUM(Dati[[#This Row],[Inv. Business]:[Inv. Cryptocurrency]]))</f>
        <v xml:space="preserve"> </v>
      </c>
      <c r="AJ928" s="59"/>
      <c r="AK928" s="59"/>
      <c r="AL928" s="59"/>
      <c r="AM928" s="59"/>
    </row>
    <row r="929" spans="2:39" x14ac:dyDescent="0.35">
      <c r="B929" s="237">
        <f>ROW(897:897)</f>
        <v>897</v>
      </c>
      <c r="C929" s="49">
        <f t="shared" si="48"/>
        <v>45608</v>
      </c>
      <c r="D929" s="29">
        <f>DAY(Dati[[#This Row],[Data]])</f>
        <v>12</v>
      </c>
      <c r="E929" s="29" t="str">
        <f>IF(DAY(Data!$C$21:$C$1327)&gt;0,TEXT(Data!$C$21:$C$1327, "mmmm"),"")</f>
        <v>novembre</v>
      </c>
      <c r="F929" s="29" t="str">
        <f>IF(DAY(Data!$C$21:$C$1327)&gt;0,TEXT(Data!$C$21:$C$1327, "aaaa"),"")</f>
        <v>2024</v>
      </c>
      <c r="I929" t="str">
        <f>IF(OR(H929=$B$5,H929=$B$6,H929=$B$7,H929=$B$8,H929=$B$9,H929=$B$10,H929=$B$11,H929=$B$12,H929=$B$13,H929=$B$14),SottocategorieUscite[[#Headers],[Fuori Casa]],IF(OR(H929=$C$5,H929=$C$6,H929=$C$7,H929=$C$8,H929=$C$9,H929=$C$10,H929=$C$11,H929=$C$12,H929=$C$13,H929=$C$14),SottocategorieUscite[[#Headers],[Varie Uscite]],IF(OR(H929=$D$5,H929=$D$6,H929=$D$7,H929=$D$8,H929=$D$9,H929=$D$10,H929=$D$11,H929=$D$12,H929=$D$13,H929=$D$14),SottocategorieUscite[[#Headers],[Personali]],IF(OR(H929=$E$5,H929=$E$6,H929=$E$7,H929=$E$8,H929=$E$9,H929=$E$10,H929=$E$11,H929=$E$12,H929=$E$13,H929=$E$14),SottocategorieUscite[[#Headers],[Lavoro]],IF(OR(H929=$F$5,H929=$F$6,H929=$F$7,H929=$F$8,H929=$F$9,H929=$F$10,H929=$F$11,H929=$F$12,H929=$F$13,H929=$F$14),SottocategorieUscite[[#Headers],[Casa]],IF(OR(H929=$G$5,H929=$G$6,H929=$G$7,H929=$G$8,H929=$G$9,H929=$G$10,H929=$G$11,H929=$G$12,H929=$G$13,H929=$G$14),SottocategorieUscite[[#Headers],[Utenze]],IF(OR(H929=$H$5,H929=$H$6,H929=$H$7,H929=$H$8,H929=$H$9,H929=$H$10,H929=$H$11,H929=$H$12,H929=$H$13,H929=$H$14),SottocategorieUscite[[#Headers],[Business Uscite]],IF(OR(H929=$I$5,H929=$I$6,H929=$I$7,H929=$I$8,H929=$I$9,H929=$I$10,H929=$I$11,H929=$I$12,H929=$I$13,H929=$I$14),SottocategorieUscite[[#Headers],[Banca]],IF(OR(H929=K$5,H929=K$6,H929=K$7,H929=K$8,H929=K$9,H929=K$10,H929=K$11,H929=K$12,H929=K$13,H929=K$14),SottocategorieEntrate[[#Headers],[Business Entrate]],IF(OR(H929=L$5,H929=L$6,H929=L$7,H929=L$8,H929=L$9,H929=L$10,H929=L$11,H929=L$12,H929=L$13,H929=L$14),SottocategorieEntrate[[#Headers],[Varie Entrate]],IF(OR(H929=M$5,H929=M$6,H929=M$7,H929=M$8,H929=M$9,H929=M$10,H929=M$11,H929=M$12,H929=M$13,H929=M$14),SottocategorieEntrate[[#Headers],[Real Estate]],IF(OR(H929=N$5,H929=N$6,H929=N$7,H929=N$8,H929=N$9,H929=N$10,H929=N$11,H929=N$12,H929=N$13,H929=N$14),SottocategorieEntrate[[#Headers],[Other]],""))))))))))))</f>
        <v/>
      </c>
      <c r="J929" t="str">
        <f>IF(OR(Dati[[#This Row],[Categoria]]="Bollette",Dati[[#This Row],[Categoria]]="Conto &amp; Carte BNL",Dati[[#This Row],[Categoria]]="Prelievo",Dati[[#This Row],[Categoria]]="Affitto",Dati[[#This Row],[Categoria]]="BNL(Interessi Creditori)"),"Carta",IF(Dati[[#This Row],[Categoria]]&lt;&gt;0,"Cash",""))</f>
        <v/>
      </c>
      <c r="K929" s="59" t="str">
        <f>IF(OR(Data!$I929=SottocategorieUscite[[#Headers],[Fuori Casa]],Data!$I929=SottocategorieUscite[[#Headers],[Varie Uscite]],Data!$I929=SottocategorieUscite[[#Headers],[Personali]],Data!$I929=SottocategorieUscite[[#Headers],[Lavoro]]),"$ -","")</f>
        <v/>
      </c>
      <c r="L929" s="59" t="str">
        <f>IF(OR(Data!$I929=SottocategorieUscite[[#Headers],[Casa]],Data!$I929=SottocategorieUscite[[#Headers],[Utenze]],Data!$I929=SottocategorieUscite[[#Headers],[Business Uscite]],Data!$I929=SottocategorieUscite[[#Headers],[Banca]]),"$ -","")</f>
        <v/>
      </c>
      <c r="M929" s="59" t="str">
        <f>IF(OR($I929&lt;&gt;SottocategorieUscite[[#Headers],[Fuori Casa]],$I929&lt;&gt;SottocategorieUscite[[#Headers],[Varie Uscite]],$I929&lt;&gt;SottocategorieUscite[[#Headers],[Personali]],$I929&lt;&gt;SottocategorieUscite[[#Headers],[Lavoro]],$I929&lt;&gt;SottocategorieUscite[[#Headers],[Casa]],$I929&lt;&gt;SottocategorieUscite[[#Headers],[Utenze]],$I929&lt;&gt;SottocategorieUscite[[#Headers],[Business Uscite]],$I929&lt;&gt;SottocategorieUscite[[#Headers],[Banca]]),"","$ -")</f>
        <v/>
      </c>
      <c r="N929" s="59" t="str">
        <f>IF(OR(Data!$I929=SottocategorieEntrate[[#Headers],[Business Entrate]],Data!$I929=SottocategorieEntrate[[#Headers],[Varie Entrate]]),"$ -","")</f>
        <v/>
      </c>
      <c r="O929" s="59" t="str">
        <f>IF(OR(Data!$I929=SottocategorieEntrate[[#Headers],[Real Estate]],SottocategorieEntrate[[#Headers],[Other]]),"$ -","")</f>
        <v/>
      </c>
      <c r="P929" s="59" t="str">
        <f>IF(OR($I929&lt;&gt;SottocategorieEntrate[[#Headers],[Business Entrate]],$I929&lt;&gt;SottocategorieEntrate[[#Headers],[Varie Entrate]],$I929&lt;&gt;SottocategorieEntrate[[#Headers],[Real Estate]],$I929&lt;&gt;SottocategorieEntrate[[#Headers],[Other]]),"","$ -")</f>
        <v/>
      </c>
      <c r="Q929" s="59" t="str">
        <f>IF(Dati[[#This Row],[Categoria]]="Prelievo","€ -","")</f>
        <v/>
      </c>
      <c r="R929" s="244"/>
      <c r="S929" s="59" t="str">
        <f>IF(Dati[[#This Row],[Categoria]]="Savings",0,"")</f>
        <v/>
      </c>
      <c r="T929" s="59"/>
      <c r="U929" s="59"/>
      <c r="V929" s="59"/>
      <c r="W929" s="59"/>
      <c r="X929" s="59"/>
      <c r="Y929" s="59"/>
      <c r="Z929" s="59"/>
      <c r="AA929" s="59"/>
      <c r="AB929" s="59"/>
      <c r="AC929" s="59"/>
      <c r="AD929" s="59"/>
      <c r="AE929" s="59"/>
      <c r="AF929" s="59"/>
      <c r="AG929" s="59"/>
      <c r="AH929" s="59"/>
      <c r="AI929" s="59" t="str">
        <f>IF(SUM(Dati[[#This Row],[Inv. Business]:[Inv. Cryptocurrency]])=0," ",SUM(Dati[[#This Row],[Inv. Business]:[Inv. Cryptocurrency]]))</f>
        <v xml:space="preserve"> </v>
      </c>
      <c r="AJ929" s="59"/>
      <c r="AK929" s="59"/>
      <c r="AL929" s="59"/>
      <c r="AM929" s="59"/>
    </row>
    <row r="930" spans="2:39" x14ac:dyDescent="0.35">
      <c r="B930" s="237">
        <f>ROW(900:900)</f>
        <v>900</v>
      </c>
      <c r="C930" s="49">
        <f t="shared" si="48"/>
        <v>45609</v>
      </c>
      <c r="D930" s="29">
        <f>DAY(Dati[[#This Row],[Data]])</f>
        <v>13</v>
      </c>
      <c r="E930" s="29" t="str">
        <f>IF(DAY(Data!$C$21:$C$1327)&gt;0,TEXT(Data!$C$21:$C$1327, "mmmm"),"")</f>
        <v>novembre</v>
      </c>
      <c r="F930" s="29" t="str">
        <f>IF(DAY(Data!$C$21:$C$1327)&gt;0,TEXT(Data!$C$21:$C$1327, "aaaa"),"")</f>
        <v>2024</v>
      </c>
      <c r="I930" t="str">
        <f>IF(OR(H930=$B$5,H930=$B$6,H930=$B$7,H930=$B$8,H930=$B$9,H930=$B$10,H930=$B$11,H930=$B$12,H930=$B$13,H930=$B$14),SottocategorieUscite[[#Headers],[Fuori Casa]],IF(OR(H930=$C$5,H930=$C$6,H930=$C$7,H930=$C$8,H930=$C$9,H930=$C$10,H930=$C$11,H930=$C$12,H930=$C$13,H930=$C$14),SottocategorieUscite[[#Headers],[Varie Uscite]],IF(OR(H930=$D$5,H930=$D$6,H930=$D$7,H930=$D$8,H930=$D$9,H930=$D$10,H930=$D$11,H930=$D$12,H930=$D$13,H930=$D$14),SottocategorieUscite[[#Headers],[Personali]],IF(OR(H930=$E$5,H930=$E$6,H930=$E$7,H930=$E$8,H930=$E$9,H930=$E$10,H930=$E$11,H930=$E$12,H930=$E$13,H930=$E$14),SottocategorieUscite[[#Headers],[Lavoro]],IF(OR(H930=$F$5,H930=$F$6,H930=$F$7,H930=$F$8,H930=$F$9,H930=$F$10,H930=$F$11,H930=$F$12,H930=$F$13,H930=$F$14),SottocategorieUscite[[#Headers],[Casa]],IF(OR(H930=$G$5,H930=$G$6,H930=$G$7,H930=$G$8,H930=$G$9,H930=$G$10,H930=$G$11,H930=$G$12,H930=$G$13,H930=$G$14),SottocategorieUscite[[#Headers],[Utenze]],IF(OR(H930=$H$5,H930=$H$6,H930=$H$7,H930=$H$8,H930=$H$9,H930=$H$10,H930=$H$11,H930=$H$12,H930=$H$13,H930=$H$14),SottocategorieUscite[[#Headers],[Business Uscite]],IF(OR(H930=$I$5,H930=$I$6,H930=$I$7,H930=$I$8,H930=$I$9,H930=$I$10,H930=$I$11,H930=$I$12,H930=$I$13,H930=$I$14),SottocategorieUscite[[#Headers],[Banca]],IF(OR(H930=K$5,H930=K$6,H930=K$7,H930=K$8,H930=K$9,H930=K$10,H930=K$11,H930=K$12,H930=K$13,H930=K$14),SottocategorieEntrate[[#Headers],[Business Entrate]],IF(OR(H930=L$5,H930=L$6,H930=L$7,H930=L$8,H930=L$9,H930=L$10,H930=L$11,H930=L$12,H930=L$13,H930=L$14),SottocategorieEntrate[[#Headers],[Varie Entrate]],IF(OR(H930=M$5,H930=M$6,H930=M$7,H930=M$8,H930=M$9,H930=M$10,H930=M$11,H930=M$12,H930=M$13,H930=M$14),SottocategorieEntrate[[#Headers],[Real Estate]],IF(OR(H930=N$5,H930=N$6,H930=N$7,H930=N$8,H930=N$9,H930=N$10,H930=N$11,H930=N$12,H930=N$13,H930=N$14),SottocategorieEntrate[[#Headers],[Other]],""))))))))))))</f>
        <v/>
      </c>
      <c r="J930" t="str">
        <f>IF(OR(Dati[[#This Row],[Categoria]]="Bollette",Dati[[#This Row],[Categoria]]="Conto &amp; Carte BNL",Dati[[#This Row],[Categoria]]="Prelievo",Dati[[#This Row],[Categoria]]="Affitto",Dati[[#This Row],[Categoria]]="BNL(Interessi Creditori)"),"Carta",IF(Dati[[#This Row],[Categoria]]&lt;&gt;0,"Cash",""))</f>
        <v/>
      </c>
      <c r="K930" s="59" t="str">
        <f>IF(OR(Data!$I930=SottocategorieUscite[[#Headers],[Fuori Casa]],Data!$I930=SottocategorieUscite[[#Headers],[Varie Uscite]],Data!$I930=SottocategorieUscite[[#Headers],[Personali]],Data!$I930=SottocategorieUscite[[#Headers],[Lavoro]]),"$ -","")</f>
        <v/>
      </c>
      <c r="L930" s="59" t="str">
        <f>IF(OR(Data!$I930=SottocategorieUscite[[#Headers],[Casa]],Data!$I930=SottocategorieUscite[[#Headers],[Utenze]],Data!$I930=SottocategorieUscite[[#Headers],[Business Uscite]],Data!$I930=SottocategorieUscite[[#Headers],[Banca]]),"$ -","")</f>
        <v/>
      </c>
      <c r="M930" s="59" t="str">
        <f>IF(OR($I930&lt;&gt;SottocategorieUscite[[#Headers],[Fuori Casa]],$I930&lt;&gt;SottocategorieUscite[[#Headers],[Varie Uscite]],$I930&lt;&gt;SottocategorieUscite[[#Headers],[Personali]],$I930&lt;&gt;SottocategorieUscite[[#Headers],[Lavoro]],$I930&lt;&gt;SottocategorieUscite[[#Headers],[Casa]],$I930&lt;&gt;SottocategorieUscite[[#Headers],[Utenze]],$I930&lt;&gt;SottocategorieUscite[[#Headers],[Business Uscite]],$I930&lt;&gt;SottocategorieUscite[[#Headers],[Banca]]),"","$ -")</f>
        <v/>
      </c>
      <c r="N930" s="59" t="str">
        <f>IF(OR(Data!$I930=SottocategorieEntrate[[#Headers],[Business Entrate]],Data!$I930=SottocategorieEntrate[[#Headers],[Varie Entrate]]),"$ -","")</f>
        <v/>
      </c>
      <c r="O930" s="59" t="str">
        <f>IF(OR(Data!$I930=SottocategorieEntrate[[#Headers],[Real Estate]],SottocategorieEntrate[[#Headers],[Other]]),"$ -","")</f>
        <v/>
      </c>
      <c r="P930" s="59" t="str">
        <f>IF(OR($I930&lt;&gt;SottocategorieEntrate[[#Headers],[Business Entrate]],$I930&lt;&gt;SottocategorieEntrate[[#Headers],[Varie Entrate]],$I930&lt;&gt;SottocategorieEntrate[[#Headers],[Real Estate]],$I930&lt;&gt;SottocategorieEntrate[[#Headers],[Other]]),"","$ -")</f>
        <v/>
      </c>
      <c r="Q930" s="59" t="str">
        <f>IF(Dati[[#This Row],[Categoria]]="Prelievo","€ -","")</f>
        <v/>
      </c>
      <c r="R930" s="244"/>
      <c r="S930" s="59" t="str">
        <f>IF(Dati[[#This Row],[Categoria]]="Savings",0,"")</f>
        <v/>
      </c>
      <c r="T930" s="59"/>
      <c r="U930" s="59"/>
      <c r="V930" s="59"/>
      <c r="W930" s="59"/>
      <c r="X930" s="59"/>
      <c r="Y930" s="59"/>
      <c r="Z930" s="59"/>
      <c r="AA930" s="59"/>
      <c r="AB930" s="59"/>
      <c r="AC930" s="59"/>
      <c r="AD930" s="59"/>
      <c r="AE930" s="59"/>
      <c r="AF930" s="59"/>
      <c r="AG930" s="59"/>
      <c r="AH930" s="59"/>
      <c r="AI930" s="59" t="str">
        <f>IF(SUM(Dati[[#This Row],[Inv. Business]:[Inv. Cryptocurrency]])=0," ",SUM(Dati[[#This Row],[Inv. Business]:[Inv. Cryptocurrency]]))</f>
        <v xml:space="preserve"> </v>
      </c>
      <c r="AJ930" s="59"/>
      <c r="AK930" s="59"/>
      <c r="AL930" s="59"/>
      <c r="AM930" s="59"/>
    </row>
    <row r="931" spans="2:39" x14ac:dyDescent="0.35">
      <c r="B931" s="237">
        <f>ROW(900:900)</f>
        <v>900</v>
      </c>
      <c r="C931" s="49">
        <f>C929+1</f>
        <v>45609</v>
      </c>
      <c r="D931" s="29">
        <f>DAY(Dati[[#This Row],[Data]])</f>
        <v>13</v>
      </c>
      <c r="E931" s="29" t="str">
        <f>IF(DAY(Data!$C$21:$C$1327)&gt;0,TEXT(Data!$C$21:$C$1327, "mmmm"),"")</f>
        <v>novembre</v>
      </c>
      <c r="F931" s="29" t="str">
        <f>IF(DAY(Data!$C$21:$C$1327)&gt;0,TEXT(Data!$C$21:$C$1327, "aaaa"),"")</f>
        <v>2024</v>
      </c>
      <c r="I931" t="str">
        <f>IF(OR(H931=$B$5,H931=$B$6,H931=$B$7,H931=$B$8,H931=$B$9,H931=$B$10,H931=$B$11,H931=$B$12,H931=$B$13,H931=$B$14),SottocategorieUscite[[#Headers],[Fuori Casa]],IF(OR(H931=$C$5,H931=$C$6,H931=$C$7,H931=$C$8,H931=$C$9,H931=$C$10,H931=$C$11,H931=$C$12,H931=$C$13,H931=$C$14),SottocategorieUscite[[#Headers],[Varie Uscite]],IF(OR(H931=$D$5,H931=$D$6,H931=$D$7,H931=$D$8,H931=$D$9,H931=$D$10,H931=$D$11,H931=$D$12,H931=$D$13,H931=$D$14),SottocategorieUscite[[#Headers],[Personali]],IF(OR(H931=$E$5,H931=$E$6,H931=$E$7,H931=$E$8,H931=$E$9,H931=$E$10,H931=$E$11,H931=$E$12,H931=$E$13,H931=$E$14),SottocategorieUscite[[#Headers],[Lavoro]],IF(OR(H931=$F$5,H931=$F$6,H931=$F$7,H931=$F$8,H931=$F$9,H931=$F$10,H931=$F$11,H931=$F$12,H931=$F$13,H931=$F$14),SottocategorieUscite[[#Headers],[Casa]],IF(OR(H931=$G$5,H931=$G$6,H931=$G$7,H931=$G$8,H931=$G$9,H931=$G$10,H931=$G$11,H931=$G$12,H931=$G$13,H931=$G$14),SottocategorieUscite[[#Headers],[Utenze]],IF(OR(H931=$H$5,H931=$H$6,H931=$H$7,H931=$H$8,H931=$H$9,H931=$H$10,H931=$H$11,H931=$H$12,H931=$H$13,H931=$H$14),SottocategorieUscite[[#Headers],[Business Uscite]],IF(OR(H931=$I$5,H931=$I$6,H931=$I$7,H931=$I$8,H931=$I$9,H931=$I$10,H931=$I$11,H931=$I$12,H931=$I$13,H931=$I$14),SottocategorieUscite[[#Headers],[Banca]],IF(OR(H931=K$5,H931=K$6,H931=K$7,H931=K$8,H931=K$9,H931=K$10,H931=K$11,H931=K$12,H931=K$13,H931=K$14),SottocategorieEntrate[[#Headers],[Business Entrate]],IF(OR(H931=L$5,H931=L$6,H931=L$7,H931=L$8,H931=L$9,H931=L$10,H931=L$11,H931=L$12,H931=L$13,H931=L$14),SottocategorieEntrate[[#Headers],[Varie Entrate]],IF(OR(H931=M$5,H931=M$6,H931=M$7,H931=M$8,H931=M$9,H931=M$10,H931=M$11,H931=M$12,H931=M$13,H931=M$14),SottocategorieEntrate[[#Headers],[Real Estate]],IF(OR(H931=N$5,H931=N$6,H931=N$7,H931=N$8,H931=N$9,H931=N$10,H931=N$11,H931=N$12,H931=N$13,H931=N$14),SottocategorieEntrate[[#Headers],[Other]],""))))))))))))</f>
        <v/>
      </c>
      <c r="J931" t="str">
        <f>IF(OR(Dati[[#This Row],[Categoria]]="Bollette",Dati[[#This Row],[Categoria]]="Conto &amp; Carte BNL",Dati[[#This Row],[Categoria]]="Prelievo",Dati[[#This Row],[Categoria]]="Affitto",Dati[[#This Row],[Categoria]]="BNL(Interessi Creditori)"),"Carta",IF(Dati[[#This Row],[Categoria]]&lt;&gt;0,"Cash",""))</f>
        <v/>
      </c>
      <c r="K931" s="59" t="str">
        <f>IF(OR(Data!$I931=SottocategorieUscite[[#Headers],[Fuori Casa]],Data!$I931=SottocategorieUscite[[#Headers],[Varie Uscite]],Data!$I931=SottocategorieUscite[[#Headers],[Personali]],Data!$I931=SottocategorieUscite[[#Headers],[Lavoro]]),"$ -","")</f>
        <v/>
      </c>
      <c r="L931" s="59" t="str">
        <f>IF(OR(Data!$I931=SottocategorieUscite[[#Headers],[Casa]],Data!$I931=SottocategorieUscite[[#Headers],[Utenze]],Data!$I931=SottocategorieUscite[[#Headers],[Business Uscite]],Data!$I931=SottocategorieUscite[[#Headers],[Banca]]),"$ -","")</f>
        <v/>
      </c>
      <c r="M931" s="59" t="str">
        <f>IF(OR($I931&lt;&gt;SottocategorieUscite[[#Headers],[Fuori Casa]],$I931&lt;&gt;SottocategorieUscite[[#Headers],[Varie Uscite]],$I931&lt;&gt;SottocategorieUscite[[#Headers],[Personali]],$I931&lt;&gt;SottocategorieUscite[[#Headers],[Lavoro]],$I931&lt;&gt;SottocategorieUscite[[#Headers],[Casa]],$I931&lt;&gt;SottocategorieUscite[[#Headers],[Utenze]],$I931&lt;&gt;SottocategorieUscite[[#Headers],[Business Uscite]],$I931&lt;&gt;SottocategorieUscite[[#Headers],[Banca]]),"","$ -")</f>
        <v/>
      </c>
      <c r="N931" s="59" t="str">
        <f>IF(OR(Data!$I931=SottocategorieEntrate[[#Headers],[Business Entrate]],Data!$I931=SottocategorieEntrate[[#Headers],[Varie Entrate]]),"$ -","")</f>
        <v/>
      </c>
      <c r="O931" s="59" t="str">
        <f>IF(OR(Data!$I931=SottocategorieEntrate[[#Headers],[Real Estate]],SottocategorieEntrate[[#Headers],[Other]]),"$ -","")</f>
        <v/>
      </c>
      <c r="P931" s="59" t="str">
        <f>IF(OR($I931&lt;&gt;SottocategorieEntrate[[#Headers],[Business Entrate]],$I931&lt;&gt;SottocategorieEntrate[[#Headers],[Varie Entrate]],$I931&lt;&gt;SottocategorieEntrate[[#Headers],[Real Estate]],$I931&lt;&gt;SottocategorieEntrate[[#Headers],[Other]]),"","$ -")</f>
        <v/>
      </c>
      <c r="Q931" s="59" t="str">
        <f>IF(Dati[[#This Row],[Categoria]]="Prelievo","€ -","")</f>
        <v/>
      </c>
      <c r="R931" s="244"/>
      <c r="S931" s="59" t="str">
        <f>IF(Dati[[#This Row],[Categoria]]="Savings",0,"")</f>
        <v/>
      </c>
      <c r="T931" s="59"/>
      <c r="U931" s="59"/>
      <c r="V931" s="59"/>
      <c r="W931" s="59"/>
      <c r="X931" s="59"/>
      <c r="Y931" s="59"/>
      <c r="Z931" s="59"/>
      <c r="AA931" s="59"/>
      <c r="AB931" s="59"/>
      <c r="AC931" s="59"/>
      <c r="AD931" s="59"/>
      <c r="AE931" s="59"/>
      <c r="AF931" s="59"/>
      <c r="AG931" s="59"/>
      <c r="AH931" s="59"/>
      <c r="AI931" s="59" t="str">
        <f>IF(SUM(Dati[[#This Row],[Inv. Business]:[Inv. Cryptocurrency]])=0," ",SUM(Dati[[#This Row],[Inv. Business]:[Inv. Cryptocurrency]]))</f>
        <v xml:space="preserve"> </v>
      </c>
      <c r="AJ931" s="59"/>
      <c r="AK931" s="59"/>
      <c r="AL931" s="59"/>
      <c r="AM931" s="59"/>
    </row>
    <row r="932" spans="2:39" x14ac:dyDescent="0.35">
      <c r="B932" s="237">
        <f>ROW(900:900)</f>
        <v>900</v>
      </c>
      <c r="C932" s="49">
        <f>C929+1</f>
        <v>45609</v>
      </c>
      <c r="D932" s="29">
        <f>DAY(Dati[[#This Row],[Data]])</f>
        <v>13</v>
      </c>
      <c r="E932" s="29" t="str">
        <f>IF(DAY(Data!$C$21:$C$1327)&gt;0,TEXT(Data!$C$21:$C$1327, "mmmm"),"")</f>
        <v>novembre</v>
      </c>
      <c r="F932" s="29" t="str">
        <f>IF(DAY(Data!$C$21:$C$1327)&gt;0,TEXT(Data!$C$21:$C$1327, "aaaa"),"")</f>
        <v>2024</v>
      </c>
      <c r="I932" t="str">
        <f>IF(OR(H932=$B$5,H932=$B$6,H932=$B$7,H932=$B$8,H932=$B$9,H932=$B$10,H932=$B$11,H932=$B$12,H932=$B$13,H932=$B$14),SottocategorieUscite[[#Headers],[Fuori Casa]],IF(OR(H932=$C$5,H932=$C$6,H932=$C$7,H932=$C$8,H932=$C$9,H932=$C$10,H932=$C$11,H932=$C$12,H932=$C$13,H932=$C$14),SottocategorieUscite[[#Headers],[Varie Uscite]],IF(OR(H932=$D$5,H932=$D$6,H932=$D$7,H932=$D$8,H932=$D$9,H932=$D$10,H932=$D$11,H932=$D$12,H932=$D$13,H932=$D$14),SottocategorieUscite[[#Headers],[Personali]],IF(OR(H932=$E$5,H932=$E$6,H932=$E$7,H932=$E$8,H932=$E$9,H932=$E$10,H932=$E$11,H932=$E$12,H932=$E$13,H932=$E$14),SottocategorieUscite[[#Headers],[Lavoro]],IF(OR(H932=$F$5,H932=$F$6,H932=$F$7,H932=$F$8,H932=$F$9,H932=$F$10,H932=$F$11,H932=$F$12,H932=$F$13,H932=$F$14),SottocategorieUscite[[#Headers],[Casa]],IF(OR(H932=$G$5,H932=$G$6,H932=$G$7,H932=$G$8,H932=$G$9,H932=$G$10,H932=$G$11,H932=$G$12,H932=$G$13,H932=$G$14),SottocategorieUscite[[#Headers],[Utenze]],IF(OR(H932=$H$5,H932=$H$6,H932=$H$7,H932=$H$8,H932=$H$9,H932=$H$10,H932=$H$11,H932=$H$12,H932=$H$13,H932=$H$14),SottocategorieUscite[[#Headers],[Business Uscite]],IF(OR(H932=$I$5,H932=$I$6,H932=$I$7,H932=$I$8,H932=$I$9,H932=$I$10,H932=$I$11,H932=$I$12,H932=$I$13,H932=$I$14),SottocategorieUscite[[#Headers],[Banca]],IF(OR(H932=K$5,H932=K$6,H932=K$7,H932=K$8,H932=K$9,H932=K$10,H932=K$11,H932=K$12,H932=K$13,H932=K$14),SottocategorieEntrate[[#Headers],[Business Entrate]],IF(OR(H932=L$5,H932=L$6,H932=L$7,H932=L$8,H932=L$9,H932=L$10,H932=L$11,H932=L$12,H932=L$13,H932=L$14),SottocategorieEntrate[[#Headers],[Varie Entrate]],IF(OR(H932=M$5,H932=M$6,H932=M$7,H932=M$8,H932=M$9,H932=M$10,H932=M$11,H932=M$12,H932=M$13,H932=M$14),SottocategorieEntrate[[#Headers],[Real Estate]],IF(OR(H932=N$5,H932=N$6,H932=N$7,H932=N$8,H932=N$9,H932=N$10,H932=N$11,H932=N$12,H932=N$13,H932=N$14),SottocategorieEntrate[[#Headers],[Other]],""))))))))))))</f>
        <v/>
      </c>
      <c r="J932" t="str">
        <f>IF(OR(Dati[[#This Row],[Categoria]]="Bollette",Dati[[#This Row],[Categoria]]="Conto &amp; Carte BNL",Dati[[#This Row],[Categoria]]="Prelievo",Dati[[#This Row],[Categoria]]="Affitto",Dati[[#This Row],[Categoria]]="BNL(Interessi Creditori)"),"Carta",IF(Dati[[#This Row],[Categoria]]&lt;&gt;0,"Cash",""))</f>
        <v/>
      </c>
      <c r="K932" s="59" t="str">
        <f>IF(OR(Data!$I932=SottocategorieUscite[[#Headers],[Fuori Casa]],Data!$I932=SottocategorieUscite[[#Headers],[Varie Uscite]],Data!$I932=SottocategorieUscite[[#Headers],[Personali]],Data!$I932=SottocategorieUscite[[#Headers],[Lavoro]]),"$ -","")</f>
        <v/>
      </c>
      <c r="L932" s="59" t="str">
        <f>IF(OR(Data!$I932=SottocategorieUscite[[#Headers],[Casa]],Data!$I932=SottocategorieUscite[[#Headers],[Utenze]],Data!$I932=SottocategorieUscite[[#Headers],[Business Uscite]],Data!$I932=SottocategorieUscite[[#Headers],[Banca]]),"$ -","")</f>
        <v/>
      </c>
      <c r="M932" s="59" t="str">
        <f>IF(OR($I932&lt;&gt;SottocategorieUscite[[#Headers],[Fuori Casa]],$I932&lt;&gt;SottocategorieUscite[[#Headers],[Varie Uscite]],$I932&lt;&gt;SottocategorieUscite[[#Headers],[Personali]],$I932&lt;&gt;SottocategorieUscite[[#Headers],[Lavoro]],$I932&lt;&gt;SottocategorieUscite[[#Headers],[Casa]],$I932&lt;&gt;SottocategorieUscite[[#Headers],[Utenze]],$I932&lt;&gt;SottocategorieUscite[[#Headers],[Business Uscite]],$I932&lt;&gt;SottocategorieUscite[[#Headers],[Banca]]),"","$ -")</f>
        <v/>
      </c>
      <c r="N932" s="59" t="str">
        <f>IF(OR(Data!$I932=SottocategorieEntrate[[#Headers],[Business Entrate]],Data!$I932=SottocategorieEntrate[[#Headers],[Varie Entrate]]),"$ -","")</f>
        <v/>
      </c>
      <c r="O932" s="59" t="str">
        <f>IF(OR(Data!$I932=SottocategorieEntrate[[#Headers],[Real Estate]],SottocategorieEntrate[[#Headers],[Other]]),"$ -","")</f>
        <v/>
      </c>
      <c r="P932" s="59" t="str">
        <f>IF(OR($I932&lt;&gt;SottocategorieEntrate[[#Headers],[Business Entrate]],$I932&lt;&gt;SottocategorieEntrate[[#Headers],[Varie Entrate]],$I932&lt;&gt;SottocategorieEntrate[[#Headers],[Real Estate]],$I932&lt;&gt;SottocategorieEntrate[[#Headers],[Other]]),"","$ -")</f>
        <v/>
      </c>
      <c r="Q932" s="59" t="str">
        <f>IF(Dati[[#This Row],[Categoria]]="Prelievo","€ -","")</f>
        <v/>
      </c>
      <c r="R932" s="244"/>
      <c r="S932" s="59" t="str">
        <f>IF(Dati[[#This Row],[Categoria]]="Savings",0,"")</f>
        <v/>
      </c>
      <c r="T932" s="59"/>
      <c r="U932" s="59"/>
      <c r="V932" s="59"/>
      <c r="W932" s="59"/>
      <c r="X932" s="59"/>
      <c r="Y932" s="59"/>
      <c r="Z932" s="59"/>
      <c r="AA932" s="59"/>
      <c r="AB932" s="59"/>
      <c r="AC932" s="59"/>
      <c r="AD932" s="59"/>
      <c r="AE932" s="59"/>
      <c r="AF932" s="59"/>
      <c r="AG932" s="59"/>
      <c r="AH932" s="59"/>
      <c r="AI932" s="59" t="str">
        <f>IF(SUM(Dati[[#This Row],[Inv. Business]:[Inv. Cryptocurrency]])=0," ",SUM(Dati[[#This Row],[Inv. Business]:[Inv. Cryptocurrency]]))</f>
        <v xml:space="preserve"> </v>
      </c>
      <c r="AJ932" s="59"/>
      <c r="AK932" s="59"/>
      <c r="AL932" s="59"/>
      <c r="AM932" s="59"/>
    </row>
    <row r="933" spans="2:39" x14ac:dyDescent="0.35">
      <c r="B933" s="237">
        <f>ROW(901:901)</f>
        <v>901</v>
      </c>
      <c r="C933" s="49">
        <f>C930+1</f>
        <v>45610</v>
      </c>
      <c r="D933" s="29">
        <f>DAY(Dati[[#This Row],[Data]])</f>
        <v>14</v>
      </c>
      <c r="E933" s="29" t="str">
        <f>IF(DAY(Data!$C$21:$C$1327)&gt;0,TEXT(Data!$C$21:$C$1327, "mmmm"),"")</f>
        <v>novembre</v>
      </c>
      <c r="F933" s="29" t="str">
        <f>IF(DAY(Data!$C$21:$C$1327)&gt;0,TEXT(Data!$C$21:$C$1327, "aaaa"),"")</f>
        <v>2024</v>
      </c>
      <c r="I933" t="str">
        <f>IF(OR(H933=$B$5,H933=$B$6,H933=$B$7,H933=$B$8,H933=$B$9,H933=$B$10,H933=$B$11,H933=$B$12,H933=$B$13,H933=$B$14),SottocategorieUscite[[#Headers],[Fuori Casa]],IF(OR(H933=$C$5,H933=$C$6,H933=$C$7,H933=$C$8,H933=$C$9,H933=$C$10,H933=$C$11,H933=$C$12,H933=$C$13,H933=$C$14),SottocategorieUscite[[#Headers],[Varie Uscite]],IF(OR(H933=$D$5,H933=$D$6,H933=$D$7,H933=$D$8,H933=$D$9,H933=$D$10,H933=$D$11,H933=$D$12,H933=$D$13,H933=$D$14),SottocategorieUscite[[#Headers],[Personali]],IF(OR(H933=$E$5,H933=$E$6,H933=$E$7,H933=$E$8,H933=$E$9,H933=$E$10,H933=$E$11,H933=$E$12,H933=$E$13,H933=$E$14),SottocategorieUscite[[#Headers],[Lavoro]],IF(OR(H933=$F$5,H933=$F$6,H933=$F$7,H933=$F$8,H933=$F$9,H933=$F$10,H933=$F$11,H933=$F$12,H933=$F$13,H933=$F$14),SottocategorieUscite[[#Headers],[Casa]],IF(OR(H933=$G$5,H933=$G$6,H933=$G$7,H933=$G$8,H933=$G$9,H933=$G$10,H933=$G$11,H933=$G$12,H933=$G$13,H933=$G$14),SottocategorieUscite[[#Headers],[Utenze]],IF(OR(H933=$H$5,H933=$H$6,H933=$H$7,H933=$H$8,H933=$H$9,H933=$H$10,H933=$H$11,H933=$H$12,H933=$H$13,H933=$H$14),SottocategorieUscite[[#Headers],[Business Uscite]],IF(OR(H933=$I$5,H933=$I$6,H933=$I$7,H933=$I$8,H933=$I$9,H933=$I$10,H933=$I$11,H933=$I$12,H933=$I$13,H933=$I$14),SottocategorieUscite[[#Headers],[Banca]],IF(OR(H933=K$5,H933=K$6,H933=K$7,H933=K$8,H933=K$9,H933=K$10,H933=K$11,H933=K$12,H933=K$13,H933=K$14),SottocategorieEntrate[[#Headers],[Business Entrate]],IF(OR(H933=L$5,H933=L$6,H933=L$7,H933=L$8,H933=L$9,H933=L$10,H933=L$11,H933=L$12,H933=L$13,H933=L$14),SottocategorieEntrate[[#Headers],[Varie Entrate]],IF(OR(H933=M$5,H933=M$6,H933=M$7,H933=M$8,H933=M$9,H933=M$10,H933=M$11,H933=M$12,H933=M$13,H933=M$14),SottocategorieEntrate[[#Headers],[Real Estate]],IF(OR(H933=N$5,H933=N$6,H933=N$7,H933=N$8,H933=N$9,H933=N$10,H933=N$11,H933=N$12,H933=N$13,H933=N$14),SottocategorieEntrate[[#Headers],[Other]],""))))))))))))</f>
        <v/>
      </c>
      <c r="J933" t="str">
        <f>IF(OR(Dati[[#This Row],[Categoria]]="Bollette",Dati[[#This Row],[Categoria]]="Conto &amp; Carte BNL",Dati[[#This Row],[Categoria]]="Prelievo",Dati[[#This Row],[Categoria]]="Affitto",Dati[[#This Row],[Categoria]]="BNL(Interessi Creditori)"),"Carta",IF(Dati[[#This Row],[Categoria]]&lt;&gt;0,"Cash",""))</f>
        <v/>
      </c>
      <c r="K933" s="59" t="str">
        <f>IF(OR(Data!$I933=SottocategorieUscite[[#Headers],[Fuori Casa]],Data!$I933=SottocategorieUscite[[#Headers],[Varie Uscite]],Data!$I933=SottocategorieUscite[[#Headers],[Personali]],Data!$I933=SottocategorieUscite[[#Headers],[Lavoro]]),"$ -","")</f>
        <v/>
      </c>
      <c r="L933" s="59" t="str">
        <f>IF(OR(Data!$I933=SottocategorieUscite[[#Headers],[Casa]],Data!$I933=SottocategorieUscite[[#Headers],[Utenze]],Data!$I933=SottocategorieUscite[[#Headers],[Business Uscite]],Data!$I933=SottocategorieUscite[[#Headers],[Banca]]),"$ -","")</f>
        <v/>
      </c>
      <c r="M933" s="59" t="str">
        <f>IF(OR($I933&lt;&gt;SottocategorieUscite[[#Headers],[Fuori Casa]],$I933&lt;&gt;SottocategorieUscite[[#Headers],[Varie Uscite]],$I933&lt;&gt;SottocategorieUscite[[#Headers],[Personali]],$I933&lt;&gt;SottocategorieUscite[[#Headers],[Lavoro]],$I933&lt;&gt;SottocategorieUscite[[#Headers],[Casa]],$I933&lt;&gt;SottocategorieUscite[[#Headers],[Utenze]],$I933&lt;&gt;SottocategorieUscite[[#Headers],[Business Uscite]],$I933&lt;&gt;SottocategorieUscite[[#Headers],[Banca]]),"","$ -")</f>
        <v/>
      </c>
      <c r="N933" s="59" t="str">
        <f>IF(OR(Data!$I933=SottocategorieEntrate[[#Headers],[Business Entrate]],Data!$I933=SottocategorieEntrate[[#Headers],[Varie Entrate]]),"$ -","")</f>
        <v/>
      </c>
      <c r="O933" s="59" t="str">
        <f>IF(OR(Data!$I933=SottocategorieEntrate[[#Headers],[Real Estate]],SottocategorieEntrate[[#Headers],[Other]]),"$ -","")</f>
        <v/>
      </c>
      <c r="P933" s="59" t="str">
        <f>IF(OR($I933&lt;&gt;SottocategorieEntrate[[#Headers],[Business Entrate]],$I933&lt;&gt;SottocategorieEntrate[[#Headers],[Varie Entrate]],$I933&lt;&gt;SottocategorieEntrate[[#Headers],[Real Estate]],$I933&lt;&gt;SottocategorieEntrate[[#Headers],[Other]]),"","$ -")</f>
        <v/>
      </c>
      <c r="Q933" s="59" t="str">
        <f>IF(Dati[[#This Row],[Categoria]]="Prelievo","€ -","")</f>
        <v/>
      </c>
      <c r="R933" s="244"/>
      <c r="S933" s="59" t="str">
        <f>IF(Dati[[#This Row],[Categoria]]="Savings",0,"")</f>
        <v/>
      </c>
      <c r="T933" s="59"/>
      <c r="U933" s="59"/>
      <c r="V933" s="59"/>
      <c r="W933" s="59"/>
      <c r="X933" s="59"/>
      <c r="Y933" s="59"/>
      <c r="Z933" s="59"/>
      <c r="AA933" s="59"/>
      <c r="AB933" s="59"/>
      <c r="AC933" s="59"/>
      <c r="AD933" s="59"/>
      <c r="AE933" s="59"/>
      <c r="AF933" s="59"/>
      <c r="AG933" s="59"/>
      <c r="AH933" s="59"/>
      <c r="AI933" s="59" t="str">
        <f>IF(SUM(Dati[[#This Row],[Inv. Business]:[Inv. Cryptocurrency]])=0," ",SUM(Dati[[#This Row],[Inv. Business]:[Inv. Cryptocurrency]]))</f>
        <v xml:space="preserve"> </v>
      </c>
      <c r="AJ933" s="59"/>
      <c r="AK933" s="59"/>
      <c r="AL933" s="59"/>
      <c r="AM933" s="59"/>
    </row>
    <row r="934" spans="2:39" x14ac:dyDescent="0.35">
      <c r="B934" s="237">
        <f>ROW(901:901)</f>
        <v>901</v>
      </c>
      <c r="C934" s="49">
        <f>C932+1</f>
        <v>45610</v>
      </c>
      <c r="D934" s="29">
        <f>DAY(Dati[[#This Row],[Data]])</f>
        <v>14</v>
      </c>
      <c r="E934" s="29" t="str">
        <f>IF(DAY(Data!$C$21:$C$1327)&gt;0,TEXT(Data!$C$21:$C$1327, "mmmm"),"")</f>
        <v>novembre</v>
      </c>
      <c r="F934" s="29" t="str">
        <f>IF(DAY(Data!$C$21:$C$1327)&gt;0,TEXT(Data!$C$21:$C$1327, "aaaa"),"")</f>
        <v>2024</v>
      </c>
      <c r="I934" t="str">
        <f>IF(OR(H934=$B$5,H934=$B$6,H934=$B$7,H934=$B$8,H934=$B$9,H934=$B$10,H934=$B$11,H934=$B$12,H934=$B$13,H934=$B$14),SottocategorieUscite[[#Headers],[Fuori Casa]],IF(OR(H934=$C$5,H934=$C$6,H934=$C$7,H934=$C$8,H934=$C$9,H934=$C$10,H934=$C$11,H934=$C$12,H934=$C$13,H934=$C$14),SottocategorieUscite[[#Headers],[Varie Uscite]],IF(OR(H934=$D$5,H934=$D$6,H934=$D$7,H934=$D$8,H934=$D$9,H934=$D$10,H934=$D$11,H934=$D$12,H934=$D$13,H934=$D$14),SottocategorieUscite[[#Headers],[Personali]],IF(OR(H934=$E$5,H934=$E$6,H934=$E$7,H934=$E$8,H934=$E$9,H934=$E$10,H934=$E$11,H934=$E$12,H934=$E$13,H934=$E$14),SottocategorieUscite[[#Headers],[Lavoro]],IF(OR(H934=$F$5,H934=$F$6,H934=$F$7,H934=$F$8,H934=$F$9,H934=$F$10,H934=$F$11,H934=$F$12,H934=$F$13,H934=$F$14),SottocategorieUscite[[#Headers],[Casa]],IF(OR(H934=$G$5,H934=$G$6,H934=$G$7,H934=$G$8,H934=$G$9,H934=$G$10,H934=$G$11,H934=$G$12,H934=$G$13,H934=$G$14),SottocategorieUscite[[#Headers],[Utenze]],IF(OR(H934=$H$5,H934=$H$6,H934=$H$7,H934=$H$8,H934=$H$9,H934=$H$10,H934=$H$11,H934=$H$12,H934=$H$13,H934=$H$14),SottocategorieUscite[[#Headers],[Business Uscite]],IF(OR(H934=$I$5,H934=$I$6,H934=$I$7,H934=$I$8,H934=$I$9,H934=$I$10,H934=$I$11,H934=$I$12,H934=$I$13,H934=$I$14),SottocategorieUscite[[#Headers],[Banca]],IF(OR(H934=K$5,H934=K$6,H934=K$7,H934=K$8,H934=K$9,H934=K$10,H934=K$11,H934=K$12,H934=K$13,H934=K$14),SottocategorieEntrate[[#Headers],[Business Entrate]],IF(OR(H934=L$5,H934=L$6,H934=L$7,H934=L$8,H934=L$9,H934=L$10,H934=L$11,H934=L$12,H934=L$13,H934=L$14),SottocategorieEntrate[[#Headers],[Varie Entrate]],IF(OR(H934=M$5,H934=M$6,H934=M$7,H934=M$8,H934=M$9,H934=M$10,H934=M$11,H934=M$12,H934=M$13,H934=M$14),SottocategorieEntrate[[#Headers],[Real Estate]],IF(OR(H934=N$5,H934=N$6,H934=N$7,H934=N$8,H934=N$9,H934=N$10,H934=N$11,H934=N$12,H934=N$13,H934=N$14),SottocategorieEntrate[[#Headers],[Other]],""))))))))))))</f>
        <v/>
      </c>
      <c r="J934" t="str">
        <f>IF(OR(Dati[[#This Row],[Categoria]]="Bollette",Dati[[#This Row],[Categoria]]="Conto &amp; Carte BNL",Dati[[#This Row],[Categoria]]="Prelievo",Dati[[#This Row],[Categoria]]="Affitto",Dati[[#This Row],[Categoria]]="BNL(Interessi Creditori)"),"Carta",IF(Dati[[#This Row],[Categoria]]&lt;&gt;0,"Cash",""))</f>
        <v/>
      </c>
      <c r="K934" s="59" t="str">
        <f>IF(OR(Data!$I934=SottocategorieUscite[[#Headers],[Fuori Casa]],Data!$I934=SottocategorieUscite[[#Headers],[Varie Uscite]],Data!$I934=SottocategorieUscite[[#Headers],[Personali]],Data!$I934=SottocategorieUscite[[#Headers],[Lavoro]]),"$ -","")</f>
        <v/>
      </c>
      <c r="L934" s="59" t="str">
        <f>IF(OR(Data!$I934=SottocategorieUscite[[#Headers],[Casa]],Data!$I934=SottocategorieUscite[[#Headers],[Utenze]],Data!$I934=SottocategorieUscite[[#Headers],[Business Uscite]],Data!$I934=SottocategorieUscite[[#Headers],[Banca]]),"$ -","")</f>
        <v/>
      </c>
      <c r="M934" s="59" t="str">
        <f>IF(OR($I934&lt;&gt;SottocategorieUscite[[#Headers],[Fuori Casa]],$I934&lt;&gt;SottocategorieUscite[[#Headers],[Varie Uscite]],$I934&lt;&gt;SottocategorieUscite[[#Headers],[Personali]],$I934&lt;&gt;SottocategorieUscite[[#Headers],[Lavoro]],$I934&lt;&gt;SottocategorieUscite[[#Headers],[Casa]],$I934&lt;&gt;SottocategorieUscite[[#Headers],[Utenze]],$I934&lt;&gt;SottocategorieUscite[[#Headers],[Business Uscite]],$I934&lt;&gt;SottocategorieUscite[[#Headers],[Banca]]),"","$ -")</f>
        <v/>
      </c>
      <c r="N934" s="59" t="str">
        <f>IF(OR(Data!$I934=SottocategorieEntrate[[#Headers],[Business Entrate]],Data!$I934=SottocategorieEntrate[[#Headers],[Varie Entrate]]),"$ -","")</f>
        <v/>
      </c>
      <c r="O934" s="59" t="str">
        <f>IF(OR(Data!$I934=SottocategorieEntrate[[#Headers],[Real Estate]],SottocategorieEntrate[[#Headers],[Other]]),"$ -","")</f>
        <v/>
      </c>
      <c r="P934" s="59" t="str">
        <f>IF(OR($I934&lt;&gt;SottocategorieEntrate[[#Headers],[Business Entrate]],$I934&lt;&gt;SottocategorieEntrate[[#Headers],[Varie Entrate]],$I934&lt;&gt;SottocategorieEntrate[[#Headers],[Real Estate]],$I934&lt;&gt;SottocategorieEntrate[[#Headers],[Other]]),"","$ -")</f>
        <v/>
      </c>
      <c r="Q934" s="59" t="str">
        <f>IF(Dati[[#This Row],[Categoria]]="Prelievo","€ -","")</f>
        <v/>
      </c>
      <c r="R934" s="244"/>
      <c r="S934" s="59" t="str">
        <f>IF(Dati[[#This Row],[Categoria]]="Savings",0,"")</f>
        <v/>
      </c>
      <c r="T934" s="59"/>
      <c r="U934" s="59"/>
      <c r="V934" s="59"/>
      <c r="W934" s="59"/>
      <c r="X934" s="59"/>
      <c r="Y934" s="59"/>
      <c r="Z934" s="59"/>
      <c r="AA934" s="59"/>
      <c r="AB934" s="59"/>
      <c r="AC934" s="59"/>
      <c r="AD934" s="59"/>
      <c r="AE934" s="59"/>
      <c r="AF934" s="59"/>
      <c r="AG934" s="59"/>
      <c r="AH934" s="59"/>
      <c r="AI934" s="59" t="str">
        <f>IF(SUM(Dati[[#This Row],[Inv. Business]:[Inv. Cryptocurrency]])=0," ",SUM(Dati[[#This Row],[Inv. Business]:[Inv. Cryptocurrency]]))</f>
        <v xml:space="preserve"> </v>
      </c>
      <c r="AJ934" s="59"/>
      <c r="AK934" s="59"/>
      <c r="AL934" s="59"/>
      <c r="AM934" s="59"/>
    </row>
    <row r="935" spans="2:39" x14ac:dyDescent="0.35">
      <c r="B935" s="237">
        <f>ROW(901:901)</f>
        <v>901</v>
      </c>
      <c r="C935" s="49">
        <f>C932+1</f>
        <v>45610</v>
      </c>
      <c r="D935" s="29">
        <f>DAY(Dati[[#This Row],[Data]])</f>
        <v>14</v>
      </c>
      <c r="E935" s="29" t="str">
        <f>IF(DAY(Data!$C$21:$C$1327)&gt;0,TEXT(Data!$C$21:$C$1327, "mmmm"),"")</f>
        <v>novembre</v>
      </c>
      <c r="F935" s="29" t="str">
        <f>IF(DAY(Data!$C$21:$C$1327)&gt;0,TEXT(Data!$C$21:$C$1327, "aaaa"),"")</f>
        <v>2024</v>
      </c>
      <c r="I935" t="str">
        <f>IF(OR(H935=$B$5,H935=$B$6,H935=$B$7,H935=$B$8,H935=$B$9,H935=$B$10,H935=$B$11,H935=$B$12,H935=$B$13,H935=$B$14),SottocategorieUscite[[#Headers],[Fuori Casa]],IF(OR(H935=$C$5,H935=$C$6,H935=$C$7,H935=$C$8,H935=$C$9,H935=$C$10,H935=$C$11,H935=$C$12,H935=$C$13,H935=$C$14),SottocategorieUscite[[#Headers],[Varie Uscite]],IF(OR(H935=$D$5,H935=$D$6,H935=$D$7,H935=$D$8,H935=$D$9,H935=$D$10,H935=$D$11,H935=$D$12,H935=$D$13,H935=$D$14),SottocategorieUscite[[#Headers],[Personali]],IF(OR(H935=$E$5,H935=$E$6,H935=$E$7,H935=$E$8,H935=$E$9,H935=$E$10,H935=$E$11,H935=$E$12,H935=$E$13,H935=$E$14),SottocategorieUscite[[#Headers],[Lavoro]],IF(OR(H935=$F$5,H935=$F$6,H935=$F$7,H935=$F$8,H935=$F$9,H935=$F$10,H935=$F$11,H935=$F$12,H935=$F$13,H935=$F$14),SottocategorieUscite[[#Headers],[Casa]],IF(OR(H935=$G$5,H935=$G$6,H935=$G$7,H935=$G$8,H935=$G$9,H935=$G$10,H935=$G$11,H935=$G$12,H935=$G$13,H935=$G$14),SottocategorieUscite[[#Headers],[Utenze]],IF(OR(H935=$H$5,H935=$H$6,H935=$H$7,H935=$H$8,H935=$H$9,H935=$H$10,H935=$H$11,H935=$H$12,H935=$H$13,H935=$H$14),SottocategorieUscite[[#Headers],[Business Uscite]],IF(OR(H935=$I$5,H935=$I$6,H935=$I$7,H935=$I$8,H935=$I$9,H935=$I$10,H935=$I$11,H935=$I$12,H935=$I$13,H935=$I$14),SottocategorieUscite[[#Headers],[Banca]],IF(OR(H935=K$5,H935=K$6,H935=K$7,H935=K$8,H935=K$9,H935=K$10,H935=K$11,H935=K$12,H935=K$13,H935=K$14),SottocategorieEntrate[[#Headers],[Business Entrate]],IF(OR(H935=L$5,H935=L$6,H935=L$7,H935=L$8,H935=L$9,H935=L$10,H935=L$11,H935=L$12,H935=L$13,H935=L$14),SottocategorieEntrate[[#Headers],[Varie Entrate]],IF(OR(H935=M$5,H935=M$6,H935=M$7,H935=M$8,H935=M$9,H935=M$10,H935=M$11,H935=M$12,H935=M$13,H935=M$14),SottocategorieEntrate[[#Headers],[Real Estate]],IF(OR(H935=N$5,H935=N$6,H935=N$7,H935=N$8,H935=N$9,H935=N$10,H935=N$11,H935=N$12,H935=N$13,H935=N$14),SottocategorieEntrate[[#Headers],[Other]],""))))))))))))</f>
        <v/>
      </c>
      <c r="J935" t="str">
        <f>IF(OR(Dati[[#This Row],[Categoria]]="Bollette",Dati[[#This Row],[Categoria]]="Conto &amp; Carte BNL",Dati[[#This Row],[Categoria]]="Prelievo",Dati[[#This Row],[Categoria]]="Affitto",Dati[[#This Row],[Categoria]]="BNL(Interessi Creditori)"),"Carta",IF(Dati[[#This Row],[Categoria]]&lt;&gt;0,"Cash",""))</f>
        <v/>
      </c>
      <c r="K935" s="59" t="str">
        <f>IF(OR(Data!$I935=SottocategorieUscite[[#Headers],[Fuori Casa]],Data!$I935=SottocategorieUscite[[#Headers],[Varie Uscite]],Data!$I935=SottocategorieUscite[[#Headers],[Personali]],Data!$I935=SottocategorieUscite[[#Headers],[Lavoro]]),"$ -","")</f>
        <v/>
      </c>
      <c r="L935" s="59" t="str">
        <f>IF(OR(Data!$I935=SottocategorieUscite[[#Headers],[Casa]],Data!$I935=SottocategorieUscite[[#Headers],[Utenze]],Data!$I935=SottocategorieUscite[[#Headers],[Business Uscite]],Data!$I935=SottocategorieUscite[[#Headers],[Banca]]),"$ -","")</f>
        <v/>
      </c>
      <c r="M935" s="59" t="str">
        <f>IF(OR($I935&lt;&gt;SottocategorieUscite[[#Headers],[Fuori Casa]],$I935&lt;&gt;SottocategorieUscite[[#Headers],[Varie Uscite]],$I935&lt;&gt;SottocategorieUscite[[#Headers],[Personali]],$I935&lt;&gt;SottocategorieUscite[[#Headers],[Lavoro]],$I935&lt;&gt;SottocategorieUscite[[#Headers],[Casa]],$I935&lt;&gt;SottocategorieUscite[[#Headers],[Utenze]],$I935&lt;&gt;SottocategorieUscite[[#Headers],[Business Uscite]],$I935&lt;&gt;SottocategorieUscite[[#Headers],[Banca]]),"","$ -")</f>
        <v/>
      </c>
      <c r="N935" s="59" t="str">
        <f>IF(OR(Data!$I935=SottocategorieEntrate[[#Headers],[Business Entrate]],Data!$I935=SottocategorieEntrate[[#Headers],[Varie Entrate]]),"$ -","")</f>
        <v/>
      </c>
      <c r="O935" s="59" t="str">
        <f>IF(OR(Data!$I935=SottocategorieEntrate[[#Headers],[Real Estate]],SottocategorieEntrate[[#Headers],[Other]]),"$ -","")</f>
        <v/>
      </c>
      <c r="P935" s="59" t="str">
        <f>IF(OR($I935&lt;&gt;SottocategorieEntrate[[#Headers],[Business Entrate]],$I935&lt;&gt;SottocategorieEntrate[[#Headers],[Varie Entrate]],$I935&lt;&gt;SottocategorieEntrate[[#Headers],[Real Estate]],$I935&lt;&gt;SottocategorieEntrate[[#Headers],[Other]]),"","$ -")</f>
        <v/>
      </c>
      <c r="Q935" s="59" t="str">
        <f>IF(Dati[[#This Row],[Categoria]]="Prelievo","€ -","")</f>
        <v/>
      </c>
      <c r="R935" s="244"/>
      <c r="S935" s="59" t="str">
        <f>IF(Dati[[#This Row],[Categoria]]="Savings",0,"")</f>
        <v/>
      </c>
      <c r="T935" s="59"/>
      <c r="U935" s="59"/>
      <c r="V935" s="59"/>
      <c r="W935" s="59"/>
      <c r="X935" s="59"/>
      <c r="Y935" s="59"/>
      <c r="Z935" s="59"/>
      <c r="AA935" s="59"/>
      <c r="AB935" s="59"/>
      <c r="AC935" s="59"/>
      <c r="AD935" s="59"/>
      <c r="AE935" s="59"/>
      <c r="AF935" s="59"/>
      <c r="AG935" s="59"/>
      <c r="AH935" s="59"/>
      <c r="AI935" s="59" t="str">
        <f>IF(SUM(Dati[[#This Row],[Inv. Business]:[Inv. Cryptocurrency]])=0," ",SUM(Dati[[#This Row],[Inv. Business]:[Inv. Cryptocurrency]]))</f>
        <v xml:space="preserve"> </v>
      </c>
      <c r="AJ935" s="59"/>
      <c r="AK935" s="59"/>
      <c r="AL935" s="59"/>
      <c r="AM935" s="59"/>
    </row>
    <row r="936" spans="2:39" x14ac:dyDescent="0.35">
      <c r="B936" s="237">
        <f>ROW(901:901)</f>
        <v>901</v>
      </c>
      <c r="C936" s="49">
        <f>C932+1</f>
        <v>45610</v>
      </c>
      <c r="D936" s="29">
        <f>DAY(Dati[[#This Row],[Data]])</f>
        <v>14</v>
      </c>
      <c r="E936" s="29" t="str">
        <f>IF(DAY(Data!$C$21:$C$1327)&gt;0,TEXT(Data!$C$21:$C$1327, "mmmm"),"")</f>
        <v>novembre</v>
      </c>
      <c r="F936" s="29" t="str">
        <f>IF(DAY(Data!$C$21:$C$1327)&gt;0,TEXT(Data!$C$21:$C$1327, "aaaa"),"")</f>
        <v>2024</v>
      </c>
      <c r="I936" t="str">
        <f>IF(OR(H936=$B$5,H936=$B$6,H936=$B$7,H936=$B$8,H936=$B$9,H936=$B$10,H936=$B$11,H936=$B$12,H936=$B$13,H936=$B$14),SottocategorieUscite[[#Headers],[Fuori Casa]],IF(OR(H936=$C$5,H936=$C$6,H936=$C$7,H936=$C$8,H936=$C$9,H936=$C$10,H936=$C$11,H936=$C$12,H936=$C$13,H936=$C$14),SottocategorieUscite[[#Headers],[Varie Uscite]],IF(OR(H936=$D$5,H936=$D$6,H936=$D$7,H936=$D$8,H936=$D$9,H936=$D$10,H936=$D$11,H936=$D$12,H936=$D$13,H936=$D$14),SottocategorieUscite[[#Headers],[Personali]],IF(OR(H936=$E$5,H936=$E$6,H936=$E$7,H936=$E$8,H936=$E$9,H936=$E$10,H936=$E$11,H936=$E$12,H936=$E$13,H936=$E$14),SottocategorieUscite[[#Headers],[Lavoro]],IF(OR(H936=$F$5,H936=$F$6,H936=$F$7,H936=$F$8,H936=$F$9,H936=$F$10,H936=$F$11,H936=$F$12,H936=$F$13,H936=$F$14),SottocategorieUscite[[#Headers],[Casa]],IF(OR(H936=$G$5,H936=$G$6,H936=$G$7,H936=$G$8,H936=$G$9,H936=$G$10,H936=$G$11,H936=$G$12,H936=$G$13,H936=$G$14),SottocategorieUscite[[#Headers],[Utenze]],IF(OR(H936=$H$5,H936=$H$6,H936=$H$7,H936=$H$8,H936=$H$9,H936=$H$10,H936=$H$11,H936=$H$12,H936=$H$13,H936=$H$14),SottocategorieUscite[[#Headers],[Business Uscite]],IF(OR(H936=$I$5,H936=$I$6,H936=$I$7,H936=$I$8,H936=$I$9,H936=$I$10,H936=$I$11,H936=$I$12,H936=$I$13,H936=$I$14),SottocategorieUscite[[#Headers],[Banca]],IF(OR(H936=K$5,H936=K$6,H936=K$7,H936=K$8,H936=K$9,H936=K$10,H936=K$11,H936=K$12,H936=K$13,H936=K$14),SottocategorieEntrate[[#Headers],[Business Entrate]],IF(OR(H936=L$5,H936=L$6,H936=L$7,H936=L$8,H936=L$9,H936=L$10,H936=L$11,H936=L$12,H936=L$13,H936=L$14),SottocategorieEntrate[[#Headers],[Varie Entrate]],IF(OR(H936=M$5,H936=M$6,H936=M$7,H936=M$8,H936=M$9,H936=M$10,H936=M$11,H936=M$12,H936=M$13,H936=M$14),SottocategorieEntrate[[#Headers],[Real Estate]],IF(OR(H936=N$5,H936=N$6,H936=N$7,H936=N$8,H936=N$9,H936=N$10,H936=N$11,H936=N$12,H936=N$13,H936=N$14),SottocategorieEntrate[[#Headers],[Other]],""))))))))))))</f>
        <v/>
      </c>
      <c r="J936" t="str">
        <f>IF(OR(Dati[[#This Row],[Categoria]]="Bollette",Dati[[#This Row],[Categoria]]="Conto &amp; Carte BNL",Dati[[#This Row],[Categoria]]="Prelievo",Dati[[#This Row],[Categoria]]="Affitto",Dati[[#This Row],[Categoria]]="BNL(Interessi Creditori)"),"Carta",IF(Dati[[#This Row],[Categoria]]&lt;&gt;0,"Cash",""))</f>
        <v/>
      </c>
      <c r="K936" s="59" t="str">
        <f>IF(OR(Data!$I936=SottocategorieUscite[[#Headers],[Fuori Casa]],Data!$I936=SottocategorieUscite[[#Headers],[Varie Uscite]],Data!$I936=SottocategorieUscite[[#Headers],[Personali]],Data!$I936=SottocategorieUscite[[#Headers],[Lavoro]]),"$ -","")</f>
        <v/>
      </c>
      <c r="L936" s="59" t="str">
        <f>IF(OR(Data!$I936=SottocategorieUscite[[#Headers],[Casa]],Data!$I936=SottocategorieUscite[[#Headers],[Utenze]],Data!$I936=SottocategorieUscite[[#Headers],[Business Uscite]],Data!$I936=SottocategorieUscite[[#Headers],[Banca]]),"$ -","")</f>
        <v/>
      </c>
      <c r="M936" s="59" t="str">
        <f>IF(OR($I936&lt;&gt;SottocategorieUscite[[#Headers],[Fuori Casa]],$I936&lt;&gt;SottocategorieUscite[[#Headers],[Varie Uscite]],$I936&lt;&gt;SottocategorieUscite[[#Headers],[Personali]],$I936&lt;&gt;SottocategorieUscite[[#Headers],[Lavoro]],$I936&lt;&gt;SottocategorieUscite[[#Headers],[Casa]],$I936&lt;&gt;SottocategorieUscite[[#Headers],[Utenze]],$I936&lt;&gt;SottocategorieUscite[[#Headers],[Business Uscite]],$I936&lt;&gt;SottocategorieUscite[[#Headers],[Banca]]),"","$ -")</f>
        <v/>
      </c>
      <c r="N936" s="59" t="str">
        <f>IF(OR(Data!$I936=SottocategorieEntrate[[#Headers],[Business Entrate]],Data!$I936=SottocategorieEntrate[[#Headers],[Varie Entrate]]),"$ -","")</f>
        <v/>
      </c>
      <c r="O936" s="59" t="str">
        <f>IF(OR(Data!$I936=SottocategorieEntrate[[#Headers],[Real Estate]],SottocategorieEntrate[[#Headers],[Other]]),"$ -","")</f>
        <v/>
      </c>
      <c r="P936" s="59" t="str">
        <f>IF(OR($I936&lt;&gt;SottocategorieEntrate[[#Headers],[Business Entrate]],$I936&lt;&gt;SottocategorieEntrate[[#Headers],[Varie Entrate]],$I936&lt;&gt;SottocategorieEntrate[[#Headers],[Real Estate]],$I936&lt;&gt;SottocategorieEntrate[[#Headers],[Other]]),"","$ -")</f>
        <v/>
      </c>
      <c r="Q936" s="59" t="str">
        <f>IF(Dati[[#This Row],[Categoria]]="Prelievo","€ -","")</f>
        <v/>
      </c>
      <c r="R936" s="244"/>
      <c r="S936" s="59" t="str">
        <f>IF(Dati[[#This Row],[Categoria]]="Savings",0,"")</f>
        <v/>
      </c>
      <c r="T936" s="59"/>
      <c r="U936" s="59"/>
      <c r="V936" s="59"/>
      <c r="W936" s="59"/>
      <c r="X936" s="59"/>
      <c r="Y936" s="59"/>
      <c r="Z936" s="59"/>
      <c r="AA936" s="59"/>
      <c r="AB936" s="59"/>
      <c r="AC936" s="59"/>
      <c r="AD936" s="59"/>
      <c r="AE936" s="59"/>
      <c r="AF936" s="59"/>
      <c r="AG936" s="59"/>
      <c r="AH936" s="59"/>
      <c r="AI936" s="59" t="str">
        <f>IF(SUM(Dati[[#This Row],[Inv. Business]:[Inv. Cryptocurrency]])=0," ",SUM(Dati[[#This Row],[Inv. Business]:[Inv. Cryptocurrency]]))</f>
        <v xml:space="preserve"> </v>
      </c>
      <c r="AJ936" s="59"/>
      <c r="AK936" s="59"/>
      <c r="AL936" s="59"/>
      <c r="AM936" s="59"/>
    </row>
    <row r="937" spans="2:39" x14ac:dyDescent="0.35">
      <c r="B937" s="237">
        <f>ROW(902:902)</f>
        <v>902</v>
      </c>
      <c r="C937" s="49">
        <f>C933+1</f>
        <v>45611</v>
      </c>
      <c r="D937" s="29">
        <f>DAY(Dati[[#This Row],[Data]])</f>
        <v>15</v>
      </c>
      <c r="E937" s="29" t="str">
        <f>IF(DAY(Data!$C$21:$C$1327)&gt;0,TEXT(Data!$C$21:$C$1327, "mmmm"),"")</f>
        <v>novembre</v>
      </c>
      <c r="F937" s="29" t="str">
        <f>IF(DAY(Data!$C$21:$C$1327)&gt;0,TEXT(Data!$C$21:$C$1327, "aaaa"),"")</f>
        <v>2024</v>
      </c>
      <c r="I937" t="str">
        <f>IF(OR(H937=$B$5,H937=$B$6,H937=$B$7,H937=$B$8,H937=$B$9,H937=$B$10,H937=$B$11,H937=$B$12,H937=$B$13,H937=$B$14),SottocategorieUscite[[#Headers],[Fuori Casa]],IF(OR(H937=$C$5,H937=$C$6,H937=$C$7,H937=$C$8,H937=$C$9,H937=$C$10,H937=$C$11,H937=$C$12,H937=$C$13,H937=$C$14),SottocategorieUscite[[#Headers],[Varie Uscite]],IF(OR(H937=$D$5,H937=$D$6,H937=$D$7,H937=$D$8,H937=$D$9,H937=$D$10,H937=$D$11,H937=$D$12,H937=$D$13,H937=$D$14),SottocategorieUscite[[#Headers],[Personali]],IF(OR(H937=$E$5,H937=$E$6,H937=$E$7,H937=$E$8,H937=$E$9,H937=$E$10,H937=$E$11,H937=$E$12,H937=$E$13,H937=$E$14),SottocategorieUscite[[#Headers],[Lavoro]],IF(OR(H937=$F$5,H937=$F$6,H937=$F$7,H937=$F$8,H937=$F$9,H937=$F$10,H937=$F$11,H937=$F$12,H937=$F$13,H937=$F$14),SottocategorieUscite[[#Headers],[Casa]],IF(OR(H937=$G$5,H937=$G$6,H937=$G$7,H937=$G$8,H937=$G$9,H937=$G$10,H937=$G$11,H937=$G$12,H937=$G$13,H937=$G$14),SottocategorieUscite[[#Headers],[Utenze]],IF(OR(H937=$H$5,H937=$H$6,H937=$H$7,H937=$H$8,H937=$H$9,H937=$H$10,H937=$H$11,H937=$H$12,H937=$H$13,H937=$H$14),SottocategorieUscite[[#Headers],[Business Uscite]],IF(OR(H937=$I$5,H937=$I$6,H937=$I$7,H937=$I$8,H937=$I$9,H937=$I$10,H937=$I$11,H937=$I$12,H937=$I$13,H937=$I$14),SottocategorieUscite[[#Headers],[Banca]],IF(OR(H937=K$5,H937=K$6,H937=K$7,H937=K$8,H937=K$9,H937=K$10,H937=K$11,H937=K$12,H937=K$13,H937=K$14),SottocategorieEntrate[[#Headers],[Business Entrate]],IF(OR(H937=L$5,H937=L$6,H937=L$7,H937=L$8,H937=L$9,H937=L$10,H937=L$11,H937=L$12,H937=L$13,H937=L$14),SottocategorieEntrate[[#Headers],[Varie Entrate]],IF(OR(H937=M$5,H937=M$6,H937=M$7,H937=M$8,H937=M$9,H937=M$10,H937=M$11,H937=M$12,H937=M$13,H937=M$14),SottocategorieEntrate[[#Headers],[Real Estate]],IF(OR(H937=N$5,H937=N$6,H937=N$7,H937=N$8,H937=N$9,H937=N$10,H937=N$11,H937=N$12,H937=N$13,H937=N$14),SottocategorieEntrate[[#Headers],[Other]],""))))))))))))</f>
        <v/>
      </c>
      <c r="J937" t="str">
        <f>IF(OR(Dati[[#This Row],[Categoria]]="Bollette",Dati[[#This Row],[Categoria]]="Conto &amp; Carte BNL",Dati[[#This Row],[Categoria]]="Prelievo",Dati[[#This Row],[Categoria]]="Affitto",Dati[[#This Row],[Categoria]]="BNL(Interessi Creditori)"),"Carta",IF(Dati[[#This Row],[Categoria]]&lt;&gt;0,"Cash",""))</f>
        <v/>
      </c>
      <c r="K937" s="59" t="str">
        <f>IF(OR(Data!$I937=SottocategorieUscite[[#Headers],[Fuori Casa]],Data!$I937=SottocategorieUscite[[#Headers],[Varie Uscite]],Data!$I937=SottocategorieUscite[[#Headers],[Personali]],Data!$I937=SottocategorieUscite[[#Headers],[Lavoro]]),"$ -","")</f>
        <v/>
      </c>
      <c r="L937" s="59" t="str">
        <f>IF(OR(Data!$I937=SottocategorieUscite[[#Headers],[Casa]],Data!$I937=SottocategorieUscite[[#Headers],[Utenze]],Data!$I937=SottocategorieUscite[[#Headers],[Business Uscite]],Data!$I937=SottocategorieUscite[[#Headers],[Banca]]),"$ -","")</f>
        <v/>
      </c>
      <c r="M937" s="59" t="str">
        <f>IF(OR($I937&lt;&gt;SottocategorieUscite[[#Headers],[Fuori Casa]],$I937&lt;&gt;SottocategorieUscite[[#Headers],[Varie Uscite]],$I937&lt;&gt;SottocategorieUscite[[#Headers],[Personali]],$I937&lt;&gt;SottocategorieUscite[[#Headers],[Lavoro]],$I937&lt;&gt;SottocategorieUscite[[#Headers],[Casa]],$I937&lt;&gt;SottocategorieUscite[[#Headers],[Utenze]],$I937&lt;&gt;SottocategorieUscite[[#Headers],[Business Uscite]],$I937&lt;&gt;SottocategorieUscite[[#Headers],[Banca]]),"","$ -")</f>
        <v/>
      </c>
      <c r="N937" s="59" t="str">
        <f>IF(OR(Data!$I937=SottocategorieEntrate[[#Headers],[Business Entrate]],Data!$I937=SottocategorieEntrate[[#Headers],[Varie Entrate]]),"$ -","")</f>
        <v/>
      </c>
      <c r="O937" s="59" t="str">
        <f>IF(OR(Data!$I937=SottocategorieEntrate[[#Headers],[Real Estate]],SottocategorieEntrate[[#Headers],[Other]]),"$ -","")</f>
        <v/>
      </c>
      <c r="P937" s="59" t="str">
        <f>IF(OR($I937&lt;&gt;SottocategorieEntrate[[#Headers],[Business Entrate]],$I937&lt;&gt;SottocategorieEntrate[[#Headers],[Varie Entrate]],$I937&lt;&gt;SottocategorieEntrate[[#Headers],[Real Estate]],$I937&lt;&gt;SottocategorieEntrate[[#Headers],[Other]]),"","$ -")</f>
        <v/>
      </c>
      <c r="Q937" s="59" t="str">
        <f>IF(Dati[[#This Row],[Categoria]]="Prelievo","€ -","")</f>
        <v/>
      </c>
      <c r="R937" s="244"/>
      <c r="S937" s="59" t="str">
        <f>IF(Dati[[#This Row],[Categoria]]="Savings",0,"")</f>
        <v/>
      </c>
      <c r="T937" s="59"/>
      <c r="U937" s="59"/>
      <c r="V937" s="59"/>
      <c r="W937" s="59"/>
      <c r="X937" s="59"/>
      <c r="Y937" s="59"/>
      <c r="Z937" s="59"/>
      <c r="AA937" s="59"/>
      <c r="AB937" s="59"/>
      <c r="AC937" s="59"/>
      <c r="AD937" s="59"/>
      <c r="AE937" s="59"/>
      <c r="AF937" s="59"/>
      <c r="AG937" s="59"/>
      <c r="AH937" s="59"/>
      <c r="AI937" s="59" t="str">
        <f>IF(SUM(Dati[[#This Row],[Inv. Business]:[Inv. Cryptocurrency]])=0," ",SUM(Dati[[#This Row],[Inv. Business]:[Inv. Cryptocurrency]]))</f>
        <v xml:space="preserve"> </v>
      </c>
      <c r="AJ937" s="59"/>
      <c r="AK937" s="59"/>
      <c r="AL937" s="59"/>
      <c r="AM937" s="59"/>
    </row>
    <row r="938" spans="2:39" x14ac:dyDescent="0.35">
      <c r="B938" s="237">
        <f>ROW(902:902)</f>
        <v>902</v>
      </c>
      <c r="C938" s="49">
        <f>C936+1</f>
        <v>45611</v>
      </c>
      <c r="D938" s="29">
        <f>DAY(Dati[[#This Row],[Data]])</f>
        <v>15</v>
      </c>
      <c r="E938" s="29" t="str">
        <f>IF(DAY(Data!$C$21:$C$1327)&gt;0,TEXT(Data!$C$21:$C$1327, "mmmm"),"")</f>
        <v>novembre</v>
      </c>
      <c r="F938" s="29" t="str">
        <f>IF(DAY(Data!$C$21:$C$1327)&gt;0,TEXT(Data!$C$21:$C$1327, "aaaa"),"")</f>
        <v>2024</v>
      </c>
      <c r="I938" t="str">
        <f>IF(OR(H938=$B$5,H938=$B$6,H938=$B$7,H938=$B$8,H938=$B$9,H938=$B$10,H938=$B$11,H938=$B$12,H938=$B$13,H938=$B$14),SottocategorieUscite[[#Headers],[Fuori Casa]],IF(OR(H938=$C$5,H938=$C$6,H938=$C$7,H938=$C$8,H938=$C$9,H938=$C$10,H938=$C$11,H938=$C$12,H938=$C$13,H938=$C$14),SottocategorieUscite[[#Headers],[Varie Uscite]],IF(OR(H938=$D$5,H938=$D$6,H938=$D$7,H938=$D$8,H938=$D$9,H938=$D$10,H938=$D$11,H938=$D$12,H938=$D$13,H938=$D$14),SottocategorieUscite[[#Headers],[Personali]],IF(OR(H938=$E$5,H938=$E$6,H938=$E$7,H938=$E$8,H938=$E$9,H938=$E$10,H938=$E$11,H938=$E$12,H938=$E$13,H938=$E$14),SottocategorieUscite[[#Headers],[Lavoro]],IF(OR(H938=$F$5,H938=$F$6,H938=$F$7,H938=$F$8,H938=$F$9,H938=$F$10,H938=$F$11,H938=$F$12,H938=$F$13,H938=$F$14),SottocategorieUscite[[#Headers],[Casa]],IF(OR(H938=$G$5,H938=$G$6,H938=$G$7,H938=$G$8,H938=$G$9,H938=$G$10,H938=$G$11,H938=$G$12,H938=$G$13,H938=$G$14),SottocategorieUscite[[#Headers],[Utenze]],IF(OR(H938=$H$5,H938=$H$6,H938=$H$7,H938=$H$8,H938=$H$9,H938=$H$10,H938=$H$11,H938=$H$12,H938=$H$13,H938=$H$14),SottocategorieUscite[[#Headers],[Business Uscite]],IF(OR(H938=$I$5,H938=$I$6,H938=$I$7,H938=$I$8,H938=$I$9,H938=$I$10,H938=$I$11,H938=$I$12,H938=$I$13,H938=$I$14),SottocategorieUscite[[#Headers],[Banca]],IF(OR(H938=K$5,H938=K$6,H938=K$7,H938=K$8,H938=K$9,H938=K$10,H938=K$11,H938=K$12,H938=K$13,H938=K$14),SottocategorieEntrate[[#Headers],[Business Entrate]],IF(OR(H938=L$5,H938=L$6,H938=L$7,H938=L$8,H938=L$9,H938=L$10,H938=L$11,H938=L$12,H938=L$13,H938=L$14),SottocategorieEntrate[[#Headers],[Varie Entrate]],IF(OR(H938=M$5,H938=M$6,H938=M$7,H938=M$8,H938=M$9,H938=M$10,H938=M$11,H938=M$12,H938=M$13,H938=M$14),SottocategorieEntrate[[#Headers],[Real Estate]],IF(OR(H938=N$5,H938=N$6,H938=N$7,H938=N$8,H938=N$9,H938=N$10,H938=N$11,H938=N$12,H938=N$13,H938=N$14),SottocategorieEntrate[[#Headers],[Other]],""))))))))))))</f>
        <v/>
      </c>
      <c r="J938" t="str">
        <f>IF(OR(Dati[[#This Row],[Categoria]]="Bollette",Dati[[#This Row],[Categoria]]="Conto &amp; Carte BNL",Dati[[#This Row],[Categoria]]="Prelievo",Dati[[#This Row],[Categoria]]="Affitto",Dati[[#This Row],[Categoria]]="BNL(Interessi Creditori)"),"Carta",IF(Dati[[#This Row],[Categoria]]&lt;&gt;0,"Cash",""))</f>
        <v/>
      </c>
      <c r="K938" s="59" t="str">
        <f>IF(OR(Data!$I938=SottocategorieUscite[[#Headers],[Fuori Casa]],Data!$I938=SottocategorieUscite[[#Headers],[Varie Uscite]],Data!$I938=SottocategorieUscite[[#Headers],[Personali]],Data!$I938=SottocategorieUscite[[#Headers],[Lavoro]]),"$ -","")</f>
        <v/>
      </c>
      <c r="L938" s="59" t="str">
        <f>IF(OR(Data!$I938=SottocategorieUscite[[#Headers],[Casa]],Data!$I938=SottocategorieUscite[[#Headers],[Utenze]],Data!$I938=SottocategorieUscite[[#Headers],[Business Uscite]],Data!$I938=SottocategorieUscite[[#Headers],[Banca]]),"$ -","")</f>
        <v/>
      </c>
      <c r="M938" s="59" t="str">
        <f>IF(OR($I938&lt;&gt;SottocategorieUscite[[#Headers],[Fuori Casa]],$I938&lt;&gt;SottocategorieUscite[[#Headers],[Varie Uscite]],$I938&lt;&gt;SottocategorieUscite[[#Headers],[Personali]],$I938&lt;&gt;SottocategorieUscite[[#Headers],[Lavoro]],$I938&lt;&gt;SottocategorieUscite[[#Headers],[Casa]],$I938&lt;&gt;SottocategorieUscite[[#Headers],[Utenze]],$I938&lt;&gt;SottocategorieUscite[[#Headers],[Business Uscite]],$I938&lt;&gt;SottocategorieUscite[[#Headers],[Banca]]),"","$ -")</f>
        <v/>
      </c>
      <c r="N938" s="59" t="str">
        <f>IF(OR(Data!$I938=SottocategorieEntrate[[#Headers],[Business Entrate]],Data!$I938=SottocategorieEntrate[[#Headers],[Varie Entrate]]),"$ -","")</f>
        <v/>
      </c>
      <c r="O938" s="59" t="str">
        <f>IF(OR(Data!$I938=SottocategorieEntrate[[#Headers],[Real Estate]],SottocategorieEntrate[[#Headers],[Other]]),"$ -","")</f>
        <v/>
      </c>
      <c r="P938" s="59" t="str">
        <f>IF(OR($I938&lt;&gt;SottocategorieEntrate[[#Headers],[Business Entrate]],$I938&lt;&gt;SottocategorieEntrate[[#Headers],[Varie Entrate]],$I938&lt;&gt;SottocategorieEntrate[[#Headers],[Real Estate]],$I938&lt;&gt;SottocategorieEntrate[[#Headers],[Other]]),"","$ -")</f>
        <v/>
      </c>
      <c r="Q938" s="59" t="str">
        <f>IF(Dati[[#This Row],[Categoria]]="Prelievo","€ -","")</f>
        <v/>
      </c>
      <c r="R938" s="244"/>
      <c r="S938" s="59" t="str">
        <f>IF(Dati[[#This Row],[Categoria]]="Savings",0,"")</f>
        <v/>
      </c>
      <c r="T938" s="59"/>
      <c r="U938" s="59"/>
      <c r="V938" s="59"/>
      <c r="W938" s="59"/>
      <c r="X938" s="59"/>
      <c r="Y938" s="59"/>
      <c r="Z938" s="59"/>
      <c r="AA938" s="59"/>
      <c r="AB938" s="59"/>
      <c r="AC938" s="59"/>
      <c r="AD938" s="59"/>
      <c r="AE938" s="59"/>
      <c r="AF938" s="59"/>
      <c r="AG938" s="59"/>
      <c r="AH938" s="59"/>
      <c r="AI938" s="59" t="str">
        <f>IF(SUM(Dati[[#This Row],[Inv. Business]:[Inv. Cryptocurrency]])=0," ",SUM(Dati[[#This Row],[Inv. Business]:[Inv. Cryptocurrency]]))</f>
        <v xml:space="preserve"> </v>
      </c>
      <c r="AJ938" s="59"/>
      <c r="AK938" s="59"/>
      <c r="AL938" s="59"/>
      <c r="AM938" s="59"/>
    </row>
    <row r="939" spans="2:39" x14ac:dyDescent="0.35">
      <c r="B939" s="237">
        <f>ROW(902:902)</f>
        <v>902</v>
      </c>
      <c r="C939" s="49">
        <f>C936+1</f>
        <v>45611</v>
      </c>
      <c r="D939" s="29">
        <f>DAY(Dati[[#This Row],[Data]])</f>
        <v>15</v>
      </c>
      <c r="E939" s="29" t="str">
        <f>IF(DAY(Data!$C$21:$C$1327)&gt;0,TEXT(Data!$C$21:$C$1327, "mmmm"),"")</f>
        <v>novembre</v>
      </c>
      <c r="F939" s="29" t="str">
        <f>IF(DAY(Data!$C$21:$C$1327)&gt;0,TEXT(Data!$C$21:$C$1327, "aaaa"),"")</f>
        <v>2024</v>
      </c>
      <c r="I939" t="str">
        <f>IF(OR(H939=$B$5,H939=$B$6,H939=$B$7,H939=$B$8,H939=$B$9,H939=$B$10,H939=$B$11,H939=$B$12,H939=$B$13,H939=$B$14),SottocategorieUscite[[#Headers],[Fuori Casa]],IF(OR(H939=$C$5,H939=$C$6,H939=$C$7,H939=$C$8,H939=$C$9,H939=$C$10,H939=$C$11,H939=$C$12,H939=$C$13,H939=$C$14),SottocategorieUscite[[#Headers],[Varie Uscite]],IF(OR(H939=$D$5,H939=$D$6,H939=$D$7,H939=$D$8,H939=$D$9,H939=$D$10,H939=$D$11,H939=$D$12,H939=$D$13,H939=$D$14),SottocategorieUscite[[#Headers],[Personali]],IF(OR(H939=$E$5,H939=$E$6,H939=$E$7,H939=$E$8,H939=$E$9,H939=$E$10,H939=$E$11,H939=$E$12,H939=$E$13,H939=$E$14),SottocategorieUscite[[#Headers],[Lavoro]],IF(OR(H939=$F$5,H939=$F$6,H939=$F$7,H939=$F$8,H939=$F$9,H939=$F$10,H939=$F$11,H939=$F$12,H939=$F$13,H939=$F$14),SottocategorieUscite[[#Headers],[Casa]],IF(OR(H939=$G$5,H939=$G$6,H939=$G$7,H939=$G$8,H939=$G$9,H939=$G$10,H939=$G$11,H939=$G$12,H939=$G$13,H939=$G$14),SottocategorieUscite[[#Headers],[Utenze]],IF(OR(H939=$H$5,H939=$H$6,H939=$H$7,H939=$H$8,H939=$H$9,H939=$H$10,H939=$H$11,H939=$H$12,H939=$H$13,H939=$H$14),SottocategorieUscite[[#Headers],[Business Uscite]],IF(OR(H939=$I$5,H939=$I$6,H939=$I$7,H939=$I$8,H939=$I$9,H939=$I$10,H939=$I$11,H939=$I$12,H939=$I$13,H939=$I$14),SottocategorieUscite[[#Headers],[Banca]],IF(OR(H939=K$5,H939=K$6,H939=K$7,H939=K$8,H939=K$9,H939=K$10,H939=K$11,H939=K$12,H939=K$13,H939=K$14),SottocategorieEntrate[[#Headers],[Business Entrate]],IF(OR(H939=L$5,H939=L$6,H939=L$7,H939=L$8,H939=L$9,H939=L$10,H939=L$11,H939=L$12,H939=L$13,H939=L$14),SottocategorieEntrate[[#Headers],[Varie Entrate]],IF(OR(H939=M$5,H939=M$6,H939=M$7,H939=M$8,H939=M$9,H939=M$10,H939=M$11,H939=M$12,H939=M$13,H939=M$14),SottocategorieEntrate[[#Headers],[Real Estate]],IF(OR(H939=N$5,H939=N$6,H939=N$7,H939=N$8,H939=N$9,H939=N$10,H939=N$11,H939=N$12,H939=N$13,H939=N$14),SottocategorieEntrate[[#Headers],[Other]],""))))))))))))</f>
        <v/>
      </c>
      <c r="J939" t="str">
        <f>IF(OR(Dati[[#This Row],[Categoria]]="Bollette",Dati[[#This Row],[Categoria]]="Conto &amp; Carte BNL",Dati[[#This Row],[Categoria]]="Prelievo",Dati[[#This Row],[Categoria]]="Affitto",Dati[[#This Row],[Categoria]]="BNL(Interessi Creditori)"),"Carta",IF(Dati[[#This Row],[Categoria]]&lt;&gt;0,"Cash",""))</f>
        <v/>
      </c>
      <c r="K939" s="59" t="str">
        <f>IF(OR(Data!$I939=SottocategorieUscite[[#Headers],[Fuori Casa]],Data!$I939=SottocategorieUscite[[#Headers],[Varie Uscite]],Data!$I939=SottocategorieUscite[[#Headers],[Personali]],Data!$I939=SottocategorieUscite[[#Headers],[Lavoro]]),"$ -","")</f>
        <v/>
      </c>
      <c r="L939" s="59" t="str">
        <f>IF(OR(Data!$I939=SottocategorieUscite[[#Headers],[Casa]],Data!$I939=SottocategorieUscite[[#Headers],[Utenze]],Data!$I939=SottocategorieUscite[[#Headers],[Business Uscite]],Data!$I939=SottocategorieUscite[[#Headers],[Banca]]),"$ -","")</f>
        <v/>
      </c>
      <c r="M939" s="59" t="str">
        <f>IF(OR($I939&lt;&gt;SottocategorieUscite[[#Headers],[Fuori Casa]],$I939&lt;&gt;SottocategorieUscite[[#Headers],[Varie Uscite]],$I939&lt;&gt;SottocategorieUscite[[#Headers],[Personali]],$I939&lt;&gt;SottocategorieUscite[[#Headers],[Lavoro]],$I939&lt;&gt;SottocategorieUscite[[#Headers],[Casa]],$I939&lt;&gt;SottocategorieUscite[[#Headers],[Utenze]],$I939&lt;&gt;SottocategorieUscite[[#Headers],[Business Uscite]],$I939&lt;&gt;SottocategorieUscite[[#Headers],[Banca]]),"","$ -")</f>
        <v/>
      </c>
      <c r="N939" s="59" t="str">
        <f>IF(OR(Data!$I939=SottocategorieEntrate[[#Headers],[Business Entrate]],Data!$I939=SottocategorieEntrate[[#Headers],[Varie Entrate]]),"$ -","")</f>
        <v/>
      </c>
      <c r="O939" s="59" t="str">
        <f>IF(OR(Data!$I939=SottocategorieEntrate[[#Headers],[Real Estate]],SottocategorieEntrate[[#Headers],[Other]]),"$ -","")</f>
        <v/>
      </c>
      <c r="P939" s="59" t="str">
        <f>IF(OR($I939&lt;&gt;SottocategorieEntrate[[#Headers],[Business Entrate]],$I939&lt;&gt;SottocategorieEntrate[[#Headers],[Varie Entrate]],$I939&lt;&gt;SottocategorieEntrate[[#Headers],[Real Estate]],$I939&lt;&gt;SottocategorieEntrate[[#Headers],[Other]]),"","$ -")</f>
        <v/>
      </c>
      <c r="Q939" s="59" t="str">
        <f>IF(Dati[[#This Row],[Categoria]]="Prelievo","€ -","")</f>
        <v/>
      </c>
      <c r="R939" s="244"/>
      <c r="S939" s="59" t="str">
        <f>IF(Dati[[#This Row],[Categoria]]="Savings",0,"")</f>
        <v/>
      </c>
      <c r="T939" s="59"/>
      <c r="U939" s="59"/>
      <c r="V939" s="59"/>
      <c r="W939" s="59"/>
      <c r="X939" s="59"/>
      <c r="Y939" s="59"/>
      <c r="Z939" s="59"/>
      <c r="AA939" s="59"/>
      <c r="AB939" s="59"/>
      <c r="AC939" s="59"/>
      <c r="AD939" s="59"/>
      <c r="AE939" s="59"/>
      <c r="AF939" s="59"/>
      <c r="AG939" s="59"/>
      <c r="AH939" s="59"/>
      <c r="AI939" s="59" t="str">
        <f>IF(SUM(Dati[[#This Row],[Inv. Business]:[Inv. Cryptocurrency]])=0," ",SUM(Dati[[#This Row],[Inv. Business]:[Inv. Cryptocurrency]]))</f>
        <v xml:space="preserve"> </v>
      </c>
      <c r="AJ939" s="59"/>
      <c r="AK939" s="59"/>
      <c r="AL939" s="59"/>
      <c r="AM939" s="59"/>
    </row>
    <row r="940" spans="2:39" x14ac:dyDescent="0.35">
      <c r="B940" s="237">
        <f>ROW(903:903)</f>
        <v>903</v>
      </c>
      <c r="C940" s="49">
        <f>C937+1</f>
        <v>45612</v>
      </c>
      <c r="D940" s="29">
        <f>DAY(Dati[[#This Row],[Data]])</f>
        <v>16</v>
      </c>
      <c r="E940" s="29" t="str">
        <f>IF(DAY(Data!$C$21:$C$1327)&gt;0,TEXT(Data!$C$21:$C$1327, "mmmm"),"")</f>
        <v>novembre</v>
      </c>
      <c r="F940" s="29" t="str">
        <f>IF(DAY(Data!$C$21:$C$1327)&gt;0,TEXT(Data!$C$21:$C$1327, "aaaa"),"")</f>
        <v>2024</v>
      </c>
      <c r="I940" t="str">
        <f>IF(OR(H940=$B$5,H940=$B$6,H940=$B$7,H940=$B$8,H940=$B$9,H940=$B$10,H940=$B$11,H940=$B$12,H940=$B$13,H940=$B$14),SottocategorieUscite[[#Headers],[Fuori Casa]],IF(OR(H940=$C$5,H940=$C$6,H940=$C$7,H940=$C$8,H940=$C$9,H940=$C$10,H940=$C$11,H940=$C$12,H940=$C$13,H940=$C$14),SottocategorieUscite[[#Headers],[Varie Uscite]],IF(OR(H940=$D$5,H940=$D$6,H940=$D$7,H940=$D$8,H940=$D$9,H940=$D$10,H940=$D$11,H940=$D$12,H940=$D$13,H940=$D$14),SottocategorieUscite[[#Headers],[Personali]],IF(OR(H940=$E$5,H940=$E$6,H940=$E$7,H940=$E$8,H940=$E$9,H940=$E$10,H940=$E$11,H940=$E$12,H940=$E$13,H940=$E$14),SottocategorieUscite[[#Headers],[Lavoro]],IF(OR(H940=$F$5,H940=$F$6,H940=$F$7,H940=$F$8,H940=$F$9,H940=$F$10,H940=$F$11,H940=$F$12,H940=$F$13,H940=$F$14),SottocategorieUscite[[#Headers],[Casa]],IF(OR(H940=$G$5,H940=$G$6,H940=$G$7,H940=$G$8,H940=$G$9,H940=$G$10,H940=$G$11,H940=$G$12,H940=$G$13,H940=$G$14),SottocategorieUscite[[#Headers],[Utenze]],IF(OR(H940=$H$5,H940=$H$6,H940=$H$7,H940=$H$8,H940=$H$9,H940=$H$10,H940=$H$11,H940=$H$12,H940=$H$13,H940=$H$14),SottocategorieUscite[[#Headers],[Business Uscite]],IF(OR(H940=$I$5,H940=$I$6,H940=$I$7,H940=$I$8,H940=$I$9,H940=$I$10,H940=$I$11,H940=$I$12,H940=$I$13,H940=$I$14),SottocategorieUscite[[#Headers],[Banca]],IF(OR(H940=K$5,H940=K$6,H940=K$7,H940=K$8,H940=K$9,H940=K$10,H940=K$11,H940=K$12,H940=K$13,H940=K$14),SottocategorieEntrate[[#Headers],[Business Entrate]],IF(OR(H940=L$5,H940=L$6,H940=L$7,H940=L$8,H940=L$9,H940=L$10,H940=L$11,H940=L$12,H940=L$13,H940=L$14),SottocategorieEntrate[[#Headers],[Varie Entrate]],IF(OR(H940=M$5,H940=M$6,H940=M$7,H940=M$8,H940=M$9,H940=M$10,H940=M$11,H940=M$12,H940=M$13,H940=M$14),SottocategorieEntrate[[#Headers],[Real Estate]],IF(OR(H940=N$5,H940=N$6,H940=N$7,H940=N$8,H940=N$9,H940=N$10,H940=N$11,H940=N$12,H940=N$13,H940=N$14),SottocategorieEntrate[[#Headers],[Other]],""))))))))))))</f>
        <v/>
      </c>
      <c r="J940" t="str">
        <f>IF(OR(Dati[[#This Row],[Categoria]]="Bollette",Dati[[#This Row],[Categoria]]="Conto &amp; Carte BNL",Dati[[#This Row],[Categoria]]="Prelievo",Dati[[#This Row],[Categoria]]="Affitto",Dati[[#This Row],[Categoria]]="BNL(Interessi Creditori)"),"Carta",IF(Dati[[#This Row],[Categoria]]&lt;&gt;0,"Cash",""))</f>
        <v/>
      </c>
      <c r="K940" s="59" t="str">
        <f>IF(OR(Data!$I940=SottocategorieUscite[[#Headers],[Fuori Casa]],Data!$I940=SottocategorieUscite[[#Headers],[Varie Uscite]],Data!$I940=SottocategorieUscite[[#Headers],[Personali]],Data!$I940=SottocategorieUscite[[#Headers],[Lavoro]]),"$ -","")</f>
        <v/>
      </c>
      <c r="L940" s="59" t="str">
        <f>IF(OR(Data!$I940=SottocategorieUscite[[#Headers],[Casa]],Data!$I940=SottocategorieUscite[[#Headers],[Utenze]],Data!$I940=SottocategorieUscite[[#Headers],[Business Uscite]],Data!$I940=SottocategorieUscite[[#Headers],[Banca]]),"$ -","")</f>
        <v/>
      </c>
      <c r="M940" s="59" t="str">
        <f>IF(OR($I940&lt;&gt;SottocategorieUscite[[#Headers],[Fuori Casa]],$I940&lt;&gt;SottocategorieUscite[[#Headers],[Varie Uscite]],$I940&lt;&gt;SottocategorieUscite[[#Headers],[Personali]],$I940&lt;&gt;SottocategorieUscite[[#Headers],[Lavoro]],$I940&lt;&gt;SottocategorieUscite[[#Headers],[Casa]],$I940&lt;&gt;SottocategorieUscite[[#Headers],[Utenze]],$I940&lt;&gt;SottocategorieUscite[[#Headers],[Business Uscite]],$I940&lt;&gt;SottocategorieUscite[[#Headers],[Banca]]),"","$ -")</f>
        <v/>
      </c>
      <c r="N940" s="59" t="str">
        <f>IF(OR(Data!$I940=SottocategorieEntrate[[#Headers],[Business Entrate]],Data!$I940=SottocategorieEntrate[[#Headers],[Varie Entrate]]),"$ -","")</f>
        <v/>
      </c>
      <c r="O940" s="59" t="str">
        <f>IF(OR(Data!$I940=SottocategorieEntrate[[#Headers],[Real Estate]],SottocategorieEntrate[[#Headers],[Other]]),"$ -","")</f>
        <v/>
      </c>
      <c r="P940" s="59" t="str">
        <f>IF(OR($I940&lt;&gt;SottocategorieEntrate[[#Headers],[Business Entrate]],$I940&lt;&gt;SottocategorieEntrate[[#Headers],[Varie Entrate]],$I940&lt;&gt;SottocategorieEntrate[[#Headers],[Real Estate]],$I940&lt;&gt;SottocategorieEntrate[[#Headers],[Other]]),"","$ -")</f>
        <v/>
      </c>
      <c r="Q940" s="59" t="str">
        <f>IF(Dati[[#This Row],[Categoria]]="Prelievo","€ -","")</f>
        <v/>
      </c>
      <c r="R940" s="244"/>
      <c r="S940" s="59" t="str">
        <f>IF(Dati[[#This Row],[Categoria]]="Savings",0,"")</f>
        <v/>
      </c>
      <c r="T940" s="59"/>
      <c r="U940" s="59"/>
      <c r="V940" s="59"/>
      <c r="W940" s="59"/>
      <c r="X940" s="59"/>
      <c r="Y940" s="59"/>
      <c r="Z940" s="59"/>
      <c r="AA940" s="59"/>
      <c r="AB940" s="59"/>
      <c r="AC940" s="59"/>
      <c r="AD940" s="59"/>
      <c r="AE940" s="59"/>
      <c r="AF940" s="59"/>
      <c r="AG940" s="59"/>
      <c r="AH940" s="59"/>
      <c r="AI940" s="59" t="str">
        <f>IF(SUM(Dati[[#This Row],[Inv. Business]:[Inv. Cryptocurrency]])=0," ",SUM(Dati[[#This Row],[Inv. Business]:[Inv. Cryptocurrency]]))</f>
        <v xml:space="preserve"> </v>
      </c>
      <c r="AJ940" s="59"/>
      <c r="AK940" s="59"/>
      <c r="AL940" s="59"/>
      <c r="AM940" s="59"/>
    </row>
    <row r="941" spans="2:39" x14ac:dyDescent="0.35">
      <c r="B941" s="237">
        <f>ROW(903:903)</f>
        <v>903</v>
      </c>
      <c r="C941" s="49">
        <f>C939+1</f>
        <v>45612</v>
      </c>
      <c r="D941" s="29">
        <f>DAY(Dati[[#This Row],[Data]])</f>
        <v>16</v>
      </c>
      <c r="E941" s="29" t="str">
        <f>IF(DAY(Data!$C$21:$C$1327)&gt;0,TEXT(Data!$C$21:$C$1327, "mmmm"),"")</f>
        <v>novembre</v>
      </c>
      <c r="F941" s="29" t="str">
        <f>IF(DAY(Data!$C$21:$C$1327)&gt;0,TEXT(Data!$C$21:$C$1327, "aaaa"),"")</f>
        <v>2024</v>
      </c>
      <c r="I941" t="str">
        <f>IF(OR(H941=$B$5,H941=$B$6,H941=$B$7,H941=$B$8,H941=$B$9,H941=$B$10,H941=$B$11,H941=$B$12,H941=$B$13,H941=$B$14),SottocategorieUscite[[#Headers],[Fuori Casa]],IF(OR(H941=$C$5,H941=$C$6,H941=$C$7,H941=$C$8,H941=$C$9,H941=$C$10,H941=$C$11,H941=$C$12,H941=$C$13,H941=$C$14),SottocategorieUscite[[#Headers],[Varie Uscite]],IF(OR(H941=$D$5,H941=$D$6,H941=$D$7,H941=$D$8,H941=$D$9,H941=$D$10,H941=$D$11,H941=$D$12,H941=$D$13,H941=$D$14),SottocategorieUscite[[#Headers],[Personali]],IF(OR(H941=$E$5,H941=$E$6,H941=$E$7,H941=$E$8,H941=$E$9,H941=$E$10,H941=$E$11,H941=$E$12,H941=$E$13,H941=$E$14),SottocategorieUscite[[#Headers],[Lavoro]],IF(OR(H941=$F$5,H941=$F$6,H941=$F$7,H941=$F$8,H941=$F$9,H941=$F$10,H941=$F$11,H941=$F$12,H941=$F$13,H941=$F$14),SottocategorieUscite[[#Headers],[Casa]],IF(OR(H941=$G$5,H941=$G$6,H941=$G$7,H941=$G$8,H941=$G$9,H941=$G$10,H941=$G$11,H941=$G$12,H941=$G$13,H941=$G$14),SottocategorieUscite[[#Headers],[Utenze]],IF(OR(H941=$H$5,H941=$H$6,H941=$H$7,H941=$H$8,H941=$H$9,H941=$H$10,H941=$H$11,H941=$H$12,H941=$H$13,H941=$H$14),SottocategorieUscite[[#Headers],[Business Uscite]],IF(OR(H941=$I$5,H941=$I$6,H941=$I$7,H941=$I$8,H941=$I$9,H941=$I$10,H941=$I$11,H941=$I$12,H941=$I$13,H941=$I$14),SottocategorieUscite[[#Headers],[Banca]],IF(OR(H941=K$5,H941=K$6,H941=K$7,H941=K$8,H941=K$9,H941=K$10,H941=K$11,H941=K$12,H941=K$13,H941=K$14),SottocategorieEntrate[[#Headers],[Business Entrate]],IF(OR(H941=L$5,H941=L$6,H941=L$7,H941=L$8,H941=L$9,H941=L$10,H941=L$11,H941=L$12,H941=L$13,H941=L$14),SottocategorieEntrate[[#Headers],[Varie Entrate]],IF(OR(H941=M$5,H941=M$6,H941=M$7,H941=M$8,H941=M$9,H941=M$10,H941=M$11,H941=M$12,H941=M$13,H941=M$14),SottocategorieEntrate[[#Headers],[Real Estate]],IF(OR(H941=N$5,H941=N$6,H941=N$7,H941=N$8,H941=N$9,H941=N$10,H941=N$11,H941=N$12,H941=N$13,H941=N$14),SottocategorieEntrate[[#Headers],[Other]],""))))))))))))</f>
        <v/>
      </c>
      <c r="J941" t="str">
        <f>IF(OR(Dati[[#This Row],[Categoria]]="Bollette",Dati[[#This Row],[Categoria]]="Conto &amp; Carte BNL",Dati[[#This Row],[Categoria]]="Prelievo",Dati[[#This Row],[Categoria]]="Affitto",Dati[[#This Row],[Categoria]]="BNL(Interessi Creditori)"),"Carta",IF(Dati[[#This Row],[Categoria]]&lt;&gt;0,"Cash",""))</f>
        <v/>
      </c>
      <c r="K941" s="59" t="str">
        <f>IF(OR(Data!$I941=SottocategorieUscite[[#Headers],[Fuori Casa]],Data!$I941=SottocategorieUscite[[#Headers],[Varie Uscite]],Data!$I941=SottocategorieUscite[[#Headers],[Personali]],Data!$I941=SottocategorieUscite[[#Headers],[Lavoro]]),"$ -","")</f>
        <v/>
      </c>
      <c r="L941" s="59" t="str">
        <f>IF(OR(Data!$I941=SottocategorieUscite[[#Headers],[Casa]],Data!$I941=SottocategorieUscite[[#Headers],[Utenze]],Data!$I941=SottocategorieUscite[[#Headers],[Business Uscite]],Data!$I941=SottocategorieUscite[[#Headers],[Banca]]),"$ -","")</f>
        <v/>
      </c>
      <c r="M941" s="59" t="str">
        <f>IF(OR($I941&lt;&gt;SottocategorieUscite[[#Headers],[Fuori Casa]],$I941&lt;&gt;SottocategorieUscite[[#Headers],[Varie Uscite]],$I941&lt;&gt;SottocategorieUscite[[#Headers],[Personali]],$I941&lt;&gt;SottocategorieUscite[[#Headers],[Lavoro]],$I941&lt;&gt;SottocategorieUscite[[#Headers],[Casa]],$I941&lt;&gt;SottocategorieUscite[[#Headers],[Utenze]],$I941&lt;&gt;SottocategorieUscite[[#Headers],[Business Uscite]],$I941&lt;&gt;SottocategorieUscite[[#Headers],[Banca]]),"","$ -")</f>
        <v/>
      </c>
      <c r="N941" s="59" t="str">
        <f>IF(OR(Data!$I941=SottocategorieEntrate[[#Headers],[Business Entrate]],Data!$I941=SottocategorieEntrate[[#Headers],[Varie Entrate]]),"$ -","")</f>
        <v/>
      </c>
      <c r="O941" s="59" t="str">
        <f>IF(OR(Data!$I941=SottocategorieEntrate[[#Headers],[Real Estate]],SottocategorieEntrate[[#Headers],[Other]]),"$ -","")</f>
        <v/>
      </c>
      <c r="P941" s="59" t="str">
        <f>IF(OR($I941&lt;&gt;SottocategorieEntrate[[#Headers],[Business Entrate]],$I941&lt;&gt;SottocategorieEntrate[[#Headers],[Varie Entrate]],$I941&lt;&gt;SottocategorieEntrate[[#Headers],[Real Estate]],$I941&lt;&gt;SottocategorieEntrate[[#Headers],[Other]]),"","$ -")</f>
        <v/>
      </c>
      <c r="Q941" s="59" t="str">
        <f>IF(Dati[[#This Row],[Categoria]]="Prelievo","€ -","")</f>
        <v/>
      </c>
      <c r="R941" s="244"/>
      <c r="S941" s="59" t="str">
        <f>IF(Dati[[#This Row],[Categoria]]="Savings",0,"")</f>
        <v/>
      </c>
      <c r="T941" s="59"/>
      <c r="U941" s="59"/>
      <c r="V941" s="59"/>
      <c r="W941" s="59"/>
      <c r="X941" s="59"/>
      <c r="Y941" s="59"/>
      <c r="Z941" s="59"/>
      <c r="AA941" s="59"/>
      <c r="AB941" s="59"/>
      <c r="AC941" s="59"/>
      <c r="AD941" s="59"/>
      <c r="AE941" s="59"/>
      <c r="AF941" s="59"/>
      <c r="AG941" s="59"/>
      <c r="AH941" s="59"/>
      <c r="AI941" s="59" t="str">
        <f>IF(SUM(Dati[[#This Row],[Inv. Business]:[Inv. Cryptocurrency]])=0," ",SUM(Dati[[#This Row],[Inv. Business]:[Inv. Cryptocurrency]]))</f>
        <v xml:space="preserve"> </v>
      </c>
      <c r="AJ941" s="59"/>
      <c r="AK941" s="59"/>
      <c r="AL941" s="59"/>
      <c r="AM941" s="59"/>
    </row>
    <row r="942" spans="2:39" x14ac:dyDescent="0.35">
      <c r="B942" s="237">
        <f>ROW(904:904)</f>
        <v>904</v>
      </c>
      <c r="C942" s="49">
        <f>C940+1</f>
        <v>45613</v>
      </c>
      <c r="D942" s="29">
        <f>DAY(Dati[[#This Row],[Data]])</f>
        <v>17</v>
      </c>
      <c r="E942" s="29" t="str">
        <f>IF(DAY(Data!$C$21:$C$1327)&gt;0,TEXT(Data!$C$21:$C$1327, "mmmm"),"")</f>
        <v>novembre</v>
      </c>
      <c r="F942" s="29" t="str">
        <f>IF(DAY(Data!$C$21:$C$1327)&gt;0,TEXT(Data!$C$21:$C$1327, "aaaa"),"")</f>
        <v>2024</v>
      </c>
      <c r="I942" t="str">
        <f>IF(OR(H942=$B$5,H942=$B$6,H942=$B$7,H942=$B$8,H942=$B$9,H942=$B$10,H942=$B$11,H942=$B$12,H942=$B$13,H942=$B$14),SottocategorieUscite[[#Headers],[Fuori Casa]],IF(OR(H942=$C$5,H942=$C$6,H942=$C$7,H942=$C$8,H942=$C$9,H942=$C$10,H942=$C$11,H942=$C$12,H942=$C$13,H942=$C$14),SottocategorieUscite[[#Headers],[Varie Uscite]],IF(OR(H942=$D$5,H942=$D$6,H942=$D$7,H942=$D$8,H942=$D$9,H942=$D$10,H942=$D$11,H942=$D$12,H942=$D$13,H942=$D$14),SottocategorieUscite[[#Headers],[Personali]],IF(OR(H942=$E$5,H942=$E$6,H942=$E$7,H942=$E$8,H942=$E$9,H942=$E$10,H942=$E$11,H942=$E$12,H942=$E$13,H942=$E$14),SottocategorieUscite[[#Headers],[Lavoro]],IF(OR(H942=$F$5,H942=$F$6,H942=$F$7,H942=$F$8,H942=$F$9,H942=$F$10,H942=$F$11,H942=$F$12,H942=$F$13,H942=$F$14),SottocategorieUscite[[#Headers],[Casa]],IF(OR(H942=$G$5,H942=$G$6,H942=$G$7,H942=$G$8,H942=$G$9,H942=$G$10,H942=$G$11,H942=$G$12,H942=$G$13,H942=$G$14),SottocategorieUscite[[#Headers],[Utenze]],IF(OR(H942=$H$5,H942=$H$6,H942=$H$7,H942=$H$8,H942=$H$9,H942=$H$10,H942=$H$11,H942=$H$12,H942=$H$13,H942=$H$14),SottocategorieUscite[[#Headers],[Business Uscite]],IF(OR(H942=$I$5,H942=$I$6,H942=$I$7,H942=$I$8,H942=$I$9,H942=$I$10,H942=$I$11,H942=$I$12,H942=$I$13,H942=$I$14),SottocategorieUscite[[#Headers],[Banca]],IF(OR(H942=K$5,H942=K$6,H942=K$7,H942=K$8,H942=K$9,H942=K$10,H942=K$11,H942=K$12,H942=K$13,H942=K$14),SottocategorieEntrate[[#Headers],[Business Entrate]],IF(OR(H942=L$5,H942=L$6,H942=L$7,H942=L$8,H942=L$9,H942=L$10,H942=L$11,H942=L$12,H942=L$13,H942=L$14),SottocategorieEntrate[[#Headers],[Varie Entrate]],IF(OR(H942=M$5,H942=M$6,H942=M$7,H942=M$8,H942=M$9,H942=M$10,H942=M$11,H942=M$12,H942=M$13,H942=M$14),SottocategorieEntrate[[#Headers],[Real Estate]],IF(OR(H942=N$5,H942=N$6,H942=N$7,H942=N$8,H942=N$9,H942=N$10,H942=N$11,H942=N$12,H942=N$13,H942=N$14),SottocategorieEntrate[[#Headers],[Other]],""))))))))))))</f>
        <v/>
      </c>
      <c r="J942" t="str">
        <f>IF(OR(Dati[[#This Row],[Categoria]]="Bollette",Dati[[#This Row],[Categoria]]="Conto &amp; Carte BNL",Dati[[#This Row],[Categoria]]="Prelievo",Dati[[#This Row],[Categoria]]="Affitto",Dati[[#This Row],[Categoria]]="BNL(Interessi Creditori)"),"Carta",IF(Dati[[#This Row],[Categoria]]&lt;&gt;0,"Cash",""))</f>
        <v/>
      </c>
      <c r="K942" s="59" t="str">
        <f>IF(OR(Data!$I942=SottocategorieUscite[[#Headers],[Fuori Casa]],Data!$I942=SottocategorieUscite[[#Headers],[Varie Uscite]],Data!$I942=SottocategorieUscite[[#Headers],[Personali]],Data!$I942=SottocategorieUscite[[#Headers],[Lavoro]]),"$ -","")</f>
        <v/>
      </c>
      <c r="L942" s="59" t="str">
        <f>IF(OR(Data!$I942=SottocategorieUscite[[#Headers],[Casa]],Data!$I942=SottocategorieUscite[[#Headers],[Utenze]],Data!$I942=SottocategorieUscite[[#Headers],[Business Uscite]],Data!$I942=SottocategorieUscite[[#Headers],[Banca]]),"$ -","")</f>
        <v/>
      </c>
      <c r="M942" s="59" t="str">
        <f>IF(OR($I942&lt;&gt;SottocategorieUscite[[#Headers],[Fuori Casa]],$I942&lt;&gt;SottocategorieUscite[[#Headers],[Varie Uscite]],$I942&lt;&gt;SottocategorieUscite[[#Headers],[Personali]],$I942&lt;&gt;SottocategorieUscite[[#Headers],[Lavoro]],$I942&lt;&gt;SottocategorieUscite[[#Headers],[Casa]],$I942&lt;&gt;SottocategorieUscite[[#Headers],[Utenze]],$I942&lt;&gt;SottocategorieUscite[[#Headers],[Business Uscite]],$I942&lt;&gt;SottocategorieUscite[[#Headers],[Banca]]),"","$ -")</f>
        <v/>
      </c>
      <c r="N942" s="59" t="str">
        <f>IF(OR(Data!$I942=SottocategorieEntrate[[#Headers],[Business Entrate]],Data!$I942=SottocategorieEntrate[[#Headers],[Varie Entrate]]),"$ -","")</f>
        <v/>
      </c>
      <c r="O942" s="59" t="str">
        <f>IF(OR(Data!$I942=SottocategorieEntrate[[#Headers],[Real Estate]],SottocategorieEntrate[[#Headers],[Other]]),"$ -","")</f>
        <v/>
      </c>
      <c r="P942" s="59" t="str">
        <f>IF(OR($I942&lt;&gt;SottocategorieEntrate[[#Headers],[Business Entrate]],$I942&lt;&gt;SottocategorieEntrate[[#Headers],[Varie Entrate]],$I942&lt;&gt;SottocategorieEntrate[[#Headers],[Real Estate]],$I942&lt;&gt;SottocategorieEntrate[[#Headers],[Other]]),"","$ -")</f>
        <v/>
      </c>
      <c r="Q942" s="59" t="str">
        <f>IF(Dati[[#This Row],[Categoria]]="Prelievo","€ -","")</f>
        <v/>
      </c>
      <c r="R942" s="244"/>
      <c r="S942" s="59" t="str">
        <f>IF(Dati[[#This Row],[Categoria]]="Savings",0,"")</f>
        <v/>
      </c>
      <c r="T942" s="59"/>
      <c r="U942" s="59"/>
      <c r="V942" s="59"/>
      <c r="W942" s="59"/>
      <c r="X942" s="59"/>
      <c r="Y942" s="59"/>
      <c r="Z942" s="59"/>
      <c r="AA942" s="59"/>
      <c r="AB942" s="59"/>
      <c r="AC942" s="59"/>
      <c r="AD942" s="59"/>
      <c r="AE942" s="59"/>
      <c r="AF942" s="59"/>
      <c r="AG942" s="59"/>
      <c r="AH942" s="59"/>
      <c r="AI942" s="59" t="str">
        <f>IF(SUM(Dati[[#This Row],[Inv. Business]:[Inv. Cryptocurrency]])=0," ",SUM(Dati[[#This Row],[Inv. Business]:[Inv. Cryptocurrency]]))</f>
        <v xml:space="preserve"> </v>
      </c>
      <c r="AJ942" s="59"/>
      <c r="AK942" s="59"/>
      <c r="AL942" s="59"/>
      <c r="AM942" s="59"/>
    </row>
    <row r="943" spans="2:39" x14ac:dyDescent="0.35">
      <c r="B943" s="237">
        <f t="shared" ref="B943" si="49">ROW(907:907)</f>
        <v>907</v>
      </c>
      <c r="C943" s="49">
        <f t="shared" si="48"/>
        <v>45614</v>
      </c>
      <c r="D943" s="29">
        <f>DAY(Dati[[#This Row],[Data]])</f>
        <v>18</v>
      </c>
      <c r="E943" s="29" t="str">
        <f>IF(DAY(Data!$C$21:$C$1327)&gt;0,TEXT(Data!$C$21:$C$1327, "mmmm"),"")</f>
        <v>novembre</v>
      </c>
      <c r="F943" s="29" t="str">
        <f>IF(DAY(Data!$C$21:$C$1327)&gt;0,TEXT(Data!$C$21:$C$1327, "aaaa"),"")</f>
        <v>2024</v>
      </c>
      <c r="I943" t="str">
        <f>IF(OR(H943=$B$5,H943=$B$6,H943=$B$7,H943=$B$8,H943=$B$9,H943=$B$10,H943=$B$11,H943=$B$12,H943=$B$13,H943=$B$14),SottocategorieUscite[[#Headers],[Fuori Casa]],IF(OR(H943=$C$5,H943=$C$6,H943=$C$7,H943=$C$8,H943=$C$9,H943=$C$10,H943=$C$11,H943=$C$12,H943=$C$13,H943=$C$14),SottocategorieUscite[[#Headers],[Varie Uscite]],IF(OR(H943=$D$5,H943=$D$6,H943=$D$7,H943=$D$8,H943=$D$9,H943=$D$10,H943=$D$11,H943=$D$12,H943=$D$13,H943=$D$14),SottocategorieUscite[[#Headers],[Personali]],IF(OR(H943=$E$5,H943=$E$6,H943=$E$7,H943=$E$8,H943=$E$9,H943=$E$10,H943=$E$11,H943=$E$12,H943=$E$13,H943=$E$14),SottocategorieUscite[[#Headers],[Lavoro]],IF(OR(H943=$F$5,H943=$F$6,H943=$F$7,H943=$F$8,H943=$F$9,H943=$F$10,H943=$F$11,H943=$F$12,H943=$F$13,H943=$F$14),SottocategorieUscite[[#Headers],[Casa]],IF(OR(H943=$G$5,H943=$G$6,H943=$G$7,H943=$G$8,H943=$G$9,H943=$G$10,H943=$G$11,H943=$G$12,H943=$G$13,H943=$G$14),SottocategorieUscite[[#Headers],[Utenze]],IF(OR(H943=$H$5,H943=$H$6,H943=$H$7,H943=$H$8,H943=$H$9,H943=$H$10,H943=$H$11,H943=$H$12,H943=$H$13,H943=$H$14),SottocategorieUscite[[#Headers],[Business Uscite]],IF(OR(H943=$I$5,H943=$I$6,H943=$I$7,H943=$I$8,H943=$I$9,H943=$I$10,H943=$I$11,H943=$I$12,H943=$I$13,H943=$I$14),SottocategorieUscite[[#Headers],[Banca]],IF(OR(H943=K$5,H943=K$6,H943=K$7,H943=K$8,H943=K$9,H943=K$10,H943=K$11,H943=K$12,H943=K$13,H943=K$14),SottocategorieEntrate[[#Headers],[Business Entrate]],IF(OR(H943=L$5,H943=L$6,H943=L$7,H943=L$8,H943=L$9,H943=L$10,H943=L$11,H943=L$12,H943=L$13,H943=L$14),SottocategorieEntrate[[#Headers],[Varie Entrate]],IF(OR(H943=M$5,H943=M$6,H943=M$7,H943=M$8,H943=M$9,H943=M$10,H943=M$11,H943=M$12,H943=M$13,H943=M$14),SottocategorieEntrate[[#Headers],[Real Estate]],IF(OR(H943=N$5,H943=N$6,H943=N$7,H943=N$8,H943=N$9,H943=N$10,H943=N$11,H943=N$12,H943=N$13,H943=N$14),SottocategorieEntrate[[#Headers],[Other]],""))))))))))))</f>
        <v/>
      </c>
      <c r="J943" t="str">
        <f>IF(OR(Dati[[#This Row],[Categoria]]="Bollette",Dati[[#This Row],[Categoria]]="Conto &amp; Carte BNL",Dati[[#This Row],[Categoria]]="Prelievo",Dati[[#This Row],[Categoria]]="Affitto",Dati[[#This Row],[Categoria]]="BNL(Interessi Creditori)"),"Carta",IF(Dati[[#This Row],[Categoria]]&lt;&gt;0,"Cash",""))</f>
        <v/>
      </c>
      <c r="K943" s="59" t="str">
        <f>IF(OR(Data!$I943=SottocategorieUscite[[#Headers],[Fuori Casa]],Data!$I943=SottocategorieUscite[[#Headers],[Varie Uscite]],Data!$I943=SottocategorieUscite[[#Headers],[Personali]],Data!$I943=SottocategorieUscite[[#Headers],[Lavoro]]),"$ -","")</f>
        <v/>
      </c>
      <c r="L943" s="59" t="str">
        <f>IF(OR(Data!$I943=SottocategorieUscite[[#Headers],[Casa]],Data!$I943=SottocategorieUscite[[#Headers],[Utenze]],Data!$I943=SottocategorieUscite[[#Headers],[Business Uscite]],Data!$I943=SottocategorieUscite[[#Headers],[Banca]]),"$ -","")</f>
        <v/>
      </c>
      <c r="M943" s="59" t="str">
        <f>IF(OR($I943&lt;&gt;SottocategorieUscite[[#Headers],[Fuori Casa]],$I943&lt;&gt;SottocategorieUscite[[#Headers],[Varie Uscite]],$I943&lt;&gt;SottocategorieUscite[[#Headers],[Personali]],$I943&lt;&gt;SottocategorieUscite[[#Headers],[Lavoro]],$I943&lt;&gt;SottocategorieUscite[[#Headers],[Casa]],$I943&lt;&gt;SottocategorieUscite[[#Headers],[Utenze]],$I943&lt;&gt;SottocategorieUscite[[#Headers],[Business Uscite]],$I943&lt;&gt;SottocategorieUscite[[#Headers],[Banca]]),"","$ -")</f>
        <v/>
      </c>
      <c r="N943" s="59" t="str">
        <f>IF(OR(Data!$I943=SottocategorieEntrate[[#Headers],[Business Entrate]],Data!$I943=SottocategorieEntrate[[#Headers],[Varie Entrate]]),"$ -","")</f>
        <v/>
      </c>
      <c r="O943" s="59" t="str">
        <f>IF(OR(Data!$I943=SottocategorieEntrate[[#Headers],[Real Estate]],SottocategorieEntrate[[#Headers],[Other]]),"$ -","")</f>
        <v/>
      </c>
      <c r="P943" s="59" t="str">
        <f>IF(OR($I943&lt;&gt;SottocategorieEntrate[[#Headers],[Business Entrate]],$I943&lt;&gt;SottocategorieEntrate[[#Headers],[Varie Entrate]],$I943&lt;&gt;SottocategorieEntrate[[#Headers],[Real Estate]],$I943&lt;&gt;SottocategorieEntrate[[#Headers],[Other]]),"","$ -")</f>
        <v/>
      </c>
      <c r="Q943" s="59" t="str">
        <f>IF(Dati[[#This Row],[Categoria]]="Prelievo","€ -","")</f>
        <v/>
      </c>
      <c r="R943" s="244"/>
      <c r="S943" s="59" t="str">
        <f>IF(Dati[[#This Row],[Categoria]]="Savings",0,"")</f>
        <v/>
      </c>
      <c r="T943" s="59"/>
      <c r="U943" s="59"/>
      <c r="V943" s="59"/>
      <c r="W943" s="59"/>
      <c r="X943" s="59"/>
      <c r="Y943" s="59"/>
      <c r="Z943" s="59"/>
      <c r="AA943" s="59"/>
      <c r="AB943" s="59"/>
      <c r="AC943" s="59"/>
      <c r="AD943" s="59"/>
      <c r="AE943" s="59"/>
      <c r="AF943" s="59"/>
      <c r="AG943" s="59"/>
      <c r="AH943" s="59"/>
      <c r="AI943" s="59" t="str">
        <f>IF(SUM(Dati[[#This Row],[Inv. Business]:[Inv. Cryptocurrency]])=0," ",SUM(Dati[[#This Row],[Inv. Business]:[Inv. Cryptocurrency]]))</f>
        <v xml:space="preserve"> </v>
      </c>
      <c r="AJ943" s="59"/>
      <c r="AK943" s="59"/>
      <c r="AL943" s="59"/>
      <c r="AM943" s="59"/>
    </row>
    <row r="944" spans="2:39" x14ac:dyDescent="0.35">
      <c r="B944" s="237">
        <f>ROW(907:907)</f>
        <v>907</v>
      </c>
      <c r="C944" s="49">
        <f>C942+1</f>
        <v>45614</v>
      </c>
      <c r="D944" s="29">
        <f>DAY(Dati[[#This Row],[Data]])</f>
        <v>18</v>
      </c>
      <c r="E944" s="29" t="str">
        <f>IF(DAY(Data!$C$21:$C$1327)&gt;0,TEXT(Data!$C$21:$C$1327, "mmmm"),"")</f>
        <v>novembre</v>
      </c>
      <c r="F944" s="29" t="str">
        <f>IF(DAY(Data!$C$21:$C$1327)&gt;0,TEXT(Data!$C$21:$C$1327, "aaaa"),"")</f>
        <v>2024</v>
      </c>
      <c r="I944" t="str">
        <f>IF(OR(H944=$B$5,H944=$B$6,H944=$B$7,H944=$B$8,H944=$B$9,H944=$B$10,H944=$B$11,H944=$B$12,H944=$B$13,H944=$B$14),SottocategorieUscite[[#Headers],[Fuori Casa]],IF(OR(H944=$C$5,H944=$C$6,H944=$C$7,H944=$C$8,H944=$C$9,H944=$C$10,H944=$C$11,H944=$C$12,H944=$C$13,H944=$C$14),SottocategorieUscite[[#Headers],[Varie Uscite]],IF(OR(H944=$D$5,H944=$D$6,H944=$D$7,H944=$D$8,H944=$D$9,H944=$D$10,H944=$D$11,H944=$D$12,H944=$D$13,H944=$D$14),SottocategorieUscite[[#Headers],[Personali]],IF(OR(H944=$E$5,H944=$E$6,H944=$E$7,H944=$E$8,H944=$E$9,H944=$E$10,H944=$E$11,H944=$E$12,H944=$E$13,H944=$E$14),SottocategorieUscite[[#Headers],[Lavoro]],IF(OR(H944=$F$5,H944=$F$6,H944=$F$7,H944=$F$8,H944=$F$9,H944=$F$10,H944=$F$11,H944=$F$12,H944=$F$13,H944=$F$14),SottocategorieUscite[[#Headers],[Casa]],IF(OR(H944=$G$5,H944=$G$6,H944=$G$7,H944=$G$8,H944=$G$9,H944=$G$10,H944=$G$11,H944=$G$12,H944=$G$13,H944=$G$14),SottocategorieUscite[[#Headers],[Utenze]],IF(OR(H944=$H$5,H944=$H$6,H944=$H$7,H944=$H$8,H944=$H$9,H944=$H$10,H944=$H$11,H944=$H$12,H944=$H$13,H944=$H$14),SottocategorieUscite[[#Headers],[Business Uscite]],IF(OR(H944=$I$5,H944=$I$6,H944=$I$7,H944=$I$8,H944=$I$9,H944=$I$10,H944=$I$11,H944=$I$12,H944=$I$13,H944=$I$14),SottocategorieUscite[[#Headers],[Banca]],IF(OR(H944=K$5,H944=K$6,H944=K$7,H944=K$8,H944=K$9,H944=K$10,H944=K$11,H944=K$12,H944=K$13,H944=K$14),SottocategorieEntrate[[#Headers],[Business Entrate]],IF(OR(H944=L$5,H944=L$6,H944=L$7,H944=L$8,H944=L$9,H944=L$10,H944=L$11,H944=L$12,H944=L$13,H944=L$14),SottocategorieEntrate[[#Headers],[Varie Entrate]],IF(OR(H944=M$5,H944=M$6,H944=M$7,H944=M$8,H944=M$9,H944=M$10,H944=M$11,H944=M$12,H944=M$13,H944=M$14),SottocategorieEntrate[[#Headers],[Real Estate]],IF(OR(H944=N$5,H944=N$6,H944=N$7,H944=N$8,H944=N$9,H944=N$10,H944=N$11,H944=N$12,H944=N$13,H944=N$14),SottocategorieEntrate[[#Headers],[Other]],""))))))))))))</f>
        <v/>
      </c>
      <c r="J944" t="str">
        <f>IF(OR(Dati[[#This Row],[Categoria]]="Bollette",Dati[[#This Row],[Categoria]]="Conto &amp; Carte BNL",Dati[[#This Row],[Categoria]]="Prelievo",Dati[[#This Row],[Categoria]]="Affitto",Dati[[#This Row],[Categoria]]="BNL(Interessi Creditori)"),"Carta",IF(Dati[[#This Row],[Categoria]]&lt;&gt;0,"Cash",""))</f>
        <v/>
      </c>
      <c r="K944" s="59" t="str">
        <f>IF(OR(Data!$I944=SottocategorieUscite[[#Headers],[Fuori Casa]],Data!$I944=SottocategorieUscite[[#Headers],[Varie Uscite]],Data!$I944=SottocategorieUscite[[#Headers],[Personali]],Data!$I944=SottocategorieUscite[[#Headers],[Lavoro]]),"$ -","")</f>
        <v/>
      </c>
      <c r="L944" s="59" t="str">
        <f>IF(OR(Data!$I944=SottocategorieUscite[[#Headers],[Casa]],Data!$I944=SottocategorieUscite[[#Headers],[Utenze]],Data!$I944=SottocategorieUscite[[#Headers],[Business Uscite]],Data!$I944=SottocategorieUscite[[#Headers],[Banca]]),"$ -","")</f>
        <v/>
      </c>
      <c r="M944" s="59" t="str">
        <f>IF(OR($I944&lt;&gt;SottocategorieUscite[[#Headers],[Fuori Casa]],$I944&lt;&gt;SottocategorieUscite[[#Headers],[Varie Uscite]],$I944&lt;&gt;SottocategorieUscite[[#Headers],[Personali]],$I944&lt;&gt;SottocategorieUscite[[#Headers],[Lavoro]],$I944&lt;&gt;SottocategorieUscite[[#Headers],[Casa]],$I944&lt;&gt;SottocategorieUscite[[#Headers],[Utenze]],$I944&lt;&gt;SottocategorieUscite[[#Headers],[Business Uscite]],$I944&lt;&gt;SottocategorieUscite[[#Headers],[Banca]]),"","$ -")</f>
        <v/>
      </c>
      <c r="N944" s="59" t="str">
        <f>IF(OR(Data!$I944=SottocategorieEntrate[[#Headers],[Business Entrate]],Data!$I944=SottocategorieEntrate[[#Headers],[Varie Entrate]]),"$ -","")</f>
        <v/>
      </c>
      <c r="O944" s="59" t="str">
        <f>IF(OR(Data!$I944=SottocategorieEntrate[[#Headers],[Real Estate]],SottocategorieEntrate[[#Headers],[Other]]),"$ -","")</f>
        <v/>
      </c>
      <c r="P944" s="59" t="str">
        <f>IF(OR($I944&lt;&gt;SottocategorieEntrate[[#Headers],[Business Entrate]],$I944&lt;&gt;SottocategorieEntrate[[#Headers],[Varie Entrate]],$I944&lt;&gt;SottocategorieEntrate[[#Headers],[Real Estate]],$I944&lt;&gt;SottocategorieEntrate[[#Headers],[Other]]),"","$ -")</f>
        <v/>
      </c>
      <c r="Q944" s="59" t="str">
        <f>IF(Dati[[#This Row],[Categoria]]="Prelievo","€ -","")</f>
        <v/>
      </c>
      <c r="R944" s="244"/>
      <c r="S944" s="59" t="str">
        <f>IF(Dati[[#This Row],[Categoria]]="Savings",0,"")</f>
        <v/>
      </c>
      <c r="T944" s="59"/>
      <c r="U944" s="59"/>
      <c r="V944" s="59"/>
      <c r="W944" s="59"/>
      <c r="X944" s="59"/>
      <c r="Y944" s="59"/>
      <c r="Z944" s="59"/>
      <c r="AA944" s="59"/>
      <c r="AB944" s="59"/>
      <c r="AC944" s="59"/>
      <c r="AD944" s="59"/>
      <c r="AE944" s="59"/>
      <c r="AF944" s="59"/>
      <c r="AG944" s="59"/>
      <c r="AH944" s="59"/>
      <c r="AI944" s="59" t="str">
        <f>IF(SUM(Dati[[#This Row],[Inv. Business]:[Inv. Cryptocurrency]])=0," ",SUM(Dati[[#This Row],[Inv. Business]:[Inv. Cryptocurrency]]))</f>
        <v xml:space="preserve"> </v>
      </c>
      <c r="AJ944" s="59"/>
      <c r="AK944" s="59"/>
      <c r="AL944" s="59"/>
      <c r="AM944" s="59"/>
    </row>
    <row r="945" spans="2:39" x14ac:dyDescent="0.35">
      <c r="B945" s="237">
        <f t="shared" ref="B945:B947" si="50">ROW(907:907)</f>
        <v>907</v>
      </c>
      <c r="C945" s="49">
        <f>C942+1</f>
        <v>45614</v>
      </c>
      <c r="D945" s="29">
        <f>DAY(Dati[[#This Row],[Data]])</f>
        <v>18</v>
      </c>
      <c r="E945" s="29" t="str">
        <f>IF(DAY(Data!$C$21:$C$1327)&gt;0,TEXT(Data!$C$21:$C$1327, "mmmm"),"")</f>
        <v>novembre</v>
      </c>
      <c r="F945" s="29" t="str">
        <f>IF(DAY(Data!$C$21:$C$1327)&gt;0,TEXT(Data!$C$21:$C$1327, "aaaa"),"")</f>
        <v>2024</v>
      </c>
      <c r="I945" t="str">
        <f>IF(OR(H945=$B$5,H945=$B$6,H945=$B$7,H945=$B$8,H945=$B$9,H945=$B$10,H945=$B$11,H945=$B$12,H945=$B$13,H945=$B$14),SottocategorieUscite[[#Headers],[Fuori Casa]],IF(OR(H945=$C$5,H945=$C$6,H945=$C$7,H945=$C$8,H945=$C$9,H945=$C$10,H945=$C$11,H945=$C$12,H945=$C$13,H945=$C$14),SottocategorieUscite[[#Headers],[Varie Uscite]],IF(OR(H945=$D$5,H945=$D$6,H945=$D$7,H945=$D$8,H945=$D$9,H945=$D$10,H945=$D$11,H945=$D$12,H945=$D$13,H945=$D$14),SottocategorieUscite[[#Headers],[Personali]],IF(OR(H945=$E$5,H945=$E$6,H945=$E$7,H945=$E$8,H945=$E$9,H945=$E$10,H945=$E$11,H945=$E$12,H945=$E$13,H945=$E$14),SottocategorieUscite[[#Headers],[Lavoro]],IF(OR(H945=$F$5,H945=$F$6,H945=$F$7,H945=$F$8,H945=$F$9,H945=$F$10,H945=$F$11,H945=$F$12,H945=$F$13,H945=$F$14),SottocategorieUscite[[#Headers],[Casa]],IF(OR(H945=$G$5,H945=$G$6,H945=$G$7,H945=$G$8,H945=$G$9,H945=$G$10,H945=$G$11,H945=$G$12,H945=$G$13,H945=$G$14),SottocategorieUscite[[#Headers],[Utenze]],IF(OR(H945=$H$5,H945=$H$6,H945=$H$7,H945=$H$8,H945=$H$9,H945=$H$10,H945=$H$11,H945=$H$12,H945=$H$13,H945=$H$14),SottocategorieUscite[[#Headers],[Business Uscite]],IF(OR(H945=$I$5,H945=$I$6,H945=$I$7,H945=$I$8,H945=$I$9,H945=$I$10,H945=$I$11,H945=$I$12,H945=$I$13,H945=$I$14),SottocategorieUscite[[#Headers],[Banca]],IF(OR(H945=K$5,H945=K$6,H945=K$7,H945=K$8,H945=K$9,H945=K$10,H945=K$11,H945=K$12,H945=K$13,H945=K$14),SottocategorieEntrate[[#Headers],[Business Entrate]],IF(OR(H945=L$5,H945=L$6,H945=L$7,H945=L$8,H945=L$9,H945=L$10,H945=L$11,H945=L$12,H945=L$13,H945=L$14),SottocategorieEntrate[[#Headers],[Varie Entrate]],IF(OR(H945=M$5,H945=M$6,H945=M$7,H945=M$8,H945=M$9,H945=M$10,H945=M$11,H945=M$12,H945=M$13,H945=M$14),SottocategorieEntrate[[#Headers],[Real Estate]],IF(OR(H945=N$5,H945=N$6,H945=N$7,H945=N$8,H945=N$9,H945=N$10,H945=N$11,H945=N$12,H945=N$13,H945=N$14),SottocategorieEntrate[[#Headers],[Other]],""))))))))))))</f>
        <v/>
      </c>
      <c r="J945" t="str">
        <f>IF(OR(Dati[[#This Row],[Categoria]]="Bollette",Dati[[#This Row],[Categoria]]="Conto &amp; Carte BNL",Dati[[#This Row],[Categoria]]="Prelievo",Dati[[#This Row],[Categoria]]="Affitto",Dati[[#This Row],[Categoria]]="BNL(Interessi Creditori)"),"Carta",IF(Dati[[#This Row],[Categoria]]&lt;&gt;0,"Cash",""))</f>
        <v/>
      </c>
      <c r="K945" s="59" t="str">
        <f>IF(OR(Data!$I945=SottocategorieUscite[[#Headers],[Fuori Casa]],Data!$I945=SottocategorieUscite[[#Headers],[Varie Uscite]],Data!$I945=SottocategorieUscite[[#Headers],[Personali]],Data!$I945=SottocategorieUscite[[#Headers],[Lavoro]]),"$ -","")</f>
        <v/>
      </c>
      <c r="L945" s="59" t="str">
        <f>IF(OR(Data!$I945=SottocategorieUscite[[#Headers],[Casa]],Data!$I945=SottocategorieUscite[[#Headers],[Utenze]],Data!$I945=SottocategorieUscite[[#Headers],[Business Uscite]],Data!$I945=SottocategorieUscite[[#Headers],[Banca]]),"$ -","")</f>
        <v/>
      </c>
      <c r="M945" s="59" t="str">
        <f>IF(OR($I945&lt;&gt;SottocategorieUscite[[#Headers],[Fuori Casa]],$I945&lt;&gt;SottocategorieUscite[[#Headers],[Varie Uscite]],$I945&lt;&gt;SottocategorieUscite[[#Headers],[Personali]],$I945&lt;&gt;SottocategorieUscite[[#Headers],[Lavoro]],$I945&lt;&gt;SottocategorieUscite[[#Headers],[Casa]],$I945&lt;&gt;SottocategorieUscite[[#Headers],[Utenze]],$I945&lt;&gt;SottocategorieUscite[[#Headers],[Business Uscite]],$I945&lt;&gt;SottocategorieUscite[[#Headers],[Banca]]),"","$ -")</f>
        <v/>
      </c>
      <c r="N945" s="59" t="str">
        <f>IF(OR(Data!$I945=SottocategorieEntrate[[#Headers],[Business Entrate]],Data!$I945=SottocategorieEntrate[[#Headers],[Varie Entrate]]),"$ -","")</f>
        <v/>
      </c>
      <c r="O945" s="59" t="str">
        <f>IF(OR(Data!$I945=SottocategorieEntrate[[#Headers],[Real Estate]],SottocategorieEntrate[[#Headers],[Other]]),"$ -","")</f>
        <v/>
      </c>
      <c r="P945" s="59" t="str">
        <f>IF(OR($I945&lt;&gt;SottocategorieEntrate[[#Headers],[Business Entrate]],$I945&lt;&gt;SottocategorieEntrate[[#Headers],[Varie Entrate]],$I945&lt;&gt;SottocategorieEntrate[[#Headers],[Real Estate]],$I945&lt;&gt;SottocategorieEntrate[[#Headers],[Other]]),"","$ -")</f>
        <v/>
      </c>
      <c r="Q945" s="59" t="str">
        <f>IF(Dati[[#This Row],[Categoria]]="Prelievo","€ -","")</f>
        <v/>
      </c>
      <c r="R945" s="244"/>
      <c r="S945" s="59" t="str">
        <f>IF(Dati[[#This Row],[Categoria]]="Savings",0,"")</f>
        <v/>
      </c>
      <c r="T945" s="59"/>
      <c r="U945" s="59"/>
      <c r="V945" s="59"/>
      <c r="W945" s="59"/>
      <c r="X945" s="59"/>
      <c r="Y945" s="59"/>
      <c r="Z945" s="59"/>
      <c r="AA945" s="59"/>
      <c r="AB945" s="59"/>
      <c r="AC945" s="59"/>
      <c r="AD945" s="59"/>
      <c r="AE945" s="59"/>
      <c r="AF945" s="59"/>
      <c r="AG945" s="59"/>
      <c r="AH945" s="59"/>
      <c r="AI945" s="59" t="str">
        <f>IF(SUM(Dati[[#This Row],[Inv. Business]:[Inv. Cryptocurrency]])=0," ",SUM(Dati[[#This Row],[Inv. Business]:[Inv. Cryptocurrency]]))</f>
        <v xml:space="preserve"> </v>
      </c>
      <c r="AJ945" s="59"/>
      <c r="AK945" s="59"/>
      <c r="AL945" s="59"/>
      <c r="AM945" s="59"/>
    </row>
    <row r="946" spans="2:39" x14ac:dyDescent="0.35">
      <c r="B946" s="237">
        <f t="shared" si="50"/>
        <v>908</v>
      </c>
      <c r="C946" s="49">
        <f>C943+1</f>
        <v>45615</v>
      </c>
      <c r="D946" s="29">
        <f>DAY(Dati[[#This Row],[Data]])</f>
        <v>19</v>
      </c>
      <c r="E946" s="29" t="str">
        <f>IF(DAY(Data!$C$21:$C$1327)&gt;0,TEXT(Data!$C$21:$C$1327, "mmmm"),"")</f>
        <v>novembre</v>
      </c>
      <c r="F946" s="29" t="str">
        <f>IF(DAY(Data!$C$21:$C$1327)&gt;0,TEXT(Data!$C$21:$C$1327, "aaaa"),"")</f>
        <v>2024</v>
      </c>
      <c r="I946" t="str">
        <f>IF(OR(H946=$B$5,H946=$B$6,H946=$B$7,H946=$B$8,H946=$B$9,H946=$B$10,H946=$B$11,H946=$B$12,H946=$B$13,H946=$B$14),SottocategorieUscite[[#Headers],[Fuori Casa]],IF(OR(H946=$C$5,H946=$C$6,H946=$C$7,H946=$C$8,H946=$C$9,H946=$C$10,H946=$C$11,H946=$C$12,H946=$C$13,H946=$C$14),SottocategorieUscite[[#Headers],[Varie Uscite]],IF(OR(H946=$D$5,H946=$D$6,H946=$D$7,H946=$D$8,H946=$D$9,H946=$D$10,H946=$D$11,H946=$D$12,H946=$D$13,H946=$D$14),SottocategorieUscite[[#Headers],[Personali]],IF(OR(H946=$E$5,H946=$E$6,H946=$E$7,H946=$E$8,H946=$E$9,H946=$E$10,H946=$E$11,H946=$E$12,H946=$E$13,H946=$E$14),SottocategorieUscite[[#Headers],[Lavoro]],IF(OR(H946=$F$5,H946=$F$6,H946=$F$7,H946=$F$8,H946=$F$9,H946=$F$10,H946=$F$11,H946=$F$12,H946=$F$13,H946=$F$14),SottocategorieUscite[[#Headers],[Casa]],IF(OR(H946=$G$5,H946=$G$6,H946=$G$7,H946=$G$8,H946=$G$9,H946=$G$10,H946=$G$11,H946=$G$12,H946=$G$13,H946=$G$14),SottocategorieUscite[[#Headers],[Utenze]],IF(OR(H946=$H$5,H946=$H$6,H946=$H$7,H946=$H$8,H946=$H$9,H946=$H$10,H946=$H$11,H946=$H$12,H946=$H$13,H946=$H$14),SottocategorieUscite[[#Headers],[Business Uscite]],IF(OR(H946=$I$5,H946=$I$6,H946=$I$7,H946=$I$8,H946=$I$9,H946=$I$10,H946=$I$11,H946=$I$12,H946=$I$13,H946=$I$14),SottocategorieUscite[[#Headers],[Banca]],IF(OR(H946=K$5,H946=K$6,H946=K$7,H946=K$8,H946=K$9,H946=K$10,H946=K$11,H946=K$12,H946=K$13,H946=K$14),SottocategorieEntrate[[#Headers],[Business Entrate]],IF(OR(H946=L$5,H946=L$6,H946=L$7,H946=L$8,H946=L$9,H946=L$10,H946=L$11,H946=L$12,H946=L$13,H946=L$14),SottocategorieEntrate[[#Headers],[Varie Entrate]],IF(OR(H946=M$5,H946=M$6,H946=M$7,H946=M$8,H946=M$9,H946=M$10,H946=M$11,H946=M$12,H946=M$13,H946=M$14),SottocategorieEntrate[[#Headers],[Real Estate]],IF(OR(H946=N$5,H946=N$6,H946=N$7,H946=N$8,H946=N$9,H946=N$10,H946=N$11,H946=N$12,H946=N$13,H946=N$14),SottocategorieEntrate[[#Headers],[Other]],""))))))))))))</f>
        <v/>
      </c>
      <c r="J946" t="str">
        <f>IF(OR(Dati[[#This Row],[Categoria]]="Bollette",Dati[[#This Row],[Categoria]]="Conto &amp; Carte BNL",Dati[[#This Row],[Categoria]]="Prelievo",Dati[[#This Row],[Categoria]]="Affitto",Dati[[#This Row],[Categoria]]="BNL(Interessi Creditori)"),"Carta",IF(Dati[[#This Row],[Categoria]]&lt;&gt;0,"Cash",""))</f>
        <v/>
      </c>
      <c r="K946" s="59" t="str">
        <f>IF(OR(Data!$I946=SottocategorieUscite[[#Headers],[Fuori Casa]],Data!$I946=SottocategorieUscite[[#Headers],[Varie Uscite]],Data!$I946=SottocategorieUscite[[#Headers],[Personali]],Data!$I946=SottocategorieUscite[[#Headers],[Lavoro]]),"$ -","")</f>
        <v/>
      </c>
      <c r="L946" s="59" t="str">
        <f>IF(OR(Data!$I946=SottocategorieUscite[[#Headers],[Casa]],Data!$I946=SottocategorieUscite[[#Headers],[Utenze]],Data!$I946=SottocategorieUscite[[#Headers],[Business Uscite]],Data!$I946=SottocategorieUscite[[#Headers],[Banca]]),"$ -","")</f>
        <v/>
      </c>
      <c r="M946" s="59" t="str">
        <f>IF(OR($I946&lt;&gt;SottocategorieUscite[[#Headers],[Fuori Casa]],$I946&lt;&gt;SottocategorieUscite[[#Headers],[Varie Uscite]],$I946&lt;&gt;SottocategorieUscite[[#Headers],[Personali]],$I946&lt;&gt;SottocategorieUscite[[#Headers],[Lavoro]],$I946&lt;&gt;SottocategorieUscite[[#Headers],[Casa]],$I946&lt;&gt;SottocategorieUscite[[#Headers],[Utenze]],$I946&lt;&gt;SottocategorieUscite[[#Headers],[Business Uscite]],$I946&lt;&gt;SottocategorieUscite[[#Headers],[Banca]]),"","$ -")</f>
        <v/>
      </c>
      <c r="N946" s="59" t="str">
        <f>IF(OR(Data!$I946=SottocategorieEntrate[[#Headers],[Business Entrate]],Data!$I946=SottocategorieEntrate[[#Headers],[Varie Entrate]]),"$ -","")</f>
        <v/>
      </c>
      <c r="O946" s="59" t="str">
        <f>IF(OR(Data!$I946=SottocategorieEntrate[[#Headers],[Real Estate]],SottocategorieEntrate[[#Headers],[Other]]),"$ -","")</f>
        <v/>
      </c>
      <c r="P946" s="59" t="str">
        <f>IF(OR($I946&lt;&gt;SottocategorieEntrate[[#Headers],[Business Entrate]],$I946&lt;&gt;SottocategorieEntrate[[#Headers],[Varie Entrate]],$I946&lt;&gt;SottocategorieEntrate[[#Headers],[Real Estate]],$I946&lt;&gt;SottocategorieEntrate[[#Headers],[Other]]),"","$ -")</f>
        <v/>
      </c>
      <c r="Q946" s="59" t="str">
        <f>IF(Dati[[#This Row],[Categoria]]="Prelievo","€ -","")</f>
        <v/>
      </c>
      <c r="R946" s="244"/>
      <c r="S946" s="59" t="str">
        <f>IF(Dati[[#This Row],[Categoria]]="Savings",0,"")</f>
        <v/>
      </c>
      <c r="T946" s="59"/>
      <c r="U946" s="59"/>
      <c r="V946" s="59"/>
      <c r="W946" s="59"/>
      <c r="X946" s="59"/>
      <c r="Y946" s="59"/>
      <c r="Z946" s="59"/>
      <c r="AA946" s="59"/>
      <c r="AB946" s="59"/>
      <c r="AC946" s="59"/>
      <c r="AD946" s="59"/>
      <c r="AE946" s="59"/>
      <c r="AF946" s="59"/>
      <c r="AG946" s="59"/>
      <c r="AH946" s="59"/>
      <c r="AI946" s="59" t="str">
        <f>IF(SUM(Dati[[#This Row],[Inv. Business]:[Inv. Cryptocurrency]])=0," ",SUM(Dati[[#This Row],[Inv. Business]:[Inv. Cryptocurrency]]))</f>
        <v xml:space="preserve"> </v>
      </c>
      <c r="AJ946" s="59"/>
      <c r="AK946" s="59"/>
      <c r="AL946" s="59"/>
      <c r="AM946" s="59"/>
    </row>
    <row r="947" spans="2:39" x14ac:dyDescent="0.35">
      <c r="B947" s="237">
        <f t="shared" si="50"/>
        <v>909</v>
      </c>
      <c r="C947" s="49">
        <f t="shared" si="48"/>
        <v>45616</v>
      </c>
      <c r="D947" s="29">
        <f>DAY(Dati[[#This Row],[Data]])</f>
        <v>20</v>
      </c>
      <c r="E947" s="29" t="str">
        <f>IF(DAY(Data!$C$21:$C$1327)&gt;0,TEXT(Data!$C$21:$C$1327, "mmmm"),"")</f>
        <v>novembre</v>
      </c>
      <c r="F947" s="29" t="str">
        <f>IF(DAY(Data!$C$21:$C$1327)&gt;0,TEXT(Data!$C$21:$C$1327, "aaaa"),"")</f>
        <v>2024</v>
      </c>
      <c r="I947" t="str">
        <f>IF(OR(H947=$B$5,H947=$B$6,H947=$B$7,H947=$B$8,H947=$B$9,H947=$B$10,H947=$B$11,H947=$B$12,H947=$B$13,H947=$B$14),SottocategorieUscite[[#Headers],[Fuori Casa]],IF(OR(H947=$C$5,H947=$C$6,H947=$C$7,H947=$C$8,H947=$C$9,H947=$C$10,H947=$C$11,H947=$C$12,H947=$C$13,H947=$C$14),SottocategorieUscite[[#Headers],[Varie Uscite]],IF(OR(H947=$D$5,H947=$D$6,H947=$D$7,H947=$D$8,H947=$D$9,H947=$D$10,H947=$D$11,H947=$D$12,H947=$D$13,H947=$D$14),SottocategorieUscite[[#Headers],[Personali]],IF(OR(H947=$E$5,H947=$E$6,H947=$E$7,H947=$E$8,H947=$E$9,H947=$E$10,H947=$E$11,H947=$E$12,H947=$E$13,H947=$E$14),SottocategorieUscite[[#Headers],[Lavoro]],IF(OR(H947=$F$5,H947=$F$6,H947=$F$7,H947=$F$8,H947=$F$9,H947=$F$10,H947=$F$11,H947=$F$12,H947=$F$13,H947=$F$14),SottocategorieUscite[[#Headers],[Casa]],IF(OR(H947=$G$5,H947=$G$6,H947=$G$7,H947=$G$8,H947=$G$9,H947=$G$10,H947=$G$11,H947=$G$12,H947=$G$13,H947=$G$14),SottocategorieUscite[[#Headers],[Utenze]],IF(OR(H947=$H$5,H947=$H$6,H947=$H$7,H947=$H$8,H947=$H$9,H947=$H$10,H947=$H$11,H947=$H$12,H947=$H$13,H947=$H$14),SottocategorieUscite[[#Headers],[Business Uscite]],IF(OR(H947=$I$5,H947=$I$6,H947=$I$7,H947=$I$8,H947=$I$9,H947=$I$10,H947=$I$11,H947=$I$12,H947=$I$13,H947=$I$14),SottocategorieUscite[[#Headers],[Banca]],IF(OR(H947=K$5,H947=K$6,H947=K$7,H947=K$8,H947=K$9,H947=K$10,H947=K$11,H947=K$12,H947=K$13,H947=K$14),SottocategorieEntrate[[#Headers],[Business Entrate]],IF(OR(H947=L$5,H947=L$6,H947=L$7,H947=L$8,H947=L$9,H947=L$10,H947=L$11,H947=L$12,H947=L$13,H947=L$14),SottocategorieEntrate[[#Headers],[Varie Entrate]],IF(OR(H947=M$5,H947=M$6,H947=M$7,H947=M$8,H947=M$9,H947=M$10,H947=M$11,H947=M$12,H947=M$13,H947=M$14),SottocategorieEntrate[[#Headers],[Real Estate]],IF(OR(H947=N$5,H947=N$6,H947=N$7,H947=N$8,H947=N$9,H947=N$10,H947=N$11,H947=N$12,H947=N$13,H947=N$14),SottocategorieEntrate[[#Headers],[Other]],""))))))))))))</f>
        <v/>
      </c>
      <c r="J947" t="str">
        <f>IF(OR(Dati[[#This Row],[Categoria]]="Bollette",Dati[[#This Row],[Categoria]]="Conto &amp; Carte BNL",Dati[[#This Row],[Categoria]]="Prelievo",Dati[[#This Row],[Categoria]]="Affitto",Dati[[#This Row],[Categoria]]="BNL(Interessi Creditori)"),"Carta",IF(Dati[[#This Row],[Categoria]]&lt;&gt;0,"Cash",""))</f>
        <v/>
      </c>
      <c r="K947" s="59" t="str">
        <f>IF(OR(Data!$I947=SottocategorieUscite[[#Headers],[Fuori Casa]],Data!$I947=SottocategorieUscite[[#Headers],[Varie Uscite]],Data!$I947=SottocategorieUscite[[#Headers],[Personali]],Data!$I947=SottocategorieUscite[[#Headers],[Lavoro]]),"$ -","")</f>
        <v/>
      </c>
      <c r="L947" s="59" t="str">
        <f>IF(OR(Data!$I947=SottocategorieUscite[[#Headers],[Casa]],Data!$I947=SottocategorieUscite[[#Headers],[Utenze]],Data!$I947=SottocategorieUscite[[#Headers],[Business Uscite]],Data!$I947=SottocategorieUscite[[#Headers],[Banca]]),"$ -","")</f>
        <v/>
      </c>
      <c r="M947" s="59" t="str">
        <f>IF(OR($I947&lt;&gt;SottocategorieUscite[[#Headers],[Fuori Casa]],$I947&lt;&gt;SottocategorieUscite[[#Headers],[Varie Uscite]],$I947&lt;&gt;SottocategorieUscite[[#Headers],[Personali]],$I947&lt;&gt;SottocategorieUscite[[#Headers],[Lavoro]],$I947&lt;&gt;SottocategorieUscite[[#Headers],[Casa]],$I947&lt;&gt;SottocategorieUscite[[#Headers],[Utenze]],$I947&lt;&gt;SottocategorieUscite[[#Headers],[Business Uscite]],$I947&lt;&gt;SottocategorieUscite[[#Headers],[Banca]]),"","$ -")</f>
        <v/>
      </c>
      <c r="N947" s="59" t="str">
        <f>IF(OR(Data!$I947=SottocategorieEntrate[[#Headers],[Business Entrate]],Data!$I947=SottocategorieEntrate[[#Headers],[Varie Entrate]]),"$ -","")</f>
        <v/>
      </c>
      <c r="O947" s="59" t="str">
        <f>IF(OR(Data!$I947=SottocategorieEntrate[[#Headers],[Real Estate]],SottocategorieEntrate[[#Headers],[Other]]),"$ -","")</f>
        <v/>
      </c>
      <c r="P947" s="59" t="str">
        <f>IF(OR($I947&lt;&gt;SottocategorieEntrate[[#Headers],[Business Entrate]],$I947&lt;&gt;SottocategorieEntrate[[#Headers],[Varie Entrate]],$I947&lt;&gt;SottocategorieEntrate[[#Headers],[Real Estate]],$I947&lt;&gt;SottocategorieEntrate[[#Headers],[Other]]),"","$ -")</f>
        <v/>
      </c>
      <c r="Q947" s="59" t="str">
        <f>IF(Dati[[#This Row],[Categoria]]="Prelievo","€ -","")</f>
        <v/>
      </c>
      <c r="R947" s="244"/>
      <c r="S947" s="59" t="str">
        <f>IF(Dati[[#This Row],[Categoria]]="Savings",0,"")</f>
        <v/>
      </c>
      <c r="T947" s="59"/>
      <c r="U947" s="59"/>
      <c r="V947" s="59"/>
      <c r="W947" s="59"/>
      <c r="X947" s="59"/>
      <c r="Y947" s="59"/>
      <c r="Z947" s="59"/>
      <c r="AA947" s="59"/>
      <c r="AB947" s="59"/>
      <c r="AC947" s="59"/>
      <c r="AD947" s="59"/>
      <c r="AE947" s="59"/>
      <c r="AF947" s="59"/>
      <c r="AG947" s="59"/>
      <c r="AH947" s="59"/>
      <c r="AI947" s="59" t="str">
        <f>IF(SUM(Dati[[#This Row],[Inv. Business]:[Inv. Cryptocurrency]])=0," ",SUM(Dati[[#This Row],[Inv. Business]:[Inv. Cryptocurrency]]))</f>
        <v xml:space="preserve"> </v>
      </c>
      <c r="AJ947" s="59"/>
      <c r="AK947" s="59"/>
      <c r="AL947" s="59"/>
      <c r="AM947" s="59"/>
    </row>
    <row r="948" spans="2:39" x14ac:dyDescent="0.35">
      <c r="B948" s="237">
        <f>ROW(909:909)</f>
        <v>909</v>
      </c>
      <c r="C948" s="49">
        <f>C946+1</f>
        <v>45616</v>
      </c>
      <c r="D948" s="29">
        <f>DAY(Dati[[#This Row],[Data]])</f>
        <v>20</v>
      </c>
      <c r="E948" s="29" t="str">
        <f>IF(DAY(Data!$C$21:$C$1327)&gt;0,TEXT(Data!$C$21:$C$1327, "mmmm"),"")</f>
        <v>novembre</v>
      </c>
      <c r="F948" s="29" t="str">
        <f>IF(DAY(Data!$C$21:$C$1327)&gt;0,TEXT(Data!$C$21:$C$1327, "aaaa"),"")</f>
        <v>2024</v>
      </c>
      <c r="I948" t="str">
        <f>IF(OR(H948=$B$5,H948=$B$6,H948=$B$7,H948=$B$8,H948=$B$9,H948=$B$10,H948=$B$11,H948=$B$12,H948=$B$13,H948=$B$14),SottocategorieUscite[[#Headers],[Fuori Casa]],IF(OR(H948=$C$5,H948=$C$6,H948=$C$7,H948=$C$8,H948=$C$9,H948=$C$10,H948=$C$11,H948=$C$12,H948=$C$13,H948=$C$14),SottocategorieUscite[[#Headers],[Varie Uscite]],IF(OR(H948=$D$5,H948=$D$6,H948=$D$7,H948=$D$8,H948=$D$9,H948=$D$10,H948=$D$11,H948=$D$12,H948=$D$13,H948=$D$14),SottocategorieUscite[[#Headers],[Personali]],IF(OR(H948=$E$5,H948=$E$6,H948=$E$7,H948=$E$8,H948=$E$9,H948=$E$10,H948=$E$11,H948=$E$12,H948=$E$13,H948=$E$14),SottocategorieUscite[[#Headers],[Lavoro]],IF(OR(H948=$F$5,H948=$F$6,H948=$F$7,H948=$F$8,H948=$F$9,H948=$F$10,H948=$F$11,H948=$F$12,H948=$F$13,H948=$F$14),SottocategorieUscite[[#Headers],[Casa]],IF(OR(H948=$G$5,H948=$G$6,H948=$G$7,H948=$G$8,H948=$G$9,H948=$G$10,H948=$G$11,H948=$G$12,H948=$G$13,H948=$G$14),SottocategorieUscite[[#Headers],[Utenze]],IF(OR(H948=$H$5,H948=$H$6,H948=$H$7,H948=$H$8,H948=$H$9,H948=$H$10,H948=$H$11,H948=$H$12,H948=$H$13,H948=$H$14),SottocategorieUscite[[#Headers],[Business Uscite]],IF(OR(H948=$I$5,H948=$I$6,H948=$I$7,H948=$I$8,H948=$I$9,H948=$I$10,H948=$I$11,H948=$I$12,H948=$I$13,H948=$I$14),SottocategorieUscite[[#Headers],[Banca]],IF(OR(H948=K$5,H948=K$6,H948=K$7,H948=K$8,H948=K$9,H948=K$10,H948=K$11,H948=K$12,H948=K$13,H948=K$14),SottocategorieEntrate[[#Headers],[Business Entrate]],IF(OR(H948=L$5,H948=L$6,H948=L$7,H948=L$8,H948=L$9,H948=L$10,H948=L$11,H948=L$12,H948=L$13,H948=L$14),SottocategorieEntrate[[#Headers],[Varie Entrate]],IF(OR(H948=M$5,H948=M$6,H948=M$7,H948=M$8,H948=M$9,H948=M$10,H948=M$11,H948=M$12,H948=M$13,H948=M$14),SottocategorieEntrate[[#Headers],[Real Estate]],IF(OR(H948=N$5,H948=N$6,H948=N$7,H948=N$8,H948=N$9,H948=N$10,H948=N$11,H948=N$12,H948=N$13,H948=N$14),SottocategorieEntrate[[#Headers],[Other]],""))))))))))))</f>
        <v/>
      </c>
      <c r="J948" t="str">
        <f>IF(OR(Dati[[#This Row],[Categoria]]="Bollette",Dati[[#This Row],[Categoria]]="Conto &amp; Carte BNL",Dati[[#This Row],[Categoria]]="Prelievo",Dati[[#This Row],[Categoria]]="Affitto",Dati[[#This Row],[Categoria]]="BNL(Interessi Creditori)"),"Carta",IF(Dati[[#This Row],[Categoria]]&lt;&gt;0,"Cash",""))</f>
        <v/>
      </c>
      <c r="K948" s="59" t="str">
        <f>IF(OR(Data!$I948=SottocategorieUscite[[#Headers],[Fuori Casa]],Data!$I948=SottocategorieUscite[[#Headers],[Varie Uscite]],Data!$I948=SottocategorieUscite[[#Headers],[Personali]],Data!$I948=SottocategorieUscite[[#Headers],[Lavoro]]),"$ -","")</f>
        <v/>
      </c>
      <c r="L948" s="59" t="str">
        <f>IF(OR(Data!$I948=SottocategorieUscite[[#Headers],[Casa]],Data!$I948=SottocategorieUscite[[#Headers],[Utenze]],Data!$I948=SottocategorieUscite[[#Headers],[Business Uscite]],Data!$I948=SottocategorieUscite[[#Headers],[Banca]]),"$ -","")</f>
        <v/>
      </c>
      <c r="M948" s="59" t="str">
        <f>IF(OR($I948&lt;&gt;SottocategorieUscite[[#Headers],[Fuori Casa]],$I948&lt;&gt;SottocategorieUscite[[#Headers],[Varie Uscite]],$I948&lt;&gt;SottocategorieUscite[[#Headers],[Personali]],$I948&lt;&gt;SottocategorieUscite[[#Headers],[Lavoro]],$I948&lt;&gt;SottocategorieUscite[[#Headers],[Casa]],$I948&lt;&gt;SottocategorieUscite[[#Headers],[Utenze]],$I948&lt;&gt;SottocategorieUscite[[#Headers],[Business Uscite]],$I948&lt;&gt;SottocategorieUscite[[#Headers],[Banca]]),"","$ -")</f>
        <v/>
      </c>
      <c r="N948" s="59" t="str">
        <f>IF(OR(Data!$I948=SottocategorieEntrate[[#Headers],[Business Entrate]],Data!$I948=SottocategorieEntrate[[#Headers],[Varie Entrate]]),"$ -","")</f>
        <v/>
      </c>
      <c r="O948" s="59" t="str">
        <f>IF(OR(Data!$I948=SottocategorieEntrate[[#Headers],[Real Estate]],SottocategorieEntrate[[#Headers],[Other]]),"$ -","")</f>
        <v/>
      </c>
      <c r="P948" s="59" t="str">
        <f>IF(OR($I948&lt;&gt;SottocategorieEntrate[[#Headers],[Business Entrate]],$I948&lt;&gt;SottocategorieEntrate[[#Headers],[Varie Entrate]],$I948&lt;&gt;SottocategorieEntrate[[#Headers],[Real Estate]],$I948&lt;&gt;SottocategorieEntrate[[#Headers],[Other]]),"","$ -")</f>
        <v/>
      </c>
      <c r="Q948" s="59" t="str">
        <f>IF(Dati[[#This Row],[Categoria]]="Prelievo","€ -","")</f>
        <v/>
      </c>
      <c r="R948" s="244"/>
      <c r="S948" s="59" t="str">
        <f>IF(Dati[[#This Row],[Categoria]]="Savings",0,"")</f>
        <v/>
      </c>
      <c r="T948" s="59"/>
      <c r="U948" s="59"/>
      <c r="V948" s="59"/>
      <c r="W948" s="59"/>
      <c r="X948" s="59"/>
      <c r="Y948" s="59"/>
      <c r="Z948" s="59"/>
      <c r="AA948" s="59"/>
      <c r="AB948" s="59"/>
      <c r="AC948" s="59"/>
      <c r="AD948" s="59"/>
      <c r="AE948" s="59"/>
      <c r="AF948" s="59"/>
      <c r="AG948" s="59"/>
      <c r="AH948" s="59"/>
      <c r="AI948" s="59" t="str">
        <f>IF(SUM(Dati[[#This Row],[Inv. Business]:[Inv. Cryptocurrency]])=0," ",SUM(Dati[[#This Row],[Inv. Business]:[Inv. Cryptocurrency]]))</f>
        <v xml:space="preserve"> </v>
      </c>
      <c r="AJ948" s="59"/>
      <c r="AK948" s="59"/>
      <c r="AL948" s="59"/>
      <c r="AM948" s="59"/>
    </row>
    <row r="949" spans="2:39" x14ac:dyDescent="0.35">
      <c r="B949" s="237">
        <f>ROW(909:909)</f>
        <v>909</v>
      </c>
      <c r="C949" s="49">
        <f>C946+1</f>
        <v>45616</v>
      </c>
      <c r="D949" s="29">
        <f>DAY(Dati[[#This Row],[Data]])</f>
        <v>20</v>
      </c>
      <c r="E949" s="29" t="str">
        <f>IF(DAY(Data!$C$21:$C$1327)&gt;0,TEXT(Data!$C$21:$C$1327, "mmmm"),"")</f>
        <v>novembre</v>
      </c>
      <c r="F949" s="29" t="str">
        <f>IF(DAY(Data!$C$21:$C$1327)&gt;0,TEXT(Data!$C$21:$C$1327, "aaaa"),"")</f>
        <v>2024</v>
      </c>
      <c r="I949" t="str">
        <f>IF(OR(H949=$B$5,H949=$B$6,H949=$B$7,H949=$B$8,H949=$B$9,H949=$B$10,H949=$B$11,H949=$B$12,H949=$B$13,H949=$B$14),SottocategorieUscite[[#Headers],[Fuori Casa]],IF(OR(H949=$C$5,H949=$C$6,H949=$C$7,H949=$C$8,H949=$C$9,H949=$C$10,H949=$C$11,H949=$C$12,H949=$C$13,H949=$C$14),SottocategorieUscite[[#Headers],[Varie Uscite]],IF(OR(H949=$D$5,H949=$D$6,H949=$D$7,H949=$D$8,H949=$D$9,H949=$D$10,H949=$D$11,H949=$D$12,H949=$D$13,H949=$D$14),SottocategorieUscite[[#Headers],[Personali]],IF(OR(H949=$E$5,H949=$E$6,H949=$E$7,H949=$E$8,H949=$E$9,H949=$E$10,H949=$E$11,H949=$E$12,H949=$E$13,H949=$E$14),SottocategorieUscite[[#Headers],[Lavoro]],IF(OR(H949=$F$5,H949=$F$6,H949=$F$7,H949=$F$8,H949=$F$9,H949=$F$10,H949=$F$11,H949=$F$12,H949=$F$13,H949=$F$14),SottocategorieUscite[[#Headers],[Casa]],IF(OR(H949=$G$5,H949=$G$6,H949=$G$7,H949=$G$8,H949=$G$9,H949=$G$10,H949=$G$11,H949=$G$12,H949=$G$13,H949=$G$14),SottocategorieUscite[[#Headers],[Utenze]],IF(OR(H949=$H$5,H949=$H$6,H949=$H$7,H949=$H$8,H949=$H$9,H949=$H$10,H949=$H$11,H949=$H$12,H949=$H$13,H949=$H$14),SottocategorieUscite[[#Headers],[Business Uscite]],IF(OR(H949=$I$5,H949=$I$6,H949=$I$7,H949=$I$8,H949=$I$9,H949=$I$10,H949=$I$11,H949=$I$12,H949=$I$13,H949=$I$14),SottocategorieUscite[[#Headers],[Banca]],IF(OR(H949=K$5,H949=K$6,H949=K$7,H949=K$8,H949=K$9,H949=K$10,H949=K$11,H949=K$12,H949=K$13,H949=K$14),SottocategorieEntrate[[#Headers],[Business Entrate]],IF(OR(H949=L$5,H949=L$6,H949=L$7,H949=L$8,H949=L$9,H949=L$10,H949=L$11,H949=L$12,H949=L$13,H949=L$14),SottocategorieEntrate[[#Headers],[Varie Entrate]],IF(OR(H949=M$5,H949=M$6,H949=M$7,H949=M$8,H949=M$9,H949=M$10,H949=M$11,H949=M$12,H949=M$13,H949=M$14),SottocategorieEntrate[[#Headers],[Real Estate]],IF(OR(H949=N$5,H949=N$6,H949=N$7,H949=N$8,H949=N$9,H949=N$10,H949=N$11,H949=N$12,H949=N$13,H949=N$14),SottocategorieEntrate[[#Headers],[Other]],""))))))))))))</f>
        <v/>
      </c>
      <c r="J949" t="str">
        <f>IF(OR(Dati[[#This Row],[Categoria]]="Bollette",Dati[[#This Row],[Categoria]]="Conto &amp; Carte BNL",Dati[[#This Row],[Categoria]]="Prelievo",Dati[[#This Row],[Categoria]]="Affitto",Dati[[#This Row],[Categoria]]="BNL(Interessi Creditori)"),"Carta",IF(Dati[[#This Row],[Categoria]]&lt;&gt;0,"Cash",""))</f>
        <v/>
      </c>
      <c r="K949" s="59" t="str">
        <f>IF(OR(Data!$I949=SottocategorieUscite[[#Headers],[Fuori Casa]],Data!$I949=SottocategorieUscite[[#Headers],[Varie Uscite]],Data!$I949=SottocategorieUscite[[#Headers],[Personali]],Data!$I949=SottocategorieUscite[[#Headers],[Lavoro]]),"$ -","")</f>
        <v/>
      </c>
      <c r="L949" s="59" t="str">
        <f>IF(OR(Data!$I949=SottocategorieUscite[[#Headers],[Casa]],Data!$I949=SottocategorieUscite[[#Headers],[Utenze]],Data!$I949=SottocategorieUscite[[#Headers],[Business Uscite]],Data!$I949=SottocategorieUscite[[#Headers],[Banca]]),"$ -","")</f>
        <v/>
      </c>
      <c r="M949" s="59" t="str">
        <f>IF(OR($I949&lt;&gt;SottocategorieUscite[[#Headers],[Fuori Casa]],$I949&lt;&gt;SottocategorieUscite[[#Headers],[Varie Uscite]],$I949&lt;&gt;SottocategorieUscite[[#Headers],[Personali]],$I949&lt;&gt;SottocategorieUscite[[#Headers],[Lavoro]],$I949&lt;&gt;SottocategorieUscite[[#Headers],[Casa]],$I949&lt;&gt;SottocategorieUscite[[#Headers],[Utenze]],$I949&lt;&gt;SottocategorieUscite[[#Headers],[Business Uscite]],$I949&lt;&gt;SottocategorieUscite[[#Headers],[Banca]]),"","$ -")</f>
        <v/>
      </c>
      <c r="N949" s="59" t="str">
        <f>IF(OR(Data!$I949=SottocategorieEntrate[[#Headers],[Business Entrate]],Data!$I949=SottocategorieEntrate[[#Headers],[Varie Entrate]]),"$ -","")</f>
        <v/>
      </c>
      <c r="O949" s="59" t="str">
        <f>IF(OR(Data!$I949=SottocategorieEntrate[[#Headers],[Real Estate]],SottocategorieEntrate[[#Headers],[Other]]),"$ -","")</f>
        <v/>
      </c>
      <c r="P949" s="59" t="str">
        <f>IF(OR($I949&lt;&gt;SottocategorieEntrate[[#Headers],[Business Entrate]],$I949&lt;&gt;SottocategorieEntrate[[#Headers],[Varie Entrate]],$I949&lt;&gt;SottocategorieEntrate[[#Headers],[Real Estate]],$I949&lt;&gt;SottocategorieEntrate[[#Headers],[Other]]),"","$ -")</f>
        <v/>
      </c>
      <c r="Q949" s="59" t="str">
        <f>IF(Dati[[#This Row],[Categoria]]="Prelievo","€ -","")</f>
        <v/>
      </c>
      <c r="R949" s="244"/>
      <c r="S949" s="59" t="str">
        <f>IF(Dati[[#This Row],[Categoria]]="Savings",0,"")</f>
        <v/>
      </c>
      <c r="T949" s="59"/>
      <c r="U949" s="59"/>
      <c r="V949" s="59"/>
      <c r="W949" s="59"/>
      <c r="X949" s="59"/>
      <c r="Y949" s="59"/>
      <c r="Z949" s="59"/>
      <c r="AA949" s="59"/>
      <c r="AB949" s="59"/>
      <c r="AC949" s="59"/>
      <c r="AD949" s="59"/>
      <c r="AE949" s="59"/>
      <c r="AF949" s="59"/>
      <c r="AG949" s="59"/>
      <c r="AH949" s="59"/>
      <c r="AI949" s="59" t="str">
        <f>IF(SUM(Dati[[#This Row],[Inv. Business]:[Inv. Cryptocurrency]])=0," ",SUM(Dati[[#This Row],[Inv. Business]:[Inv. Cryptocurrency]]))</f>
        <v xml:space="preserve"> </v>
      </c>
      <c r="AJ949" s="59"/>
      <c r="AK949" s="59"/>
      <c r="AL949" s="59"/>
      <c r="AM949" s="59"/>
    </row>
    <row r="950" spans="2:39" x14ac:dyDescent="0.35">
      <c r="B950" s="237">
        <f>ROW(910:910)</f>
        <v>910</v>
      </c>
      <c r="C950" s="49">
        <f>C947+1</f>
        <v>45617</v>
      </c>
      <c r="D950" s="29">
        <f>DAY(Dati[[#This Row],[Data]])</f>
        <v>21</v>
      </c>
      <c r="E950" s="29" t="str">
        <f>IF(DAY(Data!$C$21:$C$1327)&gt;0,TEXT(Data!$C$21:$C$1327, "mmmm"),"")</f>
        <v>novembre</v>
      </c>
      <c r="F950" s="29" t="str">
        <f>IF(DAY(Data!$C$21:$C$1327)&gt;0,TEXT(Data!$C$21:$C$1327, "aaaa"),"")</f>
        <v>2024</v>
      </c>
      <c r="I950" t="str">
        <f>IF(OR(H950=$B$5,H950=$B$6,H950=$B$7,H950=$B$8,H950=$B$9,H950=$B$10,H950=$B$11,H950=$B$12,H950=$B$13,H950=$B$14),SottocategorieUscite[[#Headers],[Fuori Casa]],IF(OR(H950=$C$5,H950=$C$6,H950=$C$7,H950=$C$8,H950=$C$9,H950=$C$10,H950=$C$11,H950=$C$12,H950=$C$13,H950=$C$14),SottocategorieUscite[[#Headers],[Varie Uscite]],IF(OR(H950=$D$5,H950=$D$6,H950=$D$7,H950=$D$8,H950=$D$9,H950=$D$10,H950=$D$11,H950=$D$12,H950=$D$13,H950=$D$14),SottocategorieUscite[[#Headers],[Personali]],IF(OR(H950=$E$5,H950=$E$6,H950=$E$7,H950=$E$8,H950=$E$9,H950=$E$10,H950=$E$11,H950=$E$12,H950=$E$13,H950=$E$14),SottocategorieUscite[[#Headers],[Lavoro]],IF(OR(H950=$F$5,H950=$F$6,H950=$F$7,H950=$F$8,H950=$F$9,H950=$F$10,H950=$F$11,H950=$F$12,H950=$F$13,H950=$F$14),SottocategorieUscite[[#Headers],[Casa]],IF(OR(H950=$G$5,H950=$G$6,H950=$G$7,H950=$G$8,H950=$G$9,H950=$G$10,H950=$G$11,H950=$G$12,H950=$G$13,H950=$G$14),SottocategorieUscite[[#Headers],[Utenze]],IF(OR(H950=$H$5,H950=$H$6,H950=$H$7,H950=$H$8,H950=$H$9,H950=$H$10,H950=$H$11,H950=$H$12,H950=$H$13,H950=$H$14),SottocategorieUscite[[#Headers],[Business Uscite]],IF(OR(H950=$I$5,H950=$I$6,H950=$I$7,H950=$I$8,H950=$I$9,H950=$I$10,H950=$I$11,H950=$I$12,H950=$I$13,H950=$I$14),SottocategorieUscite[[#Headers],[Banca]],IF(OR(H950=K$5,H950=K$6,H950=K$7,H950=K$8,H950=K$9,H950=K$10,H950=K$11,H950=K$12,H950=K$13,H950=K$14),SottocategorieEntrate[[#Headers],[Business Entrate]],IF(OR(H950=L$5,H950=L$6,H950=L$7,H950=L$8,H950=L$9,H950=L$10,H950=L$11,H950=L$12,H950=L$13,H950=L$14),SottocategorieEntrate[[#Headers],[Varie Entrate]],IF(OR(H950=M$5,H950=M$6,H950=M$7,H950=M$8,H950=M$9,H950=M$10,H950=M$11,H950=M$12,H950=M$13,H950=M$14),SottocategorieEntrate[[#Headers],[Real Estate]],IF(OR(H950=N$5,H950=N$6,H950=N$7,H950=N$8,H950=N$9,H950=N$10,H950=N$11,H950=N$12,H950=N$13,H950=N$14),SottocategorieEntrate[[#Headers],[Other]],""))))))))))))</f>
        <v/>
      </c>
      <c r="J950" t="str">
        <f>IF(OR(Dati[[#This Row],[Categoria]]="Bollette",Dati[[#This Row],[Categoria]]="Conto &amp; Carte BNL",Dati[[#This Row],[Categoria]]="Prelievo",Dati[[#This Row],[Categoria]]="Affitto",Dati[[#This Row],[Categoria]]="BNL(Interessi Creditori)"),"Carta",IF(Dati[[#This Row],[Categoria]]&lt;&gt;0,"Cash",""))</f>
        <v/>
      </c>
      <c r="K950" s="59" t="str">
        <f>IF(OR(Data!$I950=SottocategorieUscite[[#Headers],[Fuori Casa]],Data!$I950=SottocategorieUscite[[#Headers],[Varie Uscite]],Data!$I950=SottocategorieUscite[[#Headers],[Personali]],Data!$I950=SottocategorieUscite[[#Headers],[Lavoro]]),"$ -","")</f>
        <v/>
      </c>
      <c r="L950" s="59" t="str">
        <f>IF(OR(Data!$I950=SottocategorieUscite[[#Headers],[Casa]],Data!$I950=SottocategorieUscite[[#Headers],[Utenze]],Data!$I950=SottocategorieUscite[[#Headers],[Business Uscite]],Data!$I950=SottocategorieUscite[[#Headers],[Banca]]),"$ -","")</f>
        <v/>
      </c>
      <c r="M950" s="59" t="str">
        <f>IF(OR($I950&lt;&gt;SottocategorieUscite[[#Headers],[Fuori Casa]],$I950&lt;&gt;SottocategorieUscite[[#Headers],[Varie Uscite]],$I950&lt;&gt;SottocategorieUscite[[#Headers],[Personali]],$I950&lt;&gt;SottocategorieUscite[[#Headers],[Lavoro]],$I950&lt;&gt;SottocategorieUscite[[#Headers],[Casa]],$I950&lt;&gt;SottocategorieUscite[[#Headers],[Utenze]],$I950&lt;&gt;SottocategorieUscite[[#Headers],[Business Uscite]],$I950&lt;&gt;SottocategorieUscite[[#Headers],[Banca]]),"","$ -")</f>
        <v/>
      </c>
      <c r="N950" s="59" t="str">
        <f>IF(OR(Data!$I950=SottocategorieEntrate[[#Headers],[Business Entrate]],Data!$I950=SottocategorieEntrate[[#Headers],[Varie Entrate]]),"$ -","")</f>
        <v/>
      </c>
      <c r="O950" s="59" t="str">
        <f>IF(OR(Data!$I950=SottocategorieEntrate[[#Headers],[Real Estate]],SottocategorieEntrate[[#Headers],[Other]]),"$ -","")</f>
        <v/>
      </c>
      <c r="P950" s="59" t="str">
        <f>IF(OR($I950&lt;&gt;SottocategorieEntrate[[#Headers],[Business Entrate]],$I950&lt;&gt;SottocategorieEntrate[[#Headers],[Varie Entrate]],$I950&lt;&gt;SottocategorieEntrate[[#Headers],[Real Estate]],$I950&lt;&gt;SottocategorieEntrate[[#Headers],[Other]]),"","$ -")</f>
        <v/>
      </c>
      <c r="Q950" s="59" t="str">
        <f>IF(Dati[[#This Row],[Categoria]]="Prelievo","€ -","")</f>
        <v/>
      </c>
      <c r="R950" s="244"/>
      <c r="S950" s="59" t="str">
        <f>IF(Dati[[#This Row],[Categoria]]="Savings",0,"")</f>
        <v/>
      </c>
      <c r="T950" s="59"/>
      <c r="U950" s="59"/>
      <c r="V950" s="59"/>
      <c r="W950" s="59"/>
      <c r="X950" s="59"/>
      <c r="Y950" s="59"/>
      <c r="Z950" s="59"/>
      <c r="AA950" s="59"/>
      <c r="AB950" s="59"/>
      <c r="AC950" s="59"/>
      <c r="AD950" s="59"/>
      <c r="AE950" s="59"/>
      <c r="AF950" s="59"/>
      <c r="AG950" s="59"/>
      <c r="AH950" s="59"/>
      <c r="AI950" s="59" t="str">
        <f>IF(SUM(Dati[[#This Row],[Inv. Business]:[Inv. Cryptocurrency]])=0," ",SUM(Dati[[#This Row],[Inv. Business]:[Inv. Cryptocurrency]]))</f>
        <v xml:space="preserve"> </v>
      </c>
      <c r="AJ950" s="59"/>
      <c r="AK950" s="59"/>
      <c r="AL950" s="59"/>
      <c r="AM950" s="59"/>
    </row>
    <row r="951" spans="2:39" x14ac:dyDescent="0.35">
      <c r="B951" s="237">
        <f>ROW(910:910)</f>
        <v>910</v>
      </c>
      <c r="C951" s="49">
        <f>C949+1</f>
        <v>45617</v>
      </c>
      <c r="D951" s="29">
        <f>DAY(Dati[[#This Row],[Data]])</f>
        <v>21</v>
      </c>
      <c r="E951" s="29" t="str">
        <f>IF(DAY(Data!$C$21:$C$1327)&gt;0,TEXT(Data!$C$21:$C$1327, "mmmm"),"")</f>
        <v>novembre</v>
      </c>
      <c r="F951" s="29" t="str">
        <f>IF(DAY(Data!$C$21:$C$1327)&gt;0,TEXT(Data!$C$21:$C$1327, "aaaa"),"")</f>
        <v>2024</v>
      </c>
      <c r="I951" t="str">
        <f>IF(OR(H951=$B$5,H951=$B$6,H951=$B$7,H951=$B$8,H951=$B$9,H951=$B$10,H951=$B$11,H951=$B$12,H951=$B$13,H951=$B$14),SottocategorieUscite[[#Headers],[Fuori Casa]],IF(OR(H951=$C$5,H951=$C$6,H951=$C$7,H951=$C$8,H951=$C$9,H951=$C$10,H951=$C$11,H951=$C$12,H951=$C$13,H951=$C$14),SottocategorieUscite[[#Headers],[Varie Uscite]],IF(OR(H951=$D$5,H951=$D$6,H951=$D$7,H951=$D$8,H951=$D$9,H951=$D$10,H951=$D$11,H951=$D$12,H951=$D$13,H951=$D$14),SottocategorieUscite[[#Headers],[Personali]],IF(OR(H951=$E$5,H951=$E$6,H951=$E$7,H951=$E$8,H951=$E$9,H951=$E$10,H951=$E$11,H951=$E$12,H951=$E$13,H951=$E$14),SottocategorieUscite[[#Headers],[Lavoro]],IF(OR(H951=$F$5,H951=$F$6,H951=$F$7,H951=$F$8,H951=$F$9,H951=$F$10,H951=$F$11,H951=$F$12,H951=$F$13,H951=$F$14),SottocategorieUscite[[#Headers],[Casa]],IF(OR(H951=$G$5,H951=$G$6,H951=$G$7,H951=$G$8,H951=$G$9,H951=$G$10,H951=$G$11,H951=$G$12,H951=$G$13,H951=$G$14),SottocategorieUscite[[#Headers],[Utenze]],IF(OR(H951=$H$5,H951=$H$6,H951=$H$7,H951=$H$8,H951=$H$9,H951=$H$10,H951=$H$11,H951=$H$12,H951=$H$13,H951=$H$14),SottocategorieUscite[[#Headers],[Business Uscite]],IF(OR(H951=$I$5,H951=$I$6,H951=$I$7,H951=$I$8,H951=$I$9,H951=$I$10,H951=$I$11,H951=$I$12,H951=$I$13,H951=$I$14),SottocategorieUscite[[#Headers],[Banca]],IF(OR(H951=K$5,H951=K$6,H951=K$7,H951=K$8,H951=K$9,H951=K$10,H951=K$11,H951=K$12,H951=K$13,H951=K$14),SottocategorieEntrate[[#Headers],[Business Entrate]],IF(OR(H951=L$5,H951=L$6,H951=L$7,H951=L$8,H951=L$9,H951=L$10,H951=L$11,H951=L$12,H951=L$13,H951=L$14),SottocategorieEntrate[[#Headers],[Varie Entrate]],IF(OR(H951=M$5,H951=M$6,H951=M$7,H951=M$8,H951=M$9,H951=M$10,H951=M$11,H951=M$12,H951=M$13,H951=M$14),SottocategorieEntrate[[#Headers],[Real Estate]],IF(OR(H951=N$5,H951=N$6,H951=N$7,H951=N$8,H951=N$9,H951=N$10,H951=N$11,H951=N$12,H951=N$13,H951=N$14),SottocategorieEntrate[[#Headers],[Other]],""))))))))))))</f>
        <v/>
      </c>
      <c r="J951" t="str">
        <f>IF(OR(Dati[[#This Row],[Categoria]]="Bollette",Dati[[#This Row],[Categoria]]="Conto &amp; Carte BNL",Dati[[#This Row],[Categoria]]="Prelievo",Dati[[#This Row],[Categoria]]="Affitto",Dati[[#This Row],[Categoria]]="BNL(Interessi Creditori)"),"Carta",IF(Dati[[#This Row],[Categoria]]&lt;&gt;0,"Cash",""))</f>
        <v/>
      </c>
      <c r="K951" s="59" t="str">
        <f>IF(OR(Data!$I951=SottocategorieUscite[[#Headers],[Fuori Casa]],Data!$I951=SottocategorieUscite[[#Headers],[Varie Uscite]],Data!$I951=SottocategorieUscite[[#Headers],[Personali]],Data!$I951=SottocategorieUscite[[#Headers],[Lavoro]]),"$ -","")</f>
        <v/>
      </c>
      <c r="L951" s="59" t="str">
        <f>IF(OR(Data!$I951=SottocategorieUscite[[#Headers],[Casa]],Data!$I951=SottocategorieUscite[[#Headers],[Utenze]],Data!$I951=SottocategorieUscite[[#Headers],[Business Uscite]],Data!$I951=SottocategorieUscite[[#Headers],[Banca]]),"$ -","")</f>
        <v/>
      </c>
      <c r="M951" s="59" t="str">
        <f>IF(OR($I951&lt;&gt;SottocategorieUscite[[#Headers],[Fuori Casa]],$I951&lt;&gt;SottocategorieUscite[[#Headers],[Varie Uscite]],$I951&lt;&gt;SottocategorieUscite[[#Headers],[Personali]],$I951&lt;&gt;SottocategorieUscite[[#Headers],[Lavoro]],$I951&lt;&gt;SottocategorieUscite[[#Headers],[Casa]],$I951&lt;&gt;SottocategorieUscite[[#Headers],[Utenze]],$I951&lt;&gt;SottocategorieUscite[[#Headers],[Business Uscite]],$I951&lt;&gt;SottocategorieUscite[[#Headers],[Banca]]),"","$ -")</f>
        <v/>
      </c>
      <c r="N951" s="59" t="str">
        <f>IF(OR(Data!$I951=SottocategorieEntrate[[#Headers],[Business Entrate]],Data!$I951=SottocategorieEntrate[[#Headers],[Varie Entrate]]),"$ -","")</f>
        <v/>
      </c>
      <c r="O951" s="59" t="str">
        <f>IF(OR(Data!$I951=SottocategorieEntrate[[#Headers],[Real Estate]],SottocategorieEntrate[[#Headers],[Other]]),"$ -","")</f>
        <v/>
      </c>
      <c r="P951" s="59" t="str">
        <f>IF(OR($I951&lt;&gt;SottocategorieEntrate[[#Headers],[Business Entrate]],$I951&lt;&gt;SottocategorieEntrate[[#Headers],[Varie Entrate]],$I951&lt;&gt;SottocategorieEntrate[[#Headers],[Real Estate]],$I951&lt;&gt;SottocategorieEntrate[[#Headers],[Other]]),"","$ -")</f>
        <v/>
      </c>
      <c r="Q951" s="59" t="str">
        <f>IF(Dati[[#This Row],[Categoria]]="Prelievo","€ -","")</f>
        <v/>
      </c>
      <c r="R951" s="244"/>
      <c r="S951" s="59" t="str">
        <f>IF(Dati[[#This Row],[Categoria]]="Savings",0,"")</f>
        <v/>
      </c>
      <c r="T951" s="59"/>
      <c r="U951" s="59"/>
      <c r="V951" s="59"/>
      <c r="W951" s="59"/>
      <c r="X951" s="59"/>
      <c r="Y951" s="59"/>
      <c r="Z951" s="59"/>
      <c r="AA951" s="59"/>
      <c r="AB951" s="59"/>
      <c r="AC951" s="59"/>
      <c r="AD951" s="59"/>
      <c r="AE951" s="59"/>
      <c r="AF951" s="59"/>
      <c r="AG951" s="59"/>
      <c r="AH951" s="59"/>
      <c r="AI951" s="59" t="str">
        <f>IF(SUM(Dati[[#This Row],[Inv. Business]:[Inv. Cryptocurrency]])=0," ",SUM(Dati[[#This Row],[Inv. Business]:[Inv. Cryptocurrency]]))</f>
        <v xml:space="preserve"> </v>
      </c>
      <c r="AJ951" s="59"/>
      <c r="AK951" s="59"/>
      <c r="AL951" s="59"/>
      <c r="AM951" s="59"/>
    </row>
    <row r="952" spans="2:39" x14ac:dyDescent="0.35">
      <c r="B952" s="237">
        <f>ROW(910:910)</f>
        <v>910</v>
      </c>
      <c r="C952" s="49">
        <f>C949+1</f>
        <v>45617</v>
      </c>
      <c r="D952" s="29">
        <f>DAY(Dati[[#This Row],[Data]])</f>
        <v>21</v>
      </c>
      <c r="E952" s="29" t="str">
        <f>IF(DAY(Data!$C$21:$C$1327)&gt;0,TEXT(Data!$C$21:$C$1327, "mmmm"),"")</f>
        <v>novembre</v>
      </c>
      <c r="F952" s="29" t="str">
        <f>IF(DAY(Data!$C$21:$C$1327)&gt;0,TEXT(Data!$C$21:$C$1327, "aaaa"),"")</f>
        <v>2024</v>
      </c>
      <c r="I952" t="str">
        <f>IF(OR(H952=$B$5,H952=$B$6,H952=$B$7,H952=$B$8,H952=$B$9,H952=$B$10,H952=$B$11,H952=$B$12,H952=$B$13,H952=$B$14),SottocategorieUscite[[#Headers],[Fuori Casa]],IF(OR(H952=$C$5,H952=$C$6,H952=$C$7,H952=$C$8,H952=$C$9,H952=$C$10,H952=$C$11,H952=$C$12,H952=$C$13,H952=$C$14),SottocategorieUscite[[#Headers],[Varie Uscite]],IF(OR(H952=$D$5,H952=$D$6,H952=$D$7,H952=$D$8,H952=$D$9,H952=$D$10,H952=$D$11,H952=$D$12,H952=$D$13,H952=$D$14),SottocategorieUscite[[#Headers],[Personali]],IF(OR(H952=$E$5,H952=$E$6,H952=$E$7,H952=$E$8,H952=$E$9,H952=$E$10,H952=$E$11,H952=$E$12,H952=$E$13,H952=$E$14),SottocategorieUscite[[#Headers],[Lavoro]],IF(OR(H952=$F$5,H952=$F$6,H952=$F$7,H952=$F$8,H952=$F$9,H952=$F$10,H952=$F$11,H952=$F$12,H952=$F$13,H952=$F$14),SottocategorieUscite[[#Headers],[Casa]],IF(OR(H952=$G$5,H952=$G$6,H952=$G$7,H952=$G$8,H952=$G$9,H952=$G$10,H952=$G$11,H952=$G$12,H952=$G$13,H952=$G$14),SottocategorieUscite[[#Headers],[Utenze]],IF(OR(H952=$H$5,H952=$H$6,H952=$H$7,H952=$H$8,H952=$H$9,H952=$H$10,H952=$H$11,H952=$H$12,H952=$H$13,H952=$H$14),SottocategorieUscite[[#Headers],[Business Uscite]],IF(OR(H952=$I$5,H952=$I$6,H952=$I$7,H952=$I$8,H952=$I$9,H952=$I$10,H952=$I$11,H952=$I$12,H952=$I$13,H952=$I$14),SottocategorieUscite[[#Headers],[Banca]],IF(OR(H952=K$5,H952=K$6,H952=K$7,H952=K$8,H952=K$9,H952=K$10,H952=K$11,H952=K$12,H952=K$13,H952=K$14),SottocategorieEntrate[[#Headers],[Business Entrate]],IF(OR(H952=L$5,H952=L$6,H952=L$7,H952=L$8,H952=L$9,H952=L$10,H952=L$11,H952=L$12,H952=L$13,H952=L$14),SottocategorieEntrate[[#Headers],[Varie Entrate]],IF(OR(H952=M$5,H952=M$6,H952=M$7,H952=M$8,H952=M$9,H952=M$10,H952=M$11,H952=M$12,H952=M$13,H952=M$14),SottocategorieEntrate[[#Headers],[Real Estate]],IF(OR(H952=N$5,H952=N$6,H952=N$7,H952=N$8,H952=N$9,H952=N$10,H952=N$11,H952=N$12,H952=N$13,H952=N$14),SottocategorieEntrate[[#Headers],[Other]],""))))))))))))</f>
        <v/>
      </c>
      <c r="J952" t="str">
        <f>IF(OR(Dati[[#This Row],[Categoria]]="Bollette",Dati[[#This Row],[Categoria]]="Conto &amp; Carte BNL",Dati[[#This Row],[Categoria]]="Prelievo",Dati[[#This Row],[Categoria]]="Affitto",Dati[[#This Row],[Categoria]]="BNL(Interessi Creditori)"),"Carta",IF(Dati[[#This Row],[Categoria]]&lt;&gt;0,"Cash",""))</f>
        <v/>
      </c>
      <c r="K952" s="59" t="str">
        <f>IF(OR(Data!$I952=SottocategorieUscite[[#Headers],[Fuori Casa]],Data!$I952=SottocategorieUscite[[#Headers],[Varie Uscite]],Data!$I952=SottocategorieUscite[[#Headers],[Personali]],Data!$I952=SottocategorieUscite[[#Headers],[Lavoro]]),"$ -","")</f>
        <v/>
      </c>
      <c r="L952" s="59" t="str">
        <f>IF(OR(Data!$I952=SottocategorieUscite[[#Headers],[Casa]],Data!$I952=SottocategorieUscite[[#Headers],[Utenze]],Data!$I952=SottocategorieUscite[[#Headers],[Business Uscite]],Data!$I952=SottocategorieUscite[[#Headers],[Banca]]),"$ -","")</f>
        <v/>
      </c>
      <c r="M952" s="59" t="str">
        <f>IF(OR($I952&lt;&gt;SottocategorieUscite[[#Headers],[Fuori Casa]],$I952&lt;&gt;SottocategorieUscite[[#Headers],[Varie Uscite]],$I952&lt;&gt;SottocategorieUscite[[#Headers],[Personali]],$I952&lt;&gt;SottocategorieUscite[[#Headers],[Lavoro]],$I952&lt;&gt;SottocategorieUscite[[#Headers],[Casa]],$I952&lt;&gt;SottocategorieUscite[[#Headers],[Utenze]],$I952&lt;&gt;SottocategorieUscite[[#Headers],[Business Uscite]],$I952&lt;&gt;SottocategorieUscite[[#Headers],[Banca]]),"","$ -")</f>
        <v/>
      </c>
      <c r="N952" s="59" t="str">
        <f>IF(OR(Data!$I952=SottocategorieEntrate[[#Headers],[Business Entrate]],Data!$I952=SottocategorieEntrate[[#Headers],[Varie Entrate]]),"$ -","")</f>
        <v/>
      </c>
      <c r="O952" s="59" t="str">
        <f>IF(OR(Data!$I952=SottocategorieEntrate[[#Headers],[Real Estate]],SottocategorieEntrate[[#Headers],[Other]]),"$ -","")</f>
        <v/>
      </c>
      <c r="P952" s="59" t="str">
        <f>IF(OR($I952&lt;&gt;SottocategorieEntrate[[#Headers],[Business Entrate]],$I952&lt;&gt;SottocategorieEntrate[[#Headers],[Varie Entrate]],$I952&lt;&gt;SottocategorieEntrate[[#Headers],[Real Estate]],$I952&lt;&gt;SottocategorieEntrate[[#Headers],[Other]]),"","$ -")</f>
        <v/>
      </c>
      <c r="Q952" s="59" t="str">
        <f>IF(Dati[[#This Row],[Categoria]]="Prelievo","€ -","")</f>
        <v/>
      </c>
      <c r="R952" s="244"/>
      <c r="S952" s="59" t="str">
        <f>IF(Dati[[#This Row],[Categoria]]="Savings",0,"")</f>
        <v/>
      </c>
      <c r="T952" s="59"/>
      <c r="U952" s="59"/>
      <c r="V952" s="59"/>
      <c r="W952" s="59"/>
      <c r="X952" s="59"/>
      <c r="Y952" s="59"/>
      <c r="Z952" s="59"/>
      <c r="AA952" s="59"/>
      <c r="AB952" s="59"/>
      <c r="AC952" s="59"/>
      <c r="AD952" s="59"/>
      <c r="AE952" s="59"/>
      <c r="AF952" s="59"/>
      <c r="AG952" s="59"/>
      <c r="AH952" s="59"/>
      <c r="AI952" s="59" t="str">
        <f>IF(SUM(Dati[[#This Row],[Inv. Business]:[Inv. Cryptocurrency]])=0," ",SUM(Dati[[#This Row],[Inv. Business]:[Inv. Cryptocurrency]]))</f>
        <v xml:space="preserve"> </v>
      </c>
      <c r="AJ952" s="59"/>
      <c r="AK952" s="59"/>
      <c r="AL952" s="59"/>
      <c r="AM952" s="59"/>
    </row>
    <row r="953" spans="2:39" x14ac:dyDescent="0.35">
      <c r="B953" s="237">
        <f>ROW(910:910)</f>
        <v>910</v>
      </c>
      <c r="C953" s="49">
        <f>C949+1</f>
        <v>45617</v>
      </c>
      <c r="D953" s="29">
        <f>DAY(Dati[[#This Row],[Data]])</f>
        <v>21</v>
      </c>
      <c r="E953" s="29" t="str">
        <f>IF(DAY(Data!$C$21:$C$1327)&gt;0,TEXT(Data!$C$21:$C$1327, "mmmm"),"")</f>
        <v>novembre</v>
      </c>
      <c r="F953" s="29" t="str">
        <f>IF(DAY(Data!$C$21:$C$1327)&gt;0,TEXT(Data!$C$21:$C$1327, "aaaa"),"")</f>
        <v>2024</v>
      </c>
      <c r="I953" t="str">
        <f>IF(OR(H953=$B$5,H953=$B$6,H953=$B$7,H953=$B$8,H953=$B$9,H953=$B$10,H953=$B$11,H953=$B$12,H953=$B$13,H953=$B$14),SottocategorieUscite[[#Headers],[Fuori Casa]],IF(OR(H953=$C$5,H953=$C$6,H953=$C$7,H953=$C$8,H953=$C$9,H953=$C$10,H953=$C$11,H953=$C$12,H953=$C$13,H953=$C$14),SottocategorieUscite[[#Headers],[Varie Uscite]],IF(OR(H953=$D$5,H953=$D$6,H953=$D$7,H953=$D$8,H953=$D$9,H953=$D$10,H953=$D$11,H953=$D$12,H953=$D$13,H953=$D$14),SottocategorieUscite[[#Headers],[Personali]],IF(OR(H953=$E$5,H953=$E$6,H953=$E$7,H953=$E$8,H953=$E$9,H953=$E$10,H953=$E$11,H953=$E$12,H953=$E$13,H953=$E$14),SottocategorieUscite[[#Headers],[Lavoro]],IF(OR(H953=$F$5,H953=$F$6,H953=$F$7,H953=$F$8,H953=$F$9,H953=$F$10,H953=$F$11,H953=$F$12,H953=$F$13,H953=$F$14),SottocategorieUscite[[#Headers],[Casa]],IF(OR(H953=$G$5,H953=$G$6,H953=$G$7,H953=$G$8,H953=$G$9,H953=$G$10,H953=$G$11,H953=$G$12,H953=$G$13,H953=$G$14),SottocategorieUscite[[#Headers],[Utenze]],IF(OR(H953=$H$5,H953=$H$6,H953=$H$7,H953=$H$8,H953=$H$9,H953=$H$10,H953=$H$11,H953=$H$12,H953=$H$13,H953=$H$14),SottocategorieUscite[[#Headers],[Business Uscite]],IF(OR(H953=$I$5,H953=$I$6,H953=$I$7,H953=$I$8,H953=$I$9,H953=$I$10,H953=$I$11,H953=$I$12,H953=$I$13,H953=$I$14),SottocategorieUscite[[#Headers],[Banca]],IF(OR(H953=K$5,H953=K$6,H953=K$7,H953=K$8,H953=K$9,H953=K$10,H953=K$11,H953=K$12,H953=K$13,H953=K$14),SottocategorieEntrate[[#Headers],[Business Entrate]],IF(OR(H953=L$5,H953=L$6,H953=L$7,H953=L$8,H953=L$9,H953=L$10,H953=L$11,H953=L$12,H953=L$13,H953=L$14),SottocategorieEntrate[[#Headers],[Varie Entrate]],IF(OR(H953=M$5,H953=M$6,H953=M$7,H953=M$8,H953=M$9,H953=M$10,H953=M$11,H953=M$12,H953=M$13,H953=M$14),SottocategorieEntrate[[#Headers],[Real Estate]],IF(OR(H953=N$5,H953=N$6,H953=N$7,H953=N$8,H953=N$9,H953=N$10,H953=N$11,H953=N$12,H953=N$13,H953=N$14),SottocategorieEntrate[[#Headers],[Other]],""))))))))))))</f>
        <v/>
      </c>
      <c r="J953" t="str">
        <f>IF(OR(Dati[[#This Row],[Categoria]]="Bollette",Dati[[#This Row],[Categoria]]="Conto &amp; Carte BNL",Dati[[#This Row],[Categoria]]="Prelievo",Dati[[#This Row],[Categoria]]="Affitto",Dati[[#This Row],[Categoria]]="BNL(Interessi Creditori)"),"Carta",IF(Dati[[#This Row],[Categoria]]&lt;&gt;0,"Cash",""))</f>
        <v/>
      </c>
      <c r="K953" s="59" t="str">
        <f>IF(OR(Data!$I953=SottocategorieUscite[[#Headers],[Fuori Casa]],Data!$I953=SottocategorieUscite[[#Headers],[Varie Uscite]],Data!$I953=SottocategorieUscite[[#Headers],[Personali]],Data!$I953=SottocategorieUscite[[#Headers],[Lavoro]]),"$ -","")</f>
        <v/>
      </c>
      <c r="L953" s="59" t="str">
        <f>IF(OR(Data!$I953=SottocategorieUscite[[#Headers],[Casa]],Data!$I953=SottocategorieUscite[[#Headers],[Utenze]],Data!$I953=SottocategorieUscite[[#Headers],[Business Uscite]],Data!$I953=SottocategorieUscite[[#Headers],[Banca]]),"$ -","")</f>
        <v/>
      </c>
      <c r="M953" s="59" t="str">
        <f>IF(OR($I953&lt;&gt;SottocategorieUscite[[#Headers],[Fuori Casa]],$I953&lt;&gt;SottocategorieUscite[[#Headers],[Varie Uscite]],$I953&lt;&gt;SottocategorieUscite[[#Headers],[Personali]],$I953&lt;&gt;SottocategorieUscite[[#Headers],[Lavoro]],$I953&lt;&gt;SottocategorieUscite[[#Headers],[Casa]],$I953&lt;&gt;SottocategorieUscite[[#Headers],[Utenze]],$I953&lt;&gt;SottocategorieUscite[[#Headers],[Business Uscite]],$I953&lt;&gt;SottocategorieUscite[[#Headers],[Banca]]),"","$ -")</f>
        <v/>
      </c>
      <c r="N953" s="59" t="str">
        <f>IF(OR(Data!$I953=SottocategorieEntrate[[#Headers],[Business Entrate]],Data!$I953=SottocategorieEntrate[[#Headers],[Varie Entrate]]),"$ -","")</f>
        <v/>
      </c>
      <c r="O953" s="59" t="str">
        <f>IF(OR(Data!$I953=SottocategorieEntrate[[#Headers],[Real Estate]],SottocategorieEntrate[[#Headers],[Other]]),"$ -","")</f>
        <v/>
      </c>
      <c r="P953" s="59" t="str">
        <f>IF(OR($I953&lt;&gt;SottocategorieEntrate[[#Headers],[Business Entrate]],$I953&lt;&gt;SottocategorieEntrate[[#Headers],[Varie Entrate]],$I953&lt;&gt;SottocategorieEntrate[[#Headers],[Real Estate]],$I953&lt;&gt;SottocategorieEntrate[[#Headers],[Other]]),"","$ -")</f>
        <v/>
      </c>
      <c r="Q953" s="59" t="str">
        <f>IF(Dati[[#This Row],[Categoria]]="Prelievo","€ -","")</f>
        <v/>
      </c>
      <c r="R953" s="244"/>
      <c r="S953" s="59" t="str">
        <f>IF(Dati[[#This Row],[Categoria]]="Savings",0,"")</f>
        <v/>
      </c>
      <c r="T953" s="59"/>
      <c r="U953" s="59"/>
      <c r="V953" s="59"/>
      <c r="W953" s="59"/>
      <c r="X953" s="59"/>
      <c r="Y953" s="59"/>
      <c r="Z953" s="59"/>
      <c r="AA953" s="59"/>
      <c r="AB953" s="59"/>
      <c r="AC953" s="59"/>
      <c r="AD953" s="59"/>
      <c r="AE953" s="59"/>
      <c r="AF953" s="59"/>
      <c r="AG953" s="59"/>
      <c r="AH953" s="59"/>
      <c r="AI953" s="59" t="str">
        <f>IF(SUM(Dati[[#This Row],[Inv. Business]:[Inv. Cryptocurrency]])=0," ",SUM(Dati[[#This Row],[Inv. Business]:[Inv. Cryptocurrency]]))</f>
        <v xml:space="preserve"> </v>
      </c>
      <c r="AJ953" s="59"/>
      <c r="AK953" s="59"/>
      <c r="AL953" s="59"/>
      <c r="AM953" s="59"/>
    </row>
    <row r="954" spans="2:39" x14ac:dyDescent="0.35">
      <c r="B954" s="237">
        <f>ROW(911:911)</f>
        <v>911</v>
      </c>
      <c r="C954" s="49">
        <f>C950+1</f>
        <v>45618</v>
      </c>
      <c r="D954" s="29">
        <f>DAY(Dati[[#This Row],[Data]])</f>
        <v>22</v>
      </c>
      <c r="E954" s="29" t="str">
        <f>IF(DAY(Data!$C$21:$C$1327)&gt;0,TEXT(Data!$C$21:$C$1327, "mmmm"),"")</f>
        <v>novembre</v>
      </c>
      <c r="F954" s="29" t="str">
        <f>IF(DAY(Data!$C$21:$C$1327)&gt;0,TEXT(Data!$C$21:$C$1327, "aaaa"),"")</f>
        <v>2024</v>
      </c>
      <c r="I954" t="str">
        <f>IF(OR(H954=$B$5,H954=$B$6,H954=$B$7,H954=$B$8,H954=$B$9,H954=$B$10,H954=$B$11,H954=$B$12,H954=$B$13,H954=$B$14),SottocategorieUscite[[#Headers],[Fuori Casa]],IF(OR(H954=$C$5,H954=$C$6,H954=$C$7,H954=$C$8,H954=$C$9,H954=$C$10,H954=$C$11,H954=$C$12,H954=$C$13,H954=$C$14),SottocategorieUscite[[#Headers],[Varie Uscite]],IF(OR(H954=$D$5,H954=$D$6,H954=$D$7,H954=$D$8,H954=$D$9,H954=$D$10,H954=$D$11,H954=$D$12,H954=$D$13,H954=$D$14),SottocategorieUscite[[#Headers],[Personali]],IF(OR(H954=$E$5,H954=$E$6,H954=$E$7,H954=$E$8,H954=$E$9,H954=$E$10,H954=$E$11,H954=$E$12,H954=$E$13,H954=$E$14),SottocategorieUscite[[#Headers],[Lavoro]],IF(OR(H954=$F$5,H954=$F$6,H954=$F$7,H954=$F$8,H954=$F$9,H954=$F$10,H954=$F$11,H954=$F$12,H954=$F$13,H954=$F$14),SottocategorieUscite[[#Headers],[Casa]],IF(OR(H954=$G$5,H954=$G$6,H954=$G$7,H954=$G$8,H954=$G$9,H954=$G$10,H954=$G$11,H954=$G$12,H954=$G$13,H954=$G$14),SottocategorieUscite[[#Headers],[Utenze]],IF(OR(H954=$H$5,H954=$H$6,H954=$H$7,H954=$H$8,H954=$H$9,H954=$H$10,H954=$H$11,H954=$H$12,H954=$H$13,H954=$H$14),SottocategorieUscite[[#Headers],[Business Uscite]],IF(OR(H954=$I$5,H954=$I$6,H954=$I$7,H954=$I$8,H954=$I$9,H954=$I$10,H954=$I$11,H954=$I$12,H954=$I$13,H954=$I$14),SottocategorieUscite[[#Headers],[Banca]],IF(OR(H954=K$5,H954=K$6,H954=K$7,H954=K$8,H954=K$9,H954=K$10,H954=K$11,H954=K$12,H954=K$13,H954=K$14),SottocategorieEntrate[[#Headers],[Business Entrate]],IF(OR(H954=L$5,H954=L$6,H954=L$7,H954=L$8,H954=L$9,H954=L$10,H954=L$11,H954=L$12,H954=L$13,H954=L$14),SottocategorieEntrate[[#Headers],[Varie Entrate]],IF(OR(H954=M$5,H954=M$6,H954=M$7,H954=M$8,H954=M$9,H954=M$10,H954=M$11,H954=M$12,H954=M$13,H954=M$14),SottocategorieEntrate[[#Headers],[Real Estate]],IF(OR(H954=N$5,H954=N$6,H954=N$7,H954=N$8,H954=N$9,H954=N$10,H954=N$11,H954=N$12,H954=N$13,H954=N$14),SottocategorieEntrate[[#Headers],[Other]],""))))))))))))</f>
        <v/>
      </c>
      <c r="J954" t="str">
        <f>IF(OR(Dati[[#This Row],[Categoria]]="Bollette",Dati[[#This Row],[Categoria]]="Conto &amp; Carte BNL",Dati[[#This Row],[Categoria]]="Prelievo",Dati[[#This Row],[Categoria]]="Affitto",Dati[[#This Row],[Categoria]]="BNL(Interessi Creditori)"),"Carta",IF(Dati[[#This Row],[Categoria]]&lt;&gt;0,"Cash",""))</f>
        <v/>
      </c>
      <c r="K954" s="59" t="str">
        <f>IF(OR(Data!$I954=SottocategorieUscite[[#Headers],[Fuori Casa]],Data!$I954=SottocategorieUscite[[#Headers],[Varie Uscite]],Data!$I954=SottocategorieUscite[[#Headers],[Personali]],Data!$I954=SottocategorieUscite[[#Headers],[Lavoro]]),"$ -","")</f>
        <v/>
      </c>
      <c r="L954" s="59" t="str">
        <f>IF(OR(Data!$I954=SottocategorieUscite[[#Headers],[Casa]],Data!$I954=SottocategorieUscite[[#Headers],[Utenze]],Data!$I954=SottocategorieUscite[[#Headers],[Business Uscite]],Data!$I954=SottocategorieUscite[[#Headers],[Banca]]),"$ -","")</f>
        <v/>
      </c>
      <c r="M954" s="59" t="str">
        <f>IF(OR($I954&lt;&gt;SottocategorieUscite[[#Headers],[Fuori Casa]],$I954&lt;&gt;SottocategorieUscite[[#Headers],[Varie Uscite]],$I954&lt;&gt;SottocategorieUscite[[#Headers],[Personali]],$I954&lt;&gt;SottocategorieUscite[[#Headers],[Lavoro]],$I954&lt;&gt;SottocategorieUscite[[#Headers],[Casa]],$I954&lt;&gt;SottocategorieUscite[[#Headers],[Utenze]],$I954&lt;&gt;SottocategorieUscite[[#Headers],[Business Uscite]],$I954&lt;&gt;SottocategorieUscite[[#Headers],[Banca]]),"","$ -")</f>
        <v/>
      </c>
      <c r="N954" s="59" t="str">
        <f>IF(OR(Data!$I954=SottocategorieEntrate[[#Headers],[Business Entrate]],Data!$I954=SottocategorieEntrate[[#Headers],[Varie Entrate]]),"$ -","")</f>
        <v/>
      </c>
      <c r="O954" s="59" t="str">
        <f>IF(OR(Data!$I954=SottocategorieEntrate[[#Headers],[Real Estate]],SottocategorieEntrate[[#Headers],[Other]]),"$ -","")</f>
        <v/>
      </c>
      <c r="P954" s="59" t="str">
        <f>IF(OR($I954&lt;&gt;SottocategorieEntrate[[#Headers],[Business Entrate]],$I954&lt;&gt;SottocategorieEntrate[[#Headers],[Varie Entrate]],$I954&lt;&gt;SottocategorieEntrate[[#Headers],[Real Estate]],$I954&lt;&gt;SottocategorieEntrate[[#Headers],[Other]]),"","$ -")</f>
        <v/>
      </c>
      <c r="Q954" s="59" t="str">
        <f>IF(Dati[[#This Row],[Categoria]]="Prelievo","€ -","")</f>
        <v/>
      </c>
      <c r="R954" s="244"/>
      <c r="S954" s="59" t="str">
        <f>IF(Dati[[#This Row],[Categoria]]="Savings",0,"")</f>
        <v/>
      </c>
      <c r="T954" s="59"/>
      <c r="U954" s="59"/>
      <c r="V954" s="59"/>
      <c r="W954" s="59"/>
      <c r="X954" s="59"/>
      <c r="Y954" s="59"/>
      <c r="Z954" s="59"/>
      <c r="AA954" s="59"/>
      <c r="AB954" s="59"/>
      <c r="AC954" s="59"/>
      <c r="AD954" s="59"/>
      <c r="AE954" s="59"/>
      <c r="AF954" s="59"/>
      <c r="AG954" s="59"/>
      <c r="AH954" s="59"/>
      <c r="AI954" s="59" t="str">
        <f>IF(SUM(Dati[[#This Row],[Inv. Business]:[Inv. Cryptocurrency]])=0," ",SUM(Dati[[#This Row],[Inv. Business]:[Inv. Cryptocurrency]]))</f>
        <v xml:space="preserve"> </v>
      </c>
      <c r="AJ954" s="59"/>
      <c r="AK954" s="59"/>
      <c r="AL954" s="59"/>
      <c r="AM954" s="59"/>
    </row>
    <row r="955" spans="2:39" x14ac:dyDescent="0.35">
      <c r="B955" s="237">
        <f>ROW(911:911)</f>
        <v>911</v>
      </c>
      <c r="C955" s="49">
        <f>C953+1</f>
        <v>45618</v>
      </c>
      <c r="D955" s="29">
        <f>DAY(Dati[[#This Row],[Data]])</f>
        <v>22</v>
      </c>
      <c r="E955" s="29" t="str">
        <f>IF(DAY(Data!$C$21:$C$1327)&gt;0,TEXT(Data!$C$21:$C$1327, "mmmm"),"")</f>
        <v>novembre</v>
      </c>
      <c r="F955" s="29" t="str">
        <f>IF(DAY(Data!$C$21:$C$1327)&gt;0,TEXT(Data!$C$21:$C$1327, "aaaa"),"")</f>
        <v>2024</v>
      </c>
      <c r="I955" t="str">
        <f>IF(OR(H955=$B$5,H955=$B$6,H955=$B$7,H955=$B$8,H955=$B$9,H955=$B$10,H955=$B$11,H955=$B$12,H955=$B$13,H955=$B$14),SottocategorieUscite[[#Headers],[Fuori Casa]],IF(OR(H955=$C$5,H955=$C$6,H955=$C$7,H955=$C$8,H955=$C$9,H955=$C$10,H955=$C$11,H955=$C$12,H955=$C$13,H955=$C$14),SottocategorieUscite[[#Headers],[Varie Uscite]],IF(OR(H955=$D$5,H955=$D$6,H955=$D$7,H955=$D$8,H955=$D$9,H955=$D$10,H955=$D$11,H955=$D$12,H955=$D$13,H955=$D$14),SottocategorieUscite[[#Headers],[Personali]],IF(OR(H955=$E$5,H955=$E$6,H955=$E$7,H955=$E$8,H955=$E$9,H955=$E$10,H955=$E$11,H955=$E$12,H955=$E$13,H955=$E$14),SottocategorieUscite[[#Headers],[Lavoro]],IF(OR(H955=$F$5,H955=$F$6,H955=$F$7,H955=$F$8,H955=$F$9,H955=$F$10,H955=$F$11,H955=$F$12,H955=$F$13,H955=$F$14),SottocategorieUscite[[#Headers],[Casa]],IF(OR(H955=$G$5,H955=$G$6,H955=$G$7,H955=$G$8,H955=$G$9,H955=$G$10,H955=$G$11,H955=$G$12,H955=$G$13,H955=$G$14),SottocategorieUscite[[#Headers],[Utenze]],IF(OR(H955=$H$5,H955=$H$6,H955=$H$7,H955=$H$8,H955=$H$9,H955=$H$10,H955=$H$11,H955=$H$12,H955=$H$13,H955=$H$14),SottocategorieUscite[[#Headers],[Business Uscite]],IF(OR(H955=$I$5,H955=$I$6,H955=$I$7,H955=$I$8,H955=$I$9,H955=$I$10,H955=$I$11,H955=$I$12,H955=$I$13,H955=$I$14),SottocategorieUscite[[#Headers],[Banca]],IF(OR(H955=K$5,H955=K$6,H955=K$7,H955=K$8,H955=K$9,H955=K$10,H955=K$11,H955=K$12,H955=K$13,H955=K$14),SottocategorieEntrate[[#Headers],[Business Entrate]],IF(OR(H955=L$5,H955=L$6,H955=L$7,H955=L$8,H955=L$9,H955=L$10,H955=L$11,H955=L$12,H955=L$13,H955=L$14),SottocategorieEntrate[[#Headers],[Varie Entrate]],IF(OR(H955=M$5,H955=M$6,H955=M$7,H955=M$8,H955=M$9,H955=M$10,H955=M$11,H955=M$12,H955=M$13,H955=M$14),SottocategorieEntrate[[#Headers],[Real Estate]],IF(OR(H955=N$5,H955=N$6,H955=N$7,H955=N$8,H955=N$9,H955=N$10,H955=N$11,H955=N$12,H955=N$13,H955=N$14),SottocategorieEntrate[[#Headers],[Other]],""))))))))))))</f>
        <v/>
      </c>
      <c r="J955" t="str">
        <f>IF(OR(Dati[[#This Row],[Categoria]]="Bollette",Dati[[#This Row],[Categoria]]="Conto &amp; Carte BNL",Dati[[#This Row],[Categoria]]="Prelievo",Dati[[#This Row],[Categoria]]="Affitto",Dati[[#This Row],[Categoria]]="BNL(Interessi Creditori)"),"Carta",IF(Dati[[#This Row],[Categoria]]&lt;&gt;0,"Cash",""))</f>
        <v/>
      </c>
      <c r="K955" s="59" t="str">
        <f>IF(OR(Data!$I955=SottocategorieUscite[[#Headers],[Fuori Casa]],Data!$I955=SottocategorieUscite[[#Headers],[Varie Uscite]],Data!$I955=SottocategorieUscite[[#Headers],[Personali]],Data!$I955=SottocategorieUscite[[#Headers],[Lavoro]]),"$ -","")</f>
        <v/>
      </c>
      <c r="L955" s="59" t="str">
        <f>IF(OR(Data!$I955=SottocategorieUscite[[#Headers],[Casa]],Data!$I955=SottocategorieUscite[[#Headers],[Utenze]],Data!$I955=SottocategorieUscite[[#Headers],[Business Uscite]],Data!$I955=SottocategorieUscite[[#Headers],[Banca]]),"$ -","")</f>
        <v/>
      </c>
      <c r="M955" s="59" t="str">
        <f>IF(OR($I955&lt;&gt;SottocategorieUscite[[#Headers],[Fuori Casa]],$I955&lt;&gt;SottocategorieUscite[[#Headers],[Varie Uscite]],$I955&lt;&gt;SottocategorieUscite[[#Headers],[Personali]],$I955&lt;&gt;SottocategorieUscite[[#Headers],[Lavoro]],$I955&lt;&gt;SottocategorieUscite[[#Headers],[Casa]],$I955&lt;&gt;SottocategorieUscite[[#Headers],[Utenze]],$I955&lt;&gt;SottocategorieUscite[[#Headers],[Business Uscite]],$I955&lt;&gt;SottocategorieUscite[[#Headers],[Banca]]),"","$ -")</f>
        <v/>
      </c>
      <c r="N955" s="59" t="str">
        <f>IF(OR(Data!$I955=SottocategorieEntrate[[#Headers],[Business Entrate]],Data!$I955=SottocategorieEntrate[[#Headers],[Varie Entrate]]),"$ -","")</f>
        <v/>
      </c>
      <c r="O955" s="59" t="str">
        <f>IF(OR(Data!$I955=SottocategorieEntrate[[#Headers],[Real Estate]],SottocategorieEntrate[[#Headers],[Other]]),"$ -","")</f>
        <v/>
      </c>
      <c r="P955" s="59" t="str">
        <f>IF(OR($I955&lt;&gt;SottocategorieEntrate[[#Headers],[Business Entrate]],$I955&lt;&gt;SottocategorieEntrate[[#Headers],[Varie Entrate]],$I955&lt;&gt;SottocategorieEntrate[[#Headers],[Real Estate]],$I955&lt;&gt;SottocategorieEntrate[[#Headers],[Other]]),"","$ -")</f>
        <v/>
      </c>
      <c r="Q955" s="59" t="str">
        <f>IF(Dati[[#This Row],[Categoria]]="Prelievo","€ -","")</f>
        <v/>
      </c>
      <c r="R955" s="244"/>
      <c r="S955" s="59" t="str">
        <f>IF(Dati[[#This Row],[Categoria]]="Savings",0,"")</f>
        <v/>
      </c>
      <c r="T955" s="59"/>
      <c r="U955" s="59"/>
      <c r="V955" s="59"/>
      <c r="W955" s="59"/>
      <c r="X955" s="59"/>
      <c r="Y955" s="59"/>
      <c r="Z955" s="59"/>
      <c r="AA955" s="59"/>
      <c r="AB955" s="59"/>
      <c r="AC955" s="59"/>
      <c r="AD955" s="59"/>
      <c r="AE955" s="59"/>
      <c r="AF955" s="59"/>
      <c r="AG955" s="59"/>
      <c r="AH955" s="59"/>
      <c r="AI955" s="59" t="str">
        <f>IF(SUM(Dati[[#This Row],[Inv. Business]:[Inv. Cryptocurrency]])=0," ",SUM(Dati[[#This Row],[Inv. Business]:[Inv. Cryptocurrency]]))</f>
        <v xml:space="preserve"> </v>
      </c>
      <c r="AJ955" s="59"/>
      <c r="AK955" s="59"/>
      <c r="AL955" s="59"/>
      <c r="AM955" s="59"/>
    </row>
    <row r="956" spans="2:39" x14ac:dyDescent="0.35">
      <c r="B956" s="237">
        <f>ROW(911:911)</f>
        <v>911</v>
      </c>
      <c r="C956" s="49">
        <f>C953+1</f>
        <v>45618</v>
      </c>
      <c r="D956" s="29">
        <f>DAY(Dati[[#This Row],[Data]])</f>
        <v>22</v>
      </c>
      <c r="E956" s="29" t="str">
        <f>IF(DAY(Data!$C$21:$C$1327)&gt;0,TEXT(Data!$C$21:$C$1327, "mmmm"),"")</f>
        <v>novembre</v>
      </c>
      <c r="F956" s="29" t="str">
        <f>IF(DAY(Data!$C$21:$C$1327)&gt;0,TEXT(Data!$C$21:$C$1327, "aaaa"),"")</f>
        <v>2024</v>
      </c>
      <c r="I956" t="str">
        <f>IF(OR(H956=$B$5,H956=$B$6,H956=$B$7,H956=$B$8,H956=$B$9,H956=$B$10,H956=$B$11,H956=$B$12,H956=$B$13,H956=$B$14),SottocategorieUscite[[#Headers],[Fuori Casa]],IF(OR(H956=$C$5,H956=$C$6,H956=$C$7,H956=$C$8,H956=$C$9,H956=$C$10,H956=$C$11,H956=$C$12,H956=$C$13,H956=$C$14),SottocategorieUscite[[#Headers],[Varie Uscite]],IF(OR(H956=$D$5,H956=$D$6,H956=$D$7,H956=$D$8,H956=$D$9,H956=$D$10,H956=$D$11,H956=$D$12,H956=$D$13,H956=$D$14),SottocategorieUscite[[#Headers],[Personali]],IF(OR(H956=$E$5,H956=$E$6,H956=$E$7,H956=$E$8,H956=$E$9,H956=$E$10,H956=$E$11,H956=$E$12,H956=$E$13,H956=$E$14),SottocategorieUscite[[#Headers],[Lavoro]],IF(OR(H956=$F$5,H956=$F$6,H956=$F$7,H956=$F$8,H956=$F$9,H956=$F$10,H956=$F$11,H956=$F$12,H956=$F$13,H956=$F$14),SottocategorieUscite[[#Headers],[Casa]],IF(OR(H956=$G$5,H956=$G$6,H956=$G$7,H956=$G$8,H956=$G$9,H956=$G$10,H956=$G$11,H956=$G$12,H956=$G$13,H956=$G$14),SottocategorieUscite[[#Headers],[Utenze]],IF(OR(H956=$H$5,H956=$H$6,H956=$H$7,H956=$H$8,H956=$H$9,H956=$H$10,H956=$H$11,H956=$H$12,H956=$H$13,H956=$H$14),SottocategorieUscite[[#Headers],[Business Uscite]],IF(OR(H956=$I$5,H956=$I$6,H956=$I$7,H956=$I$8,H956=$I$9,H956=$I$10,H956=$I$11,H956=$I$12,H956=$I$13,H956=$I$14),SottocategorieUscite[[#Headers],[Banca]],IF(OR(H956=K$5,H956=K$6,H956=K$7,H956=K$8,H956=K$9,H956=K$10,H956=K$11,H956=K$12,H956=K$13,H956=K$14),SottocategorieEntrate[[#Headers],[Business Entrate]],IF(OR(H956=L$5,H956=L$6,H956=L$7,H956=L$8,H956=L$9,H956=L$10,H956=L$11,H956=L$12,H956=L$13,H956=L$14),SottocategorieEntrate[[#Headers],[Varie Entrate]],IF(OR(H956=M$5,H956=M$6,H956=M$7,H956=M$8,H956=M$9,H956=M$10,H956=M$11,H956=M$12,H956=M$13,H956=M$14),SottocategorieEntrate[[#Headers],[Real Estate]],IF(OR(H956=N$5,H956=N$6,H956=N$7,H956=N$8,H956=N$9,H956=N$10,H956=N$11,H956=N$12,H956=N$13,H956=N$14),SottocategorieEntrate[[#Headers],[Other]],""))))))))))))</f>
        <v/>
      </c>
      <c r="J956" t="str">
        <f>IF(OR(Dati[[#This Row],[Categoria]]="Bollette",Dati[[#This Row],[Categoria]]="Conto &amp; Carte BNL",Dati[[#This Row],[Categoria]]="Prelievo",Dati[[#This Row],[Categoria]]="Affitto",Dati[[#This Row],[Categoria]]="BNL(Interessi Creditori)"),"Carta",IF(Dati[[#This Row],[Categoria]]&lt;&gt;0,"Cash",""))</f>
        <v/>
      </c>
      <c r="K956" s="59" t="str">
        <f>IF(OR(Data!$I956=SottocategorieUscite[[#Headers],[Fuori Casa]],Data!$I956=SottocategorieUscite[[#Headers],[Varie Uscite]],Data!$I956=SottocategorieUscite[[#Headers],[Personali]],Data!$I956=SottocategorieUscite[[#Headers],[Lavoro]]),"$ -","")</f>
        <v/>
      </c>
      <c r="L956" s="59" t="str">
        <f>IF(OR(Data!$I956=SottocategorieUscite[[#Headers],[Casa]],Data!$I956=SottocategorieUscite[[#Headers],[Utenze]],Data!$I956=SottocategorieUscite[[#Headers],[Business Uscite]],Data!$I956=SottocategorieUscite[[#Headers],[Banca]]),"$ -","")</f>
        <v/>
      </c>
      <c r="M956" s="59" t="str">
        <f>IF(OR($I956&lt;&gt;SottocategorieUscite[[#Headers],[Fuori Casa]],$I956&lt;&gt;SottocategorieUscite[[#Headers],[Varie Uscite]],$I956&lt;&gt;SottocategorieUscite[[#Headers],[Personali]],$I956&lt;&gt;SottocategorieUscite[[#Headers],[Lavoro]],$I956&lt;&gt;SottocategorieUscite[[#Headers],[Casa]],$I956&lt;&gt;SottocategorieUscite[[#Headers],[Utenze]],$I956&lt;&gt;SottocategorieUscite[[#Headers],[Business Uscite]],$I956&lt;&gt;SottocategorieUscite[[#Headers],[Banca]]),"","$ -")</f>
        <v/>
      </c>
      <c r="N956" s="59" t="str">
        <f>IF(OR(Data!$I956=SottocategorieEntrate[[#Headers],[Business Entrate]],Data!$I956=SottocategorieEntrate[[#Headers],[Varie Entrate]]),"$ -","")</f>
        <v/>
      </c>
      <c r="O956" s="59" t="str">
        <f>IF(OR(Data!$I956=SottocategorieEntrate[[#Headers],[Real Estate]],SottocategorieEntrate[[#Headers],[Other]]),"$ -","")</f>
        <v/>
      </c>
      <c r="P956" s="59" t="str">
        <f>IF(OR($I956&lt;&gt;SottocategorieEntrate[[#Headers],[Business Entrate]],$I956&lt;&gt;SottocategorieEntrate[[#Headers],[Varie Entrate]],$I956&lt;&gt;SottocategorieEntrate[[#Headers],[Real Estate]],$I956&lt;&gt;SottocategorieEntrate[[#Headers],[Other]]),"","$ -")</f>
        <v/>
      </c>
      <c r="Q956" s="59" t="str">
        <f>IF(Dati[[#This Row],[Categoria]]="Prelievo","€ -","")</f>
        <v/>
      </c>
      <c r="R956" s="244"/>
      <c r="S956" s="59" t="str">
        <f>IF(Dati[[#This Row],[Categoria]]="Savings",0,"")</f>
        <v/>
      </c>
      <c r="T956" s="59"/>
      <c r="U956" s="59"/>
      <c r="V956" s="59"/>
      <c r="W956" s="59"/>
      <c r="X956" s="59"/>
      <c r="Y956" s="59"/>
      <c r="Z956" s="59"/>
      <c r="AA956" s="59"/>
      <c r="AB956" s="59"/>
      <c r="AC956" s="59"/>
      <c r="AD956" s="59"/>
      <c r="AE956" s="59"/>
      <c r="AF956" s="59"/>
      <c r="AG956" s="59"/>
      <c r="AH956" s="59"/>
      <c r="AI956" s="59" t="str">
        <f>IF(SUM(Dati[[#This Row],[Inv. Business]:[Inv. Cryptocurrency]])=0," ",SUM(Dati[[#This Row],[Inv. Business]:[Inv. Cryptocurrency]]))</f>
        <v xml:space="preserve"> </v>
      </c>
      <c r="AJ956" s="59"/>
      <c r="AK956" s="59"/>
      <c r="AL956" s="59"/>
      <c r="AM956" s="59"/>
    </row>
    <row r="957" spans="2:39" x14ac:dyDescent="0.35">
      <c r="B957" s="237">
        <f>ROW(911:911)</f>
        <v>911</v>
      </c>
      <c r="C957" s="49">
        <f>C953+1</f>
        <v>45618</v>
      </c>
      <c r="D957" s="29">
        <f>DAY(Dati[[#This Row],[Data]])</f>
        <v>22</v>
      </c>
      <c r="E957" s="29" t="str">
        <f>IF(DAY(Data!$C$21:$C$1327)&gt;0,TEXT(Data!$C$21:$C$1327, "mmmm"),"")</f>
        <v>novembre</v>
      </c>
      <c r="F957" s="29" t="str">
        <f>IF(DAY(Data!$C$21:$C$1327)&gt;0,TEXT(Data!$C$21:$C$1327, "aaaa"),"")</f>
        <v>2024</v>
      </c>
      <c r="I957" t="str">
        <f>IF(OR(H957=$B$5,H957=$B$6,H957=$B$7,H957=$B$8,H957=$B$9,H957=$B$10,H957=$B$11,H957=$B$12,H957=$B$13,H957=$B$14),SottocategorieUscite[[#Headers],[Fuori Casa]],IF(OR(H957=$C$5,H957=$C$6,H957=$C$7,H957=$C$8,H957=$C$9,H957=$C$10,H957=$C$11,H957=$C$12,H957=$C$13,H957=$C$14),SottocategorieUscite[[#Headers],[Varie Uscite]],IF(OR(H957=$D$5,H957=$D$6,H957=$D$7,H957=$D$8,H957=$D$9,H957=$D$10,H957=$D$11,H957=$D$12,H957=$D$13,H957=$D$14),SottocategorieUscite[[#Headers],[Personali]],IF(OR(H957=$E$5,H957=$E$6,H957=$E$7,H957=$E$8,H957=$E$9,H957=$E$10,H957=$E$11,H957=$E$12,H957=$E$13,H957=$E$14),SottocategorieUscite[[#Headers],[Lavoro]],IF(OR(H957=$F$5,H957=$F$6,H957=$F$7,H957=$F$8,H957=$F$9,H957=$F$10,H957=$F$11,H957=$F$12,H957=$F$13,H957=$F$14),SottocategorieUscite[[#Headers],[Casa]],IF(OR(H957=$G$5,H957=$G$6,H957=$G$7,H957=$G$8,H957=$G$9,H957=$G$10,H957=$G$11,H957=$G$12,H957=$G$13,H957=$G$14),SottocategorieUscite[[#Headers],[Utenze]],IF(OR(H957=$H$5,H957=$H$6,H957=$H$7,H957=$H$8,H957=$H$9,H957=$H$10,H957=$H$11,H957=$H$12,H957=$H$13,H957=$H$14),SottocategorieUscite[[#Headers],[Business Uscite]],IF(OR(H957=$I$5,H957=$I$6,H957=$I$7,H957=$I$8,H957=$I$9,H957=$I$10,H957=$I$11,H957=$I$12,H957=$I$13,H957=$I$14),SottocategorieUscite[[#Headers],[Banca]],IF(OR(H957=K$5,H957=K$6,H957=K$7,H957=K$8,H957=K$9,H957=K$10,H957=K$11,H957=K$12,H957=K$13,H957=K$14),SottocategorieEntrate[[#Headers],[Business Entrate]],IF(OR(H957=L$5,H957=L$6,H957=L$7,H957=L$8,H957=L$9,H957=L$10,H957=L$11,H957=L$12,H957=L$13,H957=L$14),SottocategorieEntrate[[#Headers],[Varie Entrate]],IF(OR(H957=M$5,H957=M$6,H957=M$7,H957=M$8,H957=M$9,H957=M$10,H957=M$11,H957=M$12,H957=M$13,H957=M$14),SottocategorieEntrate[[#Headers],[Real Estate]],IF(OR(H957=N$5,H957=N$6,H957=N$7,H957=N$8,H957=N$9,H957=N$10,H957=N$11,H957=N$12,H957=N$13,H957=N$14),SottocategorieEntrate[[#Headers],[Other]],""))))))))))))</f>
        <v/>
      </c>
      <c r="J957" t="str">
        <f>IF(OR(Dati[[#This Row],[Categoria]]="Bollette",Dati[[#This Row],[Categoria]]="Conto &amp; Carte BNL",Dati[[#This Row],[Categoria]]="Prelievo",Dati[[#This Row],[Categoria]]="Affitto",Dati[[#This Row],[Categoria]]="BNL(Interessi Creditori)"),"Carta",IF(Dati[[#This Row],[Categoria]]&lt;&gt;0,"Cash",""))</f>
        <v/>
      </c>
      <c r="K957" s="59" t="str">
        <f>IF(OR(Data!$I957=SottocategorieUscite[[#Headers],[Fuori Casa]],Data!$I957=SottocategorieUscite[[#Headers],[Varie Uscite]],Data!$I957=SottocategorieUscite[[#Headers],[Personali]],Data!$I957=SottocategorieUscite[[#Headers],[Lavoro]]),"$ -","")</f>
        <v/>
      </c>
      <c r="L957" s="59" t="str">
        <f>IF(OR(Data!$I957=SottocategorieUscite[[#Headers],[Casa]],Data!$I957=SottocategorieUscite[[#Headers],[Utenze]],Data!$I957=SottocategorieUscite[[#Headers],[Business Uscite]],Data!$I957=SottocategorieUscite[[#Headers],[Banca]]),"$ -","")</f>
        <v/>
      </c>
      <c r="M957" s="59" t="str">
        <f>IF(OR($I957&lt;&gt;SottocategorieUscite[[#Headers],[Fuori Casa]],$I957&lt;&gt;SottocategorieUscite[[#Headers],[Varie Uscite]],$I957&lt;&gt;SottocategorieUscite[[#Headers],[Personali]],$I957&lt;&gt;SottocategorieUscite[[#Headers],[Lavoro]],$I957&lt;&gt;SottocategorieUscite[[#Headers],[Casa]],$I957&lt;&gt;SottocategorieUscite[[#Headers],[Utenze]],$I957&lt;&gt;SottocategorieUscite[[#Headers],[Business Uscite]],$I957&lt;&gt;SottocategorieUscite[[#Headers],[Banca]]),"","$ -")</f>
        <v/>
      </c>
      <c r="N957" s="59" t="str">
        <f>IF(OR(Data!$I957=SottocategorieEntrate[[#Headers],[Business Entrate]],Data!$I957=SottocategorieEntrate[[#Headers],[Varie Entrate]]),"$ -","")</f>
        <v/>
      </c>
      <c r="O957" s="59" t="str">
        <f>IF(OR(Data!$I957=SottocategorieEntrate[[#Headers],[Real Estate]],SottocategorieEntrate[[#Headers],[Other]]),"$ -","")</f>
        <v/>
      </c>
      <c r="P957" s="59" t="str">
        <f>IF(OR($I957&lt;&gt;SottocategorieEntrate[[#Headers],[Business Entrate]],$I957&lt;&gt;SottocategorieEntrate[[#Headers],[Varie Entrate]],$I957&lt;&gt;SottocategorieEntrate[[#Headers],[Real Estate]],$I957&lt;&gt;SottocategorieEntrate[[#Headers],[Other]]),"","$ -")</f>
        <v/>
      </c>
      <c r="Q957" s="59" t="str">
        <f>IF(Dati[[#This Row],[Categoria]]="Prelievo","€ -","")</f>
        <v/>
      </c>
      <c r="R957" s="244"/>
      <c r="S957" s="59" t="str">
        <f>IF(Dati[[#This Row],[Categoria]]="Savings",0,"")</f>
        <v/>
      </c>
      <c r="T957" s="59"/>
      <c r="U957" s="59"/>
      <c r="V957" s="59"/>
      <c r="W957" s="59"/>
      <c r="X957" s="59"/>
      <c r="Y957" s="59"/>
      <c r="Z957" s="59"/>
      <c r="AA957" s="59"/>
      <c r="AB957" s="59"/>
      <c r="AC957" s="59"/>
      <c r="AD957" s="59"/>
      <c r="AE957" s="59"/>
      <c r="AF957" s="59"/>
      <c r="AG957" s="59"/>
      <c r="AH957" s="59"/>
      <c r="AI957" s="59" t="str">
        <f>IF(SUM(Dati[[#This Row],[Inv. Business]:[Inv. Cryptocurrency]])=0," ",SUM(Dati[[#This Row],[Inv. Business]:[Inv. Cryptocurrency]]))</f>
        <v xml:space="preserve"> </v>
      </c>
      <c r="AJ957" s="59"/>
      <c r="AK957" s="59"/>
      <c r="AL957" s="59"/>
      <c r="AM957" s="59"/>
    </row>
    <row r="958" spans="2:39" x14ac:dyDescent="0.35">
      <c r="B958" s="237">
        <f>ROW(912:912)</f>
        <v>912</v>
      </c>
      <c r="C958" s="49">
        <f>C954+1</f>
        <v>45619</v>
      </c>
      <c r="D958" s="29">
        <f>DAY(Dati[[#This Row],[Data]])</f>
        <v>23</v>
      </c>
      <c r="E958" s="29" t="str">
        <f>IF(DAY(Data!$C$21:$C$1327)&gt;0,TEXT(Data!$C$21:$C$1327, "mmmm"),"")</f>
        <v>novembre</v>
      </c>
      <c r="F958" s="29" t="str">
        <f>IF(DAY(Data!$C$21:$C$1327)&gt;0,TEXT(Data!$C$21:$C$1327, "aaaa"),"")</f>
        <v>2024</v>
      </c>
      <c r="I958" t="str">
        <f>IF(OR(H958=$B$5,H958=$B$6,H958=$B$7,H958=$B$8,H958=$B$9,H958=$B$10,H958=$B$11,H958=$B$12,H958=$B$13,H958=$B$14),SottocategorieUscite[[#Headers],[Fuori Casa]],IF(OR(H958=$C$5,H958=$C$6,H958=$C$7,H958=$C$8,H958=$C$9,H958=$C$10,H958=$C$11,H958=$C$12,H958=$C$13,H958=$C$14),SottocategorieUscite[[#Headers],[Varie Uscite]],IF(OR(H958=$D$5,H958=$D$6,H958=$D$7,H958=$D$8,H958=$D$9,H958=$D$10,H958=$D$11,H958=$D$12,H958=$D$13,H958=$D$14),SottocategorieUscite[[#Headers],[Personali]],IF(OR(H958=$E$5,H958=$E$6,H958=$E$7,H958=$E$8,H958=$E$9,H958=$E$10,H958=$E$11,H958=$E$12,H958=$E$13,H958=$E$14),SottocategorieUscite[[#Headers],[Lavoro]],IF(OR(H958=$F$5,H958=$F$6,H958=$F$7,H958=$F$8,H958=$F$9,H958=$F$10,H958=$F$11,H958=$F$12,H958=$F$13,H958=$F$14),SottocategorieUscite[[#Headers],[Casa]],IF(OR(H958=$G$5,H958=$G$6,H958=$G$7,H958=$G$8,H958=$G$9,H958=$G$10,H958=$G$11,H958=$G$12,H958=$G$13,H958=$G$14),SottocategorieUscite[[#Headers],[Utenze]],IF(OR(H958=$H$5,H958=$H$6,H958=$H$7,H958=$H$8,H958=$H$9,H958=$H$10,H958=$H$11,H958=$H$12,H958=$H$13,H958=$H$14),SottocategorieUscite[[#Headers],[Business Uscite]],IF(OR(H958=$I$5,H958=$I$6,H958=$I$7,H958=$I$8,H958=$I$9,H958=$I$10,H958=$I$11,H958=$I$12,H958=$I$13,H958=$I$14),SottocategorieUscite[[#Headers],[Banca]],IF(OR(H958=K$5,H958=K$6,H958=K$7,H958=K$8,H958=K$9,H958=K$10,H958=K$11,H958=K$12,H958=K$13,H958=K$14),SottocategorieEntrate[[#Headers],[Business Entrate]],IF(OR(H958=L$5,H958=L$6,H958=L$7,H958=L$8,H958=L$9,H958=L$10,H958=L$11,H958=L$12,H958=L$13,H958=L$14),SottocategorieEntrate[[#Headers],[Varie Entrate]],IF(OR(H958=M$5,H958=M$6,H958=M$7,H958=M$8,H958=M$9,H958=M$10,H958=M$11,H958=M$12,H958=M$13,H958=M$14),SottocategorieEntrate[[#Headers],[Real Estate]],IF(OR(H958=N$5,H958=N$6,H958=N$7,H958=N$8,H958=N$9,H958=N$10,H958=N$11,H958=N$12,H958=N$13,H958=N$14),SottocategorieEntrate[[#Headers],[Other]],""))))))))))))</f>
        <v/>
      </c>
      <c r="J958" t="str">
        <f>IF(OR(Dati[[#This Row],[Categoria]]="Bollette",Dati[[#This Row],[Categoria]]="Conto &amp; Carte BNL",Dati[[#This Row],[Categoria]]="Prelievo",Dati[[#This Row],[Categoria]]="Affitto",Dati[[#This Row],[Categoria]]="BNL(Interessi Creditori)"),"Carta",IF(Dati[[#This Row],[Categoria]]&lt;&gt;0,"Cash",""))</f>
        <v/>
      </c>
      <c r="K958" s="59" t="str">
        <f>IF(OR(Data!$I958=SottocategorieUscite[[#Headers],[Fuori Casa]],Data!$I958=SottocategorieUscite[[#Headers],[Varie Uscite]],Data!$I958=SottocategorieUscite[[#Headers],[Personali]],Data!$I958=SottocategorieUscite[[#Headers],[Lavoro]]),"$ -","")</f>
        <v/>
      </c>
      <c r="L958" s="59" t="str">
        <f>IF(OR(Data!$I958=SottocategorieUscite[[#Headers],[Casa]],Data!$I958=SottocategorieUscite[[#Headers],[Utenze]],Data!$I958=SottocategorieUscite[[#Headers],[Business Uscite]],Data!$I958=SottocategorieUscite[[#Headers],[Banca]]),"$ -","")</f>
        <v/>
      </c>
      <c r="M958" s="59" t="str">
        <f>IF(OR($I958&lt;&gt;SottocategorieUscite[[#Headers],[Fuori Casa]],$I958&lt;&gt;SottocategorieUscite[[#Headers],[Varie Uscite]],$I958&lt;&gt;SottocategorieUscite[[#Headers],[Personali]],$I958&lt;&gt;SottocategorieUscite[[#Headers],[Lavoro]],$I958&lt;&gt;SottocategorieUscite[[#Headers],[Casa]],$I958&lt;&gt;SottocategorieUscite[[#Headers],[Utenze]],$I958&lt;&gt;SottocategorieUscite[[#Headers],[Business Uscite]],$I958&lt;&gt;SottocategorieUscite[[#Headers],[Banca]]),"","$ -")</f>
        <v/>
      </c>
      <c r="N958" s="59" t="str">
        <f>IF(OR(Data!$I958=SottocategorieEntrate[[#Headers],[Business Entrate]],Data!$I958=SottocategorieEntrate[[#Headers],[Varie Entrate]]),"$ -","")</f>
        <v/>
      </c>
      <c r="O958" s="59" t="str">
        <f>IF(OR(Data!$I958=SottocategorieEntrate[[#Headers],[Real Estate]],SottocategorieEntrate[[#Headers],[Other]]),"$ -","")</f>
        <v/>
      </c>
      <c r="P958" s="59" t="str">
        <f>IF(OR($I958&lt;&gt;SottocategorieEntrate[[#Headers],[Business Entrate]],$I958&lt;&gt;SottocategorieEntrate[[#Headers],[Varie Entrate]],$I958&lt;&gt;SottocategorieEntrate[[#Headers],[Real Estate]],$I958&lt;&gt;SottocategorieEntrate[[#Headers],[Other]]),"","$ -")</f>
        <v/>
      </c>
      <c r="Q958" s="59" t="str">
        <f>IF(Dati[[#This Row],[Categoria]]="Prelievo","€ -","")</f>
        <v/>
      </c>
      <c r="R958" s="244"/>
      <c r="S958" s="59" t="str">
        <f>IF(Dati[[#This Row],[Categoria]]="Savings",0,"")</f>
        <v/>
      </c>
      <c r="T958" s="59"/>
      <c r="U958" s="59"/>
      <c r="V958" s="59"/>
      <c r="W958" s="59"/>
      <c r="X958" s="59"/>
      <c r="Y958" s="59"/>
      <c r="Z958" s="59"/>
      <c r="AA958" s="59"/>
      <c r="AB958" s="59"/>
      <c r="AC958" s="59"/>
      <c r="AD958" s="59"/>
      <c r="AE958" s="59"/>
      <c r="AF958" s="59"/>
      <c r="AG958" s="59"/>
      <c r="AH958" s="59"/>
      <c r="AI958" s="59" t="str">
        <f>IF(SUM(Dati[[#This Row],[Inv. Business]:[Inv. Cryptocurrency]])=0," ",SUM(Dati[[#This Row],[Inv. Business]:[Inv. Cryptocurrency]]))</f>
        <v xml:space="preserve"> </v>
      </c>
      <c r="AJ958" s="59"/>
      <c r="AK958" s="59"/>
      <c r="AL958" s="59"/>
      <c r="AM958" s="59"/>
    </row>
    <row r="959" spans="2:39" x14ac:dyDescent="0.35">
      <c r="B959" s="237">
        <f>ROW(912:912)</f>
        <v>912</v>
      </c>
      <c r="C959" s="49">
        <f>C957+1</f>
        <v>45619</v>
      </c>
      <c r="D959" s="29">
        <f>DAY(Dati[[#This Row],[Data]])</f>
        <v>23</v>
      </c>
      <c r="E959" s="29" t="str">
        <f>IF(DAY(Data!$C$21:$C$1327)&gt;0,TEXT(Data!$C$21:$C$1327, "mmmm"),"")</f>
        <v>novembre</v>
      </c>
      <c r="F959" s="29" t="str">
        <f>IF(DAY(Data!$C$21:$C$1327)&gt;0,TEXT(Data!$C$21:$C$1327, "aaaa"),"")</f>
        <v>2024</v>
      </c>
      <c r="I959" t="str">
        <f>IF(OR(H959=$B$5,H959=$B$6,H959=$B$7,H959=$B$8,H959=$B$9,H959=$B$10,H959=$B$11,H959=$B$12,H959=$B$13,H959=$B$14),SottocategorieUscite[[#Headers],[Fuori Casa]],IF(OR(H959=$C$5,H959=$C$6,H959=$C$7,H959=$C$8,H959=$C$9,H959=$C$10,H959=$C$11,H959=$C$12,H959=$C$13,H959=$C$14),SottocategorieUscite[[#Headers],[Varie Uscite]],IF(OR(H959=$D$5,H959=$D$6,H959=$D$7,H959=$D$8,H959=$D$9,H959=$D$10,H959=$D$11,H959=$D$12,H959=$D$13,H959=$D$14),SottocategorieUscite[[#Headers],[Personali]],IF(OR(H959=$E$5,H959=$E$6,H959=$E$7,H959=$E$8,H959=$E$9,H959=$E$10,H959=$E$11,H959=$E$12,H959=$E$13,H959=$E$14),SottocategorieUscite[[#Headers],[Lavoro]],IF(OR(H959=$F$5,H959=$F$6,H959=$F$7,H959=$F$8,H959=$F$9,H959=$F$10,H959=$F$11,H959=$F$12,H959=$F$13,H959=$F$14),SottocategorieUscite[[#Headers],[Casa]],IF(OR(H959=$G$5,H959=$G$6,H959=$G$7,H959=$G$8,H959=$G$9,H959=$G$10,H959=$G$11,H959=$G$12,H959=$G$13,H959=$G$14),SottocategorieUscite[[#Headers],[Utenze]],IF(OR(H959=$H$5,H959=$H$6,H959=$H$7,H959=$H$8,H959=$H$9,H959=$H$10,H959=$H$11,H959=$H$12,H959=$H$13,H959=$H$14),SottocategorieUscite[[#Headers],[Business Uscite]],IF(OR(H959=$I$5,H959=$I$6,H959=$I$7,H959=$I$8,H959=$I$9,H959=$I$10,H959=$I$11,H959=$I$12,H959=$I$13,H959=$I$14),SottocategorieUscite[[#Headers],[Banca]],IF(OR(H959=K$5,H959=K$6,H959=K$7,H959=K$8,H959=K$9,H959=K$10,H959=K$11,H959=K$12,H959=K$13,H959=K$14),SottocategorieEntrate[[#Headers],[Business Entrate]],IF(OR(H959=L$5,H959=L$6,H959=L$7,H959=L$8,H959=L$9,H959=L$10,H959=L$11,H959=L$12,H959=L$13,H959=L$14),SottocategorieEntrate[[#Headers],[Varie Entrate]],IF(OR(H959=M$5,H959=M$6,H959=M$7,H959=M$8,H959=M$9,H959=M$10,H959=M$11,H959=M$12,H959=M$13,H959=M$14),SottocategorieEntrate[[#Headers],[Real Estate]],IF(OR(H959=N$5,H959=N$6,H959=N$7,H959=N$8,H959=N$9,H959=N$10,H959=N$11,H959=N$12,H959=N$13,H959=N$14),SottocategorieEntrate[[#Headers],[Other]],""))))))))))))</f>
        <v/>
      </c>
      <c r="J959" t="str">
        <f>IF(OR(Dati[[#This Row],[Categoria]]="Bollette",Dati[[#This Row],[Categoria]]="Conto &amp; Carte BNL",Dati[[#This Row],[Categoria]]="Prelievo",Dati[[#This Row],[Categoria]]="Affitto",Dati[[#This Row],[Categoria]]="BNL(Interessi Creditori)"),"Carta",IF(Dati[[#This Row],[Categoria]]&lt;&gt;0,"Cash",""))</f>
        <v/>
      </c>
      <c r="K959" s="59" t="str">
        <f>IF(OR(Data!$I959=SottocategorieUscite[[#Headers],[Fuori Casa]],Data!$I959=SottocategorieUscite[[#Headers],[Varie Uscite]],Data!$I959=SottocategorieUscite[[#Headers],[Personali]],Data!$I959=SottocategorieUscite[[#Headers],[Lavoro]]),"$ -","")</f>
        <v/>
      </c>
      <c r="L959" s="59" t="str">
        <f>IF(OR(Data!$I959=SottocategorieUscite[[#Headers],[Casa]],Data!$I959=SottocategorieUscite[[#Headers],[Utenze]],Data!$I959=SottocategorieUscite[[#Headers],[Business Uscite]],Data!$I959=SottocategorieUscite[[#Headers],[Banca]]),"$ -","")</f>
        <v/>
      </c>
      <c r="M959" s="59" t="str">
        <f>IF(OR($I959&lt;&gt;SottocategorieUscite[[#Headers],[Fuori Casa]],$I959&lt;&gt;SottocategorieUscite[[#Headers],[Varie Uscite]],$I959&lt;&gt;SottocategorieUscite[[#Headers],[Personali]],$I959&lt;&gt;SottocategorieUscite[[#Headers],[Lavoro]],$I959&lt;&gt;SottocategorieUscite[[#Headers],[Casa]],$I959&lt;&gt;SottocategorieUscite[[#Headers],[Utenze]],$I959&lt;&gt;SottocategorieUscite[[#Headers],[Business Uscite]],$I959&lt;&gt;SottocategorieUscite[[#Headers],[Banca]]),"","$ -")</f>
        <v/>
      </c>
      <c r="N959" s="59" t="str">
        <f>IF(OR(Data!$I959=SottocategorieEntrate[[#Headers],[Business Entrate]],Data!$I959=SottocategorieEntrate[[#Headers],[Varie Entrate]]),"$ -","")</f>
        <v/>
      </c>
      <c r="O959" s="59" t="str">
        <f>IF(OR(Data!$I959=SottocategorieEntrate[[#Headers],[Real Estate]],SottocategorieEntrate[[#Headers],[Other]]),"$ -","")</f>
        <v/>
      </c>
      <c r="P959" s="59" t="str">
        <f>IF(OR($I959&lt;&gt;SottocategorieEntrate[[#Headers],[Business Entrate]],$I959&lt;&gt;SottocategorieEntrate[[#Headers],[Varie Entrate]],$I959&lt;&gt;SottocategorieEntrate[[#Headers],[Real Estate]],$I959&lt;&gt;SottocategorieEntrate[[#Headers],[Other]]),"","$ -")</f>
        <v/>
      </c>
      <c r="Q959" s="59" t="str">
        <f>IF(Dati[[#This Row],[Categoria]]="Prelievo","€ -","")</f>
        <v/>
      </c>
      <c r="R959" s="244"/>
      <c r="S959" s="59" t="str">
        <f>IF(Dati[[#This Row],[Categoria]]="Savings",0,"")</f>
        <v/>
      </c>
      <c r="T959" s="59"/>
      <c r="U959" s="59"/>
      <c r="V959" s="59"/>
      <c r="W959" s="59"/>
      <c r="X959" s="59"/>
      <c r="Y959" s="59"/>
      <c r="Z959" s="59"/>
      <c r="AA959" s="59"/>
      <c r="AB959" s="59"/>
      <c r="AC959" s="59"/>
      <c r="AD959" s="59"/>
      <c r="AE959" s="59"/>
      <c r="AF959" s="59"/>
      <c r="AG959" s="59"/>
      <c r="AH959" s="59"/>
      <c r="AI959" s="59" t="str">
        <f>IF(SUM(Dati[[#This Row],[Inv. Business]:[Inv. Cryptocurrency]])=0," ",SUM(Dati[[#This Row],[Inv. Business]:[Inv. Cryptocurrency]]))</f>
        <v xml:space="preserve"> </v>
      </c>
      <c r="AJ959" s="59"/>
      <c r="AK959" s="59"/>
      <c r="AL959" s="59"/>
      <c r="AM959" s="59"/>
    </row>
    <row r="960" spans="2:39" x14ac:dyDescent="0.35">
      <c r="B960" s="237">
        <f>ROW(912:912)</f>
        <v>912</v>
      </c>
      <c r="C960" s="49">
        <f>C957+1</f>
        <v>45619</v>
      </c>
      <c r="D960" s="29">
        <f>DAY(Dati[[#This Row],[Data]])</f>
        <v>23</v>
      </c>
      <c r="E960" s="29" t="str">
        <f>IF(DAY(Data!$C$21:$C$1327)&gt;0,TEXT(Data!$C$21:$C$1327, "mmmm"),"")</f>
        <v>novembre</v>
      </c>
      <c r="F960" s="29" t="str">
        <f>IF(DAY(Data!$C$21:$C$1327)&gt;0,TEXT(Data!$C$21:$C$1327, "aaaa"),"")</f>
        <v>2024</v>
      </c>
      <c r="I960" t="str">
        <f>IF(OR(H960=$B$5,H960=$B$6,H960=$B$7,H960=$B$8,H960=$B$9,H960=$B$10,H960=$B$11,H960=$B$12,H960=$B$13,H960=$B$14),SottocategorieUscite[[#Headers],[Fuori Casa]],IF(OR(H960=$C$5,H960=$C$6,H960=$C$7,H960=$C$8,H960=$C$9,H960=$C$10,H960=$C$11,H960=$C$12,H960=$C$13,H960=$C$14),SottocategorieUscite[[#Headers],[Varie Uscite]],IF(OR(H960=$D$5,H960=$D$6,H960=$D$7,H960=$D$8,H960=$D$9,H960=$D$10,H960=$D$11,H960=$D$12,H960=$D$13,H960=$D$14),SottocategorieUscite[[#Headers],[Personali]],IF(OR(H960=$E$5,H960=$E$6,H960=$E$7,H960=$E$8,H960=$E$9,H960=$E$10,H960=$E$11,H960=$E$12,H960=$E$13,H960=$E$14),SottocategorieUscite[[#Headers],[Lavoro]],IF(OR(H960=$F$5,H960=$F$6,H960=$F$7,H960=$F$8,H960=$F$9,H960=$F$10,H960=$F$11,H960=$F$12,H960=$F$13,H960=$F$14),SottocategorieUscite[[#Headers],[Casa]],IF(OR(H960=$G$5,H960=$G$6,H960=$G$7,H960=$G$8,H960=$G$9,H960=$G$10,H960=$G$11,H960=$G$12,H960=$G$13,H960=$G$14),SottocategorieUscite[[#Headers],[Utenze]],IF(OR(H960=$H$5,H960=$H$6,H960=$H$7,H960=$H$8,H960=$H$9,H960=$H$10,H960=$H$11,H960=$H$12,H960=$H$13,H960=$H$14),SottocategorieUscite[[#Headers],[Business Uscite]],IF(OR(H960=$I$5,H960=$I$6,H960=$I$7,H960=$I$8,H960=$I$9,H960=$I$10,H960=$I$11,H960=$I$12,H960=$I$13,H960=$I$14),SottocategorieUscite[[#Headers],[Banca]],IF(OR(H960=K$5,H960=K$6,H960=K$7,H960=K$8,H960=K$9,H960=K$10,H960=K$11,H960=K$12,H960=K$13,H960=K$14),SottocategorieEntrate[[#Headers],[Business Entrate]],IF(OR(H960=L$5,H960=L$6,H960=L$7,H960=L$8,H960=L$9,H960=L$10,H960=L$11,H960=L$12,H960=L$13,H960=L$14),SottocategorieEntrate[[#Headers],[Varie Entrate]],IF(OR(H960=M$5,H960=M$6,H960=M$7,H960=M$8,H960=M$9,H960=M$10,H960=M$11,H960=M$12,H960=M$13,H960=M$14),SottocategorieEntrate[[#Headers],[Real Estate]],IF(OR(H960=N$5,H960=N$6,H960=N$7,H960=N$8,H960=N$9,H960=N$10,H960=N$11,H960=N$12,H960=N$13,H960=N$14),SottocategorieEntrate[[#Headers],[Other]],""))))))))))))</f>
        <v/>
      </c>
      <c r="J960" t="str">
        <f>IF(OR(Dati[[#This Row],[Categoria]]="Bollette",Dati[[#This Row],[Categoria]]="Conto &amp; Carte BNL",Dati[[#This Row],[Categoria]]="Prelievo",Dati[[#This Row],[Categoria]]="Affitto",Dati[[#This Row],[Categoria]]="BNL(Interessi Creditori)"),"Carta",IF(Dati[[#This Row],[Categoria]]&lt;&gt;0,"Cash",""))</f>
        <v/>
      </c>
      <c r="K960" s="59" t="str">
        <f>IF(OR(Data!$I960=SottocategorieUscite[[#Headers],[Fuori Casa]],Data!$I960=SottocategorieUscite[[#Headers],[Varie Uscite]],Data!$I960=SottocategorieUscite[[#Headers],[Personali]],Data!$I960=SottocategorieUscite[[#Headers],[Lavoro]]),"$ -","")</f>
        <v/>
      </c>
      <c r="L960" s="59" t="str">
        <f>IF(OR(Data!$I960=SottocategorieUscite[[#Headers],[Casa]],Data!$I960=SottocategorieUscite[[#Headers],[Utenze]],Data!$I960=SottocategorieUscite[[#Headers],[Business Uscite]],Data!$I960=SottocategorieUscite[[#Headers],[Banca]]),"$ -","")</f>
        <v/>
      </c>
      <c r="M960" s="59" t="str">
        <f>IF(OR($I960&lt;&gt;SottocategorieUscite[[#Headers],[Fuori Casa]],$I960&lt;&gt;SottocategorieUscite[[#Headers],[Varie Uscite]],$I960&lt;&gt;SottocategorieUscite[[#Headers],[Personali]],$I960&lt;&gt;SottocategorieUscite[[#Headers],[Lavoro]],$I960&lt;&gt;SottocategorieUscite[[#Headers],[Casa]],$I960&lt;&gt;SottocategorieUscite[[#Headers],[Utenze]],$I960&lt;&gt;SottocategorieUscite[[#Headers],[Business Uscite]],$I960&lt;&gt;SottocategorieUscite[[#Headers],[Banca]]),"","$ -")</f>
        <v/>
      </c>
      <c r="N960" s="59" t="str">
        <f>IF(OR(Data!$I960=SottocategorieEntrate[[#Headers],[Business Entrate]],Data!$I960=SottocategorieEntrate[[#Headers],[Varie Entrate]]),"$ -","")</f>
        <v/>
      </c>
      <c r="O960" s="59" t="str">
        <f>IF(OR(Data!$I960=SottocategorieEntrate[[#Headers],[Real Estate]],SottocategorieEntrate[[#Headers],[Other]]),"$ -","")</f>
        <v/>
      </c>
      <c r="P960" s="59" t="str">
        <f>IF(OR($I960&lt;&gt;SottocategorieEntrate[[#Headers],[Business Entrate]],$I960&lt;&gt;SottocategorieEntrate[[#Headers],[Varie Entrate]],$I960&lt;&gt;SottocategorieEntrate[[#Headers],[Real Estate]],$I960&lt;&gt;SottocategorieEntrate[[#Headers],[Other]]),"","$ -")</f>
        <v/>
      </c>
      <c r="Q960" s="59" t="str">
        <f>IF(Dati[[#This Row],[Categoria]]="Prelievo","€ -","")</f>
        <v/>
      </c>
      <c r="R960" s="244"/>
      <c r="S960" s="59" t="str">
        <f>IF(Dati[[#This Row],[Categoria]]="Savings",0,"")</f>
        <v/>
      </c>
      <c r="T960" s="59"/>
      <c r="U960" s="59"/>
      <c r="V960" s="59"/>
      <c r="W960" s="59"/>
      <c r="X960" s="59"/>
      <c r="Y960" s="59"/>
      <c r="Z960" s="59"/>
      <c r="AA960" s="59"/>
      <c r="AB960" s="59"/>
      <c r="AC960" s="59"/>
      <c r="AD960" s="59"/>
      <c r="AE960" s="59"/>
      <c r="AF960" s="59"/>
      <c r="AG960" s="59"/>
      <c r="AH960" s="59"/>
      <c r="AI960" s="59" t="str">
        <f>IF(SUM(Dati[[#This Row],[Inv. Business]:[Inv. Cryptocurrency]])=0," ",SUM(Dati[[#This Row],[Inv. Business]:[Inv. Cryptocurrency]]))</f>
        <v xml:space="preserve"> </v>
      </c>
      <c r="AJ960" s="59"/>
      <c r="AK960" s="59"/>
      <c r="AL960" s="59"/>
      <c r="AM960" s="59"/>
    </row>
    <row r="961" spans="2:39" x14ac:dyDescent="0.35">
      <c r="B961" s="237">
        <f>ROW(913:913)</f>
        <v>913</v>
      </c>
      <c r="C961" s="49">
        <f>C958+1</f>
        <v>45620</v>
      </c>
      <c r="D961" s="29">
        <f>DAY(Dati[[#This Row],[Data]])</f>
        <v>24</v>
      </c>
      <c r="E961" s="29" t="str">
        <f>IF(DAY(Data!$C$21:$C$1327)&gt;0,TEXT(Data!$C$21:$C$1327, "mmmm"),"")</f>
        <v>novembre</v>
      </c>
      <c r="F961" s="29" t="str">
        <f>IF(DAY(Data!$C$21:$C$1327)&gt;0,TEXT(Data!$C$21:$C$1327, "aaaa"),"")</f>
        <v>2024</v>
      </c>
      <c r="I961" t="str">
        <f>IF(OR(H961=$B$5,H961=$B$6,H961=$B$7,H961=$B$8,H961=$B$9,H961=$B$10,H961=$B$11,H961=$B$12,H961=$B$13,H961=$B$14),SottocategorieUscite[[#Headers],[Fuori Casa]],IF(OR(H961=$C$5,H961=$C$6,H961=$C$7,H961=$C$8,H961=$C$9,H961=$C$10,H961=$C$11,H961=$C$12,H961=$C$13,H961=$C$14),SottocategorieUscite[[#Headers],[Varie Uscite]],IF(OR(H961=$D$5,H961=$D$6,H961=$D$7,H961=$D$8,H961=$D$9,H961=$D$10,H961=$D$11,H961=$D$12,H961=$D$13,H961=$D$14),SottocategorieUscite[[#Headers],[Personali]],IF(OR(H961=$E$5,H961=$E$6,H961=$E$7,H961=$E$8,H961=$E$9,H961=$E$10,H961=$E$11,H961=$E$12,H961=$E$13,H961=$E$14),SottocategorieUscite[[#Headers],[Lavoro]],IF(OR(H961=$F$5,H961=$F$6,H961=$F$7,H961=$F$8,H961=$F$9,H961=$F$10,H961=$F$11,H961=$F$12,H961=$F$13,H961=$F$14),SottocategorieUscite[[#Headers],[Casa]],IF(OR(H961=$G$5,H961=$G$6,H961=$G$7,H961=$G$8,H961=$G$9,H961=$G$10,H961=$G$11,H961=$G$12,H961=$G$13,H961=$G$14),SottocategorieUscite[[#Headers],[Utenze]],IF(OR(H961=$H$5,H961=$H$6,H961=$H$7,H961=$H$8,H961=$H$9,H961=$H$10,H961=$H$11,H961=$H$12,H961=$H$13,H961=$H$14),SottocategorieUscite[[#Headers],[Business Uscite]],IF(OR(H961=$I$5,H961=$I$6,H961=$I$7,H961=$I$8,H961=$I$9,H961=$I$10,H961=$I$11,H961=$I$12,H961=$I$13,H961=$I$14),SottocategorieUscite[[#Headers],[Banca]],IF(OR(H961=K$5,H961=K$6,H961=K$7,H961=K$8,H961=K$9,H961=K$10,H961=K$11,H961=K$12,H961=K$13,H961=K$14),SottocategorieEntrate[[#Headers],[Business Entrate]],IF(OR(H961=L$5,H961=L$6,H961=L$7,H961=L$8,H961=L$9,H961=L$10,H961=L$11,H961=L$12,H961=L$13,H961=L$14),SottocategorieEntrate[[#Headers],[Varie Entrate]],IF(OR(H961=M$5,H961=M$6,H961=M$7,H961=M$8,H961=M$9,H961=M$10,H961=M$11,H961=M$12,H961=M$13,H961=M$14),SottocategorieEntrate[[#Headers],[Real Estate]],IF(OR(H961=N$5,H961=N$6,H961=N$7,H961=N$8,H961=N$9,H961=N$10,H961=N$11,H961=N$12,H961=N$13,H961=N$14),SottocategorieEntrate[[#Headers],[Other]],""))))))))))))</f>
        <v/>
      </c>
      <c r="J961" t="str">
        <f>IF(OR(Dati[[#This Row],[Categoria]]="Bollette",Dati[[#This Row],[Categoria]]="Conto &amp; Carte BNL",Dati[[#This Row],[Categoria]]="Prelievo",Dati[[#This Row],[Categoria]]="Affitto",Dati[[#This Row],[Categoria]]="BNL(Interessi Creditori)"),"Carta",IF(Dati[[#This Row],[Categoria]]&lt;&gt;0,"Cash",""))</f>
        <v/>
      </c>
      <c r="K961" s="59" t="str">
        <f>IF(OR(Data!$I961=SottocategorieUscite[[#Headers],[Fuori Casa]],Data!$I961=SottocategorieUscite[[#Headers],[Varie Uscite]],Data!$I961=SottocategorieUscite[[#Headers],[Personali]],Data!$I961=SottocategorieUscite[[#Headers],[Lavoro]]),"$ -","")</f>
        <v/>
      </c>
      <c r="L961" s="59" t="str">
        <f>IF(OR(Data!$I961=SottocategorieUscite[[#Headers],[Casa]],Data!$I961=SottocategorieUscite[[#Headers],[Utenze]],Data!$I961=SottocategorieUscite[[#Headers],[Business Uscite]],Data!$I961=SottocategorieUscite[[#Headers],[Banca]]),"$ -","")</f>
        <v/>
      </c>
      <c r="M961" s="59" t="str">
        <f>IF(OR($I961&lt;&gt;SottocategorieUscite[[#Headers],[Fuori Casa]],$I961&lt;&gt;SottocategorieUscite[[#Headers],[Varie Uscite]],$I961&lt;&gt;SottocategorieUscite[[#Headers],[Personali]],$I961&lt;&gt;SottocategorieUscite[[#Headers],[Lavoro]],$I961&lt;&gt;SottocategorieUscite[[#Headers],[Casa]],$I961&lt;&gt;SottocategorieUscite[[#Headers],[Utenze]],$I961&lt;&gt;SottocategorieUscite[[#Headers],[Business Uscite]],$I961&lt;&gt;SottocategorieUscite[[#Headers],[Banca]]),"","$ -")</f>
        <v/>
      </c>
      <c r="N961" s="59" t="str">
        <f>IF(OR(Data!$I961=SottocategorieEntrate[[#Headers],[Business Entrate]],Data!$I961=SottocategorieEntrate[[#Headers],[Varie Entrate]]),"$ -","")</f>
        <v/>
      </c>
      <c r="O961" s="59" t="str">
        <f>IF(OR(Data!$I961=SottocategorieEntrate[[#Headers],[Real Estate]],SottocategorieEntrate[[#Headers],[Other]]),"$ -","")</f>
        <v/>
      </c>
      <c r="P961" s="59" t="str">
        <f>IF(OR($I961&lt;&gt;SottocategorieEntrate[[#Headers],[Business Entrate]],$I961&lt;&gt;SottocategorieEntrate[[#Headers],[Varie Entrate]],$I961&lt;&gt;SottocategorieEntrate[[#Headers],[Real Estate]],$I961&lt;&gt;SottocategorieEntrate[[#Headers],[Other]]),"","$ -")</f>
        <v/>
      </c>
      <c r="Q961" s="59" t="str">
        <f>IF(Dati[[#This Row],[Categoria]]="Prelievo","€ -","")</f>
        <v/>
      </c>
      <c r="R961" s="244"/>
      <c r="S961" s="59" t="str">
        <f>IF(Dati[[#This Row],[Categoria]]="Savings",0,"")</f>
        <v/>
      </c>
      <c r="T961" s="59"/>
      <c r="U961" s="59"/>
      <c r="V961" s="59"/>
      <c r="W961" s="59"/>
      <c r="X961" s="59"/>
      <c r="Y961" s="59"/>
      <c r="Z961" s="59"/>
      <c r="AA961" s="59"/>
      <c r="AB961" s="59"/>
      <c r="AC961" s="59"/>
      <c r="AD961" s="59"/>
      <c r="AE961" s="59"/>
      <c r="AF961" s="59"/>
      <c r="AG961" s="59"/>
      <c r="AH961" s="59"/>
      <c r="AI961" s="59" t="str">
        <f>IF(SUM(Dati[[#This Row],[Inv. Business]:[Inv. Cryptocurrency]])=0," ",SUM(Dati[[#This Row],[Inv. Business]:[Inv. Cryptocurrency]]))</f>
        <v xml:space="preserve"> </v>
      </c>
      <c r="AJ961" s="59"/>
      <c r="AK961" s="59"/>
      <c r="AL961" s="59"/>
      <c r="AM961" s="59"/>
    </row>
    <row r="962" spans="2:39" x14ac:dyDescent="0.35">
      <c r="B962" s="237">
        <f>ROW(918:918)</f>
        <v>918</v>
      </c>
      <c r="C962" s="49">
        <f t="shared" si="48"/>
        <v>45621</v>
      </c>
      <c r="D962" s="29">
        <f>DAY(Dati[[#This Row],[Data]])</f>
        <v>25</v>
      </c>
      <c r="E962" s="29" t="str">
        <f>IF(DAY(Data!$C$21:$C$1327)&gt;0,TEXT(Data!$C$21:$C$1327, "mmmm"),"")</f>
        <v>novembre</v>
      </c>
      <c r="F962" s="29" t="str">
        <f>IF(DAY(Data!$C$21:$C$1327)&gt;0,TEXT(Data!$C$21:$C$1327, "aaaa"),"")</f>
        <v>2024</v>
      </c>
      <c r="I962" t="str">
        <f>IF(OR(H962=$B$5,H962=$B$6,H962=$B$7,H962=$B$8,H962=$B$9,H962=$B$10,H962=$B$11,H962=$B$12,H962=$B$13,H962=$B$14),SottocategorieUscite[[#Headers],[Fuori Casa]],IF(OR(H962=$C$5,H962=$C$6,H962=$C$7,H962=$C$8,H962=$C$9,H962=$C$10,H962=$C$11,H962=$C$12,H962=$C$13,H962=$C$14),SottocategorieUscite[[#Headers],[Varie Uscite]],IF(OR(H962=$D$5,H962=$D$6,H962=$D$7,H962=$D$8,H962=$D$9,H962=$D$10,H962=$D$11,H962=$D$12,H962=$D$13,H962=$D$14),SottocategorieUscite[[#Headers],[Personali]],IF(OR(H962=$E$5,H962=$E$6,H962=$E$7,H962=$E$8,H962=$E$9,H962=$E$10,H962=$E$11,H962=$E$12,H962=$E$13,H962=$E$14),SottocategorieUscite[[#Headers],[Lavoro]],IF(OR(H962=$F$5,H962=$F$6,H962=$F$7,H962=$F$8,H962=$F$9,H962=$F$10,H962=$F$11,H962=$F$12,H962=$F$13,H962=$F$14),SottocategorieUscite[[#Headers],[Casa]],IF(OR(H962=$G$5,H962=$G$6,H962=$G$7,H962=$G$8,H962=$G$9,H962=$G$10,H962=$G$11,H962=$G$12,H962=$G$13,H962=$G$14),SottocategorieUscite[[#Headers],[Utenze]],IF(OR(H962=$H$5,H962=$H$6,H962=$H$7,H962=$H$8,H962=$H$9,H962=$H$10,H962=$H$11,H962=$H$12,H962=$H$13,H962=$H$14),SottocategorieUscite[[#Headers],[Business Uscite]],IF(OR(H962=$I$5,H962=$I$6,H962=$I$7,H962=$I$8,H962=$I$9,H962=$I$10,H962=$I$11,H962=$I$12,H962=$I$13,H962=$I$14),SottocategorieUscite[[#Headers],[Banca]],IF(OR(H962=K$5,H962=K$6,H962=K$7,H962=K$8,H962=K$9,H962=K$10,H962=K$11,H962=K$12,H962=K$13,H962=K$14),SottocategorieEntrate[[#Headers],[Business Entrate]],IF(OR(H962=L$5,H962=L$6,H962=L$7,H962=L$8,H962=L$9,H962=L$10,H962=L$11,H962=L$12,H962=L$13,H962=L$14),SottocategorieEntrate[[#Headers],[Varie Entrate]],IF(OR(H962=M$5,H962=M$6,H962=M$7,H962=M$8,H962=M$9,H962=M$10,H962=M$11,H962=M$12,H962=M$13,H962=M$14),SottocategorieEntrate[[#Headers],[Real Estate]],IF(OR(H962=N$5,H962=N$6,H962=N$7,H962=N$8,H962=N$9,H962=N$10,H962=N$11,H962=N$12,H962=N$13,H962=N$14),SottocategorieEntrate[[#Headers],[Other]],""))))))))))))</f>
        <v/>
      </c>
      <c r="J962" t="str">
        <f>IF(OR(Dati[[#This Row],[Categoria]]="Bollette",Dati[[#This Row],[Categoria]]="Conto &amp; Carte BNL",Dati[[#This Row],[Categoria]]="Prelievo",Dati[[#This Row],[Categoria]]="Affitto",Dati[[#This Row],[Categoria]]="BNL(Interessi Creditori)"),"Carta",IF(Dati[[#This Row],[Categoria]]&lt;&gt;0,"Cash",""))</f>
        <v/>
      </c>
      <c r="K962" s="59" t="str">
        <f>IF(OR(Data!$I962=SottocategorieUscite[[#Headers],[Fuori Casa]],Data!$I962=SottocategorieUscite[[#Headers],[Varie Uscite]],Data!$I962=SottocategorieUscite[[#Headers],[Personali]],Data!$I962=SottocategorieUscite[[#Headers],[Lavoro]]),"$ -","")</f>
        <v/>
      </c>
      <c r="L962" s="59" t="str">
        <f>IF(OR(Data!$I962=SottocategorieUscite[[#Headers],[Casa]],Data!$I962=SottocategorieUscite[[#Headers],[Utenze]],Data!$I962=SottocategorieUscite[[#Headers],[Business Uscite]],Data!$I962=SottocategorieUscite[[#Headers],[Banca]]),"$ -","")</f>
        <v/>
      </c>
      <c r="M962" s="59" t="str">
        <f>IF(OR($I962&lt;&gt;SottocategorieUscite[[#Headers],[Fuori Casa]],$I962&lt;&gt;SottocategorieUscite[[#Headers],[Varie Uscite]],$I962&lt;&gt;SottocategorieUscite[[#Headers],[Personali]],$I962&lt;&gt;SottocategorieUscite[[#Headers],[Lavoro]],$I962&lt;&gt;SottocategorieUscite[[#Headers],[Casa]],$I962&lt;&gt;SottocategorieUscite[[#Headers],[Utenze]],$I962&lt;&gt;SottocategorieUscite[[#Headers],[Business Uscite]],$I962&lt;&gt;SottocategorieUscite[[#Headers],[Banca]]),"","$ -")</f>
        <v/>
      </c>
      <c r="N962" s="59" t="str">
        <f>IF(OR(Data!$I962=SottocategorieEntrate[[#Headers],[Business Entrate]],Data!$I962=SottocategorieEntrate[[#Headers],[Varie Entrate]]),"$ -","")</f>
        <v/>
      </c>
      <c r="O962" s="59" t="str">
        <f>IF(OR(Data!$I962=SottocategorieEntrate[[#Headers],[Real Estate]],SottocategorieEntrate[[#Headers],[Other]]),"$ -","")</f>
        <v/>
      </c>
      <c r="P962" s="59" t="str">
        <f>IF(OR($I962&lt;&gt;SottocategorieEntrate[[#Headers],[Business Entrate]],$I962&lt;&gt;SottocategorieEntrate[[#Headers],[Varie Entrate]],$I962&lt;&gt;SottocategorieEntrate[[#Headers],[Real Estate]],$I962&lt;&gt;SottocategorieEntrate[[#Headers],[Other]]),"","$ -")</f>
        <v/>
      </c>
      <c r="Q962" s="59" t="str">
        <f>IF(Dati[[#This Row],[Categoria]]="Prelievo","€ -","")</f>
        <v/>
      </c>
      <c r="R962" s="244"/>
      <c r="S962" s="59" t="str">
        <f>IF(Dati[[#This Row],[Categoria]]="Savings",0,"")</f>
        <v/>
      </c>
      <c r="T962" s="59"/>
      <c r="U962" s="59"/>
      <c r="V962" s="59"/>
      <c r="W962" s="59"/>
      <c r="X962" s="59"/>
      <c r="Y962" s="59"/>
      <c r="Z962" s="59"/>
      <c r="AA962" s="59"/>
      <c r="AB962" s="59"/>
      <c r="AC962" s="59"/>
      <c r="AD962" s="59"/>
      <c r="AE962" s="59"/>
      <c r="AF962" s="59"/>
      <c r="AG962" s="59"/>
      <c r="AH962" s="59"/>
      <c r="AI962" s="59" t="str">
        <f>IF(SUM(Dati[[#This Row],[Inv. Business]:[Inv. Cryptocurrency]])=0," ",SUM(Dati[[#This Row],[Inv. Business]:[Inv. Cryptocurrency]]))</f>
        <v xml:space="preserve"> </v>
      </c>
      <c r="AJ962" s="59"/>
      <c r="AK962" s="59"/>
      <c r="AL962" s="59"/>
      <c r="AM962" s="59"/>
    </row>
    <row r="963" spans="2:39" x14ac:dyDescent="0.35">
      <c r="B963" s="237">
        <f>ROW(922:922)</f>
        <v>922</v>
      </c>
      <c r="C963" s="49">
        <f t="shared" si="48"/>
        <v>45622</v>
      </c>
      <c r="D963" s="29">
        <f>DAY(Dati[[#This Row],[Data]])</f>
        <v>26</v>
      </c>
      <c r="E963" s="29" t="str">
        <f>IF(DAY(Data!$C$21:$C$1327)&gt;0,TEXT(Data!$C$21:$C$1327, "mmmm"),"")</f>
        <v>novembre</v>
      </c>
      <c r="F963" s="29" t="str">
        <f>IF(DAY(Data!$C$21:$C$1327)&gt;0,TEXT(Data!$C$21:$C$1327, "aaaa"),"")</f>
        <v>2024</v>
      </c>
      <c r="I963" t="str">
        <f>IF(OR(H963=$B$5,H963=$B$6,H963=$B$7,H963=$B$8,H963=$B$9,H963=$B$10,H963=$B$11,H963=$B$12,H963=$B$13,H963=$B$14),SottocategorieUscite[[#Headers],[Fuori Casa]],IF(OR(H963=$C$5,H963=$C$6,H963=$C$7,H963=$C$8,H963=$C$9,H963=$C$10,H963=$C$11,H963=$C$12,H963=$C$13,H963=$C$14),SottocategorieUscite[[#Headers],[Varie Uscite]],IF(OR(H963=$D$5,H963=$D$6,H963=$D$7,H963=$D$8,H963=$D$9,H963=$D$10,H963=$D$11,H963=$D$12,H963=$D$13,H963=$D$14),SottocategorieUscite[[#Headers],[Personali]],IF(OR(H963=$E$5,H963=$E$6,H963=$E$7,H963=$E$8,H963=$E$9,H963=$E$10,H963=$E$11,H963=$E$12,H963=$E$13,H963=$E$14),SottocategorieUscite[[#Headers],[Lavoro]],IF(OR(H963=$F$5,H963=$F$6,H963=$F$7,H963=$F$8,H963=$F$9,H963=$F$10,H963=$F$11,H963=$F$12,H963=$F$13,H963=$F$14),SottocategorieUscite[[#Headers],[Casa]],IF(OR(H963=$G$5,H963=$G$6,H963=$G$7,H963=$G$8,H963=$G$9,H963=$G$10,H963=$G$11,H963=$G$12,H963=$G$13,H963=$G$14),SottocategorieUscite[[#Headers],[Utenze]],IF(OR(H963=$H$5,H963=$H$6,H963=$H$7,H963=$H$8,H963=$H$9,H963=$H$10,H963=$H$11,H963=$H$12,H963=$H$13,H963=$H$14),SottocategorieUscite[[#Headers],[Business Uscite]],IF(OR(H963=$I$5,H963=$I$6,H963=$I$7,H963=$I$8,H963=$I$9,H963=$I$10,H963=$I$11,H963=$I$12,H963=$I$13,H963=$I$14),SottocategorieUscite[[#Headers],[Banca]],IF(OR(H963=K$5,H963=K$6,H963=K$7,H963=K$8,H963=K$9,H963=K$10,H963=K$11,H963=K$12,H963=K$13,H963=K$14),SottocategorieEntrate[[#Headers],[Business Entrate]],IF(OR(H963=L$5,H963=L$6,H963=L$7,H963=L$8,H963=L$9,H963=L$10,H963=L$11,H963=L$12,H963=L$13,H963=L$14),SottocategorieEntrate[[#Headers],[Varie Entrate]],IF(OR(H963=M$5,H963=M$6,H963=M$7,H963=M$8,H963=M$9,H963=M$10,H963=M$11,H963=M$12,H963=M$13,H963=M$14),SottocategorieEntrate[[#Headers],[Real Estate]],IF(OR(H963=N$5,H963=N$6,H963=N$7,H963=N$8,H963=N$9,H963=N$10,H963=N$11,H963=N$12,H963=N$13,H963=N$14),SottocategorieEntrate[[#Headers],[Other]],""))))))))))))</f>
        <v/>
      </c>
      <c r="J963" t="str">
        <f>IF(OR(Dati[[#This Row],[Categoria]]="Bollette",Dati[[#This Row],[Categoria]]="Conto &amp; Carte BNL",Dati[[#This Row],[Categoria]]="Prelievo",Dati[[#This Row],[Categoria]]="Affitto",Dati[[#This Row],[Categoria]]="BNL(Interessi Creditori)"),"Carta",IF(Dati[[#This Row],[Categoria]]&lt;&gt;0,"Cash",""))</f>
        <v/>
      </c>
      <c r="K963" s="59" t="str">
        <f>IF(OR(Data!$I963=SottocategorieUscite[[#Headers],[Fuori Casa]],Data!$I963=SottocategorieUscite[[#Headers],[Varie Uscite]],Data!$I963=SottocategorieUscite[[#Headers],[Personali]],Data!$I963=SottocategorieUscite[[#Headers],[Lavoro]]),"$ -","")</f>
        <v/>
      </c>
      <c r="L963" s="59" t="str">
        <f>IF(OR(Data!$I963=SottocategorieUscite[[#Headers],[Casa]],Data!$I963=SottocategorieUscite[[#Headers],[Utenze]],Data!$I963=SottocategorieUscite[[#Headers],[Business Uscite]],Data!$I963=SottocategorieUscite[[#Headers],[Banca]]),"$ -","")</f>
        <v/>
      </c>
      <c r="M963" s="59" t="str">
        <f>IF(OR($I963&lt;&gt;SottocategorieUscite[[#Headers],[Fuori Casa]],$I963&lt;&gt;SottocategorieUscite[[#Headers],[Varie Uscite]],$I963&lt;&gt;SottocategorieUscite[[#Headers],[Personali]],$I963&lt;&gt;SottocategorieUscite[[#Headers],[Lavoro]],$I963&lt;&gt;SottocategorieUscite[[#Headers],[Casa]],$I963&lt;&gt;SottocategorieUscite[[#Headers],[Utenze]],$I963&lt;&gt;SottocategorieUscite[[#Headers],[Business Uscite]],$I963&lt;&gt;SottocategorieUscite[[#Headers],[Banca]]),"","$ -")</f>
        <v/>
      </c>
      <c r="N963" s="59" t="str">
        <f>IF(OR(Data!$I963=SottocategorieEntrate[[#Headers],[Business Entrate]],Data!$I963=SottocategorieEntrate[[#Headers],[Varie Entrate]]),"$ -","")</f>
        <v/>
      </c>
      <c r="O963" s="59" t="str">
        <f>IF(OR(Data!$I963=SottocategorieEntrate[[#Headers],[Real Estate]],SottocategorieEntrate[[#Headers],[Other]]),"$ -","")</f>
        <v/>
      </c>
      <c r="P963" s="59" t="str">
        <f>IF(OR($I963&lt;&gt;SottocategorieEntrate[[#Headers],[Business Entrate]],$I963&lt;&gt;SottocategorieEntrate[[#Headers],[Varie Entrate]],$I963&lt;&gt;SottocategorieEntrate[[#Headers],[Real Estate]],$I963&lt;&gt;SottocategorieEntrate[[#Headers],[Other]]),"","$ -")</f>
        <v/>
      </c>
      <c r="Q963" s="59" t="str">
        <f>IF(Dati[[#This Row],[Categoria]]="Prelievo","€ -","")</f>
        <v/>
      </c>
      <c r="R963" s="244"/>
      <c r="S963" s="59" t="str">
        <f>IF(Dati[[#This Row],[Categoria]]="Savings",0,"")</f>
        <v/>
      </c>
      <c r="T963" s="59"/>
      <c r="U963" s="59"/>
      <c r="V963" s="59"/>
      <c r="W963" s="59"/>
      <c r="X963" s="59"/>
      <c r="Y963" s="59"/>
      <c r="Z963" s="59"/>
      <c r="AA963" s="59"/>
      <c r="AB963" s="59"/>
      <c r="AC963" s="59"/>
      <c r="AD963" s="59"/>
      <c r="AE963" s="59"/>
      <c r="AF963" s="59"/>
      <c r="AG963" s="59"/>
      <c r="AH963" s="59"/>
      <c r="AI963" s="59" t="str">
        <f>IF(SUM(Dati[[#This Row],[Inv. Business]:[Inv. Cryptocurrency]])=0," ",SUM(Dati[[#This Row],[Inv. Business]:[Inv. Cryptocurrency]]))</f>
        <v xml:space="preserve"> </v>
      </c>
      <c r="AJ963" s="59"/>
      <c r="AK963" s="59"/>
      <c r="AL963" s="59"/>
      <c r="AM963" s="59"/>
    </row>
    <row r="964" spans="2:39" x14ac:dyDescent="0.35">
      <c r="B964" s="237">
        <f>ROW(923:923)</f>
        <v>923</v>
      </c>
      <c r="C964" s="49">
        <f>C962+1</f>
        <v>45622</v>
      </c>
      <c r="D964" s="29">
        <f>DAY(Dati[[#This Row],[Data]])</f>
        <v>26</v>
      </c>
      <c r="E964" s="29" t="str">
        <f>IF(DAY(Data!$C$21:$C$1327)&gt;0,TEXT(Data!$C$21:$C$1327, "mmmm"),"")</f>
        <v>novembre</v>
      </c>
      <c r="F964" s="29" t="str">
        <f>IF(DAY(Data!$C$21:$C$1327)&gt;0,TEXT(Data!$C$21:$C$1327, "aaaa"),"")</f>
        <v>2024</v>
      </c>
      <c r="I964" t="str">
        <f>IF(OR(H964=$B$5,H964=$B$6,H964=$B$7,H964=$B$8,H964=$B$9,H964=$B$10,H964=$B$11,H964=$B$12,H964=$B$13,H964=$B$14),SottocategorieUscite[[#Headers],[Fuori Casa]],IF(OR(H964=$C$5,H964=$C$6,H964=$C$7,H964=$C$8,H964=$C$9,H964=$C$10,H964=$C$11,H964=$C$12,H964=$C$13,H964=$C$14),SottocategorieUscite[[#Headers],[Varie Uscite]],IF(OR(H964=$D$5,H964=$D$6,H964=$D$7,H964=$D$8,H964=$D$9,H964=$D$10,H964=$D$11,H964=$D$12,H964=$D$13,H964=$D$14),SottocategorieUscite[[#Headers],[Personali]],IF(OR(H964=$E$5,H964=$E$6,H964=$E$7,H964=$E$8,H964=$E$9,H964=$E$10,H964=$E$11,H964=$E$12,H964=$E$13,H964=$E$14),SottocategorieUscite[[#Headers],[Lavoro]],IF(OR(H964=$F$5,H964=$F$6,H964=$F$7,H964=$F$8,H964=$F$9,H964=$F$10,H964=$F$11,H964=$F$12,H964=$F$13,H964=$F$14),SottocategorieUscite[[#Headers],[Casa]],IF(OR(H964=$G$5,H964=$G$6,H964=$G$7,H964=$G$8,H964=$G$9,H964=$G$10,H964=$G$11,H964=$G$12,H964=$G$13,H964=$G$14),SottocategorieUscite[[#Headers],[Utenze]],IF(OR(H964=$H$5,H964=$H$6,H964=$H$7,H964=$H$8,H964=$H$9,H964=$H$10,H964=$H$11,H964=$H$12,H964=$H$13,H964=$H$14),SottocategorieUscite[[#Headers],[Business Uscite]],IF(OR(H964=$I$5,H964=$I$6,H964=$I$7,H964=$I$8,H964=$I$9,H964=$I$10,H964=$I$11,H964=$I$12,H964=$I$13,H964=$I$14),SottocategorieUscite[[#Headers],[Banca]],IF(OR(H964=K$5,H964=K$6,H964=K$7,H964=K$8,H964=K$9,H964=K$10,H964=K$11,H964=K$12,H964=K$13,H964=K$14),SottocategorieEntrate[[#Headers],[Business Entrate]],IF(OR(H964=L$5,H964=L$6,H964=L$7,H964=L$8,H964=L$9,H964=L$10,H964=L$11,H964=L$12,H964=L$13,H964=L$14),SottocategorieEntrate[[#Headers],[Varie Entrate]],IF(OR(H964=M$5,H964=M$6,H964=M$7,H964=M$8,H964=M$9,H964=M$10,H964=M$11,H964=M$12,H964=M$13,H964=M$14),SottocategorieEntrate[[#Headers],[Real Estate]],IF(OR(H964=N$5,H964=N$6,H964=N$7,H964=N$8,H964=N$9,H964=N$10,H964=N$11,H964=N$12,H964=N$13,H964=N$14),SottocategorieEntrate[[#Headers],[Other]],""))))))))))))</f>
        <v/>
      </c>
      <c r="J964" t="str">
        <f>IF(OR(Dati[[#This Row],[Categoria]]="Bollette",Dati[[#This Row],[Categoria]]="Conto &amp; Carte BNL",Dati[[#This Row],[Categoria]]="Prelievo",Dati[[#This Row],[Categoria]]="Affitto",Dati[[#This Row],[Categoria]]="BNL(Interessi Creditori)"),"Carta",IF(Dati[[#This Row],[Categoria]]&lt;&gt;0,"Cash",""))</f>
        <v/>
      </c>
      <c r="K964" s="59" t="str">
        <f>IF(OR(Data!$I964=SottocategorieUscite[[#Headers],[Fuori Casa]],Data!$I964=SottocategorieUscite[[#Headers],[Varie Uscite]],Data!$I964=SottocategorieUscite[[#Headers],[Personali]],Data!$I964=SottocategorieUscite[[#Headers],[Lavoro]]),"$ -","")</f>
        <v/>
      </c>
      <c r="L964" s="59" t="str">
        <f>IF(OR(Data!$I964=SottocategorieUscite[[#Headers],[Casa]],Data!$I964=SottocategorieUscite[[#Headers],[Utenze]],Data!$I964=SottocategorieUscite[[#Headers],[Business Uscite]],Data!$I964=SottocategorieUscite[[#Headers],[Banca]]),"$ -","")</f>
        <v/>
      </c>
      <c r="M964" s="59" t="str">
        <f>IF(OR($I964&lt;&gt;SottocategorieUscite[[#Headers],[Fuori Casa]],$I964&lt;&gt;SottocategorieUscite[[#Headers],[Varie Uscite]],$I964&lt;&gt;SottocategorieUscite[[#Headers],[Personali]],$I964&lt;&gt;SottocategorieUscite[[#Headers],[Lavoro]],$I964&lt;&gt;SottocategorieUscite[[#Headers],[Casa]],$I964&lt;&gt;SottocategorieUscite[[#Headers],[Utenze]],$I964&lt;&gt;SottocategorieUscite[[#Headers],[Business Uscite]],$I964&lt;&gt;SottocategorieUscite[[#Headers],[Banca]]),"","$ -")</f>
        <v/>
      </c>
      <c r="N964" s="59" t="str">
        <f>IF(OR(Data!$I964=SottocategorieEntrate[[#Headers],[Business Entrate]],Data!$I964=SottocategorieEntrate[[#Headers],[Varie Entrate]]),"$ -","")</f>
        <v/>
      </c>
      <c r="O964" s="59" t="str">
        <f>IF(OR(Data!$I964=SottocategorieEntrate[[#Headers],[Real Estate]],SottocategorieEntrate[[#Headers],[Other]]),"$ -","")</f>
        <v/>
      </c>
      <c r="P964" s="59" t="str">
        <f>IF(OR($I964&lt;&gt;SottocategorieEntrate[[#Headers],[Business Entrate]],$I964&lt;&gt;SottocategorieEntrate[[#Headers],[Varie Entrate]],$I964&lt;&gt;SottocategorieEntrate[[#Headers],[Real Estate]],$I964&lt;&gt;SottocategorieEntrate[[#Headers],[Other]]),"","$ -")</f>
        <v/>
      </c>
      <c r="Q964" s="59" t="str">
        <f>IF(Dati[[#This Row],[Categoria]]="Prelievo","€ -","")</f>
        <v/>
      </c>
      <c r="R964" s="244"/>
      <c r="S964" s="59" t="str">
        <f>IF(Dati[[#This Row],[Categoria]]="Savings",0,"")</f>
        <v/>
      </c>
      <c r="T964" s="59"/>
      <c r="U964" s="59"/>
      <c r="V964" s="59"/>
      <c r="W964" s="59"/>
      <c r="X964" s="59"/>
      <c r="Y964" s="59"/>
      <c r="Z964" s="59"/>
      <c r="AA964" s="59"/>
      <c r="AB964" s="59"/>
      <c r="AC964" s="59"/>
      <c r="AD964" s="59"/>
      <c r="AE964" s="59"/>
      <c r="AF964" s="59"/>
      <c r="AG964" s="59"/>
      <c r="AH964" s="59"/>
      <c r="AI964" s="59" t="str">
        <f>IF(SUM(Dati[[#This Row],[Inv. Business]:[Inv. Cryptocurrency]])=0," ",SUM(Dati[[#This Row],[Inv. Business]:[Inv. Cryptocurrency]]))</f>
        <v xml:space="preserve"> </v>
      </c>
      <c r="AJ964" s="59"/>
      <c r="AK964" s="59"/>
      <c r="AL964" s="59"/>
      <c r="AM964" s="59"/>
    </row>
    <row r="965" spans="2:39" x14ac:dyDescent="0.35">
      <c r="B965" s="237">
        <f>ROW(923:923)</f>
        <v>923</v>
      </c>
      <c r="C965" s="49">
        <f>C962+1</f>
        <v>45622</v>
      </c>
      <c r="D965" s="29">
        <f>DAY(Dati[[#This Row],[Data]])</f>
        <v>26</v>
      </c>
      <c r="E965" s="29" t="str">
        <f>IF(DAY(Data!$C$21:$C$1327)&gt;0,TEXT(Data!$C$21:$C$1327, "mmmm"),"")</f>
        <v>novembre</v>
      </c>
      <c r="F965" s="29" t="str">
        <f>IF(DAY(Data!$C$21:$C$1327)&gt;0,TEXT(Data!$C$21:$C$1327, "aaaa"),"")</f>
        <v>2024</v>
      </c>
      <c r="I965" t="str">
        <f>IF(OR(H965=$B$5,H965=$B$6,H965=$B$7,H965=$B$8,H965=$B$9,H965=$B$10,H965=$B$11,H965=$B$12,H965=$B$13,H965=$B$14),SottocategorieUscite[[#Headers],[Fuori Casa]],IF(OR(H965=$C$5,H965=$C$6,H965=$C$7,H965=$C$8,H965=$C$9,H965=$C$10,H965=$C$11,H965=$C$12,H965=$C$13,H965=$C$14),SottocategorieUscite[[#Headers],[Varie Uscite]],IF(OR(H965=$D$5,H965=$D$6,H965=$D$7,H965=$D$8,H965=$D$9,H965=$D$10,H965=$D$11,H965=$D$12,H965=$D$13,H965=$D$14),SottocategorieUscite[[#Headers],[Personali]],IF(OR(H965=$E$5,H965=$E$6,H965=$E$7,H965=$E$8,H965=$E$9,H965=$E$10,H965=$E$11,H965=$E$12,H965=$E$13,H965=$E$14),SottocategorieUscite[[#Headers],[Lavoro]],IF(OR(H965=$F$5,H965=$F$6,H965=$F$7,H965=$F$8,H965=$F$9,H965=$F$10,H965=$F$11,H965=$F$12,H965=$F$13,H965=$F$14),SottocategorieUscite[[#Headers],[Casa]],IF(OR(H965=$G$5,H965=$G$6,H965=$G$7,H965=$G$8,H965=$G$9,H965=$G$10,H965=$G$11,H965=$G$12,H965=$G$13,H965=$G$14),SottocategorieUscite[[#Headers],[Utenze]],IF(OR(H965=$H$5,H965=$H$6,H965=$H$7,H965=$H$8,H965=$H$9,H965=$H$10,H965=$H$11,H965=$H$12,H965=$H$13,H965=$H$14),SottocategorieUscite[[#Headers],[Business Uscite]],IF(OR(H965=$I$5,H965=$I$6,H965=$I$7,H965=$I$8,H965=$I$9,H965=$I$10,H965=$I$11,H965=$I$12,H965=$I$13,H965=$I$14),SottocategorieUscite[[#Headers],[Banca]],IF(OR(H965=K$5,H965=K$6,H965=K$7,H965=K$8,H965=K$9,H965=K$10,H965=K$11,H965=K$12,H965=K$13,H965=K$14),SottocategorieEntrate[[#Headers],[Business Entrate]],IF(OR(H965=L$5,H965=L$6,H965=L$7,H965=L$8,H965=L$9,H965=L$10,H965=L$11,H965=L$12,H965=L$13,H965=L$14),SottocategorieEntrate[[#Headers],[Varie Entrate]],IF(OR(H965=M$5,H965=M$6,H965=M$7,H965=M$8,H965=M$9,H965=M$10,H965=M$11,H965=M$12,H965=M$13,H965=M$14),SottocategorieEntrate[[#Headers],[Real Estate]],IF(OR(H965=N$5,H965=N$6,H965=N$7,H965=N$8,H965=N$9,H965=N$10,H965=N$11,H965=N$12,H965=N$13,H965=N$14),SottocategorieEntrate[[#Headers],[Other]],""))))))))))))</f>
        <v/>
      </c>
      <c r="J965" t="str">
        <f>IF(OR(Dati[[#This Row],[Categoria]]="Bollette",Dati[[#This Row],[Categoria]]="Conto &amp; Carte BNL",Dati[[#This Row],[Categoria]]="Prelievo",Dati[[#This Row],[Categoria]]="Affitto",Dati[[#This Row],[Categoria]]="BNL(Interessi Creditori)"),"Carta",IF(Dati[[#This Row],[Categoria]]&lt;&gt;0,"Cash",""))</f>
        <v/>
      </c>
      <c r="K965" s="59" t="str">
        <f>IF(OR(Data!$I965=SottocategorieUscite[[#Headers],[Fuori Casa]],Data!$I965=SottocategorieUscite[[#Headers],[Varie Uscite]],Data!$I965=SottocategorieUscite[[#Headers],[Personali]],Data!$I965=SottocategorieUscite[[#Headers],[Lavoro]]),"$ -","")</f>
        <v/>
      </c>
      <c r="L965" s="59" t="str">
        <f>IF(OR(Data!$I965=SottocategorieUscite[[#Headers],[Casa]],Data!$I965=SottocategorieUscite[[#Headers],[Utenze]],Data!$I965=SottocategorieUscite[[#Headers],[Business Uscite]],Data!$I965=SottocategorieUscite[[#Headers],[Banca]]),"$ -","")</f>
        <v/>
      </c>
      <c r="M965" s="59" t="str">
        <f>IF(OR($I965&lt;&gt;SottocategorieUscite[[#Headers],[Fuori Casa]],$I965&lt;&gt;SottocategorieUscite[[#Headers],[Varie Uscite]],$I965&lt;&gt;SottocategorieUscite[[#Headers],[Personali]],$I965&lt;&gt;SottocategorieUscite[[#Headers],[Lavoro]],$I965&lt;&gt;SottocategorieUscite[[#Headers],[Casa]],$I965&lt;&gt;SottocategorieUscite[[#Headers],[Utenze]],$I965&lt;&gt;SottocategorieUscite[[#Headers],[Business Uscite]],$I965&lt;&gt;SottocategorieUscite[[#Headers],[Banca]]),"","$ -")</f>
        <v/>
      </c>
      <c r="N965" s="59" t="str">
        <f>IF(OR(Data!$I965=SottocategorieEntrate[[#Headers],[Business Entrate]],Data!$I965=SottocategorieEntrate[[#Headers],[Varie Entrate]]),"$ -","")</f>
        <v/>
      </c>
      <c r="O965" s="59" t="str">
        <f>IF(OR(Data!$I965=SottocategorieEntrate[[#Headers],[Real Estate]],SottocategorieEntrate[[#Headers],[Other]]),"$ -","")</f>
        <v/>
      </c>
      <c r="P965" s="59" t="str">
        <f>IF(OR($I965&lt;&gt;SottocategorieEntrate[[#Headers],[Business Entrate]],$I965&lt;&gt;SottocategorieEntrate[[#Headers],[Varie Entrate]],$I965&lt;&gt;SottocategorieEntrate[[#Headers],[Real Estate]],$I965&lt;&gt;SottocategorieEntrate[[#Headers],[Other]]),"","$ -")</f>
        <v/>
      </c>
      <c r="Q965" s="59" t="str">
        <f>IF(Dati[[#This Row],[Categoria]]="Prelievo","€ -","")</f>
        <v/>
      </c>
      <c r="R965" s="244"/>
      <c r="S965" s="59" t="str">
        <f>IF(Dati[[#This Row],[Categoria]]="Savings",0,"")</f>
        <v/>
      </c>
      <c r="T965" s="59"/>
      <c r="U965" s="59"/>
      <c r="V965" s="59"/>
      <c r="W965" s="59"/>
      <c r="X965" s="59"/>
      <c r="Y965" s="59"/>
      <c r="Z965" s="59"/>
      <c r="AA965" s="59"/>
      <c r="AB965" s="59"/>
      <c r="AC965" s="59"/>
      <c r="AD965" s="59"/>
      <c r="AE965" s="59"/>
      <c r="AF965" s="59"/>
      <c r="AG965" s="59"/>
      <c r="AH965" s="59"/>
      <c r="AI965" s="59" t="str">
        <f>IF(SUM(Dati[[#This Row],[Inv. Business]:[Inv. Cryptocurrency]])=0," ",SUM(Dati[[#This Row],[Inv. Business]:[Inv. Cryptocurrency]]))</f>
        <v xml:space="preserve"> </v>
      </c>
      <c r="AJ965" s="59"/>
      <c r="AK965" s="59"/>
      <c r="AL965" s="59"/>
      <c r="AM965" s="59"/>
    </row>
    <row r="966" spans="2:39" x14ac:dyDescent="0.35">
      <c r="B966" s="237">
        <f>ROW(923:923)</f>
        <v>923</v>
      </c>
      <c r="C966" s="49">
        <f>C962+1</f>
        <v>45622</v>
      </c>
      <c r="D966" s="29">
        <f>DAY(Dati[[#This Row],[Data]])</f>
        <v>26</v>
      </c>
      <c r="E966" s="29" t="str">
        <f>IF(DAY(Data!$C$21:$C$1327)&gt;0,TEXT(Data!$C$21:$C$1327, "mmmm"),"")</f>
        <v>novembre</v>
      </c>
      <c r="F966" s="29" t="str">
        <f>IF(DAY(Data!$C$21:$C$1327)&gt;0,TEXT(Data!$C$21:$C$1327, "aaaa"),"")</f>
        <v>2024</v>
      </c>
      <c r="I966" t="str">
        <f>IF(OR(H966=$B$5,H966=$B$6,H966=$B$7,H966=$B$8,H966=$B$9,H966=$B$10,H966=$B$11,H966=$B$12,H966=$B$13,H966=$B$14),SottocategorieUscite[[#Headers],[Fuori Casa]],IF(OR(H966=$C$5,H966=$C$6,H966=$C$7,H966=$C$8,H966=$C$9,H966=$C$10,H966=$C$11,H966=$C$12,H966=$C$13,H966=$C$14),SottocategorieUscite[[#Headers],[Varie Uscite]],IF(OR(H966=$D$5,H966=$D$6,H966=$D$7,H966=$D$8,H966=$D$9,H966=$D$10,H966=$D$11,H966=$D$12,H966=$D$13,H966=$D$14),SottocategorieUscite[[#Headers],[Personali]],IF(OR(H966=$E$5,H966=$E$6,H966=$E$7,H966=$E$8,H966=$E$9,H966=$E$10,H966=$E$11,H966=$E$12,H966=$E$13,H966=$E$14),SottocategorieUscite[[#Headers],[Lavoro]],IF(OR(H966=$F$5,H966=$F$6,H966=$F$7,H966=$F$8,H966=$F$9,H966=$F$10,H966=$F$11,H966=$F$12,H966=$F$13,H966=$F$14),SottocategorieUscite[[#Headers],[Casa]],IF(OR(H966=$G$5,H966=$G$6,H966=$G$7,H966=$G$8,H966=$G$9,H966=$G$10,H966=$G$11,H966=$G$12,H966=$G$13,H966=$G$14),SottocategorieUscite[[#Headers],[Utenze]],IF(OR(H966=$H$5,H966=$H$6,H966=$H$7,H966=$H$8,H966=$H$9,H966=$H$10,H966=$H$11,H966=$H$12,H966=$H$13,H966=$H$14),SottocategorieUscite[[#Headers],[Business Uscite]],IF(OR(H966=$I$5,H966=$I$6,H966=$I$7,H966=$I$8,H966=$I$9,H966=$I$10,H966=$I$11,H966=$I$12,H966=$I$13,H966=$I$14),SottocategorieUscite[[#Headers],[Banca]],IF(OR(H966=K$5,H966=K$6,H966=K$7,H966=K$8,H966=K$9,H966=K$10,H966=K$11,H966=K$12,H966=K$13,H966=K$14),SottocategorieEntrate[[#Headers],[Business Entrate]],IF(OR(H966=L$5,H966=L$6,H966=L$7,H966=L$8,H966=L$9,H966=L$10,H966=L$11,H966=L$12,H966=L$13,H966=L$14),SottocategorieEntrate[[#Headers],[Varie Entrate]],IF(OR(H966=M$5,H966=M$6,H966=M$7,H966=M$8,H966=M$9,H966=M$10,H966=M$11,H966=M$12,H966=M$13,H966=M$14),SottocategorieEntrate[[#Headers],[Real Estate]],IF(OR(H966=N$5,H966=N$6,H966=N$7,H966=N$8,H966=N$9,H966=N$10,H966=N$11,H966=N$12,H966=N$13,H966=N$14),SottocategorieEntrate[[#Headers],[Other]],""))))))))))))</f>
        <v/>
      </c>
      <c r="J966" t="str">
        <f>IF(OR(Dati[[#This Row],[Categoria]]="Bollette",Dati[[#This Row],[Categoria]]="Conto &amp; Carte BNL",Dati[[#This Row],[Categoria]]="Prelievo",Dati[[#This Row],[Categoria]]="Affitto",Dati[[#This Row],[Categoria]]="BNL(Interessi Creditori)"),"Carta",IF(Dati[[#This Row],[Categoria]]&lt;&gt;0,"Cash",""))</f>
        <v/>
      </c>
      <c r="K966" s="59" t="str">
        <f>IF(OR(Data!$I966=SottocategorieUscite[[#Headers],[Fuori Casa]],Data!$I966=SottocategorieUscite[[#Headers],[Varie Uscite]],Data!$I966=SottocategorieUscite[[#Headers],[Personali]],Data!$I966=SottocategorieUscite[[#Headers],[Lavoro]]),"$ -","")</f>
        <v/>
      </c>
      <c r="L966" s="59" t="str">
        <f>IF(OR(Data!$I966=SottocategorieUscite[[#Headers],[Casa]],Data!$I966=SottocategorieUscite[[#Headers],[Utenze]],Data!$I966=SottocategorieUscite[[#Headers],[Business Uscite]],Data!$I966=SottocategorieUscite[[#Headers],[Banca]]),"$ -","")</f>
        <v/>
      </c>
      <c r="M966" s="59" t="str">
        <f>IF(OR($I966&lt;&gt;SottocategorieUscite[[#Headers],[Fuori Casa]],$I966&lt;&gt;SottocategorieUscite[[#Headers],[Varie Uscite]],$I966&lt;&gt;SottocategorieUscite[[#Headers],[Personali]],$I966&lt;&gt;SottocategorieUscite[[#Headers],[Lavoro]],$I966&lt;&gt;SottocategorieUscite[[#Headers],[Casa]],$I966&lt;&gt;SottocategorieUscite[[#Headers],[Utenze]],$I966&lt;&gt;SottocategorieUscite[[#Headers],[Business Uscite]],$I966&lt;&gt;SottocategorieUscite[[#Headers],[Banca]]),"","$ -")</f>
        <v/>
      </c>
      <c r="N966" s="59" t="str">
        <f>IF(OR(Data!$I966=SottocategorieEntrate[[#Headers],[Business Entrate]],Data!$I966=SottocategorieEntrate[[#Headers],[Varie Entrate]]),"$ -","")</f>
        <v/>
      </c>
      <c r="O966" s="59" t="str">
        <f>IF(OR(Data!$I966=SottocategorieEntrate[[#Headers],[Real Estate]],SottocategorieEntrate[[#Headers],[Other]]),"$ -","")</f>
        <v/>
      </c>
      <c r="P966" s="59" t="str">
        <f>IF(OR($I966&lt;&gt;SottocategorieEntrate[[#Headers],[Business Entrate]],$I966&lt;&gt;SottocategorieEntrate[[#Headers],[Varie Entrate]],$I966&lt;&gt;SottocategorieEntrate[[#Headers],[Real Estate]],$I966&lt;&gt;SottocategorieEntrate[[#Headers],[Other]]),"","$ -")</f>
        <v/>
      </c>
      <c r="Q966" s="59" t="str">
        <f>IF(Dati[[#This Row],[Categoria]]="Prelievo","€ -","")</f>
        <v/>
      </c>
      <c r="R966" s="244"/>
      <c r="S966" s="59" t="str">
        <f>IF(Dati[[#This Row],[Categoria]]="Savings",0,"")</f>
        <v/>
      </c>
      <c r="T966" s="59"/>
      <c r="U966" s="59"/>
      <c r="V966" s="59"/>
      <c r="W966" s="59"/>
      <c r="X966" s="59"/>
      <c r="Y966" s="59"/>
      <c r="Z966" s="59"/>
      <c r="AA966" s="59"/>
      <c r="AB966" s="59"/>
      <c r="AC966" s="59"/>
      <c r="AD966" s="59"/>
      <c r="AE966" s="59"/>
      <c r="AF966" s="59"/>
      <c r="AG966" s="59"/>
      <c r="AH966" s="59"/>
      <c r="AI966" s="59" t="str">
        <f>IF(SUM(Dati[[#This Row],[Inv. Business]:[Inv. Cryptocurrency]])=0," ",SUM(Dati[[#This Row],[Inv. Business]:[Inv. Cryptocurrency]]))</f>
        <v xml:space="preserve"> </v>
      </c>
      <c r="AJ966" s="59"/>
      <c r="AK966" s="59"/>
      <c r="AL966" s="59"/>
      <c r="AM966" s="59"/>
    </row>
    <row r="967" spans="2:39" x14ac:dyDescent="0.35">
      <c r="B967" s="237">
        <f>ROW(923:923)</f>
        <v>923</v>
      </c>
      <c r="C967" s="49">
        <f>C962+1</f>
        <v>45622</v>
      </c>
      <c r="D967" s="29">
        <f>DAY(Dati[[#This Row],[Data]])</f>
        <v>26</v>
      </c>
      <c r="E967" s="29" t="str">
        <f>IF(DAY(Data!$C$21:$C$1327)&gt;0,TEXT(Data!$C$21:$C$1327, "mmmm"),"")</f>
        <v>novembre</v>
      </c>
      <c r="F967" s="29" t="str">
        <f>IF(DAY(Data!$C$21:$C$1327)&gt;0,TEXT(Data!$C$21:$C$1327, "aaaa"),"")</f>
        <v>2024</v>
      </c>
      <c r="I967" t="str">
        <f>IF(OR(H967=$B$5,H967=$B$6,H967=$B$7,H967=$B$8,H967=$B$9,H967=$B$10,H967=$B$11,H967=$B$12,H967=$B$13,H967=$B$14),SottocategorieUscite[[#Headers],[Fuori Casa]],IF(OR(H967=$C$5,H967=$C$6,H967=$C$7,H967=$C$8,H967=$C$9,H967=$C$10,H967=$C$11,H967=$C$12,H967=$C$13,H967=$C$14),SottocategorieUscite[[#Headers],[Varie Uscite]],IF(OR(H967=$D$5,H967=$D$6,H967=$D$7,H967=$D$8,H967=$D$9,H967=$D$10,H967=$D$11,H967=$D$12,H967=$D$13,H967=$D$14),SottocategorieUscite[[#Headers],[Personali]],IF(OR(H967=$E$5,H967=$E$6,H967=$E$7,H967=$E$8,H967=$E$9,H967=$E$10,H967=$E$11,H967=$E$12,H967=$E$13,H967=$E$14),SottocategorieUscite[[#Headers],[Lavoro]],IF(OR(H967=$F$5,H967=$F$6,H967=$F$7,H967=$F$8,H967=$F$9,H967=$F$10,H967=$F$11,H967=$F$12,H967=$F$13,H967=$F$14),SottocategorieUscite[[#Headers],[Casa]],IF(OR(H967=$G$5,H967=$G$6,H967=$G$7,H967=$G$8,H967=$G$9,H967=$G$10,H967=$G$11,H967=$G$12,H967=$G$13,H967=$G$14),SottocategorieUscite[[#Headers],[Utenze]],IF(OR(H967=$H$5,H967=$H$6,H967=$H$7,H967=$H$8,H967=$H$9,H967=$H$10,H967=$H$11,H967=$H$12,H967=$H$13,H967=$H$14),SottocategorieUscite[[#Headers],[Business Uscite]],IF(OR(H967=$I$5,H967=$I$6,H967=$I$7,H967=$I$8,H967=$I$9,H967=$I$10,H967=$I$11,H967=$I$12,H967=$I$13,H967=$I$14),SottocategorieUscite[[#Headers],[Banca]],IF(OR(H967=K$5,H967=K$6,H967=K$7,H967=K$8,H967=K$9,H967=K$10,H967=K$11,H967=K$12,H967=K$13,H967=K$14),SottocategorieEntrate[[#Headers],[Business Entrate]],IF(OR(H967=L$5,H967=L$6,H967=L$7,H967=L$8,H967=L$9,H967=L$10,H967=L$11,H967=L$12,H967=L$13,H967=L$14),SottocategorieEntrate[[#Headers],[Varie Entrate]],IF(OR(H967=M$5,H967=M$6,H967=M$7,H967=M$8,H967=M$9,H967=M$10,H967=M$11,H967=M$12,H967=M$13,H967=M$14),SottocategorieEntrate[[#Headers],[Real Estate]],IF(OR(H967=N$5,H967=N$6,H967=N$7,H967=N$8,H967=N$9,H967=N$10,H967=N$11,H967=N$12,H967=N$13,H967=N$14),SottocategorieEntrate[[#Headers],[Other]],""))))))))))))</f>
        <v/>
      </c>
      <c r="J967" t="str">
        <f>IF(OR(Dati[[#This Row],[Categoria]]="Bollette",Dati[[#This Row],[Categoria]]="Conto &amp; Carte BNL",Dati[[#This Row],[Categoria]]="Prelievo",Dati[[#This Row],[Categoria]]="Affitto",Dati[[#This Row],[Categoria]]="BNL(Interessi Creditori)"),"Carta",IF(Dati[[#This Row],[Categoria]]&lt;&gt;0,"Cash",""))</f>
        <v/>
      </c>
      <c r="K967" s="59" t="str">
        <f>IF(OR(Data!$I967=SottocategorieUscite[[#Headers],[Fuori Casa]],Data!$I967=SottocategorieUscite[[#Headers],[Varie Uscite]],Data!$I967=SottocategorieUscite[[#Headers],[Personali]],Data!$I967=SottocategorieUscite[[#Headers],[Lavoro]]),"$ -","")</f>
        <v/>
      </c>
      <c r="L967" s="59" t="str">
        <f>IF(OR(Data!$I967=SottocategorieUscite[[#Headers],[Casa]],Data!$I967=SottocategorieUscite[[#Headers],[Utenze]],Data!$I967=SottocategorieUscite[[#Headers],[Business Uscite]],Data!$I967=SottocategorieUscite[[#Headers],[Banca]]),"$ -","")</f>
        <v/>
      </c>
      <c r="M967" s="59" t="str">
        <f>IF(OR($I967&lt;&gt;SottocategorieUscite[[#Headers],[Fuori Casa]],$I967&lt;&gt;SottocategorieUscite[[#Headers],[Varie Uscite]],$I967&lt;&gt;SottocategorieUscite[[#Headers],[Personali]],$I967&lt;&gt;SottocategorieUscite[[#Headers],[Lavoro]],$I967&lt;&gt;SottocategorieUscite[[#Headers],[Casa]],$I967&lt;&gt;SottocategorieUscite[[#Headers],[Utenze]],$I967&lt;&gt;SottocategorieUscite[[#Headers],[Business Uscite]],$I967&lt;&gt;SottocategorieUscite[[#Headers],[Banca]]),"","$ -")</f>
        <v/>
      </c>
      <c r="N967" s="59" t="str">
        <f>IF(OR(Data!$I967=SottocategorieEntrate[[#Headers],[Business Entrate]],Data!$I967=SottocategorieEntrate[[#Headers],[Varie Entrate]]),"$ -","")</f>
        <v/>
      </c>
      <c r="O967" s="59" t="str">
        <f>IF(OR(Data!$I967=SottocategorieEntrate[[#Headers],[Real Estate]],SottocategorieEntrate[[#Headers],[Other]]),"$ -","")</f>
        <v/>
      </c>
      <c r="P967" s="59" t="str">
        <f>IF(OR($I967&lt;&gt;SottocategorieEntrate[[#Headers],[Business Entrate]],$I967&lt;&gt;SottocategorieEntrate[[#Headers],[Varie Entrate]],$I967&lt;&gt;SottocategorieEntrate[[#Headers],[Real Estate]],$I967&lt;&gt;SottocategorieEntrate[[#Headers],[Other]]),"","$ -")</f>
        <v/>
      </c>
      <c r="Q967" s="59" t="str">
        <f>IF(Dati[[#This Row],[Categoria]]="Prelievo","€ -","")</f>
        <v/>
      </c>
      <c r="R967" s="244"/>
      <c r="S967" s="59" t="str">
        <f>IF(Dati[[#This Row],[Categoria]]="Savings",0,"")</f>
        <v/>
      </c>
      <c r="T967" s="59"/>
      <c r="U967" s="59"/>
      <c r="V967" s="59"/>
      <c r="W967" s="59"/>
      <c r="X967" s="59"/>
      <c r="Y967" s="59"/>
      <c r="Z967" s="59"/>
      <c r="AA967" s="59"/>
      <c r="AB967" s="59"/>
      <c r="AC967" s="59"/>
      <c r="AD967" s="59"/>
      <c r="AE967" s="59"/>
      <c r="AF967" s="59"/>
      <c r="AG967" s="59"/>
      <c r="AH967" s="59"/>
      <c r="AI967" s="59" t="str">
        <f>IF(SUM(Dati[[#This Row],[Inv. Business]:[Inv. Cryptocurrency]])=0," ",SUM(Dati[[#This Row],[Inv. Business]:[Inv. Cryptocurrency]]))</f>
        <v xml:space="preserve"> </v>
      </c>
      <c r="AJ967" s="59"/>
      <c r="AK967" s="59"/>
      <c r="AL967" s="59"/>
      <c r="AM967" s="59"/>
    </row>
    <row r="968" spans="2:39" x14ac:dyDescent="0.35">
      <c r="B968" s="237">
        <f>ROW(923:923)</f>
        <v>923</v>
      </c>
      <c r="C968" s="49">
        <f>C962+1</f>
        <v>45622</v>
      </c>
      <c r="D968" s="29">
        <f>DAY(Dati[[#This Row],[Data]])</f>
        <v>26</v>
      </c>
      <c r="E968" s="29" t="str">
        <f>IF(DAY(Data!$C$21:$C$1327)&gt;0,TEXT(Data!$C$21:$C$1327, "mmmm"),"")</f>
        <v>novembre</v>
      </c>
      <c r="F968" s="29" t="str">
        <f>IF(DAY(Data!$C$21:$C$1327)&gt;0,TEXT(Data!$C$21:$C$1327, "aaaa"),"")</f>
        <v>2024</v>
      </c>
      <c r="I968" t="str">
        <f>IF(OR(H968=$B$5,H968=$B$6,H968=$B$7,H968=$B$8,H968=$B$9,H968=$B$10,H968=$B$11,H968=$B$12,H968=$B$13,H968=$B$14),SottocategorieUscite[[#Headers],[Fuori Casa]],IF(OR(H968=$C$5,H968=$C$6,H968=$C$7,H968=$C$8,H968=$C$9,H968=$C$10,H968=$C$11,H968=$C$12,H968=$C$13,H968=$C$14),SottocategorieUscite[[#Headers],[Varie Uscite]],IF(OR(H968=$D$5,H968=$D$6,H968=$D$7,H968=$D$8,H968=$D$9,H968=$D$10,H968=$D$11,H968=$D$12,H968=$D$13,H968=$D$14),SottocategorieUscite[[#Headers],[Personali]],IF(OR(H968=$E$5,H968=$E$6,H968=$E$7,H968=$E$8,H968=$E$9,H968=$E$10,H968=$E$11,H968=$E$12,H968=$E$13,H968=$E$14),SottocategorieUscite[[#Headers],[Lavoro]],IF(OR(H968=$F$5,H968=$F$6,H968=$F$7,H968=$F$8,H968=$F$9,H968=$F$10,H968=$F$11,H968=$F$12,H968=$F$13,H968=$F$14),SottocategorieUscite[[#Headers],[Casa]],IF(OR(H968=$G$5,H968=$G$6,H968=$G$7,H968=$G$8,H968=$G$9,H968=$G$10,H968=$G$11,H968=$G$12,H968=$G$13,H968=$G$14),SottocategorieUscite[[#Headers],[Utenze]],IF(OR(H968=$H$5,H968=$H$6,H968=$H$7,H968=$H$8,H968=$H$9,H968=$H$10,H968=$H$11,H968=$H$12,H968=$H$13,H968=$H$14),SottocategorieUscite[[#Headers],[Business Uscite]],IF(OR(H968=$I$5,H968=$I$6,H968=$I$7,H968=$I$8,H968=$I$9,H968=$I$10,H968=$I$11,H968=$I$12,H968=$I$13,H968=$I$14),SottocategorieUscite[[#Headers],[Banca]],IF(OR(H968=K$5,H968=K$6,H968=K$7,H968=K$8,H968=K$9,H968=K$10,H968=K$11,H968=K$12,H968=K$13,H968=K$14),SottocategorieEntrate[[#Headers],[Business Entrate]],IF(OR(H968=L$5,H968=L$6,H968=L$7,H968=L$8,H968=L$9,H968=L$10,H968=L$11,H968=L$12,H968=L$13,H968=L$14),SottocategorieEntrate[[#Headers],[Varie Entrate]],IF(OR(H968=M$5,H968=M$6,H968=M$7,H968=M$8,H968=M$9,H968=M$10,H968=M$11,H968=M$12,H968=M$13,H968=M$14),SottocategorieEntrate[[#Headers],[Real Estate]],IF(OR(H968=N$5,H968=N$6,H968=N$7,H968=N$8,H968=N$9,H968=N$10,H968=N$11,H968=N$12,H968=N$13,H968=N$14),SottocategorieEntrate[[#Headers],[Other]],""))))))))))))</f>
        <v/>
      </c>
      <c r="J968" t="str">
        <f>IF(OR(Dati[[#This Row],[Categoria]]="Bollette",Dati[[#This Row],[Categoria]]="Conto &amp; Carte BNL",Dati[[#This Row],[Categoria]]="Prelievo",Dati[[#This Row],[Categoria]]="Affitto",Dati[[#This Row],[Categoria]]="BNL(Interessi Creditori)"),"Carta",IF(Dati[[#This Row],[Categoria]]&lt;&gt;0,"Cash",""))</f>
        <v/>
      </c>
      <c r="K968" s="59" t="str">
        <f>IF(OR(Data!$I968=SottocategorieUscite[[#Headers],[Fuori Casa]],Data!$I968=SottocategorieUscite[[#Headers],[Varie Uscite]],Data!$I968=SottocategorieUscite[[#Headers],[Personali]],Data!$I968=SottocategorieUscite[[#Headers],[Lavoro]]),"$ -","")</f>
        <v/>
      </c>
      <c r="L968" s="59" t="str">
        <f>IF(OR(Data!$I968=SottocategorieUscite[[#Headers],[Casa]],Data!$I968=SottocategorieUscite[[#Headers],[Utenze]],Data!$I968=SottocategorieUscite[[#Headers],[Business Uscite]],Data!$I968=SottocategorieUscite[[#Headers],[Banca]]),"$ -","")</f>
        <v/>
      </c>
      <c r="M968" s="59" t="str">
        <f>IF(OR($I968&lt;&gt;SottocategorieUscite[[#Headers],[Fuori Casa]],$I968&lt;&gt;SottocategorieUscite[[#Headers],[Varie Uscite]],$I968&lt;&gt;SottocategorieUscite[[#Headers],[Personali]],$I968&lt;&gt;SottocategorieUscite[[#Headers],[Lavoro]],$I968&lt;&gt;SottocategorieUscite[[#Headers],[Casa]],$I968&lt;&gt;SottocategorieUscite[[#Headers],[Utenze]],$I968&lt;&gt;SottocategorieUscite[[#Headers],[Business Uscite]],$I968&lt;&gt;SottocategorieUscite[[#Headers],[Banca]]),"","$ -")</f>
        <v/>
      </c>
      <c r="N968" s="59" t="str">
        <f>IF(OR(Data!$I968=SottocategorieEntrate[[#Headers],[Business Entrate]],Data!$I968=SottocategorieEntrate[[#Headers],[Varie Entrate]]),"$ -","")</f>
        <v/>
      </c>
      <c r="O968" s="59" t="str">
        <f>IF(OR(Data!$I968=SottocategorieEntrate[[#Headers],[Real Estate]],SottocategorieEntrate[[#Headers],[Other]]),"$ -","")</f>
        <v/>
      </c>
      <c r="P968" s="59" t="str">
        <f>IF(OR($I968&lt;&gt;SottocategorieEntrate[[#Headers],[Business Entrate]],$I968&lt;&gt;SottocategorieEntrate[[#Headers],[Varie Entrate]],$I968&lt;&gt;SottocategorieEntrate[[#Headers],[Real Estate]],$I968&lt;&gt;SottocategorieEntrate[[#Headers],[Other]]),"","$ -")</f>
        <v/>
      </c>
      <c r="Q968" s="59" t="str">
        <f>IF(Dati[[#This Row],[Categoria]]="Prelievo","€ -","")</f>
        <v/>
      </c>
      <c r="R968" s="244"/>
      <c r="S968" s="59" t="str">
        <f>IF(Dati[[#This Row],[Categoria]]="Savings",0,"")</f>
        <v/>
      </c>
      <c r="T968" s="59"/>
      <c r="U968" s="59"/>
      <c r="V968" s="59"/>
      <c r="W968" s="59"/>
      <c r="X968" s="59"/>
      <c r="Y968" s="59"/>
      <c r="Z968" s="59"/>
      <c r="AA968" s="59"/>
      <c r="AB968" s="59"/>
      <c r="AC968" s="59"/>
      <c r="AD968" s="59"/>
      <c r="AE968" s="59"/>
      <c r="AF968" s="59"/>
      <c r="AG968" s="59"/>
      <c r="AH968" s="59"/>
      <c r="AI968" s="59" t="str">
        <f>IF(SUM(Dati[[#This Row],[Inv. Business]:[Inv. Cryptocurrency]])=0," ",SUM(Dati[[#This Row],[Inv. Business]:[Inv. Cryptocurrency]]))</f>
        <v xml:space="preserve"> </v>
      </c>
      <c r="AJ968" s="59"/>
      <c r="AK968" s="59"/>
      <c r="AL968" s="59"/>
      <c r="AM968" s="59"/>
    </row>
    <row r="969" spans="2:39" x14ac:dyDescent="0.35">
      <c r="B969" s="237">
        <f t="shared" ref="B969:B971" si="51">ROW(923:923)</f>
        <v>923</v>
      </c>
      <c r="C969" s="49">
        <f>C962+1</f>
        <v>45622</v>
      </c>
      <c r="D969" s="29">
        <f>DAY(Dati[[#This Row],[Data]])</f>
        <v>26</v>
      </c>
      <c r="E969" s="29" t="str">
        <f>IF(DAY(Data!$C$21:$C$1327)&gt;0,TEXT(Data!$C$21:$C$1327, "mmmm"),"")</f>
        <v>novembre</v>
      </c>
      <c r="F969" s="29" t="str">
        <f>IF(DAY(Data!$C$21:$C$1327)&gt;0,TEXT(Data!$C$21:$C$1327, "aaaa"),"")</f>
        <v>2024</v>
      </c>
      <c r="I969" t="str">
        <f>IF(OR(H969=$B$5,H969=$B$6,H969=$B$7,H969=$B$8,H969=$B$9,H969=$B$10,H969=$B$11,H969=$B$12,H969=$B$13,H969=$B$14),SottocategorieUscite[[#Headers],[Fuori Casa]],IF(OR(H969=$C$5,H969=$C$6,H969=$C$7,H969=$C$8,H969=$C$9,H969=$C$10,H969=$C$11,H969=$C$12,H969=$C$13,H969=$C$14),SottocategorieUscite[[#Headers],[Varie Uscite]],IF(OR(H969=$D$5,H969=$D$6,H969=$D$7,H969=$D$8,H969=$D$9,H969=$D$10,H969=$D$11,H969=$D$12,H969=$D$13,H969=$D$14),SottocategorieUscite[[#Headers],[Personali]],IF(OR(H969=$E$5,H969=$E$6,H969=$E$7,H969=$E$8,H969=$E$9,H969=$E$10,H969=$E$11,H969=$E$12,H969=$E$13,H969=$E$14),SottocategorieUscite[[#Headers],[Lavoro]],IF(OR(H969=$F$5,H969=$F$6,H969=$F$7,H969=$F$8,H969=$F$9,H969=$F$10,H969=$F$11,H969=$F$12,H969=$F$13,H969=$F$14),SottocategorieUscite[[#Headers],[Casa]],IF(OR(H969=$G$5,H969=$G$6,H969=$G$7,H969=$G$8,H969=$G$9,H969=$G$10,H969=$G$11,H969=$G$12,H969=$G$13,H969=$G$14),SottocategorieUscite[[#Headers],[Utenze]],IF(OR(H969=$H$5,H969=$H$6,H969=$H$7,H969=$H$8,H969=$H$9,H969=$H$10,H969=$H$11,H969=$H$12,H969=$H$13,H969=$H$14),SottocategorieUscite[[#Headers],[Business Uscite]],IF(OR(H969=$I$5,H969=$I$6,H969=$I$7,H969=$I$8,H969=$I$9,H969=$I$10,H969=$I$11,H969=$I$12,H969=$I$13,H969=$I$14),SottocategorieUscite[[#Headers],[Banca]],IF(OR(H969=K$5,H969=K$6,H969=K$7,H969=K$8,H969=K$9,H969=K$10,H969=K$11,H969=K$12,H969=K$13,H969=K$14),SottocategorieEntrate[[#Headers],[Business Entrate]],IF(OR(H969=L$5,H969=L$6,H969=L$7,H969=L$8,H969=L$9,H969=L$10,H969=L$11,H969=L$12,H969=L$13,H969=L$14),SottocategorieEntrate[[#Headers],[Varie Entrate]],IF(OR(H969=M$5,H969=M$6,H969=M$7,H969=M$8,H969=M$9,H969=M$10,H969=M$11,H969=M$12,H969=M$13,H969=M$14),SottocategorieEntrate[[#Headers],[Real Estate]],IF(OR(H969=N$5,H969=N$6,H969=N$7,H969=N$8,H969=N$9,H969=N$10,H969=N$11,H969=N$12,H969=N$13,H969=N$14),SottocategorieEntrate[[#Headers],[Other]],""))))))))))))</f>
        <v/>
      </c>
      <c r="J969" t="str">
        <f>IF(OR(Dati[[#This Row],[Categoria]]="Bollette",Dati[[#This Row],[Categoria]]="Conto &amp; Carte BNL",Dati[[#This Row],[Categoria]]="Prelievo",Dati[[#This Row],[Categoria]]="Affitto",Dati[[#This Row],[Categoria]]="BNL(Interessi Creditori)"),"Carta",IF(Dati[[#This Row],[Categoria]]&lt;&gt;0,"Cash",""))</f>
        <v/>
      </c>
      <c r="K969" s="59" t="str">
        <f>IF(OR(Data!$I969=SottocategorieUscite[[#Headers],[Fuori Casa]],Data!$I969=SottocategorieUscite[[#Headers],[Varie Uscite]],Data!$I969=SottocategorieUscite[[#Headers],[Personali]],Data!$I969=SottocategorieUscite[[#Headers],[Lavoro]]),"$ -","")</f>
        <v/>
      </c>
      <c r="L969" s="59" t="str">
        <f>IF(OR(Data!$I969=SottocategorieUscite[[#Headers],[Casa]],Data!$I969=SottocategorieUscite[[#Headers],[Utenze]],Data!$I969=SottocategorieUscite[[#Headers],[Business Uscite]],Data!$I969=SottocategorieUscite[[#Headers],[Banca]]),"$ -","")</f>
        <v/>
      </c>
      <c r="M969" s="59" t="str">
        <f>IF(OR($I969&lt;&gt;SottocategorieUscite[[#Headers],[Fuori Casa]],$I969&lt;&gt;SottocategorieUscite[[#Headers],[Varie Uscite]],$I969&lt;&gt;SottocategorieUscite[[#Headers],[Personali]],$I969&lt;&gt;SottocategorieUscite[[#Headers],[Lavoro]],$I969&lt;&gt;SottocategorieUscite[[#Headers],[Casa]],$I969&lt;&gt;SottocategorieUscite[[#Headers],[Utenze]],$I969&lt;&gt;SottocategorieUscite[[#Headers],[Business Uscite]],$I969&lt;&gt;SottocategorieUscite[[#Headers],[Banca]]),"","$ -")</f>
        <v/>
      </c>
      <c r="N969" s="59" t="str">
        <f>IF(OR(Data!$I969=SottocategorieEntrate[[#Headers],[Business Entrate]],Data!$I969=SottocategorieEntrate[[#Headers],[Varie Entrate]]),"$ -","")</f>
        <v/>
      </c>
      <c r="O969" s="59" t="str">
        <f>IF(OR(Data!$I969=SottocategorieEntrate[[#Headers],[Real Estate]],SottocategorieEntrate[[#Headers],[Other]]),"$ -","")</f>
        <v/>
      </c>
      <c r="P969" s="59" t="str">
        <f>IF(OR($I969&lt;&gt;SottocategorieEntrate[[#Headers],[Business Entrate]],$I969&lt;&gt;SottocategorieEntrate[[#Headers],[Varie Entrate]],$I969&lt;&gt;SottocategorieEntrate[[#Headers],[Real Estate]],$I969&lt;&gt;SottocategorieEntrate[[#Headers],[Other]]),"","$ -")</f>
        <v/>
      </c>
      <c r="Q969" s="59" t="str">
        <f>IF(Dati[[#This Row],[Categoria]]="Prelievo","€ -","")</f>
        <v/>
      </c>
      <c r="R969" s="244"/>
      <c r="S969" s="59" t="str">
        <f>IF(Dati[[#This Row],[Categoria]]="Savings",0,"")</f>
        <v/>
      </c>
      <c r="T969" s="59"/>
      <c r="U969" s="59"/>
      <c r="V969" s="59"/>
      <c r="W969" s="59"/>
      <c r="X969" s="59"/>
      <c r="Y969" s="59"/>
      <c r="Z969" s="59"/>
      <c r="AA969" s="59"/>
      <c r="AB969" s="59"/>
      <c r="AC969" s="59"/>
      <c r="AD969" s="59"/>
      <c r="AE969" s="59"/>
      <c r="AF969" s="59"/>
      <c r="AG969" s="59"/>
      <c r="AH969" s="59"/>
      <c r="AI969" s="59" t="str">
        <f>IF(SUM(Dati[[#This Row],[Inv. Business]:[Inv. Cryptocurrency]])=0," ",SUM(Dati[[#This Row],[Inv. Business]:[Inv. Cryptocurrency]]))</f>
        <v xml:space="preserve"> </v>
      </c>
      <c r="AJ969" s="59"/>
      <c r="AK969" s="59"/>
      <c r="AL969" s="59"/>
      <c r="AM969" s="59"/>
    </row>
    <row r="970" spans="2:39" x14ac:dyDescent="0.35">
      <c r="B970" s="237">
        <f t="shared" si="51"/>
        <v>924</v>
      </c>
      <c r="C970" s="49">
        <f>C963+1</f>
        <v>45623</v>
      </c>
      <c r="D970" s="29">
        <f>DAY(Dati[[#This Row],[Data]])</f>
        <v>27</v>
      </c>
      <c r="E970" s="29" t="str">
        <f>IF(DAY(Data!$C$21:$C$1327)&gt;0,TEXT(Data!$C$21:$C$1327, "mmmm"),"")</f>
        <v>novembre</v>
      </c>
      <c r="F970" s="29" t="str">
        <f>IF(DAY(Data!$C$21:$C$1327)&gt;0,TEXT(Data!$C$21:$C$1327, "aaaa"),"")</f>
        <v>2024</v>
      </c>
      <c r="I970" t="str">
        <f>IF(OR(H970=$B$5,H970=$B$6,H970=$B$7,H970=$B$8,H970=$B$9,H970=$B$10,H970=$B$11,H970=$B$12,H970=$B$13,H970=$B$14),SottocategorieUscite[[#Headers],[Fuori Casa]],IF(OR(H970=$C$5,H970=$C$6,H970=$C$7,H970=$C$8,H970=$C$9,H970=$C$10,H970=$C$11,H970=$C$12,H970=$C$13,H970=$C$14),SottocategorieUscite[[#Headers],[Varie Uscite]],IF(OR(H970=$D$5,H970=$D$6,H970=$D$7,H970=$D$8,H970=$D$9,H970=$D$10,H970=$D$11,H970=$D$12,H970=$D$13,H970=$D$14),SottocategorieUscite[[#Headers],[Personali]],IF(OR(H970=$E$5,H970=$E$6,H970=$E$7,H970=$E$8,H970=$E$9,H970=$E$10,H970=$E$11,H970=$E$12,H970=$E$13,H970=$E$14),SottocategorieUscite[[#Headers],[Lavoro]],IF(OR(H970=$F$5,H970=$F$6,H970=$F$7,H970=$F$8,H970=$F$9,H970=$F$10,H970=$F$11,H970=$F$12,H970=$F$13,H970=$F$14),SottocategorieUscite[[#Headers],[Casa]],IF(OR(H970=$G$5,H970=$G$6,H970=$G$7,H970=$G$8,H970=$G$9,H970=$G$10,H970=$G$11,H970=$G$12,H970=$G$13,H970=$G$14),SottocategorieUscite[[#Headers],[Utenze]],IF(OR(H970=$H$5,H970=$H$6,H970=$H$7,H970=$H$8,H970=$H$9,H970=$H$10,H970=$H$11,H970=$H$12,H970=$H$13,H970=$H$14),SottocategorieUscite[[#Headers],[Business Uscite]],IF(OR(H970=$I$5,H970=$I$6,H970=$I$7,H970=$I$8,H970=$I$9,H970=$I$10,H970=$I$11,H970=$I$12,H970=$I$13,H970=$I$14),SottocategorieUscite[[#Headers],[Banca]],IF(OR(H970=K$5,H970=K$6,H970=K$7,H970=K$8,H970=K$9,H970=K$10,H970=K$11,H970=K$12,H970=K$13,H970=K$14),SottocategorieEntrate[[#Headers],[Business Entrate]],IF(OR(H970=L$5,H970=L$6,H970=L$7,H970=L$8,H970=L$9,H970=L$10,H970=L$11,H970=L$12,H970=L$13,H970=L$14),SottocategorieEntrate[[#Headers],[Varie Entrate]],IF(OR(H970=M$5,H970=M$6,H970=M$7,H970=M$8,H970=M$9,H970=M$10,H970=M$11,H970=M$12,H970=M$13,H970=M$14),SottocategorieEntrate[[#Headers],[Real Estate]],IF(OR(H970=N$5,H970=N$6,H970=N$7,H970=N$8,H970=N$9,H970=N$10,H970=N$11,H970=N$12,H970=N$13,H970=N$14),SottocategorieEntrate[[#Headers],[Other]],""))))))))))))</f>
        <v/>
      </c>
      <c r="J970" t="str">
        <f>IF(OR(Dati[[#This Row],[Categoria]]="Bollette",Dati[[#This Row],[Categoria]]="Conto &amp; Carte BNL",Dati[[#This Row],[Categoria]]="Prelievo",Dati[[#This Row],[Categoria]]="Affitto",Dati[[#This Row],[Categoria]]="BNL(Interessi Creditori)"),"Carta",IF(Dati[[#This Row],[Categoria]]&lt;&gt;0,"Cash",""))</f>
        <v/>
      </c>
      <c r="K970" s="59" t="str">
        <f>IF(OR(Data!$I970=SottocategorieUscite[[#Headers],[Fuori Casa]],Data!$I970=SottocategorieUscite[[#Headers],[Varie Uscite]],Data!$I970=SottocategorieUscite[[#Headers],[Personali]],Data!$I970=SottocategorieUscite[[#Headers],[Lavoro]]),"$ -","")</f>
        <v/>
      </c>
      <c r="L970" s="59" t="str">
        <f>IF(OR(Data!$I970=SottocategorieUscite[[#Headers],[Casa]],Data!$I970=SottocategorieUscite[[#Headers],[Utenze]],Data!$I970=SottocategorieUscite[[#Headers],[Business Uscite]],Data!$I970=SottocategorieUscite[[#Headers],[Banca]]),"$ -","")</f>
        <v/>
      </c>
      <c r="M970" s="59" t="str">
        <f>IF(OR($I970&lt;&gt;SottocategorieUscite[[#Headers],[Fuori Casa]],$I970&lt;&gt;SottocategorieUscite[[#Headers],[Varie Uscite]],$I970&lt;&gt;SottocategorieUscite[[#Headers],[Personali]],$I970&lt;&gt;SottocategorieUscite[[#Headers],[Lavoro]],$I970&lt;&gt;SottocategorieUscite[[#Headers],[Casa]],$I970&lt;&gt;SottocategorieUscite[[#Headers],[Utenze]],$I970&lt;&gt;SottocategorieUscite[[#Headers],[Business Uscite]],$I970&lt;&gt;SottocategorieUscite[[#Headers],[Banca]]),"","$ -")</f>
        <v/>
      </c>
      <c r="N970" s="59" t="str">
        <f>IF(OR(Data!$I970=SottocategorieEntrate[[#Headers],[Business Entrate]],Data!$I970=SottocategorieEntrate[[#Headers],[Varie Entrate]]),"$ -","")</f>
        <v/>
      </c>
      <c r="O970" s="59" t="str">
        <f>IF(OR(Data!$I970=SottocategorieEntrate[[#Headers],[Real Estate]],SottocategorieEntrate[[#Headers],[Other]]),"$ -","")</f>
        <v/>
      </c>
      <c r="P970" s="59" t="str">
        <f>IF(OR($I970&lt;&gt;SottocategorieEntrate[[#Headers],[Business Entrate]],$I970&lt;&gt;SottocategorieEntrate[[#Headers],[Varie Entrate]],$I970&lt;&gt;SottocategorieEntrate[[#Headers],[Real Estate]],$I970&lt;&gt;SottocategorieEntrate[[#Headers],[Other]]),"","$ -")</f>
        <v/>
      </c>
      <c r="Q970" s="59" t="str">
        <f>IF(Dati[[#This Row],[Categoria]]="Prelievo","€ -","")</f>
        <v/>
      </c>
      <c r="R970" s="244"/>
      <c r="S970" s="59" t="str">
        <f>IF(Dati[[#This Row],[Categoria]]="Savings",0,"")</f>
        <v/>
      </c>
      <c r="T970" s="59"/>
      <c r="U970" s="59"/>
      <c r="V970" s="59"/>
      <c r="W970" s="59"/>
      <c r="X970" s="59"/>
      <c r="Y970" s="59"/>
      <c r="Z970" s="59"/>
      <c r="AA970" s="59"/>
      <c r="AB970" s="59"/>
      <c r="AC970" s="59"/>
      <c r="AD970" s="59"/>
      <c r="AE970" s="59"/>
      <c r="AF970" s="59"/>
      <c r="AG970" s="59"/>
      <c r="AH970" s="59"/>
      <c r="AI970" s="59" t="str">
        <f>IF(SUM(Dati[[#This Row],[Inv. Business]:[Inv. Cryptocurrency]])=0," ",SUM(Dati[[#This Row],[Inv. Business]:[Inv. Cryptocurrency]]))</f>
        <v xml:space="preserve"> </v>
      </c>
      <c r="AJ970" s="59"/>
      <c r="AK970" s="59"/>
      <c r="AL970" s="59"/>
      <c r="AM970" s="59"/>
    </row>
    <row r="971" spans="2:39" x14ac:dyDescent="0.35">
      <c r="B971" s="237">
        <f t="shared" si="51"/>
        <v>925</v>
      </c>
      <c r="C971" s="49">
        <f t="shared" si="48"/>
        <v>45624</v>
      </c>
      <c r="D971" s="29">
        <f>DAY(Dati[[#This Row],[Data]])</f>
        <v>28</v>
      </c>
      <c r="E971" s="29" t="str">
        <f>IF(DAY(Data!$C$21:$C$1327)&gt;0,TEXT(Data!$C$21:$C$1327, "mmmm"),"")</f>
        <v>novembre</v>
      </c>
      <c r="F971" s="29" t="str">
        <f>IF(DAY(Data!$C$21:$C$1327)&gt;0,TEXT(Data!$C$21:$C$1327, "aaaa"),"")</f>
        <v>2024</v>
      </c>
      <c r="I971" t="str">
        <f>IF(OR(H971=$B$5,H971=$B$6,H971=$B$7,H971=$B$8,H971=$B$9,H971=$B$10,H971=$B$11,H971=$B$12,H971=$B$13,H971=$B$14),SottocategorieUscite[[#Headers],[Fuori Casa]],IF(OR(H971=$C$5,H971=$C$6,H971=$C$7,H971=$C$8,H971=$C$9,H971=$C$10,H971=$C$11,H971=$C$12,H971=$C$13,H971=$C$14),SottocategorieUscite[[#Headers],[Varie Uscite]],IF(OR(H971=$D$5,H971=$D$6,H971=$D$7,H971=$D$8,H971=$D$9,H971=$D$10,H971=$D$11,H971=$D$12,H971=$D$13,H971=$D$14),SottocategorieUscite[[#Headers],[Personali]],IF(OR(H971=$E$5,H971=$E$6,H971=$E$7,H971=$E$8,H971=$E$9,H971=$E$10,H971=$E$11,H971=$E$12,H971=$E$13,H971=$E$14),SottocategorieUscite[[#Headers],[Lavoro]],IF(OR(H971=$F$5,H971=$F$6,H971=$F$7,H971=$F$8,H971=$F$9,H971=$F$10,H971=$F$11,H971=$F$12,H971=$F$13,H971=$F$14),SottocategorieUscite[[#Headers],[Casa]],IF(OR(H971=$G$5,H971=$G$6,H971=$G$7,H971=$G$8,H971=$G$9,H971=$G$10,H971=$G$11,H971=$G$12,H971=$G$13,H971=$G$14),SottocategorieUscite[[#Headers],[Utenze]],IF(OR(H971=$H$5,H971=$H$6,H971=$H$7,H971=$H$8,H971=$H$9,H971=$H$10,H971=$H$11,H971=$H$12,H971=$H$13,H971=$H$14),SottocategorieUscite[[#Headers],[Business Uscite]],IF(OR(H971=$I$5,H971=$I$6,H971=$I$7,H971=$I$8,H971=$I$9,H971=$I$10,H971=$I$11,H971=$I$12,H971=$I$13,H971=$I$14),SottocategorieUscite[[#Headers],[Banca]],IF(OR(H971=K$5,H971=K$6,H971=K$7,H971=K$8,H971=K$9,H971=K$10,H971=K$11,H971=K$12,H971=K$13,H971=K$14),SottocategorieEntrate[[#Headers],[Business Entrate]],IF(OR(H971=L$5,H971=L$6,H971=L$7,H971=L$8,H971=L$9,H971=L$10,H971=L$11,H971=L$12,H971=L$13,H971=L$14),SottocategorieEntrate[[#Headers],[Varie Entrate]],IF(OR(H971=M$5,H971=M$6,H971=M$7,H971=M$8,H971=M$9,H971=M$10,H971=M$11,H971=M$12,H971=M$13,H971=M$14),SottocategorieEntrate[[#Headers],[Real Estate]],IF(OR(H971=N$5,H971=N$6,H971=N$7,H971=N$8,H971=N$9,H971=N$10,H971=N$11,H971=N$12,H971=N$13,H971=N$14),SottocategorieEntrate[[#Headers],[Other]],""))))))))))))</f>
        <v/>
      </c>
      <c r="J971" t="str">
        <f>IF(OR(Dati[[#This Row],[Categoria]]="Bollette",Dati[[#This Row],[Categoria]]="Conto &amp; Carte BNL",Dati[[#This Row],[Categoria]]="Prelievo",Dati[[#This Row],[Categoria]]="Affitto",Dati[[#This Row],[Categoria]]="BNL(Interessi Creditori)"),"Carta",IF(Dati[[#This Row],[Categoria]]&lt;&gt;0,"Cash",""))</f>
        <v/>
      </c>
      <c r="K971" s="59" t="str">
        <f>IF(OR(Data!$I971=SottocategorieUscite[[#Headers],[Fuori Casa]],Data!$I971=SottocategorieUscite[[#Headers],[Varie Uscite]],Data!$I971=SottocategorieUscite[[#Headers],[Personali]],Data!$I971=SottocategorieUscite[[#Headers],[Lavoro]]),"$ -","")</f>
        <v/>
      </c>
      <c r="L971" s="59" t="str">
        <f>IF(OR(Data!$I971=SottocategorieUscite[[#Headers],[Casa]],Data!$I971=SottocategorieUscite[[#Headers],[Utenze]],Data!$I971=SottocategorieUscite[[#Headers],[Business Uscite]],Data!$I971=SottocategorieUscite[[#Headers],[Banca]]),"$ -","")</f>
        <v/>
      </c>
      <c r="M971" s="59" t="str">
        <f>IF(OR($I971&lt;&gt;SottocategorieUscite[[#Headers],[Fuori Casa]],$I971&lt;&gt;SottocategorieUscite[[#Headers],[Varie Uscite]],$I971&lt;&gt;SottocategorieUscite[[#Headers],[Personali]],$I971&lt;&gt;SottocategorieUscite[[#Headers],[Lavoro]],$I971&lt;&gt;SottocategorieUscite[[#Headers],[Casa]],$I971&lt;&gt;SottocategorieUscite[[#Headers],[Utenze]],$I971&lt;&gt;SottocategorieUscite[[#Headers],[Business Uscite]],$I971&lt;&gt;SottocategorieUscite[[#Headers],[Banca]]),"","$ -")</f>
        <v/>
      </c>
      <c r="N971" s="59" t="str">
        <f>IF(OR(Data!$I971=SottocategorieEntrate[[#Headers],[Business Entrate]],Data!$I971=SottocategorieEntrate[[#Headers],[Varie Entrate]]),"$ -","")</f>
        <v/>
      </c>
      <c r="O971" s="59" t="str">
        <f>IF(OR(Data!$I971=SottocategorieEntrate[[#Headers],[Real Estate]],SottocategorieEntrate[[#Headers],[Other]]),"$ -","")</f>
        <v/>
      </c>
      <c r="P971" s="59" t="str">
        <f>IF(OR($I971&lt;&gt;SottocategorieEntrate[[#Headers],[Business Entrate]],$I971&lt;&gt;SottocategorieEntrate[[#Headers],[Varie Entrate]],$I971&lt;&gt;SottocategorieEntrate[[#Headers],[Real Estate]],$I971&lt;&gt;SottocategorieEntrate[[#Headers],[Other]]),"","$ -")</f>
        <v/>
      </c>
      <c r="Q971" s="59" t="str">
        <f>IF(Dati[[#This Row],[Categoria]]="Prelievo","€ -","")</f>
        <v/>
      </c>
      <c r="R971" s="244"/>
      <c r="S971" s="59" t="str">
        <f>IF(Dati[[#This Row],[Categoria]]="Savings",0,"")</f>
        <v/>
      </c>
      <c r="T971" s="59"/>
      <c r="U971" s="59"/>
      <c r="V971" s="59"/>
      <c r="W971" s="59"/>
      <c r="X971" s="59"/>
      <c r="Y971" s="59"/>
      <c r="Z971" s="59"/>
      <c r="AA971" s="59"/>
      <c r="AB971" s="59"/>
      <c r="AC971" s="59"/>
      <c r="AD971" s="59"/>
      <c r="AE971" s="59"/>
      <c r="AF971" s="59"/>
      <c r="AG971" s="59"/>
      <c r="AH971" s="59"/>
      <c r="AI971" s="59" t="str">
        <f>IF(SUM(Dati[[#This Row],[Inv. Business]:[Inv. Cryptocurrency]])=0," ",SUM(Dati[[#This Row],[Inv. Business]:[Inv. Cryptocurrency]]))</f>
        <v xml:space="preserve"> </v>
      </c>
      <c r="AJ971" s="59"/>
      <c r="AK971" s="59"/>
      <c r="AL971" s="59"/>
      <c r="AM971" s="59"/>
    </row>
    <row r="972" spans="2:39" x14ac:dyDescent="0.35">
      <c r="B972" s="237">
        <f t="shared" ref="B972:B974" si="52">ROW(925:925)</f>
        <v>925</v>
      </c>
      <c r="C972" s="49">
        <f>C970+1</f>
        <v>45624</v>
      </c>
      <c r="D972" s="29">
        <f>DAY(Dati[[#This Row],[Data]])</f>
        <v>28</v>
      </c>
      <c r="E972" s="29" t="str">
        <f>IF(DAY(Data!$C$21:$C$1327)&gt;0,TEXT(Data!$C$21:$C$1327, "mmmm"),"")</f>
        <v>novembre</v>
      </c>
      <c r="F972" s="29" t="str">
        <f>IF(DAY(Data!$C$21:$C$1327)&gt;0,TEXT(Data!$C$21:$C$1327, "aaaa"),"")</f>
        <v>2024</v>
      </c>
      <c r="I972" t="str">
        <f>IF(OR(H972=$B$5,H972=$B$6,H972=$B$7,H972=$B$8,H972=$B$9,H972=$B$10,H972=$B$11,H972=$B$12,H972=$B$13,H972=$B$14),SottocategorieUscite[[#Headers],[Fuori Casa]],IF(OR(H972=$C$5,H972=$C$6,H972=$C$7,H972=$C$8,H972=$C$9,H972=$C$10,H972=$C$11,H972=$C$12,H972=$C$13,H972=$C$14),SottocategorieUscite[[#Headers],[Varie Uscite]],IF(OR(H972=$D$5,H972=$D$6,H972=$D$7,H972=$D$8,H972=$D$9,H972=$D$10,H972=$D$11,H972=$D$12,H972=$D$13,H972=$D$14),SottocategorieUscite[[#Headers],[Personali]],IF(OR(H972=$E$5,H972=$E$6,H972=$E$7,H972=$E$8,H972=$E$9,H972=$E$10,H972=$E$11,H972=$E$12,H972=$E$13,H972=$E$14),SottocategorieUscite[[#Headers],[Lavoro]],IF(OR(H972=$F$5,H972=$F$6,H972=$F$7,H972=$F$8,H972=$F$9,H972=$F$10,H972=$F$11,H972=$F$12,H972=$F$13,H972=$F$14),SottocategorieUscite[[#Headers],[Casa]],IF(OR(H972=$G$5,H972=$G$6,H972=$G$7,H972=$G$8,H972=$G$9,H972=$G$10,H972=$G$11,H972=$G$12,H972=$G$13,H972=$G$14),SottocategorieUscite[[#Headers],[Utenze]],IF(OR(H972=$H$5,H972=$H$6,H972=$H$7,H972=$H$8,H972=$H$9,H972=$H$10,H972=$H$11,H972=$H$12,H972=$H$13,H972=$H$14),SottocategorieUscite[[#Headers],[Business Uscite]],IF(OR(H972=$I$5,H972=$I$6,H972=$I$7,H972=$I$8,H972=$I$9,H972=$I$10,H972=$I$11,H972=$I$12,H972=$I$13,H972=$I$14),SottocategorieUscite[[#Headers],[Banca]],IF(OR(H972=K$5,H972=K$6,H972=K$7,H972=K$8,H972=K$9,H972=K$10,H972=K$11,H972=K$12,H972=K$13,H972=K$14),SottocategorieEntrate[[#Headers],[Business Entrate]],IF(OR(H972=L$5,H972=L$6,H972=L$7,H972=L$8,H972=L$9,H972=L$10,H972=L$11,H972=L$12,H972=L$13,H972=L$14),SottocategorieEntrate[[#Headers],[Varie Entrate]],IF(OR(H972=M$5,H972=M$6,H972=M$7,H972=M$8,H972=M$9,H972=M$10,H972=M$11,H972=M$12,H972=M$13,H972=M$14),SottocategorieEntrate[[#Headers],[Real Estate]],IF(OR(H972=N$5,H972=N$6,H972=N$7,H972=N$8,H972=N$9,H972=N$10,H972=N$11,H972=N$12,H972=N$13,H972=N$14),SottocategorieEntrate[[#Headers],[Other]],""))))))))))))</f>
        <v/>
      </c>
      <c r="J972" t="str">
        <f>IF(OR(Dati[[#This Row],[Categoria]]="Bollette",Dati[[#This Row],[Categoria]]="Conto &amp; Carte BNL",Dati[[#This Row],[Categoria]]="Prelievo",Dati[[#This Row],[Categoria]]="Affitto",Dati[[#This Row],[Categoria]]="BNL(Interessi Creditori)"),"Carta",IF(Dati[[#This Row],[Categoria]]&lt;&gt;0,"Cash",""))</f>
        <v/>
      </c>
      <c r="K972" s="59" t="str">
        <f>IF(OR(Data!$I972=SottocategorieUscite[[#Headers],[Fuori Casa]],Data!$I972=SottocategorieUscite[[#Headers],[Varie Uscite]],Data!$I972=SottocategorieUscite[[#Headers],[Personali]],Data!$I972=SottocategorieUscite[[#Headers],[Lavoro]]),"$ -","")</f>
        <v/>
      </c>
      <c r="L972" s="59" t="str">
        <f>IF(OR(Data!$I972=SottocategorieUscite[[#Headers],[Casa]],Data!$I972=SottocategorieUscite[[#Headers],[Utenze]],Data!$I972=SottocategorieUscite[[#Headers],[Business Uscite]],Data!$I972=SottocategorieUscite[[#Headers],[Banca]]),"$ -","")</f>
        <v/>
      </c>
      <c r="M972" s="59" t="str">
        <f>IF(OR($I972&lt;&gt;SottocategorieUscite[[#Headers],[Fuori Casa]],$I972&lt;&gt;SottocategorieUscite[[#Headers],[Varie Uscite]],$I972&lt;&gt;SottocategorieUscite[[#Headers],[Personali]],$I972&lt;&gt;SottocategorieUscite[[#Headers],[Lavoro]],$I972&lt;&gt;SottocategorieUscite[[#Headers],[Casa]],$I972&lt;&gt;SottocategorieUscite[[#Headers],[Utenze]],$I972&lt;&gt;SottocategorieUscite[[#Headers],[Business Uscite]],$I972&lt;&gt;SottocategorieUscite[[#Headers],[Banca]]),"","$ -")</f>
        <v/>
      </c>
      <c r="N972" s="59" t="str">
        <f>IF(OR(Data!$I972=SottocategorieEntrate[[#Headers],[Business Entrate]],Data!$I972=SottocategorieEntrate[[#Headers],[Varie Entrate]]),"$ -","")</f>
        <v/>
      </c>
      <c r="O972" s="59" t="str">
        <f>IF(OR(Data!$I972=SottocategorieEntrate[[#Headers],[Real Estate]],SottocategorieEntrate[[#Headers],[Other]]),"$ -","")</f>
        <v/>
      </c>
      <c r="P972" s="59" t="str">
        <f>IF(OR($I972&lt;&gt;SottocategorieEntrate[[#Headers],[Business Entrate]],$I972&lt;&gt;SottocategorieEntrate[[#Headers],[Varie Entrate]],$I972&lt;&gt;SottocategorieEntrate[[#Headers],[Real Estate]],$I972&lt;&gt;SottocategorieEntrate[[#Headers],[Other]]),"","$ -")</f>
        <v/>
      </c>
      <c r="Q972" s="59" t="str">
        <f>IF(Dati[[#This Row],[Categoria]]="Prelievo","€ -","")</f>
        <v/>
      </c>
      <c r="R972" s="244"/>
      <c r="S972" s="59" t="str">
        <f>IF(Dati[[#This Row],[Categoria]]="Savings",0,"")</f>
        <v/>
      </c>
      <c r="T972" s="59"/>
      <c r="U972" s="59"/>
      <c r="V972" s="59"/>
      <c r="W972" s="59"/>
      <c r="X972" s="59"/>
      <c r="Y972" s="59"/>
      <c r="Z972" s="59"/>
      <c r="AA972" s="59"/>
      <c r="AB972" s="59"/>
      <c r="AC972" s="59"/>
      <c r="AD972" s="59"/>
      <c r="AE972" s="59"/>
      <c r="AF972" s="59"/>
      <c r="AG972" s="59"/>
      <c r="AH972" s="59"/>
      <c r="AI972" s="59" t="str">
        <f>IF(SUM(Dati[[#This Row],[Inv. Business]:[Inv. Cryptocurrency]])=0," ",SUM(Dati[[#This Row],[Inv. Business]:[Inv. Cryptocurrency]]))</f>
        <v xml:space="preserve"> </v>
      </c>
      <c r="AJ972" s="59"/>
      <c r="AK972" s="59"/>
      <c r="AL972" s="59"/>
      <c r="AM972" s="59"/>
    </row>
    <row r="973" spans="2:39" x14ac:dyDescent="0.35">
      <c r="B973" s="237">
        <f t="shared" si="52"/>
        <v>926</v>
      </c>
      <c r="C973" s="49">
        <f>C971+1</f>
        <v>45625</v>
      </c>
      <c r="D973" s="29">
        <f>DAY(Dati[[#This Row],[Data]])</f>
        <v>29</v>
      </c>
      <c r="E973" s="29" t="str">
        <f>IF(DAY(Data!$C$21:$C$1327)&gt;0,TEXT(Data!$C$21:$C$1327, "mmmm"),"")</f>
        <v>novembre</v>
      </c>
      <c r="F973" s="29" t="str">
        <f>IF(DAY(Data!$C$21:$C$1327)&gt;0,TEXT(Data!$C$21:$C$1327, "aaaa"),"")</f>
        <v>2024</v>
      </c>
      <c r="I973" t="str">
        <f>IF(OR(H973=$B$5,H973=$B$6,H973=$B$7,H973=$B$8,H973=$B$9,H973=$B$10,H973=$B$11,H973=$B$12,H973=$B$13,H973=$B$14),SottocategorieUscite[[#Headers],[Fuori Casa]],IF(OR(H973=$C$5,H973=$C$6,H973=$C$7,H973=$C$8,H973=$C$9,H973=$C$10,H973=$C$11,H973=$C$12,H973=$C$13,H973=$C$14),SottocategorieUscite[[#Headers],[Varie Uscite]],IF(OR(H973=$D$5,H973=$D$6,H973=$D$7,H973=$D$8,H973=$D$9,H973=$D$10,H973=$D$11,H973=$D$12,H973=$D$13,H973=$D$14),SottocategorieUscite[[#Headers],[Personali]],IF(OR(H973=$E$5,H973=$E$6,H973=$E$7,H973=$E$8,H973=$E$9,H973=$E$10,H973=$E$11,H973=$E$12,H973=$E$13,H973=$E$14),SottocategorieUscite[[#Headers],[Lavoro]],IF(OR(H973=$F$5,H973=$F$6,H973=$F$7,H973=$F$8,H973=$F$9,H973=$F$10,H973=$F$11,H973=$F$12,H973=$F$13,H973=$F$14),SottocategorieUscite[[#Headers],[Casa]],IF(OR(H973=$G$5,H973=$G$6,H973=$G$7,H973=$G$8,H973=$G$9,H973=$G$10,H973=$G$11,H973=$G$12,H973=$G$13,H973=$G$14),SottocategorieUscite[[#Headers],[Utenze]],IF(OR(H973=$H$5,H973=$H$6,H973=$H$7,H973=$H$8,H973=$H$9,H973=$H$10,H973=$H$11,H973=$H$12,H973=$H$13,H973=$H$14),SottocategorieUscite[[#Headers],[Business Uscite]],IF(OR(H973=$I$5,H973=$I$6,H973=$I$7,H973=$I$8,H973=$I$9,H973=$I$10,H973=$I$11,H973=$I$12,H973=$I$13,H973=$I$14),SottocategorieUscite[[#Headers],[Banca]],IF(OR(H973=K$5,H973=K$6,H973=K$7,H973=K$8,H973=K$9,H973=K$10,H973=K$11,H973=K$12,H973=K$13,H973=K$14),SottocategorieEntrate[[#Headers],[Business Entrate]],IF(OR(H973=L$5,H973=L$6,H973=L$7,H973=L$8,H973=L$9,H973=L$10,H973=L$11,H973=L$12,H973=L$13,H973=L$14),SottocategorieEntrate[[#Headers],[Varie Entrate]],IF(OR(H973=M$5,H973=M$6,H973=M$7,H973=M$8,H973=M$9,H973=M$10,H973=M$11,H973=M$12,H973=M$13,H973=M$14),SottocategorieEntrate[[#Headers],[Real Estate]],IF(OR(H973=N$5,H973=N$6,H973=N$7,H973=N$8,H973=N$9,H973=N$10,H973=N$11,H973=N$12,H973=N$13,H973=N$14),SottocategorieEntrate[[#Headers],[Other]],""))))))))))))</f>
        <v/>
      </c>
      <c r="J973" t="str">
        <f>IF(OR(Dati[[#This Row],[Categoria]]="Bollette",Dati[[#This Row],[Categoria]]="Conto &amp; Carte BNL",Dati[[#This Row],[Categoria]]="Prelievo",Dati[[#This Row],[Categoria]]="Affitto",Dati[[#This Row],[Categoria]]="BNL(Interessi Creditori)"),"Carta",IF(Dati[[#This Row],[Categoria]]&lt;&gt;0,"Cash",""))</f>
        <v/>
      </c>
      <c r="K973" s="59" t="str">
        <f>IF(OR(Data!$I973=SottocategorieUscite[[#Headers],[Fuori Casa]],Data!$I973=SottocategorieUscite[[#Headers],[Varie Uscite]],Data!$I973=SottocategorieUscite[[#Headers],[Personali]],Data!$I973=SottocategorieUscite[[#Headers],[Lavoro]]),"$ -","")</f>
        <v/>
      </c>
      <c r="L973" s="59" t="str">
        <f>IF(OR(Data!$I973=SottocategorieUscite[[#Headers],[Casa]],Data!$I973=SottocategorieUscite[[#Headers],[Utenze]],Data!$I973=SottocategorieUscite[[#Headers],[Business Uscite]],Data!$I973=SottocategorieUscite[[#Headers],[Banca]]),"$ -","")</f>
        <v/>
      </c>
      <c r="M973" s="59" t="str">
        <f>IF(OR($I973&lt;&gt;SottocategorieUscite[[#Headers],[Fuori Casa]],$I973&lt;&gt;SottocategorieUscite[[#Headers],[Varie Uscite]],$I973&lt;&gt;SottocategorieUscite[[#Headers],[Personali]],$I973&lt;&gt;SottocategorieUscite[[#Headers],[Lavoro]],$I973&lt;&gt;SottocategorieUscite[[#Headers],[Casa]],$I973&lt;&gt;SottocategorieUscite[[#Headers],[Utenze]],$I973&lt;&gt;SottocategorieUscite[[#Headers],[Business Uscite]],$I973&lt;&gt;SottocategorieUscite[[#Headers],[Banca]]),"","$ -")</f>
        <v/>
      </c>
      <c r="N973" s="59" t="str">
        <f>IF(OR(Data!$I973=SottocategorieEntrate[[#Headers],[Business Entrate]],Data!$I973=SottocategorieEntrate[[#Headers],[Varie Entrate]]),"$ -","")</f>
        <v/>
      </c>
      <c r="O973" s="59" t="str">
        <f>IF(OR(Data!$I973=SottocategorieEntrate[[#Headers],[Real Estate]],SottocategorieEntrate[[#Headers],[Other]]),"$ -","")</f>
        <v/>
      </c>
      <c r="P973" s="59" t="str">
        <f>IF(OR($I973&lt;&gt;SottocategorieEntrate[[#Headers],[Business Entrate]],$I973&lt;&gt;SottocategorieEntrate[[#Headers],[Varie Entrate]],$I973&lt;&gt;SottocategorieEntrate[[#Headers],[Real Estate]],$I973&lt;&gt;SottocategorieEntrate[[#Headers],[Other]]),"","$ -")</f>
        <v/>
      </c>
      <c r="Q973" s="59" t="str">
        <f>IF(Dati[[#This Row],[Categoria]]="Prelievo","€ -","")</f>
        <v/>
      </c>
      <c r="R973" s="244"/>
      <c r="S973" s="59" t="str">
        <f>IF(Dati[[#This Row],[Categoria]]="Savings",0,"")</f>
        <v/>
      </c>
      <c r="T973" s="59"/>
      <c r="U973" s="59"/>
      <c r="V973" s="59"/>
      <c r="W973" s="59"/>
      <c r="X973" s="59"/>
      <c r="Y973" s="59"/>
      <c r="Z973" s="59"/>
      <c r="AA973" s="59"/>
      <c r="AB973" s="59"/>
      <c r="AC973" s="59"/>
      <c r="AD973" s="59"/>
      <c r="AE973" s="59"/>
      <c r="AF973" s="59"/>
      <c r="AG973" s="59"/>
      <c r="AH973" s="59"/>
      <c r="AI973" s="59" t="str">
        <f>IF(SUM(Dati[[#This Row],[Inv. Business]:[Inv. Cryptocurrency]])=0," ",SUM(Dati[[#This Row],[Inv. Business]:[Inv. Cryptocurrency]]))</f>
        <v xml:space="preserve"> </v>
      </c>
      <c r="AJ973" s="59"/>
      <c r="AK973" s="59"/>
      <c r="AL973" s="59"/>
      <c r="AM973" s="59"/>
    </row>
    <row r="974" spans="2:39" x14ac:dyDescent="0.35">
      <c r="B974" s="237">
        <f t="shared" si="52"/>
        <v>927</v>
      </c>
      <c r="C974" s="49">
        <f t="shared" si="48"/>
        <v>45626</v>
      </c>
      <c r="D974" s="29">
        <f>DAY(Dati[[#This Row],[Data]])</f>
        <v>30</v>
      </c>
      <c r="E974" s="29" t="str">
        <f>IF(DAY(Data!$C$21:$C$1327)&gt;0,TEXT(Data!$C$21:$C$1327, "mmmm"),"")</f>
        <v>novembre</v>
      </c>
      <c r="F974" s="29" t="str">
        <f>IF(DAY(Data!$C$21:$C$1327)&gt;0,TEXT(Data!$C$21:$C$1327, "aaaa"),"")</f>
        <v>2024</v>
      </c>
      <c r="I974" t="str">
        <f>IF(OR(H974=$B$5,H974=$B$6,H974=$B$7,H974=$B$8,H974=$B$9,H974=$B$10,H974=$B$11,H974=$B$12,H974=$B$13,H974=$B$14),SottocategorieUscite[[#Headers],[Fuori Casa]],IF(OR(H974=$C$5,H974=$C$6,H974=$C$7,H974=$C$8,H974=$C$9,H974=$C$10,H974=$C$11,H974=$C$12,H974=$C$13,H974=$C$14),SottocategorieUscite[[#Headers],[Varie Uscite]],IF(OR(H974=$D$5,H974=$D$6,H974=$D$7,H974=$D$8,H974=$D$9,H974=$D$10,H974=$D$11,H974=$D$12,H974=$D$13,H974=$D$14),SottocategorieUscite[[#Headers],[Personali]],IF(OR(H974=$E$5,H974=$E$6,H974=$E$7,H974=$E$8,H974=$E$9,H974=$E$10,H974=$E$11,H974=$E$12,H974=$E$13,H974=$E$14),SottocategorieUscite[[#Headers],[Lavoro]],IF(OR(H974=$F$5,H974=$F$6,H974=$F$7,H974=$F$8,H974=$F$9,H974=$F$10,H974=$F$11,H974=$F$12,H974=$F$13,H974=$F$14),SottocategorieUscite[[#Headers],[Casa]],IF(OR(H974=$G$5,H974=$G$6,H974=$G$7,H974=$G$8,H974=$G$9,H974=$G$10,H974=$G$11,H974=$G$12,H974=$G$13,H974=$G$14),SottocategorieUscite[[#Headers],[Utenze]],IF(OR(H974=$H$5,H974=$H$6,H974=$H$7,H974=$H$8,H974=$H$9,H974=$H$10,H974=$H$11,H974=$H$12,H974=$H$13,H974=$H$14),SottocategorieUscite[[#Headers],[Business Uscite]],IF(OR(H974=$I$5,H974=$I$6,H974=$I$7,H974=$I$8,H974=$I$9,H974=$I$10,H974=$I$11,H974=$I$12,H974=$I$13,H974=$I$14),SottocategorieUscite[[#Headers],[Banca]],IF(OR(H974=K$5,H974=K$6,H974=K$7,H974=K$8,H974=K$9,H974=K$10,H974=K$11,H974=K$12,H974=K$13,H974=K$14),SottocategorieEntrate[[#Headers],[Business Entrate]],IF(OR(H974=L$5,H974=L$6,H974=L$7,H974=L$8,H974=L$9,H974=L$10,H974=L$11,H974=L$12,H974=L$13,H974=L$14),SottocategorieEntrate[[#Headers],[Varie Entrate]],IF(OR(H974=M$5,H974=M$6,H974=M$7,H974=M$8,H974=M$9,H974=M$10,H974=M$11,H974=M$12,H974=M$13,H974=M$14),SottocategorieEntrate[[#Headers],[Real Estate]],IF(OR(H974=N$5,H974=N$6,H974=N$7,H974=N$8,H974=N$9,H974=N$10,H974=N$11,H974=N$12,H974=N$13,H974=N$14),SottocategorieEntrate[[#Headers],[Other]],""))))))))))))</f>
        <v/>
      </c>
      <c r="J974" t="str">
        <f>IF(OR(Dati[[#This Row],[Categoria]]="Bollette",Dati[[#This Row],[Categoria]]="Conto &amp; Carte BNL",Dati[[#This Row],[Categoria]]="Prelievo",Dati[[#This Row],[Categoria]]="Affitto",Dati[[#This Row],[Categoria]]="BNL(Interessi Creditori)"),"Carta",IF(Dati[[#This Row],[Categoria]]&lt;&gt;0,"Cash",""))</f>
        <v/>
      </c>
      <c r="K974" s="59" t="str">
        <f>IF(OR(Data!$I974=SottocategorieUscite[[#Headers],[Fuori Casa]],Data!$I974=SottocategorieUscite[[#Headers],[Varie Uscite]],Data!$I974=SottocategorieUscite[[#Headers],[Personali]],Data!$I974=SottocategorieUscite[[#Headers],[Lavoro]]),"$ -","")</f>
        <v/>
      </c>
      <c r="L974" s="59" t="str">
        <f>IF(OR(Data!$I974=SottocategorieUscite[[#Headers],[Casa]],Data!$I974=SottocategorieUscite[[#Headers],[Utenze]],Data!$I974=SottocategorieUscite[[#Headers],[Business Uscite]],Data!$I974=SottocategorieUscite[[#Headers],[Banca]]),"$ -","")</f>
        <v/>
      </c>
      <c r="M974" s="59" t="str">
        <f>IF(OR($I974&lt;&gt;SottocategorieUscite[[#Headers],[Fuori Casa]],$I974&lt;&gt;SottocategorieUscite[[#Headers],[Varie Uscite]],$I974&lt;&gt;SottocategorieUscite[[#Headers],[Personali]],$I974&lt;&gt;SottocategorieUscite[[#Headers],[Lavoro]],$I974&lt;&gt;SottocategorieUscite[[#Headers],[Casa]],$I974&lt;&gt;SottocategorieUscite[[#Headers],[Utenze]],$I974&lt;&gt;SottocategorieUscite[[#Headers],[Business Uscite]],$I974&lt;&gt;SottocategorieUscite[[#Headers],[Banca]]),"","$ -")</f>
        <v/>
      </c>
      <c r="N974" s="59" t="str">
        <f>IF(OR(Data!$I974=SottocategorieEntrate[[#Headers],[Business Entrate]],Data!$I974=SottocategorieEntrate[[#Headers],[Varie Entrate]]),"$ -","")</f>
        <v/>
      </c>
      <c r="O974" s="59" t="str">
        <f>IF(OR(Data!$I974=SottocategorieEntrate[[#Headers],[Real Estate]],SottocategorieEntrate[[#Headers],[Other]]),"$ -","")</f>
        <v/>
      </c>
      <c r="P974" s="59" t="str">
        <f>IF(OR($I974&lt;&gt;SottocategorieEntrate[[#Headers],[Business Entrate]],$I974&lt;&gt;SottocategorieEntrate[[#Headers],[Varie Entrate]],$I974&lt;&gt;SottocategorieEntrate[[#Headers],[Real Estate]],$I974&lt;&gt;SottocategorieEntrate[[#Headers],[Other]]),"","$ -")</f>
        <v/>
      </c>
      <c r="Q974" s="59" t="str">
        <f>IF(Dati[[#This Row],[Categoria]]="Prelievo","€ -","")</f>
        <v/>
      </c>
      <c r="R974" s="244"/>
      <c r="S974" s="59" t="str">
        <f>IF(Dati[[#This Row],[Categoria]]="Savings",0,"")</f>
        <v/>
      </c>
      <c r="T974" s="59"/>
      <c r="U974" s="59"/>
      <c r="V974" s="59"/>
      <c r="W974" s="59"/>
      <c r="X974" s="59"/>
      <c r="Y974" s="59"/>
      <c r="Z974" s="59"/>
      <c r="AA974" s="59"/>
      <c r="AB974" s="59"/>
      <c r="AC974" s="59"/>
      <c r="AD974" s="59"/>
      <c r="AE974" s="59"/>
      <c r="AF974" s="59"/>
      <c r="AG974" s="59"/>
      <c r="AH974" s="59"/>
      <c r="AI974" s="59" t="str">
        <f>IF(SUM(Dati[[#This Row],[Inv. Business]:[Inv. Cryptocurrency]])=0," ",SUM(Dati[[#This Row],[Inv. Business]:[Inv. Cryptocurrency]]))</f>
        <v xml:space="preserve"> </v>
      </c>
      <c r="AJ974" s="59"/>
      <c r="AK974" s="59"/>
      <c r="AL974" s="59"/>
      <c r="AM974" s="59"/>
    </row>
    <row r="975" spans="2:39" x14ac:dyDescent="0.35">
      <c r="B975" s="237">
        <f>ROW(927:927)</f>
        <v>927</v>
      </c>
      <c r="C975" s="49">
        <f>C973+1</f>
        <v>45626</v>
      </c>
      <c r="D975" s="29">
        <f>DAY(Dati[[#This Row],[Data]])</f>
        <v>30</v>
      </c>
      <c r="E975" s="29" t="str">
        <f>IF(DAY(Data!$C$21:$C$1327)&gt;0,TEXT(Data!$C$21:$C$1327, "mmmm"),"")</f>
        <v>novembre</v>
      </c>
      <c r="F975" s="29" t="str">
        <f>IF(DAY(Data!$C$21:$C$1327)&gt;0,TEXT(Data!$C$21:$C$1327, "aaaa"),"")</f>
        <v>2024</v>
      </c>
      <c r="I975" t="str">
        <f>IF(OR(H975=$B$5,H975=$B$6,H975=$B$7,H975=$B$8,H975=$B$9,H975=$B$10,H975=$B$11,H975=$B$12,H975=$B$13,H975=$B$14),SottocategorieUscite[[#Headers],[Fuori Casa]],IF(OR(H975=$C$5,H975=$C$6,H975=$C$7,H975=$C$8,H975=$C$9,H975=$C$10,H975=$C$11,H975=$C$12,H975=$C$13,H975=$C$14),SottocategorieUscite[[#Headers],[Varie Uscite]],IF(OR(H975=$D$5,H975=$D$6,H975=$D$7,H975=$D$8,H975=$D$9,H975=$D$10,H975=$D$11,H975=$D$12,H975=$D$13,H975=$D$14),SottocategorieUscite[[#Headers],[Personali]],IF(OR(H975=$E$5,H975=$E$6,H975=$E$7,H975=$E$8,H975=$E$9,H975=$E$10,H975=$E$11,H975=$E$12,H975=$E$13,H975=$E$14),SottocategorieUscite[[#Headers],[Lavoro]],IF(OR(H975=$F$5,H975=$F$6,H975=$F$7,H975=$F$8,H975=$F$9,H975=$F$10,H975=$F$11,H975=$F$12,H975=$F$13,H975=$F$14),SottocategorieUscite[[#Headers],[Casa]],IF(OR(H975=$G$5,H975=$G$6,H975=$G$7,H975=$G$8,H975=$G$9,H975=$G$10,H975=$G$11,H975=$G$12,H975=$G$13,H975=$G$14),SottocategorieUscite[[#Headers],[Utenze]],IF(OR(H975=$H$5,H975=$H$6,H975=$H$7,H975=$H$8,H975=$H$9,H975=$H$10,H975=$H$11,H975=$H$12,H975=$H$13,H975=$H$14),SottocategorieUscite[[#Headers],[Business Uscite]],IF(OR(H975=$I$5,H975=$I$6,H975=$I$7,H975=$I$8,H975=$I$9,H975=$I$10,H975=$I$11,H975=$I$12,H975=$I$13,H975=$I$14),SottocategorieUscite[[#Headers],[Banca]],IF(OR(H975=K$5,H975=K$6,H975=K$7,H975=K$8,H975=K$9,H975=K$10,H975=K$11,H975=K$12,H975=K$13,H975=K$14),SottocategorieEntrate[[#Headers],[Business Entrate]],IF(OR(H975=L$5,H975=L$6,H975=L$7,H975=L$8,H975=L$9,H975=L$10,H975=L$11,H975=L$12,H975=L$13,H975=L$14),SottocategorieEntrate[[#Headers],[Varie Entrate]],IF(OR(H975=M$5,H975=M$6,H975=M$7,H975=M$8,H975=M$9,H975=M$10,H975=M$11,H975=M$12,H975=M$13,H975=M$14),SottocategorieEntrate[[#Headers],[Real Estate]],IF(OR(H975=N$5,H975=N$6,H975=N$7,H975=N$8,H975=N$9,H975=N$10,H975=N$11,H975=N$12,H975=N$13,H975=N$14),SottocategorieEntrate[[#Headers],[Other]],""))))))))))))</f>
        <v/>
      </c>
      <c r="J975" t="str">
        <f>IF(OR(Dati[[#This Row],[Categoria]]="Bollette",Dati[[#This Row],[Categoria]]="Conto &amp; Carte BNL",Dati[[#This Row],[Categoria]]="Prelievo",Dati[[#This Row],[Categoria]]="Affitto",Dati[[#This Row],[Categoria]]="BNL(Interessi Creditori)"),"Carta",IF(Dati[[#This Row],[Categoria]]&lt;&gt;0,"Cash",""))</f>
        <v/>
      </c>
      <c r="K975" s="59" t="str">
        <f>IF(OR(Data!$I975=SottocategorieUscite[[#Headers],[Fuori Casa]],Data!$I975=SottocategorieUscite[[#Headers],[Varie Uscite]],Data!$I975=SottocategorieUscite[[#Headers],[Personali]],Data!$I975=SottocategorieUscite[[#Headers],[Lavoro]]),"$ -","")</f>
        <v/>
      </c>
      <c r="L975" s="59" t="str">
        <f>IF(OR(Data!$I975=SottocategorieUscite[[#Headers],[Casa]],Data!$I975=SottocategorieUscite[[#Headers],[Utenze]],Data!$I975=SottocategorieUscite[[#Headers],[Business Uscite]],Data!$I975=SottocategorieUscite[[#Headers],[Banca]]),"$ -","")</f>
        <v/>
      </c>
      <c r="M975" s="59" t="str">
        <f>IF(OR($I975&lt;&gt;SottocategorieUscite[[#Headers],[Fuori Casa]],$I975&lt;&gt;SottocategorieUscite[[#Headers],[Varie Uscite]],$I975&lt;&gt;SottocategorieUscite[[#Headers],[Personali]],$I975&lt;&gt;SottocategorieUscite[[#Headers],[Lavoro]],$I975&lt;&gt;SottocategorieUscite[[#Headers],[Casa]],$I975&lt;&gt;SottocategorieUscite[[#Headers],[Utenze]],$I975&lt;&gt;SottocategorieUscite[[#Headers],[Business Uscite]],$I975&lt;&gt;SottocategorieUscite[[#Headers],[Banca]]),"","$ -")</f>
        <v/>
      </c>
      <c r="N975" s="59" t="str">
        <f>IF(OR(Data!$I975=SottocategorieEntrate[[#Headers],[Business Entrate]],Data!$I975=SottocategorieEntrate[[#Headers],[Varie Entrate]]),"$ -","")</f>
        <v/>
      </c>
      <c r="O975" s="59" t="str">
        <f>IF(OR(Data!$I975=SottocategorieEntrate[[#Headers],[Real Estate]],SottocategorieEntrate[[#Headers],[Other]]),"$ -","")</f>
        <v/>
      </c>
      <c r="P975" s="59" t="str">
        <f>IF(OR($I975&lt;&gt;SottocategorieEntrate[[#Headers],[Business Entrate]],$I975&lt;&gt;SottocategorieEntrate[[#Headers],[Varie Entrate]],$I975&lt;&gt;SottocategorieEntrate[[#Headers],[Real Estate]],$I975&lt;&gt;SottocategorieEntrate[[#Headers],[Other]]),"","$ -")</f>
        <v/>
      </c>
      <c r="Q975" s="59" t="str">
        <f>IF(Dati[[#This Row],[Categoria]]="Prelievo","€ -","")</f>
        <v/>
      </c>
      <c r="R975" s="244"/>
      <c r="S975" s="59" t="str">
        <f>IF(Dati[[#This Row],[Categoria]]="Savings",0,"")</f>
        <v/>
      </c>
      <c r="T975" s="59"/>
      <c r="U975" s="59"/>
      <c r="V975" s="59"/>
      <c r="W975" s="59"/>
      <c r="X975" s="59"/>
      <c r="Y975" s="59"/>
      <c r="Z975" s="59"/>
      <c r="AA975" s="59"/>
      <c r="AB975" s="59"/>
      <c r="AC975" s="59"/>
      <c r="AD975" s="59"/>
      <c r="AE975" s="59"/>
      <c r="AF975" s="59"/>
      <c r="AG975" s="59"/>
      <c r="AH975" s="59"/>
      <c r="AI975" s="59" t="str">
        <f>IF(SUM(Dati[[#This Row],[Inv. Business]:[Inv. Cryptocurrency]])=0," ",SUM(Dati[[#This Row],[Inv. Business]:[Inv. Cryptocurrency]]))</f>
        <v xml:space="preserve"> </v>
      </c>
      <c r="AJ975" s="59"/>
      <c r="AK975" s="59"/>
      <c r="AL975" s="59"/>
      <c r="AM975" s="59"/>
    </row>
    <row r="976" spans="2:39" x14ac:dyDescent="0.35">
      <c r="B976" s="237">
        <f>ROW(928:928)</f>
        <v>928</v>
      </c>
      <c r="C976" s="49">
        <f>C974+1</f>
        <v>45627</v>
      </c>
      <c r="D976" s="29">
        <f>DAY(Dati[[#This Row],[Data]])</f>
        <v>1</v>
      </c>
      <c r="E976" s="29" t="str">
        <f>IF(DAY(Data!$C$21:$C$1327)&gt;0,TEXT(Data!$C$21:$C$1327, "mmmm"),"")</f>
        <v>dicembre</v>
      </c>
      <c r="F976" s="29" t="str">
        <f>IF(DAY(Data!$C$21:$C$1327)&gt;0,TEXT(Data!$C$21:$C$1327, "aaaa"),"")</f>
        <v>2024</v>
      </c>
      <c r="I976" t="str">
        <f>IF(OR(H976=$B$5,H976=$B$6,H976=$B$7,H976=$B$8,H976=$B$9,H976=$B$10,H976=$B$11,H976=$B$12,H976=$B$13,H976=$B$14),SottocategorieUscite[[#Headers],[Fuori Casa]],IF(OR(H976=$C$5,H976=$C$6,H976=$C$7,H976=$C$8,H976=$C$9,H976=$C$10,H976=$C$11,H976=$C$12,H976=$C$13,H976=$C$14),SottocategorieUscite[[#Headers],[Varie Uscite]],IF(OR(H976=$D$5,H976=$D$6,H976=$D$7,H976=$D$8,H976=$D$9,H976=$D$10,H976=$D$11,H976=$D$12,H976=$D$13,H976=$D$14),SottocategorieUscite[[#Headers],[Personali]],IF(OR(H976=$E$5,H976=$E$6,H976=$E$7,H976=$E$8,H976=$E$9,H976=$E$10,H976=$E$11,H976=$E$12,H976=$E$13,H976=$E$14),SottocategorieUscite[[#Headers],[Lavoro]],IF(OR(H976=$F$5,H976=$F$6,H976=$F$7,H976=$F$8,H976=$F$9,H976=$F$10,H976=$F$11,H976=$F$12,H976=$F$13,H976=$F$14),SottocategorieUscite[[#Headers],[Casa]],IF(OR(H976=$G$5,H976=$G$6,H976=$G$7,H976=$G$8,H976=$G$9,H976=$G$10,H976=$G$11,H976=$G$12,H976=$G$13,H976=$G$14),SottocategorieUscite[[#Headers],[Utenze]],IF(OR(H976=$H$5,H976=$H$6,H976=$H$7,H976=$H$8,H976=$H$9,H976=$H$10,H976=$H$11,H976=$H$12,H976=$H$13,H976=$H$14),SottocategorieUscite[[#Headers],[Business Uscite]],IF(OR(H976=$I$5,H976=$I$6,H976=$I$7,H976=$I$8,H976=$I$9,H976=$I$10,H976=$I$11,H976=$I$12,H976=$I$13,H976=$I$14),SottocategorieUscite[[#Headers],[Banca]],IF(OR(H976=K$5,H976=K$6,H976=K$7,H976=K$8,H976=K$9,H976=K$10,H976=K$11,H976=K$12,H976=K$13,H976=K$14),SottocategorieEntrate[[#Headers],[Business Entrate]],IF(OR(H976=L$5,H976=L$6,H976=L$7,H976=L$8,H976=L$9,H976=L$10,H976=L$11,H976=L$12,H976=L$13,H976=L$14),SottocategorieEntrate[[#Headers],[Varie Entrate]],IF(OR(H976=M$5,H976=M$6,H976=M$7,H976=M$8,H976=M$9,H976=M$10,H976=M$11,H976=M$12,H976=M$13,H976=M$14),SottocategorieEntrate[[#Headers],[Real Estate]],IF(OR(H976=N$5,H976=N$6,H976=N$7,H976=N$8,H976=N$9,H976=N$10,H976=N$11,H976=N$12,H976=N$13,H976=N$14),SottocategorieEntrate[[#Headers],[Other]],""))))))))))))</f>
        <v/>
      </c>
      <c r="J976" t="str">
        <f>IF(OR(Dati[[#This Row],[Categoria]]="Bollette",Dati[[#This Row],[Categoria]]="Conto &amp; Carte BNL",Dati[[#This Row],[Categoria]]="Prelievo",Dati[[#This Row],[Categoria]]="Affitto",Dati[[#This Row],[Categoria]]="BNL(Interessi Creditori)"),"Carta",IF(Dati[[#This Row],[Categoria]]&lt;&gt;0,"Cash",""))</f>
        <v/>
      </c>
      <c r="K976" s="59" t="str">
        <f>IF(OR(Data!$I976=SottocategorieUscite[[#Headers],[Fuori Casa]],Data!$I976=SottocategorieUscite[[#Headers],[Varie Uscite]],Data!$I976=SottocategorieUscite[[#Headers],[Personali]],Data!$I976=SottocategorieUscite[[#Headers],[Lavoro]]),"$ -","")</f>
        <v/>
      </c>
      <c r="L976" s="59" t="str">
        <f>IF(OR(Data!$I976=SottocategorieUscite[[#Headers],[Casa]],Data!$I976=SottocategorieUscite[[#Headers],[Utenze]],Data!$I976=SottocategorieUscite[[#Headers],[Business Uscite]],Data!$I976=SottocategorieUscite[[#Headers],[Banca]]),"$ -","")</f>
        <v/>
      </c>
      <c r="M976" s="59" t="str">
        <f>IF(OR($I976&lt;&gt;SottocategorieUscite[[#Headers],[Fuori Casa]],$I976&lt;&gt;SottocategorieUscite[[#Headers],[Varie Uscite]],$I976&lt;&gt;SottocategorieUscite[[#Headers],[Personali]],$I976&lt;&gt;SottocategorieUscite[[#Headers],[Lavoro]],$I976&lt;&gt;SottocategorieUscite[[#Headers],[Casa]],$I976&lt;&gt;SottocategorieUscite[[#Headers],[Utenze]],$I976&lt;&gt;SottocategorieUscite[[#Headers],[Business Uscite]],$I976&lt;&gt;SottocategorieUscite[[#Headers],[Banca]]),"","$ -")</f>
        <v/>
      </c>
      <c r="N976" s="59" t="str">
        <f>IF(OR(Data!$I976=SottocategorieEntrate[[#Headers],[Business Entrate]],Data!$I976=SottocategorieEntrate[[#Headers],[Varie Entrate]]),"$ -","")</f>
        <v/>
      </c>
      <c r="O976" s="59" t="str">
        <f>IF(OR(Data!$I976=SottocategorieEntrate[[#Headers],[Real Estate]],SottocategorieEntrate[[#Headers],[Other]]),"$ -","")</f>
        <v/>
      </c>
      <c r="P976" s="59" t="str">
        <f>IF(OR($I976&lt;&gt;SottocategorieEntrate[[#Headers],[Business Entrate]],$I976&lt;&gt;SottocategorieEntrate[[#Headers],[Varie Entrate]],$I976&lt;&gt;SottocategorieEntrate[[#Headers],[Real Estate]],$I976&lt;&gt;SottocategorieEntrate[[#Headers],[Other]]),"","$ -")</f>
        <v/>
      </c>
      <c r="Q976" s="59" t="str">
        <f>IF(Dati[[#This Row],[Categoria]]="Prelievo","€ -","")</f>
        <v/>
      </c>
      <c r="R976" s="244"/>
      <c r="S976" s="59" t="str">
        <f>IF(Dati[[#This Row],[Categoria]]="Savings",0,"")</f>
        <v/>
      </c>
      <c r="T976" s="59"/>
      <c r="U976" s="59"/>
      <c r="V976" s="59"/>
      <c r="W976" s="59"/>
      <c r="X976" s="59"/>
      <c r="Y976" s="59"/>
      <c r="Z976" s="59"/>
      <c r="AA976" s="59"/>
      <c r="AB976" s="59"/>
      <c r="AC976" s="59"/>
      <c r="AD976" s="59"/>
      <c r="AE976" s="59"/>
      <c r="AF976" s="59"/>
      <c r="AG976" s="59"/>
      <c r="AH976" s="59"/>
      <c r="AI976" s="59" t="str">
        <f>IF(SUM(Dati[[#This Row],[Inv. Business]:[Inv. Cryptocurrency]])=0," ",SUM(Dati[[#This Row],[Inv. Business]:[Inv. Cryptocurrency]]))</f>
        <v xml:space="preserve"> </v>
      </c>
      <c r="AJ976" s="59"/>
      <c r="AK976" s="59"/>
      <c r="AL976" s="59"/>
      <c r="AM976" s="59"/>
    </row>
    <row r="977" spans="2:39" x14ac:dyDescent="0.35">
      <c r="B977" s="237">
        <f>ROW(927:927)</f>
        <v>927</v>
      </c>
      <c r="C977" s="49">
        <f>C974+1</f>
        <v>45627</v>
      </c>
      <c r="D977" s="29">
        <f>DAY(Dati[[#This Row],[Data]])</f>
        <v>1</v>
      </c>
      <c r="E977" s="29" t="str">
        <f>IF(DAY(Data!$C$21:$C$1327)&gt;0,TEXT(Data!$C$21:$C$1327, "mmmm"),"")</f>
        <v>dicembre</v>
      </c>
      <c r="F977" s="29" t="str">
        <f>IF(DAY(Data!$C$21:$C$1327)&gt;0,TEXT(Data!$C$21:$C$1327, "aaaa"),"")</f>
        <v>2024</v>
      </c>
      <c r="I977" t="str">
        <f>IF(OR(H977=$B$5,H977=$B$6,H977=$B$7,H977=$B$8,H977=$B$9,H977=$B$10,H977=$B$11,H977=$B$12,H977=$B$13,H977=$B$14),SottocategorieUscite[[#Headers],[Fuori Casa]],IF(OR(H977=$C$5,H977=$C$6,H977=$C$7,H977=$C$8,H977=$C$9,H977=$C$10,H977=$C$11,H977=$C$12,H977=$C$13,H977=$C$14),SottocategorieUscite[[#Headers],[Varie Uscite]],IF(OR(H977=$D$5,H977=$D$6,H977=$D$7,H977=$D$8,H977=$D$9,H977=$D$10,H977=$D$11,H977=$D$12,H977=$D$13,H977=$D$14),SottocategorieUscite[[#Headers],[Personali]],IF(OR(H977=$E$5,H977=$E$6,H977=$E$7,H977=$E$8,H977=$E$9,H977=$E$10,H977=$E$11,H977=$E$12,H977=$E$13,H977=$E$14),SottocategorieUscite[[#Headers],[Lavoro]],IF(OR(H977=$F$5,H977=$F$6,H977=$F$7,H977=$F$8,H977=$F$9,H977=$F$10,H977=$F$11,H977=$F$12,H977=$F$13,H977=$F$14),SottocategorieUscite[[#Headers],[Casa]],IF(OR(H977=$G$5,H977=$G$6,H977=$G$7,H977=$G$8,H977=$G$9,H977=$G$10,H977=$G$11,H977=$G$12,H977=$G$13,H977=$G$14),SottocategorieUscite[[#Headers],[Utenze]],IF(OR(H977=$H$5,H977=$H$6,H977=$H$7,H977=$H$8,H977=$H$9,H977=$H$10,H977=$H$11,H977=$H$12,H977=$H$13,H977=$H$14),SottocategorieUscite[[#Headers],[Business Uscite]],IF(OR(H977=$I$5,H977=$I$6,H977=$I$7,H977=$I$8,H977=$I$9,H977=$I$10,H977=$I$11,H977=$I$12,H977=$I$13,H977=$I$14),SottocategorieUscite[[#Headers],[Banca]],IF(OR(H977=K$5,H977=K$6,H977=K$7,H977=K$8,H977=K$9,H977=K$10,H977=K$11,H977=K$12,H977=K$13,H977=K$14),SottocategorieEntrate[[#Headers],[Business Entrate]],IF(OR(H977=L$5,H977=L$6,H977=L$7,H977=L$8,H977=L$9,H977=L$10,H977=L$11,H977=L$12,H977=L$13,H977=L$14),SottocategorieEntrate[[#Headers],[Varie Entrate]],IF(OR(H977=M$5,H977=M$6,H977=M$7,H977=M$8,H977=M$9,H977=M$10,H977=M$11,H977=M$12,H977=M$13,H977=M$14),SottocategorieEntrate[[#Headers],[Real Estate]],IF(OR(H977=N$5,H977=N$6,H977=N$7,H977=N$8,H977=N$9,H977=N$10,H977=N$11,H977=N$12,H977=N$13,H977=N$14),SottocategorieEntrate[[#Headers],[Other]],""))))))))))))</f>
        <v/>
      </c>
      <c r="J977" t="str">
        <f>IF(OR(Dati[[#This Row],[Categoria]]="Bollette",Dati[[#This Row],[Categoria]]="Conto &amp; Carte BNL",Dati[[#This Row],[Categoria]]="Prelievo",Dati[[#This Row],[Categoria]]="Affitto",Dati[[#This Row],[Categoria]]="BNL(Interessi Creditori)"),"Carta",IF(Dati[[#This Row],[Categoria]]&lt;&gt;0,"Cash",""))</f>
        <v/>
      </c>
      <c r="K977" s="59" t="str">
        <f>IF(OR(Data!$I977=SottocategorieUscite[[#Headers],[Fuori Casa]],Data!$I977=SottocategorieUscite[[#Headers],[Varie Uscite]],Data!$I977=SottocategorieUscite[[#Headers],[Personali]],Data!$I977=SottocategorieUscite[[#Headers],[Lavoro]]),"$ -","")</f>
        <v/>
      </c>
      <c r="L977" s="59" t="str">
        <f>IF(OR(Data!$I977=SottocategorieUscite[[#Headers],[Casa]],Data!$I977=SottocategorieUscite[[#Headers],[Utenze]],Data!$I977=SottocategorieUscite[[#Headers],[Business Uscite]],Data!$I977=SottocategorieUscite[[#Headers],[Banca]]),"$ -","")</f>
        <v/>
      </c>
      <c r="M977" s="59" t="str">
        <f>IF(OR($I977&lt;&gt;SottocategorieUscite[[#Headers],[Fuori Casa]],$I977&lt;&gt;SottocategorieUscite[[#Headers],[Varie Uscite]],$I977&lt;&gt;SottocategorieUscite[[#Headers],[Personali]],$I977&lt;&gt;SottocategorieUscite[[#Headers],[Lavoro]],$I977&lt;&gt;SottocategorieUscite[[#Headers],[Casa]],$I977&lt;&gt;SottocategorieUscite[[#Headers],[Utenze]],$I977&lt;&gt;SottocategorieUscite[[#Headers],[Business Uscite]],$I977&lt;&gt;SottocategorieUscite[[#Headers],[Banca]]),"","$ -")</f>
        <v/>
      </c>
      <c r="N977" s="59" t="str">
        <f>IF(OR(Data!$I977=SottocategorieEntrate[[#Headers],[Business Entrate]],Data!$I977=SottocategorieEntrate[[#Headers],[Varie Entrate]]),"$ -","")</f>
        <v/>
      </c>
      <c r="O977" s="59" t="str">
        <f>IF(OR(Data!$I977=SottocategorieEntrate[[#Headers],[Real Estate]],SottocategorieEntrate[[#Headers],[Other]]),"$ -","")</f>
        <v/>
      </c>
      <c r="P977" s="59" t="str">
        <f>IF(OR($I977&lt;&gt;SottocategorieEntrate[[#Headers],[Business Entrate]],$I977&lt;&gt;SottocategorieEntrate[[#Headers],[Varie Entrate]],$I977&lt;&gt;SottocategorieEntrate[[#Headers],[Real Estate]],$I977&lt;&gt;SottocategorieEntrate[[#Headers],[Other]]),"","$ -")</f>
        <v/>
      </c>
      <c r="Q977" s="59" t="str">
        <f>IF(Dati[[#This Row],[Categoria]]="Prelievo","€ -","")</f>
        <v/>
      </c>
      <c r="R977" s="244"/>
      <c r="S977" s="59" t="str">
        <f>IF(Dati[[#This Row],[Categoria]]="Savings",0,"")</f>
        <v/>
      </c>
      <c r="T977" s="59"/>
      <c r="U977" s="59"/>
      <c r="V977" s="59"/>
      <c r="W977" s="59"/>
      <c r="X977" s="59"/>
      <c r="Y977" s="59"/>
      <c r="Z977" s="59"/>
      <c r="AA977" s="59"/>
      <c r="AB977" s="59"/>
      <c r="AC977" s="59"/>
      <c r="AD977" s="59"/>
      <c r="AE977" s="59"/>
      <c r="AF977" s="59"/>
      <c r="AG977" s="59"/>
      <c r="AH977" s="59"/>
      <c r="AI977" s="59" t="str">
        <f>IF(SUM(Dati[[#This Row],[Inv. Business]:[Inv. Cryptocurrency]])=0," ",SUM(Dati[[#This Row],[Inv. Business]:[Inv. Cryptocurrency]]))</f>
        <v xml:space="preserve"> </v>
      </c>
      <c r="AJ977" s="59"/>
      <c r="AK977" s="59"/>
      <c r="AL977" s="59"/>
      <c r="AM977" s="59"/>
    </row>
    <row r="978" spans="2:39" x14ac:dyDescent="0.35">
      <c r="B978" s="237">
        <f>ROW(928:928)</f>
        <v>928</v>
      </c>
      <c r="C978" s="49">
        <f>C975+1</f>
        <v>45627</v>
      </c>
      <c r="D978" s="29">
        <f>DAY(Dati[[#This Row],[Data]])</f>
        <v>1</v>
      </c>
      <c r="E978" s="29" t="str">
        <f>IF(DAY(Data!$C$21:$C$1327)&gt;0,TEXT(Data!$C$21:$C$1327, "mmmm"),"")</f>
        <v>dicembre</v>
      </c>
      <c r="F978" s="29" t="str">
        <f>IF(DAY(Data!$C$21:$C$1327)&gt;0,TEXT(Data!$C$21:$C$1327, "aaaa"),"")</f>
        <v>2024</v>
      </c>
      <c r="I978" t="str">
        <f>IF(OR(H978=$B$5,H978=$B$6,H978=$B$7,H978=$B$8,H978=$B$9,H978=$B$10,H978=$B$11,H978=$B$12,H978=$B$13,H978=$B$14),SottocategorieUscite[[#Headers],[Fuori Casa]],IF(OR(H978=$C$5,H978=$C$6,H978=$C$7,H978=$C$8,H978=$C$9,H978=$C$10,H978=$C$11,H978=$C$12,H978=$C$13,H978=$C$14),SottocategorieUscite[[#Headers],[Varie Uscite]],IF(OR(H978=$D$5,H978=$D$6,H978=$D$7,H978=$D$8,H978=$D$9,H978=$D$10,H978=$D$11,H978=$D$12,H978=$D$13,H978=$D$14),SottocategorieUscite[[#Headers],[Personali]],IF(OR(H978=$E$5,H978=$E$6,H978=$E$7,H978=$E$8,H978=$E$9,H978=$E$10,H978=$E$11,H978=$E$12,H978=$E$13,H978=$E$14),SottocategorieUscite[[#Headers],[Lavoro]],IF(OR(H978=$F$5,H978=$F$6,H978=$F$7,H978=$F$8,H978=$F$9,H978=$F$10,H978=$F$11,H978=$F$12,H978=$F$13,H978=$F$14),SottocategorieUscite[[#Headers],[Casa]],IF(OR(H978=$G$5,H978=$G$6,H978=$G$7,H978=$G$8,H978=$G$9,H978=$G$10,H978=$G$11,H978=$G$12,H978=$G$13,H978=$G$14),SottocategorieUscite[[#Headers],[Utenze]],IF(OR(H978=$H$5,H978=$H$6,H978=$H$7,H978=$H$8,H978=$H$9,H978=$H$10,H978=$H$11,H978=$H$12,H978=$H$13,H978=$H$14),SottocategorieUscite[[#Headers],[Business Uscite]],IF(OR(H978=$I$5,H978=$I$6,H978=$I$7,H978=$I$8,H978=$I$9,H978=$I$10,H978=$I$11,H978=$I$12,H978=$I$13,H978=$I$14),SottocategorieUscite[[#Headers],[Banca]],IF(OR(H978=K$5,H978=K$6,H978=K$7,H978=K$8,H978=K$9,H978=K$10,H978=K$11,H978=K$12,H978=K$13,H978=K$14),SottocategorieEntrate[[#Headers],[Business Entrate]],IF(OR(H978=L$5,H978=L$6,H978=L$7,H978=L$8,H978=L$9,H978=L$10,H978=L$11,H978=L$12,H978=L$13,H978=L$14),SottocategorieEntrate[[#Headers],[Varie Entrate]],IF(OR(H978=M$5,H978=M$6,H978=M$7,H978=M$8,H978=M$9,H978=M$10,H978=M$11,H978=M$12,H978=M$13,H978=M$14),SottocategorieEntrate[[#Headers],[Real Estate]],IF(OR(H978=N$5,H978=N$6,H978=N$7,H978=N$8,H978=N$9,H978=N$10,H978=N$11,H978=N$12,H978=N$13,H978=N$14),SottocategorieEntrate[[#Headers],[Other]],""))))))))))))</f>
        <v/>
      </c>
      <c r="J978" t="str">
        <f>IF(OR(Dati[[#This Row],[Categoria]]="Bollette",Dati[[#This Row],[Categoria]]="Conto &amp; Carte BNL",Dati[[#This Row],[Categoria]]="Prelievo",Dati[[#This Row],[Categoria]]="Affitto",Dati[[#This Row],[Categoria]]="BNL(Interessi Creditori)"),"Carta",IF(Dati[[#This Row],[Categoria]]&lt;&gt;0,"Cash",""))</f>
        <v/>
      </c>
      <c r="K978" s="59" t="str">
        <f>IF(OR(Data!$I978=SottocategorieUscite[[#Headers],[Fuori Casa]],Data!$I978=SottocategorieUscite[[#Headers],[Varie Uscite]],Data!$I978=SottocategorieUscite[[#Headers],[Personali]],Data!$I978=SottocategorieUscite[[#Headers],[Lavoro]]),"$ -","")</f>
        <v/>
      </c>
      <c r="L978" s="59" t="str">
        <f>IF(OR(Data!$I978=SottocategorieUscite[[#Headers],[Casa]],Data!$I978=SottocategorieUscite[[#Headers],[Utenze]],Data!$I978=SottocategorieUscite[[#Headers],[Business Uscite]],Data!$I978=SottocategorieUscite[[#Headers],[Banca]]),"$ -","")</f>
        <v/>
      </c>
      <c r="M978" s="59" t="str">
        <f>IF(OR($I978&lt;&gt;SottocategorieUscite[[#Headers],[Fuori Casa]],$I978&lt;&gt;SottocategorieUscite[[#Headers],[Varie Uscite]],$I978&lt;&gt;SottocategorieUscite[[#Headers],[Personali]],$I978&lt;&gt;SottocategorieUscite[[#Headers],[Lavoro]],$I978&lt;&gt;SottocategorieUscite[[#Headers],[Casa]],$I978&lt;&gt;SottocategorieUscite[[#Headers],[Utenze]],$I978&lt;&gt;SottocategorieUscite[[#Headers],[Business Uscite]],$I978&lt;&gt;SottocategorieUscite[[#Headers],[Banca]]),"","$ -")</f>
        <v/>
      </c>
      <c r="N978" s="59" t="str">
        <f>IF(OR(Data!$I978=SottocategorieEntrate[[#Headers],[Business Entrate]],Data!$I978=SottocategorieEntrate[[#Headers],[Varie Entrate]]),"$ -","")</f>
        <v/>
      </c>
      <c r="O978" s="59" t="str">
        <f>IF(OR(Data!$I978=SottocategorieEntrate[[#Headers],[Real Estate]],SottocategorieEntrate[[#Headers],[Other]]),"$ -","")</f>
        <v/>
      </c>
      <c r="P978" s="59" t="str">
        <f>IF(OR($I978&lt;&gt;SottocategorieEntrate[[#Headers],[Business Entrate]],$I978&lt;&gt;SottocategorieEntrate[[#Headers],[Varie Entrate]],$I978&lt;&gt;SottocategorieEntrate[[#Headers],[Real Estate]],$I978&lt;&gt;SottocategorieEntrate[[#Headers],[Other]]),"","$ -")</f>
        <v/>
      </c>
      <c r="Q978" s="59" t="str">
        <f>IF(Dati[[#This Row],[Categoria]]="Prelievo","€ -","")</f>
        <v/>
      </c>
      <c r="R978" s="244"/>
      <c r="S978" s="59" t="str">
        <f>IF(Dati[[#This Row],[Categoria]]="Savings",0,"")</f>
        <v/>
      </c>
      <c r="T978" s="59"/>
      <c r="U978" s="59"/>
      <c r="V978" s="59"/>
      <c r="W978" s="59"/>
      <c r="X978" s="59"/>
      <c r="Y978" s="59"/>
      <c r="Z978" s="59"/>
      <c r="AA978" s="59"/>
      <c r="AB978" s="59"/>
      <c r="AC978" s="59"/>
      <c r="AD978" s="59"/>
      <c r="AE978" s="59"/>
      <c r="AF978" s="59"/>
      <c r="AG978" s="59"/>
      <c r="AH978" s="59"/>
      <c r="AI978" s="59" t="str">
        <f>IF(SUM(Dati[[#This Row],[Inv. Business]:[Inv. Cryptocurrency]])=0," ",SUM(Dati[[#This Row],[Inv. Business]:[Inv. Cryptocurrency]]))</f>
        <v xml:space="preserve"> </v>
      </c>
      <c r="AJ978" s="59"/>
      <c r="AK978" s="59"/>
      <c r="AL978" s="59"/>
      <c r="AM978" s="59"/>
    </row>
    <row r="979" spans="2:39" x14ac:dyDescent="0.35">
      <c r="B979" s="237">
        <f>ROW(928:928)</f>
        <v>928</v>
      </c>
      <c r="C979" s="49">
        <f>C975+1</f>
        <v>45627</v>
      </c>
      <c r="D979" s="29">
        <f>DAY(Dati[[#This Row],[Data]])</f>
        <v>1</v>
      </c>
      <c r="E979" s="29" t="str">
        <f>IF(DAY(Data!$C$21:$C$1327)&gt;0,TEXT(Data!$C$21:$C$1327, "mmmm"),"")</f>
        <v>dicembre</v>
      </c>
      <c r="F979" s="29" t="str">
        <f>IF(DAY(Data!$C$21:$C$1327)&gt;0,TEXT(Data!$C$21:$C$1327, "aaaa"),"")</f>
        <v>2024</v>
      </c>
      <c r="I979" t="str">
        <f>IF(OR(H979=$B$5,H979=$B$6,H979=$B$7,H979=$B$8,H979=$B$9,H979=$B$10,H979=$B$11,H979=$B$12,H979=$B$13,H979=$B$14),SottocategorieUscite[[#Headers],[Fuori Casa]],IF(OR(H979=$C$5,H979=$C$6,H979=$C$7,H979=$C$8,H979=$C$9,H979=$C$10,H979=$C$11,H979=$C$12,H979=$C$13,H979=$C$14),SottocategorieUscite[[#Headers],[Varie Uscite]],IF(OR(H979=$D$5,H979=$D$6,H979=$D$7,H979=$D$8,H979=$D$9,H979=$D$10,H979=$D$11,H979=$D$12,H979=$D$13,H979=$D$14),SottocategorieUscite[[#Headers],[Personali]],IF(OR(H979=$E$5,H979=$E$6,H979=$E$7,H979=$E$8,H979=$E$9,H979=$E$10,H979=$E$11,H979=$E$12,H979=$E$13,H979=$E$14),SottocategorieUscite[[#Headers],[Lavoro]],IF(OR(H979=$F$5,H979=$F$6,H979=$F$7,H979=$F$8,H979=$F$9,H979=$F$10,H979=$F$11,H979=$F$12,H979=$F$13,H979=$F$14),SottocategorieUscite[[#Headers],[Casa]],IF(OR(H979=$G$5,H979=$G$6,H979=$G$7,H979=$G$8,H979=$G$9,H979=$G$10,H979=$G$11,H979=$G$12,H979=$G$13,H979=$G$14),SottocategorieUscite[[#Headers],[Utenze]],IF(OR(H979=$H$5,H979=$H$6,H979=$H$7,H979=$H$8,H979=$H$9,H979=$H$10,H979=$H$11,H979=$H$12,H979=$H$13,H979=$H$14),SottocategorieUscite[[#Headers],[Business Uscite]],IF(OR(H979=$I$5,H979=$I$6,H979=$I$7,H979=$I$8,H979=$I$9,H979=$I$10,H979=$I$11,H979=$I$12,H979=$I$13,H979=$I$14),SottocategorieUscite[[#Headers],[Banca]],IF(OR(H979=K$5,H979=K$6,H979=K$7,H979=K$8,H979=K$9,H979=K$10,H979=K$11,H979=K$12,H979=K$13,H979=K$14),SottocategorieEntrate[[#Headers],[Business Entrate]],IF(OR(H979=L$5,H979=L$6,H979=L$7,H979=L$8,H979=L$9,H979=L$10,H979=L$11,H979=L$12,H979=L$13,H979=L$14),SottocategorieEntrate[[#Headers],[Varie Entrate]],IF(OR(H979=M$5,H979=M$6,H979=M$7,H979=M$8,H979=M$9,H979=M$10,H979=M$11,H979=M$12,H979=M$13,H979=M$14),SottocategorieEntrate[[#Headers],[Real Estate]],IF(OR(H979=N$5,H979=N$6,H979=N$7,H979=N$8,H979=N$9,H979=N$10,H979=N$11,H979=N$12,H979=N$13,H979=N$14),SottocategorieEntrate[[#Headers],[Other]],""))))))))))))</f>
        <v/>
      </c>
      <c r="J979" t="str">
        <f>IF(OR(Dati[[#This Row],[Categoria]]="Bollette",Dati[[#This Row],[Categoria]]="Conto &amp; Carte BNL",Dati[[#This Row],[Categoria]]="Prelievo",Dati[[#This Row],[Categoria]]="Affitto",Dati[[#This Row],[Categoria]]="BNL(Interessi Creditori)"),"Carta",IF(Dati[[#This Row],[Categoria]]&lt;&gt;0,"Cash",""))</f>
        <v/>
      </c>
      <c r="K979" s="59" t="str">
        <f>IF(OR(Data!$I979=SottocategorieUscite[[#Headers],[Fuori Casa]],Data!$I979=SottocategorieUscite[[#Headers],[Varie Uscite]],Data!$I979=SottocategorieUscite[[#Headers],[Personali]],Data!$I979=SottocategorieUscite[[#Headers],[Lavoro]]),"$ -","")</f>
        <v/>
      </c>
      <c r="L979" s="59" t="str">
        <f>IF(OR(Data!$I979=SottocategorieUscite[[#Headers],[Casa]],Data!$I979=SottocategorieUscite[[#Headers],[Utenze]],Data!$I979=SottocategorieUscite[[#Headers],[Business Uscite]],Data!$I979=SottocategorieUscite[[#Headers],[Banca]]),"$ -","")</f>
        <v/>
      </c>
      <c r="M979" s="59" t="str">
        <f>IF(OR($I979&lt;&gt;SottocategorieUscite[[#Headers],[Fuori Casa]],$I979&lt;&gt;SottocategorieUscite[[#Headers],[Varie Uscite]],$I979&lt;&gt;SottocategorieUscite[[#Headers],[Personali]],$I979&lt;&gt;SottocategorieUscite[[#Headers],[Lavoro]],$I979&lt;&gt;SottocategorieUscite[[#Headers],[Casa]],$I979&lt;&gt;SottocategorieUscite[[#Headers],[Utenze]],$I979&lt;&gt;SottocategorieUscite[[#Headers],[Business Uscite]],$I979&lt;&gt;SottocategorieUscite[[#Headers],[Banca]]),"","$ -")</f>
        <v/>
      </c>
      <c r="N979" s="59" t="str">
        <f>IF(OR(Data!$I979=SottocategorieEntrate[[#Headers],[Business Entrate]],Data!$I979=SottocategorieEntrate[[#Headers],[Varie Entrate]]),"$ -","")</f>
        <v/>
      </c>
      <c r="O979" s="59" t="str">
        <f>IF(OR(Data!$I979=SottocategorieEntrate[[#Headers],[Real Estate]],SottocategorieEntrate[[#Headers],[Other]]),"$ -","")</f>
        <v/>
      </c>
      <c r="P979" s="59" t="str">
        <f>IF(OR($I979&lt;&gt;SottocategorieEntrate[[#Headers],[Business Entrate]],$I979&lt;&gt;SottocategorieEntrate[[#Headers],[Varie Entrate]],$I979&lt;&gt;SottocategorieEntrate[[#Headers],[Real Estate]],$I979&lt;&gt;SottocategorieEntrate[[#Headers],[Other]]),"","$ -")</f>
        <v/>
      </c>
      <c r="Q979" s="59" t="str">
        <f>IF(Dati[[#This Row],[Categoria]]="Prelievo","€ -","")</f>
        <v/>
      </c>
      <c r="R979" s="244"/>
      <c r="S979" s="59" t="str">
        <f>IF(Dati[[#This Row],[Categoria]]="Savings",0,"")</f>
        <v/>
      </c>
      <c r="T979" s="59"/>
      <c r="U979" s="59"/>
      <c r="V979" s="59"/>
      <c r="W979" s="59"/>
      <c r="X979" s="59"/>
      <c r="Y979" s="59"/>
      <c r="Z979" s="59"/>
      <c r="AA979" s="59"/>
      <c r="AB979" s="59"/>
      <c r="AC979" s="59"/>
      <c r="AD979" s="59"/>
      <c r="AE979" s="59"/>
      <c r="AF979" s="59"/>
      <c r="AG979" s="59"/>
      <c r="AH979" s="59"/>
      <c r="AI979" s="59" t="str">
        <f>IF(SUM(Dati[[#This Row],[Inv. Business]:[Inv. Cryptocurrency]])=0," ",SUM(Dati[[#This Row],[Inv. Business]:[Inv. Cryptocurrency]]))</f>
        <v xml:space="preserve"> </v>
      </c>
      <c r="AJ979" s="59"/>
      <c r="AK979" s="59"/>
      <c r="AL979" s="59"/>
      <c r="AM979" s="59"/>
    </row>
    <row r="980" spans="2:39" x14ac:dyDescent="0.35">
      <c r="B980" s="237">
        <f>ROW(929:929)</f>
        <v>929</v>
      </c>
      <c r="C980" s="49">
        <f>C976+1</f>
        <v>45628</v>
      </c>
      <c r="D980" s="29">
        <f>DAY(Dati[[#This Row],[Data]])</f>
        <v>2</v>
      </c>
      <c r="E980" s="29" t="str">
        <f>IF(DAY(Data!$C$21:$C$1327)&gt;0,TEXT(Data!$C$21:$C$1327, "mmmm"),"")</f>
        <v>dicembre</v>
      </c>
      <c r="F980" s="29" t="str">
        <f>IF(DAY(Data!$C$21:$C$1327)&gt;0,TEXT(Data!$C$21:$C$1327, "aaaa"),"")</f>
        <v>2024</v>
      </c>
      <c r="I980" t="str">
        <f>IF(OR(H980=$B$5,H980=$B$6,H980=$B$7,H980=$B$8,H980=$B$9,H980=$B$10,H980=$B$11,H980=$B$12,H980=$B$13,H980=$B$14),SottocategorieUscite[[#Headers],[Fuori Casa]],IF(OR(H980=$C$5,H980=$C$6,H980=$C$7,H980=$C$8,H980=$C$9,H980=$C$10,H980=$C$11,H980=$C$12,H980=$C$13,H980=$C$14),SottocategorieUscite[[#Headers],[Varie Uscite]],IF(OR(H980=$D$5,H980=$D$6,H980=$D$7,H980=$D$8,H980=$D$9,H980=$D$10,H980=$D$11,H980=$D$12,H980=$D$13,H980=$D$14),SottocategorieUscite[[#Headers],[Personali]],IF(OR(H980=$E$5,H980=$E$6,H980=$E$7,H980=$E$8,H980=$E$9,H980=$E$10,H980=$E$11,H980=$E$12,H980=$E$13,H980=$E$14),SottocategorieUscite[[#Headers],[Lavoro]],IF(OR(H980=$F$5,H980=$F$6,H980=$F$7,H980=$F$8,H980=$F$9,H980=$F$10,H980=$F$11,H980=$F$12,H980=$F$13,H980=$F$14),SottocategorieUscite[[#Headers],[Casa]],IF(OR(H980=$G$5,H980=$G$6,H980=$G$7,H980=$G$8,H980=$G$9,H980=$G$10,H980=$G$11,H980=$G$12,H980=$G$13,H980=$G$14),SottocategorieUscite[[#Headers],[Utenze]],IF(OR(H980=$H$5,H980=$H$6,H980=$H$7,H980=$H$8,H980=$H$9,H980=$H$10,H980=$H$11,H980=$H$12,H980=$H$13,H980=$H$14),SottocategorieUscite[[#Headers],[Business Uscite]],IF(OR(H980=$I$5,H980=$I$6,H980=$I$7,H980=$I$8,H980=$I$9,H980=$I$10,H980=$I$11,H980=$I$12,H980=$I$13,H980=$I$14),SottocategorieUscite[[#Headers],[Banca]],IF(OR(H980=K$5,H980=K$6,H980=K$7,H980=K$8,H980=K$9,H980=K$10,H980=K$11,H980=K$12,H980=K$13,H980=K$14),SottocategorieEntrate[[#Headers],[Business Entrate]],IF(OR(H980=L$5,H980=L$6,H980=L$7,H980=L$8,H980=L$9,H980=L$10,H980=L$11,H980=L$12,H980=L$13,H980=L$14),SottocategorieEntrate[[#Headers],[Varie Entrate]],IF(OR(H980=M$5,H980=M$6,H980=M$7,H980=M$8,H980=M$9,H980=M$10,H980=M$11,H980=M$12,H980=M$13,H980=M$14),SottocategorieEntrate[[#Headers],[Real Estate]],IF(OR(H980=N$5,H980=N$6,H980=N$7,H980=N$8,H980=N$9,H980=N$10,H980=N$11,H980=N$12,H980=N$13,H980=N$14),SottocategorieEntrate[[#Headers],[Other]],""))))))))))))</f>
        <v/>
      </c>
      <c r="J980" t="str">
        <f>IF(OR(Dati[[#This Row],[Categoria]]="Bollette",Dati[[#This Row],[Categoria]]="Conto &amp; Carte BNL",Dati[[#This Row],[Categoria]]="Prelievo",Dati[[#This Row],[Categoria]]="Affitto",Dati[[#This Row],[Categoria]]="BNL(Interessi Creditori)"),"Carta",IF(Dati[[#This Row],[Categoria]]&lt;&gt;0,"Cash",""))</f>
        <v/>
      </c>
      <c r="K980" s="59" t="str">
        <f>IF(OR(Data!$I980=SottocategorieUscite[[#Headers],[Fuori Casa]],Data!$I980=SottocategorieUscite[[#Headers],[Varie Uscite]],Data!$I980=SottocategorieUscite[[#Headers],[Personali]],Data!$I980=SottocategorieUscite[[#Headers],[Lavoro]]),"$ -","")</f>
        <v/>
      </c>
      <c r="L980" s="59" t="str">
        <f>IF(OR(Data!$I980=SottocategorieUscite[[#Headers],[Casa]],Data!$I980=SottocategorieUscite[[#Headers],[Utenze]],Data!$I980=SottocategorieUscite[[#Headers],[Business Uscite]],Data!$I980=SottocategorieUscite[[#Headers],[Banca]]),"$ -","")</f>
        <v/>
      </c>
      <c r="M980" s="59" t="str">
        <f>IF(OR($I980&lt;&gt;SottocategorieUscite[[#Headers],[Fuori Casa]],$I980&lt;&gt;SottocategorieUscite[[#Headers],[Varie Uscite]],$I980&lt;&gt;SottocategorieUscite[[#Headers],[Personali]],$I980&lt;&gt;SottocategorieUscite[[#Headers],[Lavoro]],$I980&lt;&gt;SottocategorieUscite[[#Headers],[Casa]],$I980&lt;&gt;SottocategorieUscite[[#Headers],[Utenze]],$I980&lt;&gt;SottocategorieUscite[[#Headers],[Business Uscite]],$I980&lt;&gt;SottocategorieUscite[[#Headers],[Banca]]),"","$ -")</f>
        <v/>
      </c>
      <c r="N980" s="59" t="str">
        <f>IF(OR(Data!$I980=SottocategorieEntrate[[#Headers],[Business Entrate]],Data!$I980=SottocategorieEntrate[[#Headers],[Varie Entrate]]),"$ -","")</f>
        <v/>
      </c>
      <c r="O980" s="59" t="str">
        <f>IF(OR(Data!$I980=SottocategorieEntrate[[#Headers],[Real Estate]],SottocategorieEntrate[[#Headers],[Other]]),"$ -","")</f>
        <v/>
      </c>
      <c r="P980" s="59" t="str">
        <f>IF(OR($I980&lt;&gt;SottocategorieEntrate[[#Headers],[Business Entrate]],$I980&lt;&gt;SottocategorieEntrate[[#Headers],[Varie Entrate]],$I980&lt;&gt;SottocategorieEntrate[[#Headers],[Real Estate]],$I980&lt;&gt;SottocategorieEntrate[[#Headers],[Other]]),"","$ -")</f>
        <v/>
      </c>
      <c r="Q980" s="59" t="str">
        <f>IF(Dati[[#This Row],[Categoria]]="Prelievo","€ -","")</f>
        <v/>
      </c>
      <c r="R980" s="244"/>
      <c r="S980" s="59" t="str">
        <f>IF(Dati[[#This Row],[Categoria]]="Savings",0,"")</f>
        <v/>
      </c>
      <c r="T980" s="59"/>
      <c r="U980" s="59"/>
      <c r="V980" s="59"/>
      <c r="W980" s="59"/>
      <c r="X980" s="59"/>
      <c r="Y980" s="59"/>
      <c r="Z980" s="59"/>
      <c r="AA980" s="59"/>
      <c r="AB980" s="59"/>
      <c r="AC980" s="59"/>
      <c r="AD980" s="59"/>
      <c r="AE980" s="59"/>
      <c r="AF980" s="59"/>
      <c r="AG980" s="59"/>
      <c r="AH980" s="59"/>
      <c r="AI980" s="59" t="str">
        <f>IF(SUM(Dati[[#This Row],[Inv. Business]:[Inv. Cryptocurrency]])=0," ",SUM(Dati[[#This Row],[Inv. Business]:[Inv. Cryptocurrency]]))</f>
        <v xml:space="preserve"> </v>
      </c>
      <c r="AJ980" s="59"/>
      <c r="AK980" s="59"/>
      <c r="AL980" s="59"/>
      <c r="AM980" s="59"/>
    </row>
    <row r="981" spans="2:39" x14ac:dyDescent="0.35">
      <c r="B981" s="237">
        <f>ROW(929:929)</f>
        <v>929</v>
      </c>
      <c r="C981" s="49">
        <f>C979+1</f>
        <v>45628</v>
      </c>
      <c r="D981" s="29">
        <f>DAY(Dati[[#This Row],[Data]])</f>
        <v>2</v>
      </c>
      <c r="E981" s="29" t="str">
        <f>IF(DAY(Data!$C$21:$C$1327)&gt;0,TEXT(Data!$C$21:$C$1327, "mmmm"),"")</f>
        <v>dicembre</v>
      </c>
      <c r="F981" s="29" t="str">
        <f>IF(DAY(Data!$C$21:$C$1327)&gt;0,TEXT(Data!$C$21:$C$1327, "aaaa"),"")</f>
        <v>2024</v>
      </c>
      <c r="I981" t="str">
        <f>IF(OR(H981=$B$5,H981=$B$6,H981=$B$7,H981=$B$8,H981=$B$9,H981=$B$10,H981=$B$11,H981=$B$12,H981=$B$13,H981=$B$14),SottocategorieUscite[[#Headers],[Fuori Casa]],IF(OR(H981=$C$5,H981=$C$6,H981=$C$7,H981=$C$8,H981=$C$9,H981=$C$10,H981=$C$11,H981=$C$12,H981=$C$13,H981=$C$14),SottocategorieUscite[[#Headers],[Varie Uscite]],IF(OR(H981=$D$5,H981=$D$6,H981=$D$7,H981=$D$8,H981=$D$9,H981=$D$10,H981=$D$11,H981=$D$12,H981=$D$13,H981=$D$14),SottocategorieUscite[[#Headers],[Personali]],IF(OR(H981=$E$5,H981=$E$6,H981=$E$7,H981=$E$8,H981=$E$9,H981=$E$10,H981=$E$11,H981=$E$12,H981=$E$13,H981=$E$14),SottocategorieUscite[[#Headers],[Lavoro]],IF(OR(H981=$F$5,H981=$F$6,H981=$F$7,H981=$F$8,H981=$F$9,H981=$F$10,H981=$F$11,H981=$F$12,H981=$F$13,H981=$F$14),SottocategorieUscite[[#Headers],[Casa]],IF(OR(H981=$G$5,H981=$G$6,H981=$G$7,H981=$G$8,H981=$G$9,H981=$G$10,H981=$G$11,H981=$G$12,H981=$G$13,H981=$G$14),SottocategorieUscite[[#Headers],[Utenze]],IF(OR(H981=$H$5,H981=$H$6,H981=$H$7,H981=$H$8,H981=$H$9,H981=$H$10,H981=$H$11,H981=$H$12,H981=$H$13,H981=$H$14),SottocategorieUscite[[#Headers],[Business Uscite]],IF(OR(H981=$I$5,H981=$I$6,H981=$I$7,H981=$I$8,H981=$I$9,H981=$I$10,H981=$I$11,H981=$I$12,H981=$I$13,H981=$I$14),SottocategorieUscite[[#Headers],[Banca]],IF(OR(H981=K$5,H981=K$6,H981=K$7,H981=K$8,H981=K$9,H981=K$10,H981=K$11,H981=K$12,H981=K$13,H981=K$14),SottocategorieEntrate[[#Headers],[Business Entrate]],IF(OR(H981=L$5,H981=L$6,H981=L$7,H981=L$8,H981=L$9,H981=L$10,H981=L$11,H981=L$12,H981=L$13,H981=L$14),SottocategorieEntrate[[#Headers],[Varie Entrate]],IF(OR(H981=M$5,H981=M$6,H981=M$7,H981=M$8,H981=M$9,H981=M$10,H981=M$11,H981=M$12,H981=M$13,H981=M$14),SottocategorieEntrate[[#Headers],[Real Estate]],IF(OR(H981=N$5,H981=N$6,H981=N$7,H981=N$8,H981=N$9,H981=N$10,H981=N$11,H981=N$12,H981=N$13,H981=N$14),SottocategorieEntrate[[#Headers],[Other]],""))))))))))))</f>
        <v/>
      </c>
      <c r="J981" t="str">
        <f>IF(OR(Dati[[#This Row],[Categoria]]="Bollette",Dati[[#This Row],[Categoria]]="Conto &amp; Carte BNL",Dati[[#This Row],[Categoria]]="Prelievo",Dati[[#This Row],[Categoria]]="Affitto",Dati[[#This Row],[Categoria]]="BNL(Interessi Creditori)"),"Carta",IF(Dati[[#This Row],[Categoria]]&lt;&gt;0,"Cash",""))</f>
        <v/>
      </c>
      <c r="K981" s="59" t="str">
        <f>IF(OR(Data!$I981=SottocategorieUscite[[#Headers],[Fuori Casa]],Data!$I981=SottocategorieUscite[[#Headers],[Varie Uscite]],Data!$I981=SottocategorieUscite[[#Headers],[Personali]],Data!$I981=SottocategorieUscite[[#Headers],[Lavoro]]),"$ -","")</f>
        <v/>
      </c>
      <c r="L981" s="59" t="str">
        <f>IF(OR(Data!$I981=SottocategorieUscite[[#Headers],[Casa]],Data!$I981=SottocategorieUscite[[#Headers],[Utenze]],Data!$I981=SottocategorieUscite[[#Headers],[Business Uscite]],Data!$I981=SottocategorieUscite[[#Headers],[Banca]]),"$ -","")</f>
        <v/>
      </c>
      <c r="M981" s="59" t="str">
        <f>IF(OR($I981&lt;&gt;SottocategorieUscite[[#Headers],[Fuori Casa]],$I981&lt;&gt;SottocategorieUscite[[#Headers],[Varie Uscite]],$I981&lt;&gt;SottocategorieUscite[[#Headers],[Personali]],$I981&lt;&gt;SottocategorieUscite[[#Headers],[Lavoro]],$I981&lt;&gt;SottocategorieUscite[[#Headers],[Casa]],$I981&lt;&gt;SottocategorieUscite[[#Headers],[Utenze]],$I981&lt;&gt;SottocategorieUscite[[#Headers],[Business Uscite]],$I981&lt;&gt;SottocategorieUscite[[#Headers],[Banca]]),"","$ -")</f>
        <v/>
      </c>
      <c r="N981" s="59" t="str">
        <f>IF(OR(Data!$I981=SottocategorieEntrate[[#Headers],[Business Entrate]],Data!$I981=SottocategorieEntrate[[#Headers],[Varie Entrate]]),"$ -","")</f>
        <v/>
      </c>
      <c r="O981" s="59" t="str">
        <f>IF(OR(Data!$I981=SottocategorieEntrate[[#Headers],[Real Estate]],SottocategorieEntrate[[#Headers],[Other]]),"$ -","")</f>
        <v/>
      </c>
      <c r="P981" s="59" t="str">
        <f>IF(OR($I981&lt;&gt;SottocategorieEntrate[[#Headers],[Business Entrate]],$I981&lt;&gt;SottocategorieEntrate[[#Headers],[Varie Entrate]],$I981&lt;&gt;SottocategorieEntrate[[#Headers],[Real Estate]],$I981&lt;&gt;SottocategorieEntrate[[#Headers],[Other]]),"","$ -")</f>
        <v/>
      </c>
      <c r="Q981" s="59" t="str">
        <f>IF(Dati[[#This Row],[Categoria]]="Prelievo","€ -","")</f>
        <v/>
      </c>
      <c r="R981" s="244"/>
      <c r="S981" s="59" t="str">
        <f>IF(Dati[[#This Row],[Categoria]]="Savings",0,"")</f>
        <v/>
      </c>
      <c r="T981" s="59"/>
      <c r="U981" s="59"/>
      <c r="V981" s="59"/>
      <c r="W981" s="59"/>
      <c r="X981" s="59"/>
      <c r="Y981" s="59"/>
      <c r="Z981" s="59"/>
      <c r="AA981" s="59"/>
      <c r="AB981" s="59"/>
      <c r="AC981" s="59"/>
      <c r="AD981" s="59"/>
      <c r="AE981" s="59"/>
      <c r="AF981" s="59"/>
      <c r="AG981" s="59"/>
      <c r="AH981" s="59"/>
      <c r="AI981" s="59" t="str">
        <f>IF(SUM(Dati[[#This Row],[Inv. Business]:[Inv. Cryptocurrency]])=0," ",SUM(Dati[[#This Row],[Inv. Business]:[Inv. Cryptocurrency]]))</f>
        <v xml:space="preserve"> </v>
      </c>
      <c r="AJ981" s="59"/>
      <c r="AK981" s="59"/>
      <c r="AL981" s="59"/>
      <c r="AM981" s="59"/>
    </row>
    <row r="982" spans="2:39" x14ac:dyDescent="0.35">
      <c r="B982" s="237">
        <f>ROW(930:930)</f>
        <v>930</v>
      </c>
      <c r="C982" s="49">
        <f>C980+1</f>
        <v>45629</v>
      </c>
      <c r="D982" s="29">
        <f>DAY(Dati[[#This Row],[Data]])</f>
        <v>3</v>
      </c>
      <c r="E982" s="29" t="str">
        <f>IF(DAY(Data!$C$21:$C$1327)&gt;0,TEXT(Data!$C$21:$C$1327, "mmmm"),"")</f>
        <v>dicembre</v>
      </c>
      <c r="F982" s="29" t="str">
        <f>IF(DAY(Data!$C$21:$C$1327)&gt;0,TEXT(Data!$C$21:$C$1327, "aaaa"),"")</f>
        <v>2024</v>
      </c>
      <c r="I982" t="str">
        <f>IF(OR(H982=$B$5,H982=$B$6,H982=$B$7,H982=$B$8,H982=$B$9,H982=$B$10,H982=$B$11,H982=$B$12,H982=$B$13,H982=$B$14),SottocategorieUscite[[#Headers],[Fuori Casa]],IF(OR(H982=$C$5,H982=$C$6,H982=$C$7,H982=$C$8,H982=$C$9,H982=$C$10,H982=$C$11,H982=$C$12,H982=$C$13,H982=$C$14),SottocategorieUscite[[#Headers],[Varie Uscite]],IF(OR(H982=$D$5,H982=$D$6,H982=$D$7,H982=$D$8,H982=$D$9,H982=$D$10,H982=$D$11,H982=$D$12,H982=$D$13,H982=$D$14),SottocategorieUscite[[#Headers],[Personali]],IF(OR(H982=$E$5,H982=$E$6,H982=$E$7,H982=$E$8,H982=$E$9,H982=$E$10,H982=$E$11,H982=$E$12,H982=$E$13,H982=$E$14),SottocategorieUscite[[#Headers],[Lavoro]],IF(OR(H982=$F$5,H982=$F$6,H982=$F$7,H982=$F$8,H982=$F$9,H982=$F$10,H982=$F$11,H982=$F$12,H982=$F$13,H982=$F$14),SottocategorieUscite[[#Headers],[Casa]],IF(OR(H982=$G$5,H982=$G$6,H982=$G$7,H982=$G$8,H982=$G$9,H982=$G$10,H982=$G$11,H982=$G$12,H982=$G$13,H982=$G$14),SottocategorieUscite[[#Headers],[Utenze]],IF(OR(H982=$H$5,H982=$H$6,H982=$H$7,H982=$H$8,H982=$H$9,H982=$H$10,H982=$H$11,H982=$H$12,H982=$H$13,H982=$H$14),SottocategorieUscite[[#Headers],[Business Uscite]],IF(OR(H982=$I$5,H982=$I$6,H982=$I$7,H982=$I$8,H982=$I$9,H982=$I$10,H982=$I$11,H982=$I$12,H982=$I$13,H982=$I$14),SottocategorieUscite[[#Headers],[Banca]],IF(OR(H982=K$5,H982=K$6,H982=K$7,H982=K$8,H982=K$9,H982=K$10,H982=K$11,H982=K$12,H982=K$13,H982=K$14),SottocategorieEntrate[[#Headers],[Business Entrate]],IF(OR(H982=L$5,H982=L$6,H982=L$7,H982=L$8,H982=L$9,H982=L$10,H982=L$11,H982=L$12,H982=L$13,H982=L$14),SottocategorieEntrate[[#Headers],[Varie Entrate]],IF(OR(H982=M$5,H982=M$6,H982=M$7,H982=M$8,H982=M$9,H982=M$10,H982=M$11,H982=M$12,H982=M$13,H982=M$14),SottocategorieEntrate[[#Headers],[Real Estate]],IF(OR(H982=N$5,H982=N$6,H982=N$7,H982=N$8,H982=N$9,H982=N$10,H982=N$11,H982=N$12,H982=N$13,H982=N$14),SottocategorieEntrate[[#Headers],[Other]],""))))))))))))</f>
        <v/>
      </c>
      <c r="J982" t="str">
        <f>IF(OR(Dati[[#This Row],[Categoria]]="Bollette",Dati[[#This Row],[Categoria]]="Conto &amp; Carte BNL",Dati[[#This Row],[Categoria]]="Prelievo",Dati[[#This Row],[Categoria]]="Affitto",Dati[[#This Row],[Categoria]]="BNL(Interessi Creditori)"),"Carta",IF(Dati[[#This Row],[Categoria]]&lt;&gt;0,"Cash",""))</f>
        <v/>
      </c>
      <c r="K982" s="59" t="str">
        <f>IF(OR(Data!$I982=SottocategorieUscite[[#Headers],[Fuori Casa]],Data!$I982=SottocategorieUscite[[#Headers],[Varie Uscite]],Data!$I982=SottocategorieUscite[[#Headers],[Personali]],Data!$I982=SottocategorieUscite[[#Headers],[Lavoro]]),"$ -","")</f>
        <v/>
      </c>
      <c r="L982" s="59" t="str">
        <f>IF(OR(Data!$I982=SottocategorieUscite[[#Headers],[Casa]],Data!$I982=SottocategorieUscite[[#Headers],[Utenze]],Data!$I982=SottocategorieUscite[[#Headers],[Business Uscite]],Data!$I982=SottocategorieUscite[[#Headers],[Banca]]),"$ -","")</f>
        <v/>
      </c>
      <c r="M982" s="59" t="str">
        <f>IF(OR($I982&lt;&gt;SottocategorieUscite[[#Headers],[Fuori Casa]],$I982&lt;&gt;SottocategorieUscite[[#Headers],[Varie Uscite]],$I982&lt;&gt;SottocategorieUscite[[#Headers],[Personali]],$I982&lt;&gt;SottocategorieUscite[[#Headers],[Lavoro]],$I982&lt;&gt;SottocategorieUscite[[#Headers],[Casa]],$I982&lt;&gt;SottocategorieUscite[[#Headers],[Utenze]],$I982&lt;&gt;SottocategorieUscite[[#Headers],[Business Uscite]],$I982&lt;&gt;SottocategorieUscite[[#Headers],[Banca]]),"","$ -")</f>
        <v/>
      </c>
      <c r="N982" s="59" t="str">
        <f>IF(OR(Data!$I982=SottocategorieEntrate[[#Headers],[Business Entrate]],Data!$I982=SottocategorieEntrate[[#Headers],[Varie Entrate]]),"$ -","")</f>
        <v/>
      </c>
      <c r="O982" s="59" t="str">
        <f>IF(OR(Data!$I982=SottocategorieEntrate[[#Headers],[Real Estate]],SottocategorieEntrate[[#Headers],[Other]]),"$ -","")</f>
        <v/>
      </c>
      <c r="P982" s="59" t="str">
        <f>IF(OR($I982&lt;&gt;SottocategorieEntrate[[#Headers],[Business Entrate]],$I982&lt;&gt;SottocategorieEntrate[[#Headers],[Varie Entrate]],$I982&lt;&gt;SottocategorieEntrate[[#Headers],[Real Estate]],$I982&lt;&gt;SottocategorieEntrate[[#Headers],[Other]]),"","$ -")</f>
        <v/>
      </c>
      <c r="Q982" s="59" t="str">
        <f>IF(Dati[[#This Row],[Categoria]]="Prelievo","€ -","")</f>
        <v/>
      </c>
      <c r="R982" s="244"/>
      <c r="S982" s="59" t="str">
        <f>IF(Dati[[#This Row],[Categoria]]="Savings",0,"")</f>
        <v/>
      </c>
      <c r="T982" s="59"/>
      <c r="U982" s="59"/>
      <c r="V982" s="59"/>
      <c r="W982" s="59"/>
      <c r="X982" s="59"/>
      <c r="Y982" s="59"/>
      <c r="Z982" s="59"/>
      <c r="AA982" s="59"/>
      <c r="AB982" s="59"/>
      <c r="AC982" s="59"/>
      <c r="AD982" s="59"/>
      <c r="AE982" s="59"/>
      <c r="AF982" s="59"/>
      <c r="AG982" s="59"/>
      <c r="AH982" s="59"/>
      <c r="AI982" s="59" t="str">
        <f>IF(SUM(Dati[[#This Row],[Inv. Business]:[Inv. Cryptocurrency]])=0," ",SUM(Dati[[#This Row],[Inv. Business]:[Inv. Cryptocurrency]]))</f>
        <v xml:space="preserve"> </v>
      </c>
      <c r="AJ982" s="59"/>
      <c r="AK982" s="59"/>
      <c r="AL982" s="59"/>
      <c r="AM982" s="59"/>
    </row>
    <row r="983" spans="2:39" x14ac:dyDescent="0.35">
      <c r="B983" s="237">
        <f>ROW(932:932)</f>
        <v>932</v>
      </c>
      <c r="C983" s="49">
        <f>C980+1</f>
        <v>45629</v>
      </c>
      <c r="D983" s="29">
        <f>DAY(Dati[[#This Row],[Data]])</f>
        <v>3</v>
      </c>
      <c r="E983" s="29" t="str">
        <f>IF(DAY(Data!$C$21:$C$1327)&gt;0,TEXT(Data!$C$21:$C$1327, "mmmm"),"")</f>
        <v>dicembre</v>
      </c>
      <c r="F983" s="29" t="str">
        <f>IF(DAY(Data!$C$21:$C$1327)&gt;0,TEXT(Data!$C$21:$C$1327, "aaaa"),"")</f>
        <v>2024</v>
      </c>
      <c r="I983" t="str">
        <f>IF(OR(H983=$B$5,H983=$B$6,H983=$B$7,H983=$B$8,H983=$B$9,H983=$B$10,H983=$B$11,H983=$B$12,H983=$B$13,H983=$B$14),SottocategorieUscite[[#Headers],[Fuori Casa]],IF(OR(H983=$C$5,H983=$C$6,H983=$C$7,H983=$C$8,H983=$C$9,H983=$C$10,H983=$C$11,H983=$C$12,H983=$C$13,H983=$C$14),SottocategorieUscite[[#Headers],[Varie Uscite]],IF(OR(H983=$D$5,H983=$D$6,H983=$D$7,H983=$D$8,H983=$D$9,H983=$D$10,H983=$D$11,H983=$D$12,H983=$D$13,H983=$D$14),SottocategorieUscite[[#Headers],[Personali]],IF(OR(H983=$E$5,H983=$E$6,H983=$E$7,H983=$E$8,H983=$E$9,H983=$E$10,H983=$E$11,H983=$E$12,H983=$E$13,H983=$E$14),SottocategorieUscite[[#Headers],[Lavoro]],IF(OR(H983=$F$5,H983=$F$6,H983=$F$7,H983=$F$8,H983=$F$9,H983=$F$10,H983=$F$11,H983=$F$12,H983=$F$13,H983=$F$14),SottocategorieUscite[[#Headers],[Casa]],IF(OR(H983=$G$5,H983=$G$6,H983=$G$7,H983=$G$8,H983=$G$9,H983=$G$10,H983=$G$11,H983=$G$12,H983=$G$13,H983=$G$14),SottocategorieUscite[[#Headers],[Utenze]],IF(OR(H983=$H$5,H983=$H$6,H983=$H$7,H983=$H$8,H983=$H$9,H983=$H$10,H983=$H$11,H983=$H$12,H983=$H$13,H983=$H$14),SottocategorieUscite[[#Headers],[Business Uscite]],IF(OR(H983=$I$5,H983=$I$6,H983=$I$7,H983=$I$8,H983=$I$9,H983=$I$10,H983=$I$11,H983=$I$12,H983=$I$13,H983=$I$14),SottocategorieUscite[[#Headers],[Banca]],IF(OR(H983=K$5,H983=K$6,H983=K$7,H983=K$8,H983=K$9,H983=K$10,H983=K$11,H983=K$12,H983=K$13,H983=K$14),SottocategorieEntrate[[#Headers],[Business Entrate]],IF(OR(H983=L$5,H983=L$6,H983=L$7,H983=L$8,H983=L$9,H983=L$10,H983=L$11,H983=L$12,H983=L$13,H983=L$14),SottocategorieEntrate[[#Headers],[Varie Entrate]],IF(OR(H983=M$5,H983=M$6,H983=M$7,H983=M$8,H983=M$9,H983=M$10,H983=M$11,H983=M$12,H983=M$13,H983=M$14),SottocategorieEntrate[[#Headers],[Real Estate]],IF(OR(H983=N$5,H983=N$6,H983=N$7,H983=N$8,H983=N$9,H983=N$10,H983=N$11,H983=N$12,H983=N$13,H983=N$14),SottocategorieEntrate[[#Headers],[Other]],""))))))))))))</f>
        <v/>
      </c>
      <c r="J983" t="str">
        <f>IF(OR(Dati[[#This Row],[Categoria]]="Bollette",Dati[[#This Row],[Categoria]]="Conto &amp; Carte BNL",Dati[[#This Row],[Categoria]]="Prelievo",Dati[[#This Row],[Categoria]]="Affitto",Dati[[#This Row],[Categoria]]="BNL(Interessi Creditori)"),"Carta",IF(Dati[[#This Row],[Categoria]]&lt;&gt;0,"Cash",""))</f>
        <v/>
      </c>
      <c r="K983" s="59" t="str">
        <f>IF(OR(Data!$I983=SottocategorieUscite[[#Headers],[Fuori Casa]],Data!$I983=SottocategorieUscite[[#Headers],[Varie Uscite]],Data!$I983=SottocategorieUscite[[#Headers],[Personali]],Data!$I983=SottocategorieUscite[[#Headers],[Lavoro]]),"$ -","")</f>
        <v/>
      </c>
      <c r="L983" s="59" t="str">
        <f>IF(OR(Data!$I983=SottocategorieUscite[[#Headers],[Casa]],Data!$I983=SottocategorieUscite[[#Headers],[Utenze]],Data!$I983=SottocategorieUscite[[#Headers],[Business Uscite]],Data!$I983=SottocategorieUscite[[#Headers],[Banca]]),"$ -","")</f>
        <v/>
      </c>
      <c r="M983" s="59" t="str">
        <f>IF(OR($I983&lt;&gt;SottocategorieUscite[[#Headers],[Fuori Casa]],$I983&lt;&gt;SottocategorieUscite[[#Headers],[Varie Uscite]],$I983&lt;&gt;SottocategorieUscite[[#Headers],[Personali]],$I983&lt;&gt;SottocategorieUscite[[#Headers],[Lavoro]],$I983&lt;&gt;SottocategorieUscite[[#Headers],[Casa]],$I983&lt;&gt;SottocategorieUscite[[#Headers],[Utenze]],$I983&lt;&gt;SottocategorieUscite[[#Headers],[Business Uscite]],$I983&lt;&gt;SottocategorieUscite[[#Headers],[Banca]]),"","$ -")</f>
        <v/>
      </c>
      <c r="N983" s="59" t="str">
        <f>IF(OR(Data!$I983=SottocategorieEntrate[[#Headers],[Business Entrate]],Data!$I983=SottocategorieEntrate[[#Headers],[Varie Entrate]]),"$ -","")</f>
        <v/>
      </c>
      <c r="O983" s="59" t="str">
        <f>IF(OR(Data!$I983=SottocategorieEntrate[[#Headers],[Real Estate]],SottocategorieEntrate[[#Headers],[Other]]),"$ -","")</f>
        <v/>
      </c>
      <c r="P983" s="59" t="str">
        <f>IF(OR($I983&lt;&gt;SottocategorieEntrate[[#Headers],[Business Entrate]],$I983&lt;&gt;SottocategorieEntrate[[#Headers],[Varie Entrate]],$I983&lt;&gt;SottocategorieEntrate[[#Headers],[Real Estate]],$I983&lt;&gt;SottocategorieEntrate[[#Headers],[Other]]),"","$ -")</f>
        <v/>
      </c>
      <c r="Q983" s="59" t="str">
        <f>IF(Dati[[#This Row],[Categoria]]="Prelievo","€ -","")</f>
        <v/>
      </c>
      <c r="R983" s="244"/>
      <c r="S983" s="59" t="str">
        <f>IF(Dati[[#This Row],[Categoria]]="Savings",0,"")</f>
        <v/>
      </c>
      <c r="T983" s="59"/>
      <c r="U983" s="59"/>
      <c r="V983" s="59"/>
      <c r="W983" s="59"/>
      <c r="X983" s="59"/>
      <c r="Y983" s="59"/>
      <c r="Z983" s="59"/>
      <c r="AA983" s="59"/>
      <c r="AB983" s="59"/>
      <c r="AC983" s="59"/>
      <c r="AD983" s="59"/>
      <c r="AE983" s="59"/>
      <c r="AF983" s="59"/>
      <c r="AG983" s="59"/>
      <c r="AH983" s="59"/>
      <c r="AI983" s="59" t="str">
        <f>IF(SUM(Dati[[#This Row],[Inv. Business]:[Inv. Cryptocurrency]])=0," ",SUM(Dati[[#This Row],[Inv. Business]:[Inv. Cryptocurrency]]))</f>
        <v xml:space="preserve"> </v>
      </c>
      <c r="AJ983" s="59"/>
      <c r="AK983" s="59"/>
      <c r="AL983" s="59"/>
      <c r="AM983" s="59"/>
    </row>
    <row r="984" spans="2:39" x14ac:dyDescent="0.35">
      <c r="B984" s="237">
        <f>ROW(933:933)</f>
        <v>933</v>
      </c>
      <c r="C984" s="49">
        <f>C982+1</f>
        <v>45630</v>
      </c>
      <c r="D984" s="29">
        <f>DAY(Dati[[#This Row],[Data]])</f>
        <v>4</v>
      </c>
      <c r="E984" s="29" t="str">
        <f>IF(DAY(Data!$C$21:$C$1327)&gt;0,TEXT(Data!$C$21:$C$1327, "mmmm"),"")</f>
        <v>dicembre</v>
      </c>
      <c r="F984" s="29" t="str">
        <f>IF(DAY(Data!$C$21:$C$1327)&gt;0,TEXT(Data!$C$21:$C$1327, "aaaa"),"")</f>
        <v>2024</v>
      </c>
      <c r="I984" t="str">
        <f>IF(OR(H984=$B$5,H984=$B$6,H984=$B$7,H984=$B$8,H984=$B$9,H984=$B$10,H984=$B$11,H984=$B$12,H984=$B$13,H984=$B$14),SottocategorieUscite[[#Headers],[Fuori Casa]],IF(OR(H984=$C$5,H984=$C$6,H984=$C$7,H984=$C$8,H984=$C$9,H984=$C$10,H984=$C$11,H984=$C$12,H984=$C$13,H984=$C$14),SottocategorieUscite[[#Headers],[Varie Uscite]],IF(OR(H984=$D$5,H984=$D$6,H984=$D$7,H984=$D$8,H984=$D$9,H984=$D$10,H984=$D$11,H984=$D$12,H984=$D$13,H984=$D$14),SottocategorieUscite[[#Headers],[Personali]],IF(OR(H984=$E$5,H984=$E$6,H984=$E$7,H984=$E$8,H984=$E$9,H984=$E$10,H984=$E$11,H984=$E$12,H984=$E$13,H984=$E$14),SottocategorieUscite[[#Headers],[Lavoro]],IF(OR(H984=$F$5,H984=$F$6,H984=$F$7,H984=$F$8,H984=$F$9,H984=$F$10,H984=$F$11,H984=$F$12,H984=$F$13,H984=$F$14),SottocategorieUscite[[#Headers],[Casa]],IF(OR(H984=$G$5,H984=$G$6,H984=$G$7,H984=$G$8,H984=$G$9,H984=$G$10,H984=$G$11,H984=$G$12,H984=$G$13,H984=$G$14),SottocategorieUscite[[#Headers],[Utenze]],IF(OR(H984=$H$5,H984=$H$6,H984=$H$7,H984=$H$8,H984=$H$9,H984=$H$10,H984=$H$11,H984=$H$12,H984=$H$13,H984=$H$14),SottocategorieUscite[[#Headers],[Business Uscite]],IF(OR(H984=$I$5,H984=$I$6,H984=$I$7,H984=$I$8,H984=$I$9,H984=$I$10,H984=$I$11,H984=$I$12,H984=$I$13,H984=$I$14),SottocategorieUscite[[#Headers],[Banca]],IF(OR(H984=K$5,H984=K$6,H984=K$7,H984=K$8,H984=K$9,H984=K$10,H984=K$11,H984=K$12,H984=K$13,H984=K$14),SottocategorieEntrate[[#Headers],[Business Entrate]],IF(OR(H984=L$5,H984=L$6,H984=L$7,H984=L$8,H984=L$9,H984=L$10,H984=L$11,H984=L$12,H984=L$13,H984=L$14),SottocategorieEntrate[[#Headers],[Varie Entrate]],IF(OR(H984=M$5,H984=M$6,H984=M$7,H984=M$8,H984=M$9,H984=M$10,H984=M$11,H984=M$12,H984=M$13,H984=M$14),SottocategorieEntrate[[#Headers],[Real Estate]],IF(OR(H984=N$5,H984=N$6,H984=N$7,H984=N$8,H984=N$9,H984=N$10,H984=N$11,H984=N$12,H984=N$13,H984=N$14),SottocategorieEntrate[[#Headers],[Other]],""))))))))))))</f>
        <v/>
      </c>
      <c r="J984" t="str">
        <f>IF(OR(Dati[[#This Row],[Categoria]]="Bollette",Dati[[#This Row],[Categoria]]="Conto &amp; Carte BNL",Dati[[#This Row],[Categoria]]="Prelievo",Dati[[#This Row],[Categoria]]="Affitto",Dati[[#This Row],[Categoria]]="BNL(Interessi Creditori)"),"Carta",IF(Dati[[#This Row],[Categoria]]&lt;&gt;0,"Cash",""))</f>
        <v/>
      </c>
      <c r="K984" s="59" t="str">
        <f>IF(OR(Data!$I984=SottocategorieUscite[[#Headers],[Fuori Casa]],Data!$I984=SottocategorieUscite[[#Headers],[Varie Uscite]],Data!$I984=SottocategorieUscite[[#Headers],[Personali]],Data!$I984=SottocategorieUscite[[#Headers],[Lavoro]]),"$ -","")</f>
        <v/>
      </c>
      <c r="L984" s="59" t="str">
        <f>IF(OR(Data!$I984=SottocategorieUscite[[#Headers],[Casa]],Data!$I984=SottocategorieUscite[[#Headers],[Utenze]],Data!$I984=SottocategorieUscite[[#Headers],[Business Uscite]],Data!$I984=SottocategorieUscite[[#Headers],[Banca]]),"$ -","")</f>
        <v/>
      </c>
      <c r="M984" s="59" t="str">
        <f>IF(OR($I984&lt;&gt;SottocategorieUscite[[#Headers],[Fuori Casa]],$I984&lt;&gt;SottocategorieUscite[[#Headers],[Varie Uscite]],$I984&lt;&gt;SottocategorieUscite[[#Headers],[Personali]],$I984&lt;&gt;SottocategorieUscite[[#Headers],[Lavoro]],$I984&lt;&gt;SottocategorieUscite[[#Headers],[Casa]],$I984&lt;&gt;SottocategorieUscite[[#Headers],[Utenze]],$I984&lt;&gt;SottocategorieUscite[[#Headers],[Business Uscite]],$I984&lt;&gt;SottocategorieUscite[[#Headers],[Banca]]),"","$ -")</f>
        <v/>
      </c>
      <c r="N984" s="59" t="str">
        <f>IF(OR(Data!$I984=SottocategorieEntrate[[#Headers],[Business Entrate]],Data!$I984=SottocategorieEntrate[[#Headers],[Varie Entrate]]),"$ -","")</f>
        <v/>
      </c>
      <c r="O984" s="59" t="str">
        <f>IF(OR(Data!$I984=SottocategorieEntrate[[#Headers],[Real Estate]],SottocategorieEntrate[[#Headers],[Other]]),"$ -","")</f>
        <v/>
      </c>
      <c r="P984" s="59" t="str">
        <f>IF(OR($I984&lt;&gt;SottocategorieEntrate[[#Headers],[Business Entrate]],$I984&lt;&gt;SottocategorieEntrate[[#Headers],[Varie Entrate]],$I984&lt;&gt;SottocategorieEntrate[[#Headers],[Real Estate]],$I984&lt;&gt;SottocategorieEntrate[[#Headers],[Other]]),"","$ -")</f>
        <v/>
      </c>
      <c r="Q984" s="59" t="str">
        <f>IF(Dati[[#This Row],[Categoria]]="Prelievo","€ -","")</f>
        <v/>
      </c>
      <c r="R984" s="244"/>
      <c r="S984" s="59" t="str">
        <f>IF(Dati[[#This Row],[Categoria]]="Savings",0,"")</f>
        <v/>
      </c>
      <c r="T984" s="59"/>
      <c r="U984" s="59"/>
      <c r="V984" s="59"/>
      <c r="W984" s="59"/>
      <c r="X984" s="59"/>
      <c r="Y984" s="59"/>
      <c r="Z984" s="59"/>
      <c r="AA984" s="59"/>
      <c r="AB984" s="59"/>
      <c r="AC984" s="59"/>
      <c r="AD984" s="59"/>
      <c r="AE984" s="59"/>
      <c r="AF984" s="59"/>
      <c r="AG984" s="59"/>
      <c r="AH984" s="59"/>
      <c r="AI984" s="59" t="str">
        <f>IF(SUM(Dati[[#This Row],[Inv. Business]:[Inv. Cryptocurrency]])=0," ",SUM(Dati[[#This Row],[Inv. Business]:[Inv. Cryptocurrency]]))</f>
        <v xml:space="preserve"> </v>
      </c>
      <c r="AJ984" s="59"/>
      <c r="AK984" s="59"/>
      <c r="AL984" s="59"/>
      <c r="AM984" s="59"/>
    </row>
    <row r="985" spans="2:39" x14ac:dyDescent="0.35">
      <c r="B985" s="237">
        <f>ROW(936:936)</f>
        <v>936</v>
      </c>
      <c r="C985" s="49">
        <f>C983+1</f>
        <v>45630</v>
      </c>
      <c r="D985" s="29">
        <f>DAY(Dati[[#This Row],[Data]])</f>
        <v>4</v>
      </c>
      <c r="E985" s="29" t="str">
        <f>IF(DAY(Data!$C$21:$C$1327)&gt;0,TEXT(Data!$C$21:$C$1327, "mmmm"),"")</f>
        <v>dicembre</v>
      </c>
      <c r="F985" s="29" t="str">
        <f>IF(DAY(Data!$C$21:$C$1327)&gt;0,TEXT(Data!$C$21:$C$1327, "aaaa"),"")</f>
        <v>2024</v>
      </c>
      <c r="I985" t="str">
        <f>IF(OR(H985=$B$5,H985=$B$6,H985=$B$7,H985=$B$8,H985=$B$9,H985=$B$10,H985=$B$11,H985=$B$12,H985=$B$13,H985=$B$14),SottocategorieUscite[[#Headers],[Fuori Casa]],IF(OR(H985=$C$5,H985=$C$6,H985=$C$7,H985=$C$8,H985=$C$9,H985=$C$10,H985=$C$11,H985=$C$12,H985=$C$13,H985=$C$14),SottocategorieUscite[[#Headers],[Varie Uscite]],IF(OR(H985=$D$5,H985=$D$6,H985=$D$7,H985=$D$8,H985=$D$9,H985=$D$10,H985=$D$11,H985=$D$12,H985=$D$13,H985=$D$14),SottocategorieUscite[[#Headers],[Personali]],IF(OR(H985=$E$5,H985=$E$6,H985=$E$7,H985=$E$8,H985=$E$9,H985=$E$10,H985=$E$11,H985=$E$12,H985=$E$13,H985=$E$14),SottocategorieUscite[[#Headers],[Lavoro]],IF(OR(H985=$F$5,H985=$F$6,H985=$F$7,H985=$F$8,H985=$F$9,H985=$F$10,H985=$F$11,H985=$F$12,H985=$F$13,H985=$F$14),SottocategorieUscite[[#Headers],[Casa]],IF(OR(H985=$G$5,H985=$G$6,H985=$G$7,H985=$G$8,H985=$G$9,H985=$G$10,H985=$G$11,H985=$G$12,H985=$G$13,H985=$G$14),SottocategorieUscite[[#Headers],[Utenze]],IF(OR(H985=$H$5,H985=$H$6,H985=$H$7,H985=$H$8,H985=$H$9,H985=$H$10,H985=$H$11,H985=$H$12,H985=$H$13,H985=$H$14),SottocategorieUscite[[#Headers],[Business Uscite]],IF(OR(H985=$I$5,H985=$I$6,H985=$I$7,H985=$I$8,H985=$I$9,H985=$I$10,H985=$I$11,H985=$I$12,H985=$I$13,H985=$I$14),SottocategorieUscite[[#Headers],[Banca]],IF(OR(H985=K$5,H985=K$6,H985=K$7,H985=K$8,H985=K$9,H985=K$10,H985=K$11,H985=K$12,H985=K$13,H985=K$14),SottocategorieEntrate[[#Headers],[Business Entrate]],IF(OR(H985=L$5,H985=L$6,H985=L$7,H985=L$8,H985=L$9,H985=L$10,H985=L$11,H985=L$12,H985=L$13,H985=L$14),SottocategorieEntrate[[#Headers],[Varie Entrate]],IF(OR(H985=M$5,H985=M$6,H985=M$7,H985=M$8,H985=M$9,H985=M$10,H985=M$11,H985=M$12,H985=M$13,H985=M$14),SottocategorieEntrate[[#Headers],[Real Estate]],IF(OR(H985=N$5,H985=N$6,H985=N$7,H985=N$8,H985=N$9,H985=N$10,H985=N$11,H985=N$12,H985=N$13,H985=N$14),SottocategorieEntrate[[#Headers],[Other]],""))))))))))))</f>
        <v/>
      </c>
      <c r="J985" t="str">
        <f>IF(OR(Dati[[#This Row],[Categoria]]="Bollette",Dati[[#This Row],[Categoria]]="Conto &amp; Carte BNL",Dati[[#This Row],[Categoria]]="Prelievo",Dati[[#This Row],[Categoria]]="Affitto",Dati[[#This Row],[Categoria]]="BNL(Interessi Creditori)"),"Carta",IF(Dati[[#This Row],[Categoria]]&lt;&gt;0,"Cash",""))</f>
        <v/>
      </c>
      <c r="K985" s="59" t="str">
        <f>IF(OR(Data!$I985=SottocategorieUscite[[#Headers],[Fuori Casa]],Data!$I985=SottocategorieUscite[[#Headers],[Varie Uscite]],Data!$I985=SottocategorieUscite[[#Headers],[Personali]],Data!$I985=SottocategorieUscite[[#Headers],[Lavoro]]),"$ -","")</f>
        <v/>
      </c>
      <c r="L985" s="59" t="str">
        <f>IF(OR(Data!$I985=SottocategorieUscite[[#Headers],[Casa]],Data!$I985=SottocategorieUscite[[#Headers],[Utenze]],Data!$I985=SottocategorieUscite[[#Headers],[Business Uscite]],Data!$I985=SottocategorieUscite[[#Headers],[Banca]]),"$ -","")</f>
        <v/>
      </c>
      <c r="M985" s="59" t="str">
        <f>IF(OR($I985&lt;&gt;SottocategorieUscite[[#Headers],[Fuori Casa]],$I985&lt;&gt;SottocategorieUscite[[#Headers],[Varie Uscite]],$I985&lt;&gt;SottocategorieUscite[[#Headers],[Personali]],$I985&lt;&gt;SottocategorieUscite[[#Headers],[Lavoro]],$I985&lt;&gt;SottocategorieUscite[[#Headers],[Casa]],$I985&lt;&gt;SottocategorieUscite[[#Headers],[Utenze]],$I985&lt;&gt;SottocategorieUscite[[#Headers],[Business Uscite]],$I985&lt;&gt;SottocategorieUscite[[#Headers],[Banca]]),"","$ -")</f>
        <v/>
      </c>
      <c r="N985" s="59" t="str">
        <f>IF(OR(Data!$I985=SottocategorieEntrate[[#Headers],[Business Entrate]],Data!$I985=SottocategorieEntrate[[#Headers],[Varie Entrate]]),"$ -","")</f>
        <v/>
      </c>
      <c r="O985" s="59" t="str">
        <f>IF(OR(Data!$I985=SottocategorieEntrate[[#Headers],[Real Estate]],SottocategorieEntrate[[#Headers],[Other]]),"$ -","")</f>
        <v/>
      </c>
      <c r="P985" s="59" t="str">
        <f>IF(OR($I985&lt;&gt;SottocategorieEntrate[[#Headers],[Business Entrate]],$I985&lt;&gt;SottocategorieEntrate[[#Headers],[Varie Entrate]],$I985&lt;&gt;SottocategorieEntrate[[#Headers],[Real Estate]],$I985&lt;&gt;SottocategorieEntrate[[#Headers],[Other]]),"","$ -")</f>
        <v/>
      </c>
      <c r="Q985" s="59" t="str">
        <f>IF(Dati[[#This Row],[Categoria]]="Prelievo","€ -","")</f>
        <v/>
      </c>
      <c r="R985" s="244"/>
      <c r="S985" s="59" t="str">
        <f>IF(Dati[[#This Row],[Categoria]]="Savings",0,"")</f>
        <v/>
      </c>
      <c r="T985" s="59"/>
      <c r="U985" s="59"/>
      <c r="V985" s="59"/>
      <c r="W985" s="59"/>
      <c r="X985" s="59"/>
      <c r="Y985" s="59"/>
      <c r="Z985" s="59"/>
      <c r="AA985" s="59"/>
      <c r="AB985" s="59"/>
      <c r="AC985" s="59"/>
      <c r="AD985" s="59"/>
      <c r="AE985" s="59"/>
      <c r="AF985" s="59"/>
      <c r="AG985" s="59"/>
      <c r="AH985" s="59"/>
      <c r="AI985" s="59" t="str">
        <f>IF(SUM(Dati[[#This Row],[Inv. Business]:[Inv. Cryptocurrency]])=0," ",SUM(Dati[[#This Row],[Inv. Business]:[Inv. Cryptocurrency]]))</f>
        <v xml:space="preserve"> </v>
      </c>
      <c r="AJ985" s="59"/>
      <c r="AK985" s="59"/>
      <c r="AL985" s="59"/>
      <c r="AM985" s="59"/>
    </row>
    <row r="986" spans="2:39" x14ac:dyDescent="0.35">
      <c r="B986" s="237">
        <f>ROW(937:937)</f>
        <v>937</v>
      </c>
      <c r="C986" s="49">
        <f>C984+1</f>
        <v>45631</v>
      </c>
      <c r="D986" s="29">
        <f>DAY(Dati[[#This Row],[Data]])</f>
        <v>5</v>
      </c>
      <c r="E986" s="29" t="str">
        <f>IF(DAY(Data!$C$21:$C$1327)&gt;0,TEXT(Data!$C$21:$C$1327, "mmmm"),"")</f>
        <v>dicembre</v>
      </c>
      <c r="F986" s="29" t="str">
        <f>IF(DAY(Data!$C$21:$C$1327)&gt;0,TEXT(Data!$C$21:$C$1327, "aaaa"),"")</f>
        <v>2024</v>
      </c>
      <c r="I986" t="str">
        <f>IF(OR(H986=$B$5,H986=$B$6,H986=$B$7,H986=$B$8,H986=$B$9,H986=$B$10,H986=$B$11,H986=$B$12,H986=$B$13,H986=$B$14),SottocategorieUscite[[#Headers],[Fuori Casa]],IF(OR(H986=$C$5,H986=$C$6,H986=$C$7,H986=$C$8,H986=$C$9,H986=$C$10,H986=$C$11,H986=$C$12,H986=$C$13,H986=$C$14),SottocategorieUscite[[#Headers],[Varie Uscite]],IF(OR(H986=$D$5,H986=$D$6,H986=$D$7,H986=$D$8,H986=$D$9,H986=$D$10,H986=$D$11,H986=$D$12,H986=$D$13,H986=$D$14),SottocategorieUscite[[#Headers],[Personali]],IF(OR(H986=$E$5,H986=$E$6,H986=$E$7,H986=$E$8,H986=$E$9,H986=$E$10,H986=$E$11,H986=$E$12,H986=$E$13,H986=$E$14),SottocategorieUscite[[#Headers],[Lavoro]],IF(OR(H986=$F$5,H986=$F$6,H986=$F$7,H986=$F$8,H986=$F$9,H986=$F$10,H986=$F$11,H986=$F$12,H986=$F$13,H986=$F$14),SottocategorieUscite[[#Headers],[Casa]],IF(OR(H986=$G$5,H986=$G$6,H986=$G$7,H986=$G$8,H986=$G$9,H986=$G$10,H986=$G$11,H986=$G$12,H986=$G$13,H986=$G$14),SottocategorieUscite[[#Headers],[Utenze]],IF(OR(H986=$H$5,H986=$H$6,H986=$H$7,H986=$H$8,H986=$H$9,H986=$H$10,H986=$H$11,H986=$H$12,H986=$H$13,H986=$H$14),SottocategorieUscite[[#Headers],[Business Uscite]],IF(OR(H986=$I$5,H986=$I$6,H986=$I$7,H986=$I$8,H986=$I$9,H986=$I$10,H986=$I$11,H986=$I$12,H986=$I$13,H986=$I$14),SottocategorieUscite[[#Headers],[Banca]],IF(OR(H986=K$5,H986=K$6,H986=K$7,H986=K$8,H986=K$9,H986=K$10,H986=K$11,H986=K$12,H986=K$13,H986=K$14),SottocategorieEntrate[[#Headers],[Business Entrate]],IF(OR(H986=L$5,H986=L$6,H986=L$7,H986=L$8,H986=L$9,H986=L$10,H986=L$11,H986=L$12,H986=L$13,H986=L$14),SottocategorieEntrate[[#Headers],[Varie Entrate]],IF(OR(H986=M$5,H986=M$6,H986=M$7,H986=M$8,H986=M$9,H986=M$10,H986=M$11,H986=M$12,H986=M$13,H986=M$14),SottocategorieEntrate[[#Headers],[Real Estate]],IF(OR(H986=N$5,H986=N$6,H986=N$7,H986=N$8,H986=N$9,H986=N$10,H986=N$11,H986=N$12,H986=N$13,H986=N$14),SottocategorieEntrate[[#Headers],[Other]],""))))))))))))</f>
        <v/>
      </c>
      <c r="J986" t="str">
        <f>IF(OR(Dati[[#This Row],[Categoria]]="Bollette",Dati[[#This Row],[Categoria]]="Conto &amp; Carte BNL",Dati[[#This Row],[Categoria]]="Prelievo",Dati[[#This Row],[Categoria]]="Affitto",Dati[[#This Row],[Categoria]]="BNL(Interessi Creditori)"),"Carta",IF(Dati[[#This Row],[Categoria]]&lt;&gt;0,"Cash",""))</f>
        <v/>
      </c>
      <c r="K986" s="59" t="str">
        <f>IF(OR(Data!$I986=SottocategorieUscite[[#Headers],[Fuori Casa]],Data!$I986=SottocategorieUscite[[#Headers],[Varie Uscite]],Data!$I986=SottocategorieUscite[[#Headers],[Personali]],Data!$I986=SottocategorieUscite[[#Headers],[Lavoro]]),"$ -","")</f>
        <v/>
      </c>
      <c r="L986" s="59" t="str">
        <f>IF(OR(Data!$I986=SottocategorieUscite[[#Headers],[Casa]],Data!$I986=SottocategorieUscite[[#Headers],[Utenze]],Data!$I986=SottocategorieUscite[[#Headers],[Business Uscite]],Data!$I986=SottocategorieUscite[[#Headers],[Banca]]),"$ -","")</f>
        <v/>
      </c>
      <c r="M986" s="59" t="str">
        <f>IF(OR($I986&lt;&gt;SottocategorieUscite[[#Headers],[Fuori Casa]],$I986&lt;&gt;SottocategorieUscite[[#Headers],[Varie Uscite]],$I986&lt;&gt;SottocategorieUscite[[#Headers],[Personali]],$I986&lt;&gt;SottocategorieUscite[[#Headers],[Lavoro]],$I986&lt;&gt;SottocategorieUscite[[#Headers],[Casa]],$I986&lt;&gt;SottocategorieUscite[[#Headers],[Utenze]],$I986&lt;&gt;SottocategorieUscite[[#Headers],[Business Uscite]],$I986&lt;&gt;SottocategorieUscite[[#Headers],[Banca]]),"","$ -")</f>
        <v/>
      </c>
      <c r="N986" s="59" t="str">
        <f>IF(OR(Data!$I986=SottocategorieEntrate[[#Headers],[Business Entrate]],Data!$I986=SottocategorieEntrate[[#Headers],[Varie Entrate]]),"$ -","")</f>
        <v/>
      </c>
      <c r="O986" s="59" t="str">
        <f>IF(OR(Data!$I986=SottocategorieEntrate[[#Headers],[Real Estate]],SottocategorieEntrate[[#Headers],[Other]]),"$ -","")</f>
        <v/>
      </c>
      <c r="P986" s="59" t="str">
        <f>IF(OR($I986&lt;&gt;SottocategorieEntrate[[#Headers],[Business Entrate]],$I986&lt;&gt;SottocategorieEntrate[[#Headers],[Varie Entrate]],$I986&lt;&gt;SottocategorieEntrate[[#Headers],[Real Estate]],$I986&lt;&gt;SottocategorieEntrate[[#Headers],[Other]]),"","$ -")</f>
        <v/>
      </c>
      <c r="Q986" s="59" t="str">
        <f>IF(Dati[[#This Row],[Categoria]]="Prelievo","€ -","")</f>
        <v/>
      </c>
      <c r="R986" s="244"/>
      <c r="S986" s="59" t="str">
        <f>IF(Dati[[#This Row],[Categoria]]="Savings",0,"")</f>
        <v/>
      </c>
      <c r="T986" s="59"/>
      <c r="U986" s="59"/>
      <c r="V986" s="59"/>
      <c r="W986" s="59"/>
      <c r="X986" s="59"/>
      <c r="Y986" s="59"/>
      <c r="Z986" s="59"/>
      <c r="AA986" s="59"/>
      <c r="AB986" s="59"/>
      <c r="AC986" s="59"/>
      <c r="AD986" s="59"/>
      <c r="AE986" s="59"/>
      <c r="AF986" s="59"/>
      <c r="AG986" s="59"/>
      <c r="AH986" s="59"/>
      <c r="AI986" s="59" t="str">
        <f>IF(SUM(Dati[[#This Row],[Inv. Business]:[Inv. Cryptocurrency]])=0," ",SUM(Dati[[#This Row],[Inv. Business]:[Inv. Cryptocurrency]]))</f>
        <v xml:space="preserve"> </v>
      </c>
      <c r="AJ986" s="59"/>
      <c r="AK986" s="59"/>
      <c r="AL986" s="59"/>
      <c r="AM986" s="59"/>
    </row>
    <row r="987" spans="2:39" x14ac:dyDescent="0.35">
      <c r="B987" s="237">
        <f>ROW(938:938)</f>
        <v>938</v>
      </c>
      <c r="C987" s="49">
        <f>C984+1</f>
        <v>45631</v>
      </c>
      <c r="D987" s="29">
        <f>DAY(Dati[[#This Row],[Data]])</f>
        <v>5</v>
      </c>
      <c r="E987" s="29" t="str">
        <f>IF(DAY(Data!$C$21:$C$1327)&gt;0,TEXT(Data!$C$21:$C$1327, "mmmm"),"")</f>
        <v>dicembre</v>
      </c>
      <c r="F987" s="29" t="str">
        <f>IF(DAY(Data!$C$21:$C$1327)&gt;0,TEXT(Data!$C$21:$C$1327, "aaaa"),"")</f>
        <v>2024</v>
      </c>
      <c r="I987" t="str">
        <f>IF(OR(H987=$B$5,H987=$B$6,H987=$B$7,H987=$B$8,H987=$B$9,H987=$B$10,H987=$B$11,H987=$B$12,H987=$B$13,H987=$B$14),SottocategorieUscite[[#Headers],[Fuori Casa]],IF(OR(H987=$C$5,H987=$C$6,H987=$C$7,H987=$C$8,H987=$C$9,H987=$C$10,H987=$C$11,H987=$C$12,H987=$C$13,H987=$C$14),SottocategorieUscite[[#Headers],[Varie Uscite]],IF(OR(H987=$D$5,H987=$D$6,H987=$D$7,H987=$D$8,H987=$D$9,H987=$D$10,H987=$D$11,H987=$D$12,H987=$D$13,H987=$D$14),SottocategorieUscite[[#Headers],[Personali]],IF(OR(H987=$E$5,H987=$E$6,H987=$E$7,H987=$E$8,H987=$E$9,H987=$E$10,H987=$E$11,H987=$E$12,H987=$E$13,H987=$E$14),SottocategorieUscite[[#Headers],[Lavoro]],IF(OR(H987=$F$5,H987=$F$6,H987=$F$7,H987=$F$8,H987=$F$9,H987=$F$10,H987=$F$11,H987=$F$12,H987=$F$13,H987=$F$14),SottocategorieUscite[[#Headers],[Casa]],IF(OR(H987=$G$5,H987=$G$6,H987=$G$7,H987=$G$8,H987=$G$9,H987=$G$10,H987=$G$11,H987=$G$12,H987=$G$13,H987=$G$14),SottocategorieUscite[[#Headers],[Utenze]],IF(OR(H987=$H$5,H987=$H$6,H987=$H$7,H987=$H$8,H987=$H$9,H987=$H$10,H987=$H$11,H987=$H$12,H987=$H$13,H987=$H$14),SottocategorieUscite[[#Headers],[Business Uscite]],IF(OR(H987=$I$5,H987=$I$6,H987=$I$7,H987=$I$8,H987=$I$9,H987=$I$10,H987=$I$11,H987=$I$12,H987=$I$13,H987=$I$14),SottocategorieUscite[[#Headers],[Banca]],IF(OR(H987=K$5,H987=K$6,H987=K$7,H987=K$8,H987=K$9,H987=K$10,H987=K$11,H987=K$12,H987=K$13,H987=K$14),SottocategorieEntrate[[#Headers],[Business Entrate]],IF(OR(H987=L$5,H987=L$6,H987=L$7,H987=L$8,H987=L$9,H987=L$10,H987=L$11,H987=L$12,H987=L$13,H987=L$14),SottocategorieEntrate[[#Headers],[Varie Entrate]],IF(OR(H987=M$5,H987=M$6,H987=M$7,H987=M$8,H987=M$9,H987=M$10,H987=M$11,H987=M$12,H987=M$13,H987=M$14),SottocategorieEntrate[[#Headers],[Real Estate]],IF(OR(H987=N$5,H987=N$6,H987=N$7,H987=N$8,H987=N$9,H987=N$10,H987=N$11,H987=N$12,H987=N$13,H987=N$14),SottocategorieEntrate[[#Headers],[Other]],""))))))))))))</f>
        <v/>
      </c>
      <c r="J987" t="str">
        <f>IF(OR(Dati[[#This Row],[Categoria]]="Bollette",Dati[[#This Row],[Categoria]]="Conto &amp; Carte BNL",Dati[[#This Row],[Categoria]]="Prelievo",Dati[[#This Row],[Categoria]]="Affitto",Dati[[#This Row],[Categoria]]="BNL(Interessi Creditori)"),"Carta",IF(Dati[[#This Row],[Categoria]]&lt;&gt;0,"Cash",""))</f>
        <v/>
      </c>
      <c r="K987" s="59" t="str">
        <f>IF(OR(Data!$I987=SottocategorieUscite[[#Headers],[Fuori Casa]],Data!$I987=SottocategorieUscite[[#Headers],[Varie Uscite]],Data!$I987=SottocategorieUscite[[#Headers],[Personali]],Data!$I987=SottocategorieUscite[[#Headers],[Lavoro]]),"$ -","")</f>
        <v/>
      </c>
      <c r="L987" s="59" t="str">
        <f>IF(OR(Data!$I987=SottocategorieUscite[[#Headers],[Casa]],Data!$I987=SottocategorieUscite[[#Headers],[Utenze]],Data!$I987=SottocategorieUscite[[#Headers],[Business Uscite]],Data!$I987=SottocategorieUscite[[#Headers],[Banca]]),"$ -","")</f>
        <v/>
      </c>
      <c r="M987" s="59" t="str">
        <f>IF(OR($I987&lt;&gt;SottocategorieUscite[[#Headers],[Fuori Casa]],$I987&lt;&gt;SottocategorieUscite[[#Headers],[Varie Uscite]],$I987&lt;&gt;SottocategorieUscite[[#Headers],[Personali]],$I987&lt;&gt;SottocategorieUscite[[#Headers],[Lavoro]],$I987&lt;&gt;SottocategorieUscite[[#Headers],[Casa]],$I987&lt;&gt;SottocategorieUscite[[#Headers],[Utenze]],$I987&lt;&gt;SottocategorieUscite[[#Headers],[Business Uscite]],$I987&lt;&gt;SottocategorieUscite[[#Headers],[Banca]]),"","$ -")</f>
        <v/>
      </c>
      <c r="N987" s="59" t="str">
        <f>IF(OR(Data!$I987=SottocategorieEntrate[[#Headers],[Business Entrate]],Data!$I987=SottocategorieEntrate[[#Headers],[Varie Entrate]]),"$ -","")</f>
        <v/>
      </c>
      <c r="O987" s="59" t="str">
        <f>IF(OR(Data!$I987=SottocategorieEntrate[[#Headers],[Real Estate]],SottocategorieEntrate[[#Headers],[Other]]),"$ -","")</f>
        <v/>
      </c>
      <c r="P987" s="59" t="str">
        <f>IF(OR($I987&lt;&gt;SottocategorieEntrate[[#Headers],[Business Entrate]],$I987&lt;&gt;SottocategorieEntrate[[#Headers],[Varie Entrate]],$I987&lt;&gt;SottocategorieEntrate[[#Headers],[Real Estate]],$I987&lt;&gt;SottocategorieEntrate[[#Headers],[Other]]),"","$ -")</f>
        <v/>
      </c>
      <c r="Q987" s="59" t="str">
        <f>IF(Dati[[#This Row],[Categoria]]="Prelievo","€ -","")</f>
        <v/>
      </c>
      <c r="R987" s="244"/>
      <c r="S987" s="59" t="str">
        <f>IF(Dati[[#This Row],[Categoria]]="Savings",0,"")</f>
        <v/>
      </c>
      <c r="T987" s="59"/>
      <c r="U987" s="59"/>
      <c r="V987" s="59"/>
      <c r="W987" s="59"/>
      <c r="X987" s="59"/>
      <c r="Y987" s="59"/>
      <c r="Z987" s="59"/>
      <c r="AA987" s="59"/>
      <c r="AB987" s="59"/>
      <c r="AC987" s="59"/>
      <c r="AD987" s="59"/>
      <c r="AE987" s="59"/>
      <c r="AF987" s="59"/>
      <c r="AG987" s="59"/>
      <c r="AH987" s="59"/>
      <c r="AI987" s="59" t="str">
        <f>IF(SUM(Dati[[#This Row],[Inv. Business]:[Inv. Cryptocurrency]])=0," ",SUM(Dati[[#This Row],[Inv. Business]:[Inv. Cryptocurrency]]))</f>
        <v xml:space="preserve"> </v>
      </c>
      <c r="AJ987" s="59"/>
      <c r="AK987" s="59"/>
      <c r="AL987" s="59"/>
      <c r="AM987" s="59"/>
    </row>
    <row r="988" spans="2:39" x14ac:dyDescent="0.35">
      <c r="B988" s="237">
        <f>ROW(939:939)</f>
        <v>939</v>
      </c>
      <c r="C988" s="49">
        <f>C985+1</f>
        <v>45631</v>
      </c>
      <c r="D988" s="29">
        <f>DAY(Dati[[#This Row],[Data]])</f>
        <v>5</v>
      </c>
      <c r="E988" s="29" t="str">
        <f>IF(DAY(Data!$C$21:$C$1327)&gt;0,TEXT(Data!$C$21:$C$1327, "mmmm"),"")</f>
        <v>dicembre</v>
      </c>
      <c r="F988" s="29" t="str">
        <f>IF(DAY(Data!$C$21:$C$1327)&gt;0,TEXT(Data!$C$21:$C$1327, "aaaa"),"")</f>
        <v>2024</v>
      </c>
      <c r="I988" t="str">
        <f>IF(OR(H988=$B$5,H988=$B$6,H988=$B$7,H988=$B$8,H988=$B$9,H988=$B$10,H988=$B$11,H988=$B$12,H988=$B$13,H988=$B$14),SottocategorieUscite[[#Headers],[Fuori Casa]],IF(OR(H988=$C$5,H988=$C$6,H988=$C$7,H988=$C$8,H988=$C$9,H988=$C$10,H988=$C$11,H988=$C$12,H988=$C$13,H988=$C$14),SottocategorieUscite[[#Headers],[Varie Uscite]],IF(OR(H988=$D$5,H988=$D$6,H988=$D$7,H988=$D$8,H988=$D$9,H988=$D$10,H988=$D$11,H988=$D$12,H988=$D$13,H988=$D$14),SottocategorieUscite[[#Headers],[Personali]],IF(OR(H988=$E$5,H988=$E$6,H988=$E$7,H988=$E$8,H988=$E$9,H988=$E$10,H988=$E$11,H988=$E$12,H988=$E$13,H988=$E$14),SottocategorieUscite[[#Headers],[Lavoro]],IF(OR(H988=$F$5,H988=$F$6,H988=$F$7,H988=$F$8,H988=$F$9,H988=$F$10,H988=$F$11,H988=$F$12,H988=$F$13,H988=$F$14),SottocategorieUscite[[#Headers],[Casa]],IF(OR(H988=$G$5,H988=$G$6,H988=$G$7,H988=$G$8,H988=$G$9,H988=$G$10,H988=$G$11,H988=$G$12,H988=$G$13,H988=$G$14),SottocategorieUscite[[#Headers],[Utenze]],IF(OR(H988=$H$5,H988=$H$6,H988=$H$7,H988=$H$8,H988=$H$9,H988=$H$10,H988=$H$11,H988=$H$12,H988=$H$13,H988=$H$14),SottocategorieUscite[[#Headers],[Business Uscite]],IF(OR(H988=$I$5,H988=$I$6,H988=$I$7,H988=$I$8,H988=$I$9,H988=$I$10,H988=$I$11,H988=$I$12,H988=$I$13,H988=$I$14),SottocategorieUscite[[#Headers],[Banca]],IF(OR(H988=K$5,H988=K$6,H988=K$7,H988=K$8,H988=K$9,H988=K$10,H988=K$11,H988=K$12,H988=K$13,H988=K$14),SottocategorieEntrate[[#Headers],[Business Entrate]],IF(OR(H988=L$5,H988=L$6,H988=L$7,H988=L$8,H988=L$9,H988=L$10,H988=L$11,H988=L$12,H988=L$13,H988=L$14),SottocategorieEntrate[[#Headers],[Varie Entrate]],IF(OR(H988=M$5,H988=M$6,H988=M$7,H988=M$8,H988=M$9,H988=M$10,H988=M$11,H988=M$12,H988=M$13,H988=M$14),SottocategorieEntrate[[#Headers],[Real Estate]],IF(OR(H988=N$5,H988=N$6,H988=N$7,H988=N$8,H988=N$9,H988=N$10,H988=N$11,H988=N$12,H988=N$13,H988=N$14),SottocategorieEntrate[[#Headers],[Other]],""))))))))))))</f>
        <v/>
      </c>
      <c r="J988" t="str">
        <f>IF(OR(Dati[[#This Row],[Categoria]]="Bollette",Dati[[#This Row],[Categoria]]="Conto &amp; Carte BNL",Dati[[#This Row],[Categoria]]="Prelievo",Dati[[#This Row],[Categoria]]="Affitto",Dati[[#This Row],[Categoria]]="BNL(Interessi Creditori)"),"Carta",IF(Dati[[#This Row],[Categoria]]&lt;&gt;0,"Cash",""))</f>
        <v/>
      </c>
      <c r="K988" s="59" t="str">
        <f>IF(OR(Data!$I988=SottocategorieUscite[[#Headers],[Fuori Casa]],Data!$I988=SottocategorieUscite[[#Headers],[Varie Uscite]],Data!$I988=SottocategorieUscite[[#Headers],[Personali]],Data!$I988=SottocategorieUscite[[#Headers],[Lavoro]]),"$ -","")</f>
        <v/>
      </c>
      <c r="L988" s="59" t="str">
        <f>IF(OR(Data!$I988=SottocategorieUscite[[#Headers],[Casa]],Data!$I988=SottocategorieUscite[[#Headers],[Utenze]],Data!$I988=SottocategorieUscite[[#Headers],[Business Uscite]],Data!$I988=SottocategorieUscite[[#Headers],[Banca]]),"$ -","")</f>
        <v/>
      </c>
      <c r="M988" s="59" t="str">
        <f>IF(OR($I988&lt;&gt;SottocategorieUscite[[#Headers],[Fuori Casa]],$I988&lt;&gt;SottocategorieUscite[[#Headers],[Varie Uscite]],$I988&lt;&gt;SottocategorieUscite[[#Headers],[Personali]],$I988&lt;&gt;SottocategorieUscite[[#Headers],[Lavoro]],$I988&lt;&gt;SottocategorieUscite[[#Headers],[Casa]],$I988&lt;&gt;SottocategorieUscite[[#Headers],[Utenze]],$I988&lt;&gt;SottocategorieUscite[[#Headers],[Business Uscite]],$I988&lt;&gt;SottocategorieUscite[[#Headers],[Banca]]),"","$ -")</f>
        <v/>
      </c>
      <c r="N988" s="59" t="str">
        <f>IF(OR(Data!$I988=SottocategorieEntrate[[#Headers],[Business Entrate]],Data!$I988=SottocategorieEntrate[[#Headers],[Varie Entrate]]),"$ -","")</f>
        <v/>
      </c>
      <c r="O988" s="59" t="str">
        <f>IF(OR(Data!$I988=SottocategorieEntrate[[#Headers],[Real Estate]],SottocategorieEntrate[[#Headers],[Other]]),"$ -","")</f>
        <v/>
      </c>
      <c r="P988" s="59" t="str">
        <f>IF(OR($I988&lt;&gt;SottocategorieEntrate[[#Headers],[Business Entrate]],$I988&lt;&gt;SottocategorieEntrate[[#Headers],[Varie Entrate]],$I988&lt;&gt;SottocategorieEntrate[[#Headers],[Real Estate]],$I988&lt;&gt;SottocategorieEntrate[[#Headers],[Other]]),"","$ -")</f>
        <v/>
      </c>
      <c r="Q988" s="59" t="str">
        <f>IF(Dati[[#This Row],[Categoria]]="Prelievo","€ -","")</f>
        <v/>
      </c>
      <c r="R988" s="244"/>
      <c r="S988" s="59" t="str">
        <f>IF(Dati[[#This Row],[Categoria]]="Savings",0,"")</f>
        <v/>
      </c>
      <c r="T988" s="59"/>
      <c r="U988" s="59"/>
      <c r="V988" s="59"/>
      <c r="W988" s="59"/>
      <c r="X988" s="59"/>
      <c r="Y988" s="59"/>
      <c r="Z988" s="59"/>
      <c r="AA988" s="59"/>
      <c r="AB988" s="59"/>
      <c r="AC988" s="59"/>
      <c r="AD988" s="59"/>
      <c r="AE988" s="59"/>
      <c r="AF988" s="59"/>
      <c r="AG988" s="59"/>
      <c r="AH988" s="59"/>
      <c r="AI988" s="59" t="str">
        <f>IF(SUM(Dati[[#This Row],[Inv. Business]:[Inv. Cryptocurrency]])=0," ",SUM(Dati[[#This Row],[Inv. Business]:[Inv. Cryptocurrency]]))</f>
        <v xml:space="preserve"> </v>
      </c>
      <c r="AJ988" s="59"/>
      <c r="AK988" s="59"/>
      <c r="AL988" s="59"/>
      <c r="AM988" s="59"/>
    </row>
    <row r="989" spans="2:39" x14ac:dyDescent="0.35">
      <c r="B989" s="237">
        <f>ROW(939:939)</f>
        <v>939</v>
      </c>
      <c r="C989" s="49">
        <f>C985+1</f>
        <v>45631</v>
      </c>
      <c r="D989" s="29">
        <f>DAY(Dati[[#This Row],[Data]])</f>
        <v>5</v>
      </c>
      <c r="E989" s="29" t="str">
        <f>IF(DAY(Data!$C$21:$C$1327)&gt;0,TEXT(Data!$C$21:$C$1327, "mmmm"),"")</f>
        <v>dicembre</v>
      </c>
      <c r="F989" s="29" t="str">
        <f>IF(DAY(Data!$C$21:$C$1327)&gt;0,TEXT(Data!$C$21:$C$1327, "aaaa"),"")</f>
        <v>2024</v>
      </c>
      <c r="I989" t="str">
        <f>IF(OR(H989=$B$5,H989=$B$6,H989=$B$7,H989=$B$8,H989=$B$9,H989=$B$10,H989=$B$11,H989=$B$12,H989=$B$13,H989=$B$14),SottocategorieUscite[[#Headers],[Fuori Casa]],IF(OR(H989=$C$5,H989=$C$6,H989=$C$7,H989=$C$8,H989=$C$9,H989=$C$10,H989=$C$11,H989=$C$12,H989=$C$13,H989=$C$14),SottocategorieUscite[[#Headers],[Varie Uscite]],IF(OR(H989=$D$5,H989=$D$6,H989=$D$7,H989=$D$8,H989=$D$9,H989=$D$10,H989=$D$11,H989=$D$12,H989=$D$13,H989=$D$14),SottocategorieUscite[[#Headers],[Personali]],IF(OR(H989=$E$5,H989=$E$6,H989=$E$7,H989=$E$8,H989=$E$9,H989=$E$10,H989=$E$11,H989=$E$12,H989=$E$13,H989=$E$14),SottocategorieUscite[[#Headers],[Lavoro]],IF(OR(H989=$F$5,H989=$F$6,H989=$F$7,H989=$F$8,H989=$F$9,H989=$F$10,H989=$F$11,H989=$F$12,H989=$F$13,H989=$F$14),SottocategorieUscite[[#Headers],[Casa]],IF(OR(H989=$G$5,H989=$G$6,H989=$G$7,H989=$G$8,H989=$G$9,H989=$G$10,H989=$G$11,H989=$G$12,H989=$G$13,H989=$G$14),SottocategorieUscite[[#Headers],[Utenze]],IF(OR(H989=$H$5,H989=$H$6,H989=$H$7,H989=$H$8,H989=$H$9,H989=$H$10,H989=$H$11,H989=$H$12,H989=$H$13,H989=$H$14),SottocategorieUscite[[#Headers],[Business Uscite]],IF(OR(H989=$I$5,H989=$I$6,H989=$I$7,H989=$I$8,H989=$I$9,H989=$I$10,H989=$I$11,H989=$I$12,H989=$I$13,H989=$I$14),SottocategorieUscite[[#Headers],[Banca]],IF(OR(H989=K$5,H989=K$6,H989=K$7,H989=K$8,H989=K$9,H989=K$10,H989=K$11,H989=K$12,H989=K$13,H989=K$14),SottocategorieEntrate[[#Headers],[Business Entrate]],IF(OR(H989=L$5,H989=L$6,H989=L$7,H989=L$8,H989=L$9,H989=L$10,H989=L$11,H989=L$12,H989=L$13,H989=L$14),SottocategorieEntrate[[#Headers],[Varie Entrate]],IF(OR(H989=M$5,H989=M$6,H989=M$7,H989=M$8,H989=M$9,H989=M$10,H989=M$11,H989=M$12,H989=M$13,H989=M$14),SottocategorieEntrate[[#Headers],[Real Estate]],IF(OR(H989=N$5,H989=N$6,H989=N$7,H989=N$8,H989=N$9,H989=N$10,H989=N$11,H989=N$12,H989=N$13,H989=N$14),SottocategorieEntrate[[#Headers],[Other]],""))))))))))))</f>
        <v/>
      </c>
      <c r="J989" t="str">
        <f>IF(OR(Dati[[#This Row],[Categoria]]="Bollette",Dati[[#This Row],[Categoria]]="Conto &amp; Carte BNL",Dati[[#This Row],[Categoria]]="Prelievo",Dati[[#This Row],[Categoria]]="Affitto",Dati[[#This Row],[Categoria]]="BNL(Interessi Creditori)"),"Carta",IF(Dati[[#This Row],[Categoria]]&lt;&gt;0,"Cash",""))</f>
        <v/>
      </c>
      <c r="K989" s="59" t="str">
        <f>IF(OR(Data!$I989=SottocategorieUscite[[#Headers],[Fuori Casa]],Data!$I989=SottocategorieUscite[[#Headers],[Varie Uscite]],Data!$I989=SottocategorieUscite[[#Headers],[Personali]],Data!$I989=SottocategorieUscite[[#Headers],[Lavoro]]),"$ -","")</f>
        <v/>
      </c>
      <c r="L989" s="59" t="str">
        <f>IF(OR(Data!$I989=SottocategorieUscite[[#Headers],[Casa]],Data!$I989=SottocategorieUscite[[#Headers],[Utenze]],Data!$I989=SottocategorieUscite[[#Headers],[Business Uscite]],Data!$I989=SottocategorieUscite[[#Headers],[Banca]]),"$ -","")</f>
        <v/>
      </c>
      <c r="M989" s="59" t="str">
        <f>IF(OR($I989&lt;&gt;SottocategorieUscite[[#Headers],[Fuori Casa]],$I989&lt;&gt;SottocategorieUscite[[#Headers],[Varie Uscite]],$I989&lt;&gt;SottocategorieUscite[[#Headers],[Personali]],$I989&lt;&gt;SottocategorieUscite[[#Headers],[Lavoro]],$I989&lt;&gt;SottocategorieUscite[[#Headers],[Casa]],$I989&lt;&gt;SottocategorieUscite[[#Headers],[Utenze]],$I989&lt;&gt;SottocategorieUscite[[#Headers],[Business Uscite]],$I989&lt;&gt;SottocategorieUscite[[#Headers],[Banca]]),"","$ -")</f>
        <v/>
      </c>
      <c r="N989" s="59" t="str">
        <f>IF(OR(Data!$I989=SottocategorieEntrate[[#Headers],[Business Entrate]],Data!$I989=SottocategorieEntrate[[#Headers],[Varie Entrate]]),"$ -","")</f>
        <v/>
      </c>
      <c r="O989" s="59" t="str">
        <f>IF(OR(Data!$I989=SottocategorieEntrate[[#Headers],[Real Estate]],SottocategorieEntrate[[#Headers],[Other]]),"$ -","")</f>
        <v/>
      </c>
      <c r="P989" s="59" t="str">
        <f>IF(OR($I989&lt;&gt;SottocategorieEntrate[[#Headers],[Business Entrate]],$I989&lt;&gt;SottocategorieEntrate[[#Headers],[Varie Entrate]],$I989&lt;&gt;SottocategorieEntrate[[#Headers],[Real Estate]],$I989&lt;&gt;SottocategorieEntrate[[#Headers],[Other]]),"","$ -")</f>
        <v/>
      </c>
      <c r="Q989" s="59" t="str">
        <f>IF(Dati[[#This Row],[Categoria]]="Prelievo","€ -","")</f>
        <v/>
      </c>
      <c r="R989" s="244"/>
      <c r="S989" s="59" t="str">
        <f>IF(Dati[[#This Row],[Categoria]]="Savings",0,"")</f>
        <v/>
      </c>
      <c r="T989" s="59"/>
      <c r="U989" s="59"/>
      <c r="V989" s="59"/>
      <c r="W989" s="59"/>
      <c r="X989" s="59"/>
      <c r="Y989" s="59"/>
      <c r="Z989" s="59"/>
      <c r="AA989" s="59"/>
      <c r="AB989" s="59"/>
      <c r="AC989" s="59"/>
      <c r="AD989" s="59"/>
      <c r="AE989" s="59"/>
      <c r="AF989" s="59"/>
      <c r="AG989" s="59"/>
      <c r="AH989" s="59"/>
      <c r="AI989" s="59" t="str">
        <f>IF(SUM(Dati[[#This Row],[Inv. Business]:[Inv. Cryptocurrency]])=0," ",SUM(Dati[[#This Row],[Inv. Business]:[Inv. Cryptocurrency]]))</f>
        <v xml:space="preserve"> </v>
      </c>
      <c r="AJ989" s="59"/>
      <c r="AK989" s="59"/>
      <c r="AL989" s="59"/>
      <c r="AM989" s="59"/>
    </row>
    <row r="990" spans="2:39" x14ac:dyDescent="0.35">
      <c r="B990" s="237">
        <f>ROW(940:940)</f>
        <v>940</v>
      </c>
      <c r="C990" s="49">
        <f>C986+1</f>
        <v>45632</v>
      </c>
      <c r="D990" s="29">
        <f>DAY(Dati[[#This Row],[Data]])</f>
        <v>6</v>
      </c>
      <c r="E990" s="29" t="str">
        <f>IF(DAY(Data!$C$21:$C$1327)&gt;0,TEXT(Data!$C$21:$C$1327, "mmmm"),"")</f>
        <v>dicembre</v>
      </c>
      <c r="F990" s="29" t="str">
        <f>IF(DAY(Data!$C$21:$C$1327)&gt;0,TEXT(Data!$C$21:$C$1327, "aaaa"),"")</f>
        <v>2024</v>
      </c>
      <c r="I990" t="str">
        <f>IF(OR(H990=$B$5,H990=$B$6,H990=$B$7,H990=$B$8,H990=$B$9,H990=$B$10,H990=$B$11,H990=$B$12,H990=$B$13,H990=$B$14),SottocategorieUscite[[#Headers],[Fuori Casa]],IF(OR(H990=$C$5,H990=$C$6,H990=$C$7,H990=$C$8,H990=$C$9,H990=$C$10,H990=$C$11,H990=$C$12,H990=$C$13,H990=$C$14),SottocategorieUscite[[#Headers],[Varie Uscite]],IF(OR(H990=$D$5,H990=$D$6,H990=$D$7,H990=$D$8,H990=$D$9,H990=$D$10,H990=$D$11,H990=$D$12,H990=$D$13,H990=$D$14),SottocategorieUscite[[#Headers],[Personali]],IF(OR(H990=$E$5,H990=$E$6,H990=$E$7,H990=$E$8,H990=$E$9,H990=$E$10,H990=$E$11,H990=$E$12,H990=$E$13,H990=$E$14),SottocategorieUscite[[#Headers],[Lavoro]],IF(OR(H990=$F$5,H990=$F$6,H990=$F$7,H990=$F$8,H990=$F$9,H990=$F$10,H990=$F$11,H990=$F$12,H990=$F$13,H990=$F$14),SottocategorieUscite[[#Headers],[Casa]],IF(OR(H990=$G$5,H990=$G$6,H990=$G$7,H990=$G$8,H990=$G$9,H990=$G$10,H990=$G$11,H990=$G$12,H990=$G$13,H990=$G$14),SottocategorieUscite[[#Headers],[Utenze]],IF(OR(H990=$H$5,H990=$H$6,H990=$H$7,H990=$H$8,H990=$H$9,H990=$H$10,H990=$H$11,H990=$H$12,H990=$H$13,H990=$H$14),SottocategorieUscite[[#Headers],[Business Uscite]],IF(OR(H990=$I$5,H990=$I$6,H990=$I$7,H990=$I$8,H990=$I$9,H990=$I$10,H990=$I$11,H990=$I$12,H990=$I$13,H990=$I$14),SottocategorieUscite[[#Headers],[Banca]],IF(OR(H990=K$5,H990=K$6,H990=K$7,H990=K$8,H990=K$9,H990=K$10,H990=K$11,H990=K$12,H990=K$13,H990=K$14),SottocategorieEntrate[[#Headers],[Business Entrate]],IF(OR(H990=L$5,H990=L$6,H990=L$7,H990=L$8,H990=L$9,H990=L$10,H990=L$11,H990=L$12,H990=L$13,H990=L$14),SottocategorieEntrate[[#Headers],[Varie Entrate]],IF(OR(H990=M$5,H990=M$6,H990=M$7,H990=M$8,H990=M$9,H990=M$10,H990=M$11,H990=M$12,H990=M$13,H990=M$14),SottocategorieEntrate[[#Headers],[Real Estate]],IF(OR(H990=N$5,H990=N$6,H990=N$7,H990=N$8,H990=N$9,H990=N$10,H990=N$11,H990=N$12,H990=N$13,H990=N$14),SottocategorieEntrate[[#Headers],[Other]],""))))))))))))</f>
        <v/>
      </c>
      <c r="J990" t="str">
        <f>IF(OR(Dati[[#This Row],[Categoria]]="Bollette",Dati[[#This Row],[Categoria]]="Conto &amp; Carte BNL",Dati[[#This Row],[Categoria]]="Prelievo",Dati[[#This Row],[Categoria]]="Affitto",Dati[[#This Row],[Categoria]]="BNL(Interessi Creditori)"),"Carta",IF(Dati[[#This Row],[Categoria]]&lt;&gt;0,"Cash",""))</f>
        <v/>
      </c>
      <c r="K990" s="59" t="str">
        <f>IF(OR(Data!$I990=SottocategorieUscite[[#Headers],[Fuori Casa]],Data!$I990=SottocategorieUscite[[#Headers],[Varie Uscite]],Data!$I990=SottocategorieUscite[[#Headers],[Personali]],Data!$I990=SottocategorieUscite[[#Headers],[Lavoro]]),"$ -","")</f>
        <v/>
      </c>
      <c r="L990" s="59" t="str">
        <f>IF(OR(Data!$I990=SottocategorieUscite[[#Headers],[Casa]],Data!$I990=SottocategorieUscite[[#Headers],[Utenze]],Data!$I990=SottocategorieUscite[[#Headers],[Business Uscite]],Data!$I990=SottocategorieUscite[[#Headers],[Banca]]),"$ -","")</f>
        <v/>
      </c>
      <c r="M990" s="59" t="str">
        <f>IF(OR($I990&lt;&gt;SottocategorieUscite[[#Headers],[Fuori Casa]],$I990&lt;&gt;SottocategorieUscite[[#Headers],[Varie Uscite]],$I990&lt;&gt;SottocategorieUscite[[#Headers],[Personali]],$I990&lt;&gt;SottocategorieUscite[[#Headers],[Lavoro]],$I990&lt;&gt;SottocategorieUscite[[#Headers],[Casa]],$I990&lt;&gt;SottocategorieUscite[[#Headers],[Utenze]],$I990&lt;&gt;SottocategorieUscite[[#Headers],[Business Uscite]],$I990&lt;&gt;SottocategorieUscite[[#Headers],[Banca]]),"","$ -")</f>
        <v/>
      </c>
      <c r="N990" s="59" t="str">
        <f>IF(OR(Data!$I990=SottocategorieEntrate[[#Headers],[Business Entrate]],Data!$I990=SottocategorieEntrate[[#Headers],[Varie Entrate]]),"$ -","")</f>
        <v/>
      </c>
      <c r="O990" s="59" t="str">
        <f>IF(OR(Data!$I990=SottocategorieEntrate[[#Headers],[Real Estate]],SottocategorieEntrate[[#Headers],[Other]]),"$ -","")</f>
        <v/>
      </c>
      <c r="P990" s="59" t="str">
        <f>IF(OR($I990&lt;&gt;SottocategorieEntrate[[#Headers],[Business Entrate]],$I990&lt;&gt;SottocategorieEntrate[[#Headers],[Varie Entrate]],$I990&lt;&gt;SottocategorieEntrate[[#Headers],[Real Estate]],$I990&lt;&gt;SottocategorieEntrate[[#Headers],[Other]]),"","$ -")</f>
        <v/>
      </c>
      <c r="Q990" s="59" t="str">
        <f>IF(Dati[[#This Row],[Categoria]]="Prelievo","€ -","")</f>
        <v/>
      </c>
      <c r="R990" s="244"/>
      <c r="S990" s="59" t="str">
        <f>IF(Dati[[#This Row],[Categoria]]="Savings",0,"")</f>
        <v/>
      </c>
      <c r="T990" s="59"/>
      <c r="U990" s="59"/>
      <c r="V990" s="59"/>
      <c r="W990" s="59"/>
      <c r="X990" s="59"/>
      <c r="Y990" s="59"/>
      <c r="Z990" s="59"/>
      <c r="AA990" s="59"/>
      <c r="AB990" s="59"/>
      <c r="AC990" s="59"/>
      <c r="AD990" s="59"/>
      <c r="AE990" s="59"/>
      <c r="AF990" s="59"/>
      <c r="AG990" s="59"/>
      <c r="AH990" s="59"/>
      <c r="AI990" s="59" t="str">
        <f>IF(SUM(Dati[[#This Row],[Inv. Business]:[Inv. Cryptocurrency]])=0," ",SUM(Dati[[#This Row],[Inv. Business]:[Inv. Cryptocurrency]]))</f>
        <v xml:space="preserve"> </v>
      </c>
      <c r="AJ990" s="59"/>
      <c r="AK990" s="59"/>
      <c r="AL990" s="59"/>
      <c r="AM990" s="59"/>
    </row>
    <row r="991" spans="2:39" x14ac:dyDescent="0.35">
      <c r="B991" s="237">
        <f>ROW(942:942)</f>
        <v>942</v>
      </c>
      <c r="C991" s="49">
        <f t="shared" ref="C991:C1059" si="53">C990+1</f>
        <v>45633</v>
      </c>
      <c r="D991" s="29">
        <f>DAY(Dati[[#This Row],[Data]])</f>
        <v>7</v>
      </c>
      <c r="E991" s="29" t="str">
        <f>IF(DAY(Data!$C$21:$C$1327)&gt;0,TEXT(Data!$C$21:$C$1327, "mmmm"),"")</f>
        <v>dicembre</v>
      </c>
      <c r="F991" s="29" t="str">
        <f>IF(DAY(Data!$C$21:$C$1327)&gt;0,TEXT(Data!$C$21:$C$1327, "aaaa"),"")</f>
        <v>2024</v>
      </c>
      <c r="I991" t="str">
        <f>IF(OR(H991=$B$5,H991=$B$6,H991=$B$7,H991=$B$8,H991=$B$9,H991=$B$10,H991=$B$11,H991=$B$12,H991=$B$13,H991=$B$14),SottocategorieUscite[[#Headers],[Fuori Casa]],IF(OR(H991=$C$5,H991=$C$6,H991=$C$7,H991=$C$8,H991=$C$9,H991=$C$10,H991=$C$11,H991=$C$12,H991=$C$13,H991=$C$14),SottocategorieUscite[[#Headers],[Varie Uscite]],IF(OR(H991=$D$5,H991=$D$6,H991=$D$7,H991=$D$8,H991=$D$9,H991=$D$10,H991=$D$11,H991=$D$12,H991=$D$13,H991=$D$14),SottocategorieUscite[[#Headers],[Personali]],IF(OR(H991=$E$5,H991=$E$6,H991=$E$7,H991=$E$8,H991=$E$9,H991=$E$10,H991=$E$11,H991=$E$12,H991=$E$13,H991=$E$14),SottocategorieUscite[[#Headers],[Lavoro]],IF(OR(H991=$F$5,H991=$F$6,H991=$F$7,H991=$F$8,H991=$F$9,H991=$F$10,H991=$F$11,H991=$F$12,H991=$F$13,H991=$F$14),SottocategorieUscite[[#Headers],[Casa]],IF(OR(H991=$G$5,H991=$G$6,H991=$G$7,H991=$G$8,H991=$G$9,H991=$G$10,H991=$G$11,H991=$G$12,H991=$G$13,H991=$G$14),SottocategorieUscite[[#Headers],[Utenze]],IF(OR(H991=$H$5,H991=$H$6,H991=$H$7,H991=$H$8,H991=$H$9,H991=$H$10,H991=$H$11,H991=$H$12,H991=$H$13,H991=$H$14),SottocategorieUscite[[#Headers],[Business Uscite]],IF(OR(H991=$I$5,H991=$I$6,H991=$I$7,H991=$I$8,H991=$I$9,H991=$I$10,H991=$I$11,H991=$I$12,H991=$I$13,H991=$I$14),SottocategorieUscite[[#Headers],[Banca]],IF(OR(H991=K$5,H991=K$6,H991=K$7,H991=K$8,H991=K$9,H991=K$10,H991=K$11,H991=K$12,H991=K$13,H991=K$14),SottocategorieEntrate[[#Headers],[Business Entrate]],IF(OR(H991=L$5,H991=L$6,H991=L$7,H991=L$8,H991=L$9,H991=L$10,H991=L$11,H991=L$12,H991=L$13,H991=L$14),SottocategorieEntrate[[#Headers],[Varie Entrate]],IF(OR(H991=M$5,H991=M$6,H991=M$7,H991=M$8,H991=M$9,H991=M$10,H991=M$11,H991=M$12,H991=M$13,H991=M$14),SottocategorieEntrate[[#Headers],[Real Estate]],IF(OR(H991=N$5,H991=N$6,H991=N$7,H991=N$8,H991=N$9,H991=N$10,H991=N$11,H991=N$12,H991=N$13,H991=N$14),SottocategorieEntrate[[#Headers],[Other]],""))))))))))))</f>
        <v/>
      </c>
      <c r="J991" t="str">
        <f>IF(OR(Dati[[#This Row],[Categoria]]="Bollette",Dati[[#This Row],[Categoria]]="Conto &amp; Carte BNL",Dati[[#This Row],[Categoria]]="Prelievo",Dati[[#This Row],[Categoria]]="Affitto",Dati[[#This Row],[Categoria]]="BNL(Interessi Creditori)"),"Carta",IF(Dati[[#This Row],[Categoria]]&lt;&gt;0,"Cash",""))</f>
        <v/>
      </c>
      <c r="K991" s="59" t="str">
        <f>IF(OR(Data!$I991=SottocategorieUscite[[#Headers],[Fuori Casa]],Data!$I991=SottocategorieUscite[[#Headers],[Varie Uscite]],Data!$I991=SottocategorieUscite[[#Headers],[Personali]],Data!$I991=SottocategorieUscite[[#Headers],[Lavoro]]),"$ -","")</f>
        <v/>
      </c>
      <c r="L991" s="59" t="str">
        <f>IF(OR(Data!$I991=SottocategorieUscite[[#Headers],[Casa]],Data!$I991=SottocategorieUscite[[#Headers],[Utenze]],Data!$I991=SottocategorieUscite[[#Headers],[Business Uscite]],Data!$I991=SottocategorieUscite[[#Headers],[Banca]]),"$ -","")</f>
        <v/>
      </c>
      <c r="M991" s="59" t="str">
        <f>IF(OR($I991&lt;&gt;SottocategorieUscite[[#Headers],[Fuori Casa]],$I991&lt;&gt;SottocategorieUscite[[#Headers],[Varie Uscite]],$I991&lt;&gt;SottocategorieUscite[[#Headers],[Personali]],$I991&lt;&gt;SottocategorieUscite[[#Headers],[Lavoro]],$I991&lt;&gt;SottocategorieUscite[[#Headers],[Casa]],$I991&lt;&gt;SottocategorieUscite[[#Headers],[Utenze]],$I991&lt;&gt;SottocategorieUscite[[#Headers],[Business Uscite]],$I991&lt;&gt;SottocategorieUscite[[#Headers],[Banca]]),"","$ -")</f>
        <v/>
      </c>
      <c r="N991" s="59" t="str">
        <f>IF(OR(Data!$I991=SottocategorieEntrate[[#Headers],[Business Entrate]],Data!$I991=SottocategorieEntrate[[#Headers],[Varie Entrate]]),"$ -","")</f>
        <v/>
      </c>
      <c r="O991" s="59" t="str">
        <f>IF(OR(Data!$I991=SottocategorieEntrate[[#Headers],[Real Estate]],SottocategorieEntrate[[#Headers],[Other]]),"$ -","")</f>
        <v/>
      </c>
      <c r="P991" s="59" t="str">
        <f>IF(OR($I991&lt;&gt;SottocategorieEntrate[[#Headers],[Business Entrate]],$I991&lt;&gt;SottocategorieEntrate[[#Headers],[Varie Entrate]],$I991&lt;&gt;SottocategorieEntrate[[#Headers],[Real Estate]],$I991&lt;&gt;SottocategorieEntrate[[#Headers],[Other]]),"","$ -")</f>
        <v/>
      </c>
      <c r="Q991" s="59" t="str">
        <f>IF(Dati[[#This Row],[Categoria]]="Prelievo","€ -","")</f>
        <v/>
      </c>
      <c r="R991" s="244"/>
      <c r="S991" s="59" t="str">
        <f>IF(Dati[[#This Row],[Categoria]]="Savings",0,"")</f>
        <v/>
      </c>
      <c r="T991" s="59"/>
      <c r="U991" s="59"/>
      <c r="V991" s="59"/>
      <c r="W991" s="59"/>
      <c r="X991" s="59"/>
      <c r="Y991" s="59"/>
      <c r="Z991" s="59"/>
      <c r="AA991" s="59"/>
      <c r="AB991" s="59"/>
      <c r="AC991" s="59"/>
      <c r="AD991" s="59"/>
      <c r="AE991" s="59"/>
      <c r="AF991" s="59"/>
      <c r="AG991" s="59"/>
      <c r="AH991" s="59"/>
      <c r="AI991" s="59" t="str">
        <f>IF(SUM(Dati[[#This Row],[Inv. Business]:[Inv. Cryptocurrency]])=0," ",SUM(Dati[[#This Row],[Inv. Business]:[Inv. Cryptocurrency]]))</f>
        <v xml:space="preserve"> </v>
      </c>
      <c r="AJ991" s="59"/>
      <c r="AK991" s="59"/>
      <c r="AL991" s="59"/>
      <c r="AM991" s="59"/>
    </row>
    <row r="992" spans="2:39" x14ac:dyDescent="0.35">
      <c r="B992" s="237">
        <f>ROW(942:942)</f>
        <v>942</v>
      </c>
      <c r="C992" s="49">
        <f>C990+1</f>
        <v>45633</v>
      </c>
      <c r="D992" s="29">
        <f>DAY(Dati[[#This Row],[Data]])</f>
        <v>7</v>
      </c>
      <c r="E992" s="29" t="str">
        <f>IF(DAY(Data!$C$21:$C$1327)&gt;0,TEXT(Data!$C$21:$C$1327, "mmmm"),"")</f>
        <v>dicembre</v>
      </c>
      <c r="F992" s="29" t="str">
        <f>IF(DAY(Data!$C$21:$C$1327)&gt;0,TEXT(Data!$C$21:$C$1327, "aaaa"),"")</f>
        <v>2024</v>
      </c>
      <c r="I992" t="str">
        <f>IF(OR(H992=$B$5,H992=$B$6,H992=$B$7,H992=$B$8,H992=$B$9,H992=$B$10,H992=$B$11,H992=$B$12,H992=$B$13,H992=$B$14),SottocategorieUscite[[#Headers],[Fuori Casa]],IF(OR(H992=$C$5,H992=$C$6,H992=$C$7,H992=$C$8,H992=$C$9,H992=$C$10,H992=$C$11,H992=$C$12,H992=$C$13,H992=$C$14),SottocategorieUscite[[#Headers],[Varie Uscite]],IF(OR(H992=$D$5,H992=$D$6,H992=$D$7,H992=$D$8,H992=$D$9,H992=$D$10,H992=$D$11,H992=$D$12,H992=$D$13,H992=$D$14),SottocategorieUscite[[#Headers],[Personali]],IF(OR(H992=$E$5,H992=$E$6,H992=$E$7,H992=$E$8,H992=$E$9,H992=$E$10,H992=$E$11,H992=$E$12,H992=$E$13,H992=$E$14),SottocategorieUscite[[#Headers],[Lavoro]],IF(OR(H992=$F$5,H992=$F$6,H992=$F$7,H992=$F$8,H992=$F$9,H992=$F$10,H992=$F$11,H992=$F$12,H992=$F$13,H992=$F$14),SottocategorieUscite[[#Headers],[Casa]],IF(OR(H992=$G$5,H992=$G$6,H992=$G$7,H992=$G$8,H992=$G$9,H992=$G$10,H992=$G$11,H992=$G$12,H992=$G$13,H992=$G$14),SottocategorieUscite[[#Headers],[Utenze]],IF(OR(H992=$H$5,H992=$H$6,H992=$H$7,H992=$H$8,H992=$H$9,H992=$H$10,H992=$H$11,H992=$H$12,H992=$H$13,H992=$H$14),SottocategorieUscite[[#Headers],[Business Uscite]],IF(OR(H992=$I$5,H992=$I$6,H992=$I$7,H992=$I$8,H992=$I$9,H992=$I$10,H992=$I$11,H992=$I$12,H992=$I$13,H992=$I$14),SottocategorieUscite[[#Headers],[Banca]],IF(OR(H992=K$5,H992=K$6,H992=K$7,H992=K$8,H992=K$9,H992=K$10,H992=K$11,H992=K$12,H992=K$13,H992=K$14),SottocategorieEntrate[[#Headers],[Business Entrate]],IF(OR(H992=L$5,H992=L$6,H992=L$7,H992=L$8,H992=L$9,H992=L$10,H992=L$11,H992=L$12,H992=L$13,H992=L$14),SottocategorieEntrate[[#Headers],[Varie Entrate]],IF(OR(H992=M$5,H992=M$6,H992=M$7,H992=M$8,H992=M$9,H992=M$10,H992=M$11,H992=M$12,H992=M$13,H992=M$14),SottocategorieEntrate[[#Headers],[Real Estate]],IF(OR(H992=N$5,H992=N$6,H992=N$7,H992=N$8,H992=N$9,H992=N$10,H992=N$11,H992=N$12,H992=N$13,H992=N$14),SottocategorieEntrate[[#Headers],[Other]],""))))))))))))</f>
        <v/>
      </c>
      <c r="J992" t="str">
        <f>IF(OR(Dati[[#This Row],[Categoria]]="Bollette",Dati[[#This Row],[Categoria]]="Conto &amp; Carte BNL",Dati[[#This Row],[Categoria]]="Prelievo",Dati[[#This Row],[Categoria]]="Affitto",Dati[[#This Row],[Categoria]]="BNL(Interessi Creditori)"),"Carta",IF(Dati[[#This Row],[Categoria]]&lt;&gt;0,"Cash",""))</f>
        <v/>
      </c>
      <c r="K992" s="59" t="str">
        <f>IF(OR(Data!$I992=SottocategorieUscite[[#Headers],[Fuori Casa]],Data!$I992=SottocategorieUscite[[#Headers],[Varie Uscite]],Data!$I992=SottocategorieUscite[[#Headers],[Personali]],Data!$I992=SottocategorieUscite[[#Headers],[Lavoro]]),"$ -","")</f>
        <v/>
      </c>
      <c r="L992" s="59" t="str">
        <f>IF(OR(Data!$I992=SottocategorieUscite[[#Headers],[Casa]],Data!$I992=SottocategorieUscite[[#Headers],[Utenze]],Data!$I992=SottocategorieUscite[[#Headers],[Business Uscite]],Data!$I992=SottocategorieUscite[[#Headers],[Banca]]),"$ -","")</f>
        <v/>
      </c>
      <c r="M992" s="59" t="str">
        <f>IF(OR($I992&lt;&gt;SottocategorieUscite[[#Headers],[Fuori Casa]],$I992&lt;&gt;SottocategorieUscite[[#Headers],[Varie Uscite]],$I992&lt;&gt;SottocategorieUscite[[#Headers],[Personali]],$I992&lt;&gt;SottocategorieUscite[[#Headers],[Lavoro]],$I992&lt;&gt;SottocategorieUscite[[#Headers],[Casa]],$I992&lt;&gt;SottocategorieUscite[[#Headers],[Utenze]],$I992&lt;&gt;SottocategorieUscite[[#Headers],[Business Uscite]],$I992&lt;&gt;SottocategorieUscite[[#Headers],[Banca]]),"","$ -")</f>
        <v/>
      </c>
      <c r="N992" s="59" t="str">
        <f>IF(OR(Data!$I992=SottocategorieEntrate[[#Headers],[Business Entrate]],Data!$I992=SottocategorieEntrate[[#Headers],[Varie Entrate]]),"$ -","")</f>
        <v/>
      </c>
      <c r="O992" s="59" t="str">
        <f>IF(OR(Data!$I992=SottocategorieEntrate[[#Headers],[Real Estate]],SottocategorieEntrate[[#Headers],[Other]]),"$ -","")</f>
        <v/>
      </c>
      <c r="P992" s="59" t="str">
        <f>IF(OR($I992&lt;&gt;SottocategorieEntrate[[#Headers],[Business Entrate]],$I992&lt;&gt;SottocategorieEntrate[[#Headers],[Varie Entrate]],$I992&lt;&gt;SottocategorieEntrate[[#Headers],[Real Estate]],$I992&lt;&gt;SottocategorieEntrate[[#Headers],[Other]]),"","$ -")</f>
        <v/>
      </c>
      <c r="Q992" s="59" t="str">
        <f>IF(Dati[[#This Row],[Categoria]]="Prelievo","€ -","")</f>
        <v/>
      </c>
      <c r="R992" s="244"/>
      <c r="S992" s="59" t="str">
        <f>IF(Dati[[#This Row],[Categoria]]="Savings",0,"")</f>
        <v/>
      </c>
      <c r="T992" s="59"/>
      <c r="U992" s="59"/>
      <c r="V992" s="59"/>
      <c r="W992" s="59"/>
      <c r="X992" s="59"/>
      <c r="Y992" s="59"/>
      <c r="Z992" s="59"/>
      <c r="AA992" s="59"/>
      <c r="AB992" s="59"/>
      <c r="AC992" s="59"/>
      <c r="AD992" s="59"/>
      <c r="AE992" s="59"/>
      <c r="AF992" s="59"/>
      <c r="AG992" s="59"/>
      <c r="AH992" s="59"/>
      <c r="AI992" s="59" t="str">
        <f>IF(SUM(Dati[[#This Row],[Inv. Business]:[Inv. Cryptocurrency]])=0," ",SUM(Dati[[#This Row],[Inv. Business]:[Inv. Cryptocurrency]]))</f>
        <v xml:space="preserve"> </v>
      </c>
      <c r="AJ992" s="59"/>
      <c r="AK992" s="59"/>
      <c r="AL992" s="59"/>
      <c r="AM992" s="59"/>
    </row>
    <row r="993" spans="2:39" x14ac:dyDescent="0.35">
      <c r="B993" s="237">
        <f>ROW(941:941)</f>
        <v>941</v>
      </c>
      <c r="C993" s="49">
        <f>C990+1</f>
        <v>45633</v>
      </c>
      <c r="D993" s="29">
        <v>7</v>
      </c>
      <c r="E993" s="29" t="str">
        <f>IF(DAY(Data!$C$21:$C$1327)&gt;0,TEXT(Data!$C$21:$C$1327, "mmmm"),"")</f>
        <v>dicembre</v>
      </c>
      <c r="F993" s="29" t="str">
        <f>IF(DAY(Data!$C$21:$C$1327)&gt;0,TEXT(Data!$C$21:$C$1327, "aaaa"),"")</f>
        <v>2024</v>
      </c>
      <c r="I993" t="str">
        <f>IF(OR(H993=$B$5,H993=$B$6,H993=$B$7,H993=$B$8,H993=$B$9,H993=$B$10,H993=$B$11,H993=$B$12,H993=$B$13,H993=$B$14),SottocategorieUscite[[#Headers],[Fuori Casa]],IF(OR(H993=$C$5,H993=$C$6,H993=$C$7,H993=$C$8,H993=$C$9,H993=$C$10,H993=$C$11,H993=$C$12,H993=$C$13,H993=$C$14),SottocategorieUscite[[#Headers],[Varie Uscite]],IF(OR(H993=$D$5,H993=$D$6,H993=$D$7,H993=$D$8,H993=$D$9,H993=$D$10,H993=$D$11,H993=$D$12,H993=$D$13,H993=$D$14),SottocategorieUscite[[#Headers],[Personali]],IF(OR(H993=$E$5,H993=$E$6,H993=$E$7,H993=$E$8,H993=$E$9,H993=$E$10,H993=$E$11,H993=$E$12,H993=$E$13,H993=$E$14),SottocategorieUscite[[#Headers],[Lavoro]],IF(OR(H993=$F$5,H993=$F$6,H993=$F$7,H993=$F$8,H993=$F$9,H993=$F$10,H993=$F$11,H993=$F$12,H993=$F$13,H993=$F$14),SottocategorieUscite[[#Headers],[Casa]],IF(OR(H993=$G$5,H993=$G$6,H993=$G$7,H993=$G$8,H993=$G$9,H993=$G$10,H993=$G$11,H993=$G$12,H993=$G$13,H993=$G$14),SottocategorieUscite[[#Headers],[Utenze]],IF(OR(H993=$H$5,H993=$H$6,H993=$H$7,H993=$H$8,H993=$H$9,H993=$H$10,H993=$H$11,H993=$H$12,H993=$H$13,H993=$H$14),SottocategorieUscite[[#Headers],[Business Uscite]],IF(OR(H993=$I$5,H993=$I$6,H993=$I$7,H993=$I$8,H993=$I$9,H993=$I$10,H993=$I$11,H993=$I$12,H993=$I$13,H993=$I$14),SottocategorieUscite[[#Headers],[Banca]],IF(OR(H993=K$5,H993=K$6,H993=K$7,H993=K$8,H993=K$9,H993=K$10,H993=K$11,H993=K$12,H993=K$13,H993=K$14),SottocategorieEntrate[[#Headers],[Business Entrate]],IF(OR(H993=L$5,H993=L$6,H993=L$7,H993=L$8,H993=L$9,H993=L$10,H993=L$11,H993=L$12,H993=L$13,H993=L$14),SottocategorieEntrate[[#Headers],[Varie Entrate]],IF(OR(H993=M$5,H993=M$6,H993=M$7,H993=M$8,H993=M$9,H993=M$10,H993=M$11,H993=M$12,H993=M$13,H993=M$14),SottocategorieEntrate[[#Headers],[Real Estate]],IF(OR(H993=N$5,H993=N$6,H993=N$7,H993=N$8,H993=N$9,H993=N$10,H993=N$11,H993=N$12,H993=N$13,H993=N$14),SottocategorieEntrate[[#Headers],[Other]],""))))))))))))</f>
        <v/>
      </c>
      <c r="J993" t="str">
        <f>IF(OR(Dati[[#This Row],[Categoria]]="Bollette",Dati[[#This Row],[Categoria]]="Conto &amp; Carte BNL",Dati[[#This Row],[Categoria]]="Prelievo",Dati[[#This Row],[Categoria]]="Affitto",Dati[[#This Row],[Categoria]]="BNL(Interessi Creditori)"),"Carta",IF(Dati[[#This Row],[Categoria]]&lt;&gt;0,"Cash",""))</f>
        <v/>
      </c>
      <c r="K993" s="59" t="str">
        <f>IF(OR(Data!$I993=SottocategorieUscite[[#Headers],[Fuori Casa]],Data!$I993=SottocategorieUscite[[#Headers],[Varie Uscite]],Data!$I993=SottocategorieUscite[[#Headers],[Personali]],Data!$I993=SottocategorieUscite[[#Headers],[Lavoro]]),"$ -","")</f>
        <v/>
      </c>
      <c r="L993" s="59" t="str">
        <f>IF(OR(Data!$I993=SottocategorieUscite[[#Headers],[Casa]],Data!$I993=SottocategorieUscite[[#Headers],[Utenze]],Data!$I993=SottocategorieUscite[[#Headers],[Business Uscite]],Data!$I993=SottocategorieUscite[[#Headers],[Banca]]),"$ -","")</f>
        <v/>
      </c>
      <c r="M993" s="59" t="str">
        <f>IF(OR($I993&lt;&gt;SottocategorieUscite[[#Headers],[Fuori Casa]],$I993&lt;&gt;SottocategorieUscite[[#Headers],[Varie Uscite]],$I993&lt;&gt;SottocategorieUscite[[#Headers],[Personali]],$I993&lt;&gt;SottocategorieUscite[[#Headers],[Lavoro]],$I993&lt;&gt;SottocategorieUscite[[#Headers],[Casa]],$I993&lt;&gt;SottocategorieUscite[[#Headers],[Utenze]],$I993&lt;&gt;SottocategorieUscite[[#Headers],[Business Uscite]],$I993&lt;&gt;SottocategorieUscite[[#Headers],[Banca]]),"","$ -")</f>
        <v/>
      </c>
      <c r="N993" s="59" t="str">
        <f>IF(OR(Data!$I993=SottocategorieEntrate[[#Headers],[Business Entrate]],Data!$I993=SottocategorieEntrate[[#Headers],[Varie Entrate]]),"$ -","")</f>
        <v/>
      </c>
      <c r="O993" s="59" t="str">
        <f>IF(OR(Data!$I993=SottocategorieEntrate[[#Headers],[Real Estate]],SottocategorieEntrate[[#Headers],[Other]]),"$ -","")</f>
        <v/>
      </c>
      <c r="P993" s="59" t="str">
        <f>IF(OR($I993&lt;&gt;SottocategorieEntrate[[#Headers],[Business Entrate]],$I993&lt;&gt;SottocategorieEntrate[[#Headers],[Varie Entrate]],$I993&lt;&gt;SottocategorieEntrate[[#Headers],[Real Estate]],$I993&lt;&gt;SottocategorieEntrate[[#Headers],[Other]]),"","$ -")</f>
        <v/>
      </c>
      <c r="Q993" s="59" t="str">
        <f>IF(Dati[[#This Row],[Categoria]]="Prelievo","€ -","")</f>
        <v/>
      </c>
      <c r="R993" s="244"/>
      <c r="S993" s="59" t="str">
        <f>IF(Dati[[#This Row],[Categoria]]="Savings",0,"")</f>
        <v/>
      </c>
      <c r="T993" s="59"/>
      <c r="U993" s="59"/>
      <c r="V993" s="59"/>
      <c r="W993" s="59"/>
      <c r="X993" s="59"/>
      <c r="Y993" s="59"/>
      <c r="Z993" s="59"/>
      <c r="AA993" s="59"/>
      <c r="AB993" s="59"/>
      <c r="AC993" s="59"/>
      <c r="AD993" s="59"/>
      <c r="AE993" s="59"/>
      <c r="AF993" s="59"/>
      <c r="AG993" s="59"/>
      <c r="AH993" s="59"/>
      <c r="AI993" s="59" t="str">
        <f>IF(SUM(Dati[[#This Row],[Inv. Business]:[Inv. Cryptocurrency]])=0," ",SUM(Dati[[#This Row],[Inv. Business]:[Inv. Cryptocurrency]]))</f>
        <v xml:space="preserve"> </v>
      </c>
      <c r="AJ993" s="59"/>
      <c r="AK993" s="59"/>
      <c r="AL993" s="59"/>
      <c r="AM993" s="59"/>
    </row>
    <row r="994" spans="2:39" x14ac:dyDescent="0.35">
      <c r="B994" s="237">
        <f>ROW(942:942)</f>
        <v>942</v>
      </c>
      <c r="C994" s="49">
        <f>C990+1</f>
        <v>45633</v>
      </c>
      <c r="D994" s="29">
        <f>DAY(Dati[[#This Row],[Data]])</f>
        <v>7</v>
      </c>
      <c r="E994" s="29" t="str">
        <f>IF(DAY(Data!$C$21:$C$1327)&gt;0,TEXT(Data!$C$21:$C$1327, "mmmm"),"")</f>
        <v>dicembre</v>
      </c>
      <c r="F994" s="29" t="str">
        <f>IF(DAY(Data!$C$21:$C$1327)&gt;0,TEXT(Data!$C$21:$C$1327, "aaaa"),"")</f>
        <v>2024</v>
      </c>
      <c r="I994" t="str">
        <f>IF(OR(H994=$B$5,H994=$B$6,H994=$B$7,H994=$B$8,H994=$B$9,H994=$B$10,H994=$B$11,H994=$B$12,H994=$B$13,H994=$B$14),SottocategorieUscite[[#Headers],[Fuori Casa]],IF(OR(H994=$C$5,H994=$C$6,H994=$C$7,H994=$C$8,H994=$C$9,H994=$C$10,H994=$C$11,H994=$C$12,H994=$C$13,H994=$C$14),SottocategorieUscite[[#Headers],[Varie Uscite]],IF(OR(H994=$D$5,H994=$D$6,H994=$D$7,H994=$D$8,H994=$D$9,H994=$D$10,H994=$D$11,H994=$D$12,H994=$D$13,H994=$D$14),SottocategorieUscite[[#Headers],[Personali]],IF(OR(H994=$E$5,H994=$E$6,H994=$E$7,H994=$E$8,H994=$E$9,H994=$E$10,H994=$E$11,H994=$E$12,H994=$E$13,H994=$E$14),SottocategorieUscite[[#Headers],[Lavoro]],IF(OR(H994=$F$5,H994=$F$6,H994=$F$7,H994=$F$8,H994=$F$9,H994=$F$10,H994=$F$11,H994=$F$12,H994=$F$13,H994=$F$14),SottocategorieUscite[[#Headers],[Casa]],IF(OR(H994=$G$5,H994=$G$6,H994=$G$7,H994=$G$8,H994=$G$9,H994=$G$10,H994=$G$11,H994=$G$12,H994=$G$13,H994=$G$14),SottocategorieUscite[[#Headers],[Utenze]],IF(OR(H994=$H$5,H994=$H$6,H994=$H$7,H994=$H$8,H994=$H$9,H994=$H$10,H994=$H$11,H994=$H$12,H994=$H$13,H994=$H$14),SottocategorieUscite[[#Headers],[Business Uscite]],IF(OR(H994=$I$5,H994=$I$6,H994=$I$7,H994=$I$8,H994=$I$9,H994=$I$10,H994=$I$11,H994=$I$12,H994=$I$13,H994=$I$14),SottocategorieUscite[[#Headers],[Banca]],IF(OR(H994=K$5,H994=K$6,H994=K$7,H994=K$8,H994=K$9,H994=K$10,H994=K$11,H994=K$12,H994=K$13,H994=K$14),SottocategorieEntrate[[#Headers],[Business Entrate]],IF(OR(H994=L$5,H994=L$6,H994=L$7,H994=L$8,H994=L$9,H994=L$10,H994=L$11,H994=L$12,H994=L$13,H994=L$14),SottocategorieEntrate[[#Headers],[Varie Entrate]],IF(OR(H994=M$5,H994=M$6,H994=M$7,H994=M$8,H994=M$9,H994=M$10,H994=M$11,H994=M$12,H994=M$13,H994=M$14),SottocategorieEntrate[[#Headers],[Real Estate]],IF(OR(H994=N$5,H994=N$6,H994=N$7,H994=N$8,H994=N$9,H994=N$10,H994=N$11,H994=N$12,H994=N$13,H994=N$14),SottocategorieEntrate[[#Headers],[Other]],""))))))))))))</f>
        <v/>
      </c>
      <c r="J994" t="str">
        <f>IF(OR(Dati[[#This Row],[Categoria]]="Bollette",Dati[[#This Row],[Categoria]]="Conto &amp; Carte BNL",Dati[[#This Row],[Categoria]]="Prelievo",Dati[[#This Row],[Categoria]]="Affitto",Dati[[#This Row],[Categoria]]="BNL(Interessi Creditori)"),"Carta",IF(Dati[[#This Row],[Categoria]]&lt;&gt;0,"Cash",""))</f>
        <v/>
      </c>
      <c r="K994" s="59" t="str">
        <f>IF(OR(Data!$I994=SottocategorieUscite[[#Headers],[Fuori Casa]],Data!$I994=SottocategorieUscite[[#Headers],[Varie Uscite]],Data!$I994=SottocategorieUscite[[#Headers],[Personali]],Data!$I994=SottocategorieUscite[[#Headers],[Lavoro]]),"$ -","")</f>
        <v/>
      </c>
      <c r="L994" s="59" t="str">
        <f>IF(OR(Data!$I994=SottocategorieUscite[[#Headers],[Casa]],Data!$I994=SottocategorieUscite[[#Headers],[Utenze]],Data!$I994=SottocategorieUscite[[#Headers],[Business Uscite]],Data!$I994=SottocategorieUscite[[#Headers],[Banca]]),"$ -","")</f>
        <v/>
      </c>
      <c r="M994" s="59" t="str">
        <f>IF(OR($I994&lt;&gt;SottocategorieUscite[[#Headers],[Fuori Casa]],$I994&lt;&gt;SottocategorieUscite[[#Headers],[Varie Uscite]],$I994&lt;&gt;SottocategorieUscite[[#Headers],[Personali]],$I994&lt;&gt;SottocategorieUscite[[#Headers],[Lavoro]],$I994&lt;&gt;SottocategorieUscite[[#Headers],[Casa]],$I994&lt;&gt;SottocategorieUscite[[#Headers],[Utenze]],$I994&lt;&gt;SottocategorieUscite[[#Headers],[Business Uscite]],$I994&lt;&gt;SottocategorieUscite[[#Headers],[Banca]]),"","$ -")</f>
        <v/>
      </c>
      <c r="N994" s="59" t="str">
        <f>IF(OR(Data!$I994=SottocategorieEntrate[[#Headers],[Business Entrate]],Data!$I994=SottocategorieEntrate[[#Headers],[Varie Entrate]]),"$ -","")</f>
        <v/>
      </c>
      <c r="O994" s="59" t="str">
        <f>IF(OR(Data!$I994=SottocategorieEntrate[[#Headers],[Real Estate]],SottocategorieEntrate[[#Headers],[Other]]),"$ -","")</f>
        <v/>
      </c>
      <c r="P994" s="59" t="str">
        <f>IF(OR($I994&lt;&gt;SottocategorieEntrate[[#Headers],[Business Entrate]],$I994&lt;&gt;SottocategorieEntrate[[#Headers],[Varie Entrate]],$I994&lt;&gt;SottocategorieEntrate[[#Headers],[Real Estate]],$I994&lt;&gt;SottocategorieEntrate[[#Headers],[Other]]),"","$ -")</f>
        <v/>
      </c>
      <c r="Q994" s="59" t="str">
        <f>IF(Dati[[#This Row],[Categoria]]="Prelievo","€ -","")</f>
        <v/>
      </c>
      <c r="R994" s="244"/>
      <c r="S994" s="59" t="str">
        <f>IF(Dati[[#This Row],[Categoria]]="Savings",0,"")</f>
        <v/>
      </c>
      <c r="T994" s="59"/>
      <c r="U994" s="59"/>
      <c r="V994" s="59"/>
      <c r="W994" s="59"/>
      <c r="X994" s="59"/>
      <c r="Y994" s="59"/>
      <c r="Z994" s="59"/>
      <c r="AA994" s="59"/>
      <c r="AB994" s="59"/>
      <c r="AC994" s="59"/>
      <c r="AD994" s="59"/>
      <c r="AE994" s="59"/>
      <c r="AF994" s="59"/>
      <c r="AG994" s="59"/>
      <c r="AH994" s="59"/>
      <c r="AI994" s="59" t="str">
        <f>IF(SUM(Dati[[#This Row],[Inv. Business]:[Inv. Cryptocurrency]])=0," ",SUM(Dati[[#This Row],[Inv. Business]:[Inv. Cryptocurrency]]))</f>
        <v xml:space="preserve"> </v>
      </c>
      <c r="AJ994" s="59"/>
      <c r="AK994" s="59"/>
      <c r="AL994" s="59"/>
      <c r="AM994" s="59"/>
    </row>
    <row r="995" spans="2:39" x14ac:dyDescent="0.35">
      <c r="B995" s="237">
        <f>ROW(942:942)</f>
        <v>942</v>
      </c>
      <c r="C995" s="49">
        <f>C990+1</f>
        <v>45633</v>
      </c>
      <c r="D995" s="29">
        <f>DAY(Dati[[#This Row],[Data]])</f>
        <v>7</v>
      </c>
      <c r="E995" s="29" t="str">
        <f>IF(DAY(Data!$C$21:$C$1327)&gt;0,TEXT(Data!$C$21:$C$1327, "mmmm"),"")</f>
        <v>dicembre</v>
      </c>
      <c r="F995" s="29" t="str">
        <f>IF(DAY(Data!$C$21:$C$1327)&gt;0,TEXT(Data!$C$21:$C$1327, "aaaa"),"")</f>
        <v>2024</v>
      </c>
      <c r="I995" t="str">
        <f>IF(OR(H995=$B$5,H995=$B$6,H995=$B$7,H995=$B$8,H995=$B$9,H995=$B$10,H995=$B$11,H995=$B$12,H995=$B$13,H995=$B$14),SottocategorieUscite[[#Headers],[Fuori Casa]],IF(OR(H995=$C$5,H995=$C$6,H995=$C$7,H995=$C$8,H995=$C$9,H995=$C$10,H995=$C$11,H995=$C$12,H995=$C$13,H995=$C$14),SottocategorieUscite[[#Headers],[Varie Uscite]],IF(OR(H995=$D$5,H995=$D$6,H995=$D$7,H995=$D$8,H995=$D$9,H995=$D$10,H995=$D$11,H995=$D$12,H995=$D$13,H995=$D$14),SottocategorieUscite[[#Headers],[Personali]],IF(OR(H995=$E$5,H995=$E$6,H995=$E$7,H995=$E$8,H995=$E$9,H995=$E$10,H995=$E$11,H995=$E$12,H995=$E$13,H995=$E$14),SottocategorieUscite[[#Headers],[Lavoro]],IF(OR(H995=$F$5,H995=$F$6,H995=$F$7,H995=$F$8,H995=$F$9,H995=$F$10,H995=$F$11,H995=$F$12,H995=$F$13,H995=$F$14),SottocategorieUscite[[#Headers],[Casa]],IF(OR(H995=$G$5,H995=$G$6,H995=$G$7,H995=$G$8,H995=$G$9,H995=$G$10,H995=$G$11,H995=$G$12,H995=$G$13,H995=$G$14),SottocategorieUscite[[#Headers],[Utenze]],IF(OR(H995=$H$5,H995=$H$6,H995=$H$7,H995=$H$8,H995=$H$9,H995=$H$10,H995=$H$11,H995=$H$12,H995=$H$13,H995=$H$14),SottocategorieUscite[[#Headers],[Business Uscite]],IF(OR(H995=$I$5,H995=$I$6,H995=$I$7,H995=$I$8,H995=$I$9,H995=$I$10,H995=$I$11,H995=$I$12,H995=$I$13,H995=$I$14),SottocategorieUscite[[#Headers],[Banca]],IF(OR(H995=K$5,H995=K$6,H995=K$7,H995=K$8,H995=K$9,H995=K$10,H995=K$11,H995=K$12,H995=K$13,H995=K$14),SottocategorieEntrate[[#Headers],[Business Entrate]],IF(OR(H995=L$5,H995=L$6,H995=L$7,H995=L$8,H995=L$9,H995=L$10,H995=L$11,H995=L$12,H995=L$13,H995=L$14),SottocategorieEntrate[[#Headers],[Varie Entrate]],IF(OR(H995=M$5,H995=M$6,H995=M$7,H995=M$8,H995=M$9,H995=M$10,H995=M$11,H995=M$12,H995=M$13,H995=M$14),SottocategorieEntrate[[#Headers],[Real Estate]],IF(OR(H995=N$5,H995=N$6,H995=N$7,H995=N$8,H995=N$9,H995=N$10,H995=N$11,H995=N$12,H995=N$13,H995=N$14),SottocategorieEntrate[[#Headers],[Other]],""))))))))))))</f>
        <v/>
      </c>
      <c r="J995" t="str">
        <f>IF(OR(Dati[[#This Row],[Categoria]]="Bollette",Dati[[#This Row],[Categoria]]="Conto &amp; Carte BNL",Dati[[#This Row],[Categoria]]="Prelievo",Dati[[#This Row],[Categoria]]="Affitto",Dati[[#This Row],[Categoria]]="BNL(Interessi Creditori)"),"Carta",IF(Dati[[#This Row],[Categoria]]&lt;&gt;0,"Cash",""))</f>
        <v/>
      </c>
      <c r="K995" s="59" t="str">
        <f>IF(OR(Data!$I995=SottocategorieUscite[[#Headers],[Fuori Casa]],Data!$I995=SottocategorieUscite[[#Headers],[Varie Uscite]],Data!$I995=SottocategorieUscite[[#Headers],[Personali]],Data!$I995=SottocategorieUscite[[#Headers],[Lavoro]]),"$ -","")</f>
        <v/>
      </c>
      <c r="L995" s="59" t="str">
        <f>IF(OR(Data!$I995=SottocategorieUscite[[#Headers],[Casa]],Data!$I995=SottocategorieUscite[[#Headers],[Utenze]],Data!$I995=SottocategorieUscite[[#Headers],[Business Uscite]],Data!$I995=SottocategorieUscite[[#Headers],[Banca]]),"$ -","")</f>
        <v/>
      </c>
      <c r="M995" s="59" t="str">
        <f>IF(OR($I995&lt;&gt;SottocategorieUscite[[#Headers],[Fuori Casa]],$I995&lt;&gt;SottocategorieUscite[[#Headers],[Varie Uscite]],$I995&lt;&gt;SottocategorieUscite[[#Headers],[Personali]],$I995&lt;&gt;SottocategorieUscite[[#Headers],[Lavoro]],$I995&lt;&gt;SottocategorieUscite[[#Headers],[Casa]],$I995&lt;&gt;SottocategorieUscite[[#Headers],[Utenze]],$I995&lt;&gt;SottocategorieUscite[[#Headers],[Business Uscite]],$I995&lt;&gt;SottocategorieUscite[[#Headers],[Banca]]),"","$ -")</f>
        <v/>
      </c>
      <c r="N995" s="59" t="str">
        <f>IF(OR(Data!$I995=SottocategorieEntrate[[#Headers],[Business Entrate]],Data!$I995=SottocategorieEntrate[[#Headers],[Varie Entrate]]),"$ -","")</f>
        <v/>
      </c>
      <c r="O995" s="59" t="str">
        <f>IF(OR(Data!$I995=SottocategorieEntrate[[#Headers],[Real Estate]],SottocategorieEntrate[[#Headers],[Other]]),"$ -","")</f>
        <v/>
      </c>
      <c r="P995" s="59" t="str">
        <f>IF(OR($I995&lt;&gt;SottocategorieEntrate[[#Headers],[Business Entrate]],$I995&lt;&gt;SottocategorieEntrate[[#Headers],[Varie Entrate]],$I995&lt;&gt;SottocategorieEntrate[[#Headers],[Real Estate]],$I995&lt;&gt;SottocategorieEntrate[[#Headers],[Other]]),"","$ -")</f>
        <v/>
      </c>
      <c r="Q995" s="59" t="str">
        <f>IF(Dati[[#This Row],[Categoria]]="Prelievo","€ -","")</f>
        <v/>
      </c>
      <c r="R995" s="244"/>
      <c r="S995" s="59" t="str">
        <f>IF(Dati[[#This Row],[Categoria]]="Savings",0,"")</f>
        <v/>
      </c>
      <c r="T995" s="59"/>
      <c r="U995" s="59"/>
      <c r="V995" s="59"/>
      <c r="W995" s="59"/>
      <c r="X995" s="59"/>
      <c r="Y995" s="59"/>
      <c r="Z995" s="59"/>
      <c r="AA995" s="59"/>
      <c r="AB995" s="59"/>
      <c r="AC995" s="59"/>
      <c r="AD995" s="59"/>
      <c r="AE995" s="59"/>
      <c r="AF995" s="59"/>
      <c r="AG995" s="59"/>
      <c r="AH995" s="59"/>
      <c r="AI995" s="59" t="str">
        <f>IF(SUM(Dati[[#This Row],[Inv. Business]:[Inv. Cryptocurrency]])=0," ",SUM(Dati[[#This Row],[Inv. Business]:[Inv. Cryptocurrency]]))</f>
        <v xml:space="preserve"> </v>
      </c>
      <c r="AJ995" s="59"/>
      <c r="AK995" s="59"/>
      <c r="AL995" s="59"/>
      <c r="AM995" s="59"/>
    </row>
    <row r="996" spans="2:39" x14ac:dyDescent="0.35">
      <c r="B996" s="237">
        <f>ROW(942:942)</f>
        <v>942</v>
      </c>
      <c r="C996" s="49">
        <f>C990+1</f>
        <v>45633</v>
      </c>
      <c r="D996" s="29">
        <f>DAY(Dati[[#This Row],[Data]])</f>
        <v>7</v>
      </c>
      <c r="E996" s="29" t="str">
        <f>IF(DAY(Data!$C$21:$C$1327)&gt;0,TEXT(Data!$C$21:$C$1327, "mmmm"),"")</f>
        <v>dicembre</v>
      </c>
      <c r="F996" s="29" t="str">
        <f>IF(DAY(Data!$C$21:$C$1327)&gt;0,TEXT(Data!$C$21:$C$1327, "aaaa"),"")</f>
        <v>2024</v>
      </c>
      <c r="I996" t="str">
        <f>IF(OR(H996=$B$5,H996=$B$6,H996=$B$7,H996=$B$8,H996=$B$9,H996=$B$10,H996=$B$11,H996=$B$12,H996=$B$13,H996=$B$14),SottocategorieUscite[[#Headers],[Fuori Casa]],IF(OR(H996=$C$5,H996=$C$6,H996=$C$7,H996=$C$8,H996=$C$9,H996=$C$10,H996=$C$11,H996=$C$12,H996=$C$13,H996=$C$14),SottocategorieUscite[[#Headers],[Varie Uscite]],IF(OR(H996=$D$5,H996=$D$6,H996=$D$7,H996=$D$8,H996=$D$9,H996=$D$10,H996=$D$11,H996=$D$12,H996=$D$13,H996=$D$14),SottocategorieUscite[[#Headers],[Personali]],IF(OR(H996=$E$5,H996=$E$6,H996=$E$7,H996=$E$8,H996=$E$9,H996=$E$10,H996=$E$11,H996=$E$12,H996=$E$13,H996=$E$14),SottocategorieUscite[[#Headers],[Lavoro]],IF(OR(H996=$F$5,H996=$F$6,H996=$F$7,H996=$F$8,H996=$F$9,H996=$F$10,H996=$F$11,H996=$F$12,H996=$F$13,H996=$F$14),SottocategorieUscite[[#Headers],[Casa]],IF(OR(H996=$G$5,H996=$G$6,H996=$G$7,H996=$G$8,H996=$G$9,H996=$G$10,H996=$G$11,H996=$G$12,H996=$G$13,H996=$G$14),SottocategorieUscite[[#Headers],[Utenze]],IF(OR(H996=$H$5,H996=$H$6,H996=$H$7,H996=$H$8,H996=$H$9,H996=$H$10,H996=$H$11,H996=$H$12,H996=$H$13,H996=$H$14),SottocategorieUscite[[#Headers],[Business Uscite]],IF(OR(H996=$I$5,H996=$I$6,H996=$I$7,H996=$I$8,H996=$I$9,H996=$I$10,H996=$I$11,H996=$I$12,H996=$I$13,H996=$I$14),SottocategorieUscite[[#Headers],[Banca]],IF(OR(H996=K$5,H996=K$6,H996=K$7,H996=K$8,H996=K$9,H996=K$10,H996=K$11,H996=K$12,H996=K$13,H996=K$14),SottocategorieEntrate[[#Headers],[Business Entrate]],IF(OR(H996=L$5,H996=L$6,H996=L$7,H996=L$8,H996=L$9,H996=L$10,H996=L$11,H996=L$12,H996=L$13,H996=L$14),SottocategorieEntrate[[#Headers],[Varie Entrate]],IF(OR(H996=M$5,H996=M$6,H996=M$7,H996=M$8,H996=M$9,H996=M$10,H996=M$11,H996=M$12,H996=M$13,H996=M$14),SottocategorieEntrate[[#Headers],[Real Estate]],IF(OR(H996=N$5,H996=N$6,H996=N$7,H996=N$8,H996=N$9,H996=N$10,H996=N$11,H996=N$12,H996=N$13,H996=N$14),SottocategorieEntrate[[#Headers],[Other]],""))))))))))))</f>
        <v/>
      </c>
      <c r="J996" t="str">
        <f>IF(OR(Dati[[#This Row],[Categoria]]="Bollette",Dati[[#This Row],[Categoria]]="Conto &amp; Carte BNL",Dati[[#This Row],[Categoria]]="Prelievo",Dati[[#This Row],[Categoria]]="Affitto",Dati[[#This Row],[Categoria]]="BNL(Interessi Creditori)"),"Carta",IF(Dati[[#This Row],[Categoria]]&lt;&gt;0,"Cash",""))</f>
        <v/>
      </c>
      <c r="K996" s="59" t="str">
        <f>IF(OR(Data!$I996=SottocategorieUscite[[#Headers],[Fuori Casa]],Data!$I996=SottocategorieUscite[[#Headers],[Varie Uscite]],Data!$I996=SottocategorieUscite[[#Headers],[Personali]],Data!$I996=SottocategorieUscite[[#Headers],[Lavoro]]),"$ -","")</f>
        <v/>
      </c>
      <c r="L996" s="59" t="str">
        <f>IF(OR(Data!$I996=SottocategorieUscite[[#Headers],[Casa]],Data!$I996=SottocategorieUscite[[#Headers],[Utenze]],Data!$I996=SottocategorieUscite[[#Headers],[Business Uscite]],Data!$I996=SottocategorieUscite[[#Headers],[Banca]]),"$ -","")</f>
        <v/>
      </c>
      <c r="M996" s="59" t="str">
        <f>IF(OR($I996&lt;&gt;SottocategorieUscite[[#Headers],[Fuori Casa]],$I996&lt;&gt;SottocategorieUscite[[#Headers],[Varie Uscite]],$I996&lt;&gt;SottocategorieUscite[[#Headers],[Personali]],$I996&lt;&gt;SottocategorieUscite[[#Headers],[Lavoro]],$I996&lt;&gt;SottocategorieUscite[[#Headers],[Casa]],$I996&lt;&gt;SottocategorieUscite[[#Headers],[Utenze]],$I996&lt;&gt;SottocategorieUscite[[#Headers],[Business Uscite]],$I996&lt;&gt;SottocategorieUscite[[#Headers],[Banca]]),"","$ -")</f>
        <v/>
      </c>
      <c r="N996" s="59" t="str">
        <f>IF(OR(Data!$I996=SottocategorieEntrate[[#Headers],[Business Entrate]],Data!$I996=SottocategorieEntrate[[#Headers],[Varie Entrate]]),"$ -","")</f>
        <v/>
      </c>
      <c r="O996" s="59" t="str">
        <f>IF(OR(Data!$I996=SottocategorieEntrate[[#Headers],[Real Estate]],SottocategorieEntrate[[#Headers],[Other]]),"$ -","")</f>
        <v/>
      </c>
      <c r="P996" s="59" t="str">
        <f>IF(OR($I996&lt;&gt;SottocategorieEntrate[[#Headers],[Business Entrate]],$I996&lt;&gt;SottocategorieEntrate[[#Headers],[Varie Entrate]],$I996&lt;&gt;SottocategorieEntrate[[#Headers],[Real Estate]],$I996&lt;&gt;SottocategorieEntrate[[#Headers],[Other]]),"","$ -")</f>
        <v/>
      </c>
      <c r="Q996" s="59" t="str">
        <f>IF(Dati[[#This Row],[Categoria]]="Prelievo","€ -","")</f>
        <v/>
      </c>
      <c r="R996" s="244"/>
      <c r="S996" s="59" t="str">
        <f>IF(Dati[[#This Row],[Categoria]]="Savings",0,"")</f>
        <v/>
      </c>
      <c r="T996" s="59"/>
      <c r="U996" s="59"/>
      <c r="V996" s="59"/>
      <c r="W996" s="59"/>
      <c r="X996" s="59"/>
      <c r="Y996" s="59"/>
      <c r="Z996" s="59"/>
      <c r="AA996" s="59"/>
      <c r="AB996" s="59"/>
      <c r="AC996" s="59"/>
      <c r="AD996" s="59"/>
      <c r="AE996" s="59"/>
      <c r="AF996" s="59"/>
      <c r="AG996" s="59"/>
      <c r="AH996" s="59"/>
      <c r="AI996" s="59" t="str">
        <f>IF(SUM(Dati[[#This Row],[Inv. Business]:[Inv. Cryptocurrency]])=0," ",SUM(Dati[[#This Row],[Inv. Business]:[Inv. Cryptocurrency]]))</f>
        <v xml:space="preserve"> </v>
      </c>
      <c r="AJ996" s="59"/>
      <c r="AK996" s="59"/>
      <c r="AL996" s="59"/>
      <c r="AM996" s="59"/>
    </row>
    <row r="997" spans="2:39" x14ac:dyDescent="0.35">
      <c r="B997" s="237">
        <f>ROW(943:943)</f>
        <v>943</v>
      </c>
      <c r="C997" s="49">
        <f>C991+1</f>
        <v>45634</v>
      </c>
      <c r="D997" s="29">
        <f>DAY(Dati[[#This Row],[Data]])</f>
        <v>8</v>
      </c>
      <c r="E997" s="29" t="str">
        <f>IF(DAY(Data!$C$21:$C$1327)&gt;0,TEXT(Data!$C$21:$C$1327, "mmmm"),"")</f>
        <v>dicembre</v>
      </c>
      <c r="F997" s="29" t="str">
        <f>IF(DAY(Data!$C$21:$C$1327)&gt;0,TEXT(Data!$C$21:$C$1327, "aaaa"),"")</f>
        <v>2024</v>
      </c>
      <c r="I997" t="str">
        <f>IF(OR(H997=$B$5,H997=$B$6,H997=$B$7,H997=$B$8,H997=$B$9,H997=$B$10,H997=$B$11,H997=$B$12,H997=$B$13,H997=$B$14),SottocategorieUscite[[#Headers],[Fuori Casa]],IF(OR(H997=$C$5,H997=$C$6,H997=$C$7,H997=$C$8,H997=$C$9,H997=$C$10,H997=$C$11,H997=$C$12,H997=$C$13,H997=$C$14),SottocategorieUscite[[#Headers],[Varie Uscite]],IF(OR(H997=$D$5,H997=$D$6,H997=$D$7,H997=$D$8,H997=$D$9,H997=$D$10,H997=$D$11,H997=$D$12,H997=$D$13,H997=$D$14),SottocategorieUscite[[#Headers],[Personali]],IF(OR(H997=$E$5,H997=$E$6,H997=$E$7,H997=$E$8,H997=$E$9,H997=$E$10,H997=$E$11,H997=$E$12,H997=$E$13,H997=$E$14),SottocategorieUscite[[#Headers],[Lavoro]],IF(OR(H997=$F$5,H997=$F$6,H997=$F$7,H997=$F$8,H997=$F$9,H997=$F$10,H997=$F$11,H997=$F$12,H997=$F$13,H997=$F$14),SottocategorieUscite[[#Headers],[Casa]],IF(OR(H997=$G$5,H997=$G$6,H997=$G$7,H997=$G$8,H997=$G$9,H997=$G$10,H997=$G$11,H997=$G$12,H997=$G$13,H997=$G$14),SottocategorieUscite[[#Headers],[Utenze]],IF(OR(H997=$H$5,H997=$H$6,H997=$H$7,H997=$H$8,H997=$H$9,H997=$H$10,H997=$H$11,H997=$H$12,H997=$H$13,H997=$H$14),SottocategorieUscite[[#Headers],[Business Uscite]],IF(OR(H997=$I$5,H997=$I$6,H997=$I$7,H997=$I$8,H997=$I$9,H997=$I$10,H997=$I$11,H997=$I$12,H997=$I$13,H997=$I$14),SottocategorieUscite[[#Headers],[Banca]],IF(OR(H997=K$5,H997=K$6,H997=K$7,H997=K$8,H997=K$9,H997=K$10,H997=K$11,H997=K$12,H997=K$13,H997=K$14),SottocategorieEntrate[[#Headers],[Business Entrate]],IF(OR(H997=L$5,H997=L$6,H997=L$7,H997=L$8,H997=L$9,H997=L$10,H997=L$11,H997=L$12,H997=L$13,H997=L$14),SottocategorieEntrate[[#Headers],[Varie Entrate]],IF(OR(H997=M$5,H997=M$6,H997=M$7,H997=M$8,H997=M$9,H997=M$10,H997=M$11,H997=M$12,H997=M$13,H997=M$14),SottocategorieEntrate[[#Headers],[Real Estate]],IF(OR(H997=N$5,H997=N$6,H997=N$7,H997=N$8,H997=N$9,H997=N$10,H997=N$11,H997=N$12,H997=N$13,H997=N$14),SottocategorieEntrate[[#Headers],[Other]],""))))))))))))</f>
        <v/>
      </c>
      <c r="J997" t="str">
        <f>IF(OR(Dati[[#This Row],[Categoria]]="Bollette",Dati[[#This Row],[Categoria]]="Conto &amp; Carte BNL",Dati[[#This Row],[Categoria]]="Prelievo",Dati[[#This Row],[Categoria]]="Affitto",Dati[[#This Row],[Categoria]]="BNL(Interessi Creditori)"),"Carta",IF(Dati[[#This Row],[Categoria]]&lt;&gt;0,"Cash",""))</f>
        <v/>
      </c>
      <c r="K997" s="59" t="str">
        <f>IF(OR(Data!$I997=SottocategorieUscite[[#Headers],[Fuori Casa]],Data!$I997=SottocategorieUscite[[#Headers],[Varie Uscite]],Data!$I997=SottocategorieUscite[[#Headers],[Personali]],Data!$I997=SottocategorieUscite[[#Headers],[Lavoro]]),"$ -","")</f>
        <v/>
      </c>
      <c r="L997" s="59" t="str">
        <f>IF(OR(Data!$I997=SottocategorieUscite[[#Headers],[Casa]],Data!$I997=SottocategorieUscite[[#Headers],[Utenze]],Data!$I997=SottocategorieUscite[[#Headers],[Business Uscite]],Data!$I997=SottocategorieUscite[[#Headers],[Banca]]),"$ -","")</f>
        <v/>
      </c>
      <c r="M997" s="59" t="str">
        <f>IF(OR($I997&lt;&gt;SottocategorieUscite[[#Headers],[Fuori Casa]],$I997&lt;&gt;SottocategorieUscite[[#Headers],[Varie Uscite]],$I997&lt;&gt;SottocategorieUscite[[#Headers],[Personali]],$I997&lt;&gt;SottocategorieUscite[[#Headers],[Lavoro]],$I997&lt;&gt;SottocategorieUscite[[#Headers],[Casa]],$I997&lt;&gt;SottocategorieUscite[[#Headers],[Utenze]],$I997&lt;&gt;SottocategorieUscite[[#Headers],[Business Uscite]],$I997&lt;&gt;SottocategorieUscite[[#Headers],[Banca]]),"","$ -")</f>
        <v/>
      </c>
      <c r="N997" s="59" t="str">
        <f>IF(OR(Data!$I997=SottocategorieEntrate[[#Headers],[Business Entrate]],Data!$I997=SottocategorieEntrate[[#Headers],[Varie Entrate]]),"$ -","")</f>
        <v/>
      </c>
      <c r="O997" s="59" t="str">
        <f>IF(OR(Data!$I997=SottocategorieEntrate[[#Headers],[Real Estate]],SottocategorieEntrate[[#Headers],[Other]]),"$ -","")</f>
        <v/>
      </c>
      <c r="P997" s="59" t="str">
        <f>IF(OR($I997&lt;&gt;SottocategorieEntrate[[#Headers],[Business Entrate]],$I997&lt;&gt;SottocategorieEntrate[[#Headers],[Varie Entrate]],$I997&lt;&gt;SottocategorieEntrate[[#Headers],[Real Estate]],$I997&lt;&gt;SottocategorieEntrate[[#Headers],[Other]]),"","$ -")</f>
        <v/>
      </c>
      <c r="Q997" s="59" t="str">
        <f>IF(Dati[[#This Row],[Categoria]]="Prelievo","€ -","")</f>
        <v/>
      </c>
      <c r="R997" s="244"/>
      <c r="S997" s="59" t="str">
        <f>IF(Dati[[#This Row],[Categoria]]="Savings",0,"")</f>
        <v/>
      </c>
      <c r="T997" s="59"/>
      <c r="U997" s="59"/>
      <c r="V997" s="59"/>
      <c r="W997" s="59"/>
      <c r="X997" s="59"/>
      <c r="Y997" s="59"/>
      <c r="Z997" s="59"/>
      <c r="AA997" s="59"/>
      <c r="AB997" s="59"/>
      <c r="AC997" s="59"/>
      <c r="AD997" s="59"/>
      <c r="AE997" s="59"/>
      <c r="AF997" s="59"/>
      <c r="AG997" s="59"/>
      <c r="AH997" s="59"/>
      <c r="AI997" s="59" t="str">
        <f>IF(SUM(Dati[[#This Row],[Inv. Business]:[Inv. Cryptocurrency]])=0," ",SUM(Dati[[#This Row],[Inv. Business]:[Inv. Cryptocurrency]]))</f>
        <v xml:space="preserve"> </v>
      </c>
      <c r="AJ997" s="59"/>
      <c r="AK997" s="59"/>
      <c r="AL997" s="59"/>
      <c r="AM997" s="59"/>
    </row>
    <row r="998" spans="2:39" x14ac:dyDescent="0.35">
      <c r="B998" s="237">
        <f>ROW(945:945)</f>
        <v>945</v>
      </c>
      <c r="C998" s="49">
        <f>C995+1</f>
        <v>45634</v>
      </c>
      <c r="D998" s="29">
        <f>DAY(Dati[[#This Row],[Data]])</f>
        <v>8</v>
      </c>
      <c r="E998" s="29" t="str">
        <f>IF(DAY(Data!$C$21:$C$1327)&gt;0,TEXT(Data!$C$21:$C$1327, "mmmm"),"")</f>
        <v>dicembre</v>
      </c>
      <c r="F998" s="29" t="str">
        <f>IF(DAY(Data!$C$21:$C$1327)&gt;0,TEXT(Data!$C$21:$C$1327, "aaaa"),"")</f>
        <v>2024</v>
      </c>
      <c r="I998" t="str">
        <f>IF(OR(H998=$B$5,H998=$B$6,H998=$B$7,H998=$B$8,H998=$B$9,H998=$B$10,H998=$B$11,H998=$B$12,H998=$B$13,H998=$B$14),SottocategorieUscite[[#Headers],[Fuori Casa]],IF(OR(H998=$C$5,H998=$C$6,H998=$C$7,H998=$C$8,H998=$C$9,H998=$C$10,H998=$C$11,H998=$C$12,H998=$C$13,H998=$C$14),SottocategorieUscite[[#Headers],[Varie Uscite]],IF(OR(H998=$D$5,H998=$D$6,H998=$D$7,H998=$D$8,H998=$D$9,H998=$D$10,H998=$D$11,H998=$D$12,H998=$D$13,H998=$D$14),SottocategorieUscite[[#Headers],[Personali]],IF(OR(H998=$E$5,H998=$E$6,H998=$E$7,H998=$E$8,H998=$E$9,H998=$E$10,H998=$E$11,H998=$E$12,H998=$E$13,H998=$E$14),SottocategorieUscite[[#Headers],[Lavoro]],IF(OR(H998=$F$5,H998=$F$6,H998=$F$7,H998=$F$8,H998=$F$9,H998=$F$10,H998=$F$11,H998=$F$12,H998=$F$13,H998=$F$14),SottocategorieUscite[[#Headers],[Casa]],IF(OR(H998=$G$5,H998=$G$6,H998=$G$7,H998=$G$8,H998=$G$9,H998=$G$10,H998=$G$11,H998=$G$12,H998=$G$13,H998=$G$14),SottocategorieUscite[[#Headers],[Utenze]],IF(OR(H998=$H$5,H998=$H$6,H998=$H$7,H998=$H$8,H998=$H$9,H998=$H$10,H998=$H$11,H998=$H$12,H998=$H$13,H998=$H$14),SottocategorieUscite[[#Headers],[Business Uscite]],IF(OR(H998=$I$5,H998=$I$6,H998=$I$7,H998=$I$8,H998=$I$9,H998=$I$10,H998=$I$11,H998=$I$12,H998=$I$13,H998=$I$14),SottocategorieUscite[[#Headers],[Banca]],IF(OR(H998=K$5,H998=K$6,H998=K$7,H998=K$8,H998=K$9,H998=K$10,H998=K$11,H998=K$12,H998=K$13,H998=K$14),SottocategorieEntrate[[#Headers],[Business Entrate]],IF(OR(H998=L$5,H998=L$6,H998=L$7,H998=L$8,H998=L$9,H998=L$10,H998=L$11,H998=L$12,H998=L$13,H998=L$14),SottocategorieEntrate[[#Headers],[Varie Entrate]],IF(OR(H998=M$5,H998=M$6,H998=M$7,H998=M$8,H998=M$9,H998=M$10,H998=M$11,H998=M$12,H998=M$13,H998=M$14),SottocategorieEntrate[[#Headers],[Real Estate]],IF(OR(H998=N$5,H998=N$6,H998=N$7,H998=N$8,H998=N$9,H998=N$10,H998=N$11,H998=N$12,H998=N$13,H998=N$14),SottocategorieEntrate[[#Headers],[Other]],""))))))))))))</f>
        <v/>
      </c>
      <c r="J998" t="str">
        <f>IF(OR(Dati[[#This Row],[Categoria]]="Bollette",Dati[[#This Row],[Categoria]]="Conto &amp; Carte BNL",Dati[[#This Row],[Categoria]]="Prelievo",Dati[[#This Row],[Categoria]]="Affitto",Dati[[#This Row],[Categoria]]="BNL(Interessi Creditori)"),"Carta",IF(Dati[[#This Row],[Categoria]]&lt;&gt;0,"Cash",""))</f>
        <v/>
      </c>
      <c r="K998" s="59" t="str">
        <f>IF(OR(Data!$I998=SottocategorieUscite[[#Headers],[Fuori Casa]],Data!$I998=SottocategorieUscite[[#Headers],[Varie Uscite]],Data!$I998=SottocategorieUscite[[#Headers],[Personali]],Data!$I998=SottocategorieUscite[[#Headers],[Lavoro]]),"$ -","")</f>
        <v/>
      </c>
      <c r="L998" s="59" t="str">
        <f>IF(OR(Data!$I998=SottocategorieUscite[[#Headers],[Casa]],Data!$I998=SottocategorieUscite[[#Headers],[Utenze]],Data!$I998=SottocategorieUscite[[#Headers],[Business Uscite]],Data!$I998=SottocategorieUscite[[#Headers],[Banca]]),"$ -","")</f>
        <v/>
      </c>
      <c r="M998" s="59" t="str">
        <f>IF(OR($I998&lt;&gt;SottocategorieUscite[[#Headers],[Fuori Casa]],$I998&lt;&gt;SottocategorieUscite[[#Headers],[Varie Uscite]],$I998&lt;&gt;SottocategorieUscite[[#Headers],[Personali]],$I998&lt;&gt;SottocategorieUscite[[#Headers],[Lavoro]],$I998&lt;&gt;SottocategorieUscite[[#Headers],[Casa]],$I998&lt;&gt;SottocategorieUscite[[#Headers],[Utenze]],$I998&lt;&gt;SottocategorieUscite[[#Headers],[Business Uscite]],$I998&lt;&gt;SottocategorieUscite[[#Headers],[Banca]]),"","$ -")</f>
        <v/>
      </c>
      <c r="N998" s="59" t="str">
        <f>IF(OR(Data!$I998=SottocategorieEntrate[[#Headers],[Business Entrate]],Data!$I998=SottocategorieEntrate[[#Headers],[Varie Entrate]]),"$ -","")</f>
        <v/>
      </c>
      <c r="O998" s="59" t="str">
        <f>IF(OR(Data!$I998=SottocategorieEntrate[[#Headers],[Real Estate]],SottocategorieEntrate[[#Headers],[Other]]),"$ -","")</f>
        <v/>
      </c>
      <c r="P998" s="59" t="str">
        <f>IF(OR($I998&lt;&gt;SottocategorieEntrate[[#Headers],[Business Entrate]],$I998&lt;&gt;SottocategorieEntrate[[#Headers],[Varie Entrate]],$I998&lt;&gt;SottocategorieEntrate[[#Headers],[Real Estate]],$I998&lt;&gt;SottocategorieEntrate[[#Headers],[Other]]),"","$ -")</f>
        <v/>
      </c>
      <c r="Q998" s="59" t="str">
        <f>IF(Dati[[#This Row],[Categoria]]="Prelievo","€ -","")</f>
        <v/>
      </c>
      <c r="R998" s="244"/>
      <c r="S998" s="59" t="str">
        <f>IF(Dati[[#This Row],[Categoria]]="Savings",0,"")</f>
        <v/>
      </c>
      <c r="T998" s="59"/>
      <c r="U998" s="59"/>
      <c r="V998" s="59"/>
      <c r="W998" s="59"/>
      <c r="X998" s="59"/>
      <c r="Y998" s="59"/>
      <c r="Z998" s="59"/>
      <c r="AA998" s="59"/>
      <c r="AB998" s="59"/>
      <c r="AC998" s="59"/>
      <c r="AD998" s="59"/>
      <c r="AE998" s="59"/>
      <c r="AF998" s="59"/>
      <c r="AG998" s="59"/>
      <c r="AH998" s="59"/>
      <c r="AI998" s="59" t="str">
        <f>IF(SUM(Dati[[#This Row],[Inv. Business]:[Inv. Cryptocurrency]])=0," ",SUM(Dati[[#This Row],[Inv. Business]:[Inv. Cryptocurrency]]))</f>
        <v xml:space="preserve"> </v>
      </c>
      <c r="AJ998" s="59"/>
      <c r="AK998" s="59"/>
      <c r="AL998" s="59"/>
      <c r="AM998" s="59"/>
    </row>
    <row r="999" spans="2:39" x14ac:dyDescent="0.35">
      <c r="B999" s="237">
        <f>ROW(946:946)</f>
        <v>946</v>
      </c>
      <c r="C999" s="49">
        <f>C997+1</f>
        <v>45635</v>
      </c>
      <c r="D999" s="29">
        <f>DAY(Dati[[#This Row],[Data]])</f>
        <v>9</v>
      </c>
      <c r="E999" s="29" t="str">
        <f>IF(DAY(Data!$C$21:$C$1327)&gt;0,TEXT(Data!$C$21:$C$1327, "mmmm"),"")</f>
        <v>dicembre</v>
      </c>
      <c r="F999" s="29" t="str">
        <f>IF(DAY(Data!$C$21:$C$1327)&gt;0,TEXT(Data!$C$21:$C$1327, "aaaa"),"")</f>
        <v>2024</v>
      </c>
      <c r="I999" t="str">
        <f>IF(OR(H999=$B$5,H999=$B$6,H999=$B$7,H999=$B$8,H999=$B$9,H999=$B$10,H999=$B$11,H999=$B$12,H999=$B$13,H999=$B$14),SottocategorieUscite[[#Headers],[Fuori Casa]],IF(OR(H999=$C$5,H999=$C$6,H999=$C$7,H999=$C$8,H999=$C$9,H999=$C$10,H999=$C$11,H999=$C$12,H999=$C$13,H999=$C$14),SottocategorieUscite[[#Headers],[Varie Uscite]],IF(OR(H999=$D$5,H999=$D$6,H999=$D$7,H999=$D$8,H999=$D$9,H999=$D$10,H999=$D$11,H999=$D$12,H999=$D$13,H999=$D$14),SottocategorieUscite[[#Headers],[Personali]],IF(OR(H999=$E$5,H999=$E$6,H999=$E$7,H999=$E$8,H999=$E$9,H999=$E$10,H999=$E$11,H999=$E$12,H999=$E$13,H999=$E$14),SottocategorieUscite[[#Headers],[Lavoro]],IF(OR(H999=$F$5,H999=$F$6,H999=$F$7,H999=$F$8,H999=$F$9,H999=$F$10,H999=$F$11,H999=$F$12,H999=$F$13,H999=$F$14),SottocategorieUscite[[#Headers],[Casa]],IF(OR(H999=$G$5,H999=$G$6,H999=$G$7,H999=$G$8,H999=$G$9,H999=$G$10,H999=$G$11,H999=$G$12,H999=$G$13,H999=$G$14),SottocategorieUscite[[#Headers],[Utenze]],IF(OR(H999=$H$5,H999=$H$6,H999=$H$7,H999=$H$8,H999=$H$9,H999=$H$10,H999=$H$11,H999=$H$12,H999=$H$13,H999=$H$14),SottocategorieUscite[[#Headers],[Business Uscite]],IF(OR(H999=$I$5,H999=$I$6,H999=$I$7,H999=$I$8,H999=$I$9,H999=$I$10,H999=$I$11,H999=$I$12,H999=$I$13,H999=$I$14),SottocategorieUscite[[#Headers],[Banca]],IF(OR(H999=K$5,H999=K$6,H999=K$7,H999=K$8,H999=K$9,H999=K$10,H999=K$11,H999=K$12,H999=K$13,H999=K$14),SottocategorieEntrate[[#Headers],[Business Entrate]],IF(OR(H999=L$5,H999=L$6,H999=L$7,H999=L$8,H999=L$9,H999=L$10,H999=L$11,H999=L$12,H999=L$13,H999=L$14),SottocategorieEntrate[[#Headers],[Varie Entrate]],IF(OR(H999=M$5,H999=M$6,H999=M$7,H999=M$8,H999=M$9,H999=M$10,H999=M$11,H999=M$12,H999=M$13,H999=M$14),SottocategorieEntrate[[#Headers],[Real Estate]],IF(OR(H999=N$5,H999=N$6,H999=N$7,H999=N$8,H999=N$9,H999=N$10,H999=N$11,H999=N$12,H999=N$13,H999=N$14),SottocategorieEntrate[[#Headers],[Other]],""))))))))))))</f>
        <v/>
      </c>
      <c r="J999" t="str">
        <f>IF(OR(Dati[[#This Row],[Categoria]]="Bollette",Dati[[#This Row],[Categoria]]="Conto &amp; Carte BNL",Dati[[#This Row],[Categoria]]="Prelievo",Dati[[#This Row],[Categoria]]="Affitto",Dati[[#This Row],[Categoria]]="BNL(Interessi Creditori)"),"Carta",IF(Dati[[#This Row],[Categoria]]&lt;&gt;0,"Cash",""))</f>
        <v/>
      </c>
      <c r="K999" s="59" t="str">
        <f>IF(OR(Data!$I999=SottocategorieUscite[[#Headers],[Fuori Casa]],Data!$I999=SottocategorieUscite[[#Headers],[Varie Uscite]],Data!$I999=SottocategorieUscite[[#Headers],[Personali]],Data!$I999=SottocategorieUscite[[#Headers],[Lavoro]]),"$ -","")</f>
        <v/>
      </c>
      <c r="L999" s="59" t="str">
        <f>IF(OR(Data!$I999=SottocategorieUscite[[#Headers],[Casa]],Data!$I999=SottocategorieUscite[[#Headers],[Utenze]],Data!$I999=SottocategorieUscite[[#Headers],[Business Uscite]],Data!$I999=SottocategorieUscite[[#Headers],[Banca]]),"$ -","")</f>
        <v/>
      </c>
      <c r="M999" s="59" t="str">
        <f>IF(OR($I999&lt;&gt;SottocategorieUscite[[#Headers],[Fuori Casa]],$I999&lt;&gt;SottocategorieUscite[[#Headers],[Varie Uscite]],$I999&lt;&gt;SottocategorieUscite[[#Headers],[Personali]],$I999&lt;&gt;SottocategorieUscite[[#Headers],[Lavoro]],$I999&lt;&gt;SottocategorieUscite[[#Headers],[Casa]],$I999&lt;&gt;SottocategorieUscite[[#Headers],[Utenze]],$I999&lt;&gt;SottocategorieUscite[[#Headers],[Business Uscite]],$I999&lt;&gt;SottocategorieUscite[[#Headers],[Banca]]),"","$ -")</f>
        <v/>
      </c>
      <c r="N999" s="59" t="str">
        <f>IF(OR(Data!$I999=SottocategorieEntrate[[#Headers],[Business Entrate]],Data!$I999=SottocategorieEntrate[[#Headers],[Varie Entrate]]),"$ -","")</f>
        <v/>
      </c>
      <c r="O999" s="59" t="str">
        <f>IF(OR(Data!$I999=SottocategorieEntrate[[#Headers],[Real Estate]],SottocategorieEntrate[[#Headers],[Other]]),"$ -","")</f>
        <v/>
      </c>
      <c r="P999" s="59" t="str">
        <f>IF(OR($I999&lt;&gt;SottocategorieEntrate[[#Headers],[Business Entrate]],$I999&lt;&gt;SottocategorieEntrate[[#Headers],[Varie Entrate]],$I999&lt;&gt;SottocategorieEntrate[[#Headers],[Real Estate]],$I999&lt;&gt;SottocategorieEntrate[[#Headers],[Other]]),"","$ -")</f>
        <v/>
      </c>
      <c r="Q999" s="59" t="str">
        <f>IF(Dati[[#This Row],[Categoria]]="Prelievo","€ -","")</f>
        <v/>
      </c>
      <c r="R999" s="244"/>
      <c r="S999" s="59" t="str">
        <f>IF(Dati[[#This Row],[Categoria]]="Savings",0,"")</f>
        <v/>
      </c>
      <c r="T999" s="59"/>
      <c r="U999" s="59"/>
      <c r="V999" s="59"/>
      <c r="W999" s="59"/>
      <c r="X999" s="59"/>
      <c r="Y999" s="59"/>
      <c r="Z999" s="59"/>
      <c r="AA999" s="59"/>
      <c r="AB999" s="59"/>
      <c r="AC999" s="59"/>
      <c r="AD999" s="59"/>
      <c r="AE999" s="59"/>
      <c r="AF999" s="59"/>
      <c r="AG999" s="59"/>
      <c r="AH999" s="59"/>
      <c r="AI999" s="59" t="str">
        <f>IF(SUM(Dati[[#This Row],[Inv. Business]:[Inv. Cryptocurrency]])=0," ",SUM(Dati[[#This Row],[Inv. Business]:[Inv. Cryptocurrency]]))</f>
        <v xml:space="preserve"> </v>
      </c>
      <c r="AJ999" s="59"/>
      <c r="AK999" s="59"/>
      <c r="AL999" s="59"/>
      <c r="AM999" s="59"/>
    </row>
    <row r="1000" spans="2:39" x14ac:dyDescent="0.35">
      <c r="B1000" s="237">
        <f>ROW(947:947)</f>
        <v>947</v>
      </c>
      <c r="C1000" s="49">
        <f t="shared" si="53"/>
        <v>45636</v>
      </c>
      <c r="D1000" s="29">
        <f>DAY(Dati[[#This Row],[Data]])</f>
        <v>10</v>
      </c>
      <c r="E1000" s="29" t="str">
        <f>IF(DAY(Data!$C$21:$C$1327)&gt;0,TEXT(Data!$C$21:$C$1327, "mmmm"),"")</f>
        <v>dicembre</v>
      </c>
      <c r="F1000" s="29" t="str">
        <f>IF(DAY(Data!$C$21:$C$1327)&gt;0,TEXT(Data!$C$21:$C$1327, "aaaa"),"")</f>
        <v>2024</v>
      </c>
      <c r="I1000" t="str">
        <f>IF(OR(H1000=$B$5,H1000=$B$6,H1000=$B$7,H1000=$B$8,H1000=$B$9,H1000=$B$10,H1000=$B$11,H1000=$B$12,H1000=$B$13,H1000=$B$14),SottocategorieUscite[[#Headers],[Fuori Casa]],IF(OR(H1000=$C$5,H1000=$C$6,H1000=$C$7,H1000=$C$8,H1000=$C$9,H1000=$C$10,H1000=$C$11,H1000=$C$12,H1000=$C$13,H1000=$C$14),SottocategorieUscite[[#Headers],[Varie Uscite]],IF(OR(H1000=$D$5,H1000=$D$6,H1000=$D$7,H1000=$D$8,H1000=$D$9,H1000=$D$10,H1000=$D$11,H1000=$D$12,H1000=$D$13,H1000=$D$14),SottocategorieUscite[[#Headers],[Personali]],IF(OR(H1000=$E$5,H1000=$E$6,H1000=$E$7,H1000=$E$8,H1000=$E$9,H1000=$E$10,H1000=$E$11,H1000=$E$12,H1000=$E$13,H1000=$E$14),SottocategorieUscite[[#Headers],[Lavoro]],IF(OR(H1000=$F$5,H1000=$F$6,H1000=$F$7,H1000=$F$8,H1000=$F$9,H1000=$F$10,H1000=$F$11,H1000=$F$12,H1000=$F$13,H1000=$F$14),SottocategorieUscite[[#Headers],[Casa]],IF(OR(H1000=$G$5,H1000=$G$6,H1000=$G$7,H1000=$G$8,H1000=$G$9,H1000=$G$10,H1000=$G$11,H1000=$G$12,H1000=$G$13,H1000=$G$14),SottocategorieUscite[[#Headers],[Utenze]],IF(OR(H1000=$H$5,H1000=$H$6,H1000=$H$7,H1000=$H$8,H1000=$H$9,H1000=$H$10,H1000=$H$11,H1000=$H$12,H1000=$H$13,H1000=$H$14),SottocategorieUscite[[#Headers],[Business Uscite]],IF(OR(H1000=$I$5,H1000=$I$6,H1000=$I$7,H1000=$I$8,H1000=$I$9,H1000=$I$10,H1000=$I$11,H1000=$I$12,H1000=$I$13,H1000=$I$14),SottocategorieUscite[[#Headers],[Banca]],IF(OR(H1000=K$5,H1000=K$6,H1000=K$7,H1000=K$8,H1000=K$9,H1000=K$10,H1000=K$11,H1000=K$12,H1000=K$13,H1000=K$14),SottocategorieEntrate[[#Headers],[Business Entrate]],IF(OR(H1000=L$5,H1000=L$6,H1000=L$7,H1000=L$8,H1000=L$9,H1000=L$10,H1000=L$11,H1000=L$12,H1000=L$13,H1000=L$14),SottocategorieEntrate[[#Headers],[Varie Entrate]],IF(OR(H1000=M$5,H1000=M$6,H1000=M$7,H1000=M$8,H1000=M$9,H1000=M$10,H1000=M$11,H1000=M$12,H1000=M$13,H1000=M$14),SottocategorieEntrate[[#Headers],[Real Estate]],IF(OR(H1000=N$5,H1000=N$6,H1000=N$7,H1000=N$8,H1000=N$9,H1000=N$10,H1000=N$11,H1000=N$12,H1000=N$13,H1000=N$14),SottocategorieEntrate[[#Headers],[Other]],""))))))))))))</f>
        <v/>
      </c>
      <c r="J1000" t="str">
        <f>IF(OR(Dati[[#This Row],[Categoria]]="Bollette",Dati[[#This Row],[Categoria]]="Conto &amp; Carte BNL",Dati[[#This Row],[Categoria]]="Prelievo",Dati[[#This Row],[Categoria]]="Affitto",Dati[[#This Row],[Categoria]]="BNL(Interessi Creditori)"),"Carta",IF(Dati[[#This Row],[Categoria]]&lt;&gt;0,"Cash",""))</f>
        <v/>
      </c>
      <c r="K1000" s="59" t="str">
        <f>IF(OR(Data!$I1000=SottocategorieUscite[[#Headers],[Fuori Casa]],Data!$I1000=SottocategorieUscite[[#Headers],[Varie Uscite]],Data!$I1000=SottocategorieUscite[[#Headers],[Personali]],Data!$I1000=SottocategorieUscite[[#Headers],[Lavoro]]),"$ -","")</f>
        <v/>
      </c>
      <c r="L1000" s="59" t="str">
        <f>IF(OR(Data!$I1000=SottocategorieUscite[[#Headers],[Casa]],Data!$I1000=SottocategorieUscite[[#Headers],[Utenze]],Data!$I1000=SottocategorieUscite[[#Headers],[Business Uscite]],Data!$I1000=SottocategorieUscite[[#Headers],[Banca]]),"$ -","")</f>
        <v/>
      </c>
      <c r="M1000" s="59" t="str">
        <f>IF(OR($I1000&lt;&gt;SottocategorieUscite[[#Headers],[Fuori Casa]],$I1000&lt;&gt;SottocategorieUscite[[#Headers],[Varie Uscite]],$I1000&lt;&gt;SottocategorieUscite[[#Headers],[Personali]],$I1000&lt;&gt;SottocategorieUscite[[#Headers],[Lavoro]],$I1000&lt;&gt;SottocategorieUscite[[#Headers],[Casa]],$I1000&lt;&gt;SottocategorieUscite[[#Headers],[Utenze]],$I1000&lt;&gt;SottocategorieUscite[[#Headers],[Business Uscite]],$I1000&lt;&gt;SottocategorieUscite[[#Headers],[Banca]]),"","$ -")</f>
        <v/>
      </c>
      <c r="N1000" s="59" t="str">
        <f>IF(OR(Data!$I1000=SottocategorieEntrate[[#Headers],[Business Entrate]],Data!$I1000=SottocategorieEntrate[[#Headers],[Varie Entrate]]),"$ -","")</f>
        <v/>
      </c>
      <c r="O1000" s="59" t="str">
        <f>IF(OR(Data!$I1000=SottocategorieEntrate[[#Headers],[Real Estate]],SottocategorieEntrate[[#Headers],[Other]]),"$ -","")</f>
        <v/>
      </c>
      <c r="P1000" s="59" t="str">
        <f>IF(OR($I1000&lt;&gt;SottocategorieEntrate[[#Headers],[Business Entrate]],$I1000&lt;&gt;SottocategorieEntrate[[#Headers],[Varie Entrate]],$I1000&lt;&gt;SottocategorieEntrate[[#Headers],[Real Estate]],$I1000&lt;&gt;SottocategorieEntrate[[#Headers],[Other]]),"","$ -")</f>
        <v/>
      </c>
      <c r="Q1000" s="59" t="str">
        <f>IF(Dati[[#This Row],[Categoria]]="Prelievo","€ -","")</f>
        <v/>
      </c>
      <c r="R1000" s="244"/>
      <c r="S1000" s="59" t="str">
        <f>IF(Dati[[#This Row],[Categoria]]="Savings",0,"")</f>
        <v/>
      </c>
      <c r="T1000" s="59"/>
      <c r="U1000" s="59"/>
      <c r="V1000" s="59"/>
      <c r="W1000" s="59"/>
      <c r="X1000" s="59"/>
      <c r="Y1000" s="59"/>
      <c r="Z1000" s="59"/>
      <c r="AA1000" s="59"/>
      <c r="AB1000" s="59"/>
      <c r="AC1000" s="59"/>
      <c r="AD1000" s="59"/>
      <c r="AE1000" s="59"/>
      <c r="AF1000" s="59"/>
      <c r="AG1000" s="59"/>
      <c r="AH1000" s="59"/>
      <c r="AI1000" s="59" t="str">
        <f>IF(SUM(Dati[[#This Row],[Inv. Business]:[Inv. Cryptocurrency]])=0," ",SUM(Dati[[#This Row],[Inv. Business]:[Inv. Cryptocurrency]]))</f>
        <v xml:space="preserve"> </v>
      </c>
      <c r="AJ1000" s="59"/>
      <c r="AK1000" s="59"/>
      <c r="AL1000" s="59"/>
      <c r="AM1000" s="59"/>
    </row>
    <row r="1001" spans="2:39" x14ac:dyDescent="0.35">
      <c r="B1001" s="237">
        <f>ROW(949:949)</f>
        <v>949</v>
      </c>
      <c r="C1001" s="49">
        <f>C999+1</f>
        <v>45636</v>
      </c>
      <c r="D1001" s="29">
        <f>DAY(Dati[[#This Row],[Data]])</f>
        <v>10</v>
      </c>
      <c r="E1001" s="29" t="str">
        <f>IF(DAY(Data!$C$21:$C$1327)&gt;0,TEXT(Data!$C$21:$C$1327, "mmmm"),"")</f>
        <v>dicembre</v>
      </c>
      <c r="F1001" s="29" t="str">
        <f>IF(DAY(Data!$C$21:$C$1327)&gt;0,TEXT(Data!$C$21:$C$1327, "aaaa"),"")</f>
        <v>2024</v>
      </c>
      <c r="I1001" t="str">
        <f>IF(OR(H1001=$B$5,H1001=$B$6,H1001=$B$7,H1001=$B$8,H1001=$B$9,H1001=$B$10,H1001=$B$11,H1001=$B$12,H1001=$B$13,H1001=$B$14),SottocategorieUscite[[#Headers],[Fuori Casa]],IF(OR(H1001=$C$5,H1001=$C$6,H1001=$C$7,H1001=$C$8,H1001=$C$9,H1001=$C$10,H1001=$C$11,H1001=$C$12,H1001=$C$13,H1001=$C$14),SottocategorieUscite[[#Headers],[Varie Uscite]],IF(OR(H1001=$D$5,H1001=$D$6,H1001=$D$7,H1001=$D$8,H1001=$D$9,H1001=$D$10,H1001=$D$11,H1001=$D$12,H1001=$D$13,H1001=$D$14),SottocategorieUscite[[#Headers],[Personali]],IF(OR(H1001=$E$5,H1001=$E$6,H1001=$E$7,H1001=$E$8,H1001=$E$9,H1001=$E$10,H1001=$E$11,H1001=$E$12,H1001=$E$13,H1001=$E$14),SottocategorieUscite[[#Headers],[Lavoro]],IF(OR(H1001=$F$5,H1001=$F$6,H1001=$F$7,H1001=$F$8,H1001=$F$9,H1001=$F$10,H1001=$F$11,H1001=$F$12,H1001=$F$13,H1001=$F$14),SottocategorieUscite[[#Headers],[Casa]],IF(OR(H1001=$G$5,H1001=$G$6,H1001=$G$7,H1001=$G$8,H1001=$G$9,H1001=$G$10,H1001=$G$11,H1001=$G$12,H1001=$G$13,H1001=$G$14),SottocategorieUscite[[#Headers],[Utenze]],IF(OR(H1001=$H$5,H1001=$H$6,H1001=$H$7,H1001=$H$8,H1001=$H$9,H1001=$H$10,H1001=$H$11,H1001=$H$12,H1001=$H$13,H1001=$H$14),SottocategorieUscite[[#Headers],[Business Uscite]],IF(OR(H1001=$I$5,H1001=$I$6,H1001=$I$7,H1001=$I$8,H1001=$I$9,H1001=$I$10,H1001=$I$11,H1001=$I$12,H1001=$I$13,H1001=$I$14),SottocategorieUscite[[#Headers],[Banca]],IF(OR(H1001=K$5,H1001=K$6,H1001=K$7,H1001=K$8,H1001=K$9,H1001=K$10,H1001=K$11,H1001=K$12,H1001=K$13,H1001=K$14),SottocategorieEntrate[[#Headers],[Business Entrate]],IF(OR(H1001=L$5,H1001=L$6,H1001=L$7,H1001=L$8,H1001=L$9,H1001=L$10,H1001=L$11,H1001=L$12,H1001=L$13,H1001=L$14),SottocategorieEntrate[[#Headers],[Varie Entrate]],IF(OR(H1001=M$5,H1001=M$6,H1001=M$7,H1001=M$8,H1001=M$9,H1001=M$10,H1001=M$11,H1001=M$12,H1001=M$13,H1001=M$14),SottocategorieEntrate[[#Headers],[Real Estate]],IF(OR(H1001=N$5,H1001=N$6,H1001=N$7,H1001=N$8,H1001=N$9,H1001=N$10,H1001=N$11,H1001=N$12,H1001=N$13,H1001=N$14),SottocategorieEntrate[[#Headers],[Other]],""))))))))))))</f>
        <v/>
      </c>
      <c r="J1001" t="str">
        <f>IF(OR(Dati[[#This Row],[Categoria]]="Bollette",Dati[[#This Row],[Categoria]]="Conto &amp; Carte BNL",Dati[[#This Row],[Categoria]]="Prelievo",Dati[[#This Row],[Categoria]]="Affitto",Dati[[#This Row],[Categoria]]="BNL(Interessi Creditori)"),"Carta",IF(Dati[[#This Row],[Categoria]]&lt;&gt;0,"Cash",""))</f>
        <v/>
      </c>
      <c r="K1001" s="59" t="str">
        <f>IF(OR(Data!$I1001=SottocategorieUscite[[#Headers],[Fuori Casa]],Data!$I1001=SottocategorieUscite[[#Headers],[Varie Uscite]],Data!$I1001=SottocategorieUscite[[#Headers],[Personali]],Data!$I1001=SottocategorieUscite[[#Headers],[Lavoro]]),"$ -","")</f>
        <v/>
      </c>
      <c r="L1001" s="59" t="str">
        <f>IF(OR(Data!$I1001=SottocategorieUscite[[#Headers],[Casa]],Data!$I1001=SottocategorieUscite[[#Headers],[Utenze]],Data!$I1001=SottocategorieUscite[[#Headers],[Business Uscite]],Data!$I1001=SottocategorieUscite[[#Headers],[Banca]]),"$ -","")</f>
        <v/>
      </c>
      <c r="M1001" s="59" t="str">
        <f>IF(OR($I1001&lt;&gt;SottocategorieUscite[[#Headers],[Fuori Casa]],$I1001&lt;&gt;SottocategorieUscite[[#Headers],[Varie Uscite]],$I1001&lt;&gt;SottocategorieUscite[[#Headers],[Personali]],$I1001&lt;&gt;SottocategorieUscite[[#Headers],[Lavoro]],$I1001&lt;&gt;SottocategorieUscite[[#Headers],[Casa]],$I1001&lt;&gt;SottocategorieUscite[[#Headers],[Utenze]],$I1001&lt;&gt;SottocategorieUscite[[#Headers],[Business Uscite]],$I1001&lt;&gt;SottocategorieUscite[[#Headers],[Banca]]),"","$ -")</f>
        <v/>
      </c>
      <c r="N1001" s="59" t="str">
        <f>IF(OR(Data!$I1001=SottocategorieEntrate[[#Headers],[Business Entrate]],Data!$I1001=SottocategorieEntrate[[#Headers],[Varie Entrate]]),"$ -","")</f>
        <v/>
      </c>
      <c r="O1001" s="59" t="str">
        <f>IF(OR(Data!$I1001=SottocategorieEntrate[[#Headers],[Real Estate]],SottocategorieEntrate[[#Headers],[Other]]),"$ -","")</f>
        <v/>
      </c>
      <c r="P1001" s="59" t="str">
        <f>IF(OR($I1001&lt;&gt;SottocategorieEntrate[[#Headers],[Business Entrate]],$I1001&lt;&gt;SottocategorieEntrate[[#Headers],[Varie Entrate]],$I1001&lt;&gt;SottocategorieEntrate[[#Headers],[Real Estate]],$I1001&lt;&gt;SottocategorieEntrate[[#Headers],[Other]]),"","$ -")</f>
        <v/>
      </c>
      <c r="Q1001" s="59" t="str">
        <f>IF(Dati[[#This Row],[Categoria]]="Prelievo","€ -","")</f>
        <v/>
      </c>
      <c r="R1001" s="244"/>
      <c r="S1001" s="59" t="str">
        <f>IF(Dati[[#This Row],[Categoria]]="Savings",0,"")</f>
        <v/>
      </c>
      <c r="T1001" s="59"/>
      <c r="U1001" s="59"/>
      <c r="V1001" s="59"/>
      <c r="W1001" s="59"/>
      <c r="X1001" s="59"/>
      <c r="Y1001" s="59"/>
      <c r="Z1001" s="59"/>
      <c r="AA1001" s="59"/>
      <c r="AB1001" s="59"/>
      <c r="AC1001" s="59"/>
      <c r="AD1001" s="59"/>
      <c r="AE1001" s="59"/>
      <c r="AF1001" s="59"/>
      <c r="AG1001" s="59"/>
      <c r="AH1001" s="59"/>
      <c r="AI1001" s="59" t="str">
        <f>IF(SUM(Dati[[#This Row],[Inv. Business]:[Inv. Cryptocurrency]])=0," ",SUM(Dati[[#This Row],[Inv. Business]:[Inv. Cryptocurrency]]))</f>
        <v xml:space="preserve"> </v>
      </c>
      <c r="AJ1001" s="59"/>
      <c r="AK1001" s="59"/>
      <c r="AL1001" s="59"/>
      <c r="AM1001" s="59"/>
    </row>
    <row r="1002" spans="2:39" x14ac:dyDescent="0.35">
      <c r="B1002" s="237">
        <f>ROW(949:949)</f>
        <v>949</v>
      </c>
      <c r="C1002" s="49">
        <f>C999+1</f>
        <v>45636</v>
      </c>
      <c r="D1002" s="29">
        <f>DAY(Dati[[#This Row],[Data]])</f>
        <v>10</v>
      </c>
      <c r="E1002" s="29" t="str">
        <f>IF(DAY(Data!$C$21:$C$1327)&gt;0,TEXT(Data!$C$21:$C$1327, "mmmm"),"")</f>
        <v>dicembre</v>
      </c>
      <c r="F1002" s="29" t="str">
        <f>IF(DAY(Data!$C$21:$C$1327)&gt;0,TEXT(Data!$C$21:$C$1327, "aaaa"),"")</f>
        <v>2024</v>
      </c>
      <c r="I1002" t="str">
        <f>IF(OR(H1002=$B$5,H1002=$B$6,H1002=$B$7,H1002=$B$8,H1002=$B$9,H1002=$B$10,H1002=$B$11,H1002=$B$12,H1002=$B$13,H1002=$B$14),SottocategorieUscite[[#Headers],[Fuori Casa]],IF(OR(H1002=$C$5,H1002=$C$6,H1002=$C$7,H1002=$C$8,H1002=$C$9,H1002=$C$10,H1002=$C$11,H1002=$C$12,H1002=$C$13,H1002=$C$14),SottocategorieUscite[[#Headers],[Varie Uscite]],IF(OR(H1002=$D$5,H1002=$D$6,H1002=$D$7,H1002=$D$8,H1002=$D$9,H1002=$D$10,H1002=$D$11,H1002=$D$12,H1002=$D$13,H1002=$D$14),SottocategorieUscite[[#Headers],[Personali]],IF(OR(H1002=$E$5,H1002=$E$6,H1002=$E$7,H1002=$E$8,H1002=$E$9,H1002=$E$10,H1002=$E$11,H1002=$E$12,H1002=$E$13,H1002=$E$14),SottocategorieUscite[[#Headers],[Lavoro]],IF(OR(H1002=$F$5,H1002=$F$6,H1002=$F$7,H1002=$F$8,H1002=$F$9,H1002=$F$10,H1002=$F$11,H1002=$F$12,H1002=$F$13,H1002=$F$14),SottocategorieUscite[[#Headers],[Casa]],IF(OR(H1002=$G$5,H1002=$G$6,H1002=$G$7,H1002=$G$8,H1002=$G$9,H1002=$G$10,H1002=$G$11,H1002=$G$12,H1002=$G$13,H1002=$G$14),SottocategorieUscite[[#Headers],[Utenze]],IF(OR(H1002=$H$5,H1002=$H$6,H1002=$H$7,H1002=$H$8,H1002=$H$9,H1002=$H$10,H1002=$H$11,H1002=$H$12,H1002=$H$13,H1002=$H$14),SottocategorieUscite[[#Headers],[Business Uscite]],IF(OR(H1002=$I$5,H1002=$I$6,H1002=$I$7,H1002=$I$8,H1002=$I$9,H1002=$I$10,H1002=$I$11,H1002=$I$12,H1002=$I$13,H1002=$I$14),SottocategorieUscite[[#Headers],[Banca]],IF(OR(H1002=K$5,H1002=K$6,H1002=K$7,H1002=K$8,H1002=K$9,H1002=K$10,H1002=K$11,H1002=K$12,H1002=K$13,H1002=K$14),SottocategorieEntrate[[#Headers],[Business Entrate]],IF(OR(H1002=L$5,H1002=L$6,H1002=L$7,H1002=L$8,H1002=L$9,H1002=L$10,H1002=L$11,H1002=L$12,H1002=L$13,H1002=L$14),SottocategorieEntrate[[#Headers],[Varie Entrate]],IF(OR(H1002=M$5,H1002=M$6,H1002=M$7,H1002=M$8,H1002=M$9,H1002=M$10,H1002=M$11,H1002=M$12,H1002=M$13,H1002=M$14),SottocategorieEntrate[[#Headers],[Real Estate]],IF(OR(H1002=N$5,H1002=N$6,H1002=N$7,H1002=N$8,H1002=N$9,H1002=N$10,H1002=N$11,H1002=N$12,H1002=N$13,H1002=N$14),SottocategorieEntrate[[#Headers],[Other]],""))))))))))))</f>
        <v/>
      </c>
      <c r="J1002" t="str">
        <f>IF(OR(Dati[[#This Row],[Categoria]]="Bollette",Dati[[#This Row],[Categoria]]="Conto &amp; Carte BNL",Dati[[#This Row],[Categoria]]="Prelievo",Dati[[#This Row],[Categoria]]="Affitto",Dati[[#This Row],[Categoria]]="BNL(Interessi Creditori)"),"Carta",IF(Dati[[#This Row],[Categoria]]&lt;&gt;0,"Cash",""))</f>
        <v/>
      </c>
      <c r="K1002" s="59" t="str">
        <f>IF(OR(Data!$I1002=SottocategorieUscite[[#Headers],[Fuori Casa]],Data!$I1002=SottocategorieUscite[[#Headers],[Varie Uscite]],Data!$I1002=SottocategorieUscite[[#Headers],[Personali]],Data!$I1002=SottocategorieUscite[[#Headers],[Lavoro]]),"$ -","")</f>
        <v/>
      </c>
      <c r="L1002" s="59" t="str">
        <f>IF(OR(Data!$I1002=SottocategorieUscite[[#Headers],[Casa]],Data!$I1002=SottocategorieUscite[[#Headers],[Utenze]],Data!$I1002=SottocategorieUscite[[#Headers],[Business Uscite]],Data!$I1002=SottocategorieUscite[[#Headers],[Banca]]),"$ -","")</f>
        <v/>
      </c>
      <c r="M1002" s="59" t="str">
        <f>IF(OR($I1002&lt;&gt;SottocategorieUscite[[#Headers],[Fuori Casa]],$I1002&lt;&gt;SottocategorieUscite[[#Headers],[Varie Uscite]],$I1002&lt;&gt;SottocategorieUscite[[#Headers],[Personali]],$I1002&lt;&gt;SottocategorieUscite[[#Headers],[Lavoro]],$I1002&lt;&gt;SottocategorieUscite[[#Headers],[Casa]],$I1002&lt;&gt;SottocategorieUscite[[#Headers],[Utenze]],$I1002&lt;&gt;SottocategorieUscite[[#Headers],[Business Uscite]],$I1002&lt;&gt;SottocategorieUscite[[#Headers],[Banca]]),"","$ -")</f>
        <v/>
      </c>
      <c r="N1002" s="59" t="str">
        <f>IF(OR(Data!$I1002=SottocategorieEntrate[[#Headers],[Business Entrate]],Data!$I1002=SottocategorieEntrate[[#Headers],[Varie Entrate]]),"$ -","")</f>
        <v/>
      </c>
      <c r="O1002" s="59" t="str">
        <f>IF(OR(Data!$I1002=SottocategorieEntrate[[#Headers],[Real Estate]],SottocategorieEntrate[[#Headers],[Other]]),"$ -","")</f>
        <v/>
      </c>
      <c r="P1002" s="59" t="str">
        <f>IF(OR($I1002&lt;&gt;SottocategorieEntrate[[#Headers],[Business Entrate]],$I1002&lt;&gt;SottocategorieEntrate[[#Headers],[Varie Entrate]],$I1002&lt;&gt;SottocategorieEntrate[[#Headers],[Real Estate]],$I1002&lt;&gt;SottocategorieEntrate[[#Headers],[Other]]),"","$ -")</f>
        <v/>
      </c>
      <c r="Q1002" s="59" t="str">
        <f>IF(Dati[[#This Row],[Categoria]]="Prelievo","€ -","")</f>
        <v/>
      </c>
      <c r="R1002" s="244"/>
      <c r="S1002" s="59" t="str">
        <f>IF(Dati[[#This Row],[Categoria]]="Savings",0,"")</f>
        <v/>
      </c>
      <c r="T1002" s="59"/>
      <c r="U1002" s="59"/>
      <c r="V1002" s="59"/>
      <c r="W1002" s="59"/>
      <c r="X1002" s="59"/>
      <c r="Y1002" s="59"/>
      <c r="Z1002" s="59"/>
      <c r="AA1002" s="59"/>
      <c r="AB1002" s="59"/>
      <c r="AC1002" s="59"/>
      <c r="AD1002" s="59"/>
      <c r="AE1002" s="59"/>
      <c r="AF1002" s="59"/>
      <c r="AG1002" s="59"/>
      <c r="AH1002" s="59"/>
      <c r="AI1002" s="59" t="str">
        <f>IF(SUM(Dati[[#This Row],[Inv. Business]:[Inv. Cryptocurrency]])=0," ",SUM(Dati[[#This Row],[Inv. Business]:[Inv. Cryptocurrency]]))</f>
        <v xml:space="preserve"> </v>
      </c>
      <c r="AJ1002" s="59"/>
      <c r="AK1002" s="59"/>
      <c r="AL1002" s="59"/>
      <c r="AM1002" s="59"/>
    </row>
    <row r="1003" spans="2:39" x14ac:dyDescent="0.35">
      <c r="B1003" s="237">
        <f>ROW(949:949)</f>
        <v>949</v>
      </c>
      <c r="C1003" s="49">
        <f>C999+1</f>
        <v>45636</v>
      </c>
      <c r="D1003" s="29">
        <f>DAY(Dati[[#This Row],[Data]])</f>
        <v>10</v>
      </c>
      <c r="E1003" s="29" t="str">
        <f>IF(DAY(Data!$C$21:$C$1327)&gt;0,TEXT(Data!$C$21:$C$1327, "mmmm"),"")</f>
        <v>dicembre</v>
      </c>
      <c r="F1003" s="29" t="str">
        <f>IF(DAY(Data!$C$21:$C$1327)&gt;0,TEXT(Data!$C$21:$C$1327, "aaaa"),"")</f>
        <v>2024</v>
      </c>
      <c r="I1003" t="str">
        <f>IF(OR(H1003=$B$5,H1003=$B$6,H1003=$B$7,H1003=$B$8,H1003=$B$9,H1003=$B$10,H1003=$B$11,H1003=$B$12,H1003=$B$13,H1003=$B$14),SottocategorieUscite[[#Headers],[Fuori Casa]],IF(OR(H1003=$C$5,H1003=$C$6,H1003=$C$7,H1003=$C$8,H1003=$C$9,H1003=$C$10,H1003=$C$11,H1003=$C$12,H1003=$C$13,H1003=$C$14),SottocategorieUscite[[#Headers],[Varie Uscite]],IF(OR(H1003=$D$5,H1003=$D$6,H1003=$D$7,H1003=$D$8,H1003=$D$9,H1003=$D$10,H1003=$D$11,H1003=$D$12,H1003=$D$13,H1003=$D$14),SottocategorieUscite[[#Headers],[Personali]],IF(OR(H1003=$E$5,H1003=$E$6,H1003=$E$7,H1003=$E$8,H1003=$E$9,H1003=$E$10,H1003=$E$11,H1003=$E$12,H1003=$E$13,H1003=$E$14),SottocategorieUscite[[#Headers],[Lavoro]],IF(OR(H1003=$F$5,H1003=$F$6,H1003=$F$7,H1003=$F$8,H1003=$F$9,H1003=$F$10,H1003=$F$11,H1003=$F$12,H1003=$F$13,H1003=$F$14),SottocategorieUscite[[#Headers],[Casa]],IF(OR(H1003=$G$5,H1003=$G$6,H1003=$G$7,H1003=$G$8,H1003=$G$9,H1003=$G$10,H1003=$G$11,H1003=$G$12,H1003=$G$13,H1003=$G$14),SottocategorieUscite[[#Headers],[Utenze]],IF(OR(H1003=$H$5,H1003=$H$6,H1003=$H$7,H1003=$H$8,H1003=$H$9,H1003=$H$10,H1003=$H$11,H1003=$H$12,H1003=$H$13,H1003=$H$14),SottocategorieUscite[[#Headers],[Business Uscite]],IF(OR(H1003=$I$5,H1003=$I$6,H1003=$I$7,H1003=$I$8,H1003=$I$9,H1003=$I$10,H1003=$I$11,H1003=$I$12,H1003=$I$13,H1003=$I$14),SottocategorieUscite[[#Headers],[Banca]],IF(OR(H1003=K$5,H1003=K$6,H1003=K$7,H1003=K$8,H1003=K$9,H1003=K$10,H1003=K$11,H1003=K$12,H1003=K$13,H1003=K$14),SottocategorieEntrate[[#Headers],[Business Entrate]],IF(OR(H1003=L$5,H1003=L$6,H1003=L$7,H1003=L$8,H1003=L$9,H1003=L$10,H1003=L$11,H1003=L$12,H1003=L$13,H1003=L$14),SottocategorieEntrate[[#Headers],[Varie Entrate]],IF(OR(H1003=M$5,H1003=M$6,H1003=M$7,H1003=M$8,H1003=M$9,H1003=M$10,H1003=M$11,H1003=M$12,H1003=M$13,H1003=M$14),SottocategorieEntrate[[#Headers],[Real Estate]],IF(OR(H1003=N$5,H1003=N$6,H1003=N$7,H1003=N$8,H1003=N$9,H1003=N$10,H1003=N$11,H1003=N$12,H1003=N$13,H1003=N$14),SottocategorieEntrate[[#Headers],[Other]],""))))))))))))</f>
        <v/>
      </c>
      <c r="J1003" t="str">
        <f>IF(OR(Dati[[#This Row],[Categoria]]="Bollette",Dati[[#This Row],[Categoria]]="Conto &amp; Carte BNL",Dati[[#This Row],[Categoria]]="Prelievo",Dati[[#This Row],[Categoria]]="Affitto",Dati[[#This Row],[Categoria]]="BNL(Interessi Creditori)"),"Carta",IF(Dati[[#This Row],[Categoria]]&lt;&gt;0,"Cash",""))</f>
        <v/>
      </c>
      <c r="K1003" s="59" t="str">
        <f>IF(OR(Data!$I1003=SottocategorieUscite[[#Headers],[Fuori Casa]],Data!$I1003=SottocategorieUscite[[#Headers],[Varie Uscite]],Data!$I1003=SottocategorieUscite[[#Headers],[Personali]],Data!$I1003=SottocategorieUscite[[#Headers],[Lavoro]]),"$ -","")</f>
        <v/>
      </c>
      <c r="L1003" s="59" t="str">
        <f>IF(OR(Data!$I1003=SottocategorieUscite[[#Headers],[Casa]],Data!$I1003=SottocategorieUscite[[#Headers],[Utenze]],Data!$I1003=SottocategorieUscite[[#Headers],[Business Uscite]],Data!$I1003=SottocategorieUscite[[#Headers],[Banca]]),"$ -","")</f>
        <v/>
      </c>
      <c r="M1003" s="59" t="str">
        <f>IF(OR($I1003&lt;&gt;SottocategorieUscite[[#Headers],[Fuori Casa]],$I1003&lt;&gt;SottocategorieUscite[[#Headers],[Varie Uscite]],$I1003&lt;&gt;SottocategorieUscite[[#Headers],[Personali]],$I1003&lt;&gt;SottocategorieUscite[[#Headers],[Lavoro]],$I1003&lt;&gt;SottocategorieUscite[[#Headers],[Casa]],$I1003&lt;&gt;SottocategorieUscite[[#Headers],[Utenze]],$I1003&lt;&gt;SottocategorieUscite[[#Headers],[Business Uscite]],$I1003&lt;&gt;SottocategorieUscite[[#Headers],[Banca]]),"","$ -")</f>
        <v/>
      </c>
      <c r="N1003" s="59" t="str">
        <f>IF(OR(Data!$I1003=SottocategorieEntrate[[#Headers],[Business Entrate]],Data!$I1003=SottocategorieEntrate[[#Headers],[Varie Entrate]]),"$ -","")</f>
        <v/>
      </c>
      <c r="O1003" s="59" t="str">
        <f>IF(OR(Data!$I1003=SottocategorieEntrate[[#Headers],[Real Estate]],SottocategorieEntrate[[#Headers],[Other]]),"$ -","")</f>
        <v/>
      </c>
      <c r="P1003" s="59" t="str">
        <f>IF(OR($I1003&lt;&gt;SottocategorieEntrate[[#Headers],[Business Entrate]],$I1003&lt;&gt;SottocategorieEntrate[[#Headers],[Varie Entrate]],$I1003&lt;&gt;SottocategorieEntrate[[#Headers],[Real Estate]],$I1003&lt;&gt;SottocategorieEntrate[[#Headers],[Other]]),"","$ -")</f>
        <v/>
      </c>
      <c r="Q1003" s="59" t="str">
        <f>IF(Dati[[#This Row],[Categoria]]="Prelievo","€ -","")</f>
        <v/>
      </c>
      <c r="R1003" s="244"/>
      <c r="S1003" s="59" t="str">
        <f>IF(Dati[[#This Row],[Categoria]]="Savings",0,"")</f>
        <v/>
      </c>
      <c r="T1003" s="59"/>
      <c r="U1003" s="59"/>
      <c r="V1003" s="59"/>
      <c r="W1003" s="59"/>
      <c r="X1003" s="59"/>
      <c r="Y1003" s="59"/>
      <c r="Z1003" s="59"/>
      <c r="AA1003" s="59"/>
      <c r="AB1003" s="59"/>
      <c r="AC1003" s="59"/>
      <c r="AD1003" s="59"/>
      <c r="AE1003" s="59"/>
      <c r="AF1003" s="59"/>
      <c r="AG1003" s="59"/>
      <c r="AH1003" s="59"/>
      <c r="AI1003" s="59" t="str">
        <f>IF(SUM(Dati[[#This Row],[Inv. Business]:[Inv. Cryptocurrency]])=0," ",SUM(Dati[[#This Row],[Inv. Business]:[Inv. Cryptocurrency]]))</f>
        <v xml:space="preserve"> </v>
      </c>
      <c r="AJ1003" s="59"/>
      <c r="AK1003" s="59"/>
      <c r="AL1003" s="59"/>
      <c r="AM1003" s="59"/>
    </row>
    <row r="1004" spans="2:39" x14ac:dyDescent="0.35">
      <c r="B1004" s="237">
        <f>ROW(950:950)</f>
        <v>950</v>
      </c>
      <c r="C1004" s="49">
        <f>C1000+1</f>
        <v>45637</v>
      </c>
      <c r="D1004" s="29">
        <f>DAY(Dati[[#This Row],[Data]])</f>
        <v>11</v>
      </c>
      <c r="E1004" s="29" t="str">
        <f>IF(DAY(Data!$C$21:$C$1327)&gt;0,TEXT(Data!$C$21:$C$1327, "mmmm"),"")</f>
        <v>dicembre</v>
      </c>
      <c r="F1004" s="29" t="str">
        <f>IF(DAY(Data!$C$21:$C$1327)&gt;0,TEXT(Data!$C$21:$C$1327, "aaaa"),"")</f>
        <v>2024</v>
      </c>
      <c r="I1004" t="str">
        <f>IF(OR(H1004=$B$5,H1004=$B$6,H1004=$B$7,H1004=$B$8,H1004=$B$9,H1004=$B$10,H1004=$B$11,H1004=$B$12,H1004=$B$13,H1004=$B$14),SottocategorieUscite[[#Headers],[Fuori Casa]],IF(OR(H1004=$C$5,H1004=$C$6,H1004=$C$7,H1004=$C$8,H1004=$C$9,H1004=$C$10,H1004=$C$11,H1004=$C$12,H1004=$C$13,H1004=$C$14),SottocategorieUscite[[#Headers],[Varie Uscite]],IF(OR(H1004=$D$5,H1004=$D$6,H1004=$D$7,H1004=$D$8,H1004=$D$9,H1004=$D$10,H1004=$D$11,H1004=$D$12,H1004=$D$13,H1004=$D$14),SottocategorieUscite[[#Headers],[Personali]],IF(OR(H1004=$E$5,H1004=$E$6,H1004=$E$7,H1004=$E$8,H1004=$E$9,H1004=$E$10,H1004=$E$11,H1004=$E$12,H1004=$E$13,H1004=$E$14),SottocategorieUscite[[#Headers],[Lavoro]],IF(OR(H1004=$F$5,H1004=$F$6,H1004=$F$7,H1004=$F$8,H1004=$F$9,H1004=$F$10,H1004=$F$11,H1004=$F$12,H1004=$F$13,H1004=$F$14),SottocategorieUscite[[#Headers],[Casa]],IF(OR(H1004=$G$5,H1004=$G$6,H1004=$G$7,H1004=$G$8,H1004=$G$9,H1004=$G$10,H1004=$G$11,H1004=$G$12,H1004=$G$13,H1004=$G$14),SottocategorieUscite[[#Headers],[Utenze]],IF(OR(H1004=$H$5,H1004=$H$6,H1004=$H$7,H1004=$H$8,H1004=$H$9,H1004=$H$10,H1004=$H$11,H1004=$H$12,H1004=$H$13,H1004=$H$14),SottocategorieUscite[[#Headers],[Business Uscite]],IF(OR(H1004=$I$5,H1004=$I$6,H1004=$I$7,H1004=$I$8,H1004=$I$9,H1004=$I$10,H1004=$I$11,H1004=$I$12,H1004=$I$13,H1004=$I$14),SottocategorieUscite[[#Headers],[Banca]],IF(OR(H1004=K$5,H1004=K$6,H1004=K$7,H1004=K$8,H1004=K$9,H1004=K$10,H1004=K$11,H1004=K$12,H1004=K$13,H1004=K$14),SottocategorieEntrate[[#Headers],[Business Entrate]],IF(OR(H1004=L$5,H1004=L$6,H1004=L$7,H1004=L$8,H1004=L$9,H1004=L$10,H1004=L$11,H1004=L$12,H1004=L$13,H1004=L$14),SottocategorieEntrate[[#Headers],[Varie Entrate]],IF(OR(H1004=M$5,H1004=M$6,H1004=M$7,H1004=M$8,H1004=M$9,H1004=M$10,H1004=M$11,H1004=M$12,H1004=M$13,H1004=M$14),SottocategorieEntrate[[#Headers],[Real Estate]],IF(OR(H1004=N$5,H1004=N$6,H1004=N$7,H1004=N$8,H1004=N$9,H1004=N$10,H1004=N$11,H1004=N$12,H1004=N$13,H1004=N$14),SottocategorieEntrate[[#Headers],[Other]],""))))))))))))</f>
        <v/>
      </c>
      <c r="J1004" t="str">
        <f>IF(OR(Dati[[#This Row],[Categoria]]="Bollette",Dati[[#This Row],[Categoria]]="Conto &amp; Carte BNL",Dati[[#This Row],[Categoria]]="Prelievo",Dati[[#This Row],[Categoria]]="Affitto",Dati[[#This Row],[Categoria]]="BNL(Interessi Creditori)"),"Carta",IF(Dati[[#This Row],[Categoria]]&lt;&gt;0,"Cash",""))</f>
        <v/>
      </c>
      <c r="K1004" s="59" t="str">
        <f>IF(OR(Data!$I1004=SottocategorieUscite[[#Headers],[Fuori Casa]],Data!$I1004=SottocategorieUscite[[#Headers],[Varie Uscite]],Data!$I1004=SottocategorieUscite[[#Headers],[Personali]],Data!$I1004=SottocategorieUscite[[#Headers],[Lavoro]]),"$ -","")</f>
        <v/>
      </c>
      <c r="L1004" s="59" t="str">
        <f>IF(OR(Data!$I1004=SottocategorieUscite[[#Headers],[Casa]],Data!$I1004=SottocategorieUscite[[#Headers],[Utenze]],Data!$I1004=SottocategorieUscite[[#Headers],[Business Uscite]],Data!$I1004=SottocategorieUscite[[#Headers],[Banca]]),"$ -","")</f>
        <v/>
      </c>
      <c r="M1004" s="59" t="str">
        <f>IF(OR($I1004&lt;&gt;SottocategorieUscite[[#Headers],[Fuori Casa]],$I1004&lt;&gt;SottocategorieUscite[[#Headers],[Varie Uscite]],$I1004&lt;&gt;SottocategorieUscite[[#Headers],[Personali]],$I1004&lt;&gt;SottocategorieUscite[[#Headers],[Lavoro]],$I1004&lt;&gt;SottocategorieUscite[[#Headers],[Casa]],$I1004&lt;&gt;SottocategorieUscite[[#Headers],[Utenze]],$I1004&lt;&gt;SottocategorieUscite[[#Headers],[Business Uscite]],$I1004&lt;&gt;SottocategorieUscite[[#Headers],[Banca]]),"","$ -")</f>
        <v/>
      </c>
      <c r="N1004" s="59" t="str">
        <f>IF(OR(Data!$I1004=SottocategorieEntrate[[#Headers],[Business Entrate]],Data!$I1004=SottocategorieEntrate[[#Headers],[Varie Entrate]]),"$ -","")</f>
        <v/>
      </c>
      <c r="O1004" s="59" t="str">
        <f>IF(OR(Data!$I1004=SottocategorieEntrate[[#Headers],[Real Estate]],SottocategorieEntrate[[#Headers],[Other]]),"$ -","")</f>
        <v/>
      </c>
      <c r="P1004" s="59" t="str">
        <f>IF(OR($I1004&lt;&gt;SottocategorieEntrate[[#Headers],[Business Entrate]],$I1004&lt;&gt;SottocategorieEntrate[[#Headers],[Varie Entrate]],$I1004&lt;&gt;SottocategorieEntrate[[#Headers],[Real Estate]],$I1004&lt;&gt;SottocategorieEntrate[[#Headers],[Other]]),"","$ -")</f>
        <v/>
      </c>
      <c r="Q1004" s="59" t="str">
        <f>IF(Dati[[#This Row],[Categoria]]="Prelievo","€ -","")</f>
        <v/>
      </c>
      <c r="R1004" s="244"/>
      <c r="S1004" s="59" t="str">
        <f>IF(Dati[[#This Row],[Categoria]]="Savings",0,"")</f>
        <v/>
      </c>
      <c r="T1004" s="59"/>
      <c r="U1004" s="59"/>
      <c r="V1004" s="59"/>
      <c r="W1004" s="59"/>
      <c r="X1004" s="59"/>
      <c r="Y1004" s="59"/>
      <c r="Z1004" s="59"/>
      <c r="AA1004" s="59"/>
      <c r="AB1004" s="59"/>
      <c r="AC1004" s="59"/>
      <c r="AD1004" s="59"/>
      <c r="AE1004" s="59"/>
      <c r="AF1004" s="59"/>
      <c r="AG1004" s="59"/>
      <c r="AH1004" s="59"/>
      <c r="AI1004" s="59" t="str">
        <f>IF(SUM(Dati[[#This Row],[Inv. Business]:[Inv. Cryptocurrency]])=0," ",SUM(Dati[[#This Row],[Inv. Business]:[Inv. Cryptocurrency]]))</f>
        <v xml:space="preserve"> </v>
      </c>
      <c r="AJ1004" s="59"/>
      <c r="AK1004" s="59"/>
      <c r="AL1004" s="59"/>
      <c r="AM1004" s="59"/>
    </row>
    <row r="1005" spans="2:39" x14ac:dyDescent="0.35">
      <c r="B1005" s="237">
        <f>ROW(953:953)</f>
        <v>953</v>
      </c>
      <c r="C1005" s="49">
        <f>C1003+1</f>
        <v>45637</v>
      </c>
      <c r="D1005" s="29">
        <f>DAY(Dati[[#This Row],[Data]])</f>
        <v>11</v>
      </c>
      <c r="E1005" s="29" t="str">
        <f>IF(DAY(Data!$C$21:$C$1327)&gt;0,TEXT(Data!$C$21:$C$1327, "mmmm"),"")</f>
        <v>dicembre</v>
      </c>
      <c r="F1005" s="29" t="str">
        <f>IF(DAY(Data!$C$21:$C$1327)&gt;0,TEXT(Data!$C$21:$C$1327, "aaaa"),"")</f>
        <v>2024</v>
      </c>
      <c r="I1005" t="str">
        <f>IF(OR(H1005=$B$5,H1005=$B$6,H1005=$B$7,H1005=$B$8,H1005=$B$9,H1005=$B$10,H1005=$B$11,H1005=$B$12,H1005=$B$13,H1005=$B$14),SottocategorieUscite[[#Headers],[Fuori Casa]],IF(OR(H1005=$C$5,H1005=$C$6,H1005=$C$7,H1005=$C$8,H1005=$C$9,H1005=$C$10,H1005=$C$11,H1005=$C$12,H1005=$C$13,H1005=$C$14),SottocategorieUscite[[#Headers],[Varie Uscite]],IF(OR(H1005=$D$5,H1005=$D$6,H1005=$D$7,H1005=$D$8,H1005=$D$9,H1005=$D$10,H1005=$D$11,H1005=$D$12,H1005=$D$13,H1005=$D$14),SottocategorieUscite[[#Headers],[Personali]],IF(OR(H1005=$E$5,H1005=$E$6,H1005=$E$7,H1005=$E$8,H1005=$E$9,H1005=$E$10,H1005=$E$11,H1005=$E$12,H1005=$E$13,H1005=$E$14),SottocategorieUscite[[#Headers],[Lavoro]],IF(OR(H1005=$F$5,H1005=$F$6,H1005=$F$7,H1005=$F$8,H1005=$F$9,H1005=$F$10,H1005=$F$11,H1005=$F$12,H1005=$F$13,H1005=$F$14),SottocategorieUscite[[#Headers],[Casa]],IF(OR(H1005=$G$5,H1005=$G$6,H1005=$G$7,H1005=$G$8,H1005=$G$9,H1005=$G$10,H1005=$G$11,H1005=$G$12,H1005=$G$13,H1005=$G$14),SottocategorieUscite[[#Headers],[Utenze]],IF(OR(H1005=$H$5,H1005=$H$6,H1005=$H$7,H1005=$H$8,H1005=$H$9,H1005=$H$10,H1005=$H$11,H1005=$H$12,H1005=$H$13,H1005=$H$14),SottocategorieUscite[[#Headers],[Business Uscite]],IF(OR(H1005=$I$5,H1005=$I$6,H1005=$I$7,H1005=$I$8,H1005=$I$9,H1005=$I$10,H1005=$I$11,H1005=$I$12,H1005=$I$13,H1005=$I$14),SottocategorieUscite[[#Headers],[Banca]],IF(OR(H1005=K$5,H1005=K$6,H1005=K$7,H1005=K$8,H1005=K$9,H1005=K$10,H1005=K$11,H1005=K$12,H1005=K$13,H1005=K$14),SottocategorieEntrate[[#Headers],[Business Entrate]],IF(OR(H1005=L$5,H1005=L$6,H1005=L$7,H1005=L$8,H1005=L$9,H1005=L$10,H1005=L$11,H1005=L$12,H1005=L$13,H1005=L$14),SottocategorieEntrate[[#Headers],[Varie Entrate]],IF(OR(H1005=M$5,H1005=M$6,H1005=M$7,H1005=M$8,H1005=M$9,H1005=M$10,H1005=M$11,H1005=M$12,H1005=M$13,H1005=M$14),SottocategorieEntrate[[#Headers],[Real Estate]],IF(OR(H1005=N$5,H1005=N$6,H1005=N$7,H1005=N$8,H1005=N$9,H1005=N$10,H1005=N$11,H1005=N$12,H1005=N$13,H1005=N$14),SottocategorieEntrate[[#Headers],[Other]],""))))))))))))</f>
        <v/>
      </c>
      <c r="J1005" t="str">
        <f>IF(OR(Dati[[#This Row],[Categoria]]="Bollette",Dati[[#This Row],[Categoria]]="Conto &amp; Carte BNL",Dati[[#This Row],[Categoria]]="Prelievo",Dati[[#This Row],[Categoria]]="Affitto",Dati[[#This Row],[Categoria]]="BNL(Interessi Creditori)"),"Carta",IF(Dati[[#This Row],[Categoria]]&lt;&gt;0,"Cash",""))</f>
        <v/>
      </c>
      <c r="K1005" s="59" t="str">
        <f>IF(OR(Data!$I1005=SottocategorieUscite[[#Headers],[Fuori Casa]],Data!$I1005=SottocategorieUscite[[#Headers],[Varie Uscite]],Data!$I1005=SottocategorieUscite[[#Headers],[Personali]],Data!$I1005=SottocategorieUscite[[#Headers],[Lavoro]]),"$ -","")</f>
        <v/>
      </c>
      <c r="L1005" s="59" t="str">
        <f>IF(OR(Data!$I1005=SottocategorieUscite[[#Headers],[Casa]],Data!$I1005=SottocategorieUscite[[#Headers],[Utenze]],Data!$I1005=SottocategorieUscite[[#Headers],[Business Uscite]],Data!$I1005=SottocategorieUscite[[#Headers],[Banca]]),"$ -","")</f>
        <v/>
      </c>
      <c r="M1005" s="59" t="str">
        <f>IF(OR($I1005&lt;&gt;SottocategorieUscite[[#Headers],[Fuori Casa]],$I1005&lt;&gt;SottocategorieUscite[[#Headers],[Varie Uscite]],$I1005&lt;&gt;SottocategorieUscite[[#Headers],[Personali]],$I1005&lt;&gt;SottocategorieUscite[[#Headers],[Lavoro]],$I1005&lt;&gt;SottocategorieUscite[[#Headers],[Casa]],$I1005&lt;&gt;SottocategorieUscite[[#Headers],[Utenze]],$I1005&lt;&gt;SottocategorieUscite[[#Headers],[Business Uscite]],$I1005&lt;&gt;SottocategorieUscite[[#Headers],[Banca]]),"","$ -")</f>
        <v/>
      </c>
      <c r="N1005" s="59" t="str">
        <f>IF(OR(Data!$I1005=SottocategorieEntrate[[#Headers],[Business Entrate]],Data!$I1005=SottocategorieEntrate[[#Headers],[Varie Entrate]]),"$ -","")</f>
        <v/>
      </c>
      <c r="O1005" s="59" t="str">
        <f>IF(OR(Data!$I1005=SottocategorieEntrate[[#Headers],[Real Estate]],SottocategorieEntrate[[#Headers],[Other]]),"$ -","")</f>
        <v/>
      </c>
      <c r="P1005" s="59" t="str">
        <f>IF(OR($I1005&lt;&gt;SottocategorieEntrate[[#Headers],[Business Entrate]],$I1005&lt;&gt;SottocategorieEntrate[[#Headers],[Varie Entrate]],$I1005&lt;&gt;SottocategorieEntrate[[#Headers],[Real Estate]],$I1005&lt;&gt;SottocategorieEntrate[[#Headers],[Other]]),"","$ -")</f>
        <v/>
      </c>
      <c r="Q1005" s="59" t="str">
        <f>IF(Dati[[#This Row],[Categoria]]="Prelievo","€ -","")</f>
        <v/>
      </c>
      <c r="R1005" s="244"/>
      <c r="S1005" s="59" t="str">
        <f>IF(Dati[[#This Row],[Categoria]]="Savings",0,"")</f>
        <v/>
      </c>
      <c r="T1005" s="59"/>
      <c r="U1005" s="59"/>
      <c r="V1005" s="59"/>
      <c r="W1005" s="59"/>
      <c r="X1005" s="59"/>
      <c r="Y1005" s="59"/>
      <c r="Z1005" s="59"/>
      <c r="AA1005" s="59"/>
      <c r="AB1005" s="59"/>
      <c r="AC1005" s="59"/>
      <c r="AD1005" s="59"/>
      <c r="AE1005" s="59"/>
      <c r="AF1005" s="59"/>
      <c r="AG1005" s="59"/>
      <c r="AH1005" s="59"/>
      <c r="AI1005" s="59" t="str">
        <f>IF(SUM(Dati[[#This Row],[Inv. Business]:[Inv. Cryptocurrency]])=0," ",SUM(Dati[[#This Row],[Inv. Business]:[Inv. Cryptocurrency]]))</f>
        <v xml:space="preserve"> </v>
      </c>
      <c r="AJ1005" s="59"/>
      <c r="AK1005" s="59"/>
      <c r="AL1005" s="59"/>
      <c r="AM1005" s="59"/>
    </row>
    <row r="1006" spans="2:39" x14ac:dyDescent="0.35">
      <c r="B1006" s="237">
        <f>ROW(954:954)</f>
        <v>954</v>
      </c>
      <c r="C1006" s="49">
        <f>C1004+1</f>
        <v>45638</v>
      </c>
      <c r="D1006" s="29">
        <f>DAY(Dati[[#This Row],[Data]])</f>
        <v>12</v>
      </c>
      <c r="E1006" s="29" t="str">
        <f>IF(DAY(Data!$C$21:$C$1327)&gt;0,TEXT(Data!$C$21:$C$1327, "mmmm"),"")</f>
        <v>dicembre</v>
      </c>
      <c r="F1006" s="29" t="str">
        <f>IF(DAY(Data!$C$21:$C$1327)&gt;0,TEXT(Data!$C$21:$C$1327, "aaaa"),"")</f>
        <v>2024</v>
      </c>
      <c r="I1006" t="str">
        <f>IF(OR(H1006=$B$5,H1006=$B$6,H1006=$B$7,H1006=$B$8,H1006=$B$9,H1006=$B$10,H1006=$B$11,H1006=$B$12,H1006=$B$13,H1006=$B$14),SottocategorieUscite[[#Headers],[Fuori Casa]],IF(OR(H1006=$C$5,H1006=$C$6,H1006=$C$7,H1006=$C$8,H1006=$C$9,H1006=$C$10,H1006=$C$11,H1006=$C$12,H1006=$C$13,H1006=$C$14),SottocategorieUscite[[#Headers],[Varie Uscite]],IF(OR(H1006=$D$5,H1006=$D$6,H1006=$D$7,H1006=$D$8,H1006=$D$9,H1006=$D$10,H1006=$D$11,H1006=$D$12,H1006=$D$13,H1006=$D$14),SottocategorieUscite[[#Headers],[Personali]],IF(OR(H1006=$E$5,H1006=$E$6,H1006=$E$7,H1006=$E$8,H1006=$E$9,H1006=$E$10,H1006=$E$11,H1006=$E$12,H1006=$E$13,H1006=$E$14),SottocategorieUscite[[#Headers],[Lavoro]],IF(OR(H1006=$F$5,H1006=$F$6,H1006=$F$7,H1006=$F$8,H1006=$F$9,H1006=$F$10,H1006=$F$11,H1006=$F$12,H1006=$F$13,H1006=$F$14),SottocategorieUscite[[#Headers],[Casa]],IF(OR(H1006=$G$5,H1006=$G$6,H1006=$G$7,H1006=$G$8,H1006=$G$9,H1006=$G$10,H1006=$G$11,H1006=$G$12,H1006=$G$13,H1006=$G$14),SottocategorieUscite[[#Headers],[Utenze]],IF(OR(H1006=$H$5,H1006=$H$6,H1006=$H$7,H1006=$H$8,H1006=$H$9,H1006=$H$10,H1006=$H$11,H1006=$H$12,H1006=$H$13,H1006=$H$14),SottocategorieUscite[[#Headers],[Business Uscite]],IF(OR(H1006=$I$5,H1006=$I$6,H1006=$I$7,H1006=$I$8,H1006=$I$9,H1006=$I$10,H1006=$I$11,H1006=$I$12,H1006=$I$13,H1006=$I$14),SottocategorieUscite[[#Headers],[Banca]],IF(OR(H1006=K$5,H1006=K$6,H1006=K$7,H1006=K$8,H1006=K$9,H1006=K$10,H1006=K$11,H1006=K$12,H1006=K$13,H1006=K$14),SottocategorieEntrate[[#Headers],[Business Entrate]],IF(OR(H1006=L$5,H1006=L$6,H1006=L$7,H1006=L$8,H1006=L$9,H1006=L$10,H1006=L$11,H1006=L$12,H1006=L$13,H1006=L$14),SottocategorieEntrate[[#Headers],[Varie Entrate]],IF(OR(H1006=M$5,H1006=M$6,H1006=M$7,H1006=M$8,H1006=M$9,H1006=M$10,H1006=M$11,H1006=M$12,H1006=M$13,H1006=M$14),SottocategorieEntrate[[#Headers],[Real Estate]],IF(OR(H1006=N$5,H1006=N$6,H1006=N$7,H1006=N$8,H1006=N$9,H1006=N$10,H1006=N$11,H1006=N$12,H1006=N$13,H1006=N$14),SottocategorieEntrate[[#Headers],[Other]],""))))))))))))</f>
        <v/>
      </c>
      <c r="J1006" t="str">
        <f>IF(OR(Dati[[#This Row],[Categoria]]="Bollette",Dati[[#This Row],[Categoria]]="Conto &amp; Carte BNL",Dati[[#This Row],[Categoria]]="Prelievo",Dati[[#This Row],[Categoria]]="Affitto",Dati[[#This Row],[Categoria]]="BNL(Interessi Creditori)"),"Carta",IF(Dati[[#This Row],[Categoria]]&lt;&gt;0,"Cash",""))</f>
        <v/>
      </c>
      <c r="K1006" s="59" t="str">
        <f>IF(OR(Data!$I1006=SottocategorieUscite[[#Headers],[Fuori Casa]],Data!$I1006=SottocategorieUscite[[#Headers],[Varie Uscite]],Data!$I1006=SottocategorieUscite[[#Headers],[Personali]],Data!$I1006=SottocategorieUscite[[#Headers],[Lavoro]]),"$ -","")</f>
        <v/>
      </c>
      <c r="L1006" s="59" t="str">
        <f>IF(OR(Data!$I1006=SottocategorieUscite[[#Headers],[Casa]],Data!$I1006=SottocategorieUscite[[#Headers],[Utenze]],Data!$I1006=SottocategorieUscite[[#Headers],[Business Uscite]],Data!$I1006=SottocategorieUscite[[#Headers],[Banca]]),"$ -","")</f>
        <v/>
      </c>
      <c r="M1006" s="59" t="str">
        <f>IF(OR($I1006&lt;&gt;SottocategorieUscite[[#Headers],[Fuori Casa]],$I1006&lt;&gt;SottocategorieUscite[[#Headers],[Varie Uscite]],$I1006&lt;&gt;SottocategorieUscite[[#Headers],[Personali]],$I1006&lt;&gt;SottocategorieUscite[[#Headers],[Lavoro]],$I1006&lt;&gt;SottocategorieUscite[[#Headers],[Casa]],$I1006&lt;&gt;SottocategorieUscite[[#Headers],[Utenze]],$I1006&lt;&gt;SottocategorieUscite[[#Headers],[Business Uscite]],$I1006&lt;&gt;SottocategorieUscite[[#Headers],[Banca]]),"","$ -")</f>
        <v/>
      </c>
      <c r="N1006" s="59" t="str">
        <f>IF(OR(Data!$I1006=SottocategorieEntrate[[#Headers],[Business Entrate]],Data!$I1006=SottocategorieEntrate[[#Headers],[Varie Entrate]]),"$ -","")</f>
        <v/>
      </c>
      <c r="O1006" s="59" t="str">
        <f>IF(OR(Data!$I1006=SottocategorieEntrate[[#Headers],[Real Estate]],SottocategorieEntrate[[#Headers],[Other]]),"$ -","")</f>
        <v/>
      </c>
      <c r="P1006" s="59" t="str">
        <f>IF(OR($I1006&lt;&gt;SottocategorieEntrate[[#Headers],[Business Entrate]],$I1006&lt;&gt;SottocategorieEntrate[[#Headers],[Varie Entrate]],$I1006&lt;&gt;SottocategorieEntrate[[#Headers],[Real Estate]],$I1006&lt;&gt;SottocategorieEntrate[[#Headers],[Other]]),"","$ -")</f>
        <v/>
      </c>
      <c r="Q1006" s="59" t="str">
        <f>IF(Dati[[#This Row],[Categoria]]="Prelievo","€ -","")</f>
        <v/>
      </c>
      <c r="R1006" s="244"/>
      <c r="S1006" s="59" t="str">
        <f>IF(Dati[[#This Row],[Categoria]]="Savings",0,"")</f>
        <v/>
      </c>
      <c r="T1006" s="59"/>
      <c r="U1006" s="59"/>
      <c r="V1006" s="59"/>
      <c r="W1006" s="59"/>
      <c r="X1006" s="59"/>
      <c r="Y1006" s="59"/>
      <c r="Z1006" s="59"/>
      <c r="AA1006" s="59"/>
      <c r="AB1006" s="59"/>
      <c r="AC1006" s="59"/>
      <c r="AD1006" s="59"/>
      <c r="AE1006" s="59"/>
      <c r="AF1006" s="59"/>
      <c r="AG1006" s="59"/>
      <c r="AH1006" s="59"/>
      <c r="AI1006" s="59" t="str">
        <f>IF(SUM(Dati[[#This Row],[Inv. Business]:[Inv. Cryptocurrency]])=0," ",SUM(Dati[[#This Row],[Inv. Business]:[Inv. Cryptocurrency]]))</f>
        <v xml:space="preserve"> </v>
      </c>
      <c r="AJ1006" s="59"/>
      <c r="AK1006" s="59"/>
      <c r="AL1006" s="59"/>
      <c r="AM1006" s="59"/>
    </row>
    <row r="1007" spans="2:39" x14ac:dyDescent="0.35">
      <c r="B1007" s="237">
        <f>ROW(958:958)</f>
        <v>958</v>
      </c>
      <c r="C1007" s="49">
        <f t="shared" si="53"/>
        <v>45639</v>
      </c>
      <c r="D1007" s="29">
        <f>DAY(Dati[[#This Row],[Data]])</f>
        <v>13</v>
      </c>
      <c r="E1007" s="29" t="str">
        <f>IF(DAY(Data!$C$21:$C$1327)&gt;0,TEXT(Data!$C$21:$C$1327, "mmmm"),"")</f>
        <v>dicembre</v>
      </c>
      <c r="F1007" s="29" t="str">
        <f>IF(DAY(Data!$C$21:$C$1327)&gt;0,TEXT(Data!$C$21:$C$1327, "aaaa"),"")</f>
        <v>2024</v>
      </c>
      <c r="I1007" t="str">
        <f>IF(OR(H1007=$B$5,H1007=$B$6,H1007=$B$7,H1007=$B$8,H1007=$B$9,H1007=$B$10,H1007=$B$11,H1007=$B$12,H1007=$B$13,H1007=$B$14),SottocategorieUscite[[#Headers],[Fuori Casa]],IF(OR(H1007=$C$5,H1007=$C$6,H1007=$C$7,H1007=$C$8,H1007=$C$9,H1007=$C$10,H1007=$C$11,H1007=$C$12,H1007=$C$13,H1007=$C$14),SottocategorieUscite[[#Headers],[Varie Uscite]],IF(OR(H1007=$D$5,H1007=$D$6,H1007=$D$7,H1007=$D$8,H1007=$D$9,H1007=$D$10,H1007=$D$11,H1007=$D$12,H1007=$D$13,H1007=$D$14),SottocategorieUscite[[#Headers],[Personali]],IF(OR(H1007=$E$5,H1007=$E$6,H1007=$E$7,H1007=$E$8,H1007=$E$9,H1007=$E$10,H1007=$E$11,H1007=$E$12,H1007=$E$13,H1007=$E$14),SottocategorieUscite[[#Headers],[Lavoro]],IF(OR(H1007=$F$5,H1007=$F$6,H1007=$F$7,H1007=$F$8,H1007=$F$9,H1007=$F$10,H1007=$F$11,H1007=$F$12,H1007=$F$13,H1007=$F$14),SottocategorieUscite[[#Headers],[Casa]],IF(OR(H1007=$G$5,H1007=$G$6,H1007=$G$7,H1007=$G$8,H1007=$G$9,H1007=$G$10,H1007=$G$11,H1007=$G$12,H1007=$G$13,H1007=$G$14),SottocategorieUscite[[#Headers],[Utenze]],IF(OR(H1007=$H$5,H1007=$H$6,H1007=$H$7,H1007=$H$8,H1007=$H$9,H1007=$H$10,H1007=$H$11,H1007=$H$12,H1007=$H$13,H1007=$H$14),SottocategorieUscite[[#Headers],[Business Uscite]],IF(OR(H1007=$I$5,H1007=$I$6,H1007=$I$7,H1007=$I$8,H1007=$I$9,H1007=$I$10,H1007=$I$11,H1007=$I$12,H1007=$I$13,H1007=$I$14),SottocategorieUscite[[#Headers],[Banca]],IF(OR(H1007=K$5,H1007=K$6,H1007=K$7,H1007=K$8,H1007=K$9,H1007=K$10,H1007=K$11,H1007=K$12,H1007=K$13,H1007=K$14),SottocategorieEntrate[[#Headers],[Business Entrate]],IF(OR(H1007=L$5,H1007=L$6,H1007=L$7,H1007=L$8,H1007=L$9,H1007=L$10,H1007=L$11,H1007=L$12,H1007=L$13,H1007=L$14),SottocategorieEntrate[[#Headers],[Varie Entrate]],IF(OR(H1007=M$5,H1007=M$6,H1007=M$7,H1007=M$8,H1007=M$9,H1007=M$10,H1007=M$11,H1007=M$12,H1007=M$13,H1007=M$14),SottocategorieEntrate[[#Headers],[Real Estate]],IF(OR(H1007=N$5,H1007=N$6,H1007=N$7,H1007=N$8,H1007=N$9,H1007=N$10,H1007=N$11,H1007=N$12,H1007=N$13,H1007=N$14),SottocategorieEntrate[[#Headers],[Other]],""))))))))))))</f>
        <v/>
      </c>
      <c r="J1007" t="str">
        <f>IF(OR(Dati[[#This Row],[Categoria]]="Bollette",Dati[[#This Row],[Categoria]]="Conto &amp; Carte BNL",Dati[[#This Row],[Categoria]]="Prelievo",Dati[[#This Row],[Categoria]]="Affitto",Dati[[#This Row],[Categoria]]="BNL(Interessi Creditori)"),"Carta",IF(Dati[[#This Row],[Categoria]]&lt;&gt;0,"Cash",""))</f>
        <v/>
      </c>
      <c r="K1007" s="59" t="str">
        <f>IF(OR(Data!$I1007=SottocategorieUscite[[#Headers],[Fuori Casa]],Data!$I1007=SottocategorieUscite[[#Headers],[Varie Uscite]],Data!$I1007=SottocategorieUscite[[#Headers],[Personali]],Data!$I1007=SottocategorieUscite[[#Headers],[Lavoro]]),"$ -","")</f>
        <v/>
      </c>
      <c r="L1007" s="59" t="str">
        <f>IF(OR(Data!$I1007=SottocategorieUscite[[#Headers],[Casa]],Data!$I1007=SottocategorieUscite[[#Headers],[Utenze]],Data!$I1007=SottocategorieUscite[[#Headers],[Business Uscite]],Data!$I1007=SottocategorieUscite[[#Headers],[Banca]]),"$ -","")</f>
        <v/>
      </c>
      <c r="M1007" s="59" t="str">
        <f>IF(OR($I1007&lt;&gt;SottocategorieUscite[[#Headers],[Fuori Casa]],$I1007&lt;&gt;SottocategorieUscite[[#Headers],[Varie Uscite]],$I1007&lt;&gt;SottocategorieUscite[[#Headers],[Personali]],$I1007&lt;&gt;SottocategorieUscite[[#Headers],[Lavoro]],$I1007&lt;&gt;SottocategorieUscite[[#Headers],[Casa]],$I1007&lt;&gt;SottocategorieUscite[[#Headers],[Utenze]],$I1007&lt;&gt;SottocategorieUscite[[#Headers],[Business Uscite]],$I1007&lt;&gt;SottocategorieUscite[[#Headers],[Banca]]),"","$ -")</f>
        <v/>
      </c>
      <c r="N1007" s="59" t="str">
        <f>IF(OR(Data!$I1007=SottocategorieEntrate[[#Headers],[Business Entrate]],Data!$I1007=SottocategorieEntrate[[#Headers],[Varie Entrate]]),"$ -","")</f>
        <v/>
      </c>
      <c r="O1007" s="59" t="str">
        <f>IF(OR(Data!$I1007=SottocategorieEntrate[[#Headers],[Real Estate]],SottocategorieEntrate[[#Headers],[Other]]),"$ -","")</f>
        <v/>
      </c>
      <c r="P1007" s="59" t="str">
        <f>IF(OR($I1007&lt;&gt;SottocategorieEntrate[[#Headers],[Business Entrate]],$I1007&lt;&gt;SottocategorieEntrate[[#Headers],[Varie Entrate]],$I1007&lt;&gt;SottocategorieEntrate[[#Headers],[Real Estate]],$I1007&lt;&gt;SottocategorieEntrate[[#Headers],[Other]]),"","$ -")</f>
        <v/>
      </c>
      <c r="Q1007" s="59" t="str">
        <f>IF(Dati[[#This Row],[Categoria]]="Prelievo","€ -","")</f>
        <v/>
      </c>
      <c r="R1007" s="244"/>
      <c r="S1007" s="59" t="str">
        <f>IF(Dati[[#This Row],[Categoria]]="Savings",0,"")</f>
        <v/>
      </c>
      <c r="T1007" s="59"/>
      <c r="U1007" s="59"/>
      <c r="V1007" s="59"/>
      <c r="W1007" s="59"/>
      <c r="X1007" s="59"/>
      <c r="Y1007" s="59"/>
      <c r="Z1007" s="59"/>
      <c r="AA1007" s="59"/>
      <c r="AB1007" s="59"/>
      <c r="AC1007" s="59"/>
      <c r="AD1007" s="59"/>
      <c r="AE1007" s="59"/>
      <c r="AF1007" s="59"/>
      <c r="AG1007" s="59"/>
      <c r="AH1007" s="59"/>
      <c r="AI1007" s="59" t="str">
        <f>IF(SUM(Dati[[#This Row],[Inv. Business]:[Inv. Cryptocurrency]])=0," ",SUM(Dati[[#This Row],[Inv. Business]:[Inv. Cryptocurrency]]))</f>
        <v xml:space="preserve"> </v>
      </c>
      <c r="AJ1007" s="59"/>
      <c r="AK1007" s="59"/>
      <c r="AL1007" s="59"/>
      <c r="AM1007" s="59"/>
    </row>
    <row r="1008" spans="2:39" x14ac:dyDescent="0.35">
      <c r="B1008" s="237">
        <f>ROW(961:961)</f>
        <v>961</v>
      </c>
      <c r="C1008" s="49">
        <f>C1007+1</f>
        <v>45640</v>
      </c>
      <c r="D1008" s="29">
        <f>DAY(Dati[[#This Row],[Data]])</f>
        <v>14</v>
      </c>
      <c r="E1008" s="29" t="str">
        <f>IF(DAY(Data!$C$21:$C$1327)&gt;0,TEXT(Data!$C$21:$C$1327, "mmmm"),"")</f>
        <v>dicembre</v>
      </c>
      <c r="F1008" s="29" t="str">
        <f>IF(DAY(Data!$C$21:$C$1327)&gt;0,TEXT(Data!$C$21:$C$1327, "aaaa"),"")</f>
        <v>2024</v>
      </c>
      <c r="I1008" t="str">
        <f>IF(OR(H1008=$B$5,H1008=$B$6,H1008=$B$7,H1008=$B$8,H1008=$B$9,H1008=$B$10,H1008=$B$11,H1008=$B$12,H1008=$B$13,H1008=$B$14),SottocategorieUscite[[#Headers],[Fuori Casa]],IF(OR(H1008=$C$5,H1008=$C$6,H1008=$C$7,H1008=$C$8,H1008=$C$9,H1008=$C$10,H1008=$C$11,H1008=$C$12,H1008=$C$13,H1008=$C$14),SottocategorieUscite[[#Headers],[Varie Uscite]],IF(OR(H1008=$D$5,H1008=$D$6,H1008=$D$7,H1008=$D$8,H1008=$D$9,H1008=$D$10,H1008=$D$11,H1008=$D$12,H1008=$D$13,H1008=$D$14),SottocategorieUscite[[#Headers],[Personali]],IF(OR(H1008=$E$5,H1008=$E$6,H1008=$E$7,H1008=$E$8,H1008=$E$9,H1008=$E$10,H1008=$E$11,H1008=$E$12,H1008=$E$13,H1008=$E$14),SottocategorieUscite[[#Headers],[Lavoro]],IF(OR(H1008=$F$5,H1008=$F$6,H1008=$F$7,H1008=$F$8,H1008=$F$9,H1008=$F$10,H1008=$F$11,H1008=$F$12,H1008=$F$13,H1008=$F$14),SottocategorieUscite[[#Headers],[Casa]],IF(OR(H1008=$G$5,H1008=$G$6,H1008=$G$7,H1008=$G$8,H1008=$G$9,H1008=$G$10,H1008=$G$11,H1008=$G$12,H1008=$G$13,H1008=$G$14),SottocategorieUscite[[#Headers],[Utenze]],IF(OR(H1008=$H$5,H1008=$H$6,H1008=$H$7,H1008=$H$8,H1008=$H$9,H1008=$H$10,H1008=$H$11,H1008=$H$12,H1008=$H$13,H1008=$H$14),SottocategorieUscite[[#Headers],[Business Uscite]],IF(OR(H1008=$I$5,H1008=$I$6,H1008=$I$7,H1008=$I$8,H1008=$I$9,H1008=$I$10,H1008=$I$11,H1008=$I$12,H1008=$I$13,H1008=$I$14),SottocategorieUscite[[#Headers],[Banca]],IF(OR(H1008=K$5,H1008=K$6,H1008=K$7,H1008=K$8,H1008=K$9,H1008=K$10,H1008=K$11,H1008=K$12,H1008=K$13,H1008=K$14),SottocategorieEntrate[[#Headers],[Business Entrate]],IF(OR(H1008=L$5,H1008=L$6,H1008=L$7,H1008=L$8,H1008=L$9,H1008=L$10,H1008=L$11,H1008=L$12,H1008=L$13,H1008=L$14),SottocategorieEntrate[[#Headers],[Varie Entrate]],IF(OR(H1008=M$5,H1008=M$6,H1008=M$7,H1008=M$8,H1008=M$9,H1008=M$10,H1008=M$11,H1008=M$12,H1008=M$13,H1008=M$14),SottocategorieEntrate[[#Headers],[Real Estate]],IF(OR(H1008=N$5,H1008=N$6,H1008=N$7,H1008=N$8,H1008=N$9,H1008=N$10,H1008=N$11,H1008=N$12,H1008=N$13,H1008=N$14),SottocategorieEntrate[[#Headers],[Other]],""))))))))))))</f>
        <v/>
      </c>
      <c r="J1008" t="str">
        <f>IF(OR(Dati[[#This Row],[Categoria]]="Bollette",Dati[[#This Row],[Categoria]]="Conto &amp; Carte BNL",Dati[[#This Row],[Categoria]]="Prelievo",Dati[[#This Row],[Categoria]]="Affitto",Dati[[#This Row],[Categoria]]="BNL(Interessi Creditori)"),"Carta",IF(Dati[[#This Row],[Categoria]]&lt;&gt;0,"Cash",""))</f>
        <v/>
      </c>
      <c r="K1008" s="59" t="str">
        <f>IF(OR(Data!$I1008=SottocategorieUscite[[#Headers],[Fuori Casa]],Data!$I1008=SottocategorieUscite[[#Headers],[Varie Uscite]],Data!$I1008=SottocategorieUscite[[#Headers],[Personali]],Data!$I1008=SottocategorieUscite[[#Headers],[Lavoro]]),"$ -","")</f>
        <v/>
      </c>
      <c r="L1008" s="59" t="str">
        <f>IF(OR(Data!$I1008=SottocategorieUscite[[#Headers],[Casa]],Data!$I1008=SottocategorieUscite[[#Headers],[Utenze]],Data!$I1008=SottocategorieUscite[[#Headers],[Business Uscite]],Data!$I1008=SottocategorieUscite[[#Headers],[Banca]]),"$ -","")</f>
        <v/>
      </c>
      <c r="M1008" s="59" t="str">
        <f>IF(OR($I1008&lt;&gt;SottocategorieUscite[[#Headers],[Fuori Casa]],$I1008&lt;&gt;SottocategorieUscite[[#Headers],[Varie Uscite]],$I1008&lt;&gt;SottocategorieUscite[[#Headers],[Personali]],$I1008&lt;&gt;SottocategorieUscite[[#Headers],[Lavoro]],$I1008&lt;&gt;SottocategorieUscite[[#Headers],[Casa]],$I1008&lt;&gt;SottocategorieUscite[[#Headers],[Utenze]],$I1008&lt;&gt;SottocategorieUscite[[#Headers],[Business Uscite]],$I1008&lt;&gt;SottocategorieUscite[[#Headers],[Banca]]),"","$ -")</f>
        <v/>
      </c>
      <c r="N1008" s="59" t="str">
        <f>IF(OR(Data!$I1008=SottocategorieEntrate[[#Headers],[Business Entrate]],Data!$I1008=SottocategorieEntrate[[#Headers],[Varie Entrate]]),"$ -","")</f>
        <v/>
      </c>
      <c r="O1008" s="59" t="str">
        <f>IF(OR(Data!$I1008=SottocategorieEntrate[[#Headers],[Real Estate]],SottocategorieEntrate[[#Headers],[Other]]),"$ -","")</f>
        <v/>
      </c>
      <c r="P1008" s="59" t="str">
        <f>IF(OR($I1008&lt;&gt;SottocategorieEntrate[[#Headers],[Business Entrate]],$I1008&lt;&gt;SottocategorieEntrate[[#Headers],[Varie Entrate]],$I1008&lt;&gt;SottocategorieEntrate[[#Headers],[Real Estate]],$I1008&lt;&gt;SottocategorieEntrate[[#Headers],[Other]]),"","$ -")</f>
        <v/>
      </c>
      <c r="Q1008" s="59" t="str">
        <f>IF(Dati[[#This Row],[Categoria]]="Prelievo","€ -","")</f>
        <v/>
      </c>
      <c r="R1008" s="244"/>
      <c r="S1008" s="59" t="str">
        <f>IF(Dati[[#This Row],[Categoria]]="Savings",0,"")</f>
        <v/>
      </c>
      <c r="T1008" s="59"/>
      <c r="U1008" s="59"/>
      <c r="V1008" s="59"/>
      <c r="W1008" s="59"/>
      <c r="X1008" s="59"/>
      <c r="Y1008" s="59"/>
      <c r="Z1008" s="59"/>
      <c r="AA1008" s="59"/>
      <c r="AB1008" s="59"/>
      <c r="AC1008" s="59"/>
      <c r="AD1008" s="59"/>
      <c r="AE1008" s="59"/>
      <c r="AF1008" s="59"/>
      <c r="AG1008" s="59"/>
      <c r="AH1008" s="59"/>
      <c r="AI1008" s="59" t="str">
        <f>IF(SUM(Dati[[#This Row],[Inv. Business]:[Inv. Cryptocurrency]])=0," ",SUM(Dati[[#This Row],[Inv. Business]:[Inv. Cryptocurrency]]))</f>
        <v xml:space="preserve"> </v>
      </c>
      <c r="AJ1008" s="59"/>
      <c r="AK1008" s="59"/>
      <c r="AL1008" s="59"/>
      <c r="AM1008" s="59"/>
    </row>
    <row r="1009" spans="2:39" x14ac:dyDescent="0.35">
      <c r="B1009" s="237">
        <f>ROW(961:961)</f>
        <v>961</v>
      </c>
      <c r="C1009" s="49">
        <f>C1007+1</f>
        <v>45640</v>
      </c>
      <c r="D1009" s="29">
        <f>DAY(Dati[[#This Row],[Data]])</f>
        <v>14</v>
      </c>
      <c r="E1009" s="29" t="str">
        <f>IF(DAY(Data!$C$21:$C$1327)&gt;0,TEXT(Data!$C$21:$C$1327, "mmmm"),"")</f>
        <v>dicembre</v>
      </c>
      <c r="F1009" s="29" t="str">
        <f>IF(DAY(Data!$C$21:$C$1327)&gt;0,TEXT(Data!$C$21:$C$1327, "aaaa"),"")</f>
        <v>2024</v>
      </c>
      <c r="I1009" t="str">
        <f>IF(OR(H1009=$B$5,H1009=$B$6,H1009=$B$7,H1009=$B$8,H1009=$B$9,H1009=$B$10,H1009=$B$11,H1009=$B$12,H1009=$B$13,H1009=$B$14),SottocategorieUscite[[#Headers],[Fuori Casa]],IF(OR(H1009=$C$5,H1009=$C$6,H1009=$C$7,H1009=$C$8,H1009=$C$9,H1009=$C$10,H1009=$C$11,H1009=$C$12,H1009=$C$13,H1009=$C$14),SottocategorieUscite[[#Headers],[Varie Uscite]],IF(OR(H1009=$D$5,H1009=$D$6,H1009=$D$7,H1009=$D$8,H1009=$D$9,H1009=$D$10,H1009=$D$11,H1009=$D$12,H1009=$D$13,H1009=$D$14),SottocategorieUscite[[#Headers],[Personali]],IF(OR(H1009=$E$5,H1009=$E$6,H1009=$E$7,H1009=$E$8,H1009=$E$9,H1009=$E$10,H1009=$E$11,H1009=$E$12,H1009=$E$13,H1009=$E$14),SottocategorieUscite[[#Headers],[Lavoro]],IF(OR(H1009=$F$5,H1009=$F$6,H1009=$F$7,H1009=$F$8,H1009=$F$9,H1009=$F$10,H1009=$F$11,H1009=$F$12,H1009=$F$13,H1009=$F$14),SottocategorieUscite[[#Headers],[Casa]],IF(OR(H1009=$G$5,H1009=$G$6,H1009=$G$7,H1009=$G$8,H1009=$G$9,H1009=$G$10,H1009=$G$11,H1009=$G$12,H1009=$G$13,H1009=$G$14),SottocategorieUscite[[#Headers],[Utenze]],IF(OR(H1009=$H$5,H1009=$H$6,H1009=$H$7,H1009=$H$8,H1009=$H$9,H1009=$H$10,H1009=$H$11,H1009=$H$12,H1009=$H$13,H1009=$H$14),SottocategorieUscite[[#Headers],[Business Uscite]],IF(OR(H1009=$I$5,H1009=$I$6,H1009=$I$7,H1009=$I$8,H1009=$I$9,H1009=$I$10,H1009=$I$11,H1009=$I$12,H1009=$I$13,H1009=$I$14),SottocategorieUscite[[#Headers],[Banca]],IF(OR(H1009=K$5,H1009=K$6,H1009=K$7,H1009=K$8,H1009=K$9,H1009=K$10,H1009=K$11,H1009=K$12,H1009=K$13,H1009=K$14),SottocategorieEntrate[[#Headers],[Business Entrate]],IF(OR(H1009=L$5,H1009=L$6,H1009=L$7,H1009=L$8,H1009=L$9,H1009=L$10,H1009=L$11,H1009=L$12,H1009=L$13,H1009=L$14),SottocategorieEntrate[[#Headers],[Varie Entrate]],IF(OR(H1009=M$5,H1009=M$6,H1009=M$7,H1009=M$8,H1009=M$9,H1009=M$10,H1009=M$11,H1009=M$12,H1009=M$13,H1009=M$14),SottocategorieEntrate[[#Headers],[Real Estate]],IF(OR(H1009=N$5,H1009=N$6,H1009=N$7,H1009=N$8,H1009=N$9,H1009=N$10,H1009=N$11,H1009=N$12,H1009=N$13,H1009=N$14),SottocategorieEntrate[[#Headers],[Other]],""))))))))))))</f>
        <v/>
      </c>
      <c r="J1009" t="str">
        <f>IF(OR(Dati[[#This Row],[Categoria]]="Bollette",Dati[[#This Row],[Categoria]]="Conto &amp; Carte BNL",Dati[[#This Row],[Categoria]]="Prelievo",Dati[[#This Row],[Categoria]]="Affitto",Dati[[#This Row],[Categoria]]="BNL(Interessi Creditori)"),"Carta",IF(Dati[[#This Row],[Categoria]]&lt;&gt;0,"Cash",""))</f>
        <v/>
      </c>
      <c r="K1009" s="59" t="str">
        <f>IF(OR(Data!$I1009=SottocategorieUscite[[#Headers],[Fuori Casa]],Data!$I1009=SottocategorieUscite[[#Headers],[Varie Uscite]],Data!$I1009=SottocategorieUscite[[#Headers],[Personali]],Data!$I1009=SottocategorieUscite[[#Headers],[Lavoro]]),"$ -","")</f>
        <v/>
      </c>
      <c r="L1009" s="59" t="str">
        <f>IF(OR(Data!$I1009=SottocategorieUscite[[#Headers],[Casa]],Data!$I1009=SottocategorieUscite[[#Headers],[Utenze]],Data!$I1009=SottocategorieUscite[[#Headers],[Business Uscite]],Data!$I1009=SottocategorieUscite[[#Headers],[Banca]]),"$ -","")</f>
        <v/>
      </c>
      <c r="M1009" s="59" t="str">
        <f>IF(OR($I1009&lt;&gt;SottocategorieUscite[[#Headers],[Fuori Casa]],$I1009&lt;&gt;SottocategorieUscite[[#Headers],[Varie Uscite]],$I1009&lt;&gt;SottocategorieUscite[[#Headers],[Personali]],$I1009&lt;&gt;SottocategorieUscite[[#Headers],[Lavoro]],$I1009&lt;&gt;SottocategorieUscite[[#Headers],[Casa]],$I1009&lt;&gt;SottocategorieUscite[[#Headers],[Utenze]],$I1009&lt;&gt;SottocategorieUscite[[#Headers],[Business Uscite]],$I1009&lt;&gt;SottocategorieUscite[[#Headers],[Banca]]),"","$ -")</f>
        <v/>
      </c>
      <c r="N1009" s="59" t="str">
        <f>IF(OR(Data!$I1009=SottocategorieEntrate[[#Headers],[Business Entrate]],Data!$I1009=SottocategorieEntrate[[#Headers],[Varie Entrate]]),"$ -","")</f>
        <v/>
      </c>
      <c r="O1009" s="59" t="str">
        <f>IF(OR(Data!$I1009=SottocategorieEntrate[[#Headers],[Real Estate]],SottocategorieEntrate[[#Headers],[Other]]),"$ -","")</f>
        <v/>
      </c>
      <c r="P1009" s="59" t="str">
        <f>IF(OR($I1009&lt;&gt;SottocategorieEntrate[[#Headers],[Business Entrate]],$I1009&lt;&gt;SottocategorieEntrate[[#Headers],[Varie Entrate]],$I1009&lt;&gt;SottocategorieEntrate[[#Headers],[Real Estate]],$I1009&lt;&gt;SottocategorieEntrate[[#Headers],[Other]]),"","$ -")</f>
        <v/>
      </c>
      <c r="Q1009" s="59" t="str">
        <f>IF(Dati[[#This Row],[Categoria]]="Prelievo","€ -","")</f>
        <v/>
      </c>
      <c r="R1009" s="244"/>
      <c r="S1009" s="59" t="str">
        <f>IF(Dati[[#This Row],[Categoria]]="Savings",0,"")</f>
        <v/>
      </c>
      <c r="T1009" s="59"/>
      <c r="U1009" s="59"/>
      <c r="V1009" s="59"/>
      <c r="W1009" s="59"/>
      <c r="X1009" s="59"/>
      <c r="Y1009" s="59"/>
      <c r="Z1009" s="59"/>
      <c r="AA1009" s="59"/>
      <c r="AB1009" s="59"/>
      <c r="AC1009" s="59"/>
      <c r="AD1009" s="59"/>
      <c r="AE1009" s="59"/>
      <c r="AF1009" s="59"/>
      <c r="AG1009" s="59"/>
      <c r="AH1009" s="59"/>
      <c r="AI1009" s="59" t="str">
        <f>IF(SUM(Dati[[#This Row],[Inv. Business]:[Inv. Cryptocurrency]])=0," ",SUM(Dati[[#This Row],[Inv. Business]:[Inv. Cryptocurrency]]))</f>
        <v xml:space="preserve"> </v>
      </c>
      <c r="AJ1009" s="59"/>
      <c r="AK1009" s="59"/>
      <c r="AL1009" s="59"/>
      <c r="AM1009" s="59"/>
    </row>
    <row r="1010" spans="2:39" x14ac:dyDescent="0.35">
      <c r="B1010" s="237">
        <f>ROW(961:961)</f>
        <v>961</v>
      </c>
      <c r="C1010" s="49">
        <f>C1007+1</f>
        <v>45640</v>
      </c>
      <c r="D1010" s="29">
        <f>DAY(Dati[[#This Row],[Data]])</f>
        <v>14</v>
      </c>
      <c r="E1010" s="29" t="str">
        <f>IF(DAY(Data!$C$21:$C$1327)&gt;0,TEXT(Data!$C$21:$C$1327, "mmmm"),"")</f>
        <v>dicembre</v>
      </c>
      <c r="F1010" s="29" t="str">
        <f>IF(DAY(Data!$C$21:$C$1327)&gt;0,TEXT(Data!$C$21:$C$1327, "aaaa"),"")</f>
        <v>2024</v>
      </c>
      <c r="I1010" t="str">
        <f>IF(OR(H1010=$B$5,H1010=$B$6,H1010=$B$7,H1010=$B$8,H1010=$B$9,H1010=$B$10,H1010=$B$11,H1010=$B$12,H1010=$B$13,H1010=$B$14),SottocategorieUscite[[#Headers],[Fuori Casa]],IF(OR(H1010=$C$5,H1010=$C$6,H1010=$C$7,H1010=$C$8,H1010=$C$9,H1010=$C$10,H1010=$C$11,H1010=$C$12,H1010=$C$13,H1010=$C$14),SottocategorieUscite[[#Headers],[Varie Uscite]],IF(OR(H1010=$D$5,H1010=$D$6,H1010=$D$7,H1010=$D$8,H1010=$D$9,H1010=$D$10,H1010=$D$11,H1010=$D$12,H1010=$D$13,H1010=$D$14),SottocategorieUscite[[#Headers],[Personali]],IF(OR(H1010=$E$5,H1010=$E$6,H1010=$E$7,H1010=$E$8,H1010=$E$9,H1010=$E$10,H1010=$E$11,H1010=$E$12,H1010=$E$13,H1010=$E$14),SottocategorieUscite[[#Headers],[Lavoro]],IF(OR(H1010=$F$5,H1010=$F$6,H1010=$F$7,H1010=$F$8,H1010=$F$9,H1010=$F$10,H1010=$F$11,H1010=$F$12,H1010=$F$13,H1010=$F$14),SottocategorieUscite[[#Headers],[Casa]],IF(OR(H1010=$G$5,H1010=$G$6,H1010=$G$7,H1010=$G$8,H1010=$G$9,H1010=$G$10,H1010=$G$11,H1010=$G$12,H1010=$G$13,H1010=$G$14),SottocategorieUscite[[#Headers],[Utenze]],IF(OR(H1010=$H$5,H1010=$H$6,H1010=$H$7,H1010=$H$8,H1010=$H$9,H1010=$H$10,H1010=$H$11,H1010=$H$12,H1010=$H$13,H1010=$H$14),SottocategorieUscite[[#Headers],[Business Uscite]],IF(OR(H1010=$I$5,H1010=$I$6,H1010=$I$7,H1010=$I$8,H1010=$I$9,H1010=$I$10,H1010=$I$11,H1010=$I$12,H1010=$I$13,H1010=$I$14),SottocategorieUscite[[#Headers],[Banca]],IF(OR(H1010=K$5,H1010=K$6,H1010=K$7,H1010=K$8,H1010=K$9,H1010=K$10,H1010=K$11,H1010=K$12,H1010=K$13,H1010=K$14),SottocategorieEntrate[[#Headers],[Business Entrate]],IF(OR(H1010=L$5,H1010=L$6,H1010=L$7,H1010=L$8,H1010=L$9,H1010=L$10,H1010=L$11,H1010=L$12,H1010=L$13,H1010=L$14),SottocategorieEntrate[[#Headers],[Varie Entrate]],IF(OR(H1010=M$5,H1010=M$6,H1010=M$7,H1010=M$8,H1010=M$9,H1010=M$10,H1010=M$11,H1010=M$12,H1010=M$13,H1010=M$14),SottocategorieEntrate[[#Headers],[Real Estate]],IF(OR(H1010=N$5,H1010=N$6,H1010=N$7,H1010=N$8,H1010=N$9,H1010=N$10,H1010=N$11,H1010=N$12,H1010=N$13,H1010=N$14),SottocategorieEntrate[[#Headers],[Other]],""))))))))))))</f>
        <v/>
      </c>
      <c r="J1010" t="str">
        <f>IF(OR(Dati[[#This Row],[Categoria]]="Bollette",Dati[[#This Row],[Categoria]]="Conto &amp; Carte BNL",Dati[[#This Row],[Categoria]]="Prelievo",Dati[[#This Row],[Categoria]]="Affitto",Dati[[#This Row],[Categoria]]="BNL(Interessi Creditori)"),"Carta",IF(Dati[[#This Row],[Categoria]]&lt;&gt;0,"Cash",""))</f>
        <v/>
      </c>
      <c r="K1010" s="59" t="str">
        <f>IF(OR(Data!$I1010=SottocategorieUscite[[#Headers],[Fuori Casa]],Data!$I1010=SottocategorieUscite[[#Headers],[Varie Uscite]],Data!$I1010=SottocategorieUscite[[#Headers],[Personali]],Data!$I1010=SottocategorieUscite[[#Headers],[Lavoro]]),"$ -","")</f>
        <v/>
      </c>
      <c r="L1010" s="59" t="str">
        <f>IF(OR(Data!$I1010=SottocategorieUscite[[#Headers],[Casa]],Data!$I1010=SottocategorieUscite[[#Headers],[Utenze]],Data!$I1010=SottocategorieUscite[[#Headers],[Business Uscite]],Data!$I1010=SottocategorieUscite[[#Headers],[Banca]]),"$ -","")</f>
        <v/>
      </c>
      <c r="M1010" s="59" t="str">
        <f>IF(OR($I1010&lt;&gt;SottocategorieUscite[[#Headers],[Fuori Casa]],$I1010&lt;&gt;SottocategorieUscite[[#Headers],[Varie Uscite]],$I1010&lt;&gt;SottocategorieUscite[[#Headers],[Personali]],$I1010&lt;&gt;SottocategorieUscite[[#Headers],[Lavoro]],$I1010&lt;&gt;SottocategorieUscite[[#Headers],[Casa]],$I1010&lt;&gt;SottocategorieUscite[[#Headers],[Utenze]],$I1010&lt;&gt;SottocategorieUscite[[#Headers],[Business Uscite]],$I1010&lt;&gt;SottocategorieUscite[[#Headers],[Banca]]),"","$ -")</f>
        <v/>
      </c>
      <c r="N1010" s="59" t="str">
        <f>IF(OR(Data!$I1010=SottocategorieEntrate[[#Headers],[Business Entrate]],Data!$I1010=SottocategorieEntrate[[#Headers],[Varie Entrate]]),"$ -","")</f>
        <v/>
      </c>
      <c r="O1010" s="59" t="str">
        <f>IF(OR(Data!$I1010=SottocategorieEntrate[[#Headers],[Real Estate]],SottocategorieEntrate[[#Headers],[Other]]),"$ -","")</f>
        <v/>
      </c>
      <c r="P1010" s="59" t="str">
        <f>IF(OR($I1010&lt;&gt;SottocategorieEntrate[[#Headers],[Business Entrate]],$I1010&lt;&gt;SottocategorieEntrate[[#Headers],[Varie Entrate]],$I1010&lt;&gt;SottocategorieEntrate[[#Headers],[Real Estate]],$I1010&lt;&gt;SottocategorieEntrate[[#Headers],[Other]]),"","$ -")</f>
        <v/>
      </c>
      <c r="Q1010" s="59" t="str">
        <f>IF(Dati[[#This Row],[Categoria]]="Prelievo","€ -","")</f>
        <v/>
      </c>
      <c r="R1010" s="244"/>
      <c r="S1010" s="59" t="str">
        <f>IF(Dati[[#This Row],[Categoria]]="Savings",0,"")</f>
        <v/>
      </c>
      <c r="T1010" s="59"/>
      <c r="U1010" s="59"/>
      <c r="V1010" s="59"/>
      <c r="W1010" s="59"/>
      <c r="X1010" s="59"/>
      <c r="Y1010" s="59"/>
      <c r="Z1010" s="59"/>
      <c r="AA1010" s="59"/>
      <c r="AB1010" s="59"/>
      <c r="AC1010" s="59"/>
      <c r="AD1010" s="59"/>
      <c r="AE1010" s="59"/>
      <c r="AF1010" s="59"/>
      <c r="AG1010" s="59"/>
      <c r="AH1010" s="59"/>
      <c r="AI1010" s="59" t="str">
        <f>IF(SUM(Dati[[#This Row],[Inv. Business]:[Inv. Cryptocurrency]])=0," ",SUM(Dati[[#This Row],[Inv. Business]:[Inv. Cryptocurrency]]))</f>
        <v xml:space="preserve"> </v>
      </c>
      <c r="AJ1010" s="59"/>
      <c r="AK1010" s="59"/>
      <c r="AL1010" s="59"/>
      <c r="AM1010" s="59"/>
    </row>
    <row r="1011" spans="2:39" x14ac:dyDescent="0.35">
      <c r="B1011" s="237">
        <f>ROW(962:962)</f>
        <v>962</v>
      </c>
      <c r="C1011" s="49">
        <f>C1008+1</f>
        <v>45641</v>
      </c>
      <c r="D1011" s="29">
        <f>DAY(Dati[[#This Row],[Data]])</f>
        <v>15</v>
      </c>
      <c r="E1011" s="29" t="str">
        <f>IF(DAY(Data!$C$21:$C$1327)&gt;0,TEXT(Data!$C$21:$C$1327, "mmmm"),"")</f>
        <v>dicembre</v>
      </c>
      <c r="F1011" s="29" t="str">
        <f>IF(DAY(Data!$C$21:$C$1327)&gt;0,TEXT(Data!$C$21:$C$1327, "aaaa"),"")</f>
        <v>2024</v>
      </c>
      <c r="I1011" t="str">
        <f>IF(OR(H1011=$B$5,H1011=$B$6,H1011=$B$7,H1011=$B$8,H1011=$B$9,H1011=$B$10,H1011=$B$11,H1011=$B$12,H1011=$B$13,H1011=$B$14),SottocategorieUscite[[#Headers],[Fuori Casa]],IF(OR(H1011=$C$5,H1011=$C$6,H1011=$C$7,H1011=$C$8,H1011=$C$9,H1011=$C$10,H1011=$C$11,H1011=$C$12,H1011=$C$13,H1011=$C$14),SottocategorieUscite[[#Headers],[Varie Uscite]],IF(OR(H1011=$D$5,H1011=$D$6,H1011=$D$7,H1011=$D$8,H1011=$D$9,H1011=$D$10,H1011=$D$11,H1011=$D$12,H1011=$D$13,H1011=$D$14),SottocategorieUscite[[#Headers],[Personali]],IF(OR(H1011=$E$5,H1011=$E$6,H1011=$E$7,H1011=$E$8,H1011=$E$9,H1011=$E$10,H1011=$E$11,H1011=$E$12,H1011=$E$13,H1011=$E$14),SottocategorieUscite[[#Headers],[Lavoro]],IF(OR(H1011=$F$5,H1011=$F$6,H1011=$F$7,H1011=$F$8,H1011=$F$9,H1011=$F$10,H1011=$F$11,H1011=$F$12,H1011=$F$13,H1011=$F$14),SottocategorieUscite[[#Headers],[Casa]],IF(OR(H1011=$G$5,H1011=$G$6,H1011=$G$7,H1011=$G$8,H1011=$G$9,H1011=$G$10,H1011=$G$11,H1011=$G$12,H1011=$G$13,H1011=$G$14),SottocategorieUscite[[#Headers],[Utenze]],IF(OR(H1011=$H$5,H1011=$H$6,H1011=$H$7,H1011=$H$8,H1011=$H$9,H1011=$H$10,H1011=$H$11,H1011=$H$12,H1011=$H$13,H1011=$H$14),SottocategorieUscite[[#Headers],[Business Uscite]],IF(OR(H1011=$I$5,H1011=$I$6,H1011=$I$7,H1011=$I$8,H1011=$I$9,H1011=$I$10,H1011=$I$11,H1011=$I$12,H1011=$I$13,H1011=$I$14),SottocategorieUscite[[#Headers],[Banca]],IF(OR(H1011=K$5,H1011=K$6,H1011=K$7,H1011=K$8,H1011=K$9,H1011=K$10,H1011=K$11,H1011=K$12,H1011=K$13,H1011=K$14),SottocategorieEntrate[[#Headers],[Business Entrate]],IF(OR(H1011=L$5,H1011=L$6,H1011=L$7,H1011=L$8,H1011=L$9,H1011=L$10,H1011=L$11,H1011=L$12,H1011=L$13,H1011=L$14),SottocategorieEntrate[[#Headers],[Varie Entrate]],IF(OR(H1011=M$5,H1011=M$6,H1011=M$7,H1011=M$8,H1011=M$9,H1011=M$10,H1011=M$11,H1011=M$12,H1011=M$13,H1011=M$14),SottocategorieEntrate[[#Headers],[Real Estate]],IF(OR(H1011=N$5,H1011=N$6,H1011=N$7,H1011=N$8,H1011=N$9,H1011=N$10,H1011=N$11,H1011=N$12,H1011=N$13,H1011=N$14),SottocategorieEntrate[[#Headers],[Other]],""))))))))))))</f>
        <v/>
      </c>
      <c r="J1011" t="str">
        <f>IF(OR(Dati[[#This Row],[Categoria]]="Bollette",Dati[[#This Row],[Categoria]]="Conto &amp; Carte BNL",Dati[[#This Row],[Categoria]]="Prelievo",Dati[[#This Row],[Categoria]]="Affitto",Dati[[#This Row],[Categoria]]="BNL(Interessi Creditori)"),"Carta",IF(Dati[[#This Row],[Categoria]]&lt;&gt;0,"Cash",""))</f>
        <v/>
      </c>
      <c r="K1011" s="59" t="str">
        <f>IF(OR(Data!$I1011=SottocategorieUscite[[#Headers],[Fuori Casa]],Data!$I1011=SottocategorieUscite[[#Headers],[Varie Uscite]],Data!$I1011=SottocategorieUscite[[#Headers],[Personali]],Data!$I1011=SottocategorieUscite[[#Headers],[Lavoro]]),"$ -","")</f>
        <v/>
      </c>
      <c r="L1011" s="59" t="str">
        <f>IF(OR(Data!$I1011=SottocategorieUscite[[#Headers],[Casa]],Data!$I1011=SottocategorieUscite[[#Headers],[Utenze]],Data!$I1011=SottocategorieUscite[[#Headers],[Business Uscite]],Data!$I1011=SottocategorieUscite[[#Headers],[Banca]]),"$ -","")</f>
        <v/>
      </c>
      <c r="M1011" s="59" t="str">
        <f>IF(OR($I1011&lt;&gt;SottocategorieUscite[[#Headers],[Fuori Casa]],$I1011&lt;&gt;SottocategorieUscite[[#Headers],[Varie Uscite]],$I1011&lt;&gt;SottocategorieUscite[[#Headers],[Personali]],$I1011&lt;&gt;SottocategorieUscite[[#Headers],[Lavoro]],$I1011&lt;&gt;SottocategorieUscite[[#Headers],[Casa]],$I1011&lt;&gt;SottocategorieUscite[[#Headers],[Utenze]],$I1011&lt;&gt;SottocategorieUscite[[#Headers],[Business Uscite]],$I1011&lt;&gt;SottocategorieUscite[[#Headers],[Banca]]),"","$ -")</f>
        <v/>
      </c>
      <c r="N1011" s="59" t="str">
        <f>IF(OR(Data!$I1011=SottocategorieEntrate[[#Headers],[Business Entrate]],Data!$I1011=SottocategorieEntrate[[#Headers],[Varie Entrate]]),"$ -","")</f>
        <v/>
      </c>
      <c r="O1011" s="59" t="str">
        <f>IF(OR(Data!$I1011=SottocategorieEntrate[[#Headers],[Real Estate]],SottocategorieEntrate[[#Headers],[Other]]),"$ -","")</f>
        <v/>
      </c>
      <c r="P1011" s="59" t="str">
        <f>IF(OR($I1011&lt;&gt;SottocategorieEntrate[[#Headers],[Business Entrate]],$I1011&lt;&gt;SottocategorieEntrate[[#Headers],[Varie Entrate]],$I1011&lt;&gt;SottocategorieEntrate[[#Headers],[Real Estate]],$I1011&lt;&gt;SottocategorieEntrate[[#Headers],[Other]]),"","$ -")</f>
        <v/>
      </c>
      <c r="Q1011" s="59" t="str">
        <f>IF(Dati[[#This Row],[Categoria]]="Prelievo","€ -","")</f>
        <v/>
      </c>
      <c r="R1011" s="244"/>
      <c r="S1011" s="59" t="str">
        <f>IF(Dati[[#This Row],[Categoria]]="Savings",0,"")</f>
        <v/>
      </c>
      <c r="T1011" s="59"/>
      <c r="U1011" s="59"/>
      <c r="V1011" s="59"/>
      <c r="W1011" s="59"/>
      <c r="X1011" s="59"/>
      <c r="Y1011" s="59"/>
      <c r="Z1011" s="59"/>
      <c r="AA1011" s="59"/>
      <c r="AB1011" s="59"/>
      <c r="AC1011" s="59"/>
      <c r="AD1011" s="59"/>
      <c r="AE1011" s="59"/>
      <c r="AF1011" s="59"/>
      <c r="AG1011" s="59"/>
      <c r="AH1011" s="59"/>
      <c r="AI1011" s="59" t="str">
        <f>IF(SUM(Dati[[#This Row],[Inv. Business]:[Inv. Cryptocurrency]])=0," ",SUM(Dati[[#This Row],[Inv. Business]:[Inv. Cryptocurrency]]))</f>
        <v xml:space="preserve"> </v>
      </c>
      <c r="AJ1011" s="59"/>
      <c r="AK1011" s="59"/>
      <c r="AL1011" s="59"/>
      <c r="AM1011" s="59"/>
    </row>
    <row r="1012" spans="2:39" x14ac:dyDescent="0.35">
      <c r="B1012" s="237">
        <f>ROW(962:962)</f>
        <v>962</v>
      </c>
      <c r="C1012" s="49">
        <f>C1010+1</f>
        <v>45641</v>
      </c>
      <c r="D1012" s="29">
        <f>DAY(Dati[[#This Row],[Data]])</f>
        <v>15</v>
      </c>
      <c r="E1012" s="29" t="str">
        <f>IF(DAY(Data!$C$21:$C$1327)&gt;0,TEXT(Data!$C$21:$C$1327, "mmmm"),"")</f>
        <v>dicembre</v>
      </c>
      <c r="F1012" s="29" t="str">
        <f>IF(DAY(Data!$C$21:$C$1327)&gt;0,TEXT(Data!$C$21:$C$1327, "aaaa"),"")</f>
        <v>2024</v>
      </c>
      <c r="I1012" t="str">
        <f>IF(OR(H1012=$B$5,H1012=$B$6,H1012=$B$7,H1012=$B$8,H1012=$B$9,H1012=$B$10,H1012=$B$11,H1012=$B$12,H1012=$B$13,H1012=$B$14),SottocategorieUscite[[#Headers],[Fuori Casa]],IF(OR(H1012=$C$5,H1012=$C$6,H1012=$C$7,H1012=$C$8,H1012=$C$9,H1012=$C$10,H1012=$C$11,H1012=$C$12,H1012=$C$13,H1012=$C$14),SottocategorieUscite[[#Headers],[Varie Uscite]],IF(OR(H1012=$D$5,H1012=$D$6,H1012=$D$7,H1012=$D$8,H1012=$D$9,H1012=$D$10,H1012=$D$11,H1012=$D$12,H1012=$D$13,H1012=$D$14),SottocategorieUscite[[#Headers],[Personali]],IF(OR(H1012=$E$5,H1012=$E$6,H1012=$E$7,H1012=$E$8,H1012=$E$9,H1012=$E$10,H1012=$E$11,H1012=$E$12,H1012=$E$13,H1012=$E$14),SottocategorieUscite[[#Headers],[Lavoro]],IF(OR(H1012=$F$5,H1012=$F$6,H1012=$F$7,H1012=$F$8,H1012=$F$9,H1012=$F$10,H1012=$F$11,H1012=$F$12,H1012=$F$13,H1012=$F$14),SottocategorieUscite[[#Headers],[Casa]],IF(OR(H1012=$G$5,H1012=$G$6,H1012=$G$7,H1012=$G$8,H1012=$G$9,H1012=$G$10,H1012=$G$11,H1012=$G$12,H1012=$G$13,H1012=$G$14),SottocategorieUscite[[#Headers],[Utenze]],IF(OR(H1012=$H$5,H1012=$H$6,H1012=$H$7,H1012=$H$8,H1012=$H$9,H1012=$H$10,H1012=$H$11,H1012=$H$12,H1012=$H$13,H1012=$H$14),SottocategorieUscite[[#Headers],[Business Uscite]],IF(OR(H1012=$I$5,H1012=$I$6,H1012=$I$7,H1012=$I$8,H1012=$I$9,H1012=$I$10,H1012=$I$11,H1012=$I$12,H1012=$I$13,H1012=$I$14),SottocategorieUscite[[#Headers],[Banca]],IF(OR(H1012=K$5,H1012=K$6,H1012=K$7,H1012=K$8,H1012=K$9,H1012=K$10,H1012=K$11,H1012=K$12,H1012=K$13,H1012=K$14),SottocategorieEntrate[[#Headers],[Business Entrate]],IF(OR(H1012=L$5,H1012=L$6,H1012=L$7,H1012=L$8,H1012=L$9,H1012=L$10,H1012=L$11,H1012=L$12,H1012=L$13,H1012=L$14),SottocategorieEntrate[[#Headers],[Varie Entrate]],IF(OR(H1012=M$5,H1012=M$6,H1012=M$7,H1012=M$8,H1012=M$9,H1012=M$10,H1012=M$11,H1012=M$12,H1012=M$13,H1012=M$14),SottocategorieEntrate[[#Headers],[Real Estate]],IF(OR(H1012=N$5,H1012=N$6,H1012=N$7,H1012=N$8,H1012=N$9,H1012=N$10,H1012=N$11,H1012=N$12,H1012=N$13,H1012=N$14),SottocategorieEntrate[[#Headers],[Other]],""))))))))))))</f>
        <v/>
      </c>
      <c r="J1012" t="str">
        <f>IF(OR(Dati[[#This Row],[Categoria]]="Bollette",Dati[[#This Row],[Categoria]]="Conto &amp; Carte BNL",Dati[[#This Row],[Categoria]]="Prelievo",Dati[[#This Row],[Categoria]]="Affitto",Dati[[#This Row],[Categoria]]="BNL(Interessi Creditori)"),"Carta",IF(Dati[[#This Row],[Categoria]]&lt;&gt;0,"Cash",""))</f>
        <v/>
      </c>
      <c r="K1012" s="59" t="str">
        <f>IF(OR(Data!$I1012=SottocategorieUscite[[#Headers],[Fuori Casa]],Data!$I1012=SottocategorieUscite[[#Headers],[Varie Uscite]],Data!$I1012=SottocategorieUscite[[#Headers],[Personali]],Data!$I1012=SottocategorieUscite[[#Headers],[Lavoro]]),"$ -","")</f>
        <v/>
      </c>
      <c r="L1012" s="59" t="str">
        <f>IF(OR(Data!$I1012=SottocategorieUscite[[#Headers],[Casa]],Data!$I1012=SottocategorieUscite[[#Headers],[Utenze]],Data!$I1012=SottocategorieUscite[[#Headers],[Business Uscite]],Data!$I1012=SottocategorieUscite[[#Headers],[Banca]]),"$ -","")</f>
        <v/>
      </c>
      <c r="M1012" s="59" t="str">
        <f>IF(OR($I1012&lt;&gt;SottocategorieUscite[[#Headers],[Fuori Casa]],$I1012&lt;&gt;SottocategorieUscite[[#Headers],[Varie Uscite]],$I1012&lt;&gt;SottocategorieUscite[[#Headers],[Personali]],$I1012&lt;&gt;SottocategorieUscite[[#Headers],[Lavoro]],$I1012&lt;&gt;SottocategorieUscite[[#Headers],[Casa]],$I1012&lt;&gt;SottocategorieUscite[[#Headers],[Utenze]],$I1012&lt;&gt;SottocategorieUscite[[#Headers],[Business Uscite]],$I1012&lt;&gt;SottocategorieUscite[[#Headers],[Banca]]),"","$ -")</f>
        <v/>
      </c>
      <c r="N1012" s="59" t="str">
        <f>IF(OR(Data!$I1012=SottocategorieEntrate[[#Headers],[Business Entrate]],Data!$I1012=SottocategorieEntrate[[#Headers],[Varie Entrate]]),"$ -","")</f>
        <v/>
      </c>
      <c r="O1012" s="59" t="str">
        <f>IF(OR(Data!$I1012=SottocategorieEntrate[[#Headers],[Real Estate]],SottocategorieEntrate[[#Headers],[Other]]),"$ -","")</f>
        <v/>
      </c>
      <c r="P1012" s="59" t="str">
        <f>IF(OR($I1012&lt;&gt;SottocategorieEntrate[[#Headers],[Business Entrate]],$I1012&lt;&gt;SottocategorieEntrate[[#Headers],[Varie Entrate]],$I1012&lt;&gt;SottocategorieEntrate[[#Headers],[Real Estate]],$I1012&lt;&gt;SottocategorieEntrate[[#Headers],[Other]]),"","$ -")</f>
        <v/>
      </c>
      <c r="Q1012" s="59" t="str">
        <f>IF(Dati[[#This Row],[Categoria]]="Prelievo","€ -","")</f>
        <v/>
      </c>
      <c r="R1012" s="244"/>
      <c r="S1012" s="59" t="str">
        <f>IF(Dati[[#This Row],[Categoria]]="Savings",0,"")</f>
        <v/>
      </c>
      <c r="T1012" s="59"/>
      <c r="U1012" s="59"/>
      <c r="V1012" s="59"/>
      <c r="W1012" s="59"/>
      <c r="X1012" s="59"/>
      <c r="Y1012" s="59"/>
      <c r="Z1012" s="59"/>
      <c r="AA1012" s="59"/>
      <c r="AB1012" s="59"/>
      <c r="AC1012" s="59"/>
      <c r="AD1012" s="59"/>
      <c r="AE1012" s="59"/>
      <c r="AF1012" s="59"/>
      <c r="AG1012" s="59"/>
      <c r="AH1012" s="59"/>
      <c r="AI1012" s="59" t="str">
        <f>IF(SUM(Dati[[#This Row],[Inv. Business]:[Inv. Cryptocurrency]])=0," ",SUM(Dati[[#This Row],[Inv. Business]:[Inv. Cryptocurrency]]))</f>
        <v xml:space="preserve"> </v>
      </c>
      <c r="AJ1012" s="59"/>
      <c r="AK1012" s="59"/>
      <c r="AL1012" s="59"/>
      <c r="AM1012" s="59"/>
    </row>
    <row r="1013" spans="2:39" x14ac:dyDescent="0.35">
      <c r="B1013" s="237">
        <f>ROW(962:962)</f>
        <v>962</v>
      </c>
      <c r="C1013" s="49">
        <f>C1010+1</f>
        <v>45641</v>
      </c>
      <c r="D1013" s="29">
        <f>DAY(Dati[[#This Row],[Data]])</f>
        <v>15</v>
      </c>
      <c r="E1013" s="29" t="str">
        <f>IF(DAY(Data!$C$21:$C$1327)&gt;0,TEXT(Data!$C$21:$C$1327, "mmmm"),"")</f>
        <v>dicembre</v>
      </c>
      <c r="F1013" s="29" t="str">
        <f>IF(DAY(Data!$C$21:$C$1327)&gt;0,TEXT(Data!$C$21:$C$1327, "aaaa"),"")</f>
        <v>2024</v>
      </c>
      <c r="I1013" t="str">
        <f>IF(OR(H1013=$B$5,H1013=$B$6,H1013=$B$7,H1013=$B$8,H1013=$B$9,H1013=$B$10,H1013=$B$11,H1013=$B$12,H1013=$B$13,H1013=$B$14),SottocategorieUscite[[#Headers],[Fuori Casa]],IF(OR(H1013=$C$5,H1013=$C$6,H1013=$C$7,H1013=$C$8,H1013=$C$9,H1013=$C$10,H1013=$C$11,H1013=$C$12,H1013=$C$13,H1013=$C$14),SottocategorieUscite[[#Headers],[Varie Uscite]],IF(OR(H1013=$D$5,H1013=$D$6,H1013=$D$7,H1013=$D$8,H1013=$D$9,H1013=$D$10,H1013=$D$11,H1013=$D$12,H1013=$D$13,H1013=$D$14),SottocategorieUscite[[#Headers],[Personali]],IF(OR(H1013=$E$5,H1013=$E$6,H1013=$E$7,H1013=$E$8,H1013=$E$9,H1013=$E$10,H1013=$E$11,H1013=$E$12,H1013=$E$13,H1013=$E$14),SottocategorieUscite[[#Headers],[Lavoro]],IF(OR(H1013=$F$5,H1013=$F$6,H1013=$F$7,H1013=$F$8,H1013=$F$9,H1013=$F$10,H1013=$F$11,H1013=$F$12,H1013=$F$13,H1013=$F$14),SottocategorieUscite[[#Headers],[Casa]],IF(OR(H1013=$G$5,H1013=$G$6,H1013=$G$7,H1013=$G$8,H1013=$G$9,H1013=$G$10,H1013=$G$11,H1013=$G$12,H1013=$G$13,H1013=$G$14),SottocategorieUscite[[#Headers],[Utenze]],IF(OR(H1013=$H$5,H1013=$H$6,H1013=$H$7,H1013=$H$8,H1013=$H$9,H1013=$H$10,H1013=$H$11,H1013=$H$12,H1013=$H$13,H1013=$H$14),SottocategorieUscite[[#Headers],[Business Uscite]],IF(OR(H1013=$I$5,H1013=$I$6,H1013=$I$7,H1013=$I$8,H1013=$I$9,H1013=$I$10,H1013=$I$11,H1013=$I$12,H1013=$I$13,H1013=$I$14),SottocategorieUscite[[#Headers],[Banca]],IF(OR(H1013=K$5,H1013=K$6,H1013=K$7,H1013=K$8,H1013=K$9,H1013=K$10,H1013=K$11,H1013=K$12,H1013=K$13,H1013=K$14),SottocategorieEntrate[[#Headers],[Business Entrate]],IF(OR(H1013=L$5,H1013=L$6,H1013=L$7,H1013=L$8,H1013=L$9,H1013=L$10,H1013=L$11,H1013=L$12,H1013=L$13,H1013=L$14),SottocategorieEntrate[[#Headers],[Varie Entrate]],IF(OR(H1013=M$5,H1013=M$6,H1013=M$7,H1013=M$8,H1013=M$9,H1013=M$10,H1013=M$11,H1013=M$12,H1013=M$13,H1013=M$14),SottocategorieEntrate[[#Headers],[Real Estate]],IF(OR(H1013=N$5,H1013=N$6,H1013=N$7,H1013=N$8,H1013=N$9,H1013=N$10,H1013=N$11,H1013=N$12,H1013=N$13,H1013=N$14),SottocategorieEntrate[[#Headers],[Other]],""))))))))))))</f>
        <v/>
      </c>
      <c r="J1013" t="str">
        <f>IF(OR(Dati[[#This Row],[Categoria]]="Bollette",Dati[[#This Row],[Categoria]]="Conto &amp; Carte BNL",Dati[[#This Row],[Categoria]]="Prelievo",Dati[[#This Row],[Categoria]]="Affitto",Dati[[#This Row],[Categoria]]="BNL(Interessi Creditori)"),"Carta",IF(Dati[[#This Row],[Categoria]]&lt;&gt;0,"Cash",""))</f>
        <v/>
      </c>
      <c r="K1013" s="59" t="str">
        <f>IF(OR(Data!$I1013=SottocategorieUscite[[#Headers],[Fuori Casa]],Data!$I1013=SottocategorieUscite[[#Headers],[Varie Uscite]],Data!$I1013=SottocategorieUscite[[#Headers],[Personali]],Data!$I1013=SottocategorieUscite[[#Headers],[Lavoro]]),"$ -","")</f>
        <v/>
      </c>
      <c r="L1013" s="59" t="str">
        <f>IF(OR(Data!$I1013=SottocategorieUscite[[#Headers],[Casa]],Data!$I1013=SottocategorieUscite[[#Headers],[Utenze]],Data!$I1013=SottocategorieUscite[[#Headers],[Business Uscite]],Data!$I1013=SottocategorieUscite[[#Headers],[Banca]]),"$ -","")</f>
        <v/>
      </c>
      <c r="M1013" s="59" t="str">
        <f>IF(OR($I1013&lt;&gt;SottocategorieUscite[[#Headers],[Fuori Casa]],$I1013&lt;&gt;SottocategorieUscite[[#Headers],[Varie Uscite]],$I1013&lt;&gt;SottocategorieUscite[[#Headers],[Personali]],$I1013&lt;&gt;SottocategorieUscite[[#Headers],[Lavoro]],$I1013&lt;&gt;SottocategorieUscite[[#Headers],[Casa]],$I1013&lt;&gt;SottocategorieUscite[[#Headers],[Utenze]],$I1013&lt;&gt;SottocategorieUscite[[#Headers],[Business Uscite]],$I1013&lt;&gt;SottocategorieUscite[[#Headers],[Banca]]),"","$ -")</f>
        <v/>
      </c>
      <c r="N1013" s="59" t="str">
        <f>IF(OR(Data!$I1013=SottocategorieEntrate[[#Headers],[Business Entrate]],Data!$I1013=SottocategorieEntrate[[#Headers],[Varie Entrate]]),"$ -","")</f>
        <v/>
      </c>
      <c r="O1013" s="59" t="str">
        <f>IF(OR(Data!$I1013=SottocategorieEntrate[[#Headers],[Real Estate]],SottocategorieEntrate[[#Headers],[Other]]),"$ -","")</f>
        <v/>
      </c>
      <c r="P1013" s="59" t="str">
        <f>IF(OR($I1013&lt;&gt;SottocategorieEntrate[[#Headers],[Business Entrate]],$I1013&lt;&gt;SottocategorieEntrate[[#Headers],[Varie Entrate]],$I1013&lt;&gt;SottocategorieEntrate[[#Headers],[Real Estate]],$I1013&lt;&gt;SottocategorieEntrate[[#Headers],[Other]]),"","$ -")</f>
        <v/>
      </c>
      <c r="Q1013" s="59" t="str">
        <f>IF(Dati[[#This Row],[Categoria]]="Prelievo","€ -","")</f>
        <v/>
      </c>
      <c r="R1013" s="244"/>
      <c r="S1013" s="59" t="str">
        <f>IF(Dati[[#This Row],[Categoria]]="Savings",0,"")</f>
        <v/>
      </c>
      <c r="T1013" s="59"/>
      <c r="U1013" s="59"/>
      <c r="V1013" s="59"/>
      <c r="W1013" s="59"/>
      <c r="X1013" s="59"/>
      <c r="Y1013" s="59"/>
      <c r="Z1013" s="59"/>
      <c r="AA1013" s="59"/>
      <c r="AB1013" s="59"/>
      <c r="AC1013" s="59"/>
      <c r="AD1013" s="59"/>
      <c r="AE1013" s="59"/>
      <c r="AF1013" s="59"/>
      <c r="AG1013" s="59"/>
      <c r="AH1013" s="59"/>
      <c r="AI1013" s="59" t="str">
        <f>IF(SUM(Dati[[#This Row],[Inv. Business]:[Inv. Cryptocurrency]])=0," ",SUM(Dati[[#This Row],[Inv. Business]:[Inv. Cryptocurrency]]))</f>
        <v xml:space="preserve"> </v>
      </c>
      <c r="AJ1013" s="59"/>
      <c r="AK1013" s="59"/>
      <c r="AL1013" s="59"/>
      <c r="AM1013" s="59"/>
    </row>
    <row r="1014" spans="2:39" x14ac:dyDescent="0.35">
      <c r="B1014" s="237">
        <f>ROW(962:962)</f>
        <v>962</v>
      </c>
      <c r="C1014" s="49">
        <f>C1010+1</f>
        <v>45641</v>
      </c>
      <c r="D1014" s="29">
        <f>DAY(Dati[[#This Row],[Data]])</f>
        <v>15</v>
      </c>
      <c r="E1014" s="29" t="str">
        <f>IF(DAY(Data!$C$21:$C$1327)&gt;0,TEXT(Data!$C$21:$C$1327, "mmmm"),"")</f>
        <v>dicembre</v>
      </c>
      <c r="F1014" s="29" t="str">
        <f>IF(DAY(Data!$C$21:$C$1327)&gt;0,TEXT(Data!$C$21:$C$1327, "aaaa"),"")</f>
        <v>2024</v>
      </c>
      <c r="I1014" t="str">
        <f>IF(OR(H1014=$B$5,H1014=$B$6,H1014=$B$7,H1014=$B$8,H1014=$B$9,H1014=$B$10,H1014=$B$11,H1014=$B$12,H1014=$B$13,H1014=$B$14),SottocategorieUscite[[#Headers],[Fuori Casa]],IF(OR(H1014=$C$5,H1014=$C$6,H1014=$C$7,H1014=$C$8,H1014=$C$9,H1014=$C$10,H1014=$C$11,H1014=$C$12,H1014=$C$13,H1014=$C$14),SottocategorieUscite[[#Headers],[Varie Uscite]],IF(OR(H1014=$D$5,H1014=$D$6,H1014=$D$7,H1014=$D$8,H1014=$D$9,H1014=$D$10,H1014=$D$11,H1014=$D$12,H1014=$D$13,H1014=$D$14),SottocategorieUscite[[#Headers],[Personali]],IF(OR(H1014=$E$5,H1014=$E$6,H1014=$E$7,H1014=$E$8,H1014=$E$9,H1014=$E$10,H1014=$E$11,H1014=$E$12,H1014=$E$13,H1014=$E$14),SottocategorieUscite[[#Headers],[Lavoro]],IF(OR(H1014=$F$5,H1014=$F$6,H1014=$F$7,H1014=$F$8,H1014=$F$9,H1014=$F$10,H1014=$F$11,H1014=$F$12,H1014=$F$13,H1014=$F$14),SottocategorieUscite[[#Headers],[Casa]],IF(OR(H1014=$G$5,H1014=$G$6,H1014=$G$7,H1014=$G$8,H1014=$G$9,H1014=$G$10,H1014=$G$11,H1014=$G$12,H1014=$G$13,H1014=$G$14),SottocategorieUscite[[#Headers],[Utenze]],IF(OR(H1014=$H$5,H1014=$H$6,H1014=$H$7,H1014=$H$8,H1014=$H$9,H1014=$H$10,H1014=$H$11,H1014=$H$12,H1014=$H$13,H1014=$H$14),SottocategorieUscite[[#Headers],[Business Uscite]],IF(OR(H1014=$I$5,H1014=$I$6,H1014=$I$7,H1014=$I$8,H1014=$I$9,H1014=$I$10,H1014=$I$11,H1014=$I$12,H1014=$I$13,H1014=$I$14),SottocategorieUscite[[#Headers],[Banca]],IF(OR(H1014=K$5,H1014=K$6,H1014=K$7,H1014=K$8,H1014=K$9,H1014=K$10,H1014=K$11,H1014=K$12,H1014=K$13,H1014=K$14),SottocategorieEntrate[[#Headers],[Business Entrate]],IF(OR(H1014=L$5,H1014=L$6,H1014=L$7,H1014=L$8,H1014=L$9,H1014=L$10,H1014=L$11,H1014=L$12,H1014=L$13,H1014=L$14),SottocategorieEntrate[[#Headers],[Varie Entrate]],IF(OR(H1014=M$5,H1014=M$6,H1014=M$7,H1014=M$8,H1014=M$9,H1014=M$10,H1014=M$11,H1014=M$12,H1014=M$13,H1014=M$14),SottocategorieEntrate[[#Headers],[Real Estate]],IF(OR(H1014=N$5,H1014=N$6,H1014=N$7,H1014=N$8,H1014=N$9,H1014=N$10,H1014=N$11,H1014=N$12,H1014=N$13,H1014=N$14),SottocategorieEntrate[[#Headers],[Other]],""))))))))))))</f>
        <v/>
      </c>
      <c r="J1014" t="str">
        <f>IF(OR(Dati[[#This Row],[Categoria]]="Bollette",Dati[[#This Row],[Categoria]]="Conto &amp; Carte BNL",Dati[[#This Row],[Categoria]]="Prelievo",Dati[[#This Row],[Categoria]]="Affitto",Dati[[#This Row],[Categoria]]="BNL(Interessi Creditori)"),"Carta",IF(Dati[[#This Row],[Categoria]]&lt;&gt;0,"Cash",""))</f>
        <v/>
      </c>
      <c r="K1014" s="59" t="str">
        <f>IF(OR(Data!$I1014=SottocategorieUscite[[#Headers],[Fuori Casa]],Data!$I1014=SottocategorieUscite[[#Headers],[Varie Uscite]],Data!$I1014=SottocategorieUscite[[#Headers],[Personali]],Data!$I1014=SottocategorieUscite[[#Headers],[Lavoro]]),"$ -","")</f>
        <v/>
      </c>
      <c r="L1014" s="59" t="str">
        <f>IF(OR(Data!$I1014=SottocategorieUscite[[#Headers],[Casa]],Data!$I1014=SottocategorieUscite[[#Headers],[Utenze]],Data!$I1014=SottocategorieUscite[[#Headers],[Business Uscite]],Data!$I1014=SottocategorieUscite[[#Headers],[Banca]]),"$ -","")</f>
        <v/>
      </c>
      <c r="M1014" s="59" t="str">
        <f>IF(OR($I1014&lt;&gt;SottocategorieUscite[[#Headers],[Fuori Casa]],$I1014&lt;&gt;SottocategorieUscite[[#Headers],[Varie Uscite]],$I1014&lt;&gt;SottocategorieUscite[[#Headers],[Personali]],$I1014&lt;&gt;SottocategorieUscite[[#Headers],[Lavoro]],$I1014&lt;&gt;SottocategorieUscite[[#Headers],[Casa]],$I1014&lt;&gt;SottocategorieUscite[[#Headers],[Utenze]],$I1014&lt;&gt;SottocategorieUscite[[#Headers],[Business Uscite]],$I1014&lt;&gt;SottocategorieUscite[[#Headers],[Banca]]),"","$ -")</f>
        <v/>
      </c>
      <c r="N1014" s="59" t="str">
        <f>IF(OR(Data!$I1014=SottocategorieEntrate[[#Headers],[Business Entrate]],Data!$I1014=SottocategorieEntrate[[#Headers],[Varie Entrate]]),"$ -","")</f>
        <v/>
      </c>
      <c r="O1014" s="59" t="str">
        <f>IF(OR(Data!$I1014=SottocategorieEntrate[[#Headers],[Real Estate]],SottocategorieEntrate[[#Headers],[Other]]),"$ -","")</f>
        <v/>
      </c>
      <c r="P1014" s="59" t="str">
        <f>IF(OR($I1014&lt;&gt;SottocategorieEntrate[[#Headers],[Business Entrate]],$I1014&lt;&gt;SottocategorieEntrate[[#Headers],[Varie Entrate]],$I1014&lt;&gt;SottocategorieEntrate[[#Headers],[Real Estate]],$I1014&lt;&gt;SottocategorieEntrate[[#Headers],[Other]]),"","$ -")</f>
        <v/>
      </c>
      <c r="Q1014" s="59" t="str">
        <f>IF(Dati[[#This Row],[Categoria]]="Prelievo","€ -","")</f>
        <v/>
      </c>
      <c r="R1014" s="244"/>
      <c r="S1014" s="59" t="str">
        <f>IF(Dati[[#This Row],[Categoria]]="Savings",0,"")</f>
        <v/>
      </c>
      <c r="T1014" s="59"/>
      <c r="U1014" s="59"/>
      <c r="V1014" s="59"/>
      <c r="W1014" s="59"/>
      <c r="X1014" s="59"/>
      <c r="Y1014" s="59"/>
      <c r="Z1014" s="59"/>
      <c r="AA1014" s="59"/>
      <c r="AB1014" s="59"/>
      <c r="AC1014" s="59"/>
      <c r="AD1014" s="59"/>
      <c r="AE1014" s="59"/>
      <c r="AF1014" s="59"/>
      <c r="AG1014" s="59"/>
      <c r="AH1014" s="59"/>
      <c r="AI1014" s="59" t="str">
        <f>IF(SUM(Dati[[#This Row],[Inv. Business]:[Inv. Cryptocurrency]])=0," ",SUM(Dati[[#This Row],[Inv. Business]:[Inv. Cryptocurrency]]))</f>
        <v xml:space="preserve"> </v>
      </c>
      <c r="AJ1014" s="59"/>
      <c r="AK1014" s="59"/>
      <c r="AL1014" s="59"/>
      <c r="AM1014" s="59"/>
    </row>
    <row r="1015" spans="2:39" x14ac:dyDescent="0.35">
      <c r="B1015" s="237">
        <f>ROW(963:963)</f>
        <v>963</v>
      </c>
      <c r="C1015" s="49">
        <f>C1011+1</f>
        <v>45642</v>
      </c>
      <c r="D1015" s="29">
        <f>DAY(Dati[[#This Row],[Data]])</f>
        <v>16</v>
      </c>
      <c r="E1015" s="29" t="str">
        <f>IF(DAY(Data!$C$21:$C$1327)&gt;0,TEXT(Data!$C$21:$C$1327, "mmmm"),"")</f>
        <v>dicembre</v>
      </c>
      <c r="F1015" s="29" t="str">
        <f>IF(DAY(Data!$C$21:$C$1327)&gt;0,TEXT(Data!$C$21:$C$1327, "aaaa"),"")</f>
        <v>2024</v>
      </c>
      <c r="I1015" t="str">
        <f>IF(OR(H1015=$B$5,H1015=$B$6,H1015=$B$7,H1015=$B$8,H1015=$B$9,H1015=$B$10,H1015=$B$11,H1015=$B$12,H1015=$B$13,H1015=$B$14),SottocategorieUscite[[#Headers],[Fuori Casa]],IF(OR(H1015=$C$5,H1015=$C$6,H1015=$C$7,H1015=$C$8,H1015=$C$9,H1015=$C$10,H1015=$C$11,H1015=$C$12,H1015=$C$13,H1015=$C$14),SottocategorieUscite[[#Headers],[Varie Uscite]],IF(OR(H1015=$D$5,H1015=$D$6,H1015=$D$7,H1015=$D$8,H1015=$D$9,H1015=$D$10,H1015=$D$11,H1015=$D$12,H1015=$D$13,H1015=$D$14),SottocategorieUscite[[#Headers],[Personali]],IF(OR(H1015=$E$5,H1015=$E$6,H1015=$E$7,H1015=$E$8,H1015=$E$9,H1015=$E$10,H1015=$E$11,H1015=$E$12,H1015=$E$13,H1015=$E$14),SottocategorieUscite[[#Headers],[Lavoro]],IF(OR(H1015=$F$5,H1015=$F$6,H1015=$F$7,H1015=$F$8,H1015=$F$9,H1015=$F$10,H1015=$F$11,H1015=$F$12,H1015=$F$13,H1015=$F$14),SottocategorieUscite[[#Headers],[Casa]],IF(OR(H1015=$G$5,H1015=$G$6,H1015=$G$7,H1015=$G$8,H1015=$G$9,H1015=$G$10,H1015=$G$11,H1015=$G$12,H1015=$G$13,H1015=$G$14),SottocategorieUscite[[#Headers],[Utenze]],IF(OR(H1015=$H$5,H1015=$H$6,H1015=$H$7,H1015=$H$8,H1015=$H$9,H1015=$H$10,H1015=$H$11,H1015=$H$12,H1015=$H$13,H1015=$H$14),SottocategorieUscite[[#Headers],[Business Uscite]],IF(OR(H1015=$I$5,H1015=$I$6,H1015=$I$7,H1015=$I$8,H1015=$I$9,H1015=$I$10,H1015=$I$11,H1015=$I$12,H1015=$I$13,H1015=$I$14),SottocategorieUscite[[#Headers],[Banca]],IF(OR(H1015=K$5,H1015=K$6,H1015=K$7,H1015=K$8,H1015=K$9,H1015=K$10,H1015=K$11,H1015=K$12,H1015=K$13,H1015=K$14),SottocategorieEntrate[[#Headers],[Business Entrate]],IF(OR(H1015=L$5,H1015=L$6,H1015=L$7,H1015=L$8,H1015=L$9,H1015=L$10,H1015=L$11,H1015=L$12,H1015=L$13,H1015=L$14),SottocategorieEntrate[[#Headers],[Varie Entrate]],IF(OR(H1015=M$5,H1015=M$6,H1015=M$7,H1015=M$8,H1015=M$9,H1015=M$10,H1015=M$11,H1015=M$12,H1015=M$13,H1015=M$14),SottocategorieEntrate[[#Headers],[Real Estate]],IF(OR(H1015=N$5,H1015=N$6,H1015=N$7,H1015=N$8,H1015=N$9,H1015=N$10,H1015=N$11,H1015=N$12,H1015=N$13,H1015=N$14),SottocategorieEntrate[[#Headers],[Other]],""))))))))))))</f>
        <v/>
      </c>
      <c r="J1015" t="str">
        <f>IF(OR(Dati[[#This Row],[Categoria]]="Bollette",Dati[[#This Row],[Categoria]]="Conto &amp; Carte BNL",Dati[[#This Row],[Categoria]]="Prelievo",Dati[[#This Row],[Categoria]]="Affitto",Dati[[#This Row],[Categoria]]="BNL(Interessi Creditori)"),"Carta",IF(Dati[[#This Row],[Categoria]]&lt;&gt;0,"Cash",""))</f>
        <v/>
      </c>
      <c r="K1015" s="59" t="str">
        <f>IF(OR(Data!$I1015=SottocategorieUscite[[#Headers],[Fuori Casa]],Data!$I1015=SottocategorieUscite[[#Headers],[Varie Uscite]],Data!$I1015=SottocategorieUscite[[#Headers],[Personali]],Data!$I1015=SottocategorieUscite[[#Headers],[Lavoro]]),"$ -","")</f>
        <v/>
      </c>
      <c r="L1015" s="59" t="str">
        <f>IF(OR(Data!$I1015=SottocategorieUscite[[#Headers],[Casa]],Data!$I1015=SottocategorieUscite[[#Headers],[Utenze]],Data!$I1015=SottocategorieUscite[[#Headers],[Business Uscite]],Data!$I1015=SottocategorieUscite[[#Headers],[Banca]]),"$ -","")</f>
        <v/>
      </c>
      <c r="M1015" s="59" t="str">
        <f>IF(OR($I1015&lt;&gt;SottocategorieUscite[[#Headers],[Fuori Casa]],$I1015&lt;&gt;SottocategorieUscite[[#Headers],[Varie Uscite]],$I1015&lt;&gt;SottocategorieUscite[[#Headers],[Personali]],$I1015&lt;&gt;SottocategorieUscite[[#Headers],[Lavoro]],$I1015&lt;&gt;SottocategorieUscite[[#Headers],[Casa]],$I1015&lt;&gt;SottocategorieUscite[[#Headers],[Utenze]],$I1015&lt;&gt;SottocategorieUscite[[#Headers],[Business Uscite]],$I1015&lt;&gt;SottocategorieUscite[[#Headers],[Banca]]),"","$ -")</f>
        <v/>
      </c>
      <c r="N1015" s="59" t="str">
        <f>IF(OR(Data!$I1015=SottocategorieEntrate[[#Headers],[Business Entrate]],Data!$I1015=SottocategorieEntrate[[#Headers],[Varie Entrate]]),"$ -","")</f>
        <v/>
      </c>
      <c r="O1015" s="59" t="str">
        <f>IF(OR(Data!$I1015=SottocategorieEntrate[[#Headers],[Real Estate]],SottocategorieEntrate[[#Headers],[Other]]),"$ -","")</f>
        <v/>
      </c>
      <c r="P1015" s="59" t="str">
        <f>IF(OR($I1015&lt;&gt;SottocategorieEntrate[[#Headers],[Business Entrate]],$I1015&lt;&gt;SottocategorieEntrate[[#Headers],[Varie Entrate]],$I1015&lt;&gt;SottocategorieEntrate[[#Headers],[Real Estate]],$I1015&lt;&gt;SottocategorieEntrate[[#Headers],[Other]]),"","$ -")</f>
        <v/>
      </c>
      <c r="Q1015" s="59" t="str">
        <f>IF(Dati[[#This Row],[Categoria]]="Prelievo","€ -","")</f>
        <v/>
      </c>
      <c r="R1015" s="244"/>
      <c r="S1015" s="59" t="str">
        <f>IF(Dati[[#This Row],[Categoria]]="Savings",0,"")</f>
        <v/>
      </c>
      <c r="T1015" s="59"/>
      <c r="U1015" s="59"/>
      <c r="V1015" s="59"/>
      <c r="W1015" s="59"/>
      <c r="X1015" s="59"/>
      <c r="Y1015" s="59"/>
      <c r="Z1015" s="59"/>
      <c r="AA1015" s="59"/>
      <c r="AB1015" s="59"/>
      <c r="AC1015" s="59"/>
      <c r="AD1015" s="59"/>
      <c r="AE1015" s="59"/>
      <c r="AF1015" s="59"/>
      <c r="AG1015" s="59"/>
      <c r="AH1015" s="59"/>
      <c r="AI1015" s="59" t="str">
        <f>IF(SUM(Dati[[#This Row],[Inv. Business]:[Inv. Cryptocurrency]])=0," ",SUM(Dati[[#This Row],[Inv. Business]:[Inv. Cryptocurrency]]))</f>
        <v xml:space="preserve"> </v>
      </c>
      <c r="AJ1015" s="59"/>
      <c r="AK1015" s="59"/>
      <c r="AL1015" s="59"/>
      <c r="AM1015" s="59"/>
    </row>
    <row r="1016" spans="2:39" x14ac:dyDescent="0.35">
      <c r="B1016" s="237">
        <f>ROW(969:969)</f>
        <v>969</v>
      </c>
      <c r="C1016" s="49">
        <f>C1014+1</f>
        <v>45642</v>
      </c>
      <c r="D1016" s="29">
        <f>DAY(Dati[[#This Row],[Data]])</f>
        <v>16</v>
      </c>
      <c r="E1016" s="29" t="str">
        <f>IF(DAY(Data!$C$21:$C$1327)&gt;0,TEXT(Data!$C$21:$C$1327, "mmmm"),"")</f>
        <v>dicembre</v>
      </c>
      <c r="F1016" s="29" t="str">
        <f>IF(DAY(Data!$C$21:$C$1327)&gt;0,TEXT(Data!$C$21:$C$1327, "aaaa"),"")</f>
        <v>2024</v>
      </c>
      <c r="I1016" t="str">
        <f>IF(OR(H1016=$B$5,H1016=$B$6,H1016=$B$7,H1016=$B$8,H1016=$B$9,H1016=$B$10,H1016=$B$11,H1016=$B$12,H1016=$B$13,H1016=$B$14),SottocategorieUscite[[#Headers],[Fuori Casa]],IF(OR(H1016=$C$5,H1016=$C$6,H1016=$C$7,H1016=$C$8,H1016=$C$9,H1016=$C$10,H1016=$C$11,H1016=$C$12,H1016=$C$13,H1016=$C$14),SottocategorieUscite[[#Headers],[Varie Uscite]],IF(OR(H1016=$D$5,H1016=$D$6,H1016=$D$7,H1016=$D$8,H1016=$D$9,H1016=$D$10,H1016=$D$11,H1016=$D$12,H1016=$D$13,H1016=$D$14),SottocategorieUscite[[#Headers],[Personali]],IF(OR(H1016=$E$5,H1016=$E$6,H1016=$E$7,H1016=$E$8,H1016=$E$9,H1016=$E$10,H1016=$E$11,H1016=$E$12,H1016=$E$13,H1016=$E$14),SottocategorieUscite[[#Headers],[Lavoro]],IF(OR(H1016=$F$5,H1016=$F$6,H1016=$F$7,H1016=$F$8,H1016=$F$9,H1016=$F$10,H1016=$F$11,H1016=$F$12,H1016=$F$13,H1016=$F$14),SottocategorieUscite[[#Headers],[Casa]],IF(OR(H1016=$G$5,H1016=$G$6,H1016=$G$7,H1016=$G$8,H1016=$G$9,H1016=$G$10,H1016=$G$11,H1016=$G$12,H1016=$G$13,H1016=$G$14),SottocategorieUscite[[#Headers],[Utenze]],IF(OR(H1016=$H$5,H1016=$H$6,H1016=$H$7,H1016=$H$8,H1016=$H$9,H1016=$H$10,H1016=$H$11,H1016=$H$12,H1016=$H$13,H1016=$H$14),SottocategorieUscite[[#Headers],[Business Uscite]],IF(OR(H1016=$I$5,H1016=$I$6,H1016=$I$7,H1016=$I$8,H1016=$I$9,H1016=$I$10,H1016=$I$11,H1016=$I$12,H1016=$I$13,H1016=$I$14),SottocategorieUscite[[#Headers],[Banca]],IF(OR(H1016=K$5,H1016=K$6,H1016=K$7,H1016=K$8,H1016=K$9,H1016=K$10,H1016=K$11,H1016=K$12,H1016=K$13,H1016=K$14),SottocategorieEntrate[[#Headers],[Business Entrate]],IF(OR(H1016=L$5,H1016=L$6,H1016=L$7,H1016=L$8,H1016=L$9,H1016=L$10,H1016=L$11,H1016=L$12,H1016=L$13,H1016=L$14),SottocategorieEntrate[[#Headers],[Varie Entrate]],IF(OR(H1016=M$5,H1016=M$6,H1016=M$7,H1016=M$8,H1016=M$9,H1016=M$10,H1016=M$11,H1016=M$12,H1016=M$13,H1016=M$14),SottocategorieEntrate[[#Headers],[Real Estate]],IF(OR(H1016=N$5,H1016=N$6,H1016=N$7,H1016=N$8,H1016=N$9,H1016=N$10,H1016=N$11,H1016=N$12,H1016=N$13,H1016=N$14),SottocategorieEntrate[[#Headers],[Other]],""))))))))))))</f>
        <v/>
      </c>
      <c r="J1016" t="str">
        <f>IF(OR(Dati[[#This Row],[Categoria]]="Bollette",Dati[[#This Row],[Categoria]]="Conto &amp; Carte BNL",Dati[[#This Row],[Categoria]]="Prelievo",Dati[[#This Row],[Categoria]]="Affitto",Dati[[#This Row],[Categoria]]="BNL(Interessi Creditori)"),"Carta",IF(Dati[[#This Row],[Categoria]]&lt;&gt;0,"Cash",""))</f>
        <v/>
      </c>
      <c r="K1016" s="59" t="str">
        <f>IF(OR(Data!$I1016=SottocategorieUscite[[#Headers],[Fuori Casa]],Data!$I1016=SottocategorieUscite[[#Headers],[Varie Uscite]],Data!$I1016=SottocategorieUscite[[#Headers],[Personali]],Data!$I1016=SottocategorieUscite[[#Headers],[Lavoro]]),"$ -","")</f>
        <v/>
      </c>
      <c r="L1016" s="59" t="str">
        <f>IF(OR(Data!$I1016=SottocategorieUscite[[#Headers],[Casa]],Data!$I1016=SottocategorieUscite[[#Headers],[Utenze]],Data!$I1016=SottocategorieUscite[[#Headers],[Business Uscite]],Data!$I1016=SottocategorieUscite[[#Headers],[Banca]]),"$ -","")</f>
        <v/>
      </c>
      <c r="M1016" s="59" t="str">
        <f>IF(OR($I1016&lt;&gt;SottocategorieUscite[[#Headers],[Fuori Casa]],$I1016&lt;&gt;SottocategorieUscite[[#Headers],[Varie Uscite]],$I1016&lt;&gt;SottocategorieUscite[[#Headers],[Personali]],$I1016&lt;&gt;SottocategorieUscite[[#Headers],[Lavoro]],$I1016&lt;&gt;SottocategorieUscite[[#Headers],[Casa]],$I1016&lt;&gt;SottocategorieUscite[[#Headers],[Utenze]],$I1016&lt;&gt;SottocategorieUscite[[#Headers],[Business Uscite]],$I1016&lt;&gt;SottocategorieUscite[[#Headers],[Banca]]),"","$ -")</f>
        <v/>
      </c>
      <c r="N1016" s="59" t="str">
        <f>IF(OR(Data!$I1016=SottocategorieEntrate[[#Headers],[Business Entrate]],Data!$I1016=SottocategorieEntrate[[#Headers],[Varie Entrate]]),"$ -","")</f>
        <v/>
      </c>
      <c r="O1016" s="59" t="str">
        <f>IF(OR(Data!$I1016=SottocategorieEntrate[[#Headers],[Real Estate]],SottocategorieEntrate[[#Headers],[Other]]),"$ -","")</f>
        <v/>
      </c>
      <c r="P1016" s="59" t="str">
        <f>IF(OR($I1016&lt;&gt;SottocategorieEntrate[[#Headers],[Business Entrate]],$I1016&lt;&gt;SottocategorieEntrate[[#Headers],[Varie Entrate]],$I1016&lt;&gt;SottocategorieEntrate[[#Headers],[Real Estate]],$I1016&lt;&gt;SottocategorieEntrate[[#Headers],[Other]]),"","$ -")</f>
        <v/>
      </c>
      <c r="Q1016" s="59" t="str">
        <f>IF(Dati[[#This Row],[Categoria]]="Prelievo","€ -","")</f>
        <v/>
      </c>
      <c r="R1016" s="244"/>
      <c r="S1016" s="59" t="str">
        <f>IF(Dati[[#This Row],[Categoria]]="Savings",0,"")</f>
        <v/>
      </c>
      <c r="T1016" s="59"/>
      <c r="U1016" s="59"/>
      <c r="V1016" s="59"/>
      <c r="W1016" s="59"/>
      <c r="X1016" s="59"/>
      <c r="Y1016" s="59"/>
      <c r="Z1016" s="59"/>
      <c r="AA1016" s="59"/>
      <c r="AB1016" s="59"/>
      <c r="AC1016" s="59"/>
      <c r="AD1016" s="59"/>
      <c r="AE1016" s="59"/>
      <c r="AF1016" s="59"/>
      <c r="AG1016" s="59"/>
      <c r="AH1016" s="59"/>
      <c r="AI1016" s="59" t="str">
        <f>IF(SUM(Dati[[#This Row],[Inv. Business]:[Inv. Cryptocurrency]])=0," ",SUM(Dati[[#This Row],[Inv. Business]:[Inv. Cryptocurrency]]))</f>
        <v xml:space="preserve"> </v>
      </c>
      <c r="AJ1016" s="59"/>
      <c r="AK1016" s="59"/>
      <c r="AL1016" s="59"/>
      <c r="AM1016" s="59"/>
    </row>
    <row r="1017" spans="2:39" x14ac:dyDescent="0.35">
      <c r="B1017" s="237">
        <f>ROW(970:970)</f>
        <v>970</v>
      </c>
      <c r="C1017" s="49">
        <f>C1015+1</f>
        <v>45643</v>
      </c>
      <c r="D1017" s="29">
        <f>DAY(Dati[[#This Row],[Data]])</f>
        <v>17</v>
      </c>
      <c r="E1017" s="29" t="str">
        <f>IF(DAY(Data!$C$21:$C$1327)&gt;0,TEXT(Data!$C$21:$C$1327, "mmmm"),"")</f>
        <v>dicembre</v>
      </c>
      <c r="F1017" s="29" t="str">
        <f>IF(DAY(Data!$C$21:$C$1327)&gt;0,TEXT(Data!$C$21:$C$1327, "aaaa"),"")</f>
        <v>2024</v>
      </c>
      <c r="I1017" t="str">
        <f>IF(OR(H1017=$B$5,H1017=$B$6,H1017=$B$7,H1017=$B$8,H1017=$B$9,H1017=$B$10,H1017=$B$11,H1017=$B$12,H1017=$B$13,H1017=$B$14),SottocategorieUscite[[#Headers],[Fuori Casa]],IF(OR(H1017=$C$5,H1017=$C$6,H1017=$C$7,H1017=$C$8,H1017=$C$9,H1017=$C$10,H1017=$C$11,H1017=$C$12,H1017=$C$13,H1017=$C$14),SottocategorieUscite[[#Headers],[Varie Uscite]],IF(OR(H1017=$D$5,H1017=$D$6,H1017=$D$7,H1017=$D$8,H1017=$D$9,H1017=$D$10,H1017=$D$11,H1017=$D$12,H1017=$D$13,H1017=$D$14),SottocategorieUscite[[#Headers],[Personali]],IF(OR(H1017=$E$5,H1017=$E$6,H1017=$E$7,H1017=$E$8,H1017=$E$9,H1017=$E$10,H1017=$E$11,H1017=$E$12,H1017=$E$13,H1017=$E$14),SottocategorieUscite[[#Headers],[Lavoro]],IF(OR(H1017=$F$5,H1017=$F$6,H1017=$F$7,H1017=$F$8,H1017=$F$9,H1017=$F$10,H1017=$F$11,H1017=$F$12,H1017=$F$13,H1017=$F$14),SottocategorieUscite[[#Headers],[Casa]],IF(OR(H1017=$G$5,H1017=$G$6,H1017=$G$7,H1017=$G$8,H1017=$G$9,H1017=$G$10,H1017=$G$11,H1017=$G$12,H1017=$G$13,H1017=$G$14),SottocategorieUscite[[#Headers],[Utenze]],IF(OR(H1017=$H$5,H1017=$H$6,H1017=$H$7,H1017=$H$8,H1017=$H$9,H1017=$H$10,H1017=$H$11,H1017=$H$12,H1017=$H$13,H1017=$H$14),SottocategorieUscite[[#Headers],[Business Uscite]],IF(OR(H1017=$I$5,H1017=$I$6,H1017=$I$7,H1017=$I$8,H1017=$I$9,H1017=$I$10,H1017=$I$11,H1017=$I$12,H1017=$I$13,H1017=$I$14),SottocategorieUscite[[#Headers],[Banca]],IF(OR(H1017=K$5,H1017=K$6,H1017=K$7,H1017=K$8,H1017=K$9,H1017=K$10,H1017=K$11,H1017=K$12,H1017=K$13,H1017=K$14),SottocategorieEntrate[[#Headers],[Business Entrate]],IF(OR(H1017=L$5,H1017=L$6,H1017=L$7,H1017=L$8,H1017=L$9,H1017=L$10,H1017=L$11,H1017=L$12,H1017=L$13,H1017=L$14),SottocategorieEntrate[[#Headers],[Varie Entrate]],IF(OR(H1017=M$5,H1017=M$6,H1017=M$7,H1017=M$8,H1017=M$9,H1017=M$10,H1017=M$11,H1017=M$12,H1017=M$13,H1017=M$14),SottocategorieEntrate[[#Headers],[Real Estate]],IF(OR(H1017=N$5,H1017=N$6,H1017=N$7,H1017=N$8,H1017=N$9,H1017=N$10,H1017=N$11,H1017=N$12,H1017=N$13,H1017=N$14),SottocategorieEntrate[[#Headers],[Other]],""))))))))))))</f>
        <v/>
      </c>
      <c r="J1017" t="str">
        <f>IF(OR(Dati[[#This Row],[Categoria]]="Bollette",Dati[[#This Row],[Categoria]]="Conto &amp; Carte BNL",Dati[[#This Row],[Categoria]]="Prelievo",Dati[[#This Row],[Categoria]]="Affitto",Dati[[#This Row],[Categoria]]="BNL(Interessi Creditori)"),"Carta",IF(Dati[[#This Row],[Categoria]]&lt;&gt;0,"Cash",""))</f>
        <v/>
      </c>
      <c r="K1017" s="59" t="str">
        <f>IF(OR(Data!$I1017=SottocategorieUscite[[#Headers],[Fuori Casa]],Data!$I1017=SottocategorieUscite[[#Headers],[Varie Uscite]],Data!$I1017=SottocategorieUscite[[#Headers],[Personali]],Data!$I1017=SottocategorieUscite[[#Headers],[Lavoro]]),"$ -","")</f>
        <v/>
      </c>
      <c r="L1017" s="59" t="str">
        <f>IF(OR(Data!$I1017=SottocategorieUscite[[#Headers],[Casa]],Data!$I1017=SottocategorieUscite[[#Headers],[Utenze]],Data!$I1017=SottocategorieUscite[[#Headers],[Business Uscite]],Data!$I1017=SottocategorieUscite[[#Headers],[Banca]]),"$ -","")</f>
        <v/>
      </c>
      <c r="M1017" s="59" t="str">
        <f>IF(OR($I1017&lt;&gt;SottocategorieUscite[[#Headers],[Fuori Casa]],$I1017&lt;&gt;SottocategorieUscite[[#Headers],[Varie Uscite]],$I1017&lt;&gt;SottocategorieUscite[[#Headers],[Personali]],$I1017&lt;&gt;SottocategorieUscite[[#Headers],[Lavoro]],$I1017&lt;&gt;SottocategorieUscite[[#Headers],[Casa]],$I1017&lt;&gt;SottocategorieUscite[[#Headers],[Utenze]],$I1017&lt;&gt;SottocategorieUscite[[#Headers],[Business Uscite]],$I1017&lt;&gt;SottocategorieUscite[[#Headers],[Banca]]),"","$ -")</f>
        <v/>
      </c>
      <c r="N1017" s="59" t="str">
        <f>IF(OR(Data!$I1017=SottocategorieEntrate[[#Headers],[Business Entrate]],Data!$I1017=SottocategorieEntrate[[#Headers],[Varie Entrate]]),"$ -","")</f>
        <v/>
      </c>
      <c r="O1017" s="59" t="str">
        <f>IF(OR(Data!$I1017=SottocategorieEntrate[[#Headers],[Real Estate]],SottocategorieEntrate[[#Headers],[Other]]),"$ -","")</f>
        <v/>
      </c>
      <c r="P1017" s="59" t="str">
        <f>IF(OR($I1017&lt;&gt;SottocategorieEntrate[[#Headers],[Business Entrate]],$I1017&lt;&gt;SottocategorieEntrate[[#Headers],[Varie Entrate]],$I1017&lt;&gt;SottocategorieEntrate[[#Headers],[Real Estate]],$I1017&lt;&gt;SottocategorieEntrate[[#Headers],[Other]]),"","$ -")</f>
        <v/>
      </c>
      <c r="Q1017" s="59" t="str">
        <f>IF(Dati[[#This Row],[Categoria]]="Prelievo","€ -","")</f>
        <v/>
      </c>
      <c r="R1017" s="244"/>
      <c r="S1017" s="59" t="str">
        <f>IF(Dati[[#This Row],[Categoria]]="Savings",0,"")</f>
        <v/>
      </c>
      <c r="T1017" s="59"/>
      <c r="U1017" s="59"/>
      <c r="V1017" s="59"/>
      <c r="W1017" s="59"/>
      <c r="X1017" s="59"/>
      <c r="Y1017" s="59"/>
      <c r="Z1017" s="59"/>
      <c r="AA1017" s="59"/>
      <c r="AB1017" s="59"/>
      <c r="AC1017" s="59"/>
      <c r="AD1017" s="59"/>
      <c r="AE1017" s="59"/>
      <c r="AF1017" s="59"/>
      <c r="AG1017" s="59"/>
      <c r="AH1017" s="59"/>
      <c r="AI1017" s="59" t="str">
        <f>IF(SUM(Dati[[#This Row],[Inv. Business]:[Inv. Cryptocurrency]])=0," ",SUM(Dati[[#This Row],[Inv. Business]:[Inv. Cryptocurrency]]))</f>
        <v xml:space="preserve"> </v>
      </c>
      <c r="AJ1017" s="59"/>
      <c r="AK1017" s="59"/>
      <c r="AL1017" s="59"/>
      <c r="AM1017" s="59"/>
    </row>
    <row r="1018" spans="2:39" x14ac:dyDescent="0.35">
      <c r="B1018" s="237">
        <f>ROW(971:971)</f>
        <v>971</v>
      </c>
      <c r="C1018" s="49">
        <f t="shared" si="53"/>
        <v>45644</v>
      </c>
      <c r="D1018" s="29">
        <f>DAY(Dati[[#This Row],[Data]])</f>
        <v>18</v>
      </c>
      <c r="E1018" s="29" t="str">
        <f>IF(DAY(Data!$C$21:$C$1327)&gt;0,TEXT(Data!$C$21:$C$1327, "mmmm"),"")</f>
        <v>dicembre</v>
      </c>
      <c r="F1018" s="29" t="str">
        <f>IF(DAY(Data!$C$21:$C$1327)&gt;0,TEXT(Data!$C$21:$C$1327, "aaaa"),"")</f>
        <v>2024</v>
      </c>
      <c r="I1018" t="str">
        <f>IF(OR(H1018=$B$5,H1018=$B$6,H1018=$B$7,H1018=$B$8,H1018=$B$9,H1018=$B$10,H1018=$B$11,H1018=$B$12,H1018=$B$13,H1018=$B$14),SottocategorieUscite[[#Headers],[Fuori Casa]],IF(OR(H1018=$C$5,H1018=$C$6,H1018=$C$7,H1018=$C$8,H1018=$C$9,H1018=$C$10,H1018=$C$11,H1018=$C$12,H1018=$C$13,H1018=$C$14),SottocategorieUscite[[#Headers],[Varie Uscite]],IF(OR(H1018=$D$5,H1018=$D$6,H1018=$D$7,H1018=$D$8,H1018=$D$9,H1018=$D$10,H1018=$D$11,H1018=$D$12,H1018=$D$13,H1018=$D$14),SottocategorieUscite[[#Headers],[Personali]],IF(OR(H1018=$E$5,H1018=$E$6,H1018=$E$7,H1018=$E$8,H1018=$E$9,H1018=$E$10,H1018=$E$11,H1018=$E$12,H1018=$E$13,H1018=$E$14),SottocategorieUscite[[#Headers],[Lavoro]],IF(OR(H1018=$F$5,H1018=$F$6,H1018=$F$7,H1018=$F$8,H1018=$F$9,H1018=$F$10,H1018=$F$11,H1018=$F$12,H1018=$F$13,H1018=$F$14),SottocategorieUscite[[#Headers],[Casa]],IF(OR(H1018=$G$5,H1018=$G$6,H1018=$G$7,H1018=$G$8,H1018=$G$9,H1018=$G$10,H1018=$G$11,H1018=$G$12,H1018=$G$13,H1018=$G$14),SottocategorieUscite[[#Headers],[Utenze]],IF(OR(H1018=$H$5,H1018=$H$6,H1018=$H$7,H1018=$H$8,H1018=$H$9,H1018=$H$10,H1018=$H$11,H1018=$H$12,H1018=$H$13,H1018=$H$14),SottocategorieUscite[[#Headers],[Business Uscite]],IF(OR(H1018=$I$5,H1018=$I$6,H1018=$I$7,H1018=$I$8,H1018=$I$9,H1018=$I$10,H1018=$I$11,H1018=$I$12,H1018=$I$13,H1018=$I$14),SottocategorieUscite[[#Headers],[Banca]],IF(OR(H1018=K$5,H1018=K$6,H1018=K$7,H1018=K$8,H1018=K$9,H1018=K$10,H1018=K$11,H1018=K$12,H1018=K$13,H1018=K$14),SottocategorieEntrate[[#Headers],[Business Entrate]],IF(OR(H1018=L$5,H1018=L$6,H1018=L$7,H1018=L$8,H1018=L$9,H1018=L$10,H1018=L$11,H1018=L$12,H1018=L$13,H1018=L$14),SottocategorieEntrate[[#Headers],[Varie Entrate]],IF(OR(H1018=M$5,H1018=M$6,H1018=M$7,H1018=M$8,H1018=M$9,H1018=M$10,H1018=M$11,H1018=M$12,H1018=M$13,H1018=M$14),SottocategorieEntrate[[#Headers],[Real Estate]],IF(OR(H1018=N$5,H1018=N$6,H1018=N$7,H1018=N$8,H1018=N$9,H1018=N$10,H1018=N$11,H1018=N$12,H1018=N$13,H1018=N$14),SottocategorieEntrate[[#Headers],[Other]],""))))))))))))</f>
        <v/>
      </c>
      <c r="J1018" t="str">
        <f>IF(OR(Dati[[#This Row],[Categoria]]="Bollette",Dati[[#This Row],[Categoria]]="Conto &amp; Carte BNL",Dati[[#This Row],[Categoria]]="Prelievo",Dati[[#This Row],[Categoria]]="Affitto",Dati[[#This Row],[Categoria]]="BNL(Interessi Creditori)"),"Carta",IF(Dati[[#This Row],[Categoria]]&lt;&gt;0,"Cash",""))</f>
        <v/>
      </c>
      <c r="K1018" s="59" t="str">
        <f>IF(OR(Data!$I1018=SottocategorieUscite[[#Headers],[Fuori Casa]],Data!$I1018=SottocategorieUscite[[#Headers],[Varie Uscite]],Data!$I1018=SottocategorieUscite[[#Headers],[Personali]],Data!$I1018=SottocategorieUscite[[#Headers],[Lavoro]]),"$ -","")</f>
        <v/>
      </c>
      <c r="L1018" s="59" t="str">
        <f>IF(OR(Data!$I1018=SottocategorieUscite[[#Headers],[Casa]],Data!$I1018=SottocategorieUscite[[#Headers],[Utenze]],Data!$I1018=SottocategorieUscite[[#Headers],[Business Uscite]],Data!$I1018=SottocategorieUscite[[#Headers],[Banca]]),"$ -","")</f>
        <v/>
      </c>
      <c r="M1018" s="59" t="str">
        <f>IF(OR($I1018&lt;&gt;SottocategorieUscite[[#Headers],[Fuori Casa]],$I1018&lt;&gt;SottocategorieUscite[[#Headers],[Varie Uscite]],$I1018&lt;&gt;SottocategorieUscite[[#Headers],[Personali]],$I1018&lt;&gt;SottocategorieUscite[[#Headers],[Lavoro]],$I1018&lt;&gt;SottocategorieUscite[[#Headers],[Casa]],$I1018&lt;&gt;SottocategorieUscite[[#Headers],[Utenze]],$I1018&lt;&gt;SottocategorieUscite[[#Headers],[Business Uscite]],$I1018&lt;&gt;SottocategorieUscite[[#Headers],[Banca]]),"","$ -")</f>
        <v/>
      </c>
      <c r="N1018" s="59" t="str">
        <f>IF(OR(Data!$I1018=SottocategorieEntrate[[#Headers],[Business Entrate]],Data!$I1018=SottocategorieEntrate[[#Headers],[Varie Entrate]]),"$ -","")</f>
        <v/>
      </c>
      <c r="O1018" s="59" t="str">
        <f>IF(OR(Data!$I1018=SottocategorieEntrate[[#Headers],[Real Estate]],SottocategorieEntrate[[#Headers],[Other]]),"$ -","")</f>
        <v/>
      </c>
      <c r="P1018" s="59" t="str">
        <f>IF(OR($I1018&lt;&gt;SottocategorieEntrate[[#Headers],[Business Entrate]],$I1018&lt;&gt;SottocategorieEntrate[[#Headers],[Varie Entrate]],$I1018&lt;&gt;SottocategorieEntrate[[#Headers],[Real Estate]],$I1018&lt;&gt;SottocategorieEntrate[[#Headers],[Other]]),"","$ -")</f>
        <v/>
      </c>
      <c r="Q1018" s="59" t="str">
        <f>IF(Dati[[#This Row],[Categoria]]="Prelievo","€ -","")</f>
        <v/>
      </c>
      <c r="R1018" s="244"/>
      <c r="S1018" s="59" t="str">
        <f>IF(Dati[[#This Row],[Categoria]]="Savings",0,"")</f>
        <v/>
      </c>
      <c r="T1018" s="59"/>
      <c r="U1018" s="59"/>
      <c r="V1018" s="59"/>
      <c r="W1018" s="59"/>
      <c r="X1018" s="59"/>
      <c r="Y1018" s="59"/>
      <c r="Z1018" s="59"/>
      <c r="AA1018" s="59"/>
      <c r="AB1018" s="59"/>
      <c r="AC1018" s="59"/>
      <c r="AD1018" s="59"/>
      <c r="AE1018" s="59"/>
      <c r="AF1018" s="59"/>
      <c r="AG1018" s="59"/>
      <c r="AH1018" s="59"/>
      <c r="AI1018" s="59" t="str">
        <f>IF(SUM(Dati[[#This Row],[Inv. Business]:[Inv. Cryptocurrency]])=0," ",SUM(Dati[[#This Row],[Inv. Business]:[Inv. Cryptocurrency]]))</f>
        <v xml:space="preserve"> </v>
      </c>
      <c r="AJ1018" s="59"/>
      <c r="AK1018" s="59"/>
      <c r="AL1018" s="59"/>
      <c r="AM1018" s="59"/>
    </row>
    <row r="1019" spans="2:39" x14ac:dyDescent="0.35">
      <c r="B1019" s="237">
        <f>ROW(972:972)</f>
        <v>972</v>
      </c>
      <c r="C1019" s="49">
        <f>C1017+1</f>
        <v>45644</v>
      </c>
      <c r="D1019" s="29">
        <f>DAY(Dati[[#This Row],[Data]])</f>
        <v>18</v>
      </c>
      <c r="E1019" s="29" t="str">
        <f>IF(DAY(Data!$C$21:$C$1327)&gt;0,TEXT(Data!$C$21:$C$1327, "mmmm"),"")</f>
        <v>dicembre</v>
      </c>
      <c r="F1019" s="29" t="str">
        <f>IF(DAY(Data!$C$21:$C$1327)&gt;0,TEXT(Data!$C$21:$C$1327, "aaaa"),"")</f>
        <v>2024</v>
      </c>
      <c r="I1019" t="str">
        <f>IF(OR(H1019=$B$5,H1019=$B$6,H1019=$B$7,H1019=$B$8,H1019=$B$9,H1019=$B$10,H1019=$B$11,H1019=$B$12,H1019=$B$13,H1019=$B$14),SottocategorieUscite[[#Headers],[Fuori Casa]],IF(OR(H1019=$C$5,H1019=$C$6,H1019=$C$7,H1019=$C$8,H1019=$C$9,H1019=$C$10,H1019=$C$11,H1019=$C$12,H1019=$C$13,H1019=$C$14),SottocategorieUscite[[#Headers],[Varie Uscite]],IF(OR(H1019=$D$5,H1019=$D$6,H1019=$D$7,H1019=$D$8,H1019=$D$9,H1019=$D$10,H1019=$D$11,H1019=$D$12,H1019=$D$13,H1019=$D$14),SottocategorieUscite[[#Headers],[Personali]],IF(OR(H1019=$E$5,H1019=$E$6,H1019=$E$7,H1019=$E$8,H1019=$E$9,H1019=$E$10,H1019=$E$11,H1019=$E$12,H1019=$E$13,H1019=$E$14),SottocategorieUscite[[#Headers],[Lavoro]],IF(OR(H1019=$F$5,H1019=$F$6,H1019=$F$7,H1019=$F$8,H1019=$F$9,H1019=$F$10,H1019=$F$11,H1019=$F$12,H1019=$F$13,H1019=$F$14),SottocategorieUscite[[#Headers],[Casa]],IF(OR(H1019=$G$5,H1019=$G$6,H1019=$G$7,H1019=$G$8,H1019=$G$9,H1019=$G$10,H1019=$G$11,H1019=$G$12,H1019=$G$13,H1019=$G$14),SottocategorieUscite[[#Headers],[Utenze]],IF(OR(H1019=$H$5,H1019=$H$6,H1019=$H$7,H1019=$H$8,H1019=$H$9,H1019=$H$10,H1019=$H$11,H1019=$H$12,H1019=$H$13,H1019=$H$14),SottocategorieUscite[[#Headers],[Business Uscite]],IF(OR(H1019=$I$5,H1019=$I$6,H1019=$I$7,H1019=$I$8,H1019=$I$9,H1019=$I$10,H1019=$I$11,H1019=$I$12,H1019=$I$13,H1019=$I$14),SottocategorieUscite[[#Headers],[Banca]],IF(OR(H1019=K$5,H1019=K$6,H1019=K$7,H1019=K$8,H1019=K$9,H1019=K$10,H1019=K$11,H1019=K$12,H1019=K$13,H1019=K$14),SottocategorieEntrate[[#Headers],[Business Entrate]],IF(OR(H1019=L$5,H1019=L$6,H1019=L$7,H1019=L$8,H1019=L$9,H1019=L$10,H1019=L$11,H1019=L$12,H1019=L$13,H1019=L$14),SottocategorieEntrate[[#Headers],[Varie Entrate]],IF(OR(H1019=M$5,H1019=M$6,H1019=M$7,H1019=M$8,H1019=M$9,H1019=M$10,H1019=M$11,H1019=M$12,H1019=M$13,H1019=M$14),SottocategorieEntrate[[#Headers],[Real Estate]],IF(OR(H1019=N$5,H1019=N$6,H1019=N$7,H1019=N$8,H1019=N$9,H1019=N$10,H1019=N$11,H1019=N$12,H1019=N$13,H1019=N$14),SottocategorieEntrate[[#Headers],[Other]],""))))))))))))</f>
        <v/>
      </c>
      <c r="J1019" t="str">
        <f>IF(OR(Dati[[#This Row],[Categoria]]="Bollette",Dati[[#This Row],[Categoria]]="Conto &amp; Carte BNL",Dati[[#This Row],[Categoria]]="Prelievo",Dati[[#This Row],[Categoria]]="Affitto",Dati[[#This Row],[Categoria]]="BNL(Interessi Creditori)"),"Carta",IF(Dati[[#This Row],[Categoria]]&lt;&gt;0,"Cash",""))</f>
        <v/>
      </c>
      <c r="K1019" s="59" t="str">
        <f>IF(OR(Data!$I1019=SottocategorieUscite[[#Headers],[Fuori Casa]],Data!$I1019=SottocategorieUscite[[#Headers],[Varie Uscite]],Data!$I1019=SottocategorieUscite[[#Headers],[Personali]],Data!$I1019=SottocategorieUscite[[#Headers],[Lavoro]]),"$ -","")</f>
        <v/>
      </c>
      <c r="L1019" s="59" t="str">
        <f>IF(OR(Data!$I1019=SottocategorieUscite[[#Headers],[Casa]],Data!$I1019=SottocategorieUscite[[#Headers],[Utenze]],Data!$I1019=SottocategorieUscite[[#Headers],[Business Uscite]],Data!$I1019=SottocategorieUscite[[#Headers],[Banca]]),"$ -","")</f>
        <v/>
      </c>
      <c r="M1019" s="59" t="str">
        <f>IF(OR($I1019&lt;&gt;SottocategorieUscite[[#Headers],[Fuori Casa]],$I1019&lt;&gt;SottocategorieUscite[[#Headers],[Varie Uscite]],$I1019&lt;&gt;SottocategorieUscite[[#Headers],[Personali]],$I1019&lt;&gt;SottocategorieUscite[[#Headers],[Lavoro]],$I1019&lt;&gt;SottocategorieUscite[[#Headers],[Casa]],$I1019&lt;&gt;SottocategorieUscite[[#Headers],[Utenze]],$I1019&lt;&gt;SottocategorieUscite[[#Headers],[Business Uscite]],$I1019&lt;&gt;SottocategorieUscite[[#Headers],[Banca]]),"","$ -")</f>
        <v/>
      </c>
      <c r="N1019" s="59" t="str">
        <f>IF(OR(Data!$I1019=SottocategorieEntrate[[#Headers],[Business Entrate]],Data!$I1019=SottocategorieEntrate[[#Headers],[Varie Entrate]]),"$ -","")</f>
        <v/>
      </c>
      <c r="O1019" s="59" t="str">
        <f>IF(OR(Data!$I1019=SottocategorieEntrate[[#Headers],[Real Estate]],SottocategorieEntrate[[#Headers],[Other]]),"$ -","")</f>
        <v/>
      </c>
      <c r="P1019" s="59" t="str">
        <f>IF(OR($I1019&lt;&gt;SottocategorieEntrate[[#Headers],[Business Entrate]],$I1019&lt;&gt;SottocategorieEntrate[[#Headers],[Varie Entrate]],$I1019&lt;&gt;SottocategorieEntrate[[#Headers],[Real Estate]],$I1019&lt;&gt;SottocategorieEntrate[[#Headers],[Other]]),"","$ -")</f>
        <v/>
      </c>
      <c r="Q1019" s="59" t="str">
        <f>IF(Dati[[#This Row],[Categoria]]="Prelievo","€ -","")</f>
        <v/>
      </c>
      <c r="R1019" s="244"/>
      <c r="S1019" s="59" t="str">
        <f>IF(Dati[[#This Row],[Categoria]]="Savings",0,"")</f>
        <v/>
      </c>
      <c r="T1019" s="59"/>
      <c r="U1019" s="59"/>
      <c r="V1019" s="59"/>
      <c r="W1019" s="59"/>
      <c r="X1019" s="59"/>
      <c r="Y1019" s="59"/>
      <c r="Z1019" s="59"/>
      <c r="AA1019" s="59"/>
      <c r="AB1019" s="59"/>
      <c r="AC1019" s="59"/>
      <c r="AD1019" s="59"/>
      <c r="AE1019" s="59"/>
      <c r="AF1019" s="59"/>
      <c r="AG1019" s="59"/>
      <c r="AH1019" s="59"/>
      <c r="AI1019" s="59" t="str">
        <f>IF(SUM(Dati[[#This Row],[Inv. Business]:[Inv. Cryptocurrency]])=0," ",SUM(Dati[[#This Row],[Inv. Business]:[Inv. Cryptocurrency]]))</f>
        <v xml:space="preserve"> </v>
      </c>
      <c r="AJ1019" s="59"/>
      <c r="AK1019" s="59"/>
      <c r="AL1019" s="59"/>
      <c r="AM1019" s="59"/>
    </row>
    <row r="1020" spans="2:39" x14ac:dyDescent="0.35">
      <c r="B1020" s="237">
        <f>ROW(972:972)</f>
        <v>972</v>
      </c>
      <c r="C1020" s="49">
        <f>C1017+1</f>
        <v>45644</v>
      </c>
      <c r="D1020" s="29">
        <f>DAY(Dati[[#This Row],[Data]])</f>
        <v>18</v>
      </c>
      <c r="E1020" s="29" t="str">
        <f>IF(DAY(Data!$C$21:$C$1327)&gt;0,TEXT(Data!$C$21:$C$1327, "mmmm"),"")</f>
        <v>dicembre</v>
      </c>
      <c r="F1020" s="29" t="str">
        <f>IF(DAY(Data!$C$21:$C$1327)&gt;0,TEXT(Data!$C$21:$C$1327, "aaaa"),"")</f>
        <v>2024</v>
      </c>
      <c r="I1020" t="str">
        <f>IF(OR(H1020=$B$5,H1020=$B$6,H1020=$B$7,H1020=$B$8,H1020=$B$9,H1020=$B$10,H1020=$B$11,H1020=$B$12,H1020=$B$13,H1020=$B$14),SottocategorieUscite[[#Headers],[Fuori Casa]],IF(OR(H1020=$C$5,H1020=$C$6,H1020=$C$7,H1020=$C$8,H1020=$C$9,H1020=$C$10,H1020=$C$11,H1020=$C$12,H1020=$C$13,H1020=$C$14),SottocategorieUscite[[#Headers],[Varie Uscite]],IF(OR(H1020=$D$5,H1020=$D$6,H1020=$D$7,H1020=$D$8,H1020=$D$9,H1020=$D$10,H1020=$D$11,H1020=$D$12,H1020=$D$13,H1020=$D$14),SottocategorieUscite[[#Headers],[Personali]],IF(OR(H1020=$E$5,H1020=$E$6,H1020=$E$7,H1020=$E$8,H1020=$E$9,H1020=$E$10,H1020=$E$11,H1020=$E$12,H1020=$E$13,H1020=$E$14),SottocategorieUscite[[#Headers],[Lavoro]],IF(OR(H1020=$F$5,H1020=$F$6,H1020=$F$7,H1020=$F$8,H1020=$F$9,H1020=$F$10,H1020=$F$11,H1020=$F$12,H1020=$F$13,H1020=$F$14),SottocategorieUscite[[#Headers],[Casa]],IF(OR(H1020=$G$5,H1020=$G$6,H1020=$G$7,H1020=$G$8,H1020=$G$9,H1020=$G$10,H1020=$G$11,H1020=$G$12,H1020=$G$13,H1020=$G$14),SottocategorieUscite[[#Headers],[Utenze]],IF(OR(H1020=$H$5,H1020=$H$6,H1020=$H$7,H1020=$H$8,H1020=$H$9,H1020=$H$10,H1020=$H$11,H1020=$H$12,H1020=$H$13,H1020=$H$14),SottocategorieUscite[[#Headers],[Business Uscite]],IF(OR(H1020=$I$5,H1020=$I$6,H1020=$I$7,H1020=$I$8,H1020=$I$9,H1020=$I$10,H1020=$I$11,H1020=$I$12,H1020=$I$13,H1020=$I$14),SottocategorieUscite[[#Headers],[Banca]],IF(OR(H1020=K$5,H1020=K$6,H1020=K$7,H1020=K$8,H1020=K$9,H1020=K$10,H1020=K$11,H1020=K$12,H1020=K$13,H1020=K$14),SottocategorieEntrate[[#Headers],[Business Entrate]],IF(OR(H1020=L$5,H1020=L$6,H1020=L$7,H1020=L$8,H1020=L$9,H1020=L$10,H1020=L$11,H1020=L$12,H1020=L$13,H1020=L$14),SottocategorieEntrate[[#Headers],[Varie Entrate]],IF(OR(H1020=M$5,H1020=M$6,H1020=M$7,H1020=M$8,H1020=M$9,H1020=M$10,H1020=M$11,H1020=M$12,H1020=M$13,H1020=M$14),SottocategorieEntrate[[#Headers],[Real Estate]],IF(OR(H1020=N$5,H1020=N$6,H1020=N$7,H1020=N$8,H1020=N$9,H1020=N$10,H1020=N$11,H1020=N$12,H1020=N$13,H1020=N$14),SottocategorieEntrate[[#Headers],[Other]],""))))))))))))</f>
        <v/>
      </c>
      <c r="J1020" t="str">
        <f>IF(OR(Dati[[#This Row],[Categoria]]="Bollette",Dati[[#This Row],[Categoria]]="Conto &amp; Carte BNL",Dati[[#This Row],[Categoria]]="Prelievo",Dati[[#This Row],[Categoria]]="Affitto",Dati[[#This Row],[Categoria]]="BNL(Interessi Creditori)"),"Carta",IF(Dati[[#This Row],[Categoria]]&lt;&gt;0,"Cash",""))</f>
        <v/>
      </c>
      <c r="K1020" s="59" t="str">
        <f>IF(OR(Data!$I1020=SottocategorieUscite[[#Headers],[Fuori Casa]],Data!$I1020=SottocategorieUscite[[#Headers],[Varie Uscite]],Data!$I1020=SottocategorieUscite[[#Headers],[Personali]],Data!$I1020=SottocategorieUscite[[#Headers],[Lavoro]]),"$ -","")</f>
        <v/>
      </c>
      <c r="L1020" s="59" t="str">
        <f>IF(OR(Data!$I1020=SottocategorieUscite[[#Headers],[Casa]],Data!$I1020=SottocategorieUscite[[#Headers],[Utenze]],Data!$I1020=SottocategorieUscite[[#Headers],[Business Uscite]],Data!$I1020=SottocategorieUscite[[#Headers],[Banca]]),"$ -","")</f>
        <v/>
      </c>
      <c r="M1020" s="59" t="str">
        <f>IF(OR($I1020&lt;&gt;SottocategorieUscite[[#Headers],[Fuori Casa]],$I1020&lt;&gt;SottocategorieUscite[[#Headers],[Varie Uscite]],$I1020&lt;&gt;SottocategorieUscite[[#Headers],[Personali]],$I1020&lt;&gt;SottocategorieUscite[[#Headers],[Lavoro]],$I1020&lt;&gt;SottocategorieUscite[[#Headers],[Casa]],$I1020&lt;&gt;SottocategorieUscite[[#Headers],[Utenze]],$I1020&lt;&gt;SottocategorieUscite[[#Headers],[Business Uscite]],$I1020&lt;&gt;SottocategorieUscite[[#Headers],[Banca]]),"","$ -")</f>
        <v/>
      </c>
      <c r="N1020" s="59" t="str">
        <f>IF(OR(Data!$I1020=SottocategorieEntrate[[#Headers],[Business Entrate]],Data!$I1020=SottocategorieEntrate[[#Headers],[Varie Entrate]]),"$ -","")</f>
        <v/>
      </c>
      <c r="O1020" s="59" t="str">
        <f>IF(OR(Data!$I1020=SottocategorieEntrate[[#Headers],[Real Estate]],SottocategorieEntrate[[#Headers],[Other]]),"$ -","")</f>
        <v/>
      </c>
      <c r="P1020" s="59" t="str">
        <f>IF(OR($I1020&lt;&gt;SottocategorieEntrate[[#Headers],[Business Entrate]],$I1020&lt;&gt;SottocategorieEntrate[[#Headers],[Varie Entrate]],$I1020&lt;&gt;SottocategorieEntrate[[#Headers],[Real Estate]],$I1020&lt;&gt;SottocategorieEntrate[[#Headers],[Other]]),"","$ -")</f>
        <v/>
      </c>
      <c r="Q1020" s="59" t="str">
        <f>IF(Dati[[#This Row],[Categoria]]="Prelievo","€ -","")</f>
        <v/>
      </c>
      <c r="R1020" s="244"/>
      <c r="S1020" s="59" t="str">
        <f>IF(Dati[[#This Row],[Categoria]]="Savings",0,"")</f>
        <v/>
      </c>
      <c r="T1020" s="59"/>
      <c r="U1020" s="59"/>
      <c r="V1020" s="59"/>
      <c r="W1020" s="59"/>
      <c r="X1020" s="59"/>
      <c r="Y1020" s="59"/>
      <c r="Z1020" s="59"/>
      <c r="AA1020" s="59"/>
      <c r="AB1020" s="59"/>
      <c r="AC1020" s="59"/>
      <c r="AD1020" s="59"/>
      <c r="AE1020" s="59"/>
      <c r="AF1020" s="59"/>
      <c r="AG1020" s="59"/>
      <c r="AH1020" s="59"/>
      <c r="AI1020" s="59" t="str">
        <f>IF(SUM(Dati[[#This Row],[Inv. Business]:[Inv. Cryptocurrency]])=0," ",SUM(Dati[[#This Row],[Inv. Business]:[Inv. Cryptocurrency]]))</f>
        <v xml:space="preserve"> </v>
      </c>
      <c r="AJ1020" s="59"/>
      <c r="AK1020" s="59"/>
      <c r="AL1020" s="59"/>
      <c r="AM1020" s="59"/>
    </row>
    <row r="1021" spans="2:39" x14ac:dyDescent="0.35">
      <c r="B1021" s="237">
        <f>ROW(972:972)</f>
        <v>972</v>
      </c>
      <c r="C1021" s="49">
        <f>C1017+1</f>
        <v>45644</v>
      </c>
      <c r="D1021" s="29">
        <f>DAY(Dati[[#This Row],[Data]])</f>
        <v>18</v>
      </c>
      <c r="E1021" s="29" t="str">
        <f>IF(DAY(Data!$C$21:$C$1327)&gt;0,TEXT(Data!$C$21:$C$1327, "mmmm"),"")</f>
        <v>dicembre</v>
      </c>
      <c r="F1021" s="29" t="str">
        <f>IF(DAY(Data!$C$21:$C$1327)&gt;0,TEXT(Data!$C$21:$C$1327, "aaaa"),"")</f>
        <v>2024</v>
      </c>
      <c r="I1021" t="str">
        <f>IF(OR(H1021=$B$5,H1021=$B$6,H1021=$B$7,H1021=$B$8,H1021=$B$9,H1021=$B$10,H1021=$B$11,H1021=$B$12,H1021=$B$13,H1021=$B$14),SottocategorieUscite[[#Headers],[Fuori Casa]],IF(OR(H1021=$C$5,H1021=$C$6,H1021=$C$7,H1021=$C$8,H1021=$C$9,H1021=$C$10,H1021=$C$11,H1021=$C$12,H1021=$C$13,H1021=$C$14),SottocategorieUscite[[#Headers],[Varie Uscite]],IF(OR(H1021=$D$5,H1021=$D$6,H1021=$D$7,H1021=$D$8,H1021=$D$9,H1021=$D$10,H1021=$D$11,H1021=$D$12,H1021=$D$13,H1021=$D$14),SottocategorieUscite[[#Headers],[Personali]],IF(OR(H1021=$E$5,H1021=$E$6,H1021=$E$7,H1021=$E$8,H1021=$E$9,H1021=$E$10,H1021=$E$11,H1021=$E$12,H1021=$E$13,H1021=$E$14),SottocategorieUscite[[#Headers],[Lavoro]],IF(OR(H1021=$F$5,H1021=$F$6,H1021=$F$7,H1021=$F$8,H1021=$F$9,H1021=$F$10,H1021=$F$11,H1021=$F$12,H1021=$F$13,H1021=$F$14),SottocategorieUscite[[#Headers],[Casa]],IF(OR(H1021=$G$5,H1021=$G$6,H1021=$G$7,H1021=$G$8,H1021=$G$9,H1021=$G$10,H1021=$G$11,H1021=$G$12,H1021=$G$13,H1021=$G$14),SottocategorieUscite[[#Headers],[Utenze]],IF(OR(H1021=$H$5,H1021=$H$6,H1021=$H$7,H1021=$H$8,H1021=$H$9,H1021=$H$10,H1021=$H$11,H1021=$H$12,H1021=$H$13,H1021=$H$14),SottocategorieUscite[[#Headers],[Business Uscite]],IF(OR(H1021=$I$5,H1021=$I$6,H1021=$I$7,H1021=$I$8,H1021=$I$9,H1021=$I$10,H1021=$I$11,H1021=$I$12,H1021=$I$13,H1021=$I$14),SottocategorieUscite[[#Headers],[Banca]],IF(OR(H1021=K$5,H1021=K$6,H1021=K$7,H1021=K$8,H1021=K$9,H1021=K$10,H1021=K$11,H1021=K$12,H1021=K$13,H1021=K$14),SottocategorieEntrate[[#Headers],[Business Entrate]],IF(OR(H1021=L$5,H1021=L$6,H1021=L$7,H1021=L$8,H1021=L$9,H1021=L$10,H1021=L$11,H1021=L$12,H1021=L$13,H1021=L$14),SottocategorieEntrate[[#Headers],[Varie Entrate]],IF(OR(H1021=M$5,H1021=M$6,H1021=M$7,H1021=M$8,H1021=M$9,H1021=M$10,H1021=M$11,H1021=M$12,H1021=M$13,H1021=M$14),SottocategorieEntrate[[#Headers],[Real Estate]],IF(OR(H1021=N$5,H1021=N$6,H1021=N$7,H1021=N$8,H1021=N$9,H1021=N$10,H1021=N$11,H1021=N$12,H1021=N$13,H1021=N$14),SottocategorieEntrate[[#Headers],[Other]],""))))))))))))</f>
        <v/>
      </c>
      <c r="J1021" t="str">
        <f>IF(OR(Dati[[#This Row],[Categoria]]="Bollette",Dati[[#This Row],[Categoria]]="Conto &amp; Carte BNL",Dati[[#This Row],[Categoria]]="Prelievo",Dati[[#This Row],[Categoria]]="Affitto",Dati[[#This Row],[Categoria]]="BNL(Interessi Creditori)"),"Carta",IF(Dati[[#This Row],[Categoria]]&lt;&gt;0,"Cash",""))</f>
        <v/>
      </c>
      <c r="K1021" s="59" t="str">
        <f>IF(OR(Data!$I1021=SottocategorieUscite[[#Headers],[Fuori Casa]],Data!$I1021=SottocategorieUscite[[#Headers],[Varie Uscite]],Data!$I1021=SottocategorieUscite[[#Headers],[Personali]],Data!$I1021=SottocategorieUscite[[#Headers],[Lavoro]]),"$ -","")</f>
        <v/>
      </c>
      <c r="L1021" s="59" t="str">
        <f>IF(OR(Data!$I1021=SottocategorieUscite[[#Headers],[Casa]],Data!$I1021=SottocategorieUscite[[#Headers],[Utenze]],Data!$I1021=SottocategorieUscite[[#Headers],[Business Uscite]],Data!$I1021=SottocategorieUscite[[#Headers],[Banca]]),"$ -","")</f>
        <v/>
      </c>
      <c r="M1021" s="59" t="str">
        <f>IF(OR($I1021&lt;&gt;SottocategorieUscite[[#Headers],[Fuori Casa]],$I1021&lt;&gt;SottocategorieUscite[[#Headers],[Varie Uscite]],$I1021&lt;&gt;SottocategorieUscite[[#Headers],[Personali]],$I1021&lt;&gt;SottocategorieUscite[[#Headers],[Lavoro]],$I1021&lt;&gt;SottocategorieUscite[[#Headers],[Casa]],$I1021&lt;&gt;SottocategorieUscite[[#Headers],[Utenze]],$I1021&lt;&gt;SottocategorieUscite[[#Headers],[Business Uscite]],$I1021&lt;&gt;SottocategorieUscite[[#Headers],[Banca]]),"","$ -")</f>
        <v/>
      </c>
      <c r="N1021" s="59" t="str">
        <f>IF(OR(Data!$I1021=SottocategorieEntrate[[#Headers],[Business Entrate]],Data!$I1021=SottocategorieEntrate[[#Headers],[Varie Entrate]]),"$ -","")</f>
        <v/>
      </c>
      <c r="O1021" s="59" t="str">
        <f>IF(OR(Data!$I1021=SottocategorieEntrate[[#Headers],[Real Estate]],SottocategorieEntrate[[#Headers],[Other]]),"$ -","")</f>
        <v/>
      </c>
      <c r="P1021" s="59" t="str">
        <f>IF(OR($I1021&lt;&gt;SottocategorieEntrate[[#Headers],[Business Entrate]],$I1021&lt;&gt;SottocategorieEntrate[[#Headers],[Varie Entrate]],$I1021&lt;&gt;SottocategorieEntrate[[#Headers],[Real Estate]],$I1021&lt;&gt;SottocategorieEntrate[[#Headers],[Other]]),"","$ -")</f>
        <v/>
      </c>
      <c r="Q1021" s="59" t="str">
        <f>IF(Dati[[#This Row],[Categoria]]="Prelievo","€ -","")</f>
        <v/>
      </c>
      <c r="R1021" s="244"/>
      <c r="S1021" s="59" t="str">
        <f>IF(Dati[[#This Row],[Categoria]]="Savings",0,"")</f>
        <v/>
      </c>
      <c r="T1021" s="59"/>
      <c r="U1021" s="59"/>
      <c r="V1021" s="59"/>
      <c r="W1021" s="59"/>
      <c r="X1021" s="59"/>
      <c r="Y1021" s="59"/>
      <c r="Z1021" s="59"/>
      <c r="AA1021" s="59"/>
      <c r="AB1021" s="59"/>
      <c r="AC1021" s="59"/>
      <c r="AD1021" s="59"/>
      <c r="AE1021" s="59"/>
      <c r="AF1021" s="59"/>
      <c r="AG1021" s="59"/>
      <c r="AH1021" s="59"/>
      <c r="AI1021" s="59" t="str">
        <f>IF(SUM(Dati[[#This Row],[Inv. Business]:[Inv. Cryptocurrency]])=0," ",SUM(Dati[[#This Row],[Inv. Business]:[Inv. Cryptocurrency]]))</f>
        <v xml:space="preserve"> </v>
      </c>
      <c r="AJ1021" s="59"/>
      <c r="AK1021" s="59"/>
      <c r="AL1021" s="59"/>
      <c r="AM1021" s="59"/>
    </row>
    <row r="1022" spans="2:39" x14ac:dyDescent="0.35">
      <c r="B1022" s="237">
        <f>ROW(973:973)</f>
        <v>973</v>
      </c>
      <c r="C1022" s="49">
        <f>C1018+1</f>
        <v>45645</v>
      </c>
      <c r="D1022" s="29">
        <f>DAY(Dati[[#This Row],[Data]])</f>
        <v>19</v>
      </c>
      <c r="E1022" s="29" t="str">
        <f>IF(DAY(Data!$C$21:$C$1327)&gt;0,TEXT(Data!$C$21:$C$1327, "mmmm"),"")</f>
        <v>dicembre</v>
      </c>
      <c r="F1022" s="29" t="str">
        <f>IF(DAY(Data!$C$21:$C$1327)&gt;0,TEXT(Data!$C$21:$C$1327, "aaaa"),"")</f>
        <v>2024</v>
      </c>
      <c r="I1022" t="str">
        <f>IF(OR(H1022=$B$5,H1022=$B$6,H1022=$B$7,H1022=$B$8,H1022=$B$9,H1022=$B$10,H1022=$B$11,H1022=$B$12,H1022=$B$13,H1022=$B$14),SottocategorieUscite[[#Headers],[Fuori Casa]],IF(OR(H1022=$C$5,H1022=$C$6,H1022=$C$7,H1022=$C$8,H1022=$C$9,H1022=$C$10,H1022=$C$11,H1022=$C$12,H1022=$C$13,H1022=$C$14),SottocategorieUscite[[#Headers],[Varie Uscite]],IF(OR(H1022=$D$5,H1022=$D$6,H1022=$D$7,H1022=$D$8,H1022=$D$9,H1022=$D$10,H1022=$D$11,H1022=$D$12,H1022=$D$13,H1022=$D$14),SottocategorieUscite[[#Headers],[Personali]],IF(OR(H1022=$E$5,H1022=$E$6,H1022=$E$7,H1022=$E$8,H1022=$E$9,H1022=$E$10,H1022=$E$11,H1022=$E$12,H1022=$E$13,H1022=$E$14),SottocategorieUscite[[#Headers],[Lavoro]],IF(OR(H1022=$F$5,H1022=$F$6,H1022=$F$7,H1022=$F$8,H1022=$F$9,H1022=$F$10,H1022=$F$11,H1022=$F$12,H1022=$F$13,H1022=$F$14),SottocategorieUscite[[#Headers],[Casa]],IF(OR(H1022=$G$5,H1022=$G$6,H1022=$G$7,H1022=$G$8,H1022=$G$9,H1022=$G$10,H1022=$G$11,H1022=$G$12,H1022=$G$13,H1022=$G$14),SottocategorieUscite[[#Headers],[Utenze]],IF(OR(H1022=$H$5,H1022=$H$6,H1022=$H$7,H1022=$H$8,H1022=$H$9,H1022=$H$10,H1022=$H$11,H1022=$H$12,H1022=$H$13,H1022=$H$14),SottocategorieUscite[[#Headers],[Business Uscite]],IF(OR(H1022=$I$5,H1022=$I$6,H1022=$I$7,H1022=$I$8,H1022=$I$9,H1022=$I$10,H1022=$I$11,H1022=$I$12,H1022=$I$13,H1022=$I$14),SottocategorieUscite[[#Headers],[Banca]],IF(OR(H1022=K$5,H1022=K$6,H1022=K$7,H1022=K$8,H1022=K$9,H1022=K$10,H1022=K$11,H1022=K$12,H1022=K$13,H1022=K$14),SottocategorieEntrate[[#Headers],[Business Entrate]],IF(OR(H1022=L$5,H1022=L$6,H1022=L$7,H1022=L$8,H1022=L$9,H1022=L$10,H1022=L$11,H1022=L$12,H1022=L$13,H1022=L$14),SottocategorieEntrate[[#Headers],[Varie Entrate]],IF(OR(H1022=M$5,H1022=M$6,H1022=M$7,H1022=M$8,H1022=M$9,H1022=M$10,H1022=M$11,H1022=M$12,H1022=M$13,H1022=M$14),SottocategorieEntrate[[#Headers],[Real Estate]],IF(OR(H1022=N$5,H1022=N$6,H1022=N$7,H1022=N$8,H1022=N$9,H1022=N$10,H1022=N$11,H1022=N$12,H1022=N$13,H1022=N$14),SottocategorieEntrate[[#Headers],[Other]],""))))))))))))</f>
        <v/>
      </c>
      <c r="J1022" t="str">
        <f>IF(OR(Dati[[#This Row],[Categoria]]="Bollette",Dati[[#This Row],[Categoria]]="Conto &amp; Carte BNL",Dati[[#This Row],[Categoria]]="Prelievo",Dati[[#This Row],[Categoria]]="Affitto",Dati[[#This Row],[Categoria]]="BNL(Interessi Creditori)"),"Carta",IF(Dati[[#This Row],[Categoria]]&lt;&gt;0,"Cash",""))</f>
        <v/>
      </c>
      <c r="K1022" s="59" t="str">
        <f>IF(OR(Data!$I1022=SottocategorieUscite[[#Headers],[Fuori Casa]],Data!$I1022=SottocategorieUscite[[#Headers],[Varie Uscite]],Data!$I1022=SottocategorieUscite[[#Headers],[Personali]],Data!$I1022=SottocategorieUscite[[#Headers],[Lavoro]]),"$ -","")</f>
        <v/>
      </c>
      <c r="L1022" s="59" t="str">
        <f>IF(OR(Data!$I1022=SottocategorieUscite[[#Headers],[Casa]],Data!$I1022=SottocategorieUscite[[#Headers],[Utenze]],Data!$I1022=SottocategorieUscite[[#Headers],[Business Uscite]],Data!$I1022=SottocategorieUscite[[#Headers],[Banca]]),"$ -","")</f>
        <v/>
      </c>
      <c r="M1022" s="59" t="str">
        <f>IF(OR($I1022&lt;&gt;SottocategorieUscite[[#Headers],[Fuori Casa]],$I1022&lt;&gt;SottocategorieUscite[[#Headers],[Varie Uscite]],$I1022&lt;&gt;SottocategorieUscite[[#Headers],[Personali]],$I1022&lt;&gt;SottocategorieUscite[[#Headers],[Lavoro]],$I1022&lt;&gt;SottocategorieUscite[[#Headers],[Casa]],$I1022&lt;&gt;SottocategorieUscite[[#Headers],[Utenze]],$I1022&lt;&gt;SottocategorieUscite[[#Headers],[Business Uscite]],$I1022&lt;&gt;SottocategorieUscite[[#Headers],[Banca]]),"","$ -")</f>
        <v/>
      </c>
      <c r="N1022" s="59" t="str">
        <f>IF(OR(Data!$I1022=SottocategorieEntrate[[#Headers],[Business Entrate]],Data!$I1022=SottocategorieEntrate[[#Headers],[Varie Entrate]]),"$ -","")</f>
        <v/>
      </c>
      <c r="O1022" s="59" t="str">
        <f>IF(OR(Data!$I1022=SottocategorieEntrate[[#Headers],[Real Estate]],SottocategorieEntrate[[#Headers],[Other]]),"$ -","")</f>
        <v/>
      </c>
      <c r="P1022" s="59" t="str">
        <f>IF(OR($I1022&lt;&gt;SottocategorieEntrate[[#Headers],[Business Entrate]],$I1022&lt;&gt;SottocategorieEntrate[[#Headers],[Varie Entrate]],$I1022&lt;&gt;SottocategorieEntrate[[#Headers],[Real Estate]],$I1022&lt;&gt;SottocategorieEntrate[[#Headers],[Other]]),"","$ -")</f>
        <v/>
      </c>
      <c r="Q1022" s="59" t="str">
        <f>IF(Dati[[#This Row],[Categoria]]="Prelievo","€ -","")</f>
        <v/>
      </c>
      <c r="R1022" s="244"/>
      <c r="S1022" s="59" t="str">
        <f>IF(Dati[[#This Row],[Categoria]]="Savings",0,"")</f>
        <v/>
      </c>
      <c r="T1022" s="59"/>
      <c r="U1022" s="59"/>
      <c r="V1022" s="59"/>
      <c r="W1022" s="59"/>
      <c r="X1022" s="59"/>
      <c r="Y1022" s="59"/>
      <c r="Z1022" s="59"/>
      <c r="AA1022" s="59"/>
      <c r="AB1022" s="59"/>
      <c r="AC1022" s="59"/>
      <c r="AD1022" s="59"/>
      <c r="AE1022" s="59"/>
      <c r="AF1022" s="59"/>
      <c r="AG1022" s="59"/>
      <c r="AH1022" s="59"/>
      <c r="AI1022" s="59" t="str">
        <f>IF(SUM(Dati[[#This Row],[Inv. Business]:[Inv. Cryptocurrency]])=0," ",SUM(Dati[[#This Row],[Inv. Business]:[Inv. Cryptocurrency]]))</f>
        <v xml:space="preserve"> </v>
      </c>
      <c r="AJ1022" s="59"/>
      <c r="AK1022" s="59"/>
      <c r="AL1022" s="59"/>
      <c r="AM1022" s="59"/>
    </row>
    <row r="1023" spans="2:39" x14ac:dyDescent="0.35">
      <c r="B1023" s="237">
        <f>ROW(973:973)</f>
        <v>973</v>
      </c>
      <c r="C1023" s="49">
        <f>C1021+1</f>
        <v>45645</v>
      </c>
      <c r="D1023" s="29">
        <f>DAY(Dati[[#This Row],[Data]])</f>
        <v>19</v>
      </c>
      <c r="E1023" s="29" t="str">
        <f>IF(DAY(Data!$C$21:$C$1327)&gt;0,TEXT(Data!$C$21:$C$1327, "mmmm"),"")</f>
        <v>dicembre</v>
      </c>
      <c r="F1023" s="29" t="str">
        <f>IF(DAY(Data!$C$21:$C$1327)&gt;0,TEXT(Data!$C$21:$C$1327, "aaaa"),"")</f>
        <v>2024</v>
      </c>
      <c r="I1023" t="str">
        <f>IF(OR(H1023=$B$5,H1023=$B$6,H1023=$B$7,H1023=$B$8,H1023=$B$9,H1023=$B$10,H1023=$B$11,H1023=$B$12,H1023=$B$13,H1023=$B$14),SottocategorieUscite[[#Headers],[Fuori Casa]],IF(OR(H1023=$C$5,H1023=$C$6,H1023=$C$7,H1023=$C$8,H1023=$C$9,H1023=$C$10,H1023=$C$11,H1023=$C$12,H1023=$C$13,H1023=$C$14),SottocategorieUscite[[#Headers],[Varie Uscite]],IF(OR(H1023=$D$5,H1023=$D$6,H1023=$D$7,H1023=$D$8,H1023=$D$9,H1023=$D$10,H1023=$D$11,H1023=$D$12,H1023=$D$13,H1023=$D$14),SottocategorieUscite[[#Headers],[Personali]],IF(OR(H1023=$E$5,H1023=$E$6,H1023=$E$7,H1023=$E$8,H1023=$E$9,H1023=$E$10,H1023=$E$11,H1023=$E$12,H1023=$E$13,H1023=$E$14),SottocategorieUscite[[#Headers],[Lavoro]],IF(OR(H1023=$F$5,H1023=$F$6,H1023=$F$7,H1023=$F$8,H1023=$F$9,H1023=$F$10,H1023=$F$11,H1023=$F$12,H1023=$F$13,H1023=$F$14),SottocategorieUscite[[#Headers],[Casa]],IF(OR(H1023=$G$5,H1023=$G$6,H1023=$G$7,H1023=$G$8,H1023=$G$9,H1023=$G$10,H1023=$G$11,H1023=$G$12,H1023=$G$13,H1023=$G$14),SottocategorieUscite[[#Headers],[Utenze]],IF(OR(H1023=$H$5,H1023=$H$6,H1023=$H$7,H1023=$H$8,H1023=$H$9,H1023=$H$10,H1023=$H$11,H1023=$H$12,H1023=$H$13,H1023=$H$14),SottocategorieUscite[[#Headers],[Business Uscite]],IF(OR(H1023=$I$5,H1023=$I$6,H1023=$I$7,H1023=$I$8,H1023=$I$9,H1023=$I$10,H1023=$I$11,H1023=$I$12,H1023=$I$13,H1023=$I$14),SottocategorieUscite[[#Headers],[Banca]],IF(OR(H1023=K$5,H1023=K$6,H1023=K$7,H1023=K$8,H1023=K$9,H1023=K$10,H1023=K$11,H1023=K$12,H1023=K$13,H1023=K$14),SottocategorieEntrate[[#Headers],[Business Entrate]],IF(OR(H1023=L$5,H1023=L$6,H1023=L$7,H1023=L$8,H1023=L$9,H1023=L$10,H1023=L$11,H1023=L$12,H1023=L$13,H1023=L$14),SottocategorieEntrate[[#Headers],[Varie Entrate]],IF(OR(H1023=M$5,H1023=M$6,H1023=M$7,H1023=M$8,H1023=M$9,H1023=M$10,H1023=M$11,H1023=M$12,H1023=M$13,H1023=M$14),SottocategorieEntrate[[#Headers],[Real Estate]],IF(OR(H1023=N$5,H1023=N$6,H1023=N$7,H1023=N$8,H1023=N$9,H1023=N$10,H1023=N$11,H1023=N$12,H1023=N$13,H1023=N$14),SottocategorieEntrate[[#Headers],[Other]],""))))))))))))</f>
        <v/>
      </c>
      <c r="J1023" t="str">
        <f>IF(OR(Dati[[#This Row],[Categoria]]="Bollette",Dati[[#This Row],[Categoria]]="Conto &amp; Carte BNL",Dati[[#This Row],[Categoria]]="Prelievo",Dati[[#This Row],[Categoria]]="Affitto",Dati[[#This Row],[Categoria]]="BNL(Interessi Creditori)"),"Carta",IF(Dati[[#This Row],[Categoria]]&lt;&gt;0,"Cash",""))</f>
        <v/>
      </c>
      <c r="K1023" s="59" t="str">
        <f>IF(OR(Data!$I1023=SottocategorieUscite[[#Headers],[Fuori Casa]],Data!$I1023=SottocategorieUscite[[#Headers],[Varie Uscite]],Data!$I1023=SottocategorieUscite[[#Headers],[Personali]],Data!$I1023=SottocategorieUscite[[#Headers],[Lavoro]]),"$ -","")</f>
        <v/>
      </c>
      <c r="L1023" s="59" t="str">
        <f>IF(OR(Data!$I1023=SottocategorieUscite[[#Headers],[Casa]],Data!$I1023=SottocategorieUscite[[#Headers],[Utenze]],Data!$I1023=SottocategorieUscite[[#Headers],[Business Uscite]],Data!$I1023=SottocategorieUscite[[#Headers],[Banca]]),"$ -","")</f>
        <v/>
      </c>
      <c r="M1023" s="59" t="str">
        <f>IF(OR($I1023&lt;&gt;SottocategorieUscite[[#Headers],[Fuori Casa]],$I1023&lt;&gt;SottocategorieUscite[[#Headers],[Varie Uscite]],$I1023&lt;&gt;SottocategorieUscite[[#Headers],[Personali]],$I1023&lt;&gt;SottocategorieUscite[[#Headers],[Lavoro]],$I1023&lt;&gt;SottocategorieUscite[[#Headers],[Casa]],$I1023&lt;&gt;SottocategorieUscite[[#Headers],[Utenze]],$I1023&lt;&gt;SottocategorieUscite[[#Headers],[Business Uscite]],$I1023&lt;&gt;SottocategorieUscite[[#Headers],[Banca]]),"","$ -")</f>
        <v/>
      </c>
      <c r="N1023" s="59" t="str">
        <f>IF(OR(Data!$I1023=SottocategorieEntrate[[#Headers],[Business Entrate]],Data!$I1023=SottocategorieEntrate[[#Headers],[Varie Entrate]]),"$ -","")</f>
        <v/>
      </c>
      <c r="O1023" s="59" t="str">
        <f>IF(OR(Data!$I1023=SottocategorieEntrate[[#Headers],[Real Estate]],SottocategorieEntrate[[#Headers],[Other]]),"$ -","")</f>
        <v/>
      </c>
      <c r="P1023" s="59" t="str">
        <f>IF(OR($I1023&lt;&gt;SottocategorieEntrate[[#Headers],[Business Entrate]],$I1023&lt;&gt;SottocategorieEntrate[[#Headers],[Varie Entrate]],$I1023&lt;&gt;SottocategorieEntrate[[#Headers],[Real Estate]],$I1023&lt;&gt;SottocategorieEntrate[[#Headers],[Other]]),"","$ -")</f>
        <v/>
      </c>
      <c r="Q1023" s="59" t="str">
        <f>IF(Dati[[#This Row],[Categoria]]="Prelievo","€ -","")</f>
        <v/>
      </c>
      <c r="R1023" s="244"/>
      <c r="S1023" s="59" t="str">
        <f>IF(Dati[[#This Row],[Categoria]]="Savings",0,"")</f>
        <v/>
      </c>
      <c r="T1023" s="59"/>
      <c r="U1023" s="59"/>
      <c r="V1023" s="59"/>
      <c r="W1023" s="59"/>
      <c r="X1023" s="59"/>
      <c r="Y1023" s="59"/>
      <c r="Z1023" s="59"/>
      <c r="AA1023" s="59"/>
      <c r="AB1023" s="59"/>
      <c r="AC1023" s="59"/>
      <c r="AD1023" s="59"/>
      <c r="AE1023" s="59"/>
      <c r="AF1023" s="59"/>
      <c r="AG1023" s="59"/>
      <c r="AH1023" s="59"/>
      <c r="AI1023" s="59" t="str">
        <f>IF(SUM(Dati[[#This Row],[Inv. Business]:[Inv. Cryptocurrency]])=0," ",SUM(Dati[[#This Row],[Inv. Business]:[Inv. Cryptocurrency]]))</f>
        <v xml:space="preserve"> </v>
      </c>
      <c r="AJ1023" s="59"/>
      <c r="AK1023" s="59"/>
      <c r="AL1023" s="59"/>
      <c r="AM1023" s="59"/>
    </row>
    <row r="1024" spans="2:39" x14ac:dyDescent="0.35">
      <c r="B1024" s="237">
        <f>ROW(973:973)</f>
        <v>973</v>
      </c>
      <c r="C1024" s="49">
        <f>C1021+1</f>
        <v>45645</v>
      </c>
      <c r="D1024" s="29">
        <f>DAY(Dati[[#This Row],[Data]])</f>
        <v>19</v>
      </c>
      <c r="E1024" s="29" t="str">
        <f>IF(DAY(Data!$C$21:$C$1327)&gt;0,TEXT(Data!$C$21:$C$1327, "mmmm"),"")</f>
        <v>dicembre</v>
      </c>
      <c r="F1024" s="29" t="str">
        <f>IF(DAY(Data!$C$21:$C$1327)&gt;0,TEXT(Data!$C$21:$C$1327, "aaaa"),"")</f>
        <v>2024</v>
      </c>
      <c r="I1024" t="str">
        <f>IF(OR(H1024=$B$5,H1024=$B$6,H1024=$B$7,H1024=$B$8,H1024=$B$9,H1024=$B$10,H1024=$B$11,H1024=$B$12,H1024=$B$13,H1024=$B$14),SottocategorieUscite[[#Headers],[Fuori Casa]],IF(OR(H1024=$C$5,H1024=$C$6,H1024=$C$7,H1024=$C$8,H1024=$C$9,H1024=$C$10,H1024=$C$11,H1024=$C$12,H1024=$C$13,H1024=$C$14),SottocategorieUscite[[#Headers],[Varie Uscite]],IF(OR(H1024=$D$5,H1024=$D$6,H1024=$D$7,H1024=$D$8,H1024=$D$9,H1024=$D$10,H1024=$D$11,H1024=$D$12,H1024=$D$13,H1024=$D$14),SottocategorieUscite[[#Headers],[Personali]],IF(OR(H1024=$E$5,H1024=$E$6,H1024=$E$7,H1024=$E$8,H1024=$E$9,H1024=$E$10,H1024=$E$11,H1024=$E$12,H1024=$E$13,H1024=$E$14),SottocategorieUscite[[#Headers],[Lavoro]],IF(OR(H1024=$F$5,H1024=$F$6,H1024=$F$7,H1024=$F$8,H1024=$F$9,H1024=$F$10,H1024=$F$11,H1024=$F$12,H1024=$F$13,H1024=$F$14),SottocategorieUscite[[#Headers],[Casa]],IF(OR(H1024=$G$5,H1024=$G$6,H1024=$G$7,H1024=$G$8,H1024=$G$9,H1024=$G$10,H1024=$G$11,H1024=$G$12,H1024=$G$13,H1024=$G$14),SottocategorieUscite[[#Headers],[Utenze]],IF(OR(H1024=$H$5,H1024=$H$6,H1024=$H$7,H1024=$H$8,H1024=$H$9,H1024=$H$10,H1024=$H$11,H1024=$H$12,H1024=$H$13,H1024=$H$14),SottocategorieUscite[[#Headers],[Business Uscite]],IF(OR(H1024=$I$5,H1024=$I$6,H1024=$I$7,H1024=$I$8,H1024=$I$9,H1024=$I$10,H1024=$I$11,H1024=$I$12,H1024=$I$13,H1024=$I$14),SottocategorieUscite[[#Headers],[Banca]],IF(OR(H1024=K$5,H1024=K$6,H1024=K$7,H1024=K$8,H1024=K$9,H1024=K$10,H1024=K$11,H1024=K$12,H1024=K$13,H1024=K$14),SottocategorieEntrate[[#Headers],[Business Entrate]],IF(OR(H1024=L$5,H1024=L$6,H1024=L$7,H1024=L$8,H1024=L$9,H1024=L$10,H1024=L$11,H1024=L$12,H1024=L$13,H1024=L$14),SottocategorieEntrate[[#Headers],[Varie Entrate]],IF(OR(H1024=M$5,H1024=M$6,H1024=M$7,H1024=M$8,H1024=M$9,H1024=M$10,H1024=M$11,H1024=M$12,H1024=M$13,H1024=M$14),SottocategorieEntrate[[#Headers],[Real Estate]],IF(OR(H1024=N$5,H1024=N$6,H1024=N$7,H1024=N$8,H1024=N$9,H1024=N$10,H1024=N$11,H1024=N$12,H1024=N$13,H1024=N$14),SottocategorieEntrate[[#Headers],[Other]],""))))))))))))</f>
        <v/>
      </c>
      <c r="J1024" t="str">
        <f>IF(OR(Dati[[#This Row],[Categoria]]="Bollette",Dati[[#This Row],[Categoria]]="Conto &amp; Carte BNL",Dati[[#This Row],[Categoria]]="Prelievo",Dati[[#This Row],[Categoria]]="Affitto",Dati[[#This Row],[Categoria]]="BNL(Interessi Creditori)"),"Carta",IF(Dati[[#This Row],[Categoria]]&lt;&gt;0,"Cash",""))</f>
        <v/>
      </c>
      <c r="K1024" s="59" t="str">
        <f>IF(OR(Data!$I1024=SottocategorieUscite[[#Headers],[Fuori Casa]],Data!$I1024=SottocategorieUscite[[#Headers],[Varie Uscite]],Data!$I1024=SottocategorieUscite[[#Headers],[Personali]],Data!$I1024=SottocategorieUscite[[#Headers],[Lavoro]]),"$ -","")</f>
        <v/>
      </c>
      <c r="L1024" s="59" t="str">
        <f>IF(OR(Data!$I1024=SottocategorieUscite[[#Headers],[Casa]],Data!$I1024=SottocategorieUscite[[#Headers],[Utenze]],Data!$I1024=SottocategorieUscite[[#Headers],[Business Uscite]],Data!$I1024=SottocategorieUscite[[#Headers],[Banca]]),"$ -","")</f>
        <v/>
      </c>
      <c r="M1024" s="59" t="str">
        <f>IF(OR($I1024&lt;&gt;SottocategorieUscite[[#Headers],[Fuori Casa]],$I1024&lt;&gt;SottocategorieUscite[[#Headers],[Varie Uscite]],$I1024&lt;&gt;SottocategorieUscite[[#Headers],[Personali]],$I1024&lt;&gt;SottocategorieUscite[[#Headers],[Lavoro]],$I1024&lt;&gt;SottocategorieUscite[[#Headers],[Casa]],$I1024&lt;&gt;SottocategorieUscite[[#Headers],[Utenze]],$I1024&lt;&gt;SottocategorieUscite[[#Headers],[Business Uscite]],$I1024&lt;&gt;SottocategorieUscite[[#Headers],[Banca]]),"","$ -")</f>
        <v/>
      </c>
      <c r="N1024" s="59" t="str">
        <f>IF(OR(Data!$I1024=SottocategorieEntrate[[#Headers],[Business Entrate]],Data!$I1024=SottocategorieEntrate[[#Headers],[Varie Entrate]]),"$ -","")</f>
        <v/>
      </c>
      <c r="O1024" s="59" t="str">
        <f>IF(OR(Data!$I1024=SottocategorieEntrate[[#Headers],[Real Estate]],SottocategorieEntrate[[#Headers],[Other]]),"$ -","")</f>
        <v/>
      </c>
      <c r="P1024" s="59" t="str">
        <f>IF(OR($I1024&lt;&gt;SottocategorieEntrate[[#Headers],[Business Entrate]],$I1024&lt;&gt;SottocategorieEntrate[[#Headers],[Varie Entrate]],$I1024&lt;&gt;SottocategorieEntrate[[#Headers],[Real Estate]],$I1024&lt;&gt;SottocategorieEntrate[[#Headers],[Other]]),"","$ -")</f>
        <v/>
      </c>
      <c r="Q1024" s="59" t="str">
        <f>IF(Dati[[#This Row],[Categoria]]="Prelievo","€ -","")</f>
        <v/>
      </c>
      <c r="R1024" s="244"/>
      <c r="S1024" s="59" t="str">
        <f>IF(Dati[[#This Row],[Categoria]]="Savings",0,"")</f>
        <v/>
      </c>
      <c r="T1024" s="59"/>
      <c r="U1024" s="59"/>
      <c r="V1024" s="59"/>
      <c r="W1024" s="59"/>
      <c r="X1024" s="59"/>
      <c r="Y1024" s="59"/>
      <c r="Z1024" s="59"/>
      <c r="AA1024" s="59"/>
      <c r="AB1024" s="59"/>
      <c r="AC1024" s="59"/>
      <c r="AD1024" s="59"/>
      <c r="AE1024" s="59"/>
      <c r="AF1024" s="59"/>
      <c r="AG1024" s="59"/>
      <c r="AH1024" s="59"/>
      <c r="AI1024" s="59" t="str">
        <f>IF(SUM(Dati[[#This Row],[Inv. Business]:[Inv. Cryptocurrency]])=0," ",SUM(Dati[[#This Row],[Inv. Business]:[Inv. Cryptocurrency]]))</f>
        <v xml:space="preserve"> </v>
      </c>
      <c r="AJ1024" s="59"/>
      <c r="AK1024" s="59"/>
      <c r="AL1024" s="59"/>
      <c r="AM1024" s="59"/>
    </row>
    <row r="1025" spans="2:39" x14ac:dyDescent="0.35">
      <c r="B1025" s="237">
        <f>ROW(973:973)</f>
        <v>973</v>
      </c>
      <c r="C1025" s="49">
        <f>C1021+1</f>
        <v>45645</v>
      </c>
      <c r="D1025" s="29">
        <f>DAY(Dati[[#This Row],[Data]])</f>
        <v>19</v>
      </c>
      <c r="E1025" s="29" t="str">
        <f>IF(DAY(Data!$C$21:$C$1327)&gt;0,TEXT(Data!$C$21:$C$1327, "mmmm"),"")</f>
        <v>dicembre</v>
      </c>
      <c r="F1025" s="29" t="str">
        <f>IF(DAY(Data!$C$21:$C$1327)&gt;0,TEXT(Data!$C$21:$C$1327, "aaaa"),"")</f>
        <v>2024</v>
      </c>
      <c r="I1025" t="str">
        <f>IF(OR(H1025=$B$5,H1025=$B$6,H1025=$B$7,H1025=$B$8,H1025=$B$9,H1025=$B$10,H1025=$B$11,H1025=$B$12,H1025=$B$13,H1025=$B$14),SottocategorieUscite[[#Headers],[Fuori Casa]],IF(OR(H1025=$C$5,H1025=$C$6,H1025=$C$7,H1025=$C$8,H1025=$C$9,H1025=$C$10,H1025=$C$11,H1025=$C$12,H1025=$C$13,H1025=$C$14),SottocategorieUscite[[#Headers],[Varie Uscite]],IF(OR(H1025=$D$5,H1025=$D$6,H1025=$D$7,H1025=$D$8,H1025=$D$9,H1025=$D$10,H1025=$D$11,H1025=$D$12,H1025=$D$13,H1025=$D$14),SottocategorieUscite[[#Headers],[Personali]],IF(OR(H1025=$E$5,H1025=$E$6,H1025=$E$7,H1025=$E$8,H1025=$E$9,H1025=$E$10,H1025=$E$11,H1025=$E$12,H1025=$E$13,H1025=$E$14),SottocategorieUscite[[#Headers],[Lavoro]],IF(OR(H1025=$F$5,H1025=$F$6,H1025=$F$7,H1025=$F$8,H1025=$F$9,H1025=$F$10,H1025=$F$11,H1025=$F$12,H1025=$F$13,H1025=$F$14),SottocategorieUscite[[#Headers],[Casa]],IF(OR(H1025=$G$5,H1025=$G$6,H1025=$G$7,H1025=$G$8,H1025=$G$9,H1025=$G$10,H1025=$G$11,H1025=$G$12,H1025=$G$13,H1025=$G$14),SottocategorieUscite[[#Headers],[Utenze]],IF(OR(H1025=$H$5,H1025=$H$6,H1025=$H$7,H1025=$H$8,H1025=$H$9,H1025=$H$10,H1025=$H$11,H1025=$H$12,H1025=$H$13,H1025=$H$14),SottocategorieUscite[[#Headers],[Business Uscite]],IF(OR(H1025=$I$5,H1025=$I$6,H1025=$I$7,H1025=$I$8,H1025=$I$9,H1025=$I$10,H1025=$I$11,H1025=$I$12,H1025=$I$13,H1025=$I$14),SottocategorieUscite[[#Headers],[Banca]],IF(OR(H1025=K$5,H1025=K$6,H1025=K$7,H1025=K$8,H1025=K$9,H1025=K$10,H1025=K$11,H1025=K$12,H1025=K$13,H1025=K$14),SottocategorieEntrate[[#Headers],[Business Entrate]],IF(OR(H1025=L$5,H1025=L$6,H1025=L$7,H1025=L$8,H1025=L$9,H1025=L$10,H1025=L$11,H1025=L$12,H1025=L$13,H1025=L$14),SottocategorieEntrate[[#Headers],[Varie Entrate]],IF(OR(H1025=M$5,H1025=M$6,H1025=M$7,H1025=M$8,H1025=M$9,H1025=M$10,H1025=M$11,H1025=M$12,H1025=M$13,H1025=M$14),SottocategorieEntrate[[#Headers],[Real Estate]],IF(OR(H1025=N$5,H1025=N$6,H1025=N$7,H1025=N$8,H1025=N$9,H1025=N$10,H1025=N$11,H1025=N$12,H1025=N$13,H1025=N$14),SottocategorieEntrate[[#Headers],[Other]],""))))))))))))</f>
        <v/>
      </c>
      <c r="J1025" t="str">
        <f>IF(OR(Dati[[#This Row],[Categoria]]="Bollette",Dati[[#This Row],[Categoria]]="Conto &amp; Carte BNL",Dati[[#This Row],[Categoria]]="Prelievo",Dati[[#This Row],[Categoria]]="Affitto",Dati[[#This Row],[Categoria]]="BNL(Interessi Creditori)"),"Carta",IF(Dati[[#This Row],[Categoria]]&lt;&gt;0,"Cash",""))</f>
        <v/>
      </c>
      <c r="K1025" s="59" t="str">
        <f>IF(OR(Data!$I1025=SottocategorieUscite[[#Headers],[Fuori Casa]],Data!$I1025=SottocategorieUscite[[#Headers],[Varie Uscite]],Data!$I1025=SottocategorieUscite[[#Headers],[Personali]],Data!$I1025=SottocategorieUscite[[#Headers],[Lavoro]]),"$ -","")</f>
        <v/>
      </c>
      <c r="L1025" s="59" t="str">
        <f>IF(OR(Data!$I1025=SottocategorieUscite[[#Headers],[Casa]],Data!$I1025=SottocategorieUscite[[#Headers],[Utenze]],Data!$I1025=SottocategorieUscite[[#Headers],[Business Uscite]],Data!$I1025=SottocategorieUscite[[#Headers],[Banca]]),"$ -","")</f>
        <v/>
      </c>
      <c r="M1025" s="59" t="str">
        <f>IF(OR($I1025&lt;&gt;SottocategorieUscite[[#Headers],[Fuori Casa]],$I1025&lt;&gt;SottocategorieUscite[[#Headers],[Varie Uscite]],$I1025&lt;&gt;SottocategorieUscite[[#Headers],[Personali]],$I1025&lt;&gt;SottocategorieUscite[[#Headers],[Lavoro]],$I1025&lt;&gt;SottocategorieUscite[[#Headers],[Casa]],$I1025&lt;&gt;SottocategorieUscite[[#Headers],[Utenze]],$I1025&lt;&gt;SottocategorieUscite[[#Headers],[Business Uscite]],$I1025&lt;&gt;SottocategorieUscite[[#Headers],[Banca]]),"","$ -")</f>
        <v/>
      </c>
      <c r="N1025" s="59" t="str">
        <f>IF(OR(Data!$I1025=SottocategorieEntrate[[#Headers],[Business Entrate]],Data!$I1025=SottocategorieEntrate[[#Headers],[Varie Entrate]]),"$ -","")</f>
        <v/>
      </c>
      <c r="O1025" s="59" t="str">
        <f>IF(OR(Data!$I1025=SottocategorieEntrate[[#Headers],[Real Estate]],SottocategorieEntrate[[#Headers],[Other]]),"$ -","")</f>
        <v/>
      </c>
      <c r="P1025" s="59" t="str">
        <f>IF(OR($I1025&lt;&gt;SottocategorieEntrate[[#Headers],[Business Entrate]],$I1025&lt;&gt;SottocategorieEntrate[[#Headers],[Varie Entrate]],$I1025&lt;&gt;SottocategorieEntrate[[#Headers],[Real Estate]],$I1025&lt;&gt;SottocategorieEntrate[[#Headers],[Other]]),"","$ -")</f>
        <v/>
      </c>
      <c r="Q1025" s="59" t="str">
        <f>IF(Dati[[#This Row],[Categoria]]="Prelievo","€ -","")</f>
        <v/>
      </c>
      <c r="R1025" s="244"/>
      <c r="S1025" s="59" t="str">
        <f>IF(Dati[[#This Row],[Categoria]]="Savings",0,"")</f>
        <v/>
      </c>
      <c r="T1025" s="59"/>
      <c r="U1025" s="59"/>
      <c r="V1025" s="59"/>
      <c r="W1025" s="59"/>
      <c r="X1025" s="59"/>
      <c r="Y1025" s="59"/>
      <c r="Z1025" s="59"/>
      <c r="AA1025" s="59"/>
      <c r="AB1025" s="59"/>
      <c r="AC1025" s="59"/>
      <c r="AD1025" s="59"/>
      <c r="AE1025" s="59"/>
      <c r="AF1025" s="59"/>
      <c r="AG1025" s="59"/>
      <c r="AH1025" s="59"/>
      <c r="AI1025" s="59" t="str">
        <f>IF(SUM(Dati[[#This Row],[Inv. Business]:[Inv. Cryptocurrency]])=0," ",SUM(Dati[[#This Row],[Inv. Business]:[Inv. Cryptocurrency]]))</f>
        <v xml:space="preserve"> </v>
      </c>
      <c r="AJ1025" s="59"/>
      <c r="AK1025" s="59"/>
      <c r="AL1025" s="59"/>
      <c r="AM1025" s="59"/>
    </row>
    <row r="1026" spans="2:39" x14ac:dyDescent="0.35">
      <c r="B1026" s="237">
        <f>ROW(973:973)</f>
        <v>973</v>
      </c>
      <c r="C1026" s="49">
        <f>C1021+1</f>
        <v>45645</v>
      </c>
      <c r="D1026" s="29">
        <f>DAY(Dati[[#This Row],[Data]])</f>
        <v>19</v>
      </c>
      <c r="E1026" s="29" t="str">
        <f>IF(DAY(Data!$C$21:$C$1327)&gt;0,TEXT(Data!$C$21:$C$1327, "mmmm"),"")</f>
        <v>dicembre</v>
      </c>
      <c r="F1026" s="29" t="str">
        <f>IF(DAY(Data!$C$21:$C$1327)&gt;0,TEXT(Data!$C$21:$C$1327, "aaaa"),"")</f>
        <v>2024</v>
      </c>
      <c r="I1026" t="str">
        <f>IF(OR(H1026=$B$5,H1026=$B$6,H1026=$B$7,H1026=$B$8,H1026=$B$9,H1026=$B$10,H1026=$B$11,H1026=$B$12,H1026=$B$13,H1026=$B$14),SottocategorieUscite[[#Headers],[Fuori Casa]],IF(OR(H1026=$C$5,H1026=$C$6,H1026=$C$7,H1026=$C$8,H1026=$C$9,H1026=$C$10,H1026=$C$11,H1026=$C$12,H1026=$C$13,H1026=$C$14),SottocategorieUscite[[#Headers],[Varie Uscite]],IF(OR(H1026=$D$5,H1026=$D$6,H1026=$D$7,H1026=$D$8,H1026=$D$9,H1026=$D$10,H1026=$D$11,H1026=$D$12,H1026=$D$13,H1026=$D$14),SottocategorieUscite[[#Headers],[Personali]],IF(OR(H1026=$E$5,H1026=$E$6,H1026=$E$7,H1026=$E$8,H1026=$E$9,H1026=$E$10,H1026=$E$11,H1026=$E$12,H1026=$E$13,H1026=$E$14),SottocategorieUscite[[#Headers],[Lavoro]],IF(OR(H1026=$F$5,H1026=$F$6,H1026=$F$7,H1026=$F$8,H1026=$F$9,H1026=$F$10,H1026=$F$11,H1026=$F$12,H1026=$F$13,H1026=$F$14),SottocategorieUscite[[#Headers],[Casa]],IF(OR(H1026=$G$5,H1026=$G$6,H1026=$G$7,H1026=$G$8,H1026=$G$9,H1026=$G$10,H1026=$G$11,H1026=$G$12,H1026=$G$13,H1026=$G$14),SottocategorieUscite[[#Headers],[Utenze]],IF(OR(H1026=$H$5,H1026=$H$6,H1026=$H$7,H1026=$H$8,H1026=$H$9,H1026=$H$10,H1026=$H$11,H1026=$H$12,H1026=$H$13,H1026=$H$14),SottocategorieUscite[[#Headers],[Business Uscite]],IF(OR(H1026=$I$5,H1026=$I$6,H1026=$I$7,H1026=$I$8,H1026=$I$9,H1026=$I$10,H1026=$I$11,H1026=$I$12,H1026=$I$13,H1026=$I$14),SottocategorieUscite[[#Headers],[Banca]],IF(OR(H1026=K$5,H1026=K$6,H1026=K$7,H1026=K$8,H1026=K$9,H1026=K$10,H1026=K$11,H1026=K$12,H1026=K$13,H1026=K$14),SottocategorieEntrate[[#Headers],[Business Entrate]],IF(OR(H1026=L$5,H1026=L$6,H1026=L$7,H1026=L$8,H1026=L$9,H1026=L$10,H1026=L$11,H1026=L$12,H1026=L$13,H1026=L$14),SottocategorieEntrate[[#Headers],[Varie Entrate]],IF(OR(H1026=M$5,H1026=M$6,H1026=M$7,H1026=M$8,H1026=M$9,H1026=M$10,H1026=M$11,H1026=M$12,H1026=M$13,H1026=M$14),SottocategorieEntrate[[#Headers],[Real Estate]],IF(OR(H1026=N$5,H1026=N$6,H1026=N$7,H1026=N$8,H1026=N$9,H1026=N$10,H1026=N$11,H1026=N$12,H1026=N$13,H1026=N$14),SottocategorieEntrate[[#Headers],[Other]],""))))))))))))</f>
        <v/>
      </c>
      <c r="J1026" t="str">
        <f>IF(OR(Dati[[#This Row],[Categoria]]="Bollette",Dati[[#This Row],[Categoria]]="Conto &amp; Carte BNL",Dati[[#This Row],[Categoria]]="Prelievo",Dati[[#This Row],[Categoria]]="Affitto",Dati[[#This Row],[Categoria]]="BNL(Interessi Creditori)"),"Carta",IF(Dati[[#This Row],[Categoria]]&lt;&gt;0,"Cash",""))</f>
        <v/>
      </c>
      <c r="K1026" s="59" t="str">
        <f>IF(OR(Data!$I1026=SottocategorieUscite[[#Headers],[Fuori Casa]],Data!$I1026=SottocategorieUscite[[#Headers],[Varie Uscite]],Data!$I1026=SottocategorieUscite[[#Headers],[Personali]],Data!$I1026=SottocategorieUscite[[#Headers],[Lavoro]]),"$ -","")</f>
        <v/>
      </c>
      <c r="L1026" s="59" t="str">
        <f>IF(OR(Data!$I1026=SottocategorieUscite[[#Headers],[Casa]],Data!$I1026=SottocategorieUscite[[#Headers],[Utenze]],Data!$I1026=SottocategorieUscite[[#Headers],[Business Uscite]],Data!$I1026=SottocategorieUscite[[#Headers],[Banca]]),"$ -","")</f>
        <v/>
      </c>
      <c r="M1026" s="59" t="str">
        <f>IF(OR($I1026&lt;&gt;SottocategorieUscite[[#Headers],[Fuori Casa]],$I1026&lt;&gt;SottocategorieUscite[[#Headers],[Varie Uscite]],$I1026&lt;&gt;SottocategorieUscite[[#Headers],[Personali]],$I1026&lt;&gt;SottocategorieUscite[[#Headers],[Lavoro]],$I1026&lt;&gt;SottocategorieUscite[[#Headers],[Casa]],$I1026&lt;&gt;SottocategorieUscite[[#Headers],[Utenze]],$I1026&lt;&gt;SottocategorieUscite[[#Headers],[Business Uscite]],$I1026&lt;&gt;SottocategorieUscite[[#Headers],[Banca]]),"","$ -")</f>
        <v/>
      </c>
      <c r="N1026" s="59" t="str">
        <f>IF(OR(Data!$I1026=SottocategorieEntrate[[#Headers],[Business Entrate]],Data!$I1026=SottocategorieEntrate[[#Headers],[Varie Entrate]]),"$ -","")</f>
        <v/>
      </c>
      <c r="O1026" s="59" t="str">
        <f>IF(OR(Data!$I1026=SottocategorieEntrate[[#Headers],[Real Estate]],SottocategorieEntrate[[#Headers],[Other]]),"$ -","")</f>
        <v/>
      </c>
      <c r="P1026" s="59" t="str">
        <f>IF(OR($I1026&lt;&gt;SottocategorieEntrate[[#Headers],[Business Entrate]],$I1026&lt;&gt;SottocategorieEntrate[[#Headers],[Varie Entrate]],$I1026&lt;&gt;SottocategorieEntrate[[#Headers],[Real Estate]],$I1026&lt;&gt;SottocategorieEntrate[[#Headers],[Other]]),"","$ -")</f>
        <v/>
      </c>
      <c r="Q1026" s="59" t="str">
        <f>IF(Dati[[#This Row],[Categoria]]="Prelievo","€ -","")</f>
        <v/>
      </c>
      <c r="R1026" s="244"/>
      <c r="S1026" s="59" t="str">
        <f>IF(Dati[[#This Row],[Categoria]]="Savings",0,"")</f>
        <v/>
      </c>
      <c r="T1026" s="59"/>
      <c r="U1026" s="59"/>
      <c r="V1026" s="59"/>
      <c r="W1026" s="59"/>
      <c r="X1026" s="59"/>
      <c r="Y1026" s="59"/>
      <c r="Z1026" s="59"/>
      <c r="AA1026" s="59"/>
      <c r="AB1026" s="59"/>
      <c r="AC1026" s="59"/>
      <c r="AD1026" s="59"/>
      <c r="AE1026" s="59"/>
      <c r="AF1026" s="59"/>
      <c r="AG1026" s="59"/>
      <c r="AH1026" s="59"/>
      <c r="AI1026" s="59" t="str">
        <f>IF(SUM(Dati[[#This Row],[Inv. Business]:[Inv. Cryptocurrency]])=0," ",SUM(Dati[[#This Row],[Inv. Business]:[Inv. Cryptocurrency]]))</f>
        <v xml:space="preserve"> </v>
      </c>
      <c r="AJ1026" s="59"/>
      <c r="AK1026" s="59"/>
      <c r="AL1026" s="59"/>
      <c r="AM1026" s="59"/>
    </row>
    <row r="1027" spans="2:39" x14ac:dyDescent="0.35">
      <c r="B1027" s="237">
        <f>ROW(973:973)</f>
        <v>973</v>
      </c>
      <c r="C1027" s="49">
        <f>C1021+1</f>
        <v>45645</v>
      </c>
      <c r="D1027" s="29">
        <f>DAY(Dati[[#This Row],[Data]])</f>
        <v>19</v>
      </c>
      <c r="E1027" s="29" t="str">
        <f>IF(DAY(Data!$C$21:$C$1327)&gt;0,TEXT(Data!$C$21:$C$1327, "mmmm"),"")</f>
        <v>dicembre</v>
      </c>
      <c r="F1027" s="29" t="str">
        <f>IF(DAY(Data!$C$21:$C$1327)&gt;0,TEXT(Data!$C$21:$C$1327, "aaaa"),"")</f>
        <v>2024</v>
      </c>
      <c r="I1027" t="str">
        <f>IF(OR(H1027=$B$5,H1027=$B$6,H1027=$B$7,H1027=$B$8,H1027=$B$9,H1027=$B$10,H1027=$B$11,H1027=$B$12,H1027=$B$13,H1027=$B$14),SottocategorieUscite[[#Headers],[Fuori Casa]],IF(OR(H1027=$C$5,H1027=$C$6,H1027=$C$7,H1027=$C$8,H1027=$C$9,H1027=$C$10,H1027=$C$11,H1027=$C$12,H1027=$C$13,H1027=$C$14),SottocategorieUscite[[#Headers],[Varie Uscite]],IF(OR(H1027=$D$5,H1027=$D$6,H1027=$D$7,H1027=$D$8,H1027=$D$9,H1027=$D$10,H1027=$D$11,H1027=$D$12,H1027=$D$13,H1027=$D$14),SottocategorieUscite[[#Headers],[Personali]],IF(OR(H1027=$E$5,H1027=$E$6,H1027=$E$7,H1027=$E$8,H1027=$E$9,H1027=$E$10,H1027=$E$11,H1027=$E$12,H1027=$E$13,H1027=$E$14),SottocategorieUscite[[#Headers],[Lavoro]],IF(OR(H1027=$F$5,H1027=$F$6,H1027=$F$7,H1027=$F$8,H1027=$F$9,H1027=$F$10,H1027=$F$11,H1027=$F$12,H1027=$F$13,H1027=$F$14),SottocategorieUscite[[#Headers],[Casa]],IF(OR(H1027=$G$5,H1027=$G$6,H1027=$G$7,H1027=$G$8,H1027=$G$9,H1027=$G$10,H1027=$G$11,H1027=$G$12,H1027=$G$13,H1027=$G$14),SottocategorieUscite[[#Headers],[Utenze]],IF(OR(H1027=$H$5,H1027=$H$6,H1027=$H$7,H1027=$H$8,H1027=$H$9,H1027=$H$10,H1027=$H$11,H1027=$H$12,H1027=$H$13,H1027=$H$14),SottocategorieUscite[[#Headers],[Business Uscite]],IF(OR(H1027=$I$5,H1027=$I$6,H1027=$I$7,H1027=$I$8,H1027=$I$9,H1027=$I$10,H1027=$I$11,H1027=$I$12,H1027=$I$13,H1027=$I$14),SottocategorieUscite[[#Headers],[Banca]],IF(OR(H1027=K$5,H1027=K$6,H1027=K$7,H1027=K$8,H1027=K$9,H1027=K$10,H1027=K$11,H1027=K$12,H1027=K$13,H1027=K$14),SottocategorieEntrate[[#Headers],[Business Entrate]],IF(OR(H1027=L$5,H1027=L$6,H1027=L$7,H1027=L$8,H1027=L$9,H1027=L$10,H1027=L$11,H1027=L$12,H1027=L$13,H1027=L$14),SottocategorieEntrate[[#Headers],[Varie Entrate]],IF(OR(H1027=M$5,H1027=M$6,H1027=M$7,H1027=M$8,H1027=M$9,H1027=M$10,H1027=M$11,H1027=M$12,H1027=M$13,H1027=M$14),SottocategorieEntrate[[#Headers],[Real Estate]],IF(OR(H1027=N$5,H1027=N$6,H1027=N$7,H1027=N$8,H1027=N$9,H1027=N$10,H1027=N$11,H1027=N$12,H1027=N$13,H1027=N$14),SottocategorieEntrate[[#Headers],[Other]],""))))))))))))</f>
        <v/>
      </c>
      <c r="J1027" t="str">
        <f>IF(OR(Dati[[#This Row],[Categoria]]="Bollette",Dati[[#This Row],[Categoria]]="Conto &amp; Carte BNL",Dati[[#This Row],[Categoria]]="Prelievo",Dati[[#This Row],[Categoria]]="Affitto",Dati[[#This Row],[Categoria]]="BNL(Interessi Creditori)"),"Carta",IF(Dati[[#This Row],[Categoria]]&lt;&gt;0,"Cash",""))</f>
        <v/>
      </c>
      <c r="K1027" s="59" t="str">
        <f>IF(OR(Data!$I1027=SottocategorieUscite[[#Headers],[Fuori Casa]],Data!$I1027=SottocategorieUscite[[#Headers],[Varie Uscite]],Data!$I1027=SottocategorieUscite[[#Headers],[Personali]],Data!$I1027=SottocategorieUscite[[#Headers],[Lavoro]]),"$ -","")</f>
        <v/>
      </c>
      <c r="L1027" s="59" t="str">
        <f>IF(OR(Data!$I1027=SottocategorieUscite[[#Headers],[Casa]],Data!$I1027=SottocategorieUscite[[#Headers],[Utenze]],Data!$I1027=SottocategorieUscite[[#Headers],[Business Uscite]],Data!$I1027=SottocategorieUscite[[#Headers],[Banca]]),"$ -","")</f>
        <v/>
      </c>
      <c r="M1027" s="59" t="str">
        <f>IF(OR($I1027&lt;&gt;SottocategorieUscite[[#Headers],[Fuori Casa]],$I1027&lt;&gt;SottocategorieUscite[[#Headers],[Varie Uscite]],$I1027&lt;&gt;SottocategorieUscite[[#Headers],[Personali]],$I1027&lt;&gt;SottocategorieUscite[[#Headers],[Lavoro]],$I1027&lt;&gt;SottocategorieUscite[[#Headers],[Casa]],$I1027&lt;&gt;SottocategorieUscite[[#Headers],[Utenze]],$I1027&lt;&gt;SottocategorieUscite[[#Headers],[Business Uscite]],$I1027&lt;&gt;SottocategorieUscite[[#Headers],[Banca]]),"","$ -")</f>
        <v/>
      </c>
      <c r="N1027" s="59" t="str">
        <f>IF(OR(Data!$I1027=SottocategorieEntrate[[#Headers],[Business Entrate]],Data!$I1027=SottocategorieEntrate[[#Headers],[Varie Entrate]]),"$ -","")</f>
        <v/>
      </c>
      <c r="O1027" s="59" t="str">
        <f>IF(OR(Data!$I1027=SottocategorieEntrate[[#Headers],[Real Estate]],SottocategorieEntrate[[#Headers],[Other]]),"$ -","")</f>
        <v/>
      </c>
      <c r="P1027" s="59" t="str">
        <f>IF(OR($I1027&lt;&gt;SottocategorieEntrate[[#Headers],[Business Entrate]],$I1027&lt;&gt;SottocategorieEntrate[[#Headers],[Varie Entrate]],$I1027&lt;&gt;SottocategorieEntrate[[#Headers],[Real Estate]],$I1027&lt;&gt;SottocategorieEntrate[[#Headers],[Other]]),"","$ -")</f>
        <v/>
      </c>
      <c r="Q1027" s="59" t="str">
        <f>IF(Dati[[#This Row],[Categoria]]="Prelievo","€ -","")</f>
        <v/>
      </c>
      <c r="R1027" s="244"/>
      <c r="S1027" s="59" t="str">
        <f>IF(Dati[[#This Row],[Categoria]]="Savings",0,"")</f>
        <v/>
      </c>
      <c r="T1027" s="59"/>
      <c r="U1027" s="59"/>
      <c r="V1027" s="59"/>
      <c r="W1027" s="59"/>
      <c r="X1027" s="59"/>
      <c r="Y1027" s="59"/>
      <c r="Z1027" s="59"/>
      <c r="AA1027" s="59"/>
      <c r="AB1027" s="59"/>
      <c r="AC1027" s="59"/>
      <c r="AD1027" s="59"/>
      <c r="AE1027" s="59"/>
      <c r="AF1027" s="59"/>
      <c r="AG1027" s="59"/>
      <c r="AH1027" s="59"/>
      <c r="AI1027" s="59" t="str">
        <f>IF(SUM(Dati[[#This Row],[Inv. Business]:[Inv. Cryptocurrency]])=0," ",SUM(Dati[[#This Row],[Inv. Business]:[Inv. Cryptocurrency]]))</f>
        <v xml:space="preserve"> </v>
      </c>
      <c r="AJ1027" s="59"/>
      <c r="AK1027" s="59"/>
      <c r="AL1027" s="59"/>
      <c r="AM1027" s="59"/>
    </row>
    <row r="1028" spans="2:39" x14ac:dyDescent="0.35">
      <c r="B1028" s="237">
        <f>ROW(973:973)</f>
        <v>973</v>
      </c>
      <c r="C1028" s="49">
        <f>C1021+1</f>
        <v>45645</v>
      </c>
      <c r="D1028" s="29">
        <f>DAY(Dati[[#This Row],[Data]])</f>
        <v>19</v>
      </c>
      <c r="E1028" s="29" t="str">
        <f>IF(DAY(Data!$C$21:$C$1327)&gt;0,TEXT(Data!$C$21:$C$1327, "mmmm"),"")</f>
        <v>dicembre</v>
      </c>
      <c r="F1028" s="29" t="str">
        <f>IF(DAY(Data!$C$21:$C$1327)&gt;0,TEXT(Data!$C$21:$C$1327, "aaaa"),"")</f>
        <v>2024</v>
      </c>
      <c r="I1028" t="str">
        <f>IF(OR(H1028=$B$5,H1028=$B$6,H1028=$B$7,H1028=$B$8,H1028=$B$9,H1028=$B$10,H1028=$B$11,H1028=$B$12,H1028=$B$13,H1028=$B$14),SottocategorieUscite[[#Headers],[Fuori Casa]],IF(OR(H1028=$C$5,H1028=$C$6,H1028=$C$7,H1028=$C$8,H1028=$C$9,H1028=$C$10,H1028=$C$11,H1028=$C$12,H1028=$C$13,H1028=$C$14),SottocategorieUscite[[#Headers],[Varie Uscite]],IF(OR(H1028=$D$5,H1028=$D$6,H1028=$D$7,H1028=$D$8,H1028=$D$9,H1028=$D$10,H1028=$D$11,H1028=$D$12,H1028=$D$13,H1028=$D$14),SottocategorieUscite[[#Headers],[Personali]],IF(OR(H1028=$E$5,H1028=$E$6,H1028=$E$7,H1028=$E$8,H1028=$E$9,H1028=$E$10,H1028=$E$11,H1028=$E$12,H1028=$E$13,H1028=$E$14),SottocategorieUscite[[#Headers],[Lavoro]],IF(OR(H1028=$F$5,H1028=$F$6,H1028=$F$7,H1028=$F$8,H1028=$F$9,H1028=$F$10,H1028=$F$11,H1028=$F$12,H1028=$F$13,H1028=$F$14),SottocategorieUscite[[#Headers],[Casa]],IF(OR(H1028=$G$5,H1028=$G$6,H1028=$G$7,H1028=$G$8,H1028=$G$9,H1028=$G$10,H1028=$G$11,H1028=$G$12,H1028=$G$13,H1028=$G$14),SottocategorieUscite[[#Headers],[Utenze]],IF(OR(H1028=$H$5,H1028=$H$6,H1028=$H$7,H1028=$H$8,H1028=$H$9,H1028=$H$10,H1028=$H$11,H1028=$H$12,H1028=$H$13,H1028=$H$14),SottocategorieUscite[[#Headers],[Business Uscite]],IF(OR(H1028=$I$5,H1028=$I$6,H1028=$I$7,H1028=$I$8,H1028=$I$9,H1028=$I$10,H1028=$I$11,H1028=$I$12,H1028=$I$13,H1028=$I$14),SottocategorieUscite[[#Headers],[Banca]],IF(OR(H1028=K$5,H1028=K$6,H1028=K$7,H1028=K$8,H1028=K$9,H1028=K$10,H1028=K$11,H1028=K$12,H1028=K$13,H1028=K$14),SottocategorieEntrate[[#Headers],[Business Entrate]],IF(OR(H1028=L$5,H1028=L$6,H1028=L$7,H1028=L$8,H1028=L$9,H1028=L$10,H1028=L$11,H1028=L$12,H1028=L$13,H1028=L$14),SottocategorieEntrate[[#Headers],[Varie Entrate]],IF(OR(H1028=M$5,H1028=M$6,H1028=M$7,H1028=M$8,H1028=M$9,H1028=M$10,H1028=M$11,H1028=M$12,H1028=M$13,H1028=M$14),SottocategorieEntrate[[#Headers],[Real Estate]],IF(OR(H1028=N$5,H1028=N$6,H1028=N$7,H1028=N$8,H1028=N$9,H1028=N$10,H1028=N$11,H1028=N$12,H1028=N$13,H1028=N$14),SottocategorieEntrate[[#Headers],[Other]],""))))))))))))</f>
        <v/>
      </c>
      <c r="J1028" t="str">
        <f>IF(OR(Dati[[#This Row],[Categoria]]="Bollette",Dati[[#This Row],[Categoria]]="Conto &amp; Carte BNL",Dati[[#This Row],[Categoria]]="Prelievo",Dati[[#This Row],[Categoria]]="Affitto",Dati[[#This Row],[Categoria]]="BNL(Interessi Creditori)"),"Carta",IF(Dati[[#This Row],[Categoria]]&lt;&gt;0,"Cash",""))</f>
        <v/>
      </c>
      <c r="K1028" s="59" t="str">
        <f>IF(OR(Data!$I1028=SottocategorieUscite[[#Headers],[Fuori Casa]],Data!$I1028=SottocategorieUscite[[#Headers],[Varie Uscite]],Data!$I1028=SottocategorieUscite[[#Headers],[Personali]],Data!$I1028=SottocategorieUscite[[#Headers],[Lavoro]]),"$ -","")</f>
        <v/>
      </c>
      <c r="L1028" s="59" t="str">
        <f>IF(OR(Data!$I1028=SottocategorieUscite[[#Headers],[Casa]],Data!$I1028=SottocategorieUscite[[#Headers],[Utenze]],Data!$I1028=SottocategorieUscite[[#Headers],[Business Uscite]],Data!$I1028=SottocategorieUscite[[#Headers],[Banca]]),"$ -","")</f>
        <v/>
      </c>
      <c r="M1028" s="59" t="str">
        <f>IF(OR($I1028&lt;&gt;SottocategorieUscite[[#Headers],[Fuori Casa]],$I1028&lt;&gt;SottocategorieUscite[[#Headers],[Varie Uscite]],$I1028&lt;&gt;SottocategorieUscite[[#Headers],[Personali]],$I1028&lt;&gt;SottocategorieUscite[[#Headers],[Lavoro]],$I1028&lt;&gt;SottocategorieUscite[[#Headers],[Casa]],$I1028&lt;&gt;SottocategorieUscite[[#Headers],[Utenze]],$I1028&lt;&gt;SottocategorieUscite[[#Headers],[Business Uscite]],$I1028&lt;&gt;SottocategorieUscite[[#Headers],[Banca]]),"","$ -")</f>
        <v/>
      </c>
      <c r="N1028" s="59" t="str">
        <f>IF(OR(Data!$I1028=SottocategorieEntrate[[#Headers],[Business Entrate]],Data!$I1028=SottocategorieEntrate[[#Headers],[Varie Entrate]]),"$ -","")</f>
        <v/>
      </c>
      <c r="O1028" s="59" t="str">
        <f>IF(OR(Data!$I1028=SottocategorieEntrate[[#Headers],[Real Estate]],SottocategorieEntrate[[#Headers],[Other]]),"$ -","")</f>
        <v/>
      </c>
      <c r="P1028" s="59" t="str">
        <f>IF(OR($I1028&lt;&gt;SottocategorieEntrate[[#Headers],[Business Entrate]],$I1028&lt;&gt;SottocategorieEntrate[[#Headers],[Varie Entrate]],$I1028&lt;&gt;SottocategorieEntrate[[#Headers],[Real Estate]],$I1028&lt;&gt;SottocategorieEntrate[[#Headers],[Other]]),"","$ -")</f>
        <v/>
      </c>
      <c r="Q1028" s="59" t="str">
        <f>IF(Dati[[#This Row],[Categoria]]="Prelievo","€ -","")</f>
        <v/>
      </c>
      <c r="R1028" s="244"/>
      <c r="S1028" s="59" t="str">
        <f>IF(Dati[[#This Row],[Categoria]]="Savings",0,"")</f>
        <v/>
      </c>
      <c r="T1028" s="59"/>
      <c r="U1028" s="59"/>
      <c r="V1028" s="59"/>
      <c r="W1028" s="59"/>
      <c r="X1028" s="59"/>
      <c r="Y1028" s="59"/>
      <c r="Z1028" s="59"/>
      <c r="AA1028" s="59"/>
      <c r="AB1028" s="59"/>
      <c r="AC1028" s="59"/>
      <c r="AD1028" s="59"/>
      <c r="AE1028" s="59"/>
      <c r="AF1028" s="59"/>
      <c r="AG1028" s="59"/>
      <c r="AH1028" s="59"/>
      <c r="AI1028" s="59" t="str">
        <f>IF(SUM(Dati[[#This Row],[Inv. Business]:[Inv. Cryptocurrency]])=0," ",SUM(Dati[[#This Row],[Inv. Business]:[Inv. Cryptocurrency]]))</f>
        <v xml:space="preserve"> </v>
      </c>
      <c r="AJ1028" s="59"/>
      <c r="AK1028" s="59"/>
      <c r="AL1028" s="59"/>
      <c r="AM1028" s="59"/>
    </row>
    <row r="1029" spans="2:39" x14ac:dyDescent="0.35">
      <c r="B1029" s="237">
        <f>ROW(974:974)</f>
        <v>974</v>
      </c>
      <c r="C1029" s="49">
        <f>C1022+1</f>
        <v>45646</v>
      </c>
      <c r="D1029" s="29">
        <f>DAY(Dati[[#This Row],[Data]])</f>
        <v>20</v>
      </c>
      <c r="E1029" s="29" t="str">
        <f>IF(DAY(Data!$C$21:$C$1327)&gt;0,TEXT(Data!$C$21:$C$1327, "mmmm"),"")</f>
        <v>dicembre</v>
      </c>
      <c r="F1029" s="29" t="str">
        <f>IF(DAY(Data!$C$21:$C$1327)&gt;0,TEXT(Data!$C$21:$C$1327, "aaaa"),"")</f>
        <v>2024</v>
      </c>
      <c r="I1029" t="str">
        <f>IF(OR(H1029=$B$5,H1029=$B$6,H1029=$B$7,H1029=$B$8,H1029=$B$9,H1029=$B$10,H1029=$B$11,H1029=$B$12,H1029=$B$13,H1029=$B$14),SottocategorieUscite[[#Headers],[Fuori Casa]],IF(OR(H1029=$C$5,H1029=$C$6,H1029=$C$7,H1029=$C$8,H1029=$C$9,H1029=$C$10,H1029=$C$11,H1029=$C$12,H1029=$C$13,H1029=$C$14),SottocategorieUscite[[#Headers],[Varie Uscite]],IF(OR(H1029=$D$5,H1029=$D$6,H1029=$D$7,H1029=$D$8,H1029=$D$9,H1029=$D$10,H1029=$D$11,H1029=$D$12,H1029=$D$13,H1029=$D$14),SottocategorieUscite[[#Headers],[Personali]],IF(OR(H1029=$E$5,H1029=$E$6,H1029=$E$7,H1029=$E$8,H1029=$E$9,H1029=$E$10,H1029=$E$11,H1029=$E$12,H1029=$E$13,H1029=$E$14),SottocategorieUscite[[#Headers],[Lavoro]],IF(OR(H1029=$F$5,H1029=$F$6,H1029=$F$7,H1029=$F$8,H1029=$F$9,H1029=$F$10,H1029=$F$11,H1029=$F$12,H1029=$F$13,H1029=$F$14),SottocategorieUscite[[#Headers],[Casa]],IF(OR(H1029=$G$5,H1029=$G$6,H1029=$G$7,H1029=$G$8,H1029=$G$9,H1029=$G$10,H1029=$G$11,H1029=$G$12,H1029=$G$13,H1029=$G$14),SottocategorieUscite[[#Headers],[Utenze]],IF(OR(H1029=$H$5,H1029=$H$6,H1029=$H$7,H1029=$H$8,H1029=$H$9,H1029=$H$10,H1029=$H$11,H1029=$H$12,H1029=$H$13,H1029=$H$14),SottocategorieUscite[[#Headers],[Business Uscite]],IF(OR(H1029=$I$5,H1029=$I$6,H1029=$I$7,H1029=$I$8,H1029=$I$9,H1029=$I$10,H1029=$I$11,H1029=$I$12,H1029=$I$13,H1029=$I$14),SottocategorieUscite[[#Headers],[Banca]],IF(OR(H1029=K$5,H1029=K$6,H1029=K$7,H1029=K$8,H1029=K$9,H1029=K$10,H1029=K$11,H1029=K$12,H1029=K$13,H1029=K$14),SottocategorieEntrate[[#Headers],[Business Entrate]],IF(OR(H1029=L$5,H1029=L$6,H1029=L$7,H1029=L$8,H1029=L$9,H1029=L$10,H1029=L$11,H1029=L$12,H1029=L$13,H1029=L$14),SottocategorieEntrate[[#Headers],[Varie Entrate]],IF(OR(H1029=M$5,H1029=M$6,H1029=M$7,H1029=M$8,H1029=M$9,H1029=M$10,H1029=M$11,H1029=M$12,H1029=M$13,H1029=M$14),SottocategorieEntrate[[#Headers],[Real Estate]],IF(OR(H1029=N$5,H1029=N$6,H1029=N$7,H1029=N$8,H1029=N$9,H1029=N$10,H1029=N$11,H1029=N$12,H1029=N$13,H1029=N$14),SottocategorieEntrate[[#Headers],[Other]],""))))))))))))</f>
        <v/>
      </c>
      <c r="J1029" t="str">
        <f>IF(OR(Dati[[#This Row],[Categoria]]="Bollette",Dati[[#This Row],[Categoria]]="Conto &amp; Carte BNL",Dati[[#This Row],[Categoria]]="Prelievo",Dati[[#This Row],[Categoria]]="Affitto",Dati[[#This Row],[Categoria]]="BNL(Interessi Creditori)"),"Carta",IF(Dati[[#This Row],[Categoria]]&lt;&gt;0,"Cash",""))</f>
        <v/>
      </c>
      <c r="K1029" s="59" t="str">
        <f>IF(OR(Data!$I1029=SottocategorieUscite[[#Headers],[Fuori Casa]],Data!$I1029=SottocategorieUscite[[#Headers],[Varie Uscite]],Data!$I1029=SottocategorieUscite[[#Headers],[Personali]],Data!$I1029=SottocategorieUscite[[#Headers],[Lavoro]]),"$ -","")</f>
        <v/>
      </c>
      <c r="L1029" s="59" t="str">
        <f>IF(OR(Data!$I1029=SottocategorieUscite[[#Headers],[Casa]],Data!$I1029=SottocategorieUscite[[#Headers],[Utenze]],Data!$I1029=SottocategorieUscite[[#Headers],[Business Uscite]],Data!$I1029=SottocategorieUscite[[#Headers],[Banca]]),"$ -","")</f>
        <v/>
      </c>
      <c r="M1029" s="59" t="str">
        <f>IF(OR($I1029&lt;&gt;SottocategorieUscite[[#Headers],[Fuori Casa]],$I1029&lt;&gt;SottocategorieUscite[[#Headers],[Varie Uscite]],$I1029&lt;&gt;SottocategorieUscite[[#Headers],[Personali]],$I1029&lt;&gt;SottocategorieUscite[[#Headers],[Lavoro]],$I1029&lt;&gt;SottocategorieUscite[[#Headers],[Casa]],$I1029&lt;&gt;SottocategorieUscite[[#Headers],[Utenze]],$I1029&lt;&gt;SottocategorieUscite[[#Headers],[Business Uscite]],$I1029&lt;&gt;SottocategorieUscite[[#Headers],[Banca]]),"","$ -")</f>
        <v/>
      </c>
      <c r="N1029" s="59" t="str">
        <f>IF(OR(Data!$I1029=SottocategorieEntrate[[#Headers],[Business Entrate]],Data!$I1029=SottocategorieEntrate[[#Headers],[Varie Entrate]]),"$ -","")</f>
        <v/>
      </c>
      <c r="O1029" s="59" t="str">
        <f>IF(OR(Data!$I1029=SottocategorieEntrate[[#Headers],[Real Estate]],SottocategorieEntrate[[#Headers],[Other]]),"$ -","")</f>
        <v/>
      </c>
      <c r="P1029" s="59" t="str">
        <f>IF(OR($I1029&lt;&gt;SottocategorieEntrate[[#Headers],[Business Entrate]],$I1029&lt;&gt;SottocategorieEntrate[[#Headers],[Varie Entrate]],$I1029&lt;&gt;SottocategorieEntrate[[#Headers],[Real Estate]],$I1029&lt;&gt;SottocategorieEntrate[[#Headers],[Other]]),"","$ -")</f>
        <v/>
      </c>
      <c r="Q1029" s="59" t="str">
        <f>IF(Dati[[#This Row],[Categoria]]="Prelievo","€ -","")</f>
        <v/>
      </c>
      <c r="R1029" s="244"/>
      <c r="S1029" s="59" t="str">
        <f>IF(Dati[[#This Row],[Categoria]]="Savings",0,"")</f>
        <v/>
      </c>
      <c r="T1029" s="59"/>
      <c r="U1029" s="59"/>
      <c r="V1029" s="59"/>
      <c r="W1029" s="59"/>
      <c r="X1029" s="59"/>
      <c r="Y1029" s="59"/>
      <c r="Z1029" s="59"/>
      <c r="AA1029" s="59"/>
      <c r="AB1029" s="59"/>
      <c r="AC1029" s="59"/>
      <c r="AD1029" s="59"/>
      <c r="AE1029" s="59"/>
      <c r="AF1029" s="59"/>
      <c r="AG1029" s="59"/>
      <c r="AH1029" s="59"/>
      <c r="AI1029" s="59" t="str">
        <f>IF(SUM(Dati[[#This Row],[Inv. Business]:[Inv. Cryptocurrency]])=0," ",SUM(Dati[[#This Row],[Inv. Business]:[Inv. Cryptocurrency]]))</f>
        <v xml:space="preserve"> </v>
      </c>
      <c r="AJ1029" s="59"/>
      <c r="AK1029" s="59"/>
      <c r="AL1029" s="59"/>
      <c r="AM1029" s="59"/>
    </row>
    <row r="1030" spans="2:39" x14ac:dyDescent="0.35">
      <c r="B1030" s="237">
        <f>ROW(976:976)</f>
        <v>976</v>
      </c>
      <c r="C1030" s="49">
        <f t="shared" si="53"/>
        <v>45647</v>
      </c>
      <c r="D1030" s="29">
        <f>DAY(Dati[[#This Row],[Data]])</f>
        <v>21</v>
      </c>
      <c r="E1030" s="29" t="str">
        <f>IF(DAY(Data!$C$21:$C$1327)&gt;0,TEXT(Data!$C$21:$C$1327, "mmmm"),"")</f>
        <v>dicembre</v>
      </c>
      <c r="F1030" s="29" t="str">
        <f>IF(DAY(Data!$C$21:$C$1327)&gt;0,TEXT(Data!$C$21:$C$1327, "aaaa"),"")</f>
        <v>2024</v>
      </c>
      <c r="I1030" t="str">
        <f>IF(OR(H1030=$B$5,H1030=$B$6,H1030=$B$7,H1030=$B$8,H1030=$B$9,H1030=$B$10,H1030=$B$11,H1030=$B$12,H1030=$B$13,H1030=$B$14),SottocategorieUscite[[#Headers],[Fuori Casa]],IF(OR(H1030=$C$5,H1030=$C$6,H1030=$C$7,H1030=$C$8,H1030=$C$9,H1030=$C$10,H1030=$C$11,H1030=$C$12,H1030=$C$13,H1030=$C$14),SottocategorieUscite[[#Headers],[Varie Uscite]],IF(OR(H1030=$D$5,H1030=$D$6,H1030=$D$7,H1030=$D$8,H1030=$D$9,H1030=$D$10,H1030=$D$11,H1030=$D$12,H1030=$D$13,H1030=$D$14),SottocategorieUscite[[#Headers],[Personali]],IF(OR(H1030=$E$5,H1030=$E$6,H1030=$E$7,H1030=$E$8,H1030=$E$9,H1030=$E$10,H1030=$E$11,H1030=$E$12,H1030=$E$13,H1030=$E$14),SottocategorieUscite[[#Headers],[Lavoro]],IF(OR(H1030=$F$5,H1030=$F$6,H1030=$F$7,H1030=$F$8,H1030=$F$9,H1030=$F$10,H1030=$F$11,H1030=$F$12,H1030=$F$13,H1030=$F$14),SottocategorieUscite[[#Headers],[Casa]],IF(OR(H1030=$G$5,H1030=$G$6,H1030=$G$7,H1030=$G$8,H1030=$G$9,H1030=$G$10,H1030=$G$11,H1030=$G$12,H1030=$G$13,H1030=$G$14),SottocategorieUscite[[#Headers],[Utenze]],IF(OR(H1030=$H$5,H1030=$H$6,H1030=$H$7,H1030=$H$8,H1030=$H$9,H1030=$H$10,H1030=$H$11,H1030=$H$12,H1030=$H$13,H1030=$H$14),SottocategorieUscite[[#Headers],[Business Uscite]],IF(OR(H1030=$I$5,H1030=$I$6,H1030=$I$7,H1030=$I$8,H1030=$I$9,H1030=$I$10,H1030=$I$11,H1030=$I$12,H1030=$I$13,H1030=$I$14),SottocategorieUscite[[#Headers],[Banca]],IF(OR(H1030=K$5,H1030=K$6,H1030=K$7,H1030=K$8,H1030=K$9,H1030=K$10,H1030=K$11,H1030=K$12,H1030=K$13,H1030=K$14),SottocategorieEntrate[[#Headers],[Business Entrate]],IF(OR(H1030=L$5,H1030=L$6,H1030=L$7,H1030=L$8,H1030=L$9,H1030=L$10,H1030=L$11,H1030=L$12,H1030=L$13,H1030=L$14),SottocategorieEntrate[[#Headers],[Varie Entrate]],IF(OR(H1030=M$5,H1030=M$6,H1030=M$7,H1030=M$8,H1030=M$9,H1030=M$10,H1030=M$11,H1030=M$12,H1030=M$13,H1030=M$14),SottocategorieEntrate[[#Headers],[Real Estate]],IF(OR(H1030=N$5,H1030=N$6,H1030=N$7,H1030=N$8,H1030=N$9,H1030=N$10,H1030=N$11,H1030=N$12,H1030=N$13,H1030=N$14),SottocategorieEntrate[[#Headers],[Other]],""))))))))))))</f>
        <v/>
      </c>
      <c r="J1030" t="str">
        <f>IF(OR(Dati[[#This Row],[Categoria]]="Bollette",Dati[[#This Row],[Categoria]]="Conto &amp; Carte BNL",Dati[[#This Row],[Categoria]]="Prelievo",Dati[[#This Row],[Categoria]]="Affitto",Dati[[#This Row],[Categoria]]="BNL(Interessi Creditori)"),"Carta",IF(Dati[[#This Row],[Categoria]]&lt;&gt;0,"Cash",""))</f>
        <v/>
      </c>
      <c r="K1030" s="59" t="str">
        <f>IF(OR(Data!$I1030=SottocategorieUscite[[#Headers],[Fuori Casa]],Data!$I1030=SottocategorieUscite[[#Headers],[Varie Uscite]],Data!$I1030=SottocategorieUscite[[#Headers],[Personali]],Data!$I1030=SottocategorieUscite[[#Headers],[Lavoro]]),"$ -","")</f>
        <v/>
      </c>
      <c r="L1030" s="59" t="str">
        <f>IF(OR(Data!$I1030=SottocategorieUscite[[#Headers],[Casa]],Data!$I1030=SottocategorieUscite[[#Headers],[Utenze]],Data!$I1030=SottocategorieUscite[[#Headers],[Business Uscite]],Data!$I1030=SottocategorieUscite[[#Headers],[Banca]]),"$ -","")</f>
        <v/>
      </c>
      <c r="M1030" s="59" t="str">
        <f>IF(OR($I1030&lt;&gt;SottocategorieUscite[[#Headers],[Fuori Casa]],$I1030&lt;&gt;SottocategorieUscite[[#Headers],[Varie Uscite]],$I1030&lt;&gt;SottocategorieUscite[[#Headers],[Personali]],$I1030&lt;&gt;SottocategorieUscite[[#Headers],[Lavoro]],$I1030&lt;&gt;SottocategorieUscite[[#Headers],[Casa]],$I1030&lt;&gt;SottocategorieUscite[[#Headers],[Utenze]],$I1030&lt;&gt;SottocategorieUscite[[#Headers],[Business Uscite]],$I1030&lt;&gt;SottocategorieUscite[[#Headers],[Banca]]),"","$ -")</f>
        <v/>
      </c>
      <c r="N1030" s="59" t="str">
        <f>IF(OR(Data!$I1030=SottocategorieEntrate[[#Headers],[Business Entrate]],Data!$I1030=SottocategorieEntrate[[#Headers],[Varie Entrate]]),"$ -","")</f>
        <v/>
      </c>
      <c r="O1030" s="59" t="str">
        <f>IF(OR(Data!$I1030=SottocategorieEntrate[[#Headers],[Real Estate]],SottocategorieEntrate[[#Headers],[Other]]),"$ -","")</f>
        <v/>
      </c>
      <c r="P1030" s="59" t="str">
        <f>IF(OR($I1030&lt;&gt;SottocategorieEntrate[[#Headers],[Business Entrate]],$I1030&lt;&gt;SottocategorieEntrate[[#Headers],[Varie Entrate]],$I1030&lt;&gt;SottocategorieEntrate[[#Headers],[Real Estate]],$I1030&lt;&gt;SottocategorieEntrate[[#Headers],[Other]]),"","$ -")</f>
        <v/>
      </c>
      <c r="Q1030" s="59" t="str">
        <f>IF(Dati[[#This Row],[Categoria]]="Prelievo","€ -","")</f>
        <v/>
      </c>
      <c r="R1030" s="244"/>
      <c r="S1030" s="59" t="str">
        <f>IF(Dati[[#This Row],[Categoria]]="Savings",0,"")</f>
        <v/>
      </c>
      <c r="T1030" s="59"/>
      <c r="U1030" s="59"/>
      <c r="V1030" s="59"/>
      <c r="W1030" s="59"/>
      <c r="X1030" s="59"/>
      <c r="Y1030" s="59"/>
      <c r="Z1030" s="59"/>
      <c r="AA1030" s="59"/>
      <c r="AB1030" s="59"/>
      <c r="AC1030" s="59"/>
      <c r="AD1030" s="59"/>
      <c r="AE1030" s="59"/>
      <c r="AF1030" s="59"/>
      <c r="AG1030" s="59"/>
      <c r="AH1030" s="59"/>
      <c r="AI1030" s="59" t="str">
        <f>IF(SUM(Dati[[#This Row],[Inv. Business]:[Inv. Cryptocurrency]])=0," ",SUM(Dati[[#This Row],[Inv. Business]:[Inv. Cryptocurrency]]))</f>
        <v xml:space="preserve"> </v>
      </c>
      <c r="AJ1030" s="59"/>
      <c r="AK1030" s="59"/>
      <c r="AL1030" s="59"/>
      <c r="AM1030" s="59"/>
    </row>
    <row r="1031" spans="2:39" x14ac:dyDescent="0.35">
      <c r="B1031" s="237">
        <f>ROW(980:980)</f>
        <v>980</v>
      </c>
      <c r="C1031" s="49">
        <f t="shared" si="53"/>
        <v>45648</v>
      </c>
      <c r="D1031" s="29">
        <f>DAY(Dati[[#This Row],[Data]])</f>
        <v>22</v>
      </c>
      <c r="E1031" s="29" t="str">
        <f>IF(DAY(Data!$C$21:$C$1327)&gt;0,TEXT(Data!$C$21:$C$1327, "mmmm"),"")</f>
        <v>dicembre</v>
      </c>
      <c r="F1031" s="29" t="str">
        <f>IF(DAY(Data!$C$21:$C$1327)&gt;0,TEXT(Data!$C$21:$C$1327, "aaaa"),"")</f>
        <v>2024</v>
      </c>
      <c r="I1031" t="str">
        <f>IF(OR(H1031=$B$5,H1031=$B$6,H1031=$B$7,H1031=$B$8,H1031=$B$9,H1031=$B$10,H1031=$B$11,H1031=$B$12,H1031=$B$13,H1031=$B$14),SottocategorieUscite[[#Headers],[Fuori Casa]],IF(OR(H1031=$C$5,H1031=$C$6,H1031=$C$7,H1031=$C$8,H1031=$C$9,H1031=$C$10,H1031=$C$11,H1031=$C$12,H1031=$C$13,H1031=$C$14),SottocategorieUscite[[#Headers],[Varie Uscite]],IF(OR(H1031=$D$5,H1031=$D$6,H1031=$D$7,H1031=$D$8,H1031=$D$9,H1031=$D$10,H1031=$D$11,H1031=$D$12,H1031=$D$13,H1031=$D$14),SottocategorieUscite[[#Headers],[Personali]],IF(OR(H1031=$E$5,H1031=$E$6,H1031=$E$7,H1031=$E$8,H1031=$E$9,H1031=$E$10,H1031=$E$11,H1031=$E$12,H1031=$E$13,H1031=$E$14),SottocategorieUscite[[#Headers],[Lavoro]],IF(OR(H1031=$F$5,H1031=$F$6,H1031=$F$7,H1031=$F$8,H1031=$F$9,H1031=$F$10,H1031=$F$11,H1031=$F$12,H1031=$F$13,H1031=$F$14),SottocategorieUscite[[#Headers],[Casa]],IF(OR(H1031=$G$5,H1031=$G$6,H1031=$G$7,H1031=$G$8,H1031=$G$9,H1031=$G$10,H1031=$G$11,H1031=$G$12,H1031=$G$13,H1031=$G$14),SottocategorieUscite[[#Headers],[Utenze]],IF(OR(H1031=$H$5,H1031=$H$6,H1031=$H$7,H1031=$H$8,H1031=$H$9,H1031=$H$10,H1031=$H$11,H1031=$H$12,H1031=$H$13,H1031=$H$14),SottocategorieUscite[[#Headers],[Business Uscite]],IF(OR(H1031=$I$5,H1031=$I$6,H1031=$I$7,H1031=$I$8,H1031=$I$9,H1031=$I$10,H1031=$I$11,H1031=$I$12,H1031=$I$13,H1031=$I$14),SottocategorieUscite[[#Headers],[Banca]],IF(OR(H1031=K$5,H1031=K$6,H1031=K$7,H1031=K$8,H1031=K$9,H1031=K$10,H1031=K$11,H1031=K$12,H1031=K$13,H1031=K$14),SottocategorieEntrate[[#Headers],[Business Entrate]],IF(OR(H1031=L$5,H1031=L$6,H1031=L$7,H1031=L$8,H1031=L$9,H1031=L$10,H1031=L$11,H1031=L$12,H1031=L$13,H1031=L$14),SottocategorieEntrate[[#Headers],[Varie Entrate]],IF(OR(H1031=M$5,H1031=M$6,H1031=M$7,H1031=M$8,H1031=M$9,H1031=M$10,H1031=M$11,H1031=M$12,H1031=M$13,H1031=M$14),SottocategorieEntrate[[#Headers],[Real Estate]],IF(OR(H1031=N$5,H1031=N$6,H1031=N$7,H1031=N$8,H1031=N$9,H1031=N$10,H1031=N$11,H1031=N$12,H1031=N$13,H1031=N$14),SottocategorieEntrate[[#Headers],[Other]],""))))))))))))</f>
        <v/>
      </c>
      <c r="J1031" t="str">
        <f>IF(OR(Dati[[#This Row],[Categoria]]="Bollette",Dati[[#This Row],[Categoria]]="Conto &amp; Carte BNL",Dati[[#This Row],[Categoria]]="Prelievo",Dati[[#This Row],[Categoria]]="Affitto",Dati[[#This Row],[Categoria]]="BNL(Interessi Creditori)"),"Carta",IF(Dati[[#This Row],[Categoria]]&lt;&gt;0,"Cash",""))</f>
        <v/>
      </c>
      <c r="K1031" s="59" t="str">
        <f>IF(OR(Data!$I1031=SottocategorieUscite[[#Headers],[Fuori Casa]],Data!$I1031=SottocategorieUscite[[#Headers],[Varie Uscite]],Data!$I1031=SottocategorieUscite[[#Headers],[Personali]],Data!$I1031=SottocategorieUscite[[#Headers],[Lavoro]]),"$ -","")</f>
        <v/>
      </c>
      <c r="L1031" s="59" t="str">
        <f>IF(OR(Data!$I1031=SottocategorieUscite[[#Headers],[Casa]],Data!$I1031=SottocategorieUscite[[#Headers],[Utenze]],Data!$I1031=SottocategorieUscite[[#Headers],[Business Uscite]],Data!$I1031=SottocategorieUscite[[#Headers],[Banca]]),"$ -","")</f>
        <v/>
      </c>
      <c r="M1031" s="59" t="str">
        <f>IF(OR($I1031&lt;&gt;SottocategorieUscite[[#Headers],[Fuori Casa]],$I1031&lt;&gt;SottocategorieUscite[[#Headers],[Varie Uscite]],$I1031&lt;&gt;SottocategorieUscite[[#Headers],[Personali]],$I1031&lt;&gt;SottocategorieUscite[[#Headers],[Lavoro]],$I1031&lt;&gt;SottocategorieUscite[[#Headers],[Casa]],$I1031&lt;&gt;SottocategorieUscite[[#Headers],[Utenze]],$I1031&lt;&gt;SottocategorieUscite[[#Headers],[Business Uscite]],$I1031&lt;&gt;SottocategorieUscite[[#Headers],[Banca]]),"","$ -")</f>
        <v/>
      </c>
      <c r="N1031" s="59" t="str">
        <f>IF(OR(Data!$I1031=SottocategorieEntrate[[#Headers],[Business Entrate]],Data!$I1031=SottocategorieEntrate[[#Headers],[Varie Entrate]]),"$ -","")</f>
        <v/>
      </c>
      <c r="O1031" s="59" t="str">
        <f>IF(OR(Data!$I1031=SottocategorieEntrate[[#Headers],[Real Estate]],SottocategorieEntrate[[#Headers],[Other]]),"$ -","")</f>
        <v/>
      </c>
      <c r="P1031" s="59" t="str">
        <f>IF(OR($I1031&lt;&gt;SottocategorieEntrate[[#Headers],[Business Entrate]],$I1031&lt;&gt;SottocategorieEntrate[[#Headers],[Varie Entrate]],$I1031&lt;&gt;SottocategorieEntrate[[#Headers],[Real Estate]],$I1031&lt;&gt;SottocategorieEntrate[[#Headers],[Other]]),"","$ -")</f>
        <v/>
      </c>
      <c r="Q1031" s="59" t="str">
        <f>IF(Dati[[#This Row],[Categoria]]="Prelievo","€ -","")</f>
        <v/>
      </c>
      <c r="R1031" s="244"/>
      <c r="S1031" s="59" t="str">
        <f>IF(Dati[[#This Row],[Categoria]]="Savings",0,"")</f>
        <v/>
      </c>
      <c r="T1031" s="59"/>
      <c r="U1031" s="59"/>
      <c r="V1031" s="59"/>
      <c r="W1031" s="59"/>
      <c r="X1031" s="59"/>
      <c r="Y1031" s="59"/>
      <c r="Z1031" s="59"/>
      <c r="AA1031" s="59"/>
      <c r="AB1031" s="59"/>
      <c r="AC1031" s="59"/>
      <c r="AD1031" s="59"/>
      <c r="AE1031" s="59"/>
      <c r="AF1031" s="59"/>
      <c r="AG1031" s="59"/>
      <c r="AH1031" s="59"/>
      <c r="AI1031" s="59" t="str">
        <f>IF(SUM(Dati[[#This Row],[Inv. Business]:[Inv. Cryptocurrency]])=0," ",SUM(Dati[[#This Row],[Inv. Business]:[Inv. Cryptocurrency]]))</f>
        <v xml:space="preserve"> </v>
      </c>
      <c r="AJ1031" s="59"/>
      <c r="AK1031" s="59"/>
      <c r="AL1031" s="59"/>
      <c r="AM1031" s="59"/>
    </row>
    <row r="1032" spans="2:39" x14ac:dyDescent="0.35">
      <c r="B1032" s="237">
        <f>ROW(982:982)</f>
        <v>982</v>
      </c>
      <c r="C1032" s="49">
        <f t="shared" si="53"/>
        <v>45649</v>
      </c>
      <c r="D1032" s="29">
        <f>DAY(Dati[[#This Row],[Data]])</f>
        <v>23</v>
      </c>
      <c r="E1032" s="29" t="str">
        <f>IF(DAY(Data!$C$21:$C$1327)&gt;0,TEXT(Data!$C$21:$C$1327, "mmmm"),"")</f>
        <v>dicembre</v>
      </c>
      <c r="F1032" s="29" t="str">
        <f>IF(DAY(Data!$C$21:$C$1327)&gt;0,TEXT(Data!$C$21:$C$1327, "aaaa"),"")</f>
        <v>2024</v>
      </c>
      <c r="I1032" t="str">
        <f>IF(OR(H1032=$B$5,H1032=$B$6,H1032=$B$7,H1032=$B$8,H1032=$B$9,H1032=$B$10,H1032=$B$11,H1032=$B$12,H1032=$B$13,H1032=$B$14),SottocategorieUscite[[#Headers],[Fuori Casa]],IF(OR(H1032=$C$5,H1032=$C$6,H1032=$C$7,H1032=$C$8,H1032=$C$9,H1032=$C$10,H1032=$C$11,H1032=$C$12,H1032=$C$13,H1032=$C$14),SottocategorieUscite[[#Headers],[Varie Uscite]],IF(OR(H1032=$D$5,H1032=$D$6,H1032=$D$7,H1032=$D$8,H1032=$D$9,H1032=$D$10,H1032=$D$11,H1032=$D$12,H1032=$D$13,H1032=$D$14),SottocategorieUscite[[#Headers],[Personali]],IF(OR(H1032=$E$5,H1032=$E$6,H1032=$E$7,H1032=$E$8,H1032=$E$9,H1032=$E$10,H1032=$E$11,H1032=$E$12,H1032=$E$13,H1032=$E$14),SottocategorieUscite[[#Headers],[Lavoro]],IF(OR(H1032=$F$5,H1032=$F$6,H1032=$F$7,H1032=$F$8,H1032=$F$9,H1032=$F$10,H1032=$F$11,H1032=$F$12,H1032=$F$13,H1032=$F$14),SottocategorieUscite[[#Headers],[Casa]],IF(OR(H1032=$G$5,H1032=$G$6,H1032=$G$7,H1032=$G$8,H1032=$G$9,H1032=$G$10,H1032=$G$11,H1032=$G$12,H1032=$G$13,H1032=$G$14),SottocategorieUscite[[#Headers],[Utenze]],IF(OR(H1032=$H$5,H1032=$H$6,H1032=$H$7,H1032=$H$8,H1032=$H$9,H1032=$H$10,H1032=$H$11,H1032=$H$12,H1032=$H$13,H1032=$H$14),SottocategorieUscite[[#Headers],[Business Uscite]],IF(OR(H1032=$I$5,H1032=$I$6,H1032=$I$7,H1032=$I$8,H1032=$I$9,H1032=$I$10,H1032=$I$11,H1032=$I$12,H1032=$I$13,H1032=$I$14),SottocategorieUscite[[#Headers],[Banca]],IF(OR(H1032=K$5,H1032=K$6,H1032=K$7,H1032=K$8,H1032=K$9,H1032=K$10,H1032=K$11,H1032=K$12,H1032=K$13,H1032=K$14),SottocategorieEntrate[[#Headers],[Business Entrate]],IF(OR(H1032=L$5,H1032=L$6,H1032=L$7,H1032=L$8,H1032=L$9,H1032=L$10,H1032=L$11,H1032=L$12,H1032=L$13,H1032=L$14),SottocategorieEntrate[[#Headers],[Varie Entrate]],IF(OR(H1032=M$5,H1032=M$6,H1032=M$7,H1032=M$8,H1032=M$9,H1032=M$10,H1032=M$11,H1032=M$12,H1032=M$13,H1032=M$14),SottocategorieEntrate[[#Headers],[Real Estate]],IF(OR(H1032=N$5,H1032=N$6,H1032=N$7,H1032=N$8,H1032=N$9,H1032=N$10,H1032=N$11,H1032=N$12,H1032=N$13,H1032=N$14),SottocategorieEntrate[[#Headers],[Other]],""))))))))))))</f>
        <v/>
      </c>
      <c r="J1032" t="str">
        <f>IF(OR(Dati[[#This Row],[Categoria]]="Bollette",Dati[[#This Row],[Categoria]]="Conto &amp; Carte BNL",Dati[[#This Row],[Categoria]]="Prelievo",Dati[[#This Row],[Categoria]]="Affitto",Dati[[#This Row],[Categoria]]="BNL(Interessi Creditori)"),"Carta",IF(Dati[[#This Row],[Categoria]]&lt;&gt;0,"Cash",""))</f>
        <v/>
      </c>
      <c r="K1032" s="59" t="str">
        <f>IF(OR(Data!$I1032=SottocategorieUscite[[#Headers],[Fuori Casa]],Data!$I1032=SottocategorieUscite[[#Headers],[Varie Uscite]],Data!$I1032=SottocategorieUscite[[#Headers],[Personali]],Data!$I1032=SottocategorieUscite[[#Headers],[Lavoro]]),"$ -","")</f>
        <v/>
      </c>
      <c r="L1032" s="59" t="str">
        <f>IF(OR(Data!$I1032=SottocategorieUscite[[#Headers],[Casa]],Data!$I1032=SottocategorieUscite[[#Headers],[Utenze]],Data!$I1032=SottocategorieUscite[[#Headers],[Business Uscite]],Data!$I1032=SottocategorieUscite[[#Headers],[Banca]]),"$ -","")</f>
        <v/>
      </c>
      <c r="M1032" s="59" t="str">
        <f>IF(OR($I1032&lt;&gt;SottocategorieUscite[[#Headers],[Fuori Casa]],$I1032&lt;&gt;SottocategorieUscite[[#Headers],[Varie Uscite]],$I1032&lt;&gt;SottocategorieUscite[[#Headers],[Personali]],$I1032&lt;&gt;SottocategorieUscite[[#Headers],[Lavoro]],$I1032&lt;&gt;SottocategorieUscite[[#Headers],[Casa]],$I1032&lt;&gt;SottocategorieUscite[[#Headers],[Utenze]],$I1032&lt;&gt;SottocategorieUscite[[#Headers],[Business Uscite]],$I1032&lt;&gt;SottocategorieUscite[[#Headers],[Banca]]),"","$ -")</f>
        <v/>
      </c>
      <c r="N1032" s="59" t="str">
        <f>IF(OR(Data!$I1032=SottocategorieEntrate[[#Headers],[Business Entrate]],Data!$I1032=SottocategorieEntrate[[#Headers],[Varie Entrate]]),"$ -","")</f>
        <v/>
      </c>
      <c r="O1032" s="59" t="str">
        <f>IF(OR(Data!$I1032=SottocategorieEntrate[[#Headers],[Real Estate]],SottocategorieEntrate[[#Headers],[Other]]),"$ -","")</f>
        <v/>
      </c>
      <c r="P1032" s="59" t="str">
        <f>IF(OR($I1032&lt;&gt;SottocategorieEntrate[[#Headers],[Business Entrate]],$I1032&lt;&gt;SottocategorieEntrate[[#Headers],[Varie Entrate]],$I1032&lt;&gt;SottocategorieEntrate[[#Headers],[Real Estate]],$I1032&lt;&gt;SottocategorieEntrate[[#Headers],[Other]]),"","$ -")</f>
        <v/>
      </c>
      <c r="Q1032" s="59" t="str">
        <f>IF(Dati[[#This Row],[Categoria]]="Prelievo","€ -","")</f>
        <v/>
      </c>
      <c r="R1032" s="244"/>
      <c r="S1032" s="59" t="str">
        <f>IF(Dati[[#This Row],[Categoria]]="Savings",0,"")</f>
        <v/>
      </c>
      <c r="T1032" s="59"/>
      <c r="U1032" s="59"/>
      <c r="V1032" s="59"/>
      <c r="W1032" s="59"/>
      <c r="X1032" s="59"/>
      <c r="Y1032" s="59"/>
      <c r="Z1032" s="59"/>
      <c r="AA1032" s="59"/>
      <c r="AB1032" s="59"/>
      <c r="AC1032" s="59"/>
      <c r="AD1032" s="59"/>
      <c r="AE1032" s="59"/>
      <c r="AF1032" s="59"/>
      <c r="AG1032" s="59"/>
      <c r="AH1032" s="59"/>
      <c r="AI1032" s="59" t="str">
        <f>IF(SUM(Dati[[#This Row],[Inv. Business]:[Inv. Cryptocurrency]])=0," ",SUM(Dati[[#This Row],[Inv. Business]:[Inv. Cryptocurrency]]))</f>
        <v xml:space="preserve"> </v>
      </c>
      <c r="AJ1032" s="59"/>
      <c r="AK1032" s="59"/>
      <c r="AL1032" s="59"/>
      <c r="AM1032" s="59"/>
    </row>
    <row r="1033" spans="2:39" x14ac:dyDescent="0.35">
      <c r="B1033" s="237">
        <f>ROW(983:983)</f>
        <v>983</v>
      </c>
      <c r="C1033" s="49">
        <f>C1031+1</f>
        <v>45649</v>
      </c>
      <c r="D1033" s="29">
        <f>DAY(Dati[[#This Row],[Data]])</f>
        <v>23</v>
      </c>
      <c r="E1033" s="29" t="str">
        <f>IF(DAY(Data!$C$21:$C$1327)&gt;0,TEXT(Data!$C$21:$C$1327, "mmmm"),"")</f>
        <v>dicembre</v>
      </c>
      <c r="F1033" s="29" t="str">
        <f>IF(DAY(Data!$C$21:$C$1327)&gt;0,TEXT(Data!$C$21:$C$1327, "aaaa"),"")</f>
        <v>2024</v>
      </c>
      <c r="I1033" t="str">
        <f>IF(OR(H1033=$B$5,H1033=$B$6,H1033=$B$7,H1033=$B$8,H1033=$B$9,H1033=$B$10,H1033=$B$11,H1033=$B$12,H1033=$B$13,H1033=$B$14),SottocategorieUscite[[#Headers],[Fuori Casa]],IF(OR(H1033=$C$5,H1033=$C$6,H1033=$C$7,H1033=$C$8,H1033=$C$9,H1033=$C$10,H1033=$C$11,H1033=$C$12,H1033=$C$13,H1033=$C$14),SottocategorieUscite[[#Headers],[Varie Uscite]],IF(OR(H1033=$D$5,H1033=$D$6,H1033=$D$7,H1033=$D$8,H1033=$D$9,H1033=$D$10,H1033=$D$11,H1033=$D$12,H1033=$D$13,H1033=$D$14),SottocategorieUscite[[#Headers],[Personali]],IF(OR(H1033=$E$5,H1033=$E$6,H1033=$E$7,H1033=$E$8,H1033=$E$9,H1033=$E$10,H1033=$E$11,H1033=$E$12,H1033=$E$13,H1033=$E$14),SottocategorieUscite[[#Headers],[Lavoro]],IF(OR(H1033=$F$5,H1033=$F$6,H1033=$F$7,H1033=$F$8,H1033=$F$9,H1033=$F$10,H1033=$F$11,H1033=$F$12,H1033=$F$13,H1033=$F$14),SottocategorieUscite[[#Headers],[Casa]],IF(OR(H1033=$G$5,H1033=$G$6,H1033=$G$7,H1033=$G$8,H1033=$G$9,H1033=$G$10,H1033=$G$11,H1033=$G$12,H1033=$G$13,H1033=$G$14),SottocategorieUscite[[#Headers],[Utenze]],IF(OR(H1033=$H$5,H1033=$H$6,H1033=$H$7,H1033=$H$8,H1033=$H$9,H1033=$H$10,H1033=$H$11,H1033=$H$12,H1033=$H$13,H1033=$H$14),SottocategorieUscite[[#Headers],[Business Uscite]],IF(OR(H1033=$I$5,H1033=$I$6,H1033=$I$7,H1033=$I$8,H1033=$I$9,H1033=$I$10,H1033=$I$11,H1033=$I$12,H1033=$I$13,H1033=$I$14),SottocategorieUscite[[#Headers],[Banca]],IF(OR(H1033=K$5,H1033=K$6,H1033=K$7,H1033=K$8,H1033=K$9,H1033=K$10,H1033=K$11,H1033=K$12,H1033=K$13,H1033=K$14),SottocategorieEntrate[[#Headers],[Business Entrate]],IF(OR(H1033=L$5,H1033=L$6,H1033=L$7,H1033=L$8,H1033=L$9,H1033=L$10,H1033=L$11,H1033=L$12,H1033=L$13,H1033=L$14),SottocategorieEntrate[[#Headers],[Varie Entrate]],IF(OR(H1033=M$5,H1033=M$6,H1033=M$7,H1033=M$8,H1033=M$9,H1033=M$10,H1033=M$11,H1033=M$12,H1033=M$13,H1033=M$14),SottocategorieEntrate[[#Headers],[Real Estate]],IF(OR(H1033=N$5,H1033=N$6,H1033=N$7,H1033=N$8,H1033=N$9,H1033=N$10,H1033=N$11,H1033=N$12,H1033=N$13,H1033=N$14),SottocategorieEntrate[[#Headers],[Other]],""))))))))))))</f>
        <v/>
      </c>
      <c r="J1033" t="str">
        <f>IF(OR(Dati[[#This Row],[Categoria]]="Bollette",Dati[[#This Row],[Categoria]]="Conto &amp; Carte BNL",Dati[[#This Row],[Categoria]]="Prelievo",Dati[[#This Row],[Categoria]]="Affitto",Dati[[#This Row],[Categoria]]="BNL(Interessi Creditori)"),"Carta",IF(Dati[[#This Row],[Categoria]]&lt;&gt;0,"Cash",""))</f>
        <v/>
      </c>
      <c r="K1033" s="59" t="str">
        <f>IF(OR(Data!$I1033=SottocategorieUscite[[#Headers],[Fuori Casa]],Data!$I1033=SottocategorieUscite[[#Headers],[Varie Uscite]],Data!$I1033=SottocategorieUscite[[#Headers],[Personali]],Data!$I1033=SottocategorieUscite[[#Headers],[Lavoro]]),"$ -","")</f>
        <v/>
      </c>
      <c r="L1033" s="59" t="str">
        <f>IF(OR(Data!$I1033=SottocategorieUscite[[#Headers],[Casa]],Data!$I1033=SottocategorieUscite[[#Headers],[Utenze]],Data!$I1033=SottocategorieUscite[[#Headers],[Business Uscite]],Data!$I1033=SottocategorieUscite[[#Headers],[Banca]]),"$ -","")</f>
        <v/>
      </c>
      <c r="M1033" s="59" t="str">
        <f>IF(OR($I1033&lt;&gt;SottocategorieUscite[[#Headers],[Fuori Casa]],$I1033&lt;&gt;SottocategorieUscite[[#Headers],[Varie Uscite]],$I1033&lt;&gt;SottocategorieUscite[[#Headers],[Personali]],$I1033&lt;&gt;SottocategorieUscite[[#Headers],[Lavoro]],$I1033&lt;&gt;SottocategorieUscite[[#Headers],[Casa]],$I1033&lt;&gt;SottocategorieUscite[[#Headers],[Utenze]],$I1033&lt;&gt;SottocategorieUscite[[#Headers],[Business Uscite]],$I1033&lt;&gt;SottocategorieUscite[[#Headers],[Banca]]),"","$ -")</f>
        <v/>
      </c>
      <c r="N1033" s="59" t="str">
        <f>IF(OR(Data!$I1033=SottocategorieEntrate[[#Headers],[Business Entrate]],Data!$I1033=SottocategorieEntrate[[#Headers],[Varie Entrate]]),"$ -","")</f>
        <v/>
      </c>
      <c r="O1033" s="59" t="str">
        <f>IF(OR(Data!$I1033=SottocategorieEntrate[[#Headers],[Real Estate]],SottocategorieEntrate[[#Headers],[Other]]),"$ -","")</f>
        <v/>
      </c>
      <c r="P1033" s="59" t="str">
        <f>IF(OR($I1033&lt;&gt;SottocategorieEntrate[[#Headers],[Business Entrate]],$I1033&lt;&gt;SottocategorieEntrate[[#Headers],[Varie Entrate]],$I1033&lt;&gt;SottocategorieEntrate[[#Headers],[Real Estate]],$I1033&lt;&gt;SottocategorieEntrate[[#Headers],[Other]]),"","$ -")</f>
        <v/>
      </c>
      <c r="Q1033" s="59" t="str">
        <f>IF(Dati[[#This Row],[Categoria]]="Prelievo","€ -","")</f>
        <v/>
      </c>
      <c r="R1033" s="244"/>
      <c r="S1033" s="59" t="str">
        <f>IF(Dati[[#This Row],[Categoria]]="Savings",0,"")</f>
        <v/>
      </c>
      <c r="T1033" s="59"/>
      <c r="U1033" s="59"/>
      <c r="V1033" s="59"/>
      <c r="W1033" s="59"/>
      <c r="X1033" s="59"/>
      <c r="Y1033" s="59"/>
      <c r="Z1033" s="59"/>
      <c r="AA1033" s="59"/>
      <c r="AB1033" s="59"/>
      <c r="AC1033" s="59"/>
      <c r="AD1033" s="59"/>
      <c r="AE1033" s="59"/>
      <c r="AF1033" s="59"/>
      <c r="AG1033" s="59"/>
      <c r="AH1033" s="59"/>
      <c r="AI1033" s="59" t="str">
        <f>IF(SUM(Dati[[#This Row],[Inv. Business]:[Inv. Cryptocurrency]])=0," ",SUM(Dati[[#This Row],[Inv. Business]:[Inv. Cryptocurrency]]))</f>
        <v xml:space="preserve"> </v>
      </c>
      <c r="AJ1033" s="59"/>
      <c r="AK1033" s="59"/>
      <c r="AL1033" s="59"/>
      <c r="AM1033" s="59"/>
    </row>
    <row r="1034" spans="2:39" x14ac:dyDescent="0.35">
      <c r="B1034" s="237">
        <f>ROW(983:983)</f>
        <v>983</v>
      </c>
      <c r="C1034" s="49">
        <f>C1031+1</f>
        <v>45649</v>
      </c>
      <c r="D1034" s="29">
        <f>DAY(Dati[[#This Row],[Data]])</f>
        <v>23</v>
      </c>
      <c r="E1034" s="29" t="str">
        <f>IF(DAY(Data!$C$21:$C$1327)&gt;0,TEXT(Data!$C$21:$C$1327, "mmmm"),"")</f>
        <v>dicembre</v>
      </c>
      <c r="F1034" s="29" t="str">
        <f>IF(DAY(Data!$C$21:$C$1327)&gt;0,TEXT(Data!$C$21:$C$1327, "aaaa"),"")</f>
        <v>2024</v>
      </c>
      <c r="I1034" t="str">
        <f>IF(OR(H1034=$B$5,H1034=$B$6,H1034=$B$7,H1034=$B$8,H1034=$B$9,H1034=$B$10,H1034=$B$11,H1034=$B$12,H1034=$B$13,H1034=$B$14),SottocategorieUscite[[#Headers],[Fuori Casa]],IF(OR(H1034=$C$5,H1034=$C$6,H1034=$C$7,H1034=$C$8,H1034=$C$9,H1034=$C$10,H1034=$C$11,H1034=$C$12,H1034=$C$13,H1034=$C$14),SottocategorieUscite[[#Headers],[Varie Uscite]],IF(OR(H1034=$D$5,H1034=$D$6,H1034=$D$7,H1034=$D$8,H1034=$D$9,H1034=$D$10,H1034=$D$11,H1034=$D$12,H1034=$D$13,H1034=$D$14),SottocategorieUscite[[#Headers],[Personali]],IF(OR(H1034=$E$5,H1034=$E$6,H1034=$E$7,H1034=$E$8,H1034=$E$9,H1034=$E$10,H1034=$E$11,H1034=$E$12,H1034=$E$13,H1034=$E$14),SottocategorieUscite[[#Headers],[Lavoro]],IF(OR(H1034=$F$5,H1034=$F$6,H1034=$F$7,H1034=$F$8,H1034=$F$9,H1034=$F$10,H1034=$F$11,H1034=$F$12,H1034=$F$13,H1034=$F$14),SottocategorieUscite[[#Headers],[Casa]],IF(OR(H1034=$G$5,H1034=$G$6,H1034=$G$7,H1034=$G$8,H1034=$G$9,H1034=$G$10,H1034=$G$11,H1034=$G$12,H1034=$G$13,H1034=$G$14),SottocategorieUscite[[#Headers],[Utenze]],IF(OR(H1034=$H$5,H1034=$H$6,H1034=$H$7,H1034=$H$8,H1034=$H$9,H1034=$H$10,H1034=$H$11,H1034=$H$12,H1034=$H$13,H1034=$H$14),SottocategorieUscite[[#Headers],[Business Uscite]],IF(OR(H1034=$I$5,H1034=$I$6,H1034=$I$7,H1034=$I$8,H1034=$I$9,H1034=$I$10,H1034=$I$11,H1034=$I$12,H1034=$I$13,H1034=$I$14),SottocategorieUscite[[#Headers],[Banca]],IF(OR(H1034=K$5,H1034=K$6,H1034=K$7,H1034=K$8,H1034=K$9,H1034=K$10,H1034=K$11,H1034=K$12,H1034=K$13,H1034=K$14),SottocategorieEntrate[[#Headers],[Business Entrate]],IF(OR(H1034=L$5,H1034=L$6,H1034=L$7,H1034=L$8,H1034=L$9,H1034=L$10,H1034=L$11,H1034=L$12,H1034=L$13,H1034=L$14),SottocategorieEntrate[[#Headers],[Varie Entrate]],IF(OR(H1034=M$5,H1034=M$6,H1034=M$7,H1034=M$8,H1034=M$9,H1034=M$10,H1034=M$11,H1034=M$12,H1034=M$13,H1034=M$14),SottocategorieEntrate[[#Headers],[Real Estate]],IF(OR(H1034=N$5,H1034=N$6,H1034=N$7,H1034=N$8,H1034=N$9,H1034=N$10,H1034=N$11,H1034=N$12,H1034=N$13,H1034=N$14),SottocategorieEntrate[[#Headers],[Other]],""))))))))))))</f>
        <v/>
      </c>
      <c r="J1034" t="str">
        <f>IF(OR(Dati[[#This Row],[Categoria]]="Bollette",Dati[[#This Row],[Categoria]]="Conto &amp; Carte BNL",Dati[[#This Row],[Categoria]]="Prelievo",Dati[[#This Row],[Categoria]]="Affitto",Dati[[#This Row],[Categoria]]="BNL(Interessi Creditori)"),"Carta",IF(Dati[[#This Row],[Categoria]]&lt;&gt;0,"Cash",""))</f>
        <v/>
      </c>
      <c r="K1034" s="59" t="str">
        <f>IF(OR(Data!$I1034=SottocategorieUscite[[#Headers],[Fuori Casa]],Data!$I1034=SottocategorieUscite[[#Headers],[Varie Uscite]],Data!$I1034=SottocategorieUscite[[#Headers],[Personali]],Data!$I1034=SottocategorieUscite[[#Headers],[Lavoro]]),"$ -","")</f>
        <v/>
      </c>
      <c r="L1034" s="59" t="str">
        <f>IF(OR(Data!$I1034=SottocategorieUscite[[#Headers],[Casa]],Data!$I1034=SottocategorieUscite[[#Headers],[Utenze]],Data!$I1034=SottocategorieUscite[[#Headers],[Business Uscite]],Data!$I1034=SottocategorieUscite[[#Headers],[Banca]]),"$ -","")</f>
        <v/>
      </c>
      <c r="M1034" s="59" t="str">
        <f>IF(OR($I1034&lt;&gt;SottocategorieUscite[[#Headers],[Fuori Casa]],$I1034&lt;&gt;SottocategorieUscite[[#Headers],[Varie Uscite]],$I1034&lt;&gt;SottocategorieUscite[[#Headers],[Personali]],$I1034&lt;&gt;SottocategorieUscite[[#Headers],[Lavoro]],$I1034&lt;&gt;SottocategorieUscite[[#Headers],[Casa]],$I1034&lt;&gt;SottocategorieUscite[[#Headers],[Utenze]],$I1034&lt;&gt;SottocategorieUscite[[#Headers],[Business Uscite]],$I1034&lt;&gt;SottocategorieUscite[[#Headers],[Banca]]),"","$ -")</f>
        <v/>
      </c>
      <c r="N1034" s="59" t="str">
        <f>IF(OR(Data!$I1034=SottocategorieEntrate[[#Headers],[Business Entrate]],Data!$I1034=SottocategorieEntrate[[#Headers],[Varie Entrate]]),"$ -","")</f>
        <v/>
      </c>
      <c r="O1034" s="59" t="str">
        <f>IF(OR(Data!$I1034=SottocategorieEntrate[[#Headers],[Real Estate]],SottocategorieEntrate[[#Headers],[Other]]),"$ -","")</f>
        <v/>
      </c>
      <c r="P1034" s="59" t="str">
        <f>IF(OR($I1034&lt;&gt;SottocategorieEntrate[[#Headers],[Business Entrate]],$I1034&lt;&gt;SottocategorieEntrate[[#Headers],[Varie Entrate]],$I1034&lt;&gt;SottocategorieEntrate[[#Headers],[Real Estate]],$I1034&lt;&gt;SottocategorieEntrate[[#Headers],[Other]]),"","$ -")</f>
        <v/>
      </c>
      <c r="Q1034" s="59" t="str">
        <f>IF(Dati[[#This Row],[Categoria]]="Prelievo","€ -","")</f>
        <v/>
      </c>
      <c r="R1034" s="244"/>
      <c r="S1034" s="59" t="str">
        <f>IF(Dati[[#This Row],[Categoria]]="Savings",0,"")</f>
        <v/>
      </c>
      <c r="T1034" s="59"/>
      <c r="U1034" s="59"/>
      <c r="V1034" s="59"/>
      <c r="W1034" s="59"/>
      <c r="X1034" s="59"/>
      <c r="Y1034" s="59"/>
      <c r="Z1034" s="59"/>
      <c r="AA1034" s="59"/>
      <c r="AB1034" s="59"/>
      <c r="AC1034" s="59"/>
      <c r="AD1034" s="59"/>
      <c r="AE1034" s="59"/>
      <c r="AF1034" s="59"/>
      <c r="AG1034" s="59"/>
      <c r="AH1034" s="59"/>
      <c r="AI1034" s="59" t="str">
        <f>IF(SUM(Dati[[#This Row],[Inv. Business]:[Inv. Cryptocurrency]])=0," ",SUM(Dati[[#This Row],[Inv. Business]:[Inv. Cryptocurrency]]))</f>
        <v xml:space="preserve"> </v>
      </c>
      <c r="AJ1034" s="59"/>
      <c r="AK1034" s="59"/>
      <c r="AL1034" s="59"/>
      <c r="AM1034" s="59"/>
    </row>
    <row r="1035" spans="2:39" x14ac:dyDescent="0.35">
      <c r="B1035" s="237">
        <f>ROW(983:983)</f>
        <v>983</v>
      </c>
      <c r="C1035" s="49">
        <f>C1031+1</f>
        <v>45649</v>
      </c>
      <c r="D1035" s="29">
        <f>DAY(Dati[[#This Row],[Data]])</f>
        <v>23</v>
      </c>
      <c r="E1035" s="29" t="str">
        <f>IF(DAY(Data!$C$21:$C$1327)&gt;0,TEXT(Data!$C$21:$C$1327, "mmmm"),"")</f>
        <v>dicembre</v>
      </c>
      <c r="F1035" s="29" t="str">
        <f>IF(DAY(Data!$C$21:$C$1327)&gt;0,TEXT(Data!$C$21:$C$1327, "aaaa"),"")</f>
        <v>2024</v>
      </c>
      <c r="I1035" t="str">
        <f>IF(OR(H1035=$B$5,H1035=$B$6,H1035=$B$7,H1035=$B$8,H1035=$B$9,H1035=$B$10,H1035=$B$11,H1035=$B$12,H1035=$B$13,H1035=$B$14),SottocategorieUscite[[#Headers],[Fuori Casa]],IF(OR(H1035=$C$5,H1035=$C$6,H1035=$C$7,H1035=$C$8,H1035=$C$9,H1035=$C$10,H1035=$C$11,H1035=$C$12,H1035=$C$13,H1035=$C$14),SottocategorieUscite[[#Headers],[Varie Uscite]],IF(OR(H1035=$D$5,H1035=$D$6,H1035=$D$7,H1035=$D$8,H1035=$D$9,H1035=$D$10,H1035=$D$11,H1035=$D$12,H1035=$D$13,H1035=$D$14),SottocategorieUscite[[#Headers],[Personali]],IF(OR(H1035=$E$5,H1035=$E$6,H1035=$E$7,H1035=$E$8,H1035=$E$9,H1035=$E$10,H1035=$E$11,H1035=$E$12,H1035=$E$13,H1035=$E$14),SottocategorieUscite[[#Headers],[Lavoro]],IF(OR(H1035=$F$5,H1035=$F$6,H1035=$F$7,H1035=$F$8,H1035=$F$9,H1035=$F$10,H1035=$F$11,H1035=$F$12,H1035=$F$13,H1035=$F$14),SottocategorieUscite[[#Headers],[Casa]],IF(OR(H1035=$G$5,H1035=$G$6,H1035=$G$7,H1035=$G$8,H1035=$G$9,H1035=$G$10,H1035=$G$11,H1035=$G$12,H1035=$G$13,H1035=$G$14),SottocategorieUscite[[#Headers],[Utenze]],IF(OR(H1035=$H$5,H1035=$H$6,H1035=$H$7,H1035=$H$8,H1035=$H$9,H1035=$H$10,H1035=$H$11,H1035=$H$12,H1035=$H$13,H1035=$H$14),SottocategorieUscite[[#Headers],[Business Uscite]],IF(OR(H1035=$I$5,H1035=$I$6,H1035=$I$7,H1035=$I$8,H1035=$I$9,H1035=$I$10,H1035=$I$11,H1035=$I$12,H1035=$I$13,H1035=$I$14),SottocategorieUscite[[#Headers],[Banca]],IF(OR(H1035=K$5,H1035=K$6,H1035=K$7,H1035=K$8,H1035=K$9,H1035=K$10,H1035=K$11,H1035=K$12,H1035=K$13,H1035=K$14),SottocategorieEntrate[[#Headers],[Business Entrate]],IF(OR(H1035=L$5,H1035=L$6,H1035=L$7,H1035=L$8,H1035=L$9,H1035=L$10,H1035=L$11,H1035=L$12,H1035=L$13,H1035=L$14),SottocategorieEntrate[[#Headers],[Varie Entrate]],IF(OR(H1035=M$5,H1035=M$6,H1035=M$7,H1035=M$8,H1035=M$9,H1035=M$10,H1035=M$11,H1035=M$12,H1035=M$13,H1035=M$14),SottocategorieEntrate[[#Headers],[Real Estate]],IF(OR(H1035=N$5,H1035=N$6,H1035=N$7,H1035=N$8,H1035=N$9,H1035=N$10,H1035=N$11,H1035=N$12,H1035=N$13,H1035=N$14),SottocategorieEntrate[[#Headers],[Other]],""))))))))))))</f>
        <v/>
      </c>
      <c r="J1035" t="str">
        <f>IF(OR(Dati[[#This Row],[Categoria]]="Bollette",Dati[[#This Row],[Categoria]]="Conto &amp; Carte BNL",Dati[[#This Row],[Categoria]]="Prelievo",Dati[[#This Row],[Categoria]]="Affitto",Dati[[#This Row],[Categoria]]="BNL(Interessi Creditori)"),"Carta",IF(Dati[[#This Row],[Categoria]]&lt;&gt;0,"Cash",""))</f>
        <v/>
      </c>
      <c r="K1035" s="59" t="str">
        <f>IF(OR(Data!$I1035=SottocategorieUscite[[#Headers],[Fuori Casa]],Data!$I1035=SottocategorieUscite[[#Headers],[Varie Uscite]],Data!$I1035=SottocategorieUscite[[#Headers],[Personali]],Data!$I1035=SottocategorieUscite[[#Headers],[Lavoro]]),"$ -","")</f>
        <v/>
      </c>
      <c r="L1035" s="59" t="str">
        <f>IF(OR(Data!$I1035=SottocategorieUscite[[#Headers],[Casa]],Data!$I1035=SottocategorieUscite[[#Headers],[Utenze]],Data!$I1035=SottocategorieUscite[[#Headers],[Business Uscite]],Data!$I1035=SottocategorieUscite[[#Headers],[Banca]]),"$ -","")</f>
        <v/>
      </c>
      <c r="M1035" s="59" t="str">
        <f>IF(OR($I1035&lt;&gt;SottocategorieUscite[[#Headers],[Fuori Casa]],$I1035&lt;&gt;SottocategorieUscite[[#Headers],[Varie Uscite]],$I1035&lt;&gt;SottocategorieUscite[[#Headers],[Personali]],$I1035&lt;&gt;SottocategorieUscite[[#Headers],[Lavoro]],$I1035&lt;&gt;SottocategorieUscite[[#Headers],[Casa]],$I1035&lt;&gt;SottocategorieUscite[[#Headers],[Utenze]],$I1035&lt;&gt;SottocategorieUscite[[#Headers],[Business Uscite]],$I1035&lt;&gt;SottocategorieUscite[[#Headers],[Banca]]),"","$ -")</f>
        <v/>
      </c>
      <c r="N1035" s="59" t="str">
        <f>IF(OR(Data!$I1035=SottocategorieEntrate[[#Headers],[Business Entrate]],Data!$I1035=SottocategorieEntrate[[#Headers],[Varie Entrate]]),"$ -","")</f>
        <v/>
      </c>
      <c r="O1035" s="59" t="str">
        <f>IF(OR(Data!$I1035=SottocategorieEntrate[[#Headers],[Real Estate]],SottocategorieEntrate[[#Headers],[Other]]),"$ -","")</f>
        <v/>
      </c>
      <c r="P1035" s="59" t="str">
        <f>IF(OR($I1035&lt;&gt;SottocategorieEntrate[[#Headers],[Business Entrate]],$I1035&lt;&gt;SottocategorieEntrate[[#Headers],[Varie Entrate]],$I1035&lt;&gt;SottocategorieEntrate[[#Headers],[Real Estate]],$I1035&lt;&gt;SottocategorieEntrate[[#Headers],[Other]]),"","$ -")</f>
        <v/>
      </c>
      <c r="Q1035" s="59" t="str">
        <f>IF(Dati[[#This Row],[Categoria]]="Prelievo","€ -","")</f>
        <v/>
      </c>
      <c r="R1035" s="244"/>
      <c r="S1035" s="59" t="str">
        <f>IF(Dati[[#This Row],[Categoria]]="Savings",0,"")</f>
        <v/>
      </c>
      <c r="T1035" s="59"/>
      <c r="U1035" s="59"/>
      <c r="V1035" s="59"/>
      <c r="W1035" s="59"/>
      <c r="X1035" s="59"/>
      <c r="Y1035" s="59"/>
      <c r="Z1035" s="59"/>
      <c r="AA1035" s="59"/>
      <c r="AB1035" s="59"/>
      <c r="AC1035" s="59"/>
      <c r="AD1035" s="59"/>
      <c r="AE1035" s="59"/>
      <c r="AF1035" s="59"/>
      <c r="AG1035" s="59"/>
      <c r="AH1035" s="59"/>
      <c r="AI1035" s="59" t="str">
        <f>IF(SUM(Dati[[#This Row],[Inv. Business]:[Inv. Cryptocurrency]])=0," ",SUM(Dati[[#This Row],[Inv. Business]:[Inv. Cryptocurrency]]))</f>
        <v xml:space="preserve"> </v>
      </c>
      <c r="AJ1035" s="59"/>
      <c r="AK1035" s="59"/>
      <c r="AL1035" s="59"/>
      <c r="AM1035" s="59"/>
    </row>
    <row r="1036" spans="2:39" x14ac:dyDescent="0.35">
      <c r="B1036" s="237">
        <f>ROW(984:984)</f>
        <v>984</v>
      </c>
      <c r="C1036" s="49">
        <f>C1032+1</f>
        <v>45650</v>
      </c>
      <c r="D1036" s="29">
        <f>DAY(Dati[[#This Row],[Data]])</f>
        <v>24</v>
      </c>
      <c r="E1036" s="29" t="str">
        <f>IF(DAY(Data!$C$21:$C$1327)&gt;0,TEXT(Data!$C$21:$C$1327, "mmmm"),"")</f>
        <v>dicembre</v>
      </c>
      <c r="F1036" s="29" t="str">
        <f>IF(DAY(Data!$C$21:$C$1327)&gt;0,TEXT(Data!$C$21:$C$1327, "aaaa"),"")</f>
        <v>2024</v>
      </c>
      <c r="I1036" t="str">
        <f>IF(OR(H1036=$B$5,H1036=$B$6,H1036=$B$7,H1036=$B$8,H1036=$B$9,H1036=$B$10,H1036=$B$11,H1036=$B$12,H1036=$B$13,H1036=$B$14),SottocategorieUscite[[#Headers],[Fuori Casa]],IF(OR(H1036=$C$5,H1036=$C$6,H1036=$C$7,H1036=$C$8,H1036=$C$9,H1036=$C$10,H1036=$C$11,H1036=$C$12,H1036=$C$13,H1036=$C$14),SottocategorieUscite[[#Headers],[Varie Uscite]],IF(OR(H1036=$D$5,H1036=$D$6,H1036=$D$7,H1036=$D$8,H1036=$D$9,H1036=$D$10,H1036=$D$11,H1036=$D$12,H1036=$D$13,H1036=$D$14),SottocategorieUscite[[#Headers],[Personali]],IF(OR(H1036=$E$5,H1036=$E$6,H1036=$E$7,H1036=$E$8,H1036=$E$9,H1036=$E$10,H1036=$E$11,H1036=$E$12,H1036=$E$13,H1036=$E$14),SottocategorieUscite[[#Headers],[Lavoro]],IF(OR(H1036=$F$5,H1036=$F$6,H1036=$F$7,H1036=$F$8,H1036=$F$9,H1036=$F$10,H1036=$F$11,H1036=$F$12,H1036=$F$13,H1036=$F$14),SottocategorieUscite[[#Headers],[Casa]],IF(OR(H1036=$G$5,H1036=$G$6,H1036=$G$7,H1036=$G$8,H1036=$G$9,H1036=$G$10,H1036=$G$11,H1036=$G$12,H1036=$G$13,H1036=$G$14),SottocategorieUscite[[#Headers],[Utenze]],IF(OR(H1036=$H$5,H1036=$H$6,H1036=$H$7,H1036=$H$8,H1036=$H$9,H1036=$H$10,H1036=$H$11,H1036=$H$12,H1036=$H$13,H1036=$H$14),SottocategorieUscite[[#Headers],[Business Uscite]],IF(OR(H1036=$I$5,H1036=$I$6,H1036=$I$7,H1036=$I$8,H1036=$I$9,H1036=$I$10,H1036=$I$11,H1036=$I$12,H1036=$I$13,H1036=$I$14),SottocategorieUscite[[#Headers],[Banca]],IF(OR(H1036=K$5,H1036=K$6,H1036=K$7,H1036=K$8,H1036=K$9,H1036=K$10,H1036=K$11,H1036=K$12,H1036=K$13,H1036=K$14),SottocategorieEntrate[[#Headers],[Business Entrate]],IF(OR(H1036=L$5,H1036=L$6,H1036=L$7,H1036=L$8,H1036=L$9,H1036=L$10,H1036=L$11,H1036=L$12,H1036=L$13,H1036=L$14),SottocategorieEntrate[[#Headers],[Varie Entrate]],IF(OR(H1036=M$5,H1036=M$6,H1036=M$7,H1036=M$8,H1036=M$9,H1036=M$10,H1036=M$11,H1036=M$12,H1036=M$13,H1036=M$14),SottocategorieEntrate[[#Headers],[Real Estate]],IF(OR(H1036=N$5,H1036=N$6,H1036=N$7,H1036=N$8,H1036=N$9,H1036=N$10,H1036=N$11,H1036=N$12,H1036=N$13,H1036=N$14),SottocategorieEntrate[[#Headers],[Other]],""))))))))))))</f>
        <v/>
      </c>
      <c r="J1036" t="str">
        <f>IF(OR(Dati[[#This Row],[Categoria]]="Bollette",Dati[[#This Row],[Categoria]]="Conto &amp; Carte BNL",Dati[[#This Row],[Categoria]]="Prelievo",Dati[[#This Row],[Categoria]]="Affitto",Dati[[#This Row],[Categoria]]="BNL(Interessi Creditori)"),"Carta",IF(Dati[[#This Row],[Categoria]]&lt;&gt;0,"Cash",""))</f>
        <v/>
      </c>
      <c r="K1036" s="59" t="str">
        <f>IF(OR(Data!$I1036=SottocategorieUscite[[#Headers],[Fuori Casa]],Data!$I1036=SottocategorieUscite[[#Headers],[Varie Uscite]],Data!$I1036=SottocategorieUscite[[#Headers],[Personali]],Data!$I1036=SottocategorieUscite[[#Headers],[Lavoro]]),"$ -","")</f>
        <v/>
      </c>
      <c r="L1036" s="59" t="str">
        <f>IF(OR(Data!$I1036=SottocategorieUscite[[#Headers],[Casa]],Data!$I1036=SottocategorieUscite[[#Headers],[Utenze]],Data!$I1036=SottocategorieUscite[[#Headers],[Business Uscite]],Data!$I1036=SottocategorieUscite[[#Headers],[Banca]]),"$ -","")</f>
        <v/>
      </c>
      <c r="M1036" s="59" t="str">
        <f>IF(OR($I1036&lt;&gt;SottocategorieUscite[[#Headers],[Fuori Casa]],$I1036&lt;&gt;SottocategorieUscite[[#Headers],[Varie Uscite]],$I1036&lt;&gt;SottocategorieUscite[[#Headers],[Personali]],$I1036&lt;&gt;SottocategorieUscite[[#Headers],[Lavoro]],$I1036&lt;&gt;SottocategorieUscite[[#Headers],[Casa]],$I1036&lt;&gt;SottocategorieUscite[[#Headers],[Utenze]],$I1036&lt;&gt;SottocategorieUscite[[#Headers],[Business Uscite]],$I1036&lt;&gt;SottocategorieUscite[[#Headers],[Banca]]),"","$ -")</f>
        <v/>
      </c>
      <c r="N1036" s="59" t="str">
        <f>IF(OR(Data!$I1036=SottocategorieEntrate[[#Headers],[Business Entrate]],Data!$I1036=SottocategorieEntrate[[#Headers],[Varie Entrate]]),"$ -","")</f>
        <v/>
      </c>
      <c r="O1036" s="59" t="str">
        <f>IF(OR(Data!$I1036=SottocategorieEntrate[[#Headers],[Real Estate]],SottocategorieEntrate[[#Headers],[Other]]),"$ -","")</f>
        <v/>
      </c>
      <c r="P1036" s="59" t="str">
        <f>IF(OR($I1036&lt;&gt;SottocategorieEntrate[[#Headers],[Business Entrate]],$I1036&lt;&gt;SottocategorieEntrate[[#Headers],[Varie Entrate]],$I1036&lt;&gt;SottocategorieEntrate[[#Headers],[Real Estate]],$I1036&lt;&gt;SottocategorieEntrate[[#Headers],[Other]]),"","$ -")</f>
        <v/>
      </c>
      <c r="Q1036" s="59" t="str">
        <f>IF(Dati[[#This Row],[Categoria]]="Prelievo","€ -","")</f>
        <v/>
      </c>
      <c r="R1036" s="244"/>
      <c r="S1036" s="59" t="str">
        <f>IF(Dati[[#This Row],[Categoria]]="Savings",0,"")</f>
        <v/>
      </c>
      <c r="T1036" s="59"/>
      <c r="U1036" s="59"/>
      <c r="V1036" s="59"/>
      <c r="W1036" s="59"/>
      <c r="X1036" s="59"/>
      <c r="Y1036" s="59"/>
      <c r="Z1036" s="59"/>
      <c r="AA1036" s="59"/>
      <c r="AB1036" s="59"/>
      <c r="AC1036" s="59"/>
      <c r="AD1036" s="59"/>
      <c r="AE1036" s="59"/>
      <c r="AF1036" s="59"/>
      <c r="AG1036" s="59"/>
      <c r="AH1036" s="59"/>
      <c r="AI1036" s="59" t="str">
        <f>IF(SUM(Dati[[#This Row],[Inv. Business]:[Inv. Cryptocurrency]])=0," ",SUM(Dati[[#This Row],[Inv. Business]:[Inv. Cryptocurrency]]))</f>
        <v xml:space="preserve"> </v>
      </c>
      <c r="AJ1036" s="59"/>
      <c r="AK1036" s="59"/>
      <c r="AL1036" s="59"/>
      <c r="AM1036" s="59"/>
    </row>
    <row r="1037" spans="2:39" x14ac:dyDescent="0.35">
      <c r="B1037" s="237">
        <f>ROW(986:986)</f>
        <v>986</v>
      </c>
      <c r="C1037" s="49">
        <f t="shared" si="53"/>
        <v>45651</v>
      </c>
      <c r="D1037" s="29">
        <f>DAY(Dati[[#This Row],[Data]])</f>
        <v>25</v>
      </c>
      <c r="E1037" s="29" t="str">
        <f>IF(DAY(Data!$C$21:$C$1327)&gt;0,TEXT(Data!$C$21:$C$1327, "mmmm"),"")</f>
        <v>dicembre</v>
      </c>
      <c r="F1037" s="29" t="str">
        <f>IF(DAY(Data!$C$21:$C$1327)&gt;0,TEXT(Data!$C$21:$C$1327, "aaaa"),"")</f>
        <v>2024</v>
      </c>
      <c r="I1037" t="str">
        <f>IF(OR(H1037=$B$5,H1037=$B$6,H1037=$B$7,H1037=$B$8,H1037=$B$9,H1037=$B$10,H1037=$B$11,H1037=$B$12,H1037=$B$13,H1037=$B$14),SottocategorieUscite[[#Headers],[Fuori Casa]],IF(OR(H1037=$C$5,H1037=$C$6,H1037=$C$7,H1037=$C$8,H1037=$C$9,H1037=$C$10,H1037=$C$11,H1037=$C$12,H1037=$C$13,H1037=$C$14),SottocategorieUscite[[#Headers],[Varie Uscite]],IF(OR(H1037=$D$5,H1037=$D$6,H1037=$D$7,H1037=$D$8,H1037=$D$9,H1037=$D$10,H1037=$D$11,H1037=$D$12,H1037=$D$13,H1037=$D$14),SottocategorieUscite[[#Headers],[Personali]],IF(OR(H1037=$E$5,H1037=$E$6,H1037=$E$7,H1037=$E$8,H1037=$E$9,H1037=$E$10,H1037=$E$11,H1037=$E$12,H1037=$E$13,H1037=$E$14),SottocategorieUscite[[#Headers],[Lavoro]],IF(OR(H1037=$F$5,H1037=$F$6,H1037=$F$7,H1037=$F$8,H1037=$F$9,H1037=$F$10,H1037=$F$11,H1037=$F$12,H1037=$F$13,H1037=$F$14),SottocategorieUscite[[#Headers],[Casa]],IF(OR(H1037=$G$5,H1037=$G$6,H1037=$G$7,H1037=$G$8,H1037=$G$9,H1037=$G$10,H1037=$G$11,H1037=$G$12,H1037=$G$13,H1037=$G$14),SottocategorieUscite[[#Headers],[Utenze]],IF(OR(H1037=$H$5,H1037=$H$6,H1037=$H$7,H1037=$H$8,H1037=$H$9,H1037=$H$10,H1037=$H$11,H1037=$H$12,H1037=$H$13,H1037=$H$14),SottocategorieUscite[[#Headers],[Business Uscite]],IF(OR(H1037=$I$5,H1037=$I$6,H1037=$I$7,H1037=$I$8,H1037=$I$9,H1037=$I$10,H1037=$I$11,H1037=$I$12,H1037=$I$13,H1037=$I$14),SottocategorieUscite[[#Headers],[Banca]],IF(OR(H1037=K$5,H1037=K$6,H1037=K$7,H1037=K$8,H1037=K$9,H1037=K$10,H1037=K$11,H1037=K$12,H1037=K$13,H1037=K$14),SottocategorieEntrate[[#Headers],[Business Entrate]],IF(OR(H1037=L$5,H1037=L$6,H1037=L$7,H1037=L$8,H1037=L$9,H1037=L$10,H1037=L$11,H1037=L$12,H1037=L$13,H1037=L$14),SottocategorieEntrate[[#Headers],[Varie Entrate]],IF(OR(H1037=M$5,H1037=M$6,H1037=M$7,H1037=M$8,H1037=M$9,H1037=M$10,H1037=M$11,H1037=M$12,H1037=M$13,H1037=M$14),SottocategorieEntrate[[#Headers],[Real Estate]],IF(OR(H1037=N$5,H1037=N$6,H1037=N$7,H1037=N$8,H1037=N$9,H1037=N$10,H1037=N$11,H1037=N$12,H1037=N$13,H1037=N$14),SottocategorieEntrate[[#Headers],[Other]],""))))))))))))</f>
        <v/>
      </c>
      <c r="J1037" t="str">
        <f>IF(OR(Dati[[#This Row],[Categoria]]="Bollette",Dati[[#This Row],[Categoria]]="Conto &amp; Carte BNL",Dati[[#This Row],[Categoria]]="Prelievo",Dati[[#This Row],[Categoria]]="Affitto",Dati[[#This Row],[Categoria]]="BNL(Interessi Creditori)"),"Carta",IF(Dati[[#This Row],[Categoria]]&lt;&gt;0,"Cash",""))</f>
        <v/>
      </c>
      <c r="K1037" s="59" t="str">
        <f>IF(OR(Data!$I1037=SottocategorieUscite[[#Headers],[Fuori Casa]],Data!$I1037=SottocategorieUscite[[#Headers],[Varie Uscite]],Data!$I1037=SottocategorieUscite[[#Headers],[Personali]],Data!$I1037=SottocategorieUscite[[#Headers],[Lavoro]]),"$ -","")</f>
        <v/>
      </c>
      <c r="L1037" s="59" t="str">
        <f>IF(OR(Data!$I1037=SottocategorieUscite[[#Headers],[Casa]],Data!$I1037=SottocategorieUscite[[#Headers],[Utenze]],Data!$I1037=SottocategorieUscite[[#Headers],[Business Uscite]],Data!$I1037=SottocategorieUscite[[#Headers],[Banca]]),"$ -","")</f>
        <v/>
      </c>
      <c r="M1037" s="59" t="str">
        <f>IF(OR($I1037&lt;&gt;SottocategorieUscite[[#Headers],[Fuori Casa]],$I1037&lt;&gt;SottocategorieUscite[[#Headers],[Varie Uscite]],$I1037&lt;&gt;SottocategorieUscite[[#Headers],[Personali]],$I1037&lt;&gt;SottocategorieUscite[[#Headers],[Lavoro]],$I1037&lt;&gt;SottocategorieUscite[[#Headers],[Casa]],$I1037&lt;&gt;SottocategorieUscite[[#Headers],[Utenze]],$I1037&lt;&gt;SottocategorieUscite[[#Headers],[Business Uscite]],$I1037&lt;&gt;SottocategorieUscite[[#Headers],[Banca]]),"","$ -")</f>
        <v/>
      </c>
      <c r="N1037" s="59" t="str">
        <f>IF(OR(Data!$I1037=SottocategorieEntrate[[#Headers],[Business Entrate]],Data!$I1037=SottocategorieEntrate[[#Headers],[Varie Entrate]]),"$ -","")</f>
        <v/>
      </c>
      <c r="O1037" s="59" t="str">
        <f>IF(OR(Data!$I1037=SottocategorieEntrate[[#Headers],[Real Estate]],SottocategorieEntrate[[#Headers],[Other]]),"$ -","")</f>
        <v/>
      </c>
      <c r="P1037" s="59" t="str">
        <f>IF(OR($I1037&lt;&gt;SottocategorieEntrate[[#Headers],[Business Entrate]],$I1037&lt;&gt;SottocategorieEntrate[[#Headers],[Varie Entrate]],$I1037&lt;&gt;SottocategorieEntrate[[#Headers],[Real Estate]],$I1037&lt;&gt;SottocategorieEntrate[[#Headers],[Other]]),"","$ -")</f>
        <v/>
      </c>
      <c r="Q1037" s="59" t="str">
        <f>IF(Dati[[#This Row],[Categoria]]="Prelievo","€ -","")</f>
        <v/>
      </c>
      <c r="R1037" s="244"/>
      <c r="S1037" s="59" t="str">
        <f>IF(Dati[[#This Row],[Categoria]]="Savings",0,"")</f>
        <v/>
      </c>
      <c r="T1037" s="59"/>
      <c r="U1037" s="59"/>
      <c r="V1037" s="59"/>
      <c r="W1037" s="59"/>
      <c r="X1037" s="59"/>
      <c r="Y1037" s="59"/>
      <c r="Z1037" s="59"/>
      <c r="AA1037" s="59"/>
      <c r="AB1037" s="59"/>
      <c r="AC1037" s="59"/>
      <c r="AD1037" s="59"/>
      <c r="AE1037" s="59"/>
      <c r="AF1037" s="59"/>
      <c r="AG1037" s="59"/>
      <c r="AH1037" s="59"/>
      <c r="AI1037" s="59" t="str">
        <f>IF(SUM(Dati[[#This Row],[Inv. Business]:[Inv. Cryptocurrency]])=0," ",SUM(Dati[[#This Row],[Inv. Business]:[Inv. Cryptocurrency]]))</f>
        <v xml:space="preserve"> </v>
      </c>
      <c r="AJ1037" s="59"/>
      <c r="AK1037" s="59"/>
      <c r="AL1037" s="59"/>
      <c r="AM1037" s="59"/>
    </row>
    <row r="1038" spans="2:39" x14ac:dyDescent="0.35">
      <c r="B1038" s="237">
        <f>ROW(990:990)</f>
        <v>990</v>
      </c>
      <c r="C1038" s="49">
        <f t="shared" si="53"/>
        <v>45652</v>
      </c>
      <c r="D1038" s="29">
        <f>DAY(Dati[[#This Row],[Data]])</f>
        <v>26</v>
      </c>
      <c r="E1038" s="29" t="str">
        <f>IF(DAY(Data!$C$21:$C$1327)&gt;0,TEXT(Data!$C$21:$C$1327, "mmmm"),"")</f>
        <v>dicembre</v>
      </c>
      <c r="F1038" s="29" t="str">
        <f>IF(DAY(Data!$C$21:$C$1327)&gt;0,TEXT(Data!$C$21:$C$1327, "aaaa"),"")</f>
        <v>2024</v>
      </c>
      <c r="I1038" t="str">
        <f>IF(OR(H1038=$B$5,H1038=$B$6,H1038=$B$7,H1038=$B$8,H1038=$B$9,H1038=$B$10,H1038=$B$11,H1038=$B$12,H1038=$B$13,H1038=$B$14),SottocategorieUscite[[#Headers],[Fuori Casa]],IF(OR(H1038=$C$5,H1038=$C$6,H1038=$C$7,H1038=$C$8,H1038=$C$9,H1038=$C$10,H1038=$C$11,H1038=$C$12,H1038=$C$13,H1038=$C$14),SottocategorieUscite[[#Headers],[Varie Uscite]],IF(OR(H1038=$D$5,H1038=$D$6,H1038=$D$7,H1038=$D$8,H1038=$D$9,H1038=$D$10,H1038=$D$11,H1038=$D$12,H1038=$D$13,H1038=$D$14),SottocategorieUscite[[#Headers],[Personali]],IF(OR(H1038=$E$5,H1038=$E$6,H1038=$E$7,H1038=$E$8,H1038=$E$9,H1038=$E$10,H1038=$E$11,H1038=$E$12,H1038=$E$13,H1038=$E$14),SottocategorieUscite[[#Headers],[Lavoro]],IF(OR(H1038=$F$5,H1038=$F$6,H1038=$F$7,H1038=$F$8,H1038=$F$9,H1038=$F$10,H1038=$F$11,H1038=$F$12,H1038=$F$13,H1038=$F$14),SottocategorieUscite[[#Headers],[Casa]],IF(OR(H1038=$G$5,H1038=$G$6,H1038=$G$7,H1038=$G$8,H1038=$G$9,H1038=$G$10,H1038=$G$11,H1038=$G$12,H1038=$G$13,H1038=$G$14),SottocategorieUscite[[#Headers],[Utenze]],IF(OR(H1038=$H$5,H1038=$H$6,H1038=$H$7,H1038=$H$8,H1038=$H$9,H1038=$H$10,H1038=$H$11,H1038=$H$12,H1038=$H$13,H1038=$H$14),SottocategorieUscite[[#Headers],[Business Uscite]],IF(OR(H1038=$I$5,H1038=$I$6,H1038=$I$7,H1038=$I$8,H1038=$I$9,H1038=$I$10,H1038=$I$11,H1038=$I$12,H1038=$I$13,H1038=$I$14),SottocategorieUscite[[#Headers],[Banca]],IF(OR(H1038=K$5,H1038=K$6,H1038=K$7,H1038=K$8,H1038=K$9,H1038=K$10,H1038=K$11,H1038=K$12,H1038=K$13,H1038=K$14),SottocategorieEntrate[[#Headers],[Business Entrate]],IF(OR(H1038=L$5,H1038=L$6,H1038=L$7,H1038=L$8,H1038=L$9,H1038=L$10,H1038=L$11,H1038=L$12,H1038=L$13,H1038=L$14),SottocategorieEntrate[[#Headers],[Varie Entrate]],IF(OR(H1038=M$5,H1038=M$6,H1038=M$7,H1038=M$8,H1038=M$9,H1038=M$10,H1038=M$11,H1038=M$12,H1038=M$13,H1038=M$14),SottocategorieEntrate[[#Headers],[Real Estate]],IF(OR(H1038=N$5,H1038=N$6,H1038=N$7,H1038=N$8,H1038=N$9,H1038=N$10,H1038=N$11,H1038=N$12,H1038=N$13,H1038=N$14),SottocategorieEntrate[[#Headers],[Other]],""))))))))))))</f>
        <v/>
      </c>
      <c r="J1038" t="str">
        <f>IF(OR(Dati[[#This Row],[Categoria]]="Bollette",Dati[[#This Row],[Categoria]]="Conto &amp; Carte BNL",Dati[[#This Row],[Categoria]]="Prelievo",Dati[[#This Row],[Categoria]]="Affitto",Dati[[#This Row],[Categoria]]="BNL(Interessi Creditori)"),"Carta",IF(Dati[[#This Row],[Categoria]]&lt;&gt;0,"Cash",""))</f>
        <v/>
      </c>
      <c r="K1038" s="59" t="str">
        <f>IF(OR(Data!$I1038=SottocategorieUscite[[#Headers],[Fuori Casa]],Data!$I1038=SottocategorieUscite[[#Headers],[Varie Uscite]],Data!$I1038=SottocategorieUscite[[#Headers],[Personali]],Data!$I1038=SottocategorieUscite[[#Headers],[Lavoro]]),"$ -","")</f>
        <v/>
      </c>
      <c r="L1038" s="59" t="str">
        <f>IF(OR(Data!$I1038=SottocategorieUscite[[#Headers],[Casa]],Data!$I1038=SottocategorieUscite[[#Headers],[Utenze]],Data!$I1038=SottocategorieUscite[[#Headers],[Business Uscite]],Data!$I1038=SottocategorieUscite[[#Headers],[Banca]]),"$ -","")</f>
        <v/>
      </c>
      <c r="M1038" s="59" t="str">
        <f>IF(OR($I1038&lt;&gt;SottocategorieUscite[[#Headers],[Fuori Casa]],$I1038&lt;&gt;SottocategorieUscite[[#Headers],[Varie Uscite]],$I1038&lt;&gt;SottocategorieUscite[[#Headers],[Personali]],$I1038&lt;&gt;SottocategorieUscite[[#Headers],[Lavoro]],$I1038&lt;&gt;SottocategorieUscite[[#Headers],[Casa]],$I1038&lt;&gt;SottocategorieUscite[[#Headers],[Utenze]],$I1038&lt;&gt;SottocategorieUscite[[#Headers],[Business Uscite]],$I1038&lt;&gt;SottocategorieUscite[[#Headers],[Banca]]),"","$ -")</f>
        <v/>
      </c>
      <c r="N1038" s="59" t="str">
        <f>IF(OR(Data!$I1038=SottocategorieEntrate[[#Headers],[Business Entrate]],Data!$I1038=SottocategorieEntrate[[#Headers],[Varie Entrate]]),"$ -","")</f>
        <v/>
      </c>
      <c r="O1038" s="59" t="str">
        <f>IF(OR(Data!$I1038=SottocategorieEntrate[[#Headers],[Real Estate]],SottocategorieEntrate[[#Headers],[Other]]),"$ -","")</f>
        <v/>
      </c>
      <c r="P1038" s="59" t="str">
        <f>IF(OR($I1038&lt;&gt;SottocategorieEntrate[[#Headers],[Business Entrate]],$I1038&lt;&gt;SottocategorieEntrate[[#Headers],[Varie Entrate]],$I1038&lt;&gt;SottocategorieEntrate[[#Headers],[Real Estate]],$I1038&lt;&gt;SottocategorieEntrate[[#Headers],[Other]]),"","$ -")</f>
        <v/>
      </c>
      <c r="Q1038" s="59" t="str">
        <f>IF(Dati[[#This Row],[Categoria]]="Prelievo","€ -","")</f>
        <v/>
      </c>
      <c r="R1038" s="244"/>
      <c r="S1038" s="59" t="str">
        <f>IF(Dati[[#This Row],[Categoria]]="Savings",0,"")</f>
        <v/>
      </c>
      <c r="T1038" s="59"/>
      <c r="U1038" s="59"/>
      <c r="V1038" s="59"/>
      <c r="W1038" s="59"/>
      <c r="X1038" s="59"/>
      <c r="Y1038" s="59"/>
      <c r="Z1038" s="59"/>
      <c r="AA1038" s="59"/>
      <c r="AB1038" s="59"/>
      <c r="AC1038" s="59"/>
      <c r="AD1038" s="59"/>
      <c r="AE1038" s="59"/>
      <c r="AF1038" s="59"/>
      <c r="AG1038" s="59"/>
      <c r="AH1038" s="59"/>
      <c r="AI1038" s="59" t="str">
        <f>IF(SUM(Dati[[#This Row],[Inv. Business]:[Inv. Cryptocurrency]])=0," ",SUM(Dati[[#This Row],[Inv. Business]:[Inv. Cryptocurrency]]))</f>
        <v xml:space="preserve"> </v>
      </c>
      <c r="AJ1038" s="59"/>
      <c r="AK1038" s="59"/>
      <c r="AL1038" s="59"/>
      <c r="AM1038" s="59"/>
    </row>
    <row r="1039" spans="2:39" x14ac:dyDescent="0.35">
      <c r="B1039" s="237">
        <f>ROW(991:991)</f>
        <v>991</v>
      </c>
      <c r="C1039" s="49">
        <f t="shared" si="53"/>
        <v>45653</v>
      </c>
      <c r="D1039" s="29">
        <f>DAY(Dati[[#This Row],[Data]])</f>
        <v>27</v>
      </c>
      <c r="E1039" s="29" t="str">
        <f>IF(DAY(Data!$C$21:$C$1327)&gt;0,TEXT(Data!$C$21:$C$1327, "mmmm"),"")</f>
        <v>dicembre</v>
      </c>
      <c r="F1039" s="29" t="str">
        <f>IF(DAY(Data!$C$21:$C$1327)&gt;0,TEXT(Data!$C$21:$C$1327, "aaaa"),"")</f>
        <v>2024</v>
      </c>
      <c r="I1039" t="str">
        <f>IF(OR(H1039=$B$5,H1039=$B$6,H1039=$B$7,H1039=$B$8,H1039=$B$9,H1039=$B$10,H1039=$B$11,H1039=$B$12,H1039=$B$13,H1039=$B$14),SottocategorieUscite[[#Headers],[Fuori Casa]],IF(OR(H1039=$C$5,H1039=$C$6,H1039=$C$7,H1039=$C$8,H1039=$C$9,H1039=$C$10,H1039=$C$11,H1039=$C$12,H1039=$C$13,H1039=$C$14),SottocategorieUscite[[#Headers],[Varie Uscite]],IF(OR(H1039=$D$5,H1039=$D$6,H1039=$D$7,H1039=$D$8,H1039=$D$9,H1039=$D$10,H1039=$D$11,H1039=$D$12,H1039=$D$13,H1039=$D$14),SottocategorieUscite[[#Headers],[Personali]],IF(OR(H1039=$E$5,H1039=$E$6,H1039=$E$7,H1039=$E$8,H1039=$E$9,H1039=$E$10,H1039=$E$11,H1039=$E$12,H1039=$E$13,H1039=$E$14),SottocategorieUscite[[#Headers],[Lavoro]],IF(OR(H1039=$F$5,H1039=$F$6,H1039=$F$7,H1039=$F$8,H1039=$F$9,H1039=$F$10,H1039=$F$11,H1039=$F$12,H1039=$F$13,H1039=$F$14),SottocategorieUscite[[#Headers],[Casa]],IF(OR(H1039=$G$5,H1039=$G$6,H1039=$G$7,H1039=$G$8,H1039=$G$9,H1039=$G$10,H1039=$G$11,H1039=$G$12,H1039=$G$13,H1039=$G$14),SottocategorieUscite[[#Headers],[Utenze]],IF(OR(H1039=$H$5,H1039=$H$6,H1039=$H$7,H1039=$H$8,H1039=$H$9,H1039=$H$10,H1039=$H$11,H1039=$H$12,H1039=$H$13,H1039=$H$14),SottocategorieUscite[[#Headers],[Business Uscite]],IF(OR(H1039=$I$5,H1039=$I$6,H1039=$I$7,H1039=$I$8,H1039=$I$9,H1039=$I$10,H1039=$I$11,H1039=$I$12,H1039=$I$13,H1039=$I$14),SottocategorieUscite[[#Headers],[Banca]],IF(OR(H1039=K$5,H1039=K$6,H1039=K$7,H1039=K$8,H1039=K$9,H1039=K$10,H1039=K$11,H1039=K$12,H1039=K$13,H1039=K$14),SottocategorieEntrate[[#Headers],[Business Entrate]],IF(OR(H1039=L$5,H1039=L$6,H1039=L$7,H1039=L$8,H1039=L$9,H1039=L$10,H1039=L$11,H1039=L$12,H1039=L$13,H1039=L$14),SottocategorieEntrate[[#Headers],[Varie Entrate]],IF(OR(H1039=M$5,H1039=M$6,H1039=M$7,H1039=M$8,H1039=M$9,H1039=M$10,H1039=M$11,H1039=M$12,H1039=M$13,H1039=M$14),SottocategorieEntrate[[#Headers],[Real Estate]],IF(OR(H1039=N$5,H1039=N$6,H1039=N$7,H1039=N$8,H1039=N$9,H1039=N$10,H1039=N$11,H1039=N$12,H1039=N$13,H1039=N$14),SottocategorieEntrate[[#Headers],[Other]],""))))))))))))</f>
        <v/>
      </c>
      <c r="J1039" t="str">
        <f>IF(OR(Dati[[#This Row],[Categoria]]="Bollette",Dati[[#This Row],[Categoria]]="Conto &amp; Carte BNL",Dati[[#This Row],[Categoria]]="Prelievo",Dati[[#This Row],[Categoria]]="Affitto",Dati[[#This Row],[Categoria]]="BNL(Interessi Creditori)"),"Carta",IF(Dati[[#This Row],[Categoria]]&lt;&gt;0,"Cash",""))</f>
        <v/>
      </c>
      <c r="K1039" s="59" t="str">
        <f>IF(OR(Data!$I1039=SottocategorieUscite[[#Headers],[Fuori Casa]],Data!$I1039=SottocategorieUscite[[#Headers],[Varie Uscite]],Data!$I1039=SottocategorieUscite[[#Headers],[Personali]],Data!$I1039=SottocategorieUscite[[#Headers],[Lavoro]]),"$ -","")</f>
        <v/>
      </c>
      <c r="L1039" s="59" t="str">
        <f>IF(OR(Data!$I1039=SottocategorieUscite[[#Headers],[Casa]],Data!$I1039=SottocategorieUscite[[#Headers],[Utenze]],Data!$I1039=SottocategorieUscite[[#Headers],[Business Uscite]],Data!$I1039=SottocategorieUscite[[#Headers],[Banca]]),"$ -","")</f>
        <v/>
      </c>
      <c r="M1039" s="59" t="str">
        <f>IF(OR($I1039&lt;&gt;SottocategorieUscite[[#Headers],[Fuori Casa]],$I1039&lt;&gt;SottocategorieUscite[[#Headers],[Varie Uscite]],$I1039&lt;&gt;SottocategorieUscite[[#Headers],[Personali]],$I1039&lt;&gt;SottocategorieUscite[[#Headers],[Lavoro]],$I1039&lt;&gt;SottocategorieUscite[[#Headers],[Casa]],$I1039&lt;&gt;SottocategorieUscite[[#Headers],[Utenze]],$I1039&lt;&gt;SottocategorieUscite[[#Headers],[Business Uscite]],$I1039&lt;&gt;SottocategorieUscite[[#Headers],[Banca]]),"","$ -")</f>
        <v/>
      </c>
      <c r="N1039" s="59" t="str">
        <f>IF(OR(Data!$I1039=SottocategorieEntrate[[#Headers],[Business Entrate]],Data!$I1039=SottocategorieEntrate[[#Headers],[Varie Entrate]]),"$ -","")</f>
        <v/>
      </c>
      <c r="O1039" s="59" t="str">
        <f>IF(OR(Data!$I1039=SottocategorieEntrate[[#Headers],[Real Estate]],SottocategorieEntrate[[#Headers],[Other]]),"$ -","")</f>
        <v/>
      </c>
      <c r="P1039" s="59" t="str">
        <f>IF(OR($I1039&lt;&gt;SottocategorieEntrate[[#Headers],[Business Entrate]],$I1039&lt;&gt;SottocategorieEntrate[[#Headers],[Varie Entrate]],$I1039&lt;&gt;SottocategorieEntrate[[#Headers],[Real Estate]],$I1039&lt;&gt;SottocategorieEntrate[[#Headers],[Other]]),"","$ -")</f>
        <v/>
      </c>
      <c r="Q1039" s="59" t="str">
        <f>IF(Dati[[#This Row],[Categoria]]="Prelievo","€ -","")</f>
        <v/>
      </c>
      <c r="R1039" s="244"/>
      <c r="S1039" s="59" t="str">
        <f>IF(Dati[[#This Row],[Categoria]]="Savings",0,"")</f>
        <v/>
      </c>
      <c r="T1039" s="59"/>
      <c r="U1039" s="59"/>
      <c r="V1039" s="59"/>
      <c r="W1039" s="59"/>
      <c r="X1039" s="59"/>
      <c r="Y1039" s="59"/>
      <c r="Z1039" s="59"/>
      <c r="AA1039" s="59"/>
      <c r="AB1039" s="59"/>
      <c r="AC1039" s="59"/>
      <c r="AD1039" s="59"/>
      <c r="AE1039" s="59"/>
      <c r="AF1039" s="59"/>
      <c r="AG1039" s="59"/>
      <c r="AH1039" s="59"/>
      <c r="AI1039" s="59" t="str">
        <f>IF(SUM(Dati[[#This Row],[Inv. Business]:[Inv. Cryptocurrency]])=0," ",SUM(Dati[[#This Row],[Inv. Business]:[Inv. Cryptocurrency]]))</f>
        <v xml:space="preserve"> </v>
      </c>
      <c r="AJ1039" s="59"/>
      <c r="AK1039" s="59"/>
      <c r="AL1039" s="59"/>
      <c r="AM1039" s="59"/>
    </row>
    <row r="1040" spans="2:39" x14ac:dyDescent="0.35">
      <c r="B1040" s="237">
        <f>ROW(997:997)</f>
        <v>997</v>
      </c>
      <c r="C1040" s="49">
        <f t="shared" si="53"/>
        <v>45654</v>
      </c>
      <c r="D1040" s="29">
        <f>DAY(Dati[[#This Row],[Data]])</f>
        <v>28</v>
      </c>
      <c r="E1040" s="29" t="str">
        <f>IF(DAY(Data!$C$21:$C$1327)&gt;0,TEXT(Data!$C$21:$C$1327, "mmmm"),"")</f>
        <v>dicembre</v>
      </c>
      <c r="F1040" s="29" t="str">
        <f>IF(DAY(Data!$C$21:$C$1327)&gt;0,TEXT(Data!$C$21:$C$1327, "aaaa"),"")</f>
        <v>2024</v>
      </c>
      <c r="I1040" t="str">
        <f>IF(OR(H1040=$B$5,H1040=$B$6,H1040=$B$7,H1040=$B$8,H1040=$B$9,H1040=$B$10,H1040=$B$11,H1040=$B$12,H1040=$B$13,H1040=$B$14),SottocategorieUscite[[#Headers],[Fuori Casa]],IF(OR(H1040=$C$5,H1040=$C$6,H1040=$C$7,H1040=$C$8,H1040=$C$9,H1040=$C$10,H1040=$C$11,H1040=$C$12,H1040=$C$13,H1040=$C$14),SottocategorieUscite[[#Headers],[Varie Uscite]],IF(OR(H1040=$D$5,H1040=$D$6,H1040=$D$7,H1040=$D$8,H1040=$D$9,H1040=$D$10,H1040=$D$11,H1040=$D$12,H1040=$D$13,H1040=$D$14),SottocategorieUscite[[#Headers],[Personali]],IF(OR(H1040=$E$5,H1040=$E$6,H1040=$E$7,H1040=$E$8,H1040=$E$9,H1040=$E$10,H1040=$E$11,H1040=$E$12,H1040=$E$13,H1040=$E$14),SottocategorieUscite[[#Headers],[Lavoro]],IF(OR(H1040=$F$5,H1040=$F$6,H1040=$F$7,H1040=$F$8,H1040=$F$9,H1040=$F$10,H1040=$F$11,H1040=$F$12,H1040=$F$13,H1040=$F$14),SottocategorieUscite[[#Headers],[Casa]],IF(OR(H1040=$G$5,H1040=$G$6,H1040=$G$7,H1040=$G$8,H1040=$G$9,H1040=$G$10,H1040=$G$11,H1040=$G$12,H1040=$G$13,H1040=$G$14),SottocategorieUscite[[#Headers],[Utenze]],IF(OR(H1040=$H$5,H1040=$H$6,H1040=$H$7,H1040=$H$8,H1040=$H$9,H1040=$H$10,H1040=$H$11,H1040=$H$12,H1040=$H$13,H1040=$H$14),SottocategorieUscite[[#Headers],[Business Uscite]],IF(OR(H1040=$I$5,H1040=$I$6,H1040=$I$7,H1040=$I$8,H1040=$I$9,H1040=$I$10,H1040=$I$11,H1040=$I$12,H1040=$I$13,H1040=$I$14),SottocategorieUscite[[#Headers],[Banca]],IF(OR(H1040=K$5,H1040=K$6,H1040=K$7,H1040=K$8,H1040=K$9,H1040=K$10,H1040=K$11,H1040=K$12,H1040=K$13,H1040=K$14),SottocategorieEntrate[[#Headers],[Business Entrate]],IF(OR(H1040=L$5,H1040=L$6,H1040=L$7,H1040=L$8,H1040=L$9,H1040=L$10,H1040=L$11,H1040=L$12,H1040=L$13,H1040=L$14),SottocategorieEntrate[[#Headers],[Varie Entrate]],IF(OR(H1040=M$5,H1040=M$6,H1040=M$7,H1040=M$8,H1040=M$9,H1040=M$10,H1040=M$11,H1040=M$12,H1040=M$13,H1040=M$14),SottocategorieEntrate[[#Headers],[Real Estate]],IF(OR(H1040=N$5,H1040=N$6,H1040=N$7,H1040=N$8,H1040=N$9,H1040=N$10,H1040=N$11,H1040=N$12,H1040=N$13,H1040=N$14),SottocategorieEntrate[[#Headers],[Other]],""))))))))))))</f>
        <v/>
      </c>
      <c r="J1040" t="str">
        <f>IF(OR(Dati[[#This Row],[Categoria]]="Bollette",Dati[[#This Row],[Categoria]]="Conto &amp; Carte BNL",Dati[[#This Row],[Categoria]]="Prelievo",Dati[[#This Row],[Categoria]]="Affitto",Dati[[#This Row],[Categoria]]="BNL(Interessi Creditori)"),"Carta",IF(Dati[[#This Row],[Categoria]]&lt;&gt;0,"Cash",""))</f>
        <v/>
      </c>
      <c r="K1040" s="59" t="str">
        <f>IF(OR(Data!$I1040=SottocategorieUscite[[#Headers],[Fuori Casa]],Data!$I1040=SottocategorieUscite[[#Headers],[Varie Uscite]],Data!$I1040=SottocategorieUscite[[#Headers],[Personali]],Data!$I1040=SottocategorieUscite[[#Headers],[Lavoro]]),"$ -","")</f>
        <v/>
      </c>
      <c r="L1040" s="59" t="str">
        <f>IF(OR(Data!$I1040=SottocategorieUscite[[#Headers],[Casa]],Data!$I1040=SottocategorieUscite[[#Headers],[Utenze]],Data!$I1040=SottocategorieUscite[[#Headers],[Business Uscite]],Data!$I1040=SottocategorieUscite[[#Headers],[Banca]]),"$ -","")</f>
        <v/>
      </c>
      <c r="M1040" s="59" t="str">
        <f>IF(OR($I1040&lt;&gt;SottocategorieUscite[[#Headers],[Fuori Casa]],$I1040&lt;&gt;SottocategorieUscite[[#Headers],[Varie Uscite]],$I1040&lt;&gt;SottocategorieUscite[[#Headers],[Personali]],$I1040&lt;&gt;SottocategorieUscite[[#Headers],[Lavoro]],$I1040&lt;&gt;SottocategorieUscite[[#Headers],[Casa]],$I1040&lt;&gt;SottocategorieUscite[[#Headers],[Utenze]],$I1040&lt;&gt;SottocategorieUscite[[#Headers],[Business Uscite]],$I1040&lt;&gt;SottocategorieUscite[[#Headers],[Banca]]),"","$ -")</f>
        <v/>
      </c>
      <c r="N1040" s="59" t="str">
        <f>IF(OR(Data!$I1040=SottocategorieEntrate[[#Headers],[Business Entrate]],Data!$I1040=SottocategorieEntrate[[#Headers],[Varie Entrate]]),"$ -","")</f>
        <v/>
      </c>
      <c r="O1040" s="59" t="str">
        <f>IF(OR(Data!$I1040=SottocategorieEntrate[[#Headers],[Real Estate]],SottocategorieEntrate[[#Headers],[Other]]),"$ -","")</f>
        <v/>
      </c>
      <c r="P1040" s="59" t="str">
        <f>IF(OR($I1040&lt;&gt;SottocategorieEntrate[[#Headers],[Business Entrate]],$I1040&lt;&gt;SottocategorieEntrate[[#Headers],[Varie Entrate]],$I1040&lt;&gt;SottocategorieEntrate[[#Headers],[Real Estate]],$I1040&lt;&gt;SottocategorieEntrate[[#Headers],[Other]]),"","$ -")</f>
        <v/>
      </c>
      <c r="Q1040" s="59" t="str">
        <f>IF(Dati[[#This Row],[Categoria]]="Prelievo","€ -","")</f>
        <v/>
      </c>
      <c r="R1040" s="244"/>
      <c r="S1040" s="59" t="str">
        <f>IF(Dati[[#This Row],[Categoria]]="Savings",0,"")</f>
        <v/>
      </c>
      <c r="T1040" s="59"/>
      <c r="U1040" s="59"/>
      <c r="V1040" s="59"/>
      <c r="W1040" s="59"/>
      <c r="X1040" s="59"/>
      <c r="Y1040" s="59"/>
      <c r="Z1040" s="59"/>
      <c r="AA1040" s="59"/>
      <c r="AB1040" s="59"/>
      <c r="AC1040" s="59"/>
      <c r="AD1040" s="59"/>
      <c r="AE1040" s="59"/>
      <c r="AF1040" s="59"/>
      <c r="AG1040" s="59"/>
      <c r="AH1040" s="59"/>
      <c r="AI1040" s="59" t="str">
        <f>IF(SUM(Dati[[#This Row],[Inv. Business]:[Inv. Cryptocurrency]])=0," ",SUM(Dati[[#This Row],[Inv. Business]:[Inv. Cryptocurrency]]))</f>
        <v xml:space="preserve"> </v>
      </c>
      <c r="AJ1040" s="59"/>
      <c r="AK1040" s="59"/>
      <c r="AL1040" s="59"/>
      <c r="AM1040" s="59"/>
    </row>
    <row r="1041" spans="2:39" x14ac:dyDescent="0.35">
      <c r="B1041" s="237">
        <f>ROW(999:999)</f>
        <v>999</v>
      </c>
      <c r="C1041" s="49">
        <f t="shared" si="53"/>
        <v>45655</v>
      </c>
      <c r="D1041" s="29">
        <f>DAY(Dati[[#This Row],[Data]])</f>
        <v>29</v>
      </c>
      <c r="E1041" s="29" t="str">
        <f>IF(DAY(Data!$C$21:$C$1327)&gt;0,TEXT(Data!$C$21:$C$1327, "mmmm"),"")</f>
        <v>dicembre</v>
      </c>
      <c r="F1041" s="29" t="str">
        <f>IF(DAY(Data!$C$21:$C$1327)&gt;0,TEXT(Data!$C$21:$C$1327, "aaaa"),"")</f>
        <v>2024</v>
      </c>
      <c r="I1041" t="str">
        <f>IF(OR(H1041=$B$5,H1041=$B$6,H1041=$B$7,H1041=$B$8,H1041=$B$9,H1041=$B$10,H1041=$B$11,H1041=$B$12,H1041=$B$13,H1041=$B$14),SottocategorieUscite[[#Headers],[Fuori Casa]],IF(OR(H1041=$C$5,H1041=$C$6,H1041=$C$7,H1041=$C$8,H1041=$C$9,H1041=$C$10,H1041=$C$11,H1041=$C$12,H1041=$C$13,H1041=$C$14),SottocategorieUscite[[#Headers],[Varie Uscite]],IF(OR(H1041=$D$5,H1041=$D$6,H1041=$D$7,H1041=$D$8,H1041=$D$9,H1041=$D$10,H1041=$D$11,H1041=$D$12,H1041=$D$13,H1041=$D$14),SottocategorieUscite[[#Headers],[Personali]],IF(OR(H1041=$E$5,H1041=$E$6,H1041=$E$7,H1041=$E$8,H1041=$E$9,H1041=$E$10,H1041=$E$11,H1041=$E$12,H1041=$E$13,H1041=$E$14),SottocategorieUscite[[#Headers],[Lavoro]],IF(OR(H1041=$F$5,H1041=$F$6,H1041=$F$7,H1041=$F$8,H1041=$F$9,H1041=$F$10,H1041=$F$11,H1041=$F$12,H1041=$F$13,H1041=$F$14),SottocategorieUscite[[#Headers],[Casa]],IF(OR(H1041=$G$5,H1041=$G$6,H1041=$G$7,H1041=$G$8,H1041=$G$9,H1041=$G$10,H1041=$G$11,H1041=$G$12,H1041=$G$13,H1041=$G$14),SottocategorieUscite[[#Headers],[Utenze]],IF(OR(H1041=$H$5,H1041=$H$6,H1041=$H$7,H1041=$H$8,H1041=$H$9,H1041=$H$10,H1041=$H$11,H1041=$H$12,H1041=$H$13,H1041=$H$14),SottocategorieUscite[[#Headers],[Business Uscite]],IF(OR(H1041=$I$5,H1041=$I$6,H1041=$I$7,H1041=$I$8,H1041=$I$9,H1041=$I$10,H1041=$I$11,H1041=$I$12,H1041=$I$13,H1041=$I$14),SottocategorieUscite[[#Headers],[Banca]],IF(OR(H1041=K$5,H1041=K$6,H1041=K$7,H1041=K$8,H1041=K$9,H1041=K$10,H1041=K$11,H1041=K$12,H1041=K$13,H1041=K$14),SottocategorieEntrate[[#Headers],[Business Entrate]],IF(OR(H1041=L$5,H1041=L$6,H1041=L$7,H1041=L$8,H1041=L$9,H1041=L$10,H1041=L$11,H1041=L$12,H1041=L$13,H1041=L$14),SottocategorieEntrate[[#Headers],[Varie Entrate]],IF(OR(H1041=M$5,H1041=M$6,H1041=M$7,H1041=M$8,H1041=M$9,H1041=M$10,H1041=M$11,H1041=M$12,H1041=M$13,H1041=M$14),SottocategorieEntrate[[#Headers],[Real Estate]],IF(OR(H1041=N$5,H1041=N$6,H1041=N$7,H1041=N$8,H1041=N$9,H1041=N$10,H1041=N$11,H1041=N$12,H1041=N$13,H1041=N$14),SottocategorieEntrate[[#Headers],[Other]],""))))))))))))</f>
        <v/>
      </c>
      <c r="J1041" t="str">
        <f>IF(OR(Dati[[#This Row],[Categoria]]="Bollette",Dati[[#This Row],[Categoria]]="Conto &amp; Carte BNL",Dati[[#This Row],[Categoria]]="Prelievo",Dati[[#This Row],[Categoria]]="Affitto",Dati[[#This Row],[Categoria]]="BNL(Interessi Creditori)"),"Carta",IF(Dati[[#This Row],[Categoria]]&lt;&gt;0,"Cash",""))</f>
        <v/>
      </c>
      <c r="K1041" s="59" t="str">
        <f>IF(OR(Data!$I1041=SottocategorieUscite[[#Headers],[Fuori Casa]],Data!$I1041=SottocategorieUscite[[#Headers],[Varie Uscite]],Data!$I1041=SottocategorieUscite[[#Headers],[Personali]],Data!$I1041=SottocategorieUscite[[#Headers],[Lavoro]]),"$ -","")</f>
        <v/>
      </c>
      <c r="L1041" s="59" t="str">
        <f>IF(OR(Data!$I1041=SottocategorieUscite[[#Headers],[Casa]],Data!$I1041=SottocategorieUscite[[#Headers],[Utenze]],Data!$I1041=SottocategorieUscite[[#Headers],[Business Uscite]],Data!$I1041=SottocategorieUscite[[#Headers],[Banca]]),"$ -","")</f>
        <v/>
      </c>
      <c r="M1041" s="59" t="str">
        <f>IF(OR($I1041&lt;&gt;SottocategorieUscite[[#Headers],[Fuori Casa]],$I1041&lt;&gt;SottocategorieUscite[[#Headers],[Varie Uscite]],$I1041&lt;&gt;SottocategorieUscite[[#Headers],[Personali]],$I1041&lt;&gt;SottocategorieUscite[[#Headers],[Lavoro]],$I1041&lt;&gt;SottocategorieUscite[[#Headers],[Casa]],$I1041&lt;&gt;SottocategorieUscite[[#Headers],[Utenze]],$I1041&lt;&gt;SottocategorieUscite[[#Headers],[Business Uscite]],$I1041&lt;&gt;SottocategorieUscite[[#Headers],[Banca]]),"","$ -")</f>
        <v/>
      </c>
      <c r="N1041" s="59" t="str">
        <f>IF(OR(Data!$I1041=SottocategorieEntrate[[#Headers],[Business Entrate]],Data!$I1041=SottocategorieEntrate[[#Headers],[Varie Entrate]]),"$ -","")</f>
        <v/>
      </c>
      <c r="O1041" s="59" t="str">
        <f>IF(OR(Data!$I1041=SottocategorieEntrate[[#Headers],[Real Estate]],SottocategorieEntrate[[#Headers],[Other]]),"$ -","")</f>
        <v/>
      </c>
      <c r="P1041" s="59" t="str">
        <f>IF(OR($I1041&lt;&gt;SottocategorieEntrate[[#Headers],[Business Entrate]],$I1041&lt;&gt;SottocategorieEntrate[[#Headers],[Varie Entrate]],$I1041&lt;&gt;SottocategorieEntrate[[#Headers],[Real Estate]],$I1041&lt;&gt;SottocategorieEntrate[[#Headers],[Other]]),"","$ -")</f>
        <v/>
      </c>
      <c r="Q1041" s="59" t="str">
        <f>IF(Dati[[#This Row],[Categoria]]="Prelievo","€ -","")</f>
        <v/>
      </c>
      <c r="R1041" s="244"/>
      <c r="S1041" s="59" t="str">
        <f>IF(Dati[[#This Row],[Categoria]]="Savings",0,"")</f>
        <v/>
      </c>
      <c r="T1041" s="59"/>
      <c r="U1041" s="59"/>
      <c r="V1041" s="59"/>
      <c r="W1041" s="59"/>
      <c r="X1041" s="59"/>
      <c r="Y1041" s="59"/>
      <c r="Z1041" s="59"/>
      <c r="AA1041" s="59"/>
      <c r="AB1041" s="59"/>
      <c r="AC1041" s="59"/>
      <c r="AD1041" s="59"/>
      <c r="AE1041" s="59"/>
      <c r="AF1041" s="59"/>
      <c r="AG1041" s="59"/>
      <c r="AH1041" s="59"/>
      <c r="AI1041" s="59" t="str">
        <f>IF(SUM(Dati[[#This Row],[Inv. Business]:[Inv. Cryptocurrency]])=0," ",SUM(Dati[[#This Row],[Inv. Business]:[Inv. Cryptocurrency]]))</f>
        <v xml:space="preserve"> </v>
      </c>
      <c r="AJ1041" s="59"/>
      <c r="AK1041" s="59"/>
      <c r="AL1041" s="59"/>
      <c r="AM1041" s="59"/>
    </row>
    <row r="1042" spans="2:39" x14ac:dyDescent="0.35">
      <c r="B1042" s="237">
        <f>ROW(1000:1000)</f>
        <v>1000</v>
      </c>
      <c r="C1042" s="49">
        <f t="shared" si="53"/>
        <v>45656</v>
      </c>
      <c r="D1042" s="29">
        <f>DAY(Dati[[#This Row],[Data]])</f>
        <v>30</v>
      </c>
      <c r="E1042" s="29" t="str">
        <f>IF(DAY(Data!$C$21:$C$1327)&gt;0,TEXT(Data!$C$21:$C$1327, "mmmm"),"")</f>
        <v>dicembre</v>
      </c>
      <c r="F1042" s="29" t="str">
        <f>IF(DAY(Data!$C$21:$C$1327)&gt;0,TEXT(Data!$C$21:$C$1327, "aaaa"),"")</f>
        <v>2024</v>
      </c>
      <c r="I1042" t="str">
        <f>IF(OR(H1042=$B$5,H1042=$B$6,H1042=$B$7,H1042=$B$8,H1042=$B$9,H1042=$B$10,H1042=$B$11,H1042=$B$12,H1042=$B$13,H1042=$B$14),SottocategorieUscite[[#Headers],[Fuori Casa]],IF(OR(H1042=$C$5,H1042=$C$6,H1042=$C$7,H1042=$C$8,H1042=$C$9,H1042=$C$10,H1042=$C$11,H1042=$C$12,H1042=$C$13,H1042=$C$14),SottocategorieUscite[[#Headers],[Varie Uscite]],IF(OR(H1042=$D$5,H1042=$D$6,H1042=$D$7,H1042=$D$8,H1042=$D$9,H1042=$D$10,H1042=$D$11,H1042=$D$12,H1042=$D$13,H1042=$D$14),SottocategorieUscite[[#Headers],[Personali]],IF(OR(H1042=$E$5,H1042=$E$6,H1042=$E$7,H1042=$E$8,H1042=$E$9,H1042=$E$10,H1042=$E$11,H1042=$E$12,H1042=$E$13,H1042=$E$14),SottocategorieUscite[[#Headers],[Lavoro]],IF(OR(H1042=$F$5,H1042=$F$6,H1042=$F$7,H1042=$F$8,H1042=$F$9,H1042=$F$10,H1042=$F$11,H1042=$F$12,H1042=$F$13,H1042=$F$14),SottocategorieUscite[[#Headers],[Casa]],IF(OR(H1042=$G$5,H1042=$G$6,H1042=$G$7,H1042=$G$8,H1042=$G$9,H1042=$G$10,H1042=$G$11,H1042=$G$12,H1042=$G$13,H1042=$G$14),SottocategorieUscite[[#Headers],[Utenze]],IF(OR(H1042=$H$5,H1042=$H$6,H1042=$H$7,H1042=$H$8,H1042=$H$9,H1042=$H$10,H1042=$H$11,H1042=$H$12,H1042=$H$13,H1042=$H$14),SottocategorieUscite[[#Headers],[Business Uscite]],IF(OR(H1042=$I$5,H1042=$I$6,H1042=$I$7,H1042=$I$8,H1042=$I$9,H1042=$I$10,H1042=$I$11,H1042=$I$12,H1042=$I$13,H1042=$I$14),SottocategorieUscite[[#Headers],[Banca]],IF(OR(H1042=K$5,H1042=K$6,H1042=K$7,H1042=K$8,H1042=K$9,H1042=K$10,H1042=K$11,H1042=K$12,H1042=K$13,H1042=K$14),SottocategorieEntrate[[#Headers],[Business Entrate]],IF(OR(H1042=L$5,H1042=L$6,H1042=L$7,H1042=L$8,H1042=L$9,H1042=L$10,H1042=L$11,H1042=L$12,H1042=L$13,H1042=L$14),SottocategorieEntrate[[#Headers],[Varie Entrate]],IF(OR(H1042=M$5,H1042=M$6,H1042=M$7,H1042=M$8,H1042=M$9,H1042=M$10,H1042=M$11,H1042=M$12,H1042=M$13,H1042=M$14),SottocategorieEntrate[[#Headers],[Real Estate]],IF(OR(H1042=N$5,H1042=N$6,H1042=N$7,H1042=N$8,H1042=N$9,H1042=N$10,H1042=N$11,H1042=N$12,H1042=N$13,H1042=N$14),SottocategorieEntrate[[#Headers],[Other]],""))))))))))))</f>
        <v/>
      </c>
      <c r="J1042" t="str">
        <f>IF(OR(Dati[[#This Row],[Categoria]]="Bollette",Dati[[#This Row],[Categoria]]="Conto &amp; Carte BNL",Dati[[#This Row],[Categoria]]="Prelievo",Dati[[#This Row],[Categoria]]="Affitto",Dati[[#This Row],[Categoria]]="BNL(Interessi Creditori)"),"Carta",IF(Dati[[#This Row],[Categoria]]&lt;&gt;0,"Cash",""))</f>
        <v/>
      </c>
      <c r="K1042" s="59" t="str">
        <f>IF(OR(Data!$I1042=SottocategorieUscite[[#Headers],[Fuori Casa]],Data!$I1042=SottocategorieUscite[[#Headers],[Varie Uscite]],Data!$I1042=SottocategorieUscite[[#Headers],[Personali]],Data!$I1042=SottocategorieUscite[[#Headers],[Lavoro]]),"$ -","")</f>
        <v/>
      </c>
      <c r="L1042" s="59" t="str">
        <f>IF(OR(Data!$I1042=SottocategorieUscite[[#Headers],[Casa]],Data!$I1042=SottocategorieUscite[[#Headers],[Utenze]],Data!$I1042=SottocategorieUscite[[#Headers],[Business Uscite]],Data!$I1042=SottocategorieUscite[[#Headers],[Banca]]),"$ -","")</f>
        <v/>
      </c>
      <c r="M1042" s="59" t="str">
        <f>IF(OR($I1042&lt;&gt;SottocategorieUscite[[#Headers],[Fuori Casa]],$I1042&lt;&gt;SottocategorieUscite[[#Headers],[Varie Uscite]],$I1042&lt;&gt;SottocategorieUscite[[#Headers],[Personali]],$I1042&lt;&gt;SottocategorieUscite[[#Headers],[Lavoro]],$I1042&lt;&gt;SottocategorieUscite[[#Headers],[Casa]],$I1042&lt;&gt;SottocategorieUscite[[#Headers],[Utenze]],$I1042&lt;&gt;SottocategorieUscite[[#Headers],[Business Uscite]],$I1042&lt;&gt;SottocategorieUscite[[#Headers],[Banca]]),"","$ -")</f>
        <v/>
      </c>
      <c r="N1042" s="59" t="str">
        <f>IF(OR(Data!$I1042=SottocategorieEntrate[[#Headers],[Business Entrate]],Data!$I1042=SottocategorieEntrate[[#Headers],[Varie Entrate]]),"$ -","")</f>
        <v/>
      </c>
      <c r="O1042" s="59" t="str">
        <f>IF(OR(Data!$I1042=SottocategorieEntrate[[#Headers],[Real Estate]],SottocategorieEntrate[[#Headers],[Other]]),"$ -","")</f>
        <v/>
      </c>
      <c r="P1042" s="59" t="str">
        <f>IF(OR($I1042&lt;&gt;SottocategorieEntrate[[#Headers],[Business Entrate]],$I1042&lt;&gt;SottocategorieEntrate[[#Headers],[Varie Entrate]],$I1042&lt;&gt;SottocategorieEntrate[[#Headers],[Real Estate]],$I1042&lt;&gt;SottocategorieEntrate[[#Headers],[Other]]),"","$ -")</f>
        <v/>
      </c>
      <c r="Q1042" s="59" t="str">
        <f>IF(Dati[[#This Row],[Categoria]]="Prelievo","€ -","")</f>
        <v/>
      </c>
      <c r="R1042" s="244"/>
      <c r="S1042" s="59" t="str">
        <f>IF(Dati[[#This Row],[Categoria]]="Savings",0,"")</f>
        <v/>
      </c>
      <c r="T1042" s="59"/>
      <c r="U1042" s="59"/>
      <c r="V1042" s="59"/>
      <c r="W1042" s="59"/>
      <c r="X1042" s="59"/>
      <c r="Y1042" s="59"/>
      <c r="Z1042" s="59"/>
      <c r="AA1042" s="59"/>
      <c r="AB1042" s="59"/>
      <c r="AC1042" s="59"/>
      <c r="AD1042" s="59"/>
      <c r="AE1042" s="59"/>
      <c r="AF1042" s="59"/>
      <c r="AG1042" s="59"/>
      <c r="AH1042" s="59"/>
      <c r="AI1042" s="59" t="str">
        <f>IF(SUM(Dati[[#This Row],[Inv. Business]:[Inv. Cryptocurrency]])=0," ",SUM(Dati[[#This Row],[Inv. Business]:[Inv. Cryptocurrency]]))</f>
        <v xml:space="preserve"> </v>
      </c>
      <c r="AJ1042" s="59"/>
      <c r="AK1042" s="59"/>
      <c r="AL1042" s="59"/>
      <c r="AM1042" s="59"/>
    </row>
    <row r="1043" spans="2:39" x14ac:dyDescent="0.35">
      <c r="B1043" s="237">
        <f>ROW(1004:1004)</f>
        <v>1004</v>
      </c>
      <c r="C1043" s="49">
        <f t="shared" si="53"/>
        <v>45657</v>
      </c>
      <c r="D1043" s="29">
        <f>DAY(Dati[[#This Row],[Data]])</f>
        <v>31</v>
      </c>
      <c r="E1043" s="29" t="str">
        <f>IF(DAY(Data!$C$21:$C$1327)&gt;0,TEXT(Data!$C$21:$C$1327, "mmmm"),"")</f>
        <v>dicembre</v>
      </c>
      <c r="F1043" s="29" t="str">
        <f>IF(DAY(Data!$C$21:$C$1327)&gt;0,TEXT(Data!$C$21:$C$1327, "aaaa"),"")</f>
        <v>2024</v>
      </c>
      <c r="I1043" t="str">
        <f>IF(OR(H1043=$B$5,H1043=$B$6,H1043=$B$7,H1043=$B$8,H1043=$B$9,H1043=$B$10,H1043=$B$11,H1043=$B$12,H1043=$B$13,H1043=$B$14),SottocategorieUscite[[#Headers],[Fuori Casa]],IF(OR(H1043=$C$5,H1043=$C$6,H1043=$C$7,H1043=$C$8,H1043=$C$9,H1043=$C$10,H1043=$C$11,H1043=$C$12,H1043=$C$13,H1043=$C$14),SottocategorieUscite[[#Headers],[Varie Uscite]],IF(OR(H1043=$D$5,H1043=$D$6,H1043=$D$7,H1043=$D$8,H1043=$D$9,H1043=$D$10,H1043=$D$11,H1043=$D$12,H1043=$D$13,H1043=$D$14),SottocategorieUscite[[#Headers],[Personali]],IF(OR(H1043=$E$5,H1043=$E$6,H1043=$E$7,H1043=$E$8,H1043=$E$9,H1043=$E$10,H1043=$E$11,H1043=$E$12,H1043=$E$13,H1043=$E$14),SottocategorieUscite[[#Headers],[Lavoro]],IF(OR(H1043=$F$5,H1043=$F$6,H1043=$F$7,H1043=$F$8,H1043=$F$9,H1043=$F$10,H1043=$F$11,H1043=$F$12,H1043=$F$13,H1043=$F$14),SottocategorieUscite[[#Headers],[Casa]],IF(OR(H1043=$G$5,H1043=$G$6,H1043=$G$7,H1043=$G$8,H1043=$G$9,H1043=$G$10,H1043=$G$11,H1043=$G$12,H1043=$G$13,H1043=$G$14),SottocategorieUscite[[#Headers],[Utenze]],IF(OR(H1043=$H$5,H1043=$H$6,H1043=$H$7,H1043=$H$8,H1043=$H$9,H1043=$H$10,H1043=$H$11,H1043=$H$12,H1043=$H$13,H1043=$H$14),SottocategorieUscite[[#Headers],[Business Uscite]],IF(OR(H1043=$I$5,H1043=$I$6,H1043=$I$7,H1043=$I$8,H1043=$I$9,H1043=$I$10,H1043=$I$11,H1043=$I$12,H1043=$I$13,H1043=$I$14),SottocategorieUscite[[#Headers],[Banca]],IF(OR(H1043=K$5,H1043=K$6,H1043=K$7,H1043=K$8,H1043=K$9,H1043=K$10,H1043=K$11,H1043=K$12,H1043=K$13,H1043=K$14),SottocategorieEntrate[[#Headers],[Business Entrate]],IF(OR(H1043=L$5,H1043=L$6,H1043=L$7,H1043=L$8,H1043=L$9,H1043=L$10,H1043=L$11,H1043=L$12,H1043=L$13,H1043=L$14),SottocategorieEntrate[[#Headers],[Varie Entrate]],IF(OR(H1043=M$5,H1043=M$6,H1043=M$7,H1043=M$8,H1043=M$9,H1043=M$10,H1043=M$11,H1043=M$12,H1043=M$13,H1043=M$14),SottocategorieEntrate[[#Headers],[Real Estate]],IF(OR(H1043=N$5,H1043=N$6,H1043=N$7,H1043=N$8,H1043=N$9,H1043=N$10,H1043=N$11,H1043=N$12,H1043=N$13,H1043=N$14),SottocategorieEntrate[[#Headers],[Other]],""))))))))))))</f>
        <v/>
      </c>
      <c r="J1043" t="str">
        <f>IF(OR(Dati[[#This Row],[Categoria]]="Bollette",Dati[[#This Row],[Categoria]]="Conto &amp; Carte BNL",Dati[[#This Row],[Categoria]]="Prelievo",Dati[[#This Row],[Categoria]]="Affitto",Dati[[#This Row],[Categoria]]="BNL(Interessi Creditori)"),"Carta",IF(Dati[[#This Row],[Categoria]]&lt;&gt;0,"Cash",""))</f>
        <v/>
      </c>
      <c r="K1043" s="59" t="str">
        <f>IF(OR(Data!$I1043=SottocategorieUscite[[#Headers],[Fuori Casa]],Data!$I1043=SottocategorieUscite[[#Headers],[Varie Uscite]],Data!$I1043=SottocategorieUscite[[#Headers],[Personali]],Data!$I1043=SottocategorieUscite[[#Headers],[Lavoro]]),"$ -","")</f>
        <v/>
      </c>
      <c r="L1043" s="59" t="str">
        <f>IF(OR(Data!$I1043=SottocategorieUscite[[#Headers],[Casa]],Data!$I1043=SottocategorieUscite[[#Headers],[Utenze]],Data!$I1043=SottocategorieUscite[[#Headers],[Business Uscite]],Data!$I1043=SottocategorieUscite[[#Headers],[Banca]]),"$ -","")</f>
        <v/>
      </c>
      <c r="M1043" s="59" t="str">
        <f>IF(OR($I1043&lt;&gt;SottocategorieUscite[[#Headers],[Fuori Casa]],$I1043&lt;&gt;SottocategorieUscite[[#Headers],[Varie Uscite]],$I1043&lt;&gt;SottocategorieUscite[[#Headers],[Personali]],$I1043&lt;&gt;SottocategorieUscite[[#Headers],[Lavoro]],$I1043&lt;&gt;SottocategorieUscite[[#Headers],[Casa]],$I1043&lt;&gt;SottocategorieUscite[[#Headers],[Utenze]],$I1043&lt;&gt;SottocategorieUscite[[#Headers],[Business Uscite]],$I1043&lt;&gt;SottocategorieUscite[[#Headers],[Banca]]),"","$ -")</f>
        <v/>
      </c>
      <c r="N1043" s="59" t="str">
        <f>IF(OR(Data!$I1043=SottocategorieEntrate[[#Headers],[Business Entrate]],Data!$I1043=SottocategorieEntrate[[#Headers],[Varie Entrate]]),"$ -","")</f>
        <v/>
      </c>
      <c r="O1043" s="59" t="str">
        <f>IF(OR(Data!$I1043=SottocategorieEntrate[[#Headers],[Real Estate]],SottocategorieEntrate[[#Headers],[Other]]),"$ -","")</f>
        <v/>
      </c>
      <c r="P1043" s="59" t="str">
        <f>IF(OR($I1043&lt;&gt;SottocategorieEntrate[[#Headers],[Business Entrate]],$I1043&lt;&gt;SottocategorieEntrate[[#Headers],[Varie Entrate]],$I1043&lt;&gt;SottocategorieEntrate[[#Headers],[Real Estate]],$I1043&lt;&gt;SottocategorieEntrate[[#Headers],[Other]]),"","$ -")</f>
        <v/>
      </c>
      <c r="Q1043" s="59" t="str">
        <f>IF(Dati[[#This Row],[Categoria]]="Prelievo","€ -","")</f>
        <v/>
      </c>
      <c r="R1043" s="244"/>
      <c r="S1043" s="59" t="str">
        <f>IF(Dati[[#This Row],[Categoria]]="Savings",0,"")</f>
        <v/>
      </c>
      <c r="T1043" s="59"/>
      <c r="U1043" s="59"/>
      <c r="V1043" s="59"/>
      <c r="W1043" s="59"/>
      <c r="X1043" s="59"/>
      <c r="Y1043" s="59"/>
      <c r="Z1043" s="59"/>
      <c r="AA1043" s="59"/>
      <c r="AB1043" s="59"/>
      <c r="AC1043" s="59"/>
      <c r="AD1043" s="59"/>
      <c r="AE1043" s="59"/>
      <c r="AF1043" s="59"/>
      <c r="AG1043" s="59"/>
      <c r="AH1043" s="59"/>
      <c r="AI1043" s="59" t="str">
        <f>IF(SUM(Dati[[#This Row],[Inv. Business]:[Inv. Cryptocurrency]])=0," ",SUM(Dati[[#This Row],[Inv. Business]:[Inv. Cryptocurrency]]))</f>
        <v xml:space="preserve"> </v>
      </c>
      <c r="AJ1043" s="59"/>
      <c r="AK1043" s="59"/>
      <c r="AL1043" s="59"/>
      <c r="AM1043" s="59"/>
    </row>
    <row r="1044" spans="2:39" x14ac:dyDescent="0.35">
      <c r="B1044" s="237">
        <f t="shared" ref="B1044:B1045" si="54">ROW(1021:1021)</f>
        <v>1021</v>
      </c>
      <c r="C1044" s="49">
        <f t="shared" si="53"/>
        <v>45658</v>
      </c>
      <c r="D1044" s="29">
        <f>DAY(Dati[[#This Row],[Data]])</f>
        <v>1</v>
      </c>
      <c r="E1044" s="29" t="str">
        <f>IF(DAY(Data!$C$21:$C$1327)&gt;0,TEXT(Data!$C$21:$C$1327, "mmmm"),"")</f>
        <v>gennaio</v>
      </c>
      <c r="F1044" s="29" t="str">
        <f>IF(DAY(Data!$C$21:$C$1327)&gt;0,TEXT(Data!$C$21:$C$1327, "aaaa"),"")</f>
        <v>2025</v>
      </c>
      <c r="I1044" t="str">
        <f>IF(OR(H1044=$B$5,H1044=$B$6,H1044=$B$7,H1044=$B$8,H1044=$B$9,H1044=$B$10,H1044=$B$11,H1044=$B$12,H1044=$B$13,H1044=$B$14),SottocategorieUscite[[#Headers],[Fuori Casa]],IF(OR(H1044=$C$5,H1044=$C$6,H1044=$C$7,H1044=$C$8,H1044=$C$9,H1044=$C$10,H1044=$C$11,H1044=$C$12,H1044=$C$13,H1044=$C$14),SottocategorieUscite[[#Headers],[Varie Uscite]],IF(OR(H1044=$D$5,H1044=$D$6,H1044=$D$7,H1044=$D$8,H1044=$D$9,H1044=$D$10,H1044=$D$11,H1044=$D$12,H1044=$D$13,H1044=$D$14),SottocategorieUscite[[#Headers],[Personali]],IF(OR(H1044=$E$5,H1044=$E$6,H1044=$E$7,H1044=$E$8,H1044=$E$9,H1044=$E$10,H1044=$E$11,H1044=$E$12,H1044=$E$13,H1044=$E$14),SottocategorieUscite[[#Headers],[Lavoro]],IF(OR(H1044=$F$5,H1044=$F$6,H1044=$F$7,H1044=$F$8,H1044=$F$9,H1044=$F$10,H1044=$F$11,H1044=$F$12,H1044=$F$13,H1044=$F$14),SottocategorieUscite[[#Headers],[Casa]],IF(OR(H1044=$G$5,H1044=$G$6,H1044=$G$7,H1044=$G$8,H1044=$G$9,H1044=$G$10,H1044=$G$11,H1044=$G$12,H1044=$G$13,H1044=$G$14),SottocategorieUscite[[#Headers],[Utenze]],IF(OR(H1044=$H$5,H1044=$H$6,H1044=$H$7,H1044=$H$8,H1044=$H$9,H1044=$H$10,H1044=$H$11,H1044=$H$12,H1044=$H$13,H1044=$H$14),SottocategorieUscite[[#Headers],[Business Uscite]],IF(OR(H1044=$I$5,H1044=$I$6,H1044=$I$7,H1044=$I$8,H1044=$I$9,H1044=$I$10,H1044=$I$11,H1044=$I$12,H1044=$I$13,H1044=$I$14),SottocategorieUscite[[#Headers],[Banca]],IF(OR(H1044=K$5,H1044=K$6,H1044=K$7,H1044=K$8,H1044=K$9,H1044=K$10,H1044=K$11,H1044=K$12,H1044=K$13,H1044=K$14),SottocategorieEntrate[[#Headers],[Business Entrate]],IF(OR(H1044=L$5,H1044=L$6,H1044=L$7,H1044=L$8,H1044=L$9,H1044=L$10,H1044=L$11,H1044=L$12,H1044=L$13,H1044=L$14),SottocategorieEntrate[[#Headers],[Varie Entrate]],IF(OR(H1044=M$5,H1044=M$6,H1044=M$7,H1044=M$8,H1044=M$9,H1044=M$10,H1044=M$11,H1044=M$12,H1044=M$13,H1044=M$14),SottocategorieEntrate[[#Headers],[Real Estate]],IF(OR(H1044=N$5,H1044=N$6,H1044=N$7,H1044=N$8,H1044=N$9,H1044=N$10,H1044=N$11,H1044=N$12,H1044=N$13,H1044=N$14),SottocategorieEntrate[[#Headers],[Other]],""))))))))))))</f>
        <v/>
      </c>
      <c r="J1044" t="str">
        <f>IF(OR(Dati[[#This Row],[Categoria]]="Bollette",Dati[[#This Row],[Categoria]]="Conto &amp; Carte BNL",Dati[[#This Row],[Categoria]]="Prelievo",Dati[[#This Row],[Categoria]]="Affitto",Dati[[#This Row],[Categoria]]="BNL(Interessi Creditori)"),"Carta",IF(Dati[[#This Row],[Categoria]]&lt;&gt;0,"Cash",""))</f>
        <v/>
      </c>
      <c r="K1044" s="59" t="str">
        <f>IF(OR(Data!$I1044=SottocategorieUscite[[#Headers],[Fuori Casa]],Data!$I1044=SottocategorieUscite[[#Headers],[Varie Uscite]],Data!$I1044=SottocategorieUscite[[#Headers],[Personali]],Data!$I1044=SottocategorieUscite[[#Headers],[Lavoro]]),"$ -","")</f>
        <v/>
      </c>
      <c r="L1044" s="59" t="str">
        <f>IF(OR(Data!$I1044=SottocategorieUscite[[#Headers],[Casa]],Data!$I1044=SottocategorieUscite[[#Headers],[Utenze]],Data!$I1044=SottocategorieUscite[[#Headers],[Business Uscite]],Data!$I1044=SottocategorieUscite[[#Headers],[Banca]]),"$ -","")</f>
        <v/>
      </c>
      <c r="M1044" s="59" t="str">
        <f>IF(OR($I1044&lt;&gt;SottocategorieUscite[[#Headers],[Fuori Casa]],$I1044&lt;&gt;SottocategorieUscite[[#Headers],[Varie Uscite]],$I1044&lt;&gt;SottocategorieUscite[[#Headers],[Personali]],$I1044&lt;&gt;SottocategorieUscite[[#Headers],[Lavoro]],$I1044&lt;&gt;SottocategorieUscite[[#Headers],[Casa]],$I1044&lt;&gt;SottocategorieUscite[[#Headers],[Utenze]],$I1044&lt;&gt;SottocategorieUscite[[#Headers],[Business Uscite]],$I1044&lt;&gt;SottocategorieUscite[[#Headers],[Banca]]),"","$ -")</f>
        <v/>
      </c>
      <c r="N1044" s="59" t="str">
        <f>IF(OR(Data!$I1044=SottocategorieEntrate[[#Headers],[Business Entrate]],Data!$I1044=SottocategorieEntrate[[#Headers],[Varie Entrate]]),"$ -","")</f>
        <v/>
      </c>
      <c r="O1044" s="59" t="str">
        <f>IF(OR(Data!$I1044=SottocategorieEntrate[[#Headers],[Real Estate]],SottocategorieEntrate[[#Headers],[Other]]),"$ -","")</f>
        <v/>
      </c>
      <c r="P1044" s="59" t="str">
        <f>IF(OR($I1044&lt;&gt;SottocategorieEntrate[[#Headers],[Business Entrate]],$I1044&lt;&gt;SottocategorieEntrate[[#Headers],[Varie Entrate]],$I1044&lt;&gt;SottocategorieEntrate[[#Headers],[Real Estate]],$I1044&lt;&gt;SottocategorieEntrate[[#Headers],[Other]]),"","$ -")</f>
        <v/>
      </c>
      <c r="Q1044" s="59" t="str">
        <f>IF(Dati[[#This Row],[Categoria]]="Prelievo","€ -","")</f>
        <v/>
      </c>
      <c r="R1044" s="244"/>
      <c r="S1044" s="59" t="str">
        <f>IF(Dati[[#This Row],[Categoria]]="Savings",0,"")</f>
        <v/>
      </c>
      <c r="T1044" s="59"/>
      <c r="U1044" s="59"/>
      <c r="V1044" s="59"/>
      <c r="W1044" s="59"/>
      <c r="X1044" s="59"/>
      <c r="Y1044" s="59"/>
      <c r="Z1044" s="59"/>
      <c r="AA1044" s="59"/>
      <c r="AB1044" s="59"/>
      <c r="AC1044" s="59"/>
      <c r="AD1044" s="59"/>
      <c r="AE1044" s="59"/>
      <c r="AF1044" s="59"/>
      <c r="AG1044" s="59"/>
      <c r="AH1044" s="59"/>
      <c r="AI1044" s="59" t="str">
        <f>IF(SUM(Dati[[#This Row],[Inv. Business]:[Inv. Cryptocurrency]])=0," ",SUM(Dati[[#This Row],[Inv. Business]:[Inv. Cryptocurrency]]))</f>
        <v xml:space="preserve"> </v>
      </c>
      <c r="AJ1044" s="59"/>
      <c r="AK1044" s="59" t="str">
        <f>IF(SUM(Dati[[#This Row],[Inv. Gold]:[Mutuo]])=0," ",SUM(Dati[[#This Row],[Inv. Gold]:[Mutuo]]))</f>
        <v xml:space="preserve"> </v>
      </c>
      <c r="AL1044" s="59"/>
      <c r="AM1044" s="59"/>
    </row>
    <row r="1045" spans="2:39" x14ac:dyDescent="0.35">
      <c r="B1045" s="237">
        <f t="shared" si="54"/>
        <v>1022</v>
      </c>
      <c r="C1045" s="49">
        <f t="shared" si="53"/>
        <v>45659</v>
      </c>
      <c r="D1045" s="29">
        <f>DAY(Dati[[#This Row],[Data]])</f>
        <v>2</v>
      </c>
      <c r="E1045" s="29" t="str">
        <f>IF(DAY(Data!$C$21:$C$1327)&gt;0,TEXT(Data!$C$21:$C$1327, "mmmm"),"")</f>
        <v>gennaio</v>
      </c>
      <c r="F1045" s="29" t="str">
        <f>IF(DAY(Data!$C$21:$C$1327)&gt;0,TEXT(Data!$C$21:$C$1327, "aaaa"),"")</f>
        <v>2025</v>
      </c>
      <c r="I1045" t="str">
        <f>IF(OR(H1045=$B$5,H1045=$B$6,H1045=$B$7,H1045=$B$8,H1045=$B$9,H1045=$B$10,H1045=$B$11,H1045=$B$12,H1045=$B$13,H1045=$B$14),SottocategorieUscite[[#Headers],[Fuori Casa]],IF(OR(H1045=$C$5,H1045=$C$6,H1045=$C$7,H1045=$C$8,H1045=$C$9,H1045=$C$10,H1045=$C$11,H1045=$C$12,H1045=$C$13,H1045=$C$14),SottocategorieUscite[[#Headers],[Varie Uscite]],IF(OR(H1045=$D$5,H1045=$D$6,H1045=$D$7,H1045=$D$8,H1045=$D$9,H1045=$D$10,H1045=$D$11,H1045=$D$12,H1045=$D$13,H1045=$D$14),SottocategorieUscite[[#Headers],[Personali]],IF(OR(H1045=$E$5,H1045=$E$6,H1045=$E$7,H1045=$E$8,H1045=$E$9,H1045=$E$10,H1045=$E$11,H1045=$E$12,H1045=$E$13,H1045=$E$14),SottocategorieUscite[[#Headers],[Lavoro]],IF(OR(H1045=$F$5,H1045=$F$6,H1045=$F$7,H1045=$F$8,H1045=$F$9,H1045=$F$10,H1045=$F$11,H1045=$F$12,H1045=$F$13,H1045=$F$14),SottocategorieUscite[[#Headers],[Casa]],IF(OR(H1045=$G$5,H1045=$G$6,H1045=$G$7,H1045=$G$8,H1045=$G$9,H1045=$G$10,H1045=$G$11,H1045=$G$12,H1045=$G$13,H1045=$G$14),SottocategorieUscite[[#Headers],[Utenze]],IF(OR(H1045=$H$5,H1045=$H$6,H1045=$H$7,H1045=$H$8,H1045=$H$9,H1045=$H$10,H1045=$H$11,H1045=$H$12,H1045=$H$13,H1045=$H$14),SottocategorieUscite[[#Headers],[Business Uscite]],IF(OR(H1045=$I$5,H1045=$I$6,H1045=$I$7,H1045=$I$8,H1045=$I$9,H1045=$I$10,H1045=$I$11,H1045=$I$12,H1045=$I$13,H1045=$I$14),SottocategorieUscite[[#Headers],[Banca]],IF(OR(H1045=K$5,H1045=K$6,H1045=K$7,H1045=K$8,H1045=K$9,H1045=K$10,H1045=K$11,H1045=K$12,H1045=K$13,H1045=K$14),SottocategorieEntrate[[#Headers],[Business Entrate]],IF(OR(H1045=L$5,H1045=L$6,H1045=L$7,H1045=L$8,H1045=L$9,H1045=L$10,H1045=L$11,H1045=L$12,H1045=L$13,H1045=L$14),SottocategorieEntrate[[#Headers],[Varie Entrate]],IF(OR(H1045=M$5,H1045=M$6,H1045=M$7,H1045=M$8,H1045=M$9,H1045=M$10,H1045=M$11,H1045=M$12,H1045=M$13,H1045=M$14),SottocategorieEntrate[[#Headers],[Real Estate]],IF(OR(H1045=N$5,H1045=N$6,H1045=N$7,H1045=N$8,H1045=N$9,H1045=N$10,H1045=N$11,H1045=N$12,H1045=N$13,H1045=N$14),SottocategorieEntrate[[#Headers],[Other]],""))))))))))))</f>
        <v/>
      </c>
      <c r="J1045" t="str">
        <f>IF(OR(Dati[[#This Row],[Categoria]]="Bollette",Dati[[#This Row],[Categoria]]="Conto &amp; Carte BNL",Dati[[#This Row],[Categoria]]="Prelievo",Dati[[#This Row],[Categoria]]="Affitto",Dati[[#This Row],[Categoria]]="BNL(Interessi Creditori)"),"Carta",IF(Dati[[#This Row],[Categoria]]&lt;&gt;0,"Cash",""))</f>
        <v/>
      </c>
      <c r="K1045" s="59" t="str">
        <f>IF(OR(Data!$I1045=SottocategorieUscite[[#Headers],[Fuori Casa]],Data!$I1045=SottocategorieUscite[[#Headers],[Varie Uscite]],Data!$I1045=SottocategorieUscite[[#Headers],[Personali]],Data!$I1045=SottocategorieUscite[[#Headers],[Lavoro]]),"$ -","")</f>
        <v/>
      </c>
      <c r="L1045" s="59" t="str">
        <f>IF(OR(Data!$I1045=SottocategorieUscite[[#Headers],[Casa]],Data!$I1045=SottocategorieUscite[[#Headers],[Utenze]],Data!$I1045=SottocategorieUscite[[#Headers],[Business Uscite]],Data!$I1045=SottocategorieUscite[[#Headers],[Banca]]),"$ -","")</f>
        <v/>
      </c>
      <c r="M1045" s="59" t="str">
        <f>IF(OR($I1045&lt;&gt;SottocategorieUscite[[#Headers],[Fuori Casa]],$I1045&lt;&gt;SottocategorieUscite[[#Headers],[Varie Uscite]],$I1045&lt;&gt;SottocategorieUscite[[#Headers],[Personali]],$I1045&lt;&gt;SottocategorieUscite[[#Headers],[Lavoro]],$I1045&lt;&gt;SottocategorieUscite[[#Headers],[Casa]],$I1045&lt;&gt;SottocategorieUscite[[#Headers],[Utenze]],$I1045&lt;&gt;SottocategorieUscite[[#Headers],[Business Uscite]],$I1045&lt;&gt;SottocategorieUscite[[#Headers],[Banca]]),"","$ -")</f>
        <v/>
      </c>
      <c r="N1045" s="59" t="str">
        <f>IF(OR(Data!$I1045=SottocategorieEntrate[[#Headers],[Business Entrate]],Data!$I1045=SottocategorieEntrate[[#Headers],[Varie Entrate]]),"$ -","")</f>
        <v/>
      </c>
      <c r="O1045" s="59" t="str">
        <f>IF(OR(Data!$I1045=SottocategorieEntrate[[#Headers],[Real Estate]],SottocategorieEntrate[[#Headers],[Other]]),"$ -","")</f>
        <v/>
      </c>
      <c r="P1045" s="59" t="str">
        <f>IF(OR($I1045&lt;&gt;SottocategorieEntrate[[#Headers],[Business Entrate]],$I1045&lt;&gt;SottocategorieEntrate[[#Headers],[Varie Entrate]],$I1045&lt;&gt;SottocategorieEntrate[[#Headers],[Real Estate]],$I1045&lt;&gt;SottocategorieEntrate[[#Headers],[Other]]),"","$ -")</f>
        <v/>
      </c>
      <c r="Q1045" s="59" t="str">
        <f>IF(Dati[[#This Row],[Categoria]]="Prelievo","€ -","")</f>
        <v/>
      </c>
      <c r="R1045" s="244"/>
      <c r="S1045" s="59" t="str">
        <f>IF(Dati[[#This Row],[Categoria]]="Savings",0,"")</f>
        <v/>
      </c>
      <c r="T1045" s="59"/>
      <c r="U1045" s="59"/>
      <c r="V1045" s="59"/>
      <c r="W1045" s="59"/>
      <c r="X1045" s="59"/>
      <c r="Y1045" s="59"/>
      <c r="Z1045" s="59"/>
      <c r="AA1045" s="59"/>
      <c r="AB1045" s="59"/>
      <c r="AC1045" s="59"/>
      <c r="AD1045" s="59"/>
      <c r="AE1045" s="59"/>
      <c r="AF1045" s="59"/>
      <c r="AG1045" s="59"/>
      <c r="AH1045" s="59"/>
      <c r="AI1045" s="59" t="str">
        <f>IF(SUM(Dati[[#This Row],[Inv. Business]:[Inv. Cryptocurrency]])=0," ",SUM(Dati[[#This Row],[Inv. Business]:[Inv. Cryptocurrency]]))</f>
        <v xml:space="preserve"> </v>
      </c>
      <c r="AJ1045" s="59"/>
      <c r="AK1045" s="59" t="str">
        <f>IF(SUM(Dati[[#This Row],[Inv. Gold]:[Mutuo]])=0," ",SUM(Dati[[#This Row],[Inv. Gold]:[Mutuo]]))</f>
        <v xml:space="preserve"> </v>
      </c>
      <c r="AL1045" s="59"/>
      <c r="AM1045" s="59"/>
    </row>
    <row r="1046" spans="2:39" x14ac:dyDescent="0.35">
      <c r="B1046" s="237">
        <f>ROW(1022:1022)</f>
        <v>1022</v>
      </c>
      <c r="C1046" s="49">
        <f>C1044+1</f>
        <v>45659</v>
      </c>
      <c r="D1046" s="29">
        <f>DAY(Dati[[#This Row],[Data]])</f>
        <v>2</v>
      </c>
      <c r="E1046" s="29" t="str">
        <f>IF(DAY(Data!$C$21:$C$1327)&gt;0,TEXT(Data!$C$21:$C$1327, "mmmm"),"")</f>
        <v>gennaio</v>
      </c>
      <c r="F1046" s="29" t="str">
        <f>IF(DAY(Data!$C$21:$C$1327)&gt;0,TEXT(Data!$C$21:$C$1327, "aaaa"),"")</f>
        <v>2025</v>
      </c>
      <c r="I1046" t="str">
        <f>IF(OR(H1046=$B$5,H1046=$B$6,H1046=$B$7,H1046=$B$8,H1046=$B$9,H1046=$B$10,H1046=$B$11,H1046=$B$12,H1046=$B$13,H1046=$B$14),SottocategorieUscite[[#Headers],[Fuori Casa]],IF(OR(H1046=$C$5,H1046=$C$6,H1046=$C$7,H1046=$C$8,H1046=$C$9,H1046=$C$10,H1046=$C$11,H1046=$C$12,H1046=$C$13,H1046=$C$14),SottocategorieUscite[[#Headers],[Varie Uscite]],IF(OR(H1046=$D$5,H1046=$D$6,H1046=$D$7,H1046=$D$8,H1046=$D$9,H1046=$D$10,H1046=$D$11,H1046=$D$12,H1046=$D$13,H1046=$D$14),SottocategorieUscite[[#Headers],[Personali]],IF(OR(H1046=$E$5,H1046=$E$6,H1046=$E$7,H1046=$E$8,H1046=$E$9,H1046=$E$10,H1046=$E$11,H1046=$E$12,H1046=$E$13,H1046=$E$14),SottocategorieUscite[[#Headers],[Lavoro]],IF(OR(H1046=$F$5,H1046=$F$6,H1046=$F$7,H1046=$F$8,H1046=$F$9,H1046=$F$10,H1046=$F$11,H1046=$F$12,H1046=$F$13,H1046=$F$14),SottocategorieUscite[[#Headers],[Casa]],IF(OR(H1046=$G$5,H1046=$G$6,H1046=$G$7,H1046=$G$8,H1046=$G$9,H1046=$G$10,H1046=$G$11,H1046=$G$12,H1046=$G$13,H1046=$G$14),SottocategorieUscite[[#Headers],[Utenze]],IF(OR(H1046=$H$5,H1046=$H$6,H1046=$H$7,H1046=$H$8,H1046=$H$9,H1046=$H$10,H1046=$H$11,H1046=$H$12,H1046=$H$13,H1046=$H$14),SottocategorieUscite[[#Headers],[Business Uscite]],IF(OR(H1046=$I$5,H1046=$I$6,H1046=$I$7,H1046=$I$8,H1046=$I$9,H1046=$I$10,H1046=$I$11,H1046=$I$12,H1046=$I$13,H1046=$I$14),SottocategorieUscite[[#Headers],[Banca]],IF(OR(H1046=K$5,H1046=K$6,H1046=K$7,H1046=K$8,H1046=K$9,H1046=K$10,H1046=K$11,H1046=K$12,H1046=K$13,H1046=K$14),SottocategorieEntrate[[#Headers],[Business Entrate]],IF(OR(H1046=L$5,H1046=L$6,H1046=L$7,H1046=L$8,H1046=L$9,H1046=L$10,H1046=L$11,H1046=L$12,H1046=L$13,H1046=L$14),SottocategorieEntrate[[#Headers],[Varie Entrate]],IF(OR(H1046=M$5,H1046=M$6,H1046=M$7,H1046=M$8,H1046=M$9,H1046=M$10,H1046=M$11,H1046=M$12,H1046=M$13,H1046=M$14),SottocategorieEntrate[[#Headers],[Real Estate]],IF(OR(H1046=N$5,H1046=N$6,H1046=N$7,H1046=N$8,H1046=N$9,H1046=N$10,H1046=N$11,H1046=N$12,H1046=N$13,H1046=N$14),SottocategorieEntrate[[#Headers],[Other]],""))))))))))))</f>
        <v/>
      </c>
      <c r="J1046" t="str">
        <f>IF(OR(Dati[[#This Row],[Categoria]]="Bollette",Dati[[#This Row],[Categoria]]="Conto &amp; Carte BNL",Dati[[#This Row],[Categoria]]="Prelievo",Dati[[#This Row],[Categoria]]="Affitto",Dati[[#This Row],[Categoria]]="BNL(Interessi Creditori)"),"Carta",IF(Dati[[#This Row],[Categoria]]&lt;&gt;0,"Cash",""))</f>
        <v/>
      </c>
      <c r="K1046" s="59" t="str">
        <f>IF(OR(Data!$I1046=SottocategorieUscite[[#Headers],[Fuori Casa]],Data!$I1046=SottocategorieUscite[[#Headers],[Varie Uscite]],Data!$I1046=SottocategorieUscite[[#Headers],[Personali]],Data!$I1046=SottocategorieUscite[[#Headers],[Lavoro]]),"$ -","")</f>
        <v/>
      </c>
      <c r="L1046" s="59" t="str">
        <f>IF(OR(Data!$I1046=SottocategorieUscite[[#Headers],[Casa]],Data!$I1046=SottocategorieUscite[[#Headers],[Utenze]],Data!$I1046=SottocategorieUscite[[#Headers],[Business Uscite]],Data!$I1046=SottocategorieUscite[[#Headers],[Banca]]),"$ -","")</f>
        <v/>
      </c>
      <c r="M1046" s="59" t="str">
        <f>IF(OR($I1046&lt;&gt;SottocategorieUscite[[#Headers],[Fuori Casa]],$I1046&lt;&gt;SottocategorieUscite[[#Headers],[Varie Uscite]],$I1046&lt;&gt;SottocategorieUscite[[#Headers],[Personali]],$I1046&lt;&gt;SottocategorieUscite[[#Headers],[Lavoro]],$I1046&lt;&gt;SottocategorieUscite[[#Headers],[Casa]],$I1046&lt;&gt;SottocategorieUscite[[#Headers],[Utenze]],$I1046&lt;&gt;SottocategorieUscite[[#Headers],[Business Uscite]],$I1046&lt;&gt;SottocategorieUscite[[#Headers],[Banca]]),"","$ -")</f>
        <v/>
      </c>
      <c r="N1046" s="59" t="str">
        <f>IF(OR(Data!$I1046=SottocategorieEntrate[[#Headers],[Business Entrate]],Data!$I1046=SottocategorieEntrate[[#Headers],[Varie Entrate]]),"$ -","")</f>
        <v/>
      </c>
      <c r="O1046" s="59" t="str">
        <f>IF(OR(Data!$I1046=SottocategorieEntrate[[#Headers],[Real Estate]],SottocategorieEntrate[[#Headers],[Other]]),"$ -","")</f>
        <v/>
      </c>
      <c r="P1046" s="59" t="str">
        <f>IF(OR($I1046&lt;&gt;SottocategorieEntrate[[#Headers],[Business Entrate]],$I1046&lt;&gt;SottocategorieEntrate[[#Headers],[Varie Entrate]],$I1046&lt;&gt;SottocategorieEntrate[[#Headers],[Real Estate]],$I1046&lt;&gt;SottocategorieEntrate[[#Headers],[Other]]),"","$ -")</f>
        <v/>
      </c>
      <c r="Q1046" s="59" t="str">
        <f>IF(Dati[[#This Row],[Categoria]]="Prelievo","€ -","")</f>
        <v/>
      </c>
      <c r="R1046" s="244"/>
      <c r="S1046" s="59" t="str">
        <f>IF(Dati[[#This Row],[Categoria]]="Savings",0,"")</f>
        <v/>
      </c>
      <c r="T1046" s="59"/>
      <c r="U1046" s="59"/>
      <c r="V1046" s="59"/>
      <c r="W1046" s="59"/>
      <c r="X1046" s="59"/>
      <c r="Y1046" s="59"/>
      <c r="Z1046" s="59"/>
      <c r="AA1046" s="59"/>
      <c r="AB1046" s="59"/>
      <c r="AC1046" s="59"/>
      <c r="AD1046" s="59"/>
      <c r="AE1046" s="59"/>
      <c r="AF1046" s="59"/>
      <c r="AG1046" s="59"/>
      <c r="AH1046" s="59"/>
      <c r="AI1046" s="59" t="str">
        <f>IF(SUM(Dati[[#This Row],[Inv. Business]:[Inv. Cryptocurrency]])=0," ",SUM(Dati[[#This Row],[Inv. Business]:[Inv. Cryptocurrency]]))</f>
        <v xml:space="preserve"> </v>
      </c>
      <c r="AJ1046" s="59"/>
      <c r="AK1046" s="59" t="str">
        <f>IF(SUM(Dati[[#This Row],[Inv. Gold]:[Mutuo]])=0," ",SUM(Dati[[#This Row],[Inv. Gold]:[Mutuo]]))</f>
        <v xml:space="preserve"> </v>
      </c>
      <c r="AL1046" s="59"/>
      <c r="AM1046" s="59"/>
    </row>
    <row r="1047" spans="2:39" x14ac:dyDescent="0.35">
      <c r="B1047" s="237">
        <f t="shared" ref="B1047:B1057" si="55">ROW(1022:1022)</f>
        <v>1022</v>
      </c>
      <c r="C1047" s="49">
        <f>C1044+1</f>
        <v>45659</v>
      </c>
      <c r="D1047" s="29">
        <f>DAY(Dati[[#This Row],[Data]])</f>
        <v>2</v>
      </c>
      <c r="E1047" s="29" t="str">
        <f>IF(DAY(Data!$C$21:$C$1327)&gt;0,TEXT(Data!$C$21:$C$1327, "mmmm"),"")</f>
        <v>gennaio</v>
      </c>
      <c r="F1047" s="29" t="str">
        <f>IF(DAY(Data!$C$21:$C$1327)&gt;0,TEXT(Data!$C$21:$C$1327, "aaaa"),"")</f>
        <v>2025</v>
      </c>
      <c r="I1047" t="str">
        <f>IF(OR(H1047=$B$5,H1047=$B$6,H1047=$B$7,H1047=$B$8,H1047=$B$9,H1047=$B$10,H1047=$B$11,H1047=$B$12,H1047=$B$13,H1047=$B$14),SottocategorieUscite[[#Headers],[Fuori Casa]],IF(OR(H1047=$C$5,H1047=$C$6,H1047=$C$7,H1047=$C$8,H1047=$C$9,H1047=$C$10,H1047=$C$11,H1047=$C$12,H1047=$C$13,H1047=$C$14),SottocategorieUscite[[#Headers],[Varie Uscite]],IF(OR(H1047=$D$5,H1047=$D$6,H1047=$D$7,H1047=$D$8,H1047=$D$9,H1047=$D$10,H1047=$D$11,H1047=$D$12,H1047=$D$13,H1047=$D$14),SottocategorieUscite[[#Headers],[Personali]],IF(OR(H1047=$E$5,H1047=$E$6,H1047=$E$7,H1047=$E$8,H1047=$E$9,H1047=$E$10,H1047=$E$11,H1047=$E$12,H1047=$E$13,H1047=$E$14),SottocategorieUscite[[#Headers],[Lavoro]],IF(OR(H1047=$F$5,H1047=$F$6,H1047=$F$7,H1047=$F$8,H1047=$F$9,H1047=$F$10,H1047=$F$11,H1047=$F$12,H1047=$F$13,H1047=$F$14),SottocategorieUscite[[#Headers],[Casa]],IF(OR(H1047=$G$5,H1047=$G$6,H1047=$G$7,H1047=$G$8,H1047=$G$9,H1047=$G$10,H1047=$G$11,H1047=$G$12,H1047=$G$13,H1047=$G$14),SottocategorieUscite[[#Headers],[Utenze]],IF(OR(H1047=$H$5,H1047=$H$6,H1047=$H$7,H1047=$H$8,H1047=$H$9,H1047=$H$10,H1047=$H$11,H1047=$H$12,H1047=$H$13,H1047=$H$14),SottocategorieUscite[[#Headers],[Business Uscite]],IF(OR(H1047=$I$5,H1047=$I$6,H1047=$I$7,H1047=$I$8,H1047=$I$9,H1047=$I$10,H1047=$I$11,H1047=$I$12,H1047=$I$13,H1047=$I$14),SottocategorieUscite[[#Headers],[Banca]],IF(OR(H1047=K$5,H1047=K$6,H1047=K$7,H1047=K$8,H1047=K$9,H1047=K$10,H1047=K$11,H1047=K$12,H1047=K$13,H1047=K$14),SottocategorieEntrate[[#Headers],[Business Entrate]],IF(OR(H1047=L$5,H1047=L$6,H1047=L$7,H1047=L$8,H1047=L$9,H1047=L$10,H1047=L$11,H1047=L$12,H1047=L$13,H1047=L$14),SottocategorieEntrate[[#Headers],[Varie Entrate]],IF(OR(H1047=M$5,H1047=M$6,H1047=M$7,H1047=M$8,H1047=M$9,H1047=M$10,H1047=M$11,H1047=M$12,H1047=M$13,H1047=M$14),SottocategorieEntrate[[#Headers],[Real Estate]],IF(OR(H1047=N$5,H1047=N$6,H1047=N$7,H1047=N$8,H1047=N$9,H1047=N$10,H1047=N$11,H1047=N$12,H1047=N$13,H1047=N$14),SottocategorieEntrate[[#Headers],[Other]],""))))))))))))</f>
        <v/>
      </c>
      <c r="J1047" t="str">
        <f>IF(OR(Dati[[#This Row],[Categoria]]="Bollette",Dati[[#This Row],[Categoria]]="Conto &amp; Carte BNL",Dati[[#This Row],[Categoria]]="Prelievo",Dati[[#This Row],[Categoria]]="Affitto",Dati[[#This Row],[Categoria]]="BNL(Interessi Creditori)"),"Carta",IF(Dati[[#This Row],[Categoria]]&lt;&gt;0,"Cash",""))</f>
        <v/>
      </c>
      <c r="K1047" s="59" t="str">
        <f>IF(OR(Data!$I1047=SottocategorieUscite[[#Headers],[Fuori Casa]],Data!$I1047=SottocategorieUscite[[#Headers],[Varie Uscite]],Data!$I1047=SottocategorieUscite[[#Headers],[Personali]],Data!$I1047=SottocategorieUscite[[#Headers],[Lavoro]]),"$ -","")</f>
        <v/>
      </c>
      <c r="L1047" s="59" t="str">
        <f>IF(OR(Data!$I1047=SottocategorieUscite[[#Headers],[Casa]],Data!$I1047=SottocategorieUscite[[#Headers],[Utenze]],Data!$I1047=SottocategorieUscite[[#Headers],[Business Uscite]],Data!$I1047=SottocategorieUscite[[#Headers],[Banca]]),"$ -","")</f>
        <v/>
      </c>
      <c r="M1047" s="59" t="str">
        <f>IF(OR($I1047&lt;&gt;SottocategorieUscite[[#Headers],[Fuori Casa]],$I1047&lt;&gt;SottocategorieUscite[[#Headers],[Varie Uscite]],$I1047&lt;&gt;SottocategorieUscite[[#Headers],[Personali]],$I1047&lt;&gt;SottocategorieUscite[[#Headers],[Lavoro]],$I1047&lt;&gt;SottocategorieUscite[[#Headers],[Casa]],$I1047&lt;&gt;SottocategorieUscite[[#Headers],[Utenze]],$I1047&lt;&gt;SottocategorieUscite[[#Headers],[Business Uscite]],$I1047&lt;&gt;SottocategorieUscite[[#Headers],[Banca]]),"","$ -")</f>
        <v/>
      </c>
      <c r="N1047" s="59" t="str">
        <f>IF(OR(Data!$I1047=SottocategorieEntrate[[#Headers],[Business Entrate]],Data!$I1047=SottocategorieEntrate[[#Headers],[Varie Entrate]]),"$ -","")</f>
        <v/>
      </c>
      <c r="O1047" s="59" t="str">
        <f>IF(OR(Data!$I1047=SottocategorieEntrate[[#Headers],[Real Estate]],SottocategorieEntrate[[#Headers],[Other]]),"$ -","")</f>
        <v/>
      </c>
      <c r="P1047" s="59" t="str">
        <f>IF(OR($I1047&lt;&gt;SottocategorieEntrate[[#Headers],[Business Entrate]],$I1047&lt;&gt;SottocategorieEntrate[[#Headers],[Varie Entrate]],$I1047&lt;&gt;SottocategorieEntrate[[#Headers],[Real Estate]],$I1047&lt;&gt;SottocategorieEntrate[[#Headers],[Other]]),"","$ -")</f>
        <v/>
      </c>
      <c r="Q1047" s="59" t="str">
        <f>IF(Dati[[#This Row],[Categoria]]="Prelievo","€ -","")</f>
        <v/>
      </c>
      <c r="R1047" s="244"/>
      <c r="S1047" s="59" t="str">
        <f>IF(Dati[[#This Row],[Categoria]]="Savings",0,"")</f>
        <v/>
      </c>
      <c r="T1047" s="59"/>
      <c r="U1047" s="59"/>
      <c r="V1047" s="59"/>
      <c r="W1047" s="59"/>
      <c r="X1047" s="59"/>
      <c r="Y1047" s="59"/>
      <c r="Z1047" s="59"/>
      <c r="AA1047" s="59"/>
      <c r="AB1047" s="59"/>
      <c r="AC1047" s="59"/>
      <c r="AD1047" s="59"/>
      <c r="AE1047" s="59"/>
      <c r="AF1047" s="59"/>
      <c r="AG1047" s="59"/>
      <c r="AH1047" s="59"/>
      <c r="AI1047" s="59" t="str">
        <f>IF(SUM(Dati[[#This Row],[Inv. Business]:[Inv. Cryptocurrency]])=0," ",SUM(Dati[[#This Row],[Inv. Business]:[Inv. Cryptocurrency]]))</f>
        <v xml:space="preserve"> </v>
      </c>
      <c r="AJ1047" s="59"/>
      <c r="AK1047" s="59" t="str">
        <f>IF(SUM(Dati[[#This Row],[Inv. Gold]:[Mutuo]])=0," ",SUM(Dati[[#This Row],[Inv. Gold]:[Mutuo]]))</f>
        <v xml:space="preserve"> </v>
      </c>
      <c r="AL1047" s="59"/>
      <c r="AM1047" s="59"/>
    </row>
    <row r="1048" spans="2:39" x14ac:dyDescent="0.35">
      <c r="B1048" s="237">
        <f t="shared" si="55"/>
        <v>1023</v>
      </c>
      <c r="C1048" s="49">
        <f>C1045+1</f>
        <v>45660</v>
      </c>
      <c r="D1048" s="29">
        <f>DAY(Dati[[#This Row],[Data]])</f>
        <v>3</v>
      </c>
      <c r="E1048" s="29" t="str">
        <f>IF(DAY(Data!$C$21:$C$1327)&gt;0,TEXT(Data!$C$21:$C$1327, "mmmm"),"")</f>
        <v>gennaio</v>
      </c>
      <c r="F1048" s="29" t="str">
        <f>IF(DAY(Data!$C$21:$C$1327)&gt;0,TEXT(Data!$C$21:$C$1327, "aaaa"),"")</f>
        <v>2025</v>
      </c>
      <c r="I1048" t="str">
        <f>IF(OR(H1048=$B$5,H1048=$B$6,H1048=$B$7,H1048=$B$8,H1048=$B$9,H1048=$B$10,H1048=$B$11,H1048=$B$12,H1048=$B$13,H1048=$B$14),SottocategorieUscite[[#Headers],[Fuori Casa]],IF(OR(H1048=$C$5,H1048=$C$6,H1048=$C$7,H1048=$C$8,H1048=$C$9,H1048=$C$10,H1048=$C$11,H1048=$C$12,H1048=$C$13,H1048=$C$14),SottocategorieUscite[[#Headers],[Varie Uscite]],IF(OR(H1048=$D$5,H1048=$D$6,H1048=$D$7,H1048=$D$8,H1048=$D$9,H1048=$D$10,H1048=$D$11,H1048=$D$12,H1048=$D$13,H1048=$D$14),SottocategorieUscite[[#Headers],[Personali]],IF(OR(H1048=$E$5,H1048=$E$6,H1048=$E$7,H1048=$E$8,H1048=$E$9,H1048=$E$10,H1048=$E$11,H1048=$E$12,H1048=$E$13,H1048=$E$14),SottocategorieUscite[[#Headers],[Lavoro]],IF(OR(H1048=$F$5,H1048=$F$6,H1048=$F$7,H1048=$F$8,H1048=$F$9,H1048=$F$10,H1048=$F$11,H1048=$F$12,H1048=$F$13,H1048=$F$14),SottocategorieUscite[[#Headers],[Casa]],IF(OR(H1048=$G$5,H1048=$G$6,H1048=$G$7,H1048=$G$8,H1048=$G$9,H1048=$G$10,H1048=$G$11,H1048=$G$12,H1048=$G$13,H1048=$G$14),SottocategorieUscite[[#Headers],[Utenze]],IF(OR(H1048=$H$5,H1048=$H$6,H1048=$H$7,H1048=$H$8,H1048=$H$9,H1048=$H$10,H1048=$H$11,H1048=$H$12,H1048=$H$13,H1048=$H$14),SottocategorieUscite[[#Headers],[Business Uscite]],IF(OR(H1048=$I$5,H1048=$I$6,H1048=$I$7,H1048=$I$8,H1048=$I$9,H1048=$I$10,H1048=$I$11,H1048=$I$12,H1048=$I$13,H1048=$I$14),SottocategorieUscite[[#Headers],[Banca]],IF(OR(H1048=K$5,H1048=K$6,H1048=K$7,H1048=K$8,H1048=K$9,H1048=K$10,H1048=K$11,H1048=K$12,H1048=K$13,H1048=K$14),SottocategorieEntrate[[#Headers],[Business Entrate]],IF(OR(H1048=L$5,H1048=L$6,H1048=L$7,H1048=L$8,H1048=L$9,H1048=L$10,H1048=L$11,H1048=L$12,H1048=L$13,H1048=L$14),SottocategorieEntrate[[#Headers],[Varie Entrate]],IF(OR(H1048=M$5,H1048=M$6,H1048=M$7,H1048=M$8,H1048=M$9,H1048=M$10,H1048=M$11,H1048=M$12,H1048=M$13,H1048=M$14),SottocategorieEntrate[[#Headers],[Real Estate]],IF(OR(H1048=N$5,H1048=N$6,H1048=N$7,H1048=N$8,H1048=N$9,H1048=N$10,H1048=N$11,H1048=N$12,H1048=N$13,H1048=N$14),SottocategorieEntrate[[#Headers],[Other]],""))))))))))))</f>
        <v/>
      </c>
      <c r="J1048" t="str">
        <f>IF(OR(Dati[[#This Row],[Categoria]]="Bollette",Dati[[#This Row],[Categoria]]="Conto &amp; Carte BNL",Dati[[#This Row],[Categoria]]="Prelievo",Dati[[#This Row],[Categoria]]="Affitto",Dati[[#This Row],[Categoria]]="BNL(Interessi Creditori)"),"Carta",IF(Dati[[#This Row],[Categoria]]&lt;&gt;0,"Cash",""))</f>
        <v/>
      </c>
      <c r="K1048" s="59" t="str">
        <f>IF(OR(Data!$I1048=SottocategorieUscite[[#Headers],[Fuori Casa]],Data!$I1048=SottocategorieUscite[[#Headers],[Varie Uscite]],Data!$I1048=SottocategorieUscite[[#Headers],[Personali]],Data!$I1048=SottocategorieUscite[[#Headers],[Lavoro]]),"$ -","")</f>
        <v/>
      </c>
      <c r="L1048" s="59" t="str">
        <f>IF(OR(Data!$I1048=SottocategorieUscite[[#Headers],[Casa]],Data!$I1048=SottocategorieUscite[[#Headers],[Utenze]],Data!$I1048=SottocategorieUscite[[#Headers],[Business Uscite]],Data!$I1048=SottocategorieUscite[[#Headers],[Banca]]),"$ -","")</f>
        <v/>
      </c>
      <c r="M1048" s="59" t="str">
        <f>IF(OR($I1048&lt;&gt;SottocategorieUscite[[#Headers],[Fuori Casa]],$I1048&lt;&gt;SottocategorieUscite[[#Headers],[Varie Uscite]],$I1048&lt;&gt;SottocategorieUscite[[#Headers],[Personali]],$I1048&lt;&gt;SottocategorieUscite[[#Headers],[Lavoro]],$I1048&lt;&gt;SottocategorieUscite[[#Headers],[Casa]],$I1048&lt;&gt;SottocategorieUscite[[#Headers],[Utenze]],$I1048&lt;&gt;SottocategorieUscite[[#Headers],[Business Uscite]],$I1048&lt;&gt;SottocategorieUscite[[#Headers],[Banca]]),"","$ -")</f>
        <v/>
      </c>
      <c r="N1048" s="59" t="str">
        <f>IF(OR(Data!$I1048=SottocategorieEntrate[[#Headers],[Business Entrate]],Data!$I1048=SottocategorieEntrate[[#Headers],[Varie Entrate]]),"$ -","")</f>
        <v/>
      </c>
      <c r="O1048" s="59" t="str">
        <f>IF(OR(Data!$I1048=SottocategorieEntrate[[#Headers],[Real Estate]],SottocategorieEntrate[[#Headers],[Other]]),"$ -","")</f>
        <v/>
      </c>
      <c r="P1048" s="59" t="str">
        <f>IF(OR($I1048&lt;&gt;SottocategorieEntrate[[#Headers],[Business Entrate]],$I1048&lt;&gt;SottocategorieEntrate[[#Headers],[Varie Entrate]],$I1048&lt;&gt;SottocategorieEntrate[[#Headers],[Real Estate]],$I1048&lt;&gt;SottocategorieEntrate[[#Headers],[Other]]),"","$ -")</f>
        <v/>
      </c>
      <c r="Q1048" s="59" t="str">
        <f>IF(Dati[[#This Row],[Categoria]]="Prelievo","€ -","")</f>
        <v/>
      </c>
      <c r="R1048" s="244"/>
      <c r="S1048" s="59" t="str">
        <f>IF(Dati[[#This Row],[Categoria]]="Savings",0,"")</f>
        <v/>
      </c>
      <c r="T1048" s="59"/>
      <c r="U1048" s="59"/>
      <c r="V1048" s="59"/>
      <c r="W1048" s="59"/>
      <c r="X1048" s="59"/>
      <c r="Y1048" s="59"/>
      <c r="Z1048" s="59"/>
      <c r="AA1048" s="59"/>
      <c r="AB1048" s="59"/>
      <c r="AC1048" s="59"/>
      <c r="AD1048" s="59"/>
      <c r="AE1048" s="59"/>
      <c r="AF1048" s="59"/>
      <c r="AG1048" s="59"/>
      <c r="AH1048" s="59"/>
      <c r="AI1048" s="59" t="str">
        <f>IF(SUM(Dati[[#This Row],[Inv. Business]:[Inv. Cryptocurrency]])=0," ",SUM(Dati[[#This Row],[Inv. Business]:[Inv. Cryptocurrency]]))</f>
        <v xml:space="preserve"> </v>
      </c>
      <c r="AJ1048" s="59"/>
      <c r="AK1048" s="59" t="str">
        <f>IF(SUM(Dati[[#This Row],[Inv. Gold]:[Mutuo]])=0," ",SUM(Dati[[#This Row],[Inv. Gold]:[Mutuo]]))</f>
        <v xml:space="preserve"> </v>
      </c>
      <c r="AL1048" s="59"/>
      <c r="AM1048" s="59"/>
    </row>
    <row r="1049" spans="2:39" x14ac:dyDescent="0.35">
      <c r="B1049" s="237">
        <f t="shared" si="55"/>
        <v>1024</v>
      </c>
      <c r="C1049" s="49">
        <f t="shared" si="53"/>
        <v>45661</v>
      </c>
      <c r="D1049" s="29">
        <f>DAY(Dati[[#This Row],[Data]])</f>
        <v>4</v>
      </c>
      <c r="E1049" s="29" t="str">
        <f>IF(DAY(Data!$C$21:$C$1327)&gt;0,TEXT(Data!$C$21:$C$1327, "mmmm"),"")</f>
        <v>gennaio</v>
      </c>
      <c r="F1049" s="29" t="str">
        <f>IF(DAY(Data!$C$21:$C$1327)&gt;0,TEXT(Data!$C$21:$C$1327, "aaaa"),"")</f>
        <v>2025</v>
      </c>
      <c r="I1049" t="str">
        <f>IF(OR(H1049=$B$5,H1049=$B$6,H1049=$B$7,H1049=$B$8,H1049=$B$9,H1049=$B$10,H1049=$B$11,H1049=$B$12,H1049=$B$13,H1049=$B$14),SottocategorieUscite[[#Headers],[Fuori Casa]],IF(OR(H1049=$C$5,H1049=$C$6,H1049=$C$7,H1049=$C$8,H1049=$C$9,H1049=$C$10,H1049=$C$11,H1049=$C$12,H1049=$C$13,H1049=$C$14),SottocategorieUscite[[#Headers],[Varie Uscite]],IF(OR(H1049=$D$5,H1049=$D$6,H1049=$D$7,H1049=$D$8,H1049=$D$9,H1049=$D$10,H1049=$D$11,H1049=$D$12,H1049=$D$13,H1049=$D$14),SottocategorieUscite[[#Headers],[Personali]],IF(OR(H1049=$E$5,H1049=$E$6,H1049=$E$7,H1049=$E$8,H1049=$E$9,H1049=$E$10,H1049=$E$11,H1049=$E$12,H1049=$E$13,H1049=$E$14),SottocategorieUscite[[#Headers],[Lavoro]],IF(OR(H1049=$F$5,H1049=$F$6,H1049=$F$7,H1049=$F$8,H1049=$F$9,H1049=$F$10,H1049=$F$11,H1049=$F$12,H1049=$F$13,H1049=$F$14),SottocategorieUscite[[#Headers],[Casa]],IF(OR(H1049=$G$5,H1049=$G$6,H1049=$G$7,H1049=$G$8,H1049=$G$9,H1049=$G$10,H1049=$G$11,H1049=$G$12,H1049=$G$13,H1049=$G$14),SottocategorieUscite[[#Headers],[Utenze]],IF(OR(H1049=$H$5,H1049=$H$6,H1049=$H$7,H1049=$H$8,H1049=$H$9,H1049=$H$10,H1049=$H$11,H1049=$H$12,H1049=$H$13,H1049=$H$14),SottocategorieUscite[[#Headers],[Business Uscite]],IF(OR(H1049=$I$5,H1049=$I$6,H1049=$I$7,H1049=$I$8,H1049=$I$9,H1049=$I$10,H1049=$I$11,H1049=$I$12,H1049=$I$13,H1049=$I$14),SottocategorieUscite[[#Headers],[Banca]],IF(OR(H1049=K$5,H1049=K$6,H1049=K$7,H1049=K$8,H1049=K$9,H1049=K$10,H1049=K$11,H1049=K$12,H1049=K$13,H1049=K$14),SottocategorieEntrate[[#Headers],[Business Entrate]],IF(OR(H1049=L$5,H1049=L$6,H1049=L$7,H1049=L$8,H1049=L$9,H1049=L$10,H1049=L$11,H1049=L$12,H1049=L$13,H1049=L$14),SottocategorieEntrate[[#Headers],[Varie Entrate]],IF(OR(H1049=M$5,H1049=M$6,H1049=M$7,H1049=M$8,H1049=M$9,H1049=M$10,H1049=M$11,H1049=M$12,H1049=M$13,H1049=M$14),SottocategorieEntrate[[#Headers],[Real Estate]],IF(OR(H1049=N$5,H1049=N$6,H1049=N$7,H1049=N$8,H1049=N$9,H1049=N$10,H1049=N$11,H1049=N$12,H1049=N$13,H1049=N$14),SottocategorieEntrate[[#Headers],[Other]],""))))))))))))</f>
        <v/>
      </c>
      <c r="J1049" t="str">
        <f>IF(OR(Dati[[#This Row],[Categoria]]="Bollette",Dati[[#This Row],[Categoria]]="Conto &amp; Carte BNL",Dati[[#This Row],[Categoria]]="Prelievo",Dati[[#This Row],[Categoria]]="Affitto",Dati[[#This Row],[Categoria]]="BNL(Interessi Creditori)"),"Carta",IF(Dati[[#This Row],[Categoria]]&lt;&gt;0,"Cash",""))</f>
        <v/>
      </c>
      <c r="K1049" s="59" t="str">
        <f>IF(OR(Data!$I1049=SottocategorieUscite[[#Headers],[Fuori Casa]],Data!$I1049=SottocategorieUscite[[#Headers],[Varie Uscite]],Data!$I1049=SottocategorieUscite[[#Headers],[Personali]],Data!$I1049=SottocategorieUscite[[#Headers],[Lavoro]]),"$ -","")</f>
        <v/>
      </c>
      <c r="L1049" s="59" t="str">
        <f>IF(OR(Data!$I1049=SottocategorieUscite[[#Headers],[Casa]],Data!$I1049=SottocategorieUscite[[#Headers],[Utenze]],Data!$I1049=SottocategorieUscite[[#Headers],[Business Uscite]],Data!$I1049=SottocategorieUscite[[#Headers],[Banca]]),"$ -","")</f>
        <v/>
      </c>
      <c r="M1049" s="59" t="str">
        <f>IF(OR($I1049&lt;&gt;SottocategorieUscite[[#Headers],[Fuori Casa]],$I1049&lt;&gt;SottocategorieUscite[[#Headers],[Varie Uscite]],$I1049&lt;&gt;SottocategorieUscite[[#Headers],[Personali]],$I1049&lt;&gt;SottocategorieUscite[[#Headers],[Lavoro]],$I1049&lt;&gt;SottocategorieUscite[[#Headers],[Casa]],$I1049&lt;&gt;SottocategorieUscite[[#Headers],[Utenze]],$I1049&lt;&gt;SottocategorieUscite[[#Headers],[Business Uscite]],$I1049&lt;&gt;SottocategorieUscite[[#Headers],[Banca]]),"","$ -")</f>
        <v/>
      </c>
      <c r="N1049" s="59" t="str">
        <f>IF(OR(Data!$I1049=SottocategorieEntrate[[#Headers],[Business Entrate]],Data!$I1049=SottocategorieEntrate[[#Headers],[Varie Entrate]]),"$ -","")</f>
        <v/>
      </c>
      <c r="O1049" s="59" t="str">
        <f>IF(OR(Data!$I1049=SottocategorieEntrate[[#Headers],[Real Estate]],SottocategorieEntrate[[#Headers],[Other]]),"$ -","")</f>
        <v/>
      </c>
      <c r="P1049" s="59" t="str">
        <f>IF(OR($I1049&lt;&gt;SottocategorieEntrate[[#Headers],[Business Entrate]],$I1049&lt;&gt;SottocategorieEntrate[[#Headers],[Varie Entrate]],$I1049&lt;&gt;SottocategorieEntrate[[#Headers],[Real Estate]],$I1049&lt;&gt;SottocategorieEntrate[[#Headers],[Other]]),"","$ -")</f>
        <v/>
      </c>
      <c r="Q1049" s="59" t="str">
        <f>IF(Dati[[#This Row],[Categoria]]="Prelievo","€ -","")</f>
        <v/>
      </c>
      <c r="R1049" s="244"/>
      <c r="S1049" s="59" t="str">
        <f>IF(Dati[[#This Row],[Categoria]]="Savings",0,"")</f>
        <v/>
      </c>
      <c r="T1049" s="59"/>
      <c r="U1049" s="59"/>
      <c r="V1049" s="59"/>
      <c r="W1049" s="59"/>
      <c r="X1049" s="59"/>
      <c r="Y1049" s="59"/>
      <c r="Z1049" s="59"/>
      <c r="AA1049" s="59"/>
      <c r="AB1049" s="59"/>
      <c r="AC1049" s="59"/>
      <c r="AD1049" s="59"/>
      <c r="AE1049" s="59"/>
      <c r="AF1049" s="59"/>
      <c r="AG1049" s="59"/>
      <c r="AH1049" s="59"/>
      <c r="AI1049" s="59" t="str">
        <f>IF(SUM(Dati[[#This Row],[Inv. Business]:[Inv. Cryptocurrency]])=0," ",SUM(Dati[[#This Row],[Inv. Business]:[Inv. Cryptocurrency]]))</f>
        <v xml:space="preserve"> </v>
      </c>
      <c r="AJ1049" s="59"/>
      <c r="AK1049" s="59" t="str">
        <f>IF(SUM(Dati[[#This Row],[Inv. Gold]:[Mutuo]])=0," ",SUM(Dati[[#This Row],[Inv. Gold]:[Mutuo]]))</f>
        <v xml:space="preserve"> </v>
      </c>
      <c r="AL1049" s="59"/>
      <c r="AM1049" s="59"/>
    </row>
    <row r="1050" spans="2:39" x14ac:dyDescent="0.35">
      <c r="B1050" s="237">
        <f t="shared" si="55"/>
        <v>1025</v>
      </c>
      <c r="C1050" s="49">
        <f t="shared" si="53"/>
        <v>45662</v>
      </c>
      <c r="D1050" s="29">
        <f>DAY(Dati[[#This Row],[Data]])</f>
        <v>5</v>
      </c>
      <c r="E1050" s="29" t="str">
        <f>IF(DAY(Data!$C$21:$C$1327)&gt;0,TEXT(Data!$C$21:$C$1327, "mmmm"),"")</f>
        <v>gennaio</v>
      </c>
      <c r="F1050" s="29" t="str">
        <f>IF(DAY(Data!$C$21:$C$1327)&gt;0,TEXT(Data!$C$21:$C$1327, "aaaa"),"")</f>
        <v>2025</v>
      </c>
      <c r="I1050" t="str">
        <f>IF(OR(H1050=$B$5,H1050=$B$6,H1050=$B$7,H1050=$B$8,H1050=$B$9,H1050=$B$10,H1050=$B$11,H1050=$B$12,H1050=$B$13,H1050=$B$14),SottocategorieUscite[[#Headers],[Fuori Casa]],IF(OR(H1050=$C$5,H1050=$C$6,H1050=$C$7,H1050=$C$8,H1050=$C$9,H1050=$C$10,H1050=$C$11,H1050=$C$12,H1050=$C$13,H1050=$C$14),SottocategorieUscite[[#Headers],[Varie Uscite]],IF(OR(H1050=$D$5,H1050=$D$6,H1050=$D$7,H1050=$D$8,H1050=$D$9,H1050=$D$10,H1050=$D$11,H1050=$D$12,H1050=$D$13,H1050=$D$14),SottocategorieUscite[[#Headers],[Personali]],IF(OR(H1050=$E$5,H1050=$E$6,H1050=$E$7,H1050=$E$8,H1050=$E$9,H1050=$E$10,H1050=$E$11,H1050=$E$12,H1050=$E$13,H1050=$E$14),SottocategorieUscite[[#Headers],[Lavoro]],IF(OR(H1050=$F$5,H1050=$F$6,H1050=$F$7,H1050=$F$8,H1050=$F$9,H1050=$F$10,H1050=$F$11,H1050=$F$12,H1050=$F$13,H1050=$F$14),SottocategorieUscite[[#Headers],[Casa]],IF(OR(H1050=$G$5,H1050=$G$6,H1050=$G$7,H1050=$G$8,H1050=$G$9,H1050=$G$10,H1050=$G$11,H1050=$G$12,H1050=$G$13,H1050=$G$14),SottocategorieUscite[[#Headers],[Utenze]],IF(OR(H1050=$H$5,H1050=$H$6,H1050=$H$7,H1050=$H$8,H1050=$H$9,H1050=$H$10,H1050=$H$11,H1050=$H$12,H1050=$H$13,H1050=$H$14),SottocategorieUscite[[#Headers],[Business Uscite]],IF(OR(H1050=$I$5,H1050=$I$6,H1050=$I$7,H1050=$I$8,H1050=$I$9,H1050=$I$10,H1050=$I$11,H1050=$I$12,H1050=$I$13,H1050=$I$14),SottocategorieUscite[[#Headers],[Banca]],IF(OR(H1050=K$5,H1050=K$6,H1050=K$7,H1050=K$8,H1050=K$9,H1050=K$10,H1050=K$11,H1050=K$12,H1050=K$13,H1050=K$14),SottocategorieEntrate[[#Headers],[Business Entrate]],IF(OR(H1050=L$5,H1050=L$6,H1050=L$7,H1050=L$8,H1050=L$9,H1050=L$10,H1050=L$11,H1050=L$12,H1050=L$13,H1050=L$14),SottocategorieEntrate[[#Headers],[Varie Entrate]],IF(OR(H1050=M$5,H1050=M$6,H1050=M$7,H1050=M$8,H1050=M$9,H1050=M$10,H1050=M$11,H1050=M$12,H1050=M$13,H1050=M$14),SottocategorieEntrate[[#Headers],[Real Estate]],IF(OR(H1050=N$5,H1050=N$6,H1050=N$7,H1050=N$8,H1050=N$9,H1050=N$10,H1050=N$11,H1050=N$12,H1050=N$13,H1050=N$14),SottocategorieEntrate[[#Headers],[Other]],""))))))))))))</f>
        <v/>
      </c>
      <c r="J1050" t="str">
        <f>IF(OR(Dati[[#This Row],[Categoria]]="Bollette",Dati[[#This Row],[Categoria]]="Conto &amp; Carte BNL",Dati[[#This Row],[Categoria]]="Prelievo",Dati[[#This Row],[Categoria]]="Affitto",Dati[[#This Row],[Categoria]]="BNL(Interessi Creditori)"),"Carta",IF(Dati[[#This Row],[Categoria]]&lt;&gt;0,"Cash",""))</f>
        <v/>
      </c>
      <c r="K1050" s="59" t="str">
        <f>IF(OR(Data!$I1050=SottocategorieUscite[[#Headers],[Fuori Casa]],Data!$I1050=SottocategorieUscite[[#Headers],[Varie Uscite]],Data!$I1050=SottocategorieUscite[[#Headers],[Personali]],Data!$I1050=SottocategorieUscite[[#Headers],[Lavoro]]),"$ -","")</f>
        <v/>
      </c>
      <c r="L1050" s="59" t="str">
        <f>IF(OR(Data!$I1050=SottocategorieUscite[[#Headers],[Casa]],Data!$I1050=SottocategorieUscite[[#Headers],[Utenze]],Data!$I1050=SottocategorieUscite[[#Headers],[Business Uscite]],Data!$I1050=SottocategorieUscite[[#Headers],[Banca]]),"$ -","")</f>
        <v/>
      </c>
      <c r="M1050" s="59" t="str">
        <f>IF(OR($I1050&lt;&gt;SottocategorieUscite[[#Headers],[Fuori Casa]],$I1050&lt;&gt;SottocategorieUscite[[#Headers],[Varie Uscite]],$I1050&lt;&gt;SottocategorieUscite[[#Headers],[Personali]],$I1050&lt;&gt;SottocategorieUscite[[#Headers],[Lavoro]],$I1050&lt;&gt;SottocategorieUscite[[#Headers],[Casa]],$I1050&lt;&gt;SottocategorieUscite[[#Headers],[Utenze]],$I1050&lt;&gt;SottocategorieUscite[[#Headers],[Business Uscite]],$I1050&lt;&gt;SottocategorieUscite[[#Headers],[Banca]]),"","$ -")</f>
        <v/>
      </c>
      <c r="N1050" s="59" t="str">
        <f>IF(OR(Data!$I1050=SottocategorieEntrate[[#Headers],[Business Entrate]],Data!$I1050=SottocategorieEntrate[[#Headers],[Varie Entrate]]),"$ -","")</f>
        <v/>
      </c>
      <c r="O1050" s="59" t="str">
        <f>IF(OR(Data!$I1050=SottocategorieEntrate[[#Headers],[Real Estate]],SottocategorieEntrate[[#Headers],[Other]]),"$ -","")</f>
        <v/>
      </c>
      <c r="P1050" s="59" t="str">
        <f>IF(OR($I1050&lt;&gt;SottocategorieEntrate[[#Headers],[Business Entrate]],$I1050&lt;&gt;SottocategorieEntrate[[#Headers],[Varie Entrate]],$I1050&lt;&gt;SottocategorieEntrate[[#Headers],[Real Estate]],$I1050&lt;&gt;SottocategorieEntrate[[#Headers],[Other]]),"","$ -")</f>
        <v/>
      </c>
      <c r="Q1050" s="59" t="str">
        <f>IF(Dati[[#This Row],[Categoria]]="Prelievo","€ -","")</f>
        <v/>
      </c>
      <c r="R1050" s="244"/>
      <c r="S1050" s="59" t="str">
        <f>IF(Dati[[#This Row],[Categoria]]="Savings",0,"")</f>
        <v/>
      </c>
      <c r="T1050" s="59"/>
      <c r="U1050" s="59"/>
      <c r="V1050" s="59"/>
      <c r="W1050" s="59"/>
      <c r="X1050" s="59"/>
      <c r="Y1050" s="59"/>
      <c r="Z1050" s="59"/>
      <c r="AA1050" s="59"/>
      <c r="AB1050" s="59"/>
      <c r="AC1050" s="59"/>
      <c r="AD1050" s="59"/>
      <c r="AE1050" s="59"/>
      <c r="AF1050" s="59"/>
      <c r="AG1050" s="59"/>
      <c r="AH1050" s="59"/>
      <c r="AI1050" s="59" t="str">
        <f>IF(SUM(Dati[[#This Row],[Inv. Business]:[Inv. Cryptocurrency]])=0," ",SUM(Dati[[#This Row],[Inv. Business]:[Inv. Cryptocurrency]]))</f>
        <v xml:space="preserve"> </v>
      </c>
      <c r="AJ1050" s="59"/>
      <c r="AK1050" s="59" t="str">
        <f>IF(SUM(Dati[[#This Row],[Inv. Gold]:[Mutuo]])=0," ",SUM(Dati[[#This Row],[Inv. Gold]:[Mutuo]]))</f>
        <v xml:space="preserve"> </v>
      </c>
      <c r="AL1050" s="59"/>
      <c r="AM1050" s="59"/>
    </row>
    <row r="1051" spans="2:39" x14ac:dyDescent="0.35">
      <c r="B1051" s="237">
        <f t="shared" si="55"/>
        <v>1026</v>
      </c>
      <c r="C1051" s="49">
        <f t="shared" si="53"/>
        <v>45663</v>
      </c>
      <c r="D1051" s="29">
        <f>DAY(Dati[[#This Row],[Data]])</f>
        <v>6</v>
      </c>
      <c r="E1051" s="29" t="str">
        <f>IF(DAY(Data!$C$21:$C$1327)&gt;0,TEXT(Data!$C$21:$C$1327, "mmmm"),"")</f>
        <v>gennaio</v>
      </c>
      <c r="F1051" s="29" t="str">
        <f>IF(DAY(Data!$C$21:$C$1327)&gt;0,TEXT(Data!$C$21:$C$1327, "aaaa"),"")</f>
        <v>2025</v>
      </c>
      <c r="I1051" t="str">
        <f>IF(OR(H1051=$B$5,H1051=$B$6,H1051=$B$7,H1051=$B$8,H1051=$B$9,H1051=$B$10,H1051=$B$11,H1051=$B$12,H1051=$B$13,H1051=$B$14),SottocategorieUscite[[#Headers],[Fuori Casa]],IF(OR(H1051=$C$5,H1051=$C$6,H1051=$C$7,H1051=$C$8,H1051=$C$9,H1051=$C$10,H1051=$C$11,H1051=$C$12,H1051=$C$13,H1051=$C$14),SottocategorieUscite[[#Headers],[Varie Uscite]],IF(OR(H1051=$D$5,H1051=$D$6,H1051=$D$7,H1051=$D$8,H1051=$D$9,H1051=$D$10,H1051=$D$11,H1051=$D$12,H1051=$D$13,H1051=$D$14),SottocategorieUscite[[#Headers],[Personali]],IF(OR(H1051=$E$5,H1051=$E$6,H1051=$E$7,H1051=$E$8,H1051=$E$9,H1051=$E$10,H1051=$E$11,H1051=$E$12,H1051=$E$13,H1051=$E$14),SottocategorieUscite[[#Headers],[Lavoro]],IF(OR(H1051=$F$5,H1051=$F$6,H1051=$F$7,H1051=$F$8,H1051=$F$9,H1051=$F$10,H1051=$F$11,H1051=$F$12,H1051=$F$13,H1051=$F$14),SottocategorieUscite[[#Headers],[Casa]],IF(OR(H1051=$G$5,H1051=$G$6,H1051=$G$7,H1051=$G$8,H1051=$G$9,H1051=$G$10,H1051=$G$11,H1051=$G$12,H1051=$G$13,H1051=$G$14),SottocategorieUscite[[#Headers],[Utenze]],IF(OR(H1051=$H$5,H1051=$H$6,H1051=$H$7,H1051=$H$8,H1051=$H$9,H1051=$H$10,H1051=$H$11,H1051=$H$12,H1051=$H$13,H1051=$H$14),SottocategorieUscite[[#Headers],[Business Uscite]],IF(OR(H1051=$I$5,H1051=$I$6,H1051=$I$7,H1051=$I$8,H1051=$I$9,H1051=$I$10,H1051=$I$11,H1051=$I$12,H1051=$I$13,H1051=$I$14),SottocategorieUscite[[#Headers],[Banca]],IF(OR(H1051=K$5,H1051=K$6,H1051=K$7,H1051=K$8,H1051=K$9,H1051=K$10,H1051=K$11,H1051=K$12,H1051=K$13,H1051=K$14),SottocategorieEntrate[[#Headers],[Business Entrate]],IF(OR(H1051=L$5,H1051=L$6,H1051=L$7,H1051=L$8,H1051=L$9,H1051=L$10,H1051=L$11,H1051=L$12,H1051=L$13,H1051=L$14),SottocategorieEntrate[[#Headers],[Varie Entrate]],IF(OR(H1051=M$5,H1051=M$6,H1051=M$7,H1051=M$8,H1051=M$9,H1051=M$10,H1051=M$11,H1051=M$12,H1051=M$13,H1051=M$14),SottocategorieEntrate[[#Headers],[Real Estate]],IF(OR(H1051=N$5,H1051=N$6,H1051=N$7,H1051=N$8,H1051=N$9,H1051=N$10,H1051=N$11,H1051=N$12,H1051=N$13,H1051=N$14),SottocategorieEntrate[[#Headers],[Other]],""))))))))))))</f>
        <v/>
      </c>
      <c r="J1051" t="str">
        <f>IF(OR(Dati[[#This Row],[Categoria]]="Bollette",Dati[[#This Row],[Categoria]]="Conto &amp; Carte BNL",Dati[[#This Row],[Categoria]]="Prelievo",Dati[[#This Row],[Categoria]]="Affitto",Dati[[#This Row],[Categoria]]="BNL(Interessi Creditori)"),"Carta",IF(Dati[[#This Row],[Categoria]]&lt;&gt;0,"Cash",""))</f>
        <v/>
      </c>
      <c r="K1051" s="59" t="str">
        <f>IF(OR(Data!$I1051=SottocategorieUscite[[#Headers],[Fuori Casa]],Data!$I1051=SottocategorieUscite[[#Headers],[Varie Uscite]],Data!$I1051=SottocategorieUscite[[#Headers],[Personali]],Data!$I1051=SottocategorieUscite[[#Headers],[Lavoro]]),"$ -","")</f>
        <v/>
      </c>
      <c r="L1051" s="59" t="str">
        <f>IF(OR(Data!$I1051=SottocategorieUscite[[#Headers],[Casa]],Data!$I1051=SottocategorieUscite[[#Headers],[Utenze]],Data!$I1051=SottocategorieUscite[[#Headers],[Business Uscite]],Data!$I1051=SottocategorieUscite[[#Headers],[Banca]]),"$ -","")</f>
        <v/>
      </c>
      <c r="M1051" s="59" t="str">
        <f>IF(OR($I1051&lt;&gt;SottocategorieUscite[[#Headers],[Fuori Casa]],$I1051&lt;&gt;SottocategorieUscite[[#Headers],[Varie Uscite]],$I1051&lt;&gt;SottocategorieUscite[[#Headers],[Personali]],$I1051&lt;&gt;SottocategorieUscite[[#Headers],[Lavoro]],$I1051&lt;&gt;SottocategorieUscite[[#Headers],[Casa]],$I1051&lt;&gt;SottocategorieUscite[[#Headers],[Utenze]],$I1051&lt;&gt;SottocategorieUscite[[#Headers],[Business Uscite]],$I1051&lt;&gt;SottocategorieUscite[[#Headers],[Banca]]),"","$ -")</f>
        <v/>
      </c>
      <c r="N1051" s="59" t="str">
        <f>IF(OR(Data!$I1051=SottocategorieEntrate[[#Headers],[Business Entrate]],Data!$I1051=SottocategorieEntrate[[#Headers],[Varie Entrate]]),"$ -","")</f>
        <v/>
      </c>
      <c r="O1051" s="59" t="str">
        <f>IF(OR(Data!$I1051=SottocategorieEntrate[[#Headers],[Real Estate]],SottocategorieEntrate[[#Headers],[Other]]),"$ -","")</f>
        <v/>
      </c>
      <c r="P1051" s="59" t="str">
        <f>IF(OR($I1051&lt;&gt;SottocategorieEntrate[[#Headers],[Business Entrate]],$I1051&lt;&gt;SottocategorieEntrate[[#Headers],[Varie Entrate]],$I1051&lt;&gt;SottocategorieEntrate[[#Headers],[Real Estate]],$I1051&lt;&gt;SottocategorieEntrate[[#Headers],[Other]]),"","$ -")</f>
        <v/>
      </c>
      <c r="Q1051" s="59" t="str">
        <f>IF(Dati[[#This Row],[Categoria]]="Prelievo","€ -","")</f>
        <v/>
      </c>
      <c r="R1051" s="244"/>
      <c r="S1051" s="59" t="str">
        <f>IF(Dati[[#This Row],[Categoria]]="Savings",0,"")</f>
        <v/>
      </c>
      <c r="T1051" s="59"/>
      <c r="U1051" s="59"/>
      <c r="V1051" s="59"/>
      <c r="W1051" s="59"/>
      <c r="X1051" s="59"/>
      <c r="Y1051" s="59"/>
      <c r="Z1051" s="59"/>
      <c r="AA1051" s="59"/>
      <c r="AB1051" s="59"/>
      <c r="AC1051" s="59"/>
      <c r="AD1051" s="59"/>
      <c r="AE1051" s="59"/>
      <c r="AF1051" s="59"/>
      <c r="AG1051" s="59"/>
      <c r="AH1051" s="59"/>
      <c r="AI1051" s="59" t="str">
        <f>IF(SUM(Dati[[#This Row],[Inv. Business]:[Inv. Cryptocurrency]])=0," ",SUM(Dati[[#This Row],[Inv. Business]:[Inv. Cryptocurrency]]))</f>
        <v xml:space="preserve"> </v>
      </c>
      <c r="AJ1051" s="59"/>
      <c r="AK1051" s="59" t="str">
        <f>IF(SUM(Dati[[#This Row],[Inv. Gold]:[Mutuo]])=0," ",SUM(Dati[[#This Row],[Inv. Gold]:[Mutuo]]))</f>
        <v xml:space="preserve"> </v>
      </c>
      <c r="AL1051" s="59"/>
      <c r="AM1051" s="59"/>
    </row>
    <row r="1052" spans="2:39" x14ac:dyDescent="0.35">
      <c r="B1052" s="237">
        <f t="shared" si="55"/>
        <v>1027</v>
      </c>
      <c r="C1052" s="49">
        <f t="shared" si="53"/>
        <v>45664</v>
      </c>
      <c r="D1052" s="29">
        <f>DAY(Dati[[#This Row],[Data]])</f>
        <v>7</v>
      </c>
      <c r="E1052" s="29" t="str">
        <f>IF(DAY(Data!$C$21:$C$1327)&gt;0,TEXT(Data!$C$21:$C$1327, "mmmm"),"")</f>
        <v>gennaio</v>
      </c>
      <c r="F1052" s="29" t="str">
        <f>IF(DAY(Data!$C$21:$C$1327)&gt;0,TEXT(Data!$C$21:$C$1327, "aaaa"),"")</f>
        <v>2025</v>
      </c>
      <c r="I1052" t="str">
        <f>IF(OR(H1052=$B$5,H1052=$B$6,H1052=$B$7,H1052=$B$8,H1052=$B$9,H1052=$B$10,H1052=$B$11,H1052=$B$12,H1052=$B$13,H1052=$B$14),SottocategorieUscite[[#Headers],[Fuori Casa]],IF(OR(H1052=$C$5,H1052=$C$6,H1052=$C$7,H1052=$C$8,H1052=$C$9,H1052=$C$10,H1052=$C$11,H1052=$C$12,H1052=$C$13,H1052=$C$14),SottocategorieUscite[[#Headers],[Varie Uscite]],IF(OR(H1052=$D$5,H1052=$D$6,H1052=$D$7,H1052=$D$8,H1052=$D$9,H1052=$D$10,H1052=$D$11,H1052=$D$12,H1052=$D$13,H1052=$D$14),SottocategorieUscite[[#Headers],[Personali]],IF(OR(H1052=$E$5,H1052=$E$6,H1052=$E$7,H1052=$E$8,H1052=$E$9,H1052=$E$10,H1052=$E$11,H1052=$E$12,H1052=$E$13,H1052=$E$14),SottocategorieUscite[[#Headers],[Lavoro]],IF(OR(H1052=$F$5,H1052=$F$6,H1052=$F$7,H1052=$F$8,H1052=$F$9,H1052=$F$10,H1052=$F$11,H1052=$F$12,H1052=$F$13,H1052=$F$14),SottocategorieUscite[[#Headers],[Casa]],IF(OR(H1052=$G$5,H1052=$G$6,H1052=$G$7,H1052=$G$8,H1052=$G$9,H1052=$G$10,H1052=$G$11,H1052=$G$12,H1052=$G$13,H1052=$G$14),SottocategorieUscite[[#Headers],[Utenze]],IF(OR(H1052=$H$5,H1052=$H$6,H1052=$H$7,H1052=$H$8,H1052=$H$9,H1052=$H$10,H1052=$H$11,H1052=$H$12,H1052=$H$13,H1052=$H$14),SottocategorieUscite[[#Headers],[Business Uscite]],IF(OR(H1052=$I$5,H1052=$I$6,H1052=$I$7,H1052=$I$8,H1052=$I$9,H1052=$I$10,H1052=$I$11,H1052=$I$12,H1052=$I$13,H1052=$I$14),SottocategorieUscite[[#Headers],[Banca]],IF(OR(H1052=K$5,H1052=K$6,H1052=K$7,H1052=K$8,H1052=K$9,H1052=K$10,H1052=K$11,H1052=K$12,H1052=K$13,H1052=K$14),SottocategorieEntrate[[#Headers],[Business Entrate]],IF(OR(H1052=L$5,H1052=L$6,H1052=L$7,H1052=L$8,H1052=L$9,H1052=L$10,H1052=L$11,H1052=L$12,H1052=L$13,H1052=L$14),SottocategorieEntrate[[#Headers],[Varie Entrate]],IF(OR(H1052=M$5,H1052=M$6,H1052=M$7,H1052=M$8,H1052=M$9,H1052=M$10,H1052=M$11,H1052=M$12,H1052=M$13,H1052=M$14),SottocategorieEntrate[[#Headers],[Real Estate]],IF(OR(H1052=N$5,H1052=N$6,H1052=N$7,H1052=N$8,H1052=N$9,H1052=N$10,H1052=N$11,H1052=N$12,H1052=N$13,H1052=N$14),SottocategorieEntrate[[#Headers],[Other]],""))))))))))))</f>
        <v/>
      </c>
      <c r="J1052" t="str">
        <f>IF(OR(Dati[[#This Row],[Categoria]]="Bollette",Dati[[#This Row],[Categoria]]="Conto &amp; Carte BNL",Dati[[#This Row],[Categoria]]="Prelievo",Dati[[#This Row],[Categoria]]="Affitto",Dati[[#This Row],[Categoria]]="BNL(Interessi Creditori)"),"Carta",IF(Dati[[#This Row],[Categoria]]&lt;&gt;0,"Cash",""))</f>
        <v/>
      </c>
      <c r="K1052" s="59" t="str">
        <f>IF(OR(Data!$I1052=SottocategorieUscite[[#Headers],[Fuori Casa]],Data!$I1052=SottocategorieUscite[[#Headers],[Varie Uscite]],Data!$I1052=SottocategorieUscite[[#Headers],[Personali]],Data!$I1052=SottocategorieUscite[[#Headers],[Lavoro]]),"$ -","")</f>
        <v/>
      </c>
      <c r="L1052" s="59" t="str">
        <f>IF(OR(Data!$I1052=SottocategorieUscite[[#Headers],[Casa]],Data!$I1052=SottocategorieUscite[[#Headers],[Utenze]],Data!$I1052=SottocategorieUscite[[#Headers],[Business Uscite]],Data!$I1052=SottocategorieUscite[[#Headers],[Banca]]),"$ -","")</f>
        <v/>
      </c>
      <c r="M1052" s="59" t="str">
        <f>IF(OR($I1052&lt;&gt;SottocategorieUscite[[#Headers],[Fuori Casa]],$I1052&lt;&gt;SottocategorieUscite[[#Headers],[Varie Uscite]],$I1052&lt;&gt;SottocategorieUscite[[#Headers],[Personali]],$I1052&lt;&gt;SottocategorieUscite[[#Headers],[Lavoro]],$I1052&lt;&gt;SottocategorieUscite[[#Headers],[Casa]],$I1052&lt;&gt;SottocategorieUscite[[#Headers],[Utenze]],$I1052&lt;&gt;SottocategorieUscite[[#Headers],[Business Uscite]],$I1052&lt;&gt;SottocategorieUscite[[#Headers],[Banca]]),"","$ -")</f>
        <v/>
      </c>
      <c r="N1052" s="59" t="str">
        <f>IF(OR(Data!$I1052=SottocategorieEntrate[[#Headers],[Business Entrate]],Data!$I1052=SottocategorieEntrate[[#Headers],[Varie Entrate]]),"$ -","")</f>
        <v/>
      </c>
      <c r="O1052" s="59" t="str">
        <f>IF(OR(Data!$I1052=SottocategorieEntrate[[#Headers],[Real Estate]],SottocategorieEntrate[[#Headers],[Other]]),"$ -","")</f>
        <v/>
      </c>
      <c r="P1052" s="59" t="str">
        <f>IF(OR($I1052&lt;&gt;SottocategorieEntrate[[#Headers],[Business Entrate]],$I1052&lt;&gt;SottocategorieEntrate[[#Headers],[Varie Entrate]],$I1052&lt;&gt;SottocategorieEntrate[[#Headers],[Real Estate]],$I1052&lt;&gt;SottocategorieEntrate[[#Headers],[Other]]),"","$ -")</f>
        <v/>
      </c>
      <c r="Q1052" s="59" t="str">
        <f>IF(Dati[[#This Row],[Categoria]]="Prelievo","€ -","")</f>
        <v/>
      </c>
      <c r="R1052" s="244"/>
      <c r="S1052" s="59" t="str">
        <f>IF(Dati[[#This Row],[Categoria]]="Savings",0,"")</f>
        <v/>
      </c>
      <c r="T1052" s="59"/>
      <c r="U1052" s="59"/>
      <c r="V1052" s="59"/>
      <c r="W1052" s="59"/>
      <c r="X1052" s="59"/>
      <c r="Y1052" s="59"/>
      <c r="Z1052" s="59"/>
      <c r="AA1052" s="59"/>
      <c r="AB1052" s="59"/>
      <c r="AC1052" s="59"/>
      <c r="AD1052" s="59"/>
      <c r="AE1052" s="59"/>
      <c r="AF1052" s="59"/>
      <c r="AG1052" s="59"/>
      <c r="AH1052" s="59"/>
      <c r="AI1052" s="59" t="str">
        <f>IF(SUM(Dati[[#This Row],[Inv. Business]:[Inv. Cryptocurrency]])=0," ",SUM(Dati[[#This Row],[Inv. Business]:[Inv. Cryptocurrency]]))</f>
        <v xml:space="preserve"> </v>
      </c>
      <c r="AJ1052" s="59"/>
      <c r="AK1052" s="59" t="str">
        <f>IF(SUM(Dati[[#This Row],[Inv. Gold]:[Mutuo]])=0," ",SUM(Dati[[#This Row],[Inv. Gold]:[Mutuo]]))</f>
        <v xml:space="preserve"> </v>
      </c>
      <c r="AL1052" s="59"/>
      <c r="AM1052" s="59"/>
    </row>
    <row r="1053" spans="2:39" x14ac:dyDescent="0.35">
      <c r="B1053" s="237">
        <f t="shared" si="55"/>
        <v>1028</v>
      </c>
      <c r="C1053" s="49">
        <f t="shared" si="53"/>
        <v>45665</v>
      </c>
      <c r="D1053" s="29">
        <f>DAY(Dati[[#This Row],[Data]])</f>
        <v>8</v>
      </c>
      <c r="E1053" s="29" t="str">
        <f>IF(DAY(Data!$C$21:$C$1327)&gt;0,TEXT(Data!$C$21:$C$1327, "mmmm"),"")</f>
        <v>gennaio</v>
      </c>
      <c r="F1053" s="29" t="str">
        <f>IF(DAY(Data!$C$21:$C$1327)&gt;0,TEXT(Data!$C$21:$C$1327, "aaaa"),"")</f>
        <v>2025</v>
      </c>
      <c r="I1053" t="str">
        <f>IF(OR(H1053=$B$5,H1053=$B$6,H1053=$B$7,H1053=$B$8,H1053=$B$9,H1053=$B$10,H1053=$B$11,H1053=$B$12,H1053=$B$13,H1053=$B$14),SottocategorieUscite[[#Headers],[Fuori Casa]],IF(OR(H1053=$C$5,H1053=$C$6,H1053=$C$7,H1053=$C$8,H1053=$C$9,H1053=$C$10,H1053=$C$11,H1053=$C$12,H1053=$C$13,H1053=$C$14),SottocategorieUscite[[#Headers],[Varie Uscite]],IF(OR(H1053=$D$5,H1053=$D$6,H1053=$D$7,H1053=$D$8,H1053=$D$9,H1053=$D$10,H1053=$D$11,H1053=$D$12,H1053=$D$13,H1053=$D$14),SottocategorieUscite[[#Headers],[Personali]],IF(OR(H1053=$E$5,H1053=$E$6,H1053=$E$7,H1053=$E$8,H1053=$E$9,H1053=$E$10,H1053=$E$11,H1053=$E$12,H1053=$E$13,H1053=$E$14),SottocategorieUscite[[#Headers],[Lavoro]],IF(OR(H1053=$F$5,H1053=$F$6,H1053=$F$7,H1053=$F$8,H1053=$F$9,H1053=$F$10,H1053=$F$11,H1053=$F$12,H1053=$F$13,H1053=$F$14),SottocategorieUscite[[#Headers],[Casa]],IF(OR(H1053=$G$5,H1053=$G$6,H1053=$G$7,H1053=$G$8,H1053=$G$9,H1053=$G$10,H1053=$G$11,H1053=$G$12,H1053=$G$13,H1053=$G$14),SottocategorieUscite[[#Headers],[Utenze]],IF(OR(H1053=$H$5,H1053=$H$6,H1053=$H$7,H1053=$H$8,H1053=$H$9,H1053=$H$10,H1053=$H$11,H1053=$H$12,H1053=$H$13,H1053=$H$14),SottocategorieUscite[[#Headers],[Business Uscite]],IF(OR(H1053=$I$5,H1053=$I$6,H1053=$I$7,H1053=$I$8,H1053=$I$9,H1053=$I$10,H1053=$I$11,H1053=$I$12,H1053=$I$13,H1053=$I$14),SottocategorieUscite[[#Headers],[Banca]],IF(OR(H1053=K$5,H1053=K$6,H1053=K$7,H1053=K$8,H1053=K$9,H1053=K$10,H1053=K$11,H1053=K$12,H1053=K$13,H1053=K$14),SottocategorieEntrate[[#Headers],[Business Entrate]],IF(OR(H1053=L$5,H1053=L$6,H1053=L$7,H1053=L$8,H1053=L$9,H1053=L$10,H1053=L$11,H1053=L$12,H1053=L$13,H1053=L$14),SottocategorieEntrate[[#Headers],[Varie Entrate]],IF(OR(H1053=M$5,H1053=M$6,H1053=M$7,H1053=M$8,H1053=M$9,H1053=M$10,H1053=M$11,H1053=M$12,H1053=M$13,H1053=M$14),SottocategorieEntrate[[#Headers],[Real Estate]],IF(OR(H1053=N$5,H1053=N$6,H1053=N$7,H1053=N$8,H1053=N$9,H1053=N$10,H1053=N$11,H1053=N$12,H1053=N$13,H1053=N$14),SottocategorieEntrate[[#Headers],[Other]],""))))))))))))</f>
        <v/>
      </c>
      <c r="J1053" t="str">
        <f>IF(OR(Dati[[#This Row],[Categoria]]="Bollette",Dati[[#This Row],[Categoria]]="Conto &amp; Carte BNL",Dati[[#This Row],[Categoria]]="Prelievo",Dati[[#This Row],[Categoria]]="Affitto",Dati[[#This Row],[Categoria]]="BNL(Interessi Creditori)"),"Carta",IF(Dati[[#This Row],[Categoria]]&lt;&gt;0,"Cash",""))</f>
        <v/>
      </c>
      <c r="K1053" s="59" t="str">
        <f>IF(OR(Data!$I1053=SottocategorieUscite[[#Headers],[Fuori Casa]],Data!$I1053=SottocategorieUscite[[#Headers],[Varie Uscite]],Data!$I1053=SottocategorieUscite[[#Headers],[Personali]],Data!$I1053=SottocategorieUscite[[#Headers],[Lavoro]]),"$ -","")</f>
        <v/>
      </c>
      <c r="L1053" s="59" t="str">
        <f>IF(OR(Data!$I1053=SottocategorieUscite[[#Headers],[Casa]],Data!$I1053=SottocategorieUscite[[#Headers],[Utenze]],Data!$I1053=SottocategorieUscite[[#Headers],[Business Uscite]],Data!$I1053=SottocategorieUscite[[#Headers],[Banca]]),"$ -","")</f>
        <v/>
      </c>
      <c r="M1053" s="59" t="str">
        <f>IF(OR($I1053&lt;&gt;SottocategorieUscite[[#Headers],[Fuori Casa]],$I1053&lt;&gt;SottocategorieUscite[[#Headers],[Varie Uscite]],$I1053&lt;&gt;SottocategorieUscite[[#Headers],[Personali]],$I1053&lt;&gt;SottocategorieUscite[[#Headers],[Lavoro]],$I1053&lt;&gt;SottocategorieUscite[[#Headers],[Casa]],$I1053&lt;&gt;SottocategorieUscite[[#Headers],[Utenze]],$I1053&lt;&gt;SottocategorieUscite[[#Headers],[Business Uscite]],$I1053&lt;&gt;SottocategorieUscite[[#Headers],[Banca]]),"","$ -")</f>
        <v/>
      </c>
      <c r="N1053" s="59" t="str">
        <f>IF(OR(Data!$I1053=SottocategorieEntrate[[#Headers],[Business Entrate]],Data!$I1053=SottocategorieEntrate[[#Headers],[Varie Entrate]]),"$ -","")</f>
        <v/>
      </c>
      <c r="O1053" s="59" t="str">
        <f>IF(OR(Data!$I1053=SottocategorieEntrate[[#Headers],[Real Estate]],SottocategorieEntrate[[#Headers],[Other]]),"$ -","")</f>
        <v/>
      </c>
      <c r="P1053" s="59" t="str">
        <f>IF(OR($I1053&lt;&gt;SottocategorieEntrate[[#Headers],[Business Entrate]],$I1053&lt;&gt;SottocategorieEntrate[[#Headers],[Varie Entrate]],$I1053&lt;&gt;SottocategorieEntrate[[#Headers],[Real Estate]],$I1053&lt;&gt;SottocategorieEntrate[[#Headers],[Other]]),"","$ -")</f>
        <v/>
      </c>
      <c r="Q1053" s="59" t="str">
        <f>IF(Dati[[#This Row],[Categoria]]="Prelievo","€ -","")</f>
        <v/>
      </c>
      <c r="R1053" s="244"/>
      <c r="S1053" s="59" t="str">
        <f>IF(Dati[[#This Row],[Categoria]]="Savings",0,"")</f>
        <v/>
      </c>
      <c r="T1053" s="59"/>
      <c r="U1053" s="59"/>
      <c r="V1053" s="59"/>
      <c r="W1053" s="59"/>
      <c r="X1053" s="59"/>
      <c r="Y1053" s="59"/>
      <c r="Z1053" s="59"/>
      <c r="AA1053" s="59"/>
      <c r="AB1053" s="59"/>
      <c r="AC1053" s="59"/>
      <c r="AD1053" s="59"/>
      <c r="AE1053" s="59"/>
      <c r="AF1053" s="59"/>
      <c r="AG1053" s="59"/>
      <c r="AH1053" s="59"/>
      <c r="AI1053" s="59" t="str">
        <f>IF(SUM(Dati[[#This Row],[Inv. Business]:[Inv. Cryptocurrency]])=0," ",SUM(Dati[[#This Row],[Inv. Business]:[Inv. Cryptocurrency]]))</f>
        <v xml:space="preserve"> </v>
      </c>
      <c r="AJ1053" s="59"/>
      <c r="AK1053" s="59" t="str">
        <f>IF(SUM(Dati[[#This Row],[Inv. Gold]:[Mutuo]])=0," ",SUM(Dati[[#This Row],[Inv. Gold]:[Mutuo]]))</f>
        <v xml:space="preserve"> </v>
      </c>
      <c r="AL1053" s="59"/>
      <c r="AM1053" s="59"/>
    </row>
    <row r="1054" spans="2:39" x14ac:dyDescent="0.35">
      <c r="B1054" s="237">
        <f t="shared" si="55"/>
        <v>1029</v>
      </c>
      <c r="C1054" s="49">
        <f t="shared" si="53"/>
        <v>45666</v>
      </c>
      <c r="D1054" s="29">
        <f>DAY(Dati[[#This Row],[Data]])</f>
        <v>9</v>
      </c>
      <c r="E1054" s="29" t="str">
        <f>IF(DAY(Data!$C$21:$C$1327)&gt;0,TEXT(Data!$C$21:$C$1327, "mmmm"),"")</f>
        <v>gennaio</v>
      </c>
      <c r="F1054" s="29" t="str">
        <f>IF(DAY(Data!$C$21:$C$1327)&gt;0,TEXT(Data!$C$21:$C$1327, "aaaa"),"")</f>
        <v>2025</v>
      </c>
      <c r="I1054" t="str">
        <f>IF(OR(H1054=$B$5,H1054=$B$6,H1054=$B$7,H1054=$B$8,H1054=$B$9,H1054=$B$10,H1054=$B$11,H1054=$B$12,H1054=$B$13,H1054=$B$14),SottocategorieUscite[[#Headers],[Fuori Casa]],IF(OR(H1054=$C$5,H1054=$C$6,H1054=$C$7,H1054=$C$8,H1054=$C$9,H1054=$C$10,H1054=$C$11,H1054=$C$12,H1054=$C$13,H1054=$C$14),SottocategorieUscite[[#Headers],[Varie Uscite]],IF(OR(H1054=$D$5,H1054=$D$6,H1054=$D$7,H1054=$D$8,H1054=$D$9,H1054=$D$10,H1054=$D$11,H1054=$D$12,H1054=$D$13,H1054=$D$14),SottocategorieUscite[[#Headers],[Personali]],IF(OR(H1054=$E$5,H1054=$E$6,H1054=$E$7,H1054=$E$8,H1054=$E$9,H1054=$E$10,H1054=$E$11,H1054=$E$12,H1054=$E$13,H1054=$E$14),SottocategorieUscite[[#Headers],[Lavoro]],IF(OR(H1054=$F$5,H1054=$F$6,H1054=$F$7,H1054=$F$8,H1054=$F$9,H1054=$F$10,H1054=$F$11,H1054=$F$12,H1054=$F$13,H1054=$F$14),SottocategorieUscite[[#Headers],[Casa]],IF(OR(H1054=$G$5,H1054=$G$6,H1054=$G$7,H1054=$G$8,H1054=$G$9,H1054=$G$10,H1054=$G$11,H1054=$G$12,H1054=$G$13,H1054=$G$14),SottocategorieUscite[[#Headers],[Utenze]],IF(OR(H1054=$H$5,H1054=$H$6,H1054=$H$7,H1054=$H$8,H1054=$H$9,H1054=$H$10,H1054=$H$11,H1054=$H$12,H1054=$H$13,H1054=$H$14),SottocategorieUscite[[#Headers],[Business Uscite]],IF(OR(H1054=$I$5,H1054=$I$6,H1054=$I$7,H1054=$I$8,H1054=$I$9,H1054=$I$10,H1054=$I$11,H1054=$I$12,H1054=$I$13,H1054=$I$14),SottocategorieUscite[[#Headers],[Banca]],IF(OR(H1054=K$5,H1054=K$6,H1054=K$7,H1054=K$8,H1054=K$9,H1054=K$10,H1054=K$11,H1054=K$12,H1054=K$13,H1054=K$14),SottocategorieEntrate[[#Headers],[Business Entrate]],IF(OR(H1054=L$5,H1054=L$6,H1054=L$7,H1054=L$8,H1054=L$9,H1054=L$10,H1054=L$11,H1054=L$12,H1054=L$13,H1054=L$14),SottocategorieEntrate[[#Headers],[Varie Entrate]],IF(OR(H1054=M$5,H1054=M$6,H1054=M$7,H1054=M$8,H1054=M$9,H1054=M$10,H1054=M$11,H1054=M$12,H1054=M$13,H1054=M$14),SottocategorieEntrate[[#Headers],[Real Estate]],IF(OR(H1054=N$5,H1054=N$6,H1054=N$7,H1054=N$8,H1054=N$9,H1054=N$10,H1054=N$11,H1054=N$12,H1054=N$13,H1054=N$14),SottocategorieEntrate[[#Headers],[Other]],""))))))))))))</f>
        <v/>
      </c>
      <c r="J1054" t="str">
        <f>IF(OR(Dati[[#This Row],[Categoria]]="Bollette",Dati[[#This Row],[Categoria]]="Conto &amp; Carte BNL",Dati[[#This Row],[Categoria]]="Prelievo",Dati[[#This Row],[Categoria]]="Affitto",Dati[[#This Row],[Categoria]]="BNL(Interessi Creditori)"),"Carta",IF(Dati[[#This Row],[Categoria]]&lt;&gt;0,"Cash",""))</f>
        <v/>
      </c>
      <c r="K1054" s="59" t="str">
        <f>IF(OR(Data!$I1054=SottocategorieUscite[[#Headers],[Fuori Casa]],Data!$I1054=SottocategorieUscite[[#Headers],[Varie Uscite]],Data!$I1054=SottocategorieUscite[[#Headers],[Personali]],Data!$I1054=SottocategorieUscite[[#Headers],[Lavoro]]),"$ -","")</f>
        <v/>
      </c>
      <c r="L1054" s="59" t="str">
        <f>IF(OR(Data!$I1054=SottocategorieUscite[[#Headers],[Casa]],Data!$I1054=SottocategorieUscite[[#Headers],[Utenze]],Data!$I1054=SottocategorieUscite[[#Headers],[Business Uscite]],Data!$I1054=SottocategorieUscite[[#Headers],[Banca]]),"$ -","")</f>
        <v/>
      </c>
      <c r="M1054" s="59" t="str">
        <f>IF(OR($I1054&lt;&gt;SottocategorieUscite[[#Headers],[Fuori Casa]],$I1054&lt;&gt;SottocategorieUscite[[#Headers],[Varie Uscite]],$I1054&lt;&gt;SottocategorieUscite[[#Headers],[Personali]],$I1054&lt;&gt;SottocategorieUscite[[#Headers],[Lavoro]],$I1054&lt;&gt;SottocategorieUscite[[#Headers],[Casa]],$I1054&lt;&gt;SottocategorieUscite[[#Headers],[Utenze]],$I1054&lt;&gt;SottocategorieUscite[[#Headers],[Business Uscite]],$I1054&lt;&gt;SottocategorieUscite[[#Headers],[Banca]]),"","$ -")</f>
        <v/>
      </c>
      <c r="N1054" s="59" t="str">
        <f>IF(OR(Data!$I1054=SottocategorieEntrate[[#Headers],[Business Entrate]],Data!$I1054=SottocategorieEntrate[[#Headers],[Varie Entrate]]),"$ -","")</f>
        <v/>
      </c>
      <c r="O1054" s="59" t="str">
        <f>IF(OR(Data!$I1054=SottocategorieEntrate[[#Headers],[Real Estate]],SottocategorieEntrate[[#Headers],[Other]]),"$ -","")</f>
        <v/>
      </c>
      <c r="P1054" s="59" t="str">
        <f>IF(OR($I1054&lt;&gt;SottocategorieEntrate[[#Headers],[Business Entrate]],$I1054&lt;&gt;SottocategorieEntrate[[#Headers],[Varie Entrate]],$I1054&lt;&gt;SottocategorieEntrate[[#Headers],[Real Estate]],$I1054&lt;&gt;SottocategorieEntrate[[#Headers],[Other]]),"","$ -")</f>
        <v/>
      </c>
      <c r="Q1054" s="59" t="str">
        <f>IF(Dati[[#This Row],[Categoria]]="Prelievo","€ -","")</f>
        <v/>
      </c>
      <c r="R1054" s="244"/>
      <c r="S1054" s="59" t="str">
        <f>IF(Dati[[#This Row],[Categoria]]="Savings",0,"")</f>
        <v/>
      </c>
      <c r="T1054" s="59"/>
      <c r="U1054" s="59"/>
      <c r="V1054" s="59"/>
      <c r="W1054" s="59"/>
      <c r="X1054" s="59"/>
      <c r="Y1054" s="59"/>
      <c r="Z1054" s="59"/>
      <c r="AA1054" s="59"/>
      <c r="AB1054" s="59"/>
      <c r="AC1054" s="59"/>
      <c r="AD1054" s="59"/>
      <c r="AE1054" s="59"/>
      <c r="AF1054" s="59"/>
      <c r="AG1054" s="59"/>
      <c r="AH1054" s="59"/>
      <c r="AI1054" s="59" t="str">
        <f>IF(SUM(Dati[[#This Row],[Inv. Business]:[Inv. Cryptocurrency]])=0," ",SUM(Dati[[#This Row],[Inv. Business]:[Inv. Cryptocurrency]]))</f>
        <v xml:space="preserve"> </v>
      </c>
      <c r="AJ1054" s="59"/>
      <c r="AK1054" s="59" t="str">
        <f>IF(SUM(Dati[[#This Row],[Inv. Gold]:[Mutuo]])=0," ",SUM(Dati[[#This Row],[Inv. Gold]:[Mutuo]]))</f>
        <v xml:space="preserve"> </v>
      </c>
      <c r="AL1054" s="59"/>
      <c r="AM1054" s="59"/>
    </row>
    <row r="1055" spans="2:39" x14ac:dyDescent="0.35">
      <c r="B1055" s="237">
        <f t="shared" si="55"/>
        <v>1030</v>
      </c>
      <c r="C1055" s="49">
        <f t="shared" si="53"/>
        <v>45667</v>
      </c>
      <c r="D1055" s="29">
        <f>DAY(Dati[[#This Row],[Data]])</f>
        <v>10</v>
      </c>
      <c r="E1055" s="29" t="str">
        <f>IF(DAY(Data!$C$21:$C$1327)&gt;0,TEXT(Data!$C$21:$C$1327, "mmmm"),"")</f>
        <v>gennaio</v>
      </c>
      <c r="F1055" s="29" t="str">
        <f>IF(DAY(Data!$C$21:$C$1327)&gt;0,TEXT(Data!$C$21:$C$1327, "aaaa"),"")</f>
        <v>2025</v>
      </c>
      <c r="I1055" t="str">
        <f>IF(OR(H1055=$B$5,H1055=$B$6,H1055=$B$7,H1055=$B$8,H1055=$B$9,H1055=$B$10,H1055=$B$11,H1055=$B$12,H1055=$B$13,H1055=$B$14),SottocategorieUscite[[#Headers],[Fuori Casa]],IF(OR(H1055=$C$5,H1055=$C$6,H1055=$C$7,H1055=$C$8,H1055=$C$9,H1055=$C$10,H1055=$C$11,H1055=$C$12,H1055=$C$13,H1055=$C$14),SottocategorieUscite[[#Headers],[Varie Uscite]],IF(OR(H1055=$D$5,H1055=$D$6,H1055=$D$7,H1055=$D$8,H1055=$D$9,H1055=$D$10,H1055=$D$11,H1055=$D$12,H1055=$D$13,H1055=$D$14),SottocategorieUscite[[#Headers],[Personali]],IF(OR(H1055=$E$5,H1055=$E$6,H1055=$E$7,H1055=$E$8,H1055=$E$9,H1055=$E$10,H1055=$E$11,H1055=$E$12,H1055=$E$13,H1055=$E$14),SottocategorieUscite[[#Headers],[Lavoro]],IF(OR(H1055=$F$5,H1055=$F$6,H1055=$F$7,H1055=$F$8,H1055=$F$9,H1055=$F$10,H1055=$F$11,H1055=$F$12,H1055=$F$13,H1055=$F$14),SottocategorieUscite[[#Headers],[Casa]],IF(OR(H1055=$G$5,H1055=$G$6,H1055=$G$7,H1055=$G$8,H1055=$G$9,H1055=$G$10,H1055=$G$11,H1055=$G$12,H1055=$G$13,H1055=$G$14),SottocategorieUscite[[#Headers],[Utenze]],IF(OR(H1055=$H$5,H1055=$H$6,H1055=$H$7,H1055=$H$8,H1055=$H$9,H1055=$H$10,H1055=$H$11,H1055=$H$12,H1055=$H$13,H1055=$H$14),SottocategorieUscite[[#Headers],[Business Uscite]],IF(OR(H1055=$I$5,H1055=$I$6,H1055=$I$7,H1055=$I$8,H1055=$I$9,H1055=$I$10,H1055=$I$11,H1055=$I$12,H1055=$I$13,H1055=$I$14),SottocategorieUscite[[#Headers],[Banca]],IF(OR(H1055=K$5,H1055=K$6,H1055=K$7,H1055=K$8,H1055=K$9,H1055=K$10,H1055=K$11,H1055=K$12,H1055=K$13,H1055=K$14),SottocategorieEntrate[[#Headers],[Business Entrate]],IF(OR(H1055=L$5,H1055=L$6,H1055=L$7,H1055=L$8,H1055=L$9,H1055=L$10,H1055=L$11,H1055=L$12,H1055=L$13,H1055=L$14),SottocategorieEntrate[[#Headers],[Varie Entrate]],IF(OR(H1055=M$5,H1055=M$6,H1055=M$7,H1055=M$8,H1055=M$9,H1055=M$10,H1055=M$11,H1055=M$12,H1055=M$13,H1055=M$14),SottocategorieEntrate[[#Headers],[Real Estate]],IF(OR(H1055=N$5,H1055=N$6,H1055=N$7,H1055=N$8,H1055=N$9,H1055=N$10,H1055=N$11,H1055=N$12,H1055=N$13,H1055=N$14),SottocategorieEntrate[[#Headers],[Other]],""))))))))))))</f>
        <v/>
      </c>
      <c r="J1055" t="str">
        <f>IF(OR(Dati[[#This Row],[Categoria]]="Bollette",Dati[[#This Row],[Categoria]]="Conto &amp; Carte BNL",Dati[[#This Row],[Categoria]]="Prelievo",Dati[[#This Row],[Categoria]]="Affitto",Dati[[#This Row],[Categoria]]="BNL(Interessi Creditori)"),"Carta",IF(Dati[[#This Row],[Categoria]]&lt;&gt;0,"Cash",""))</f>
        <v/>
      </c>
      <c r="K1055" s="59" t="str">
        <f>IF(OR(Data!$I1055=SottocategorieUscite[[#Headers],[Fuori Casa]],Data!$I1055=SottocategorieUscite[[#Headers],[Varie Uscite]],Data!$I1055=SottocategorieUscite[[#Headers],[Personali]],Data!$I1055=SottocategorieUscite[[#Headers],[Lavoro]]),"$ -","")</f>
        <v/>
      </c>
      <c r="L1055" s="59" t="str">
        <f>IF(OR(Data!$I1055=SottocategorieUscite[[#Headers],[Casa]],Data!$I1055=SottocategorieUscite[[#Headers],[Utenze]],Data!$I1055=SottocategorieUscite[[#Headers],[Business Uscite]],Data!$I1055=SottocategorieUscite[[#Headers],[Banca]]),"$ -","")</f>
        <v/>
      </c>
      <c r="M1055" s="59" t="str">
        <f>IF(OR($I1055&lt;&gt;SottocategorieUscite[[#Headers],[Fuori Casa]],$I1055&lt;&gt;SottocategorieUscite[[#Headers],[Varie Uscite]],$I1055&lt;&gt;SottocategorieUscite[[#Headers],[Personali]],$I1055&lt;&gt;SottocategorieUscite[[#Headers],[Lavoro]],$I1055&lt;&gt;SottocategorieUscite[[#Headers],[Casa]],$I1055&lt;&gt;SottocategorieUscite[[#Headers],[Utenze]],$I1055&lt;&gt;SottocategorieUscite[[#Headers],[Business Uscite]],$I1055&lt;&gt;SottocategorieUscite[[#Headers],[Banca]]),"","$ -")</f>
        <v/>
      </c>
      <c r="N1055" s="59" t="str">
        <f>IF(OR(Data!$I1055=SottocategorieEntrate[[#Headers],[Business Entrate]],Data!$I1055=SottocategorieEntrate[[#Headers],[Varie Entrate]]),"$ -","")</f>
        <v/>
      </c>
      <c r="O1055" s="59" t="str">
        <f>IF(OR(Data!$I1055=SottocategorieEntrate[[#Headers],[Real Estate]],SottocategorieEntrate[[#Headers],[Other]]),"$ -","")</f>
        <v/>
      </c>
      <c r="P1055" s="59" t="str">
        <f>IF(OR($I1055&lt;&gt;SottocategorieEntrate[[#Headers],[Business Entrate]],$I1055&lt;&gt;SottocategorieEntrate[[#Headers],[Varie Entrate]],$I1055&lt;&gt;SottocategorieEntrate[[#Headers],[Real Estate]],$I1055&lt;&gt;SottocategorieEntrate[[#Headers],[Other]]),"","$ -")</f>
        <v/>
      </c>
      <c r="Q1055" s="59" t="str">
        <f>IF(Dati[[#This Row],[Categoria]]="Prelievo","€ -","")</f>
        <v/>
      </c>
      <c r="R1055" s="244"/>
      <c r="S1055" s="59" t="str">
        <f>IF(Dati[[#This Row],[Categoria]]="Savings",0,"")</f>
        <v/>
      </c>
      <c r="T1055" s="59"/>
      <c r="U1055" s="59"/>
      <c r="V1055" s="59"/>
      <c r="W1055" s="59"/>
      <c r="X1055" s="59"/>
      <c r="Y1055" s="59"/>
      <c r="Z1055" s="59"/>
      <c r="AA1055" s="59"/>
      <c r="AB1055" s="59"/>
      <c r="AC1055" s="59"/>
      <c r="AD1055" s="59"/>
      <c r="AE1055" s="59"/>
      <c r="AF1055" s="59"/>
      <c r="AG1055" s="59"/>
      <c r="AH1055" s="59"/>
      <c r="AI1055" s="59" t="str">
        <f>IF(SUM(Dati[[#This Row],[Inv. Business]:[Inv. Cryptocurrency]])=0," ",SUM(Dati[[#This Row],[Inv. Business]:[Inv. Cryptocurrency]]))</f>
        <v xml:space="preserve"> </v>
      </c>
      <c r="AJ1055" s="59"/>
      <c r="AK1055" s="59" t="str">
        <f>IF(SUM(Dati[[#This Row],[Inv. Gold]:[Mutuo]])=0," ",SUM(Dati[[#This Row],[Inv. Gold]:[Mutuo]]))</f>
        <v xml:space="preserve"> </v>
      </c>
      <c r="AL1055" s="59"/>
      <c r="AM1055" s="59"/>
    </row>
    <row r="1056" spans="2:39" x14ac:dyDescent="0.35">
      <c r="B1056" s="237">
        <f t="shared" si="55"/>
        <v>1031</v>
      </c>
      <c r="C1056" s="49">
        <f t="shared" si="53"/>
        <v>45668</v>
      </c>
      <c r="D1056" s="29">
        <f>DAY(Dati[[#This Row],[Data]])</f>
        <v>11</v>
      </c>
      <c r="E1056" s="29" t="str">
        <f>IF(DAY(Data!$C$21:$C$1327)&gt;0,TEXT(Data!$C$21:$C$1327, "mmmm"),"")</f>
        <v>gennaio</v>
      </c>
      <c r="F1056" s="29" t="str">
        <f>IF(DAY(Data!$C$21:$C$1327)&gt;0,TEXT(Data!$C$21:$C$1327, "aaaa"),"")</f>
        <v>2025</v>
      </c>
      <c r="I1056" t="str">
        <f>IF(OR(H1056=$B$5,H1056=$B$6,H1056=$B$7,H1056=$B$8,H1056=$B$9,H1056=$B$10,H1056=$B$11,H1056=$B$12,H1056=$B$13,H1056=$B$14),SottocategorieUscite[[#Headers],[Fuori Casa]],IF(OR(H1056=$C$5,H1056=$C$6,H1056=$C$7,H1056=$C$8,H1056=$C$9,H1056=$C$10,H1056=$C$11,H1056=$C$12,H1056=$C$13,H1056=$C$14),SottocategorieUscite[[#Headers],[Varie Uscite]],IF(OR(H1056=$D$5,H1056=$D$6,H1056=$D$7,H1056=$D$8,H1056=$D$9,H1056=$D$10,H1056=$D$11,H1056=$D$12,H1056=$D$13,H1056=$D$14),SottocategorieUscite[[#Headers],[Personali]],IF(OR(H1056=$E$5,H1056=$E$6,H1056=$E$7,H1056=$E$8,H1056=$E$9,H1056=$E$10,H1056=$E$11,H1056=$E$12,H1056=$E$13,H1056=$E$14),SottocategorieUscite[[#Headers],[Lavoro]],IF(OR(H1056=$F$5,H1056=$F$6,H1056=$F$7,H1056=$F$8,H1056=$F$9,H1056=$F$10,H1056=$F$11,H1056=$F$12,H1056=$F$13,H1056=$F$14),SottocategorieUscite[[#Headers],[Casa]],IF(OR(H1056=$G$5,H1056=$G$6,H1056=$G$7,H1056=$G$8,H1056=$G$9,H1056=$G$10,H1056=$G$11,H1056=$G$12,H1056=$G$13,H1056=$G$14),SottocategorieUscite[[#Headers],[Utenze]],IF(OR(H1056=$H$5,H1056=$H$6,H1056=$H$7,H1056=$H$8,H1056=$H$9,H1056=$H$10,H1056=$H$11,H1056=$H$12,H1056=$H$13,H1056=$H$14),SottocategorieUscite[[#Headers],[Business Uscite]],IF(OR(H1056=$I$5,H1056=$I$6,H1056=$I$7,H1056=$I$8,H1056=$I$9,H1056=$I$10,H1056=$I$11,H1056=$I$12,H1056=$I$13,H1056=$I$14),SottocategorieUscite[[#Headers],[Banca]],IF(OR(H1056=K$5,H1056=K$6,H1056=K$7,H1056=K$8,H1056=K$9,H1056=K$10,H1056=K$11,H1056=K$12,H1056=K$13,H1056=K$14),SottocategorieEntrate[[#Headers],[Business Entrate]],IF(OR(H1056=L$5,H1056=L$6,H1056=L$7,H1056=L$8,H1056=L$9,H1056=L$10,H1056=L$11,H1056=L$12,H1056=L$13,H1056=L$14),SottocategorieEntrate[[#Headers],[Varie Entrate]],IF(OR(H1056=M$5,H1056=M$6,H1056=M$7,H1056=M$8,H1056=M$9,H1056=M$10,H1056=M$11,H1056=M$12,H1056=M$13,H1056=M$14),SottocategorieEntrate[[#Headers],[Real Estate]],IF(OR(H1056=N$5,H1056=N$6,H1056=N$7,H1056=N$8,H1056=N$9,H1056=N$10,H1056=N$11,H1056=N$12,H1056=N$13,H1056=N$14),SottocategorieEntrate[[#Headers],[Other]],""))))))))))))</f>
        <v/>
      </c>
      <c r="J1056" t="str">
        <f>IF(OR(Dati[[#This Row],[Categoria]]="Bollette",Dati[[#This Row],[Categoria]]="Conto &amp; Carte BNL",Dati[[#This Row],[Categoria]]="Prelievo",Dati[[#This Row],[Categoria]]="Affitto",Dati[[#This Row],[Categoria]]="BNL(Interessi Creditori)"),"Carta",IF(Dati[[#This Row],[Categoria]]&lt;&gt;0,"Cash",""))</f>
        <v/>
      </c>
      <c r="K1056" s="59" t="str">
        <f>IF(OR(Data!$I1056=SottocategorieUscite[[#Headers],[Fuori Casa]],Data!$I1056=SottocategorieUscite[[#Headers],[Varie Uscite]],Data!$I1056=SottocategorieUscite[[#Headers],[Personali]],Data!$I1056=SottocategorieUscite[[#Headers],[Lavoro]]),"$ -","")</f>
        <v/>
      </c>
      <c r="L1056" s="59" t="str">
        <f>IF(OR(Data!$I1056=SottocategorieUscite[[#Headers],[Casa]],Data!$I1056=SottocategorieUscite[[#Headers],[Utenze]],Data!$I1056=SottocategorieUscite[[#Headers],[Business Uscite]],Data!$I1056=SottocategorieUscite[[#Headers],[Banca]]),"$ -","")</f>
        <v/>
      </c>
      <c r="M1056" s="59" t="str">
        <f>IF(OR($I1056&lt;&gt;SottocategorieUscite[[#Headers],[Fuori Casa]],$I1056&lt;&gt;SottocategorieUscite[[#Headers],[Varie Uscite]],$I1056&lt;&gt;SottocategorieUscite[[#Headers],[Personali]],$I1056&lt;&gt;SottocategorieUscite[[#Headers],[Lavoro]],$I1056&lt;&gt;SottocategorieUscite[[#Headers],[Casa]],$I1056&lt;&gt;SottocategorieUscite[[#Headers],[Utenze]],$I1056&lt;&gt;SottocategorieUscite[[#Headers],[Business Uscite]],$I1056&lt;&gt;SottocategorieUscite[[#Headers],[Banca]]),"","$ -")</f>
        <v/>
      </c>
      <c r="N1056" s="59" t="str">
        <f>IF(OR(Data!$I1056=SottocategorieEntrate[[#Headers],[Business Entrate]],Data!$I1056=SottocategorieEntrate[[#Headers],[Varie Entrate]]),"$ -","")</f>
        <v/>
      </c>
      <c r="O1056" s="59" t="str">
        <f>IF(OR(Data!$I1056=SottocategorieEntrate[[#Headers],[Real Estate]],SottocategorieEntrate[[#Headers],[Other]]),"$ -","")</f>
        <v/>
      </c>
      <c r="P1056" s="59" t="str">
        <f>IF(OR($I1056&lt;&gt;SottocategorieEntrate[[#Headers],[Business Entrate]],$I1056&lt;&gt;SottocategorieEntrate[[#Headers],[Varie Entrate]],$I1056&lt;&gt;SottocategorieEntrate[[#Headers],[Real Estate]],$I1056&lt;&gt;SottocategorieEntrate[[#Headers],[Other]]),"","$ -")</f>
        <v/>
      </c>
      <c r="Q1056" s="59" t="str">
        <f>IF(Dati[[#This Row],[Categoria]]="Prelievo","€ -","")</f>
        <v/>
      </c>
      <c r="R1056" s="244"/>
      <c r="S1056" s="59" t="str">
        <f>IF(Dati[[#This Row],[Categoria]]="Savings",0,"")</f>
        <v/>
      </c>
      <c r="T1056" s="59"/>
      <c r="U1056" s="59"/>
      <c r="V1056" s="59"/>
      <c r="W1056" s="59"/>
      <c r="X1056" s="59"/>
      <c r="Y1056" s="59"/>
      <c r="Z1056" s="59"/>
      <c r="AA1056" s="59"/>
      <c r="AB1056" s="59"/>
      <c r="AC1056" s="59"/>
      <c r="AD1056" s="59"/>
      <c r="AE1056" s="59"/>
      <c r="AF1056" s="59"/>
      <c r="AG1056" s="59"/>
      <c r="AH1056" s="59"/>
      <c r="AI1056" s="59" t="str">
        <f>IF(SUM(Dati[[#This Row],[Inv. Business]:[Inv. Cryptocurrency]])=0," ",SUM(Dati[[#This Row],[Inv. Business]:[Inv. Cryptocurrency]]))</f>
        <v xml:space="preserve"> </v>
      </c>
      <c r="AJ1056" s="59"/>
      <c r="AK1056" s="59" t="str">
        <f>IF(SUM(Dati[[#This Row],[Inv. Gold]:[Mutuo]])=0," ",SUM(Dati[[#This Row],[Inv. Gold]:[Mutuo]]))</f>
        <v xml:space="preserve"> </v>
      </c>
      <c r="AL1056" s="59"/>
      <c r="AM1056" s="59"/>
    </row>
    <row r="1057" spans="2:39" x14ac:dyDescent="0.35">
      <c r="B1057" s="237">
        <f t="shared" si="55"/>
        <v>1032</v>
      </c>
      <c r="C1057" s="49">
        <f t="shared" si="53"/>
        <v>45669</v>
      </c>
      <c r="D1057" s="29">
        <f>DAY(Dati[[#This Row],[Data]])</f>
        <v>12</v>
      </c>
      <c r="E1057" s="29" t="str">
        <f>IF(DAY(Data!$C$21:$C$1327)&gt;0,TEXT(Data!$C$21:$C$1327, "mmmm"),"")</f>
        <v>gennaio</v>
      </c>
      <c r="F1057" s="29" t="str">
        <f>IF(DAY(Data!$C$21:$C$1327)&gt;0,TEXT(Data!$C$21:$C$1327, "aaaa"),"")</f>
        <v>2025</v>
      </c>
      <c r="I1057" t="str">
        <f>IF(OR(H1057=$B$5,H1057=$B$6,H1057=$B$7,H1057=$B$8,H1057=$B$9,H1057=$B$10,H1057=$B$11,H1057=$B$12,H1057=$B$13,H1057=$B$14),SottocategorieUscite[[#Headers],[Fuori Casa]],IF(OR(H1057=$C$5,H1057=$C$6,H1057=$C$7,H1057=$C$8,H1057=$C$9,H1057=$C$10,H1057=$C$11,H1057=$C$12,H1057=$C$13,H1057=$C$14),SottocategorieUscite[[#Headers],[Varie Uscite]],IF(OR(H1057=$D$5,H1057=$D$6,H1057=$D$7,H1057=$D$8,H1057=$D$9,H1057=$D$10,H1057=$D$11,H1057=$D$12,H1057=$D$13,H1057=$D$14),SottocategorieUscite[[#Headers],[Personali]],IF(OR(H1057=$E$5,H1057=$E$6,H1057=$E$7,H1057=$E$8,H1057=$E$9,H1057=$E$10,H1057=$E$11,H1057=$E$12,H1057=$E$13,H1057=$E$14),SottocategorieUscite[[#Headers],[Lavoro]],IF(OR(H1057=$F$5,H1057=$F$6,H1057=$F$7,H1057=$F$8,H1057=$F$9,H1057=$F$10,H1057=$F$11,H1057=$F$12,H1057=$F$13,H1057=$F$14),SottocategorieUscite[[#Headers],[Casa]],IF(OR(H1057=$G$5,H1057=$G$6,H1057=$G$7,H1057=$G$8,H1057=$G$9,H1057=$G$10,H1057=$G$11,H1057=$G$12,H1057=$G$13,H1057=$G$14),SottocategorieUscite[[#Headers],[Utenze]],IF(OR(H1057=$H$5,H1057=$H$6,H1057=$H$7,H1057=$H$8,H1057=$H$9,H1057=$H$10,H1057=$H$11,H1057=$H$12,H1057=$H$13,H1057=$H$14),SottocategorieUscite[[#Headers],[Business Uscite]],IF(OR(H1057=$I$5,H1057=$I$6,H1057=$I$7,H1057=$I$8,H1057=$I$9,H1057=$I$10,H1057=$I$11,H1057=$I$12,H1057=$I$13,H1057=$I$14),SottocategorieUscite[[#Headers],[Banca]],IF(OR(H1057=K$5,H1057=K$6,H1057=K$7,H1057=K$8,H1057=K$9,H1057=K$10,H1057=K$11,H1057=K$12,H1057=K$13,H1057=K$14),SottocategorieEntrate[[#Headers],[Business Entrate]],IF(OR(H1057=L$5,H1057=L$6,H1057=L$7,H1057=L$8,H1057=L$9,H1057=L$10,H1057=L$11,H1057=L$12,H1057=L$13,H1057=L$14),SottocategorieEntrate[[#Headers],[Varie Entrate]],IF(OR(H1057=M$5,H1057=M$6,H1057=M$7,H1057=M$8,H1057=M$9,H1057=M$10,H1057=M$11,H1057=M$12,H1057=M$13,H1057=M$14),SottocategorieEntrate[[#Headers],[Real Estate]],IF(OR(H1057=N$5,H1057=N$6,H1057=N$7,H1057=N$8,H1057=N$9,H1057=N$10,H1057=N$11,H1057=N$12,H1057=N$13,H1057=N$14),SottocategorieEntrate[[#Headers],[Other]],""))))))))))))</f>
        <v/>
      </c>
      <c r="J1057" t="str">
        <f>IF(OR(Dati[[#This Row],[Categoria]]="Bollette",Dati[[#This Row],[Categoria]]="Conto &amp; Carte BNL",Dati[[#This Row],[Categoria]]="Prelievo",Dati[[#This Row],[Categoria]]="Affitto",Dati[[#This Row],[Categoria]]="BNL(Interessi Creditori)"),"Carta",IF(Dati[[#This Row],[Categoria]]&lt;&gt;0,"Cash",""))</f>
        <v/>
      </c>
      <c r="K1057" s="59" t="str">
        <f>IF(OR(Data!$I1057=SottocategorieUscite[[#Headers],[Fuori Casa]],Data!$I1057=SottocategorieUscite[[#Headers],[Varie Uscite]],Data!$I1057=SottocategorieUscite[[#Headers],[Personali]],Data!$I1057=SottocategorieUscite[[#Headers],[Lavoro]]),"$ -","")</f>
        <v/>
      </c>
      <c r="L1057" s="59" t="str">
        <f>IF(OR(Data!$I1057=SottocategorieUscite[[#Headers],[Casa]],Data!$I1057=SottocategorieUscite[[#Headers],[Utenze]],Data!$I1057=SottocategorieUscite[[#Headers],[Business Uscite]],Data!$I1057=SottocategorieUscite[[#Headers],[Banca]]),"$ -","")</f>
        <v/>
      </c>
      <c r="M1057" s="59" t="str">
        <f>IF(OR($I1057&lt;&gt;SottocategorieUscite[[#Headers],[Fuori Casa]],$I1057&lt;&gt;SottocategorieUscite[[#Headers],[Varie Uscite]],$I1057&lt;&gt;SottocategorieUscite[[#Headers],[Personali]],$I1057&lt;&gt;SottocategorieUscite[[#Headers],[Lavoro]],$I1057&lt;&gt;SottocategorieUscite[[#Headers],[Casa]],$I1057&lt;&gt;SottocategorieUscite[[#Headers],[Utenze]],$I1057&lt;&gt;SottocategorieUscite[[#Headers],[Business Uscite]],$I1057&lt;&gt;SottocategorieUscite[[#Headers],[Banca]]),"","$ -")</f>
        <v/>
      </c>
      <c r="N1057" s="59" t="str">
        <f>IF(OR(Data!$I1057=SottocategorieEntrate[[#Headers],[Business Entrate]],Data!$I1057=SottocategorieEntrate[[#Headers],[Varie Entrate]]),"$ -","")</f>
        <v/>
      </c>
      <c r="O1057" s="59" t="str">
        <f>IF(OR(Data!$I1057=SottocategorieEntrate[[#Headers],[Real Estate]],SottocategorieEntrate[[#Headers],[Other]]),"$ -","")</f>
        <v/>
      </c>
      <c r="P1057" s="59" t="str">
        <f>IF(OR($I1057&lt;&gt;SottocategorieEntrate[[#Headers],[Business Entrate]],$I1057&lt;&gt;SottocategorieEntrate[[#Headers],[Varie Entrate]],$I1057&lt;&gt;SottocategorieEntrate[[#Headers],[Real Estate]],$I1057&lt;&gt;SottocategorieEntrate[[#Headers],[Other]]),"","$ -")</f>
        <v/>
      </c>
      <c r="Q1057" s="59" t="str">
        <f>IF(Dati[[#This Row],[Categoria]]="Prelievo","€ -","")</f>
        <v/>
      </c>
      <c r="R1057" s="244"/>
      <c r="S1057" s="59" t="str">
        <f>IF(Dati[[#This Row],[Categoria]]="Savings",0,"")</f>
        <v/>
      </c>
      <c r="T1057" s="59"/>
      <c r="U1057" s="59"/>
      <c r="V1057" s="59"/>
      <c r="W1057" s="59"/>
      <c r="X1057" s="59"/>
      <c r="Y1057" s="59"/>
      <c r="Z1057" s="59"/>
      <c r="AA1057" s="59"/>
      <c r="AB1057" s="59"/>
      <c r="AC1057" s="59"/>
      <c r="AD1057" s="59"/>
      <c r="AE1057" s="59"/>
      <c r="AF1057" s="59"/>
      <c r="AG1057" s="59"/>
      <c r="AH1057" s="59"/>
      <c r="AI1057" s="59" t="str">
        <f>IF(SUM(Dati[[#This Row],[Inv. Business]:[Inv. Cryptocurrency]])=0," ",SUM(Dati[[#This Row],[Inv. Business]:[Inv. Cryptocurrency]]))</f>
        <v xml:space="preserve"> </v>
      </c>
      <c r="AJ1057" s="59"/>
      <c r="AK1057" s="59" t="str">
        <f>IF(SUM(Dati[[#This Row],[Inv. Gold]:[Mutuo]])=0," ",SUM(Dati[[#This Row],[Inv. Gold]:[Mutuo]]))</f>
        <v xml:space="preserve"> </v>
      </c>
      <c r="AL1057" s="59"/>
      <c r="AM1057" s="59"/>
    </row>
    <row r="1058" spans="2:39" x14ac:dyDescent="0.35">
      <c r="B1058" s="237">
        <f t="shared" ref="B1058:B1067" si="56">ROW(1036:1036)</f>
        <v>1036</v>
      </c>
      <c r="C1058" s="49">
        <f t="shared" si="53"/>
        <v>45670</v>
      </c>
      <c r="D1058" s="29">
        <f>DAY(Dati[[#This Row],[Data]])</f>
        <v>13</v>
      </c>
      <c r="E1058" s="29" t="str">
        <f>IF(DAY(Data!$C$21:$C$1327)&gt;0,TEXT(Data!$C$21:$C$1327, "mmmm"),"")</f>
        <v>gennaio</v>
      </c>
      <c r="F1058" s="29" t="str">
        <f>IF(DAY(Data!$C$21:$C$1327)&gt;0,TEXT(Data!$C$21:$C$1327, "aaaa"),"")</f>
        <v>2025</v>
      </c>
      <c r="I1058" t="str">
        <f>IF(OR(H1058=$B$5,H1058=$B$6,H1058=$B$7,H1058=$B$8,H1058=$B$9,H1058=$B$10,H1058=$B$11,H1058=$B$12,H1058=$B$13,H1058=$B$14),SottocategorieUscite[[#Headers],[Fuori Casa]],IF(OR(H1058=$C$5,H1058=$C$6,H1058=$C$7,H1058=$C$8,H1058=$C$9,H1058=$C$10,H1058=$C$11,H1058=$C$12,H1058=$C$13,H1058=$C$14),SottocategorieUscite[[#Headers],[Varie Uscite]],IF(OR(H1058=$D$5,H1058=$D$6,H1058=$D$7,H1058=$D$8,H1058=$D$9,H1058=$D$10,H1058=$D$11,H1058=$D$12,H1058=$D$13,H1058=$D$14),SottocategorieUscite[[#Headers],[Personali]],IF(OR(H1058=$E$5,H1058=$E$6,H1058=$E$7,H1058=$E$8,H1058=$E$9,H1058=$E$10,H1058=$E$11,H1058=$E$12,H1058=$E$13,H1058=$E$14),SottocategorieUscite[[#Headers],[Lavoro]],IF(OR(H1058=$F$5,H1058=$F$6,H1058=$F$7,H1058=$F$8,H1058=$F$9,H1058=$F$10,H1058=$F$11,H1058=$F$12,H1058=$F$13,H1058=$F$14),SottocategorieUscite[[#Headers],[Casa]],IF(OR(H1058=$G$5,H1058=$G$6,H1058=$G$7,H1058=$G$8,H1058=$G$9,H1058=$G$10,H1058=$G$11,H1058=$G$12,H1058=$G$13,H1058=$G$14),SottocategorieUscite[[#Headers],[Utenze]],IF(OR(H1058=$H$5,H1058=$H$6,H1058=$H$7,H1058=$H$8,H1058=$H$9,H1058=$H$10,H1058=$H$11,H1058=$H$12,H1058=$H$13,H1058=$H$14),SottocategorieUscite[[#Headers],[Business Uscite]],IF(OR(H1058=$I$5,H1058=$I$6,H1058=$I$7,H1058=$I$8,H1058=$I$9,H1058=$I$10,H1058=$I$11,H1058=$I$12,H1058=$I$13,H1058=$I$14),SottocategorieUscite[[#Headers],[Banca]],IF(OR(H1058=K$5,H1058=K$6,H1058=K$7,H1058=K$8,H1058=K$9,H1058=K$10,H1058=K$11,H1058=K$12,H1058=K$13,H1058=K$14),SottocategorieEntrate[[#Headers],[Business Entrate]],IF(OR(H1058=L$5,H1058=L$6,H1058=L$7,H1058=L$8,H1058=L$9,H1058=L$10,H1058=L$11,H1058=L$12,H1058=L$13,H1058=L$14),SottocategorieEntrate[[#Headers],[Varie Entrate]],IF(OR(H1058=M$5,H1058=M$6,H1058=M$7,H1058=M$8,H1058=M$9,H1058=M$10,H1058=M$11,H1058=M$12,H1058=M$13,H1058=M$14),SottocategorieEntrate[[#Headers],[Real Estate]],IF(OR(H1058=N$5,H1058=N$6,H1058=N$7,H1058=N$8,H1058=N$9,H1058=N$10,H1058=N$11,H1058=N$12,H1058=N$13,H1058=N$14),SottocategorieEntrate[[#Headers],[Other]],""))))))))))))</f>
        <v/>
      </c>
      <c r="J1058" t="str">
        <f>IF(OR(Dati[[#This Row],[Categoria]]="Bollette",Dati[[#This Row],[Categoria]]="Conto &amp; Carte BNL",Dati[[#This Row],[Categoria]]="Prelievo",Dati[[#This Row],[Categoria]]="Affitto",Dati[[#This Row],[Categoria]]="BNL(Interessi Creditori)"),"Carta",IF(Dati[[#This Row],[Categoria]]&lt;&gt;0,"Cash",""))</f>
        <v/>
      </c>
      <c r="K1058" s="59" t="str">
        <f>IF(OR(Data!$I1058=SottocategorieUscite[[#Headers],[Fuori Casa]],Data!$I1058=SottocategorieUscite[[#Headers],[Varie Uscite]],Data!$I1058=SottocategorieUscite[[#Headers],[Personali]],Data!$I1058=SottocategorieUscite[[#Headers],[Lavoro]]),"$ -","")</f>
        <v/>
      </c>
      <c r="L1058" s="59" t="str">
        <f>IF(OR(Data!$I1058=SottocategorieUscite[[#Headers],[Casa]],Data!$I1058=SottocategorieUscite[[#Headers],[Utenze]],Data!$I1058=SottocategorieUscite[[#Headers],[Business Uscite]],Data!$I1058=SottocategorieUscite[[#Headers],[Banca]]),"$ -","")</f>
        <v/>
      </c>
      <c r="M1058" s="59" t="str">
        <f>IF(OR($I1058&lt;&gt;SottocategorieUscite[[#Headers],[Fuori Casa]],$I1058&lt;&gt;SottocategorieUscite[[#Headers],[Varie Uscite]],$I1058&lt;&gt;SottocategorieUscite[[#Headers],[Personali]],$I1058&lt;&gt;SottocategorieUscite[[#Headers],[Lavoro]],$I1058&lt;&gt;SottocategorieUscite[[#Headers],[Casa]],$I1058&lt;&gt;SottocategorieUscite[[#Headers],[Utenze]],$I1058&lt;&gt;SottocategorieUscite[[#Headers],[Business Uscite]],$I1058&lt;&gt;SottocategorieUscite[[#Headers],[Banca]]),"","$ -")</f>
        <v/>
      </c>
      <c r="N1058" s="59" t="str">
        <f>IF(OR(Data!$I1058=SottocategorieEntrate[[#Headers],[Business Entrate]],Data!$I1058=SottocategorieEntrate[[#Headers],[Varie Entrate]]),"$ -","")</f>
        <v/>
      </c>
      <c r="O1058" s="59" t="str">
        <f>IF(OR(Data!$I1058=SottocategorieEntrate[[#Headers],[Real Estate]],SottocategorieEntrate[[#Headers],[Other]]),"$ -","")</f>
        <v/>
      </c>
      <c r="P1058" s="59" t="str">
        <f>IF(OR($I1058&lt;&gt;SottocategorieEntrate[[#Headers],[Business Entrate]],$I1058&lt;&gt;SottocategorieEntrate[[#Headers],[Varie Entrate]],$I1058&lt;&gt;SottocategorieEntrate[[#Headers],[Real Estate]],$I1058&lt;&gt;SottocategorieEntrate[[#Headers],[Other]]),"","$ -")</f>
        <v/>
      </c>
      <c r="Q1058" s="59" t="str">
        <f>IF(Dati[[#This Row],[Categoria]]="Prelievo","€ -","")</f>
        <v/>
      </c>
      <c r="R1058" s="244"/>
      <c r="S1058" s="59" t="str">
        <f>IF(Dati[[#This Row],[Categoria]]="Savings",0,"")</f>
        <v/>
      </c>
      <c r="T1058" s="59"/>
      <c r="U1058" s="59"/>
      <c r="V1058" s="59"/>
      <c r="W1058" s="59"/>
      <c r="X1058" s="59"/>
      <c r="Y1058" s="59"/>
      <c r="Z1058" s="59"/>
      <c r="AA1058" s="59"/>
      <c r="AB1058" s="59"/>
      <c r="AC1058" s="59"/>
      <c r="AD1058" s="59"/>
      <c r="AE1058" s="59"/>
      <c r="AF1058" s="59"/>
      <c r="AG1058" s="59"/>
      <c r="AH1058" s="59"/>
      <c r="AI1058" s="59" t="str">
        <f>IF(SUM(Dati[[#This Row],[Inv. Business]:[Inv. Cryptocurrency]])=0," ",SUM(Dati[[#This Row],[Inv. Business]:[Inv. Cryptocurrency]]))</f>
        <v xml:space="preserve"> </v>
      </c>
      <c r="AJ1058" s="59"/>
      <c r="AK1058" s="59" t="str">
        <f>IF(SUM(Dati[[#This Row],[Inv. Gold]:[Mutuo]])=0," ",SUM(Dati[[#This Row],[Inv. Gold]:[Mutuo]]))</f>
        <v xml:space="preserve"> </v>
      </c>
      <c r="AL1058" s="59"/>
      <c r="AM1058" s="59"/>
    </row>
    <row r="1059" spans="2:39" x14ac:dyDescent="0.35">
      <c r="B1059" s="237">
        <f t="shared" si="56"/>
        <v>1037</v>
      </c>
      <c r="C1059" s="49">
        <f t="shared" si="53"/>
        <v>45671</v>
      </c>
      <c r="D1059" s="29">
        <f>DAY(Dati[[#This Row],[Data]])</f>
        <v>14</v>
      </c>
      <c r="E1059" s="29" t="str">
        <f>IF(DAY(Data!$C$21:$C$1327)&gt;0,TEXT(Data!$C$21:$C$1327, "mmmm"),"")</f>
        <v>gennaio</v>
      </c>
      <c r="F1059" s="29" t="str">
        <f>IF(DAY(Data!$C$21:$C$1327)&gt;0,TEXT(Data!$C$21:$C$1327, "aaaa"),"")</f>
        <v>2025</v>
      </c>
      <c r="I1059" t="str">
        <f>IF(OR(H1059=$B$5,H1059=$B$6,H1059=$B$7,H1059=$B$8,H1059=$B$9,H1059=$B$10,H1059=$B$11,H1059=$B$12,H1059=$B$13,H1059=$B$14),SottocategorieUscite[[#Headers],[Fuori Casa]],IF(OR(H1059=$C$5,H1059=$C$6,H1059=$C$7,H1059=$C$8,H1059=$C$9,H1059=$C$10,H1059=$C$11,H1059=$C$12,H1059=$C$13,H1059=$C$14),SottocategorieUscite[[#Headers],[Varie Uscite]],IF(OR(H1059=$D$5,H1059=$D$6,H1059=$D$7,H1059=$D$8,H1059=$D$9,H1059=$D$10,H1059=$D$11,H1059=$D$12,H1059=$D$13,H1059=$D$14),SottocategorieUscite[[#Headers],[Personali]],IF(OR(H1059=$E$5,H1059=$E$6,H1059=$E$7,H1059=$E$8,H1059=$E$9,H1059=$E$10,H1059=$E$11,H1059=$E$12,H1059=$E$13,H1059=$E$14),SottocategorieUscite[[#Headers],[Lavoro]],IF(OR(H1059=$F$5,H1059=$F$6,H1059=$F$7,H1059=$F$8,H1059=$F$9,H1059=$F$10,H1059=$F$11,H1059=$F$12,H1059=$F$13,H1059=$F$14),SottocategorieUscite[[#Headers],[Casa]],IF(OR(H1059=$G$5,H1059=$G$6,H1059=$G$7,H1059=$G$8,H1059=$G$9,H1059=$G$10,H1059=$G$11,H1059=$G$12,H1059=$G$13,H1059=$G$14),SottocategorieUscite[[#Headers],[Utenze]],IF(OR(H1059=$H$5,H1059=$H$6,H1059=$H$7,H1059=$H$8,H1059=$H$9,H1059=$H$10,H1059=$H$11,H1059=$H$12,H1059=$H$13,H1059=$H$14),SottocategorieUscite[[#Headers],[Business Uscite]],IF(OR(H1059=$I$5,H1059=$I$6,H1059=$I$7,H1059=$I$8,H1059=$I$9,H1059=$I$10,H1059=$I$11,H1059=$I$12,H1059=$I$13,H1059=$I$14),SottocategorieUscite[[#Headers],[Banca]],IF(OR(H1059=K$5,H1059=K$6,H1059=K$7,H1059=K$8,H1059=K$9,H1059=K$10,H1059=K$11,H1059=K$12,H1059=K$13,H1059=K$14),SottocategorieEntrate[[#Headers],[Business Entrate]],IF(OR(H1059=L$5,H1059=L$6,H1059=L$7,H1059=L$8,H1059=L$9,H1059=L$10,H1059=L$11,H1059=L$12,H1059=L$13,H1059=L$14),SottocategorieEntrate[[#Headers],[Varie Entrate]],IF(OR(H1059=M$5,H1059=M$6,H1059=M$7,H1059=M$8,H1059=M$9,H1059=M$10,H1059=M$11,H1059=M$12,H1059=M$13,H1059=M$14),SottocategorieEntrate[[#Headers],[Real Estate]],IF(OR(H1059=N$5,H1059=N$6,H1059=N$7,H1059=N$8,H1059=N$9,H1059=N$10,H1059=N$11,H1059=N$12,H1059=N$13,H1059=N$14),SottocategorieEntrate[[#Headers],[Other]],""))))))))))))</f>
        <v/>
      </c>
      <c r="J1059" t="str">
        <f>IF(OR(Dati[[#This Row],[Categoria]]="Bollette",Dati[[#This Row],[Categoria]]="Conto &amp; Carte BNL",Dati[[#This Row],[Categoria]]="Prelievo",Dati[[#This Row],[Categoria]]="Affitto",Dati[[#This Row],[Categoria]]="BNL(Interessi Creditori)"),"Carta",IF(Dati[[#This Row],[Categoria]]&lt;&gt;0,"Cash",""))</f>
        <v/>
      </c>
      <c r="K1059" s="59" t="str">
        <f>IF(OR(Data!$I1059=SottocategorieUscite[[#Headers],[Fuori Casa]],Data!$I1059=SottocategorieUscite[[#Headers],[Varie Uscite]],Data!$I1059=SottocategorieUscite[[#Headers],[Personali]],Data!$I1059=SottocategorieUscite[[#Headers],[Lavoro]]),"$ -","")</f>
        <v/>
      </c>
      <c r="L1059" s="59" t="str">
        <f>IF(OR(Data!$I1059=SottocategorieUscite[[#Headers],[Casa]],Data!$I1059=SottocategorieUscite[[#Headers],[Utenze]],Data!$I1059=SottocategorieUscite[[#Headers],[Business Uscite]],Data!$I1059=SottocategorieUscite[[#Headers],[Banca]]),"$ -","")</f>
        <v/>
      </c>
      <c r="M1059" s="59" t="str">
        <f>IF(OR($I1059&lt;&gt;SottocategorieUscite[[#Headers],[Fuori Casa]],$I1059&lt;&gt;SottocategorieUscite[[#Headers],[Varie Uscite]],$I1059&lt;&gt;SottocategorieUscite[[#Headers],[Personali]],$I1059&lt;&gt;SottocategorieUscite[[#Headers],[Lavoro]],$I1059&lt;&gt;SottocategorieUscite[[#Headers],[Casa]],$I1059&lt;&gt;SottocategorieUscite[[#Headers],[Utenze]],$I1059&lt;&gt;SottocategorieUscite[[#Headers],[Business Uscite]],$I1059&lt;&gt;SottocategorieUscite[[#Headers],[Banca]]),"","$ -")</f>
        <v/>
      </c>
      <c r="N1059" s="59" t="str">
        <f>IF(OR(Data!$I1059=SottocategorieEntrate[[#Headers],[Business Entrate]],Data!$I1059=SottocategorieEntrate[[#Headers],[Varie Entrate]]),"$ -","")</f>
        <v/>
      </c>
      <c r="O1059" s="59" t="str">
        <f>IF(OR(Data!$I1059=SottocategorieEntrate[[#Headers],[Real Estate]],SottocategorieEntrate[[#Headers],[Other]]),"$ -","")</f>
        <v/>
      </c>
      <c r="P1059" s="59" t="str">
        <f>IF(OR($I1059&lt;&gt;SottocategorieEntrate[[#Headers],[Business Entrate]],$I1059&lt;&gt;SottocategorieEntrate[[#Headers],[Varie Entrate]],$I1059&lt;&gt;SottocategorieEntrate[[#Headers],[Real Estate]],$I1059&lt;&gt;SottocategorieEntrate[[#Headers],[Other]]),"","$ -")</f>
        <v/>
      </c>
      <c r="Q1059" s="59" t="str">
        <f>IF(Dati[[#This Row],[Categoria]]="Prelievo","€ -","")</f>
        <v/>
      </c>
      <c r="R1059" s="244"/>
      <c r="S1059" s="59" t="str">
        <f>IF(Dati[[#This Row],[Categoria]]="Savings",0,"")</f>
        <v/>
      </c>
      <c r="T1059" s="59"/>
      <c r="U1059" s="59"/>
      <c r="V1059" s="59"/>
      <c r="W1059" s="59"/>
      <c r="X1059" s="59"/>
      <c r="Y1059" s="59"/>
      <c r="Z1059" s="59"/>
      <c r="AA1059" s="59"/>
      <c r="AB1059" s="59"/>
      <c r="AC1059" s="59"/>
      <c r="AD1059" s="59"/>
      <c r="AE1059" s="59"/>
      <c r="AF1059" s="59"/>
      <c r="AG1059" s="59"/>
      <c r="AH1059" s="59"/>
      <c r="AI1059" s="59" t="str">
        <f>IF(SUM(Dati[[#This Row],[Inv. Business]:[Inv. Cryptocurrency]])=0," ",SUM(Dati[[#This Row],[Inv. Business]:[Inv. Cryptocurrency]]))</f>
        <v xml:space="preserve"> </v>
      </c>
      <c r="AJ1059" s="59"/>
      <c r="AK1059" s="59" t="str">
        <f>IF(SUM(Dati[[#This Row],[Inv. Gold]:[Mutuo]])=0," ",SUM(Dati[[#This Row],[Inv. Gold]:[Mutuo]]))</f>
        <v xml:space="preserve"> </v>
      </c>
      <c r="AL1059" s="59"/>
      <c r="AM1059" s="59"/>
    </row>
    <row r="1060" spans="2:39" x14ac:dyDescent="0.35">
      <c r="B1060" s="237">
        <f t="shared" si="56"/>
        <v>1038</v>
      </c>
      <c r="C1060" s="49">
        <f t="shared" ref="C1060:C1123" si="57">C1059+1</f>
        <v>45672</v>
      </c>
      <c r="D1060" s="29">
        <f>DAY(Dati[[#This Row],[Data]])</f>
        <v>15</v>
      </c>
      <c r="E1060" s="29" t="str">
        <f>IF(DAY(Data!$C$21:$C$1327)&gt;0,TEXT(Data!$C$21:$C$1327, "mmmm"),"")</f>
        <v>gennaio</v>
      </c>
      <c r="F1060" s="29" t="str">
        <f>IF(DAY(Data!$C$21:$C$1327)&gt;0,TEXT(Data!$C$21:$C$1327, "aaaa"),"")</f>
        <v>2025</v>
      </c>
      <c r="I1060" t="str">
        <f>IF(OR(H1060=$B$5,H1060=$B$6,H1060=$B$7,H1060=$B$8,H1060=$B$9,H1060=$B$10,H1060=$B$11,H1060=$B$12,H1060=$B$13,H1060=$B$14),SottocategorieUscite[[#Headers],[Fuori Casa]],IF(OR(H1060=$C$5,H1060=$C$6,H1060=$C$7,H1060=$C$8,H1060=$C$9,H1060=$C$10,H1060=$C$11,H1060=$C$12,H1060=$C$13,H1060=$C$14),SottocategorieUscite[[#Headers],[Varie Uscite]],IF(OR(H1060=$D$5,H1060=$D$6,H1060=$D$7,H1060=$D$8,H1060=$D$9,H1060=$D$10,H1060=$D$11,H1060=$D$12,H1060=$D$13,H1060=$D$14),SottocategorieUscite[[#Headers],[Personali]],IF(OR(H1060=$E$5,H1060=$E$6,H1060=$E$7,H1060=$E$8,H1060=$E$9,H1060=$E$10,H1060=$E$11,H1060=$E$12,H1060=$E$13,H1060=$E$14),SottocategorieUscite[[#Headers],[Lavoro]],IF(OR(H1060=$F$5,H1060=$F$6,H1060=$F$7,H1060=$F$8,H1060=$F$9,H1060=$F$10,H1060=$F$11,H1060=$F$12,H1060=$F$13,H1060=$F$14),SottocategorieUscite[[#Headers],[Casa]],IF(OR(H1060=$G$5,H1060=$G$6,H1060=$G$7,H1060=$G$8,H1060=$G$9,H1060=$G$10,H1060=$G$11,H1060=$G$12,H1060=$G$13,H1060=$G$14),SottocategorieUscite[[#Headers],[Utenze]],IF(OR(H1060=$H$5,H1060=$H$6,H1060=$H$7,H1060=$H$8,H1060=$H$9,H1060=$H$10,H1060=$H$11,H1060=$H$12,H1060=$H$13,H1060=$H$14),SottocategorieUscite[[#Headers],[Business Uscite]],IF(OR(H1060=$I$5,H1060=$I$6,H1060=$I$7,H1060=$I$8,H1060=$I$9,H1060=$I$10,H1060=$I$11,H1060=$I$12,H1060=$I$13,H1060=$I$14),SottocategorieUscite[[#Headers],[Banca]],IF(OR(H1060=K$5,H1060=K$6,H1060=K$7,H1060=K$8,H1060=K$9,H1060=K$10,H1060=K$11,H1060=K$12,H1060=K$13,H1060=K$14),SottocategorieEntrate[[#Headers],[Business Entrate]],IF(OR(H1060=L$5,H1060=L$6,H1060=L$7,H1060=L$8,H1060=L$9,H1060=L$10,H1060=L$11,H1060=L$12,H1060=L$13,H1060=L$14),SottocategorieEntrate[[#Headers],[Varie Entrate]],IF(OR(H1060=M$5,H1060=M$6,H1060=M$7,H1060=M$8,H1060=M$9,H1060=M$10,H1060=M$11,H1060=M$12,H1060=M$13,H1060=M$14),SottocategorieEntrate[[#Headers],[Real Estate]],IF(OR(H1060=N$5,H1060=N$6,H1060=N$7,H1060=N$8,H1060=N$9,H1060=N$10,H1060=N$11,H1060=N$12,H1060=N$13,H1060=N$14),SottocategorieEntrate[[#Headers],[Other]],""))))))))))))</f>
        <v/>
      </c>
      <c r="J1060" t="str">
        <f>IF(OR(Dati[[#This Row],[Categoria]]="Bollette",Dati[[#This Row],[Categoria]]="Conto &amp; Carte BNL",Dati[[#This Row],[Categoria]]="Prelievo",Dati[[#This Row],[Categoria]]="Affitto",Dati[[#This Row],[Categoria]]="BNL(Interessi Creditori)"),"Carta",IF(Dati[[#This Row],[Categoria]]&lt;&gt;0,"Cash",""))</f>
        <v/>
      </c>
      <c r="K1060" s="59" t="str">
        <f>IF(OR(Data!$I1060=SottocategorieUscite[[#Headers],[Fuori Casa]],Data!$I1060=SottocategorieUscite[[#Headers],[Varie Uscite]],Data!$I1060=SottocategorieUscite[[#Headers],[Personali]],Data!$I1060=SottocategorieUscite[[#Headers],[Lavoro]]),"$ -","")</f>
        <v/>
      </c>
      <c r="L1060" s="59" t="str">
        <f>IF(OR(Data!$I1060=SottocategorieUscite[[#Headers],[Casa]],Data!$I1060=SottocategorieUscite[[#Headers],[Utenze]],Data!$I1060=SottocategorieUscite[[#Headers],[Business Uscite]],Data!$I1060=SottocategorieUscite[[#Headers],[Banca]]),"$ -","")</f>
        <v/>
      </c>
      <c r="M1060" s="59" t="str">
        <f>IF(OR($I1060&lt;&gt;SottocategorieUscite[[#Headers],[Fuori Casa]],$I1060&lt;&gt;SottocategorieUscite[[#Headers],[Varie Uscite]],$I1060&lt;&gt;SottocategorieUscite[[#Headers],[Personali]],$I1060&lt;&gt;SottocategorieUscite[[#Headers],[Lavoro]],$I1060&lt;&gt;SottocategorieUscite[[#Headers],[Casa]],$I1060&lt;&gt;SottocategorieUscite[[#Headers],[Utenze]],$I1060&lt;&gt;SottocategorieUscite[[#Headers],[Business Uscite]],$I1060&lt;&gt;SottocategorieUscite[[#Headers],[Banca]]),"","$ -")</f>
        <v/>
      </c>
      <c r="N1060" s="59" t="str">
        <f>IF(OR(Data!$I1060=SottocategorieEntrate[[#Headers],[Business Entrate]],Data!$I1060=SottocategorieEntrate[[#Headers],[Varie Entrate]]),"$ -","")</f>
        <v/>
      </c>
      <c r="O1060" s="59" t="str">
        <f>IF(OR(Data!$I1060=SottocategorieEntrate[[#Headers],[Real Estate]],SottocategorieEntrate[[#Headers],[Other]]),"$ -","")</f>
        <v/>
      </c>
      <c r="P1060" s="59" t="str">
        <f>IF(OR($I1060&lt;&gt;SottocategorieEntrate[[#Headers],[Business Entrate]],$I1060&lt;&gt;SottocategorieEntrate[[#Headers],[Varie Entrate]],$I1060&lt;&gt;SottocategorieEntrate[[#Headers],[Real Estate]],$I1060&lt;&gt;SottocategorieEntrate[[#Headers],[Other]]),"","$ -")</f>
        <v/>
      </c>
      <c r="Q1060" s="59" t="str">
        <f>IF(Dati[[#This Row],[Categoria]]="Prelievo","€ -","")</f>
        <v/>
      </c>
      <c r="R1060" s="244"/>
      <c r="S1060" s="59" t="str">
        <f>IF(Dati[[#This Row],[Categoria]]="Savings",0,"")</f>
        <v/>
      </c>
      <c r="T1060" s="59"/>
      <c r="U1060" s="59"/>
      <c r="V1060" s="59"/>
      <c r="W1060" s="59"/>
      <c r="X1060" s="59"/>
      <c r="Y1060" s="59"/>
      <c r="Z1060" s="59"/>
      <c r="AA1060" s="59"/>
      <c r="AB1060" s="59"/>
      <c r="AC1060" s="59"/>
      <c r="AD1060" s="59"/>
      <c r="AE1060" s="59"/>
      <c r="AF1060" s="59"/>
      <c r="AG1060" s="59"/>
      <c r="AH1060" s="59"/>
      <c r="AI1060" s="59" t="str">
        <f>IF(SUM(Dati[[#This Row],[Inv. Business]:[Inv. Cryptocurrency]])=0," ",SUM(Dati[[#This Row],[Inv. Business]:[Inv. Cryptocurrency]]))</f>
        <v xml:space="preserve"> </v>
      </c>
      <c r="AJ1060" s="59"/>
      <c r="AK1060" s="59" t="str">
        <f>IF(SUM(Dati[[#This Row],[Inv. Gold]:[Mutuo]])=0," ",SUM(Dati[[#This Row],[Inv. Gold]:[Mutuo]]))</f>
        <v xml:space="preserve"> </v>
      </c>
      <c r="AL1060" s="59"/>
      <c r="AM1060" s="59"/>
    </row>
    <row r="1061" spans="2:39" x14ac:dyDescent="0.35">
      <c r="B1061" s="237">
        <f t="shared" si="56"/>
        <v>1039</v>
      </c>
      <c r="C1061" s="49">
        <f t="shared" si="57"/>
        <v>45673</v>
      </c>
      <c r="D1061" s="29">
        <f>DAY(Dati[[#This Row],[Data]])</f>
        <v>16</v>
      </c>
      <c r="E1061" s="29" t="str">
        <f>IF(DAY(Data!$C$21:$C$1327)&gt;0,TEXT(Data!$C$21:$C$1327, "mmmm"),"")</f>
        <v>gennaio</v>
      </c>
      <c r="F1061" s="29" t="str">
        <f>IF(DAY(Data!$C$21:$C$1327)&gt;0,TEXT(Data!$C$21:$C$1327, "aaaa"),"")</f>
        <v>2025</v>
      </c>
      <c r="I1061" t="str">
        <f>IF(OR(H1061=$B$5,H1061=$B$6,H1061=$B$7,H1061=$B$8,H1061=$B$9,H1061=$B$10,H1061=$B$11,H1061=$B$12,H1061=$B$13,H1061=$B$14),SottocategorieUscite[[#Headers],[Fuori Casa]],IF(OR(H1061=$C$5,H1061=$C$6,H1061=$C$7,H1061=$C$8,H1061=$C$9,H1061=$C$10,H1061=$C$11,H1061=$C$12,H1061=$C$13,H1061=$C$14),SottocategorieUscite[[#Headers],[Varie Uscite]],IF(OR(H1061=$D$5,H1061=$D$6,H1061=$D$7,H1061=$D$8,H1061=$D$9,H1061=$D$10,H1061=$D$11,H1061=$D$12,H1061=$D$13,H1061=$D$14),SottocategorieUscite[[#Headers],[Personali]],IF(OR(H1061=$E$5,H1061=$E$6,H1061=$E$7,H1061=$E$8,H1061=$E$9,H1061=$E$10,H1061=$E$11,H1061=$E$12,H1061=$E$13,H1061=$E$14),SottocategorieUscite[[#Headers],[Lavoro]],IF(OR(H1061=$F$5,H1061=$F$6,H1061=$F$7,H1061=$F$8,H1061=$F$9,H1061=$F$10,H1061=$F$11,H1061=$F$12,H1061=$F$13,H1061=$F$14),SottocategorieUscite[[#Headers],[Casa]],IF(OR(H1061=$G$5,H1061=$G$6,H1061=$G$7,H1061=$G$8,H1061=$G$9,H1061=$G$10,H1061=$G$11,H1061=$G$12,H1061=$G$13,H1061=$G$14),SottocategorieUscite[[#Headers],[Utenze]],IF(OR(H1061=$H$5,H1061=$H$6,H1061=$H$7,H1061=$H$8,H1061=$H$9,H1061=$H$10,H1061=$H$11,H1061=$H$12,H1061=$H$13,H1061=$H$14),SottocategorieUscite[[#Headers],[Business Uscite]],IF(OR(H1061=$I$5,H1061=$I$6,H1061=$I$7,H1061=$I$8,H1061=$I$9,H1061=$I$10,H1061=$I$11,H1061=$I$12,H1061=$I$13,H1061=$I$14),SottocategorieUscite[[#Headers],[Banca]],IF(OR(H1061=K$5,H1061=K$6,H1061=K$7,H1061=K$8,H1061=K$9,H1061=K$10,H1061=K$11,H1061=K$12,H1061=K$13,H1061=K$14),SottocategorieEntrate[[#Headers],[Business Entrate]],IF(OR(H1061=L$5,H1061=L$6,H1061=L$7,H1061=L$8,H1061=L$9,H1061=L$10,H1061=L$11,H1061=L$12,H1061=L$13,H1061=L$14),SottocategorieEntrate[[#Headers],[Varie Entrate]],IF(OR(H1061=M$5,H1061=M$6,H1061=M$7,H1061=M$8,H1061=M$9,H1061=M$10,H1061=M$11,H1061=M$12,H1061=M$13,H1061=M$14),SottocategorieEntrate[[#Headers],[Real Estate]],IF(OR(H1061=N$5,H1061=N$6,H1061=N$7,H1061=N$8,H1061=N$9,H1061=N$10,H1061=N$11,H1061=N$12,H1061=N$13,H1061=N$14),SottocategorieEntrate[[#Headers],[Other]],""))))))))))))</f>
        <v/>
      </c>
      <c r="J1061" t="str">
        <f>IF(OR(Dati[[#This Row],[Categoria]]="Bollette",Dati[[#This Row],[Categoria]]="Conto &amp; Carte BNL",Dati[[#This Row],[Categoria]]="Prelievo",Dati[[#This Row],[Categoria]]="Affitto",Dati[[#This Row],[Categoria]]="BNL(Interessi Creditori)"),"Carta",IF(Dati[[#This Row],[Categoria]]&lt;&gt;0,"Cash",""))</f>
        <v/>
      </c>
      <c r="K1061" s="59" t="str">
        <f>IF(OR(Data!$I1061=SottocategorieUscite[[#Headers],[Fuori Casa]],Data!$I1061=SottocategorieUscite[[#Headers],[Varie Uscite]],Data!$I1061=SottocategorieUscite[[#Headers],[Personali]],Data!$I1061=SottocategorieUscite[[#Headers],[Lavoro]]),"$ -","")</f>
        <v/>
      </c>
      <c r="L1061" s="59" t="str">
        <f>IF(OR(Data!$I1061=SottocategorieUscite[[#Headers],[Casa]],Data!$I1061=SottocategorieUscite[[#Headers],[Utenze]],Data!$I1061=SottocategorieUscite[[#Headers],[Business Uscite]],Data!$I1061=SottocategorieUscite[[#Headers],[Banca]]),"$ -","")</f>
        <v/>
      </c>
      <c r="M1061" s="59" t="str">
        <f>IF(OR($I1061&lt;&gt;SottocategorieUscite[[#Headers],[Fuori Casa]],$I1061&lt;&gt;SottocategorieUscite[[#Headers],[Varie Uscite]],$I1061&lt;&gt;SottocategorieUscite[[#Headers],[Personali]],$I1061&lt;&gt;SottocategorieUscite[[#Headers],[Lavoro]],$I1061&lt;&gt;SottocategorieUscite[[#Headers],[Casa]],$I1061&lt;&gt;SottocategorieUscite[[#Headers],[Utenze]],$I1061&lt;&gt;SottocategorieUscite[[#Headers],[Business Uscite]],$I1061&lt;&gt;SottocategorieUscite[[#Headers],[Banca]]),"","$ -")</f>
        <v/>
      </c>
      <c r="N1061" s="59" t="str">
        <f>IF(OR(Data!$I1061=SottocategorieEntrate[[#Headers],[Business Entrate]],Data!$I1061=SottocategorieEntrate[[#Headers],[Varie Entrate]]),"$ -","")</f>
        <v/>
      </c>
      <c r="O1061" s="59" t="str">
        <f>IF(OR(Data!$I1061=SottocategorieEntrate[[#Headers],[Real Estate]],SottocategorieEntrate[[#Headers],[Other]]),"$ -","")</f>
        <v/>
      </c>
      <c r="P1061" s="59" t="str">
        <f>IF(OR($I1061&lt;&gt;SottocategorieEntrate[[#Headers],[Business Entrate]],$I1061&lt;&gt;SottocategorieEntrate[[#Headers],[Varie Entrate]],$I1061&lt;&gt;SottocategorieEntrate[[#Headers],[Real Estate]],$I1061&lt;&gt;SottocategorieEntrate[[#Headers],[Other]]),"","$ -")</f>
        <v/>
      </c>
      <c r="Q1061" s="59" t="str">
        <f>IF(Dati[[#This Row],[Categoria]]="Prelievo","€ -","")</f>
        <v/>
      </c>
      <c r="R1061" s="244"/>
      <c r="S1061" s="59" t="str">
        <f>IF(Dati[[#This Row],[Categoria]]="Savings",0,"")</f>
        <v/>
      </c>
      <c r="T1061" s="59"/>
      <c r="U1061" s="59"/>
      <c r="V1061" s="59"/>
      <c r="W1061" s="59"/>
      <c r="X1061" s="59"/>
      <c r="Y1061" s="59"/>
      <c r="Z1061" s="59"/>
      <c r="AA1061" s="59"/>
      <c r="AB1061" s="59"/>
      <c r="AC1061" s="59"/>
      <c r="AD1061" s="59"/>
      <c r="AE1061" s="59"/>
      <c r="AF1061" s="59"/>
      <c r="AG1061" s="59"/>
      <c r="AH1061" s="59"/>
      <c r="AI1061" s="59" t="str">
        <f>IF(SUM(Dati[[#This Row],[Inv. Business]:[Inv. Cryptocurrency]])=0," ",SUM(Dati[[#This Row],[Inv. Business]:[Inv. Cryptocurrency]]))</f>
        <v xml:space="preserve"> </v>
      </c>
      <c r="AJ1061" s="59"/>
      <c r="AK1061" s="59" t="str">
        <f>IF(SUM(Dati[[#This Row],[Inv. Gold]:[Mutuo]])=0," ",SUM(Dati[[#This Row],[Inv. Gold]:[Mutuo]]))</f>
        <v xml:space="preserve"> </v>
      </c>
      <c r="AL1061" s="59"/>
      <c r="AM1061" s="59"/>
    </row>
    <row r="1062" spans="2:39" x14ac:dyDescent="0.35">
      <c r="B1062" s="237">
        <f t="shared" si="56"/>
        <v>1040</v>
      </c>
      <c r="C1062" s="49">
        <f t="shared" si="57"/>
        <v>45674</v>
      </c>
      <c r="D1062" s="29">
        <f>DAY(Dati[[#This Row],[Data]])</f>
        <v>17</v>
      </c>
      <c r="E1062" s="29" t="str">
        <f>IF(DAY(Data!$C$21:$C$1327)&gt;0,TEXT(Data!$C$21:$C$1327, "mmmm"),"")</f>
        <v>gennaio</v>
      </c>
      <c r="F1062" s="29" t="str">
        <f>IF(DAY(Data!$C$21:$C$1327)&gt;0,TEXT(Data!$C$21:$C$1327, "aaaa"),"")</f>
        <v>2025</v>
      </c>
      <c r="I1062" t="str">
        <f>IF(OR(H1062=$B$5,H1062=$B$6,H1062=$B$7,H1062=$B$8,H1062=$B$9,H1062=$B$10,H1062=$B$11,H1062=$B$12,H1062=$B$13,H1062=$B$14),SottocategorieUscite[[#Headers],[Fuori Casa]],IF(OR(H1062=$C$5,H1062=$C$6,H1062=$C$7,H1062=$C$8,H1062=$C$9,H1062=$C$10,H1062=$C$11,H1062=$C$12,H1062=$C$13,H1062=$C$14),SottocategorieUscite[[#Headers],[Varie Uscite]],IF(OR(H1062=$D$5,H1062=$D$6,H1062=$D$7,H1062=$D$8,H1062=$D$9,H1062=$D$10,H1062=$D$11,H1062=$D$12,H1062=$D$13,H1062=$D$14),SottocategorieUscite[[#Headers],[Personali]],IF(OR(H1062=$E$5,H1062=$E$6,H1062=$E$7,H1062=$E$8,H1062=$E$9,H1062=$E$10,H1062=$E$11,H1062=$E$12,H1062=$E$13,H1062=$E$14),SottocategorieUscite[[#Headers],[Lavoro]],IF(OR(H1062=$F$5,H1062=$F$6,H1062=$F$7,H1062=$F$8,H1062=$F$9,H1062=$F$10,H1062=$F$11,H1062=$F$12,H1062=$F$13,H1062=$F$14),SottocategorieUscite[[#Headers],[Casa]],IF(OR(H1062=$G$5,H1062=$G$6,H1062=$G$7,H1062=$G$8,H1062=$G$9,H1062=$G$10,H1062=$G$11,H1062=$G$12,H1062=$G$13,H1062=$G$14),SottocategorieUscite[[#Headers],[Utenze]],IF(OR(H1062=$H$5,H1062=$H$6,H1062=$H$7,H1062=$H$8,H1062=$H$9,H1062=$H$10,H1062=$H$11,H1062=$H$12,H1062=$H$13,H1062=$H$14),SottocategorieUscite[[#Headers],[Business Uscite]],IF(OR(H1062=$I$5,H1062=$I$6,H1062=$I$7,H1062=$I$8,H1062=$I$9,H1062=$I$10,H1062=$I$11,H1062=$I$12,H1062=$I$13,H1062=$I$14),SottocategorieUscite[[#Headers],[Banca]],IF(OR(H1062=K$5,H1062=K$6,H1062=K$7,H1062=K$8,H1062=K$9,H1062=K$10,H1062=K$11,H1062=K$12,H1062=K$13,H1062=K$14),SottocategorieEntrate[[#Headers],[Business Entrate]],IF(OR(H1062=L$5,H1062=L$6,H1062=L$7,H1062=L$8,H1062=L$9,H1062=L$10,H1062=L$11,H1062=L$12,H1062=L$13,H1062=L$14),SottocategorieEntrate[[#Headers],[Varie Entrate]],IF(OR(H1062=M$5,H1062=M$6,H1062=M$7,H1062=M$8,H1062=M$9,H1062=M$10,H1062=M$11,H1062=M$12,H1062=M$13,H1062=M$14),SottocategorieEntrate[[#Headers],[Real Estate]],IF(OR(H1062=N$5,H1062=N$6,H1062=N$7,H1062=N$8,H1062=N$9,H1062=N$10,H1062=N$11,H1062=N$12,H1062=N$13,H1062=N$14),SottocategorieEntrate[[#Headers],[Other]],""))))))))))))</f>
        <v/>
      </c>
      <c r="J1062" t="str">
        <f>IF(OR(Dati[[#This Row],[Categoria]]="Bollette",Dati[[#This Row],[Categoria]]="Conto &amp; Carte BNL",Dati[[#This Row],[Categoria]]="Prelievo",Dati[[#This Row],[Categoria]]="Affitto",Dati[[#This Row],[Categoria]]="BNL(Interessi Creditori)"),"Carta",IF(Dati[[#This Row],[Categoria]]&lt;&gt;0,"Cash",""))</f>
        <v/>
      </c>
      <c r="K1062" s="59" t="str">
        <f>IF(OR(Data!$I1062=SottocategorieUscite[[#Headers],[Fuori Casa]],Data!$I1062=SottocategorieUscite[[#Headers],[Varie Uscite]],Data!$I1062=SottocategorieUscite[[#Headers],[Personali]],Data!$I1062=SottocategorieUscite[[#Headers],[Lavoro]]),"$ -","")</f>
        <v/>
      </c>
      <c r="L1062" s="59" t="str">
        <f>IF(OR(Data!$I1062=SottocategorieUscite[[#Headers],[Casa]],Data!$I1062=SottocategorieUscite[[#Headers],[Utenze]],Data!$I1062=SottocategorieUscite[[#Headers],[Business Uscite]],Data!$I1062=SottocategorieUscite[[#Headers],[Banca]]),"$ -","")</f>
        <v/>
      </c>
      <c r="M1062" s="59" t="str">
        <f>IF(OR($I1062&lt;&gt;SottocategorieUscite[[#Headers],[Fuori Casa]],$I1062&lt;&gt;SottocategorieUscite[[#Headers],[Varie Uscite]],$I1062&lt;&gt;SottocategorieUscite[[#Headers],[Personali]],$I1062&lt;&gt;SottocategorieUscite[[#Headers],[Lavoro]],$I1062&lt;&gt;SottocategorieUscite[[#Headers],[Casa]],$I1062&lt;&gt;SottocategorieUscite[[#Headers],[Utenze]],$I1062&lt;&gt;SottocategorieUscite[[#Headers],[Business Uscite]],$I1062&lt;&gt;SottocategorieUscite[[#Headers],[Banca]]),"","$ -")</f>
        <v/>
      </c>
      <c r="N1062" s="59" t="str">
        <f>IF(OR(Data!$I1062=SottocategorieEntrate[[#Headers],[Business Entrate]],Data!$I1062=SottocategorieEntrate[[#Headers],[Varie Entrate]]),"$ -","")</f>
        <v/>
      </c>
      <c r="O1062" s="59" t="str">
        <f>IF(OR(Data!$I1062=SottocategorieEntrate[[#Headers],[Real Estate]],SottocategorieEntrate[[#Headers],[Other]]),"$ -","")</f>
        <v/>
      </c>
      <c r="P1062" s="59" t="str">
        <f>IF(OR($I1062&lt;&gt;SottocategorieEntrate[[#Headers],[Business Entrate]],$I1062&lt;&gt;SottocategorieEntrate[[#Headers],[Varie Entrate]],$I1062&lt;&gt;SottocategorieEntrate[[#Headers],[Real Estate]],$I1062&lt;&gt;SottocategorieEntrate[[#Headers],[Other]]),"","$ -")</f>
        <v/>
      </c>
      <c r="Q1062" s="59" t="str">
        <f>IF(Dati[[#This Row],[Categoria]]="Prelievo","€ -","")</f>
        <v/>
      </c>
      <c r="R1062" s="244"/>
      <c r="S1062" s="59" t="str">
        <f>IF(Dati[[#This Row],[Categoria]]="Savings",0,"")</f>
        <v/>
      </c>
      <c r="T1062" s="59"/>
      <c r="U1062" s="59"/>
      <c r="V1062" s="59"/>
      <c r="W1062" s="59"/>
      <c r="X1062" s="59"/>
      <c r="Y1062" s="59"/>
      <c r="Z1062" s="59"/>
      <c r="AA1062" s="59"/>
      <c r="AB1062" s="59"/>
      <c r="AC1062" s="59"/>
      <c r="AD1062" s="59"/>
      <c r="AE1062" s="59"/>
      <c r="AF1062" s="59"/>
      <c r="AG1062" s="59"/>
      <c r="AH1062" s="59"/>
      <c r="AI1062" s="59" t="str">
        <f>IF(SUM(Dati[[#This Row],[Inv. Business]:[Inv. Cryptocurrency]])=0," ",SUM(Dati[[#This Row],[Inv. Business]:[Inv. Cryptocurrency]]))</f>
        <v xml:space="preserve"> </v>
      </c>
      <c r="AJ1062" s="59"/>
      <c r="AK1062" s="59" t="str">
        <f>IF(SUM(Dati[[#This Row],[Inv. Gold]:[Mutuo]])=0," ",SUM(Dati[[#This Row],[Inv. Gold]:[Mutuo]]))</f>
        <v xml:space="preserve"> </v>
      </c>
      <c r="AL1062" s="59"/>
      <c r="AM1062" s="59"/>
    </row>
    <row r="1063" spans="2:39" x14ac:dyDescent="0.35">
      <c r="B1063" s="237">
        <f t="shared" si="56"/>
        <v>1041</v>
      </c>
      <c r="C1063" s="49">
        <f t="shared" si="57"/>
        <v>45675</v>
      </c>
      <c r="D1063" s="29">
        <f>DAY(Dati[[#This Row],[Data]])</f>
        <v>18</v>
      </c>
      <c r="E1063" s="29" t="str">
        <f>IF(DAY(Data!$C$21:$C$1327)&gt;0,TEXT(Data!$C$21:$C$1327, "mmmm"),"")</f>
        <v>gennaio</v>
      </c>
      <c r="F1063" s="29" t="str">
        <f>IF(DAY(Data!$C$21:$C$1327)&gt;0,TEXT(Data!$C$21:$C$1327, "aaaa"),"")</f>
        <v>2025</v>
      </c>
      <c r="I1063" t="str">
        <f>IF(OR(H1063=$B$5,H1063=$B$6,H1063=$B$7,H1063=$B$8,H1063=$B$9,H1063=$B$10,H1063=$B$11,H1063=$B$12,H1063=$B$13,H1063=$B$14),SottocategorieUscite[[#Headers],[Fuori Casa]],IF(OR(H1063=$C$5,H1063=$C$6,H1063=$C$7,H1063=$C$8,H1063=$C$9,H1063=$C$10,H1063=$C$11,H1063=$C$12,H1063=$C$13,H1063=$C$14),SottocategorieUscite[[#Headers],[Varie Uscite]],IF(OR(H1063=$D$5,H1063=$D$6,H1063=$D$7,H1063=$D$8,H1063=$D$9,H1063=$D$10,H1063=$D$11,H1063=$D$12,H1063=$D$13,H1063=$D$14),SottocategorieUscite[[#Headers],[Personali]],IF(OR(H1063=$E$5,H1063=$E$6,H1063=$E$7,H1063=$E$8,H1063=$E$9,H1063=$E$10,H1063=$E$11,H1063=$E$12,H1063=$E$13,H1063=$E$14),SottocategorieUscite[[#Headers],[Lavoro]],IF(OR(H1063=$F$5,H1063=$F$6,H1063=$F$7,H1063=$F$8,H1063=$F$9,H1063=$F$10,H1063=$F$11,H1063=$F$12,H1063=$F$13,H1063=$F$14),SottocategorieUscite[[#Headers],[Casa]],IF(OR(H1063=$G$5,H1063=$G$6,H1063=$G$7,H1063=$G$8,H1063=$G$9,H1063=$G$10,H1063=$G$11,H1063=$G$12,H1063=$G$13,H1063=$G$14),SottocategorieUscite[[#Headers],[Utenze]],IF(OR(H1063=$H$5,H1063=$H$6,H1063=$H$7,H1063=$H$8,H1063=$H$9,H1063=$H$10,H1063=$H$11,H1063=$H$12,H1063=$H$13,H1063=$H$14),SottocategorieUscite[[#Headers],[Business Uscite]],IF(OR(H1063=$I$5,H1063=$I$6,H1063=$I$7,H1063=$I$8,H1063=$I$9,H1063=$I$10,H1063=$I$11,H1063=$I$12,H1063=$I$13,H1063=$I$14),SottocategorieUscite[[#Headers],[Banca]],IF(OR(H1063=K$5,H1063=K$6,H1063=K$7,H1063=K$8,H1063=K$9,H1063=K$10,H1063=K$11,H1063=K$12,H1063=K$13,H1063=K$14),SottocategorieEntrate[[#Headers],[Business Entrate]],IF(OR(H1063=L$5,H1063=L$6,H1063=L$7,H1063=L$8,H1063=L$9,H1063=L$10,H1063=L$11,H1063=L$12,H1063=L$13,H1063=L$14),SottocategorieEntrate[[#Headers],[Varie Entrate]],IF(OR(H1063=M$5,H1063=M$6,H1063=M$7,H1063=M$8,H1063=M$9,H1063=M$10,H1063=M$11,H1063=M$12,H1063=M$13,H1063=M$14),SottocategorieEntrate[[#Headers],[Real Estate]],IF(OR(H1063=N$5,H1063=N$6,H1063=N$7,H1063=N$8,H1063=N$9,H1063=N$10,H1063=N$11,H1063=N$12,H1063=N$13,H1063=N$14),SottocategorieEntrate[[#Headers],[Other]],""))))))))))))</f>
        <v/>
      </c>
      <c r="J1063" t="str">
        <f>IF(OR(Dati[[#This Row],[Categoria]]="Bollette",Dati[[#This Row],[Categoria]]="Conto &amp; Carte BNL",Dati[[#This Row],[Categoria]]="Prelievo",Dati[[#This Row],[Categoria]]="Affitto",Dati[[#This Row],[Categoria]]="BNL(Interessi Creditori)"),"Carta",IF(Dati[[#This Row],[Categoria]]&lt;&gt;0,"Cash",""))</f>
        <v/>
      </c>
      <c r="K1063" s="59" t="str">
        <f>IF(OR(Data!$I1063=SottocategorieUscite[[#Headers],[Fuori Casa]],Data!$I1063=SottocategorieUscite[[#Headers],[Varie Uscite]],Data!$I1063=SottocategorieUscite[[#Headers],[Personali]],Data!$I1063=SottocategorieUscite[[#Headers],[Lavoro]]),"$ -","")</f>
        <v/>
      </c>
      <c r="L1063" s="59" t="str">
        <f>IF(OR(Data!$I1063=SottocategorieUscite[[#Headers],[Casa]],Data!$I1063=SottocategorieUscite[[#Headers],[Utenze]],Data!$I1063=SottocategorieUscite[[#Headers],[Business Uscite]],Data!$I1063=SottocategorieUscite[[#Headers],[Banca]]),"$ -","")</f>
        <v/>
      </c>
      <c r="M1063" s="59" t="str">
        <f>IF(OR($I1063&lt;&gt;SottocategorieUscite[[#Headers],[Fuori Casa]],$I1063&lt;&gt;SottocategorieUscite[[#Headers],[Varie Uscite]],$I1063&lt;&gt;SottocategorieUscite[[#Headers],[Personali]],$I1063&lt;&gt;SottocategorieUscite[[#Headers],[Lavoro]],$I1063&lt;&gt;SottocategorieUscite[[#Headers],[Casa]],$I1063&lt;&gt;SottocategorieUscite[[#Headers],[Utenze]],$I1063&lt;&gt;SottocategorieUscite[[#Headers],[Business Uscite]],$I1063&lt;&gt;SottocategorieUscite[[#Headers],[Banca]]),"","$ -")</f>
        <v/>
      </c>
      <c r="N1063" s="59" t="str">
        <f>IF(OR(Data!$I1063=SottocategorieEntrate[[#Headers],[Business Entrate]],Data!$I1063=SottocategorieEntrate[[#Headers],[Varie Entrate]]),"$ -","")</f>
        <v/>
      </c>
      <c r="O1063" s="59" t="str">
        <f>IF(OR(Data!$I1063=SottocategorieEntrate[[#Headers],[Real Estate]],SottocategorieEntrate[[#Headers],[Other]]),"$ -","")</f>
        <v/>
      </c>
      <c r="P1063" s="59" t="str">
        <f>IF(OR($I1063&lt;&gt;SottocategorieEntrate[[#Headers],[Business Entrate]],$I1063&lt;&gt;SottocategorieEntrate[[#Headers],[Varie Entrate]],$I1063&lt;&gt;SottocategorieEntrate[[#Headers],[Real Estate]],$I1063&lt;&gt;SottocategorieEntrate[[#Headers],[Other]]),"","$ -")</f>
        <v/>
      </c>
      <c r="Q1063" s="59" t="str">
        <f>IF(Dati[[#This Row],[Categoria]]="Prelievo","€ -","")</f>
        <v/>
      </c>
      <c r="R1063" s="244"/>
      <c r="S1063" s="59" t="str">
        <f>IF(Dati[[#This Row],[Categoria]]="Savings",0,"")</f>
        <v/>
      </c>
      <c r="T1063" s="59"/>
      <c r="U1063" s="59"/>
      <c r="V1063" s="59"/>
      <c r="W1063" s="59"/>
      <c r="X1063" s="59"/>
      <c r="Y1063" s="59"/>
      <c r="Z1063" s="59"/>
      <c r="AA1063" s="59"/>
      <c r="AB1063" s="59"/>
      <c r="AC1063" s="59"/>
      <c r="AD1063" s="59"/>
      <c r="AE1063" s="59"/>
      <c r="AF1063" s="59"/>
      <c r="AG1063" s="59"/>
      <c r="AH1063" s="59"/>
      <c r="AI1063" s="59" t="str">
        <f>IF(SUM(Dati[[#This Row],[Inv. Business]:[Inv. Cryptocurrency]])=0," ",SUM(Dati[[#This Row],[Inv. Business]:[Inv. Cryptocurrency]]))</f>
        <v xml:space="preserve"> </v>
      </c>
      <c r="AJ1063" s="59"/>
      <c r="AK1063" s="59" t="str">
        <f>IF(SUM(Dati[[#This Row],[Inv. Gold]:[Mutuo]])=0," ",SUM(Dati[[#This Row],[Inv. Gold]:[Mutuo]]))</f>
        <v xml:space="preserve"> </v>
      </c>
      <c r="AL1063" s="59"/>
      <c r="AM1063" s="59"/>
    </row>
    <row r="1064" spans="2:39" x14ac:dyDescent="0.35">
      <c r="B1064" s="237">
        <f t="shared" si="56"/>
        <v>1042</v>
      </c>
      <c r="C1064" s="49">
        <f t="shared" si="57"/>
        <v>45676</v>
      </c>
      <c r="D1064" s="29">
        <f>DAY(Dati[[#This Row],[Data]])</f>
        <v>19</v>
      </c>
      <c r="E1064" s="29" t="str">
        <f>IF(DAY(Data!$C$21:$C$1327)&gt;0,TEXT(Data!$C$21:$C$1327, "mmmm"),"")</f>
        <v>gennaio</v>
      </c>
      <c r="F1064" s="29" t="str">
        <f>IF(DAY(Data!$C$21:$C$1327)&gt;0,TEXT(Data!$C$21:$C$1327, "aaaa"),"")</f>
        <v>2025</v>
      </c>
      <c r="I1064" t="str">
        <f>IF(OR(H1064=$B$5,H1064=$B$6,H1064=$B$7,H1064=$B$8,H1064=$B$9,H1064=$B$10,H1064=$B$11,H1064=$B$12,H1064=$B$13,H1064=$B$14),SottocategorieUscite[[#Headers],[Fuori Casa]],IF(OR(H1064=$C$5,H1064=$C$6,H1064=$C$7,H1064=$C$8,H1064=$C$9,H1064=$C$10,H1064=$C$11,H1064=$C$12,H1064=$C$13,H1064=$C$14),SottocategorieUscite[[#Headers],[Varie Uscite]],IF(OR(H1064=$D$5,H1064=$D$6,H1064=$D$7,H1064=$D$8,H1064=$D$9,H1064=$D$10,H1064=$D$11,H1064=$D$12,H1064=$D$13,H1064=$D$14),SottocategorieUscite[[#Headers],[Personali]],IF(OR(H1064=$E$5,H1064=$E$6,H1064=$E$7,H1064=$E$8,H1064=$E$9,H1064=$E$10,H1064=$E$11,H1064=$E$12,H1064=$E$13,H1064=$E$14),SottocategorieUscite[[#Headers],[Lavoro]],IF(OR(H1064=$F$5,H1064=$F$6,H1064=$F$7,H1064=$F$8,H1064=$F$9,H1064=$F$10,H1064=$F$11,H1064=$F$12,H1064=$F$13,H1064=$F$14),SottocategorieUscite[[#Headers],[Casa]],IF(OR(H1064=$G$5,H1064=$G$6,H1064=$G$7,H1064=$G$8,H1064=$G$9,H1064=$G$10,H1064=$G$11,H1064=$G$12,H1064=$G$13,H1064=$G$14),SottocategorieUscite[[#Headers],[Utenze]],IF(OR(H1064=$H$5,H1064=$H$6,H1064=$H$7,H1064=$H$8,H1064=$H$9,H1064=$H$10,H1064=$H$11,H1064=$H$12,H1064=$H$13,H1064=$H$14),SottocategorieUscite[[#Headers],[Business Uscite]],IF(OR(H1064=$I$5,H1064=$I$6,H1064=$I$7,H1064=$I$8,H1064=$I$9,H1064=$I$10,H1064=$I$11,H1064=$I$12,H1064=$I$13,H1064=$I$14),SottocategorieUscite[[#Headers],[Banca]],IF(OR(H1064=K$5,H1064=K$6,H1064=K$7,H1064=K$8,H1064=K$9,H1064=K$10,H1064=K$11,H1064=K$12,H1064=K$13,H1064=K$14),SottocategorieEntrate[[#Headers],[Business Entrate]],IF(OR(H1064=L$5,H1064=L$6,H1064=L$7,H1064=L$8,H1064=L$9,H1064=L$10,H1064=L$11,H1064=L$12,H1064=L$13,H1064=L$14),SottocategorieEntrate[[#Headers],[Varie Entrate]],IF(OR(H1064=M$5,H1064=M$6,H1064=M$7,H1064=M$8,H1064=M$9,H1064=M$10,H1064=M$11,H1064=M$12,H1064=M$13,H1064=M$14),SottocategorieEntrate[[#Headers],[Real Estate]],IF(OR(H1064=N$5,H1064=N$6,H1064=N$7,H1064=N$8,H1064=N$9,H1064=N$10,H1064=N$11,H1064=N$12,H1064=N$13,H1064=N$14),SottocategorieEntrate[[#Headers],[Other]],""))))))))))))</f>
        <v/>
      </c>
      <c r="J1064" t="str">
        <f>IF(OR(Dati[[#This Row],[Categoria]]="Bollette",Dati[[#This Row],[Categoria]]="Conto &amp; Carte BNL",Dati[[#This Row],[Categoria]]="Prelievo",Dati[[#This Row],[Categoria]]="Affitto",Dati[[#This Row],[Categoria]]="BNL(Interessi Creditori)"),"Carta",IF(Dati[[#This Row],[Categoria]]&lt;&gt;0,"Cash",""))</f>
        <v/>
      </c>
      <c r="K1064" s="59" t="str">
        <f>IF(OR(Data!$I1064=SottocategorieUscite[[#Headers],[Fuori Casa]],Data!$I1064=SottocategorieUscite[[#Headers],[Varie Uscite]],Data!$I1064=SottocategorieUscite[[#Headers],[Personali]],Data!$I1064=SottocategorieUscite[[#Headers],[Lavoro]]),"$ -","")</f>
        <v/>
      </c>
      <c r="L1064" s="59" t="str">
        <f>IF(OR(Data!$I1064=SottocategorieUscite[[#Headers],[Casa]],Data!$I1064=SottocategorieUscite[[#Headers],[Utenze]],Data!$I1064=SottocategorieUscite[[#Headers],[Business Uscite]],Data!$I1064=SottocategorieUscite[[#Headers],[Banca]]),"$ -","")</f>
        <v/>
      </c>
      <c r="M1064" s="59" t="str">
        <f>IF(OR($I1064&lt;&gt;SottocategorieUscite[[#Headers],[Fuori Casa]],$I1064&lt;&gt;SottocategorieUscite[[#Headers],[Varie Uscite]],$I1064&lt;&gt;SottocategorieUscite[[#Headers],[Personali]],$I1064&lt;&gt;SottocategorieUscite[[#Headers],[Lavoro]],$I1064&lt;&gt;SottocategorieUscite[[#Headers],[Casa]],$I1064&lt;&gt;SottocategorieUscite[[#Headers],[Utenze]],$I1064&lt;&gt;SottocategorieUscite[[#Headers],[Business Uscite]],$I1064&lt;&gt;SottocategorieUscite[[#Headers],[Banca]]),"","$ -")</f>
        <v/>
      </c>
      <c r="N1064" s="59" t="str">
        <f>IF(OR(Data!$I1064=SottocategorieEntrate[[#Headers],[Business Entrate]],Data!$I1064=SottocategorieEntrate[[#Headers],[Varie Entrate]]),"$ -","")</f>
        <v/>
      </c>
      <c r="O1064" s="59" t="str">
        <f>IF(OR(Data!$I1064=SottocategorieEntrate[[#Headers],[Real Estate]],SottocategorieEntrate[[#Headers],[Other]]),"$ -","")</f>
        <v/>
      </c>
      <c r="P1064" s="59" t="str">
        <f>IF(OR($I1064&lt;&gt;SottocategorieEntrate[[#Headers],[Business Entrate]],$I1064&lt;&gt;SottocategorieEntrate[[#Headers],[Varie Entrate]],$I1064&lt;&gt;SottocategorieEntrate[[#Headers],[Real Estate]],$I1064&lt;&gt;SottocategorieEntrate[[#Headers],[Other]]),"","$ -")</f>
        <v/>
      </c>
      <c r="Q1064" s="59" t="str">
        <f>IF(Dati[[#This Row],[Categoria]]="Prelievo","€ -","")</f>
        <v/>
      </c>
      <c r="R1064" s="244"/>
      <c r="S1064" s="59" t="str">
        <f>IF(Dati[[#This Row],[Categoria]]="Savings",0,"")</f>
        <v/>
      </c>
      <c r="T1064" s="59"/>
      <c r="U1064" s="59"/>
      <c r="V1064" s="59"/>
      <c r="W1064" s="59"/>
      <c r="X1064" s="59"/>
      <c r="Y1064" s="59"/>
      <c r="Z1064" s="59"/>
      <c r="AA1064" s="59"/>
      <c r="AB1064" s="59"/>
      <c r="AC1064" s="59"/>
      <c r="AD1064" s="59"/>
      <c r="AE1064" s="59"/>
      <c r="AF1064" s="59"/>
      <c r="AG1064" s="59"/>
      <c r="AH1064" s="59"/>
      <c r="AI1064" s="59" t="str">
        <f>IF(SUM(Dati[[#This Row],[Inv. Business]:[Inv. Cryptocurrency]])=0," ",SUM(Dati[[#This Row],[Inv. Business]:[Inv. Cryptocurrency]]))</f>
        <v xml:space="preserve"> </v>
      </c>
      <c r="AJ1064" s="59"/>
      <c r="AK1064" s="59" t="str">
        <f>IF(SUM(Dati[[#This Row],[Inv. Gold]:[Mutuo]])=0," ",SUM(Dati[[#This Row],[Inv. Gold]:[Mutuo]]))</f>
        <v xml:space="preserve"> </v>
      </c>
      <c r="AL1064" s="59"/>
      <c r="AM1064" s="59"/>
    </row>
    <row r="1065" spans="2:39" x14ac:dyDescent="0.35">
      <c r="B1065" s="237">
        <f t="shared" si="56"/>
        <v>1043</v>
      </c>
      <c r="C1065" s="49">
        <f t="shared" si="57"/>
        <v>45677</v>
      </c>
      <c r="D1065" s="29">
        <f>DAY(Dati[[#This Row],[Data]])</f>
        <v>20</v>
      </c>
      <c r="E1065" s="29" t="str">
        <f>IF(DAY(Data!$C$21:$C$1327)&gt;0,TEXT(Data!$C$21:$C$1327, "mmmm"),"")</f>
        <v>gennaio</v>
      </c>
      <c r="F1065" s="29" t="str">
        <f>IF(DAY(Data!$C$21:$C$1327)&gt;0,TEXT(Data!$C$21:$C$1327, "aaaa"),"")</f>
        <v>2025</v>
      </c>
      <c r="I1065" t="str">
        <f>IF(OR(H1065=$B$5,H1065=$B$6,H1065=$B$7,H1065=$B$8,H1065=$B$9,H1065=$B$10,H1065=$B$11,H1065=$B$12,H1065=$B$13,H1065=$B$14),SottocategorieUscite[[#Headers],[Fuori Casa]],IF(OR(H1065=$C$5,H1065=$C$6,H1065=$C$7,H1065=$C$8,H1065=$C$9,H1065=$C$10,H1065=$C$11,H1065=$C$12,H1065=$C$13,H1065=$C$14),SottocategorieUscite[[#Headers],[Varie Uscite]],IF(OR(H1065=$D$5,H1065=$D$6,H1065=$D$7,H1065=$D$8,H1065=$D$9,H1065=$D$10,H1065=$D$11,H1065=$D$12,H1065=$D$13,H1065=$D$14),SottocategorieUscite[[#Headers],[Personali]],IF(OR(H1065=$E$5,H1065=$E$6,H1065=$E$7,H1065=$E$8,H1065=$E$9,H1065=$E$10,H1065=$E$11,H1065=$E$12,H1065=$E$13,H1065=$E$14),SottocategorieUscite[[#Headers],[Lavoro]],IF(OR(H1065=$F$5,H1065=$F$6,H1065=$F$7,H1065=$F$8,H1065=$F$9,H1065=$F$10,H1065=$F$11,H1065=$F$12,H1065=$F$13,H1065=$F$14),SottocategorieUscite[[#Headers],[Casa]],IF(OR(H1065=$G$5,H1065=$G$6,H1065=$G$7,H1065=$G$8,H1065=$G$9,H1065=$G$10,H1065=$G$11,H1065=$G$12,H1065=$G$13,H1065=$G$14),SottocategorieUscite[[#Headers],[Utenze]],IF(OR(H1065=$H$5,H1065=$H$6,H1065=$H$7,H1065=$H$8,H1065=$H$9,H1065=$H$10,H1065=$H$11,H1065=$H$12,H1065=$H$13,H1065=$H$14),SottocategorieUscite[[#Headers],[Business Uscite]],IF(OR(H1065=$I$5,H1065=$I$6,H1065=$I$7,H1065=$I$8,H1065=$I$9,H1065=$I$10,H1065=$I$11,H1065=$I$12,H1065=$I$13,H1065=$I$14),SottocategorieUscite[[#Headers],[Banca]],IF(OR(H1065=K$5,H1065=K$6,H1065=K$7,H1065=K$8,H1065=K$9,H1065=K$10,H1065=K$11,H1065=K$12,H1065=K$13,H1065=K$14),SottocategorieEntrate[[#Headers],[Business Entrate]],IF(OR(H1065=L$5,H1065=L$6,H1065=L$7,H1065=L$8,H1065=L$9,H1065=L$10,H1065=L$11,H1065=L$12,H1065=L$13,H1065=L$14),SottocategorieEntrate[[#Headers],[Varie Entrate]],IF(OR(H1065=M$5,H1065=M$6,H1065=M$7,H1065=M$8,H1065=M$9,H1065=M$10,H1065=M$11,H1065=M$12,H1065=M$13,H1065=M$14),SottocategorieEntrate[[#Headers],[Real Estate]],IF(OR(H1065=N$5,H1065=N$6,H1065=N$7,H1065=N$8,H1065=N$9,H1065=N$10,H1065=N$11,H1065=N$12,H1065=N$13,H1065=N$14),SottocategorieEntrate[[#Headers],[Other]],""))))))))))))</f>
        <v/>
      </c>
      <c r="J1065" t="str">
        <f>IF(OR(Dati[[#This Row],[Categoria]]="Bollette",Dati[[#This Row],[Categoria]]="Conto &amp; Carte BNL",Dati[[#This Row],[Categoria]]="Prelievo",Dati[[#This Row],[Categoria]]="Affitto",Dati[[#This Row],[Categoria]]="BNL(Interessi Creditori)"),"Carta",IF(Dati[[#This Row],[Categoria]]&lt;&gt;0,"Cash",""))</f>
        <v/>
      </c>
      <c r="K1065" s="59" t="str">
        <f>IF(OR(Data!$I1065=SottocategorieUscite[[#Headers],[Fuori Casa]],Data!$I1065=SottocategorieUscite[[#Headers],[Varie Uscite]],Data!$I1065=SottocategorieUscite[[#Headers],[Personali]],Data!$I1065=SottocategorieUscite[[#Headers],[Lavoro]]),"$ -","")</f>
        <v/>
      </c>
      <c r="L1065" s="59" t="str">
        <f>IF(OR(Data!$I1065=SottocategorieUscite[[#Headers],[Casa]],Data!$I1065=SottocategorieUscite[[#Headers],[Utenze]],Data!$I1065=SottocategorieUscite[[#Headers],[Business Uscite]],Data!$I1065=SottocategorieUscite[[#Headers],[Banca]]),"$ -","")</f>
        <v/>
      </c>
      <c r="M1065" s="59" t="str">
        <f>IF(OR($I1065&lt;&gt;SottocategorieUscite[[#Headers],[Fuori Casa]],$I1065&lt;&gt;SottocategorieUscite[[#Headers],[Varie Uscite]],$I1065&lt;&gt;SottocategorieUscite[[#Headers],[Personali]],$I1065&lt;&gt;SottocategorieUscite[[#Headers],[Lavoro]],$I1065&lt;&gt;SottocategorieUscite[[#Headers],[Casa]],$I1065&lt;&gt;SottocategorieUscite[[#Headers],[Utenze]],$I1065&lt;&gt;SottocategorieUscite[[#Headers],[Business Uscite]],$I1065&lt;&gt;SottocategorieUscite[[#Headers],[Banca]]),"","$ -")</f>
        <v/>
      </c>
      <c r="N1065" s="59" t="str">
        <f>IF(OR(Data!$I1065=SottocategorieEntrate[[#Headers],[Business Entrate]],Data!$I1065=SottocategorieEntrate[[#Headers],[Varie Entrate]]),"$ -","")</f>
        <v/>
      </c>
      <c r="O1065" s="59" t="str">
        <f>IF(OR(Data!$I1065=SottocategorieEntrate[[#Headers],[Real Estate]],SottocategorieEntrate[[#Headers],[Other]]),"$ -","")</f>
        <v/>
      </c>
      <c r="P1065" s="59" t="str">
        <f>IF(OR($I1065&lt;&gt;SottocategorieEntrate[[#Headers],[Business Entrate]],$I1065&lt;&gt;SottocategorieEntrate[[#Headers],[Varie Entrate]],$I1065&lt;&gt;SottocategorieEntrate[[#Headers],[Real Estate]],$I1065&lt;&gt;SottocategorieEntrate[[#Headers],[Other]]),"","$ -")</f>
        <v/>
      </c>
      <c r="Q1065" s="59" t="str">
        <f>IF(Dati[[#This Row],[Categoria]]="Prelievo","€ -","")</f>
        <v/>
      </c>
      <c r="R1065" s="244"/>
      <c r="S1065" s="59" t="str">
        <f>IF(Dati[[#This Row],[Categoria]]="Savings",0,"")</f>
        <v/>
      </c>
      <c r="T1065" s="59"/>
      <c r="U1065" s="59"/>
      <c r="V1065" s="59"/>
      <c r="W1065" s="59"/>
      <c r="X1065" s="59"/>
      <c r="Y1065" s="59"/>
      <c r="Z1065" s="59"/>
      <c r="AA1065" s="59"/>
      <c r="AB1065" s="59"/>
      <c r="AC1065" s="59"/>
      <c r="AD1065" s="59"/>
      <c r="AE1065" s="59"/>
      <c r="AF1065" s="59"/>
      <c r="AG1065" s="59"/>
      <c r="AH1065" s="59"/>
      <c r="AI1065" s="59" t="str">
        <f>IF(SUM(Dati[[#This Row],[Inv. Business]:[Inv. Cryptocurrency]])=0," ",SUM(Dati[[#This Row],[Inv. Business]:[Inv. Cryptocurrency]]))</f>
        <v xml:space="preserve"> </v>
      </c>
      <c r="AJ1065" s="59"/>
      <c r="AK1065" s="59" t="str">
        <f>IF(SUM(Dati[[#This Row],[Inv. Gold]:[Mutuo]])=0," ",SUM(Dati[[#This Row],[Inv. Gold]:[Mutuo]]))</f>
        <v xml:space="preserve"> </v>
      </c>
      <c r="AL1065" s="59"/>
      <c r="AM1065" s="59"/>
    </row>
    <row r="1066" spans="2:39" x14ac:dyDescent="0.35">
      <c r="B1066" s="237">
        <f t="shared" si="56"/>
        <v>1044</v>
      </c>
      <c r="C1066" s="49">
        <f t="shared" si="57"/>
        <v>45678</v>
      </c>
      <c r="D1066" s="29">
        <f>DAY(Dati[[#This Row],[Data]])</f>
        <v>21</v>
      </c>
      <c r="E1066" s="29" t="str">
        <f>IF(DAY(Data!$C$21:$C$1327)&gt;0,TEXT(Data!$C$21:$C$1327, "mmmm"),"")</f>
        <v>gennaio</v>
      </c>
      <c r="F1066" s="29" t="str">
        <f>IF(DAY(Data!$C$21:$C$1327)&gt;0,TEXT(Data!$C$21:$C$1327, "aaaa"),"")</f>
        <v>2025</v>
      </c>
      <c r="I1066" t="str">
        <f>IF(OR(H1066=$B$5,H1066=$B$6,H1066=$B$7,H1066=$B$8,H1066=$B$9,H1066=$B$10,H1066=$B$11,H1066=$B$12,H1066=$B$13,H1066=$B$14),SottocategorieUscite[[#Headers],[Fuori Casa]],IF(OR(H1066=$C$5,H1066=$C$6,H1066=$C$7,H1066=$C$8,H1066=$C$9,H1066=$C$10,H1066=$C$11,H1066=$C$12,H1066=$C$13,H1066=$C$14),SottocategorieUscite[[#Headers],[Varie Uscite]],IF(OR(H1066=$D$5,H1066=$D$6,H1066=$D$7,H1066=$D$8,H1066=$D$9,H1066=$D$10,H1066=$D$11,H1066=$D$12,H1066=$D$13,H1066=$D$14),SottocategorieUscite[[#Headers],[Personali]],IF(OR(H1066=$E$5,H1066=$E$6,H1066=$E$7,H1066=$E$8,H1066=$E$9,H1066=$E$10,H1066=$E$11,H1066=$E$12,H1066=$E$13,H1066=$E$14),SottocategorieUscite[[#Headers],[Lavoro]],IF(OR(H1066=$F$5,H1066=$F$6,H1066=$F$7,H1066=$F$8,H1066=$F$9,H1066=$F$10,H1066=$F$11,H1066=$F$12,H1066=$F$13,H1066=$F$14),SottocategorieUscite[[#Headers],[Casa]],IF(OR(H1066=$G$5,H1066=$G$6,H1066=$G$7,H1066=$G$8,H1066=$G$9,H1066=$G$10,H1066=$G$11,H1066=$G$12,H1066=$G$13,H1066=$G$14),SottocategorieUscite[[#Headers],[Utenze]],IF(OR(H1066=$H$5,H1066=$H$6,H1066=$H$7,H1066=$H$8,H1066=$H$9,H1066=$H$10,H1066=$H$11,H1066=$H$12,H1066=$H$13,H1066=$H$14),SottocategorieUscite[[#Headers],[Business Uscite]],IF(OR(H1066=$I$5,H1066=$I$6,H1066=$I$7,H1066=$I$8,H1066=$I$9,H1066=$I$10,H1066=$I$11,H1066=$I$12,H1066=$I$13,H1066=$I$14),SottocategorieUscite[[#Headers],[Banca]],IF(OR(H1066=K$5,H1066=K$6,H1066=K$7,H1066=K$8,H1066=K$9,H1066=K$10,H1066=K$11,H1066=K$12,H1066=K$13,H1066=K$14),SottocategorieEntrate[[#Headers],[Business Entrate]],IF(OR(H1066=L$5,H1066=L$6,H1066=L$7,H1066=L$8,H1066=L$9,H1066=L$10,H1066=L$11,H1066=L$12,H1066=L$13,H1066=L$14),SottocategorieEntrate[[#Headers],[Varie Entrate]],IF(OR(H1066=M$5,H1066=M$6,H1066=M$7,H1066=M$8,H1066=M$9,H1066=M$10,H1066=M$11,H1066=M$12,H1066=M$13,H1066=M$14),SottocategorieEntrate[[#Headers],[Real Estate]],IF(OR(H1066=N$5,H1066=N$6,H1066=N$7,H1066=N$8,H1066=N$9,H1066=N$10,H1066=N$11,H1066=N$12,H1066=N$13,H1066=N$14),SottocategorieEntrate[[#Headers],[Other]],""))))))))))))</f>
        <v/>
      </c>
      <c r="J1066" t="str">
        <f>IF(OR(Dati[[#This Row],[Categoria]]="Bollette",Dati[[#This Row],[Categoria]]="Conto &amp; Carte BNL",Dati[[#This Row],[Categoria]]="Prelievo",Dati[[#This Row],[Categoria]]="Affitto",Dati[[#This Row],[Categoria]]="BNL(Interessi Creditori)"),"Carta",IF(Dati[[#This Row],[Categoria]]&lt;&gt;0,"Cash",""))</f>
        <v/>
      </c>
      <c r="K1066" s="59" t="str">
        <f>IF(OR(Data!$I1066=SottocategorieUscite[[#Headers],[Fuori Casa]],Data!$I1066=SottocategorieUscite[[#Headers],[Varie Uscite]],Data!$I1066=SottocategorieUscite[[#Headers],[Personali]],Data!$I1066=SottocategorieUscite[[#Headers],[Lavoro]]),"$ -","")</f>
        <v/>
      </c>
      <c r="L1066" s="59" t="str">
        <f>IF(OR(Data!$I1066=SottocategorieUscite[[#Headers],[Casa]],Data!$I1066=SottocategorieUscite[[#Headers],[Utenze]],Data!$I1066=SottocategorieUscite[[#Headers],[Business Uscite]],Data!$I1066=SottocategorieUscite[[#Headers],[Banca]]),"$ -","")</f>
        <v/>
      </c>
      <c r="M1066" s="59" t="str">
        <f>IF(OR($I1066&lt;&gt;SottocategorieUscite[[#Headers],[Fuori Casa]],$I1066&lt;&gt;SottocategorieUscite[[#Headers],[Varie Uscite]],$I1066&lt;&gt;SottocategorieUscite[[#Headers],[Personali]],$I1066&lt;&gt;SottocategorieUscite[[#Headers],[Lavoro]],$I1066&lt;&gt;SottocategorieUscite[[#Headers],[Casa]],$I1066&lt;&gt;SottocategorieUscite[[#Headers],[Utenze]],$I1066&lt;&gt;SottocategorieUscite[[#Headers],[Business Uscite]],$I1066&lt;&gt;SottocategorieUscite[[#Headers],[Banca]]),"","$ -")</f>
        <v/>
      </c>
      <c r="N1066" s="59" t="str">
        <f>IF(OR(Data!$I1066=SottocategorieEntrate[[#Headers],[Business Entrate]],Data!$I1066=SottocategorieEntrate[[#Headers],[Varie Entrate]]),"$ -","")</f>
        <v/>
      </c>
      <c r="O1066" s="59" t="str">
        <f>IF(OR(Data!$I1066=SottocategorieEntrate[[#Headers],[Real Estate]],SottocategorieEntrate[[#Headers],[Other]]),"$ -","")</f>
        <v/>
      </c>
      <c r="P1066" s="59" t="str">
        <f>IF(OR($I1066&lt;&gt;SottocategorieEntrate[[#Headers],[Business Entrate]],$I1066&lt;&gt;SottocategorieEntrate[[#Headers],[Varie Entrate]],$I1066&lt;&gt;SottocategorieEntrate[[#Headers],[Real Estate]],$I1066&lt;&gt;SottocategorieEntrate[[#Headers],[Other]]),"","$ -")</f>
        <v/>
      </c>
      <c r="Q1066" s="59" t="str">
        <f>IF(Dati[[#This Row],[Categoria]]="Prelievo","€ -","")</f>
        <v/>
      </c>
      <c r="R1066" s="244"/>
      <c r="S1066" s="59" t="str">
        <f>IF(Dati[[#This Row],[Categoria]]="Savings",0,"")</f>
        <v/>
      </c>
      <c r="T1066" s="59"/>
      <c r="U1066" s="59"/>
      <c r="V1066" s="59"/>
      <c r="W1066" s="59"/>
      <c r="X1066" s="59"/>
      <c r="Y1066" s="59"/>
      <c r="Z1066" s="59"/>
      <c r="AA1066" s="59"/>
      <c r="AB1066" s="59"/>
      <c r="AC1066" s="59"/>
      <c r="AD1066" s="59"/>
      <c r="AE1066" s="59"/>
      <c r="AF1066" s="59"/>
      <c r="AG1066" s="59"/>
      <c r="AH1066" s="59"/>
      <c r="AI1066" s="59" t="str">
        <f>IF(SUM(Dati[[#This Row],[Inv. Business]:[Inv. Cryptocurrency]])=0," ",SUM(Dati[[#This Row],[Inv. Business]:[Inv. Cryptocurrency]]))</f>
        <v xml:space="preserve"> </v>
      </c>
      <c r="AJ1066" s="59"/>
      <c r="AK1066" s="59" t="str">
        <f>IF(SUM(Dati[[#This Row],[Inv. Gold]:[Mutuo]])=0," ",SUM(Dati[[#This Row],[Inv. Gold]:[Mutuo]]))</f>
        <v xml:space="preserve"> </v>
      </c>
      <c r="AL1066" s="59"/>
      <c r="AM1066" s="59"/>
    </row>
    <row r="1067" spans="2:39" x14ac:dyDescent="0.35">
      <c r="B1067" s="237">
        <f t="shared" si="56"/>
        <v>1045</v>
      </c>
      <c r="C1067" s="49">
        <f t="shared" si="57"/>
        <v>45679</v>
      </c>
      <c r="D1067" s="29">
        <f>DAY(Dati[[#This Row],[Data]])</f>
        <v>22</v>
      </c>
      <c r="E1067" s="29" t="str">
        <f>IF(DAY(Data!$C$21:$C$1327)&gt;0,TEXT(Data!$C$21:$C$1327, "mmmm"),"")</f>
        <v>gennaio</v>
      </c>
      <c r="F1067" s="29" t="str">
        <f>IF(DAY(Data!$C$21:$C$1327)&gt;0,TEXT(Data!$C$21:$C$1327, "aaaa"),"")</f>
        <v>2025</v>
      </c>
      <c r="I1067" t="str">
        <f>IF(OR(H1067=$B$5,H1067=$B$6,H1067=$B$7,H1067=$B$8,H1067=$B$9,H1067=$B$10,H1067=$B$11,H1067=$B$12,H1067=$B$13,H1067=$B$14),SottocategorieUscite[[#Headers],[Fuori Casa]],IF(OR(H1067=$C$5,H1067=$C$6,H1067=$C$7,H1067=$C$8,H1067=$C$9,H1067=$C$10,H1067=$C$11,H1067=$C$12,H1067=$C$13,H1067=$C$14),SottocategorieUscite[[#Headers],[Varie Uscite]],IF(OR(H1067=$D$5,H1067=$D$6,H1067=$D$7,H1067=$D$8,H1067=$D$9,H1067=$D$10,H1067=$D$11,H1067=$D$12,H1067=$D$13,H1067=$D$14),SottocategorieUscite[[#Headers],[Personali]],IF(OR(H1067=$E$5,H1067=$E$6,H1067=$E$7,H1067=$E$8,H1067=$E$9,H1067=$E$10,H1067=$E$11,H1067=$E$12,H1067=$E$13,H1067=$E$14),SottocategorieUscite[[#Headers],[Lavoro]],IF(OR(H1067=$F$5,H1067=$F$6,H1067=$F$7,H1067=$F$8,H1067=$F$9,H1067=$F$10,H1067=$F$11,H1067=$F$12,H1067=$F$13,H1067=$F$14),SottocategorieUscite[[#Headers],[Casa]],IF(OR(H1067=$G$5,H1067=$G$6,H1067=$G$7,H1067=$G$8,H1067=$G$9,H1067=$G$10,H1067=$G$11,H1067=$G$12,H1067=$G$13,H1067=$G$14),SottocategorieUscite[[#Headers],[Utenze]],IF(OR(H1067=$H$5,H1067=$H$6,H1067=$H$7,H1067=$H$8,H1067=$H$9,H1067=$H$10,H1067=$H$11,H1067=$H$12,H1067=$H$13,H1067=$H$14),SottocategorieUscite[[#Headers],[Business Uscite]],IF(OR(H1067=$I$5,H1067=$I$6,H1067=$I$7,H1067=$I$8,H1067=$I$9,H1067=$I$10,H1067=$I$11,H1067=$I$12,H1067=$I$13,H1067=$I$14),SottocategorieUscite[[#Headers],[Banca]],IF(OR(H1067=K$5,H1067=K$6,H1067=K$7,H1067=K$8,H1067=K$9,H1067=K$10,H1067=K$11,H1067=K$12,H1067=K$13,H1067=K$14),SottocategorieEntrate[[#Headers],[Business Entrate]],IF(OR(H1067=L$5,H1067=L$6,H1067=L$7,H1067=L$8,H1067=L$9,H1067=L$10,H1067=L$11,H1067=L$12,H1067=L$13,H1067=L$14),SottocategorieEntrate[[#Headers],[Varie Entrate]],IF(OR(H1067=M$5,H1067=M$6,H1067=M$7,H1067=M$8,H1067=M$9,H1067=M$10,H1067=M$11,H1067=M$12,H1067=M$13,H1067=M$14),SottocategorieEntrate[[#Headers],[Real Estate]],IF(OR(H1067=N$5,H1067=N$6,H1067=N$7,H1067=N$8,H1067=N$9,H1067=N$10,H1067=N$11,H1067=N$12,H1067=N$13,H1067=N$14),SottocategorieEntrate[[#Headers],[Other]],""))))))))))))</f>
        <v/>
      </c>
      <c r="J1067" t="str">
        <f>IF(OR(Dati[[#This Row],[Categoria]]="Bollette",Dati[[#This Row],[Categoria]]="Conto &amp; Carte BNL",Dati[[#This Row],[Categoria]]="Prelievo",Dati[[#This Row],[Categoria]]="Affitto",Dati[[#This Row],[Categoria]]="BNL(Interessi Creditori)"),"Carta",IF(Dati[[#This Row],[Categoria]]&lt;&gt;0,"Cash",""))</f>
        <v/>
      </c>
      <c r="K1067" s="59" t="str">
        <f>IF(OR(Data!$I1067=SottocategorieUscite[[#Headers],[Fuori Casa]],Data!$I1067=SottocategorieUscite[[#Headers],[Varie Uscite]],Data!$I1067=SottocategorieUscite[[#Headers],[Personali]],Data!$I1067=SottocategorieUscite[[#Headers],[Lavoro]]),"$ -","")</f>
        <v/>
      </c>
      <c r="L1067" s="59" t="str">
        <f>IF(OR(Data!$I1067=SottocategorieUscite[[#Headers],[Casa]],Data!$I1067=SottocategorieUscite[[#Headers],[Utenze]],Data!$I1067=SottocategorieUscite[[#Headers],[Business Uscite]],Data!$I1067=SottocategorieUscite[[#Headers],[Banca]]),"$ -","")</f>
        <v/>
      </c>
      <c r="M1067" s="59" t="str">
        <f>IF(OR($I1067&lt;&gt;SottocategorieUscite[[#Headers],[Fuori Casa]],$I1067&lt;&gt;SottocategorieUscite[[#Headers],[Varie Uscite]],$I1067&lt;&gt;SottocategorieUscite[[#Headers],[Personali]],$I1067&lt;&gt;SottocategorieUscite[[#Headers],[Lavoro]],$I1067&lt;&gt;SottocategorieUscite[[#Headers],[Casa]],$I1067&lt;&gt;SottocategorieUscite[[#Headers],[Utenze]],$I1067&lt;&gt;SottocategorieUscite[[#Headers],[Business Uscite]],$I1067&lt;&gt;SottocategorieUscite[[#Headers],[Banca]]),"","$ -")</f>
        <v/>
      </c>
      <c r="N1067" s="59" t="str">
        <f>IF(OR(Data!$I1067=SottocategorieEntrate[[#Headers],[Business Entrate]],Data!$I1067=SottocategorieEntrate[[#Headers],[Varie Entrate]]),"$ -","")</f>
        <v/>
      </c>
      <c r="O1067" s="59" t="str">
        <f>IF(OR(Data!$I1067=SottocategorieEntrate[[#Headers],[Real Estate]],SottocategorieEntrate[[#Headers],[Other]]),"$ -","")</f>
        <v/>
      </c>
      <c r="P1067" s="59" t="str">
        <f>IF(OR($I1067&lt;&gt;SottocategorieEntrate[[#Headers],[Business Entrate]],$I1067&lt;&gt;SottocategorieEntrate[[#Headers],[Varie Entrate]],$I1067&lt;&gt;SottocategorieEntrate[[#Headers],[Real Estate]],$I1067&lt;&gt;SottocategorieEntrate[[#Headers],[Other]]),"","$ -")</f>
        <v/>
      </c>
      <c r="Q1067" s="59" t="str">
        <f>IF(Dati[[#This Row],[Categoria]]="Prelievo","€ -","")</f>
        <v/>
      </c>
      <c r="R1067" s="244"/>
      <c r="S1067" s="59" t="str">
        <f>IF(Dati[[#This Row],[Categoria]]="Savings",0,"")</f>
        <v/>
      </c>
      <c r="T1067" s="59"/>
      <c r="U1067" s="59"/>
      <c r="V1067" s="59"/>
      <c r="W1067" s="59"/>
      <c r="X1067" s="59"/>
      <c r="Y1067" s="59"/>
      <c r="Z1067" s="59"/>
      <c r="AA1067" s="59"/>
      <c r="AB1067" s="59"/>
      <c r="AC1067" s="59"/>
      <c r="AD1067" s="59"/>
      <c r="AE1067" s="59"/>
      <c r="AF1067" s="59"/>
      <c r="AG1067" s="59"/>
      <c r="AH1067" s="59"/>
      <c r="AI1067" s="59" t="str">
        <f>IF(SUM(Dati[[#This Row],[Inv. Business]:[Inv. Cryptocurrency]])=0," ",SUM(Dati[[#This Row],[Inv. Business]:[Inv. Cryptocurrency]]))</f>
        <v xml:space="preserve"> </v>
      </c>
      <c r="AJ1067" s="59"/>
      <c r="AK1067" s="59" t="str">
        <f>IF(SUM(Dati[[#This Row],[Inv. Gold]:[Mutuo]])=0," ",SUM(Dati[[#This Row],[Inv. Gold]:[Mutuo]]))</f>
        <v xml:space="preserve"> </v>
      </c>
      <c r="AL1067" s="59"/>
      <c r="AM1067" s="59"/>
    </row>
    <row r="1068" spans="2:39" x14ac:dyDescent="0.35">
      <c r="B1068" s="237">
        <f t="shared" ref="B1068:B1109" si="58">ROW(1048:1048)</f>
        <v>1048</v>
      </c>
      <c r="C1068" s="49">
        <f t="shared" si="57"/>
        <v>45680</v>
      </c>
      <c r="D1068" s="29">
        <f>DAY(Dati[[#This Row],[Data]])</f>
        <v>23</v>
      </c>
      <c r="E1068" s="29" t="str">
        <f>IF(DAY(Data!$C$21:$C$1327)&gt;0,TEXT(Data!$C$21:$C$1327, "mmmm"),"")</f>
        <v>gennaio</v>
      </c>
      <c r="F1068" s="29" t="str">
        <f>IF(DAY(Data!$C$21:$C$1327)&gt;0,TEXT(Data!$C$21:$C$1327, "aaaa"),"")</f>
        <v>2025</v>
      </c>
      <c r="I1068" t="str">
        <f>IF(OR(H1068=$B$5,H1068=$B$6,H1068=$B$7,H1068=$B$8,H1068=$B$9,H1068=$B$10,H1068=$B$11,H1068=$B$12,H1068=$B$13,H1068=$B$14),SottocategorieUscite[[#Headers],[Fuori Casa]],IF(OR(H1068=$C$5,H1068=$C$6,H1068=$C$7,H1068=$C$8,H1068=$C$9,H1068=$C$10,H1068=$C$11,H1068=$C$12,H1068=$C$13,H1068=$C$14),SottocategorieUscite[[#Headers],[Varie Uscite]],IF(OR(H1068=$D$5,H1068=$D$6,H1068=$D$7,H1068=$D$8,H1068=$D$9,H1068=$D$10,H1068=$D$11,H1068=$D$12,H1068=$D$13,H1068=$D$14),SottocategorieUscite[[#Headers],[Personali]],IF(OR(H1068=$E$5,H1068=$E$6,H1068=$E$7,H1068=$E$8,H1068=$E$9,H1068=$E$10,H1068=$E$11,H1068=$E$12,H1068=$E$13,H1068=$E$14),SottocategorieUscite[[#Headers],[Lavoro]],IF(OR(H1068=$F$5,H1068=$F$6,H1068=$F$7,H1068=$F$8,H1068=$F$9,H1068=$F$10,H1068=$F$11,H1068=$F$12,H1068=$F$13,H1068=$F$14),SottocategorieUscite[[#Headers],[Casa]],IF(OR(H1068=$G$5,H1068=$G$6,H1068=$G$7,H1068=$G$8,H1068=$G$9,H1068=$G$10,H1068=$G$11,H1068=$G$12,H1068=$G$13,H1068=$G$14),SottocategorieUscite[[#Headers],[Utenze]],IF(OR(H1068=$H$5,H1068=$H$6,H1068=$H$7,H1068=$H$8,H1068=$H$9,H1068=$H$10,H1068=$H$11,H1068=$H$12,H1068=$H$13,H1068=$H$14),SottocategorieUscite[[#Headers],[Business Uscite]],IF(OR(H1068=$I$5,H1068=$I$6,H1068=$I$7,H1068=$I$8,H1068=$I$9,H1068=$I$10,H1068=$I$11,H1068=$I$12,H1068=$I$13,H1068=$I$14),SottocategorieUscite[[#Headers],[Banca]],IF(OR(H1068=K$5,H1068=K$6,H1068=K$7,H1068=K$8,H1068=K$9,H1068=K$10,H1068=K$11,H1068=K$12,H1068=K$13,H1068=K$14),SottocategorieEntrate[[#Headers],[Business Entrate]],IF(OR(H1068=L$5,H1068=L$6,H1068=L$7,H1068=L$8,H1068=L$9,H1068=L$10,H1068=L$11,H1068=L$12,H1068=L$13,H1068=L$14),SottocategorieEntrate[[#Headers],[Varie Entrate]],IF(OR(H1068=M$5,H1068=M$6,H1068=M$7,H1068=M$8,H1068=M$9,H1068=M$10,H1068=M$11,H1068=M$12,H1068=M$13,H1068=M$14),SottocategorieEntrate[[#Headers],[Real Estate]],IF(OR(H1068=N$5,H1068=N$6,H1068=N$7,H1068=N$8,H1068=N$9,H1068=N$10,H1068=N$11,H1068=N$12,H1068=N$13,H1068=N$14),SottocategorieEntrate[[#Headers],[Other]],""))))))))))))</f>
        <v/>
      </c>
      <c r="J1068" t="str">
        <f>IF(OR(Dati[[#This Row],[Categoria]]="Bollette",Dati[[#This Row],[Categoria]]="Conto &amp; Carte BNL",Dati[[#This Row],[Categoria]]="Prelievo",Dati[[#This Row],[Categoria]]="Affitto",Dati[[#This Row],[Categoria]]="BNL(Interessi Creditori)"),"Carta",IF(Dati[[#This Row],[Categoria]]&lt;&gt;0,"Cash",""))</f>
        <v/>
      </c>
      <c r="K1068" s="59" t="str">
        <f>IF(OR(Data!$I1068=SottocategorieUscite[[#Headers],[Fuori Casa]],Data!$I1068=SottocategorieUscite[[#Headers],[Varie Uscite]],Data!$I1068=SottocategorieUscite[[#Headers],[Personali]],Data!$I1068=SottocategorieUscite[[#Headers],[Lavoro]]),"$ -","")</f>
        <v/>
      </c>
      <c r="L1068" s="59" t="str">
        <f>IF(OR(Data!$I1068=SottocategorieUscite[[#Headers],[Casa]],Data!$I1068=SottocategorieUscite[[#Headers],[Utenze]],Data!$I1068=SottocategorieUscite[[#Headers],[Business Uscite]],Data!$I1068=SottocategorieUscite[[#Headers],[Banca]]),"$ -","")</f>
        <v/>
      </c>
      <c r="M1068" s="59" t="str">
        <f>IF(OR($I1068&lt;&gt;SottocategorieUscite[[#Headers],[Fuori Casa]],$I1068&lt;&gt;SottocategorieUscite[[#Headers],[Varie Uscite]],$I1068&lt;&gt;SottocategorieUscite[[#Headers],[Personali]],$I1068&lt;&gt;SottocategorieUscite[[#Headers],[Lavoro]],$I1068&lt;&gt;SottocategorieUscite[[#Headers],[Casa]],$I1068&lt;&gt;SottocategorieUscite[[#Headers],[Utenze]],$I1068&lt;&gt;SottocategorieUscite[[#Headers],[Business Uscite]],$I1068&lt;&gt;SottocategorieUscite[[#Headers],[Banca]]),"","$ -")</f>
        <v/>
      </c>
      <c r="N1068" s="59" t="str">
        <f>IF(OR(Data!$I1068=SottocategorieEntrate[[#Headers],[Business Entrate]],Data!$I1068=SottocategorieEntrate[[#Headers],[Varie Entrate]]),"$ -","")</f>
        <v/>
      </c>
      <c r="O1068" s="59" t="str">
        <f>IF(OR(Data!$I1068=SottocategorieEntrate[[#Headers],[Real Estate]],SottocategorieEntrate[[#Headers],[Other]]),"$ -","")</f>
        <v/>
      </c>
      <c r="P1068" s="59" t="str">
        <f>IF(OR($I1068&lt;&gt;SottocategorieEntrate[[#Headers],[Business Entrate]],$I1068&lt;&gt;SottocategorieEntrate[[#Headers],[Varie Entrate]],$I1068&lt;&gt;SottocategorieEntrate[[#Headers],[Real Estate]],$I1068&lt;&gt;SottocategorieEntrate[[#Headers],[Other]]),"","$ -")</f>
        <v/>
      </c>
      <c r="Q1068" s="59" t="str">
        <f>IF(Dati[[#This Row],[Categoria]]="Prelievo","€ -","")</f>
        <v/>
      </c>
      <c r="R1068" s="244"/>
      <c r="S1068" s="59" t="str">
        <f>IF(Dati[[#This Row],[Categoria]]="Savings",0,"")</f>
        <v/>
      </c>
      <c r="T1068" s="59"/>
      <c r="U1068" s="59"/>
      <c r="V1068" s="59"/>
      <c r="W1068" s="59"/>
      <c r="X1068" s="59"/>
      <c r="Y1068" s="59"/>
      <c r="Z1068" s="59"/>
      <c r="AA1068" s="59"/>
      <c r="AB1068" s="59"/>
      <c r="AC1068" s="59"/>
      <c r="AD1068" s="59"/>
      <c r="AE1068" s="59"/>
      <c r="AF1068" s="59"/>
      <c r="AG1068" s="59"/>
      <c r="AH1068" s="59"/>
      <c r="AI1068" s="59" t="str">
        <f>IF(SUM(Dati[[#This Row],[Inv. Business]:[Inv. Cryptocurrency]])=0," ",SUM(Dati[[#This Row],[Inv. Business]:[Inv. Cryptocurrency]]))</f>
        <v xml:space="preserve"> </v>
      </c>
      <c r="AJ1068" s="59"/>
      <c r="AK1068" s="59" t="str">
        <f>IF(SUM(Dati[[#This Row],[Inv. Gold]:[Mutuo]])=0," ",SUM(Dati[[#This Row],[Inv. Gold]:[Mutuo]]))</f>
        <v xml:space="preserve"> </v>
      </c>
      <c r="AL1068" s="59"/>
      <c r="AM1068" s="59"/>
    </row>
    <row r="1069" spans="2:39" x14ac:dyDescent="0.35">
      <c r="B1069" s="237">
        <f t="shared" si="58"/>
        <v>1049</v>
      </c>
      <c r="C1069" s="49">
        <f t="shared" si="57"/>
        <v>45681</v>
      </c>
      <c r="D1069" s="29">
        <f>DAY(Dati[[#This Row],[Data]])</f>
        <v>24</v>
      </c>
      <c r="E1069" s="29" t="str">
        <f>IF(DAY(Data!$C$21:$C$1327)&gt;0,TEXT(Data!$C$21:$C$1327, "mmmm"),"")</f>
        <v>gennaio</v>
      </c>
      <c r="F1069" s="29" t="str">
        <f>IF(DAY(Data!$C$21:$C$1327)&gt;0,TEXT(Data!$C$21:$C$1327, "aaaa"),"")</f>
        <v>2025</v>
      </c>
      <c r="I1069" t="str">
        <f>IF(OR(H1069=$B$5,H1069=$B$6,H1069=$B$7,H1069=$B$8,H1069=$B$9,H1069=$B$10,H1069=$B$11,H1069=$B$12,H1069=$B$13,H1069=$B$14),SottocategorieUscite[[#Headers],[Fuori Casa]],IF(OR(H1069=$C$5,H1069=$C$6,H1069=$C$7,H1069=$C$8,H1069=$C$9,H1069=$C$10,H1069=$C$11,H1069=$C$12,H1069=$C$13,H1069=$C$14),SottocategorieUscite[[#Headers],[Varie Uscite]],IF(OR(H1069=$D$5,H1069=$D$6,H1069=$D$7,H1069=$D$8,H1069=$D$9,H1069=$D$10,H1069=$D$11,H1069=$D$12,H1069=$D$13,H1069=$D$14),SottocategorieUscite[[#Headers],[Personali]],IF(OR(H1069=$E$5,H1069=$E$6,H1069=$E$7,H1069=$E$8,H1069=$E$9,H1069=$E$10,H1069=$E$11,H1069=$E$12,H1069=$E$13,H1069=$E$14),SottocategorieUscite[[#Headers],[Lavoro]],IF(OR(H1069=$F$5,H1069=$F$6,H1069=$F$7,H1069=$F$8,H1069=$F$9,H1069=$F$10,H1069=$F$11,H1069=$F$12,H1069=$F$13,H1069=$F$14),SottocategorieUscite[[#Headers],[Casa]],IF(OR(H1069=$G$5,H1069=$G$6,H1069=$G$7,H1069=$G$8,H1069=$G$9,H1069=$G$10,H1069=$G$11,H1069=$G$12,H1069=$G$13,H1069=$G$14),SottocategorieUscite[[#Headers],[Utenze]],IF(OR(H1069=$H$5,H1069=$H$6,H1069=$H$7,H1069=$H$8,H1069=$H$9,H1069=$H$10,H1069=$H$11,H1069=$H$12,H1069=$H$13,H1069=$H$14),SottocategorieUscite[[#Headers],[Business Uscite]],IF(OR(H1069=$I$5,H1069=$I$6,H1069=$I$7,H1069=$I$8,H1069=$I$9,H1069=$I$10,H1069=$I$11,H1069=$I$12,H1069=$I$13,H1069=$I$14),SottocategorieUscite[[#Headers],[Banca]],IF(OR(H1069=K$5,H1069=K$6,H1069=K$7,H1069=K$8,H1069=K$9,H1069=K$10,H1069=K$11,H1069=K$12,H1069=K$13,H1069=K$14),SottocategorieEntrate[[#Headers],[Business Entrate]],IF(OR(H1069=L$5,H1069=L$6,H1069=L$7,H1069=L$8,H1069=L$9,H1069=L$10,H1069=L$11,H1069=L$12,H1069=L$13,H1069=L$14),SottocategorieEntrate[[#Headers],[Varie Entrate]],IF(OR(H1069=M$5,H1069=M$6,H1069=M$7,H1069=M$8,H1069=M$9,H1069=M$10,H1069=M$11,H1069=M$12,H1069=M$13,H1069=M$14),SottocategorieEntrate[[#Headers],[Real Estate]],IF(OR(H1069=N$5,H1069=N$6,H1069=N$7,H1069=N$8,H1069=N$9,H1069=N$10,H1069=N$11,H1069=N$12,H1069=N$13,H1069=N$14),SottocategorieEntrate[[#Headers],[Other]],""))))))))))))</f>
        <v/>
      </c>
      <c r="J1069" t="str">
        <f>IF(OR(Dati[[#This Row],[Categoria]]="Bollette",Dati[[#This Row],[Categoria]]="Conto &amp; Carte BNL",Dati[[#This Row],[Categoria]]="Prelievo",Dati[[#This Row],[Categoria]]="Affitto",Dati[[#This Row],[Categoria]]="BNL(Interessi Creditori)"),"Carta",IF(Dati[[#This Row],[Categoria]]&lt;&gt;0,"Cash",""))</f>
        <v/>
      </c>
      <c r="K1069" s="59" t="str">
        <f>IF(OR(Data!$I1069=SottocategorieUscite[[#Headers],[Fuori Casa]],Data!$I1069=SottocategorieUscite[[#Headers],[Varie Uscite]],Data!$I1069=SottocategorieUscite[[#Headers],[Personali]],Data!$I1069=SottocategorieUscite[[#Headers],[Lavoro]]),"$ -","")</f>
        <v/>
      </c>
      <c r="L1069" s="59" t="str">
        <f>IF(OR(Data!$I1069=SottocategorieUscite[[#Headers],[Casa]],Data!$I1069=SottocategorieUscite[[#Headers],[Utenze]],Data!$I1069=SottocategorieUscite[[#Headers],[Business Uscite]],Data!$I1069=SottocategorieUscite[[#Headers],[Banca]]),"$ -","")</f>
        <v/>
      </c>
      <c r="M1069" s="59" t="str">
        <f>IF(OR($I1069&lt;&gt;SottocategorieUscite[[#Headers],[Fuori Casa]],$I1069&lt;&gt;SottocategorieUscite[[#Headers],[Varie Uscite]],$I1069&lt;&gt;SottocategorieUscite[[#Headers],[Personali]],$I1069&lt;&gt;SottocategorieUscite[[#Headers],[Lavoro]],$I1069&lt;&gt;SottocategorieUscite[[#Headers],[Casa]],$I1069&lt;&gt;SottocategorieUscite[[#Headers],[Utenze]],$I1069&lt;&gt;SottocategorieUscite[[#Headers],[Business Uscite]],$I1069&lt;&gt;SottocategorieUscite[[#Headers],[Banca]]),"","$ -")</f>
        <v/>
      </c>
      <c r="N1069" s="59" t="str">
        <f>IF(OR(Data!$I1069=SottocategorieEntrate[[#Headers],[Business Entrate]],Data!$I1069=SottocategorieEntrate[[#Headers],[Varie Entrate]]),"$ -","")</f>
        <v/>
      </c>
      <c r="O1069" s="59" t="str">
        <f>IF(OR(Data!$I1069=SottocategorieEntrate[[#Headers],[Real Estate]],SottocategorieEntrate[[#Headers],[Other]]),"$ -","")</f>
        <v/>
      </c>
      <c r="P1069" s="59" t="str">
        <f>IF(OR($I1069&lt;&gt;SottocategorieEntrate[[#Headers],[Business Entrate]],$I1069&lt;&gt;SottocategorieEntrate[[#Headers],[Varie Entrate]],$I1069&lt;&gt;SottocategorieEntrate[[#Headers],[Real Estate]],$I1069&lt;&gt;SottocategorieEntrate[[#Headers],[Other]]),"","$ -")</f>
        <v/>
      </c>
      <c r="Q1069" s="59" t="str">
        <f>IF(Dati[[#This Row],[Categoria]]="Prelievo","€ -","")</f>
        <v/>
      </c>
      <c r="R1069" s="244"/>
      <c r="S1069" s="59" t="str">
        <f>IF(Dati[[#This Row],[Categoria]]="Savings",0,"")</f>
        <v/>
      </c>
      <c r="T1069" s="59"/>
      <c r="U1069" s="59"/>
      <c r="V1069" s="59"/>
      <c r="W1069" s="59"/>
      <c r="X1069" s="59"/>
      <c r="Y1069" s="59"/>
      <c r="Z1069" s="59"/>
      <c r="AA1069" s="59"/>
      <c r="AB1069" s="59"/>
      <c r="AC1069" s="59"/>
      <c r="AD1069" s="59"/>
      <c r="AE1069" s="59"/>
      <c r="AF1069" s="59"/>
      <c r="AG1069" s="59"/>
      <c r="AH1069" s="59"/>
      <c r="AI1069" s="59" t="str">
        <f>IF(SUM(Dati[[#This Row],[Inv. Business]:[Inv. Cryptocurrency]])=0," ",SUM(Dati[[#This Row],[Inv. Business]:[Inv. Cryptocurrency]]))</f>
        <v xml:space="preserve"> </v>
      </c>
      <c r="AJ1069" s="59"/>
      <c r="AK1069" s="59" t="str">
        <f>IF(SUM(Dati[[#This Row],[Inv. Gold]:[Mutuo]])=0," ",SUM(Dati[[#This Row],[Inv. Gold]:[Mutuo]]))</f>
        <v xml:space="preserve"> </v>
      </c>
      <c r="AL1069" s="59"/>
      <c r="AM1069" s="59"/>
    </row>
    <row r="1070" spans="2:39" x14ac:dyDescent="0.35">
      <c r="B1070" s="237">
        <f t="shared" si="58"/>
        <v>1050</v>
      </c>
      <c r="C1070" s="49">
        <f t="shared" si="57"/>
        <v>45682</v>
      </c>
      <c r="D1070" s="29">
        <f>DAY(Dati[[#This Row],[Data]])</f>
        <v>25</v>
      </c>
      <c r="E1070" s="29" t="str">
        <f>IF(DAY(Data!$C$21:$C$1327)&gt;0,TEXT(Data!$C$21:$C$1327, "mmmm"),"")</f>
        <v>gennaio</v>
      </c>
      <c r="F1070" s="29" t="str">
        <f>IF(DAY(Data!$C$21:$C$1327)&gt;0,TEXT(Data!$C$21:$C$1327, "aaaa"),"")</f>
        <v>2025</v>
      </c>
      <c r="I1070" t="str">
        <f>IF(OR(H1070=$B$5,H1070=$B$6,H1070=$B$7,H1070=$B$8,H1070=$B$9,H1070=$B$10,H1070=$B$11,H1070=$B$12,H1070=$B$13,H1070=$B$14),SottocategorieUscite[[#Headers],[Fuori Casa]],IF(OR(H1070=$C$5,H1070=$C$6,H1070=$C$7,H1070=$C$8,H1070=$C$9,H1070=$C$10,H1070=$C$11,H1070=$C$12,H1070=$C$13,H1070=$C$14),SottocategorieUscite[[#Headers],[Varie Uscite]],IF(OR(H1070=$D$5,H1070=$D$6,H1070=$D$7,H1070=$D$8,H1070=$D$9,H1070=$D$10,H1070=$D$11,H1070=$D$12,H1070=$D$13,H1070=$D$14),SottocategorieUscite[[#Headers],[Personali]],IF(OR(H1070=$E$5,H1070=$E$6,H1070=$E$7,H1070=$E$8,H1070=$E$9,H1070=$E$10,H1070=$E$11,H1070=$E$12,H1070=$E$13,H1070=$E$14),SottocategorieUscite[[#Headers],[Lavoro]],IF(OR(H1070=$F$5,H1070=$F$6,H1070=$F$7,H1070=$F$8,H1070=$F$9,H1070=$F$10,H1070=$F$11,H1070=$F$12,H1070=$F$13,H1070=$F$14),SottocategorieUscite[[#Headers],[Casa]],IF(OR(H1070=$G$5,H1070=$G$6,H1070=$G$7,H1070=$G$8,H1070=$G$9,H1070=$G$10,H1070=$G$11,H1070=$G$12,H1070=$G$13,H1070=$G$14),SottocategorieUscite[[#Headers],[Utenze]],IF(OR(H1070=$H$5,H1070=$H$6,H1070=$H$7,H1070=$H$8,H1070=$H$9,H1070=$H$10,H1070=$H$11,H1070=$H$12,H1070=$H$13,H1070=$H$14),SottocategorieUscite[[#Headers],[Business Uscite]],IF(OR(H1070=$I$5,H1070=$I$6,H1070=$I$7,H1070=$I$8,H1070=$I$9,H1070=$I$10,H1070=$I$11,H1070=$I$12,H1070=$I$13,H1070=$I$14),SottocategorieUscite[[#Headers],[Banca]],IF(OR(H1070=K$5,H1070=K$6,H1070=K$7,H1070=K$8,H1070=K$9,H1070=K$10,H1070=K$11,H1070=K$12,H1070=K$13,H1070=K$14),SottocategorieEntrate[[#Headers],[Business Entrate]],IF(OR(H1070=L$5,H1070=L$6,H1070=L$7,H1070=L$8,H1070=L$9,H1070=L$10,H1070=L$11,H1070=L$12,H1070=L$13,H1070=L$14),SottocategorieEntrate[[#Headers],[Varie Entrate]],IF(OR(H1070=M$5,H1070=M$6,H1070=M$7,H1070=M$8,H1070=M$9,H1070=M$10,H1070=M$11,H1070=M$12,H1070=M$13,H1070=M$14),SottocategorieEntrate[[#Headers],[Real Estate]],IF(OR(H1070=N$5,H1070=N$6,H1070=N$7,H1070=N$8,H1070=N$9,H1070=N$10,H1070=N$11,H1070=N$12,H1070=N$13,H1070=N$14),SottocategorieEntrate[[#Headers],[Other]],""))))))))))))</f>
        <v/>
      </c>
      <c r="J1070" t="str">
        <f>IF(OR(Dati[[#This Row],[Categoria]]="Bollette",Dati[[#This Row],[Categoria]]="Conto &amp; Carte BNL",Dati[[#This Row],[Categoria]]="Prelievo",Dati[[#This Row],[Categoria]]="Affitto",Dati[[#This Row],[Categoria]]="BNL(Interessi Creditori)"),"Carta",IF(Dati[[#This Row],[Categoria]]&lt;&gt;0,"Cash",""))</f>
        <v/>
      </c>
      <c r="K1070" s="59" t="str">
        <f>IF(OR(Data!$I1070=SottocategorieUscite[[#Headers],[Fuori Casa]],Data!$I1070=SottocategorieUscite[[#Headers],[Varie Uscite]],Data!$I1070=SottocategorieUscite[[#Headers],[Personali]],Data!$I1070=SottocategorieUscite[[#Headers],[Lavoro]]),"$ -","")</f>
        <v/>
      </c>
      <c r="L1070" s="59" t="str">
        <f>IF(OR(Data!$I1070=SottocategorieUscite[[#Headers],[Casa]],Data!$I1070=SottocategorieUscite[[#Headers],[Utenze]],Data!$I1070=SottocategorieUscite[[#Headers],[Business Uscite]],Data!$I1070=SottocategorieUscite[[#Headers],[Banca]]),"$ -","")</f>
        <v/>
      </c>
      <c r="M1070" s="59" t="str">
        <f>IF(OR($I1070&lt;&gt;SottocategorieUscite[[#Headers],[Fuori Casa]],$I1070&lt;&gt;SottocategorieUscite[[#Headers],[Varie Uscite]],$I1070&lt;&gt;SottocategorieUscite[[#Headers],[Personali]],$I1070&lt;&gt;SottocategorieUscite[[#Headers],[Lavoro]],$I1070&lt;&gt;SottocategorieUscite[[#Headers],[Casa]],$I1070&lt;&gt;SottocategorieUscite[[#Headers],[Utenze]],$I1070&lt;&gt;SottocategorieUscite[[#Headers],[Business Uscite]],$I1070&lt;&gt;SottocategorieUscite[[#Headers],[Banca]]),"","$ -")</f>
        <v/>
      </c>
      <c r="N1070" s="59" t="str">
        <f>IF(OR(Data!$I1070=SottocategorieEntrate[[#Headers],[Business Entrate]],Data!$I1070=SottocategorieEntrate[[#Headers],[Varie Entrate]]),"$ -","")</f>
        <v/>
      </c>
      <c r="O1070" s="59" t="str">
        <f>IF(OR(Data!$I1070=SottocategorieEntrate[[#Headers],[Real Estate]],SottocategorieEntrate[[#Headers],[Other]]),"$ -","")</f>
        <v/>
      </c>
      <c r="P1070" s="59" t="str">
        <f>IF(OR($I1070&lt;&gt;SottocategorieEntrate[[#Headers],[Business Entrate]],$I1070&lt;&gt;SottocategorieEntrate[[#Headers],[Varie Entrate]],$I1070&lt;&gt;SottocategorieEntrate[[#Headers],[Real Estate]],$I1070&lt;&gt;SottocategorieEntrate[[#Headers],[Other]]),"","$ -")</f>
        <v/>
      </c>
      <c r="Q1070" s="59" t="str">
        <f>IF(Dati[[#This Row],[Categoria]]="Prelievo","€ -","")</f>
        <v/>
      </c>
      <c r="R1070" s="244"/>
      <c r="S1070" s="59" t="str">
        <f>IF(Dati[[#This Row],[Categoria]]="Savings",0,"")</f>
        <v/>
      </c>
      <c r="T1070" s="59"/>
      <c r="U1070" s="59"/>
      <c r="V1070" s="59"/>
      <c r="W1070" s="59"/>
      <c r="X1070" s="59"/>
      <c r="Y1070" s="59"/>
      <c r="Z1070" s="59"/>
      <c r="AA1070" s="59"/>
      <c r="AB1070" s="59"/>
      <c r="AC1070" s="59"/>
      <c r="AD1070" s="59"/>
      <c r="AE1070" s="59"/>
      <c r="AF1070" s="59"/>
      <c r="AG1070" s="59"/>
      <c r="AH1070" s="59"/>
      <c r="AI1070" s="59" t="str">
        <f>IF(SUM(Dati[[#This Row],[Inv. Business]:[Inv. Cryptocurrency]])=0," ",SUM(Dati[[#This Row],[Inv. Business]:[Inv. Cryptocurrency]]))</f>
        <v xml:space="preserve"> </v>
      </c>
      <c r="AJ1070" s="59"/>
      <c r="AK1070" s="59" t="str">
        <f>IF(SUM(Dati[[#This Row],[Inv. Gold]:[Mutuo]])=0," ",SUM(Dati[[#This Row],[Inv. Gold]:[Mutuo]]))</f>
        <v xml:space="preserve"> </v>
      </c>
      <c r="AL1070" s="59"/>
      <c r="AM1070" s="59"/>
    </row>
    <row r="1071" spans="2:39" x14ac:dyDescent="0.35">
      <c r="B1071" s="237">
        <f t="shared" si="58"/>
        <v>1051</v>
      </c>
      <c r="C1071" s="49">
        <f t="shared" si="57"/>
        <v>45683</v>
      </c>
      <c r="D1071" s="29">
        <f>DAY(Dati[[#This Row],[Data]])</f>
        <v>26</v>
      </c>
      <c r="E1071" s="29" t="str">
        <f>IF(DAY(Data!$C$21:$C$1327)&gt;0,TEXT(Data!$C$21:$C$1327, "mmmm"),"")</f>
        <v>gennaio</v>
      </c>
      <c r="F1071" s="29" t="str">
        <f>IF(DAY(Data!$C$21:$C$1327)&gt;0,TEXT(Data!$C$21:$C$1327, "aaaa"),"")</f>
        <v>2025</v>
      </c>
      <c r="I1071" t="str">
        <f>IF(OR(H1071=$B$5,H1071=$B$6,H1071=$B$7,H1071=$B$8,H1071=$B$9,H1071=$B$10,H1071=$B$11,H1071=$B$12,H1071=$B$13,H1071=$B$14),SottocategorieUscite[[#Headers],[Fuori Casa]],IF(OR(H1071=$C$5,H1071=$C$6,H1071=$C$7,H1071=$C$8,H1071=$C$9,H1071=$C$10,H1071=$C$11,H1071=$C$12,H1071=$C$13,H1071=$C$14),SottocategorieUscite[[#Headers],[Varie Uscite]],IF(OR(H1071=$D$5,H1071=$D$6,H1071=$D$7,H1071=$D$8,H1071=$D$9,H1071=$D$10,H1071=$D$11,H1071=$D$12,H1071=$D$13,H1071=$D$14),SottocategorieUscite[[#Headers],[Personali]],IF(OR(H1071=$E$5,H1071=$E$6,H1071=$E$7,H1071=$E$8,H1071=$E$9,H1071=$E$10,H1071=$E$11,H1071=$E$12,H1071=$E$13,H1071=$E$14),SottocategorieUscite[[#Headers],[Lavoro]],IF(OR(H1071=$F$5,H1071=$F$6,H1071=$F$7,H1071=$F$8,H1071=$F$9,H1071=$F$10,H1071=$F$11,H1071=$F$12,H1071=$F$13,H1071=$F$14),SottocategorieUscite[[#Headers],[Casa]],IF(OR(H1071=$G$5,H1071=$G$6,H1071=$G$7,H1071=$G$8,H1071=$G$9,H1071=$G$10,H1071=$G$11,H1071=$G$12,H1071=$G$13,H1071=$G$14),SottocategorieUscite[[#Headers],[Utenze]],IF(OR(H1071=$H$5,H1071=$H$6,H1071=$H$7,H1071=$H$8,H1071=$H$9,H1071=$H$10,H1071=$H$11,H1071=$H$12,H1071=$H$13,H1071=$H$14),SottocategorieUscite[[#Headers],[Business Uscite]],IF(OR(H1071=$I$5,H1071=$I$6,H1071=$I$7,H1071=$I$8,H1071=$I$9,H1071=$I$10,H1071=$I$11,H1071=$I$12,H1071=$I$13,H1071=$I$14),SottocategorieUscite[[#Headers],[Banca]],IF(OR(H1071=K$5,H1071=K$6,H1071=K$7,H1071=K$8,H1071=K$9,H1071=K$10,H1071=K$11,H1071=K$12,H1071=K$13,H1071=K$14),SottocategorieEntrate[[#Headers],[Business Entrate]],IF(OR(H1071=L$5,H1071=L$6,H1071=L$7,H1071=L$8,H1071=L$9,H1071=L$10,H1071=L$11,H1071=L$12,H1071=L$13,H1071=L$14),SottocategorieEntrate[[#Headers],[Varie Entrate]],IF(OR(H1071=M$5,H1071=M$6,H1071=M$7,H1071=M$8,H1071=M$9,H1071=M$10,H1071=M$11,H1071=M$12,H1071=M$13,H1071=M$14),SottocategorieEntrate[[#Headers],[Real Estate]],IF(OR(H1071=N$5,H1071=N$6,H1071=N$7,H1071=N$8,H1071=N$9,H1071=N$10,H1071=N$11,H1071=N$12,H1071=N$13,H1071=N$14),SottocategorieEntrate[[#Headers],[Other]],""))))))))))))</f>
        <v/>
      </c>
      <c r="J1071" t="str">
        <f>IF(OR(Dati[[#This Row],[Categoria]]="Bollette",Dati[[#This Row],[Categoria]]="Conto &amp; Carte BNL",Dati[[#This Row],[Categoria]]="Prelievo",Dati[[#This Row],[Categoria]]="Affitto",Dati[[#This Row],[Categoria]]="BNL(Interessi Creditori)"),"Carta",IF(Dati[[#This Row],[Categoria]]&lt;&gt;0,"Cash",""))</f>
        <v/>
      </c>
      <c r="K1071" s="59" t="str">
        <f>IF(OR(Data!$I1071=SottocategorieUscite[[#Headers],[Fuori Casa]],Data!$I1071=SottocategorieUscite[[#Headers],[Varie Uscite]],Data!$I1071=SottocategorieUscite[[#Headers],[Personali]],Data!$I1071=SottocategorieUscite[[#Headers],[Lavoro]]),"$ -","")</f>
        <v/>
      </c>
      <c r="L1071" s="59" t="str">
        <f>IF(OR(Data!$I1071=SottocategorieUscite[[#Headers],[Casa]],Data!$I1071=SottocategorieUscite[[#Headers],[Utenze]],Data!$I1071=SottocategorieUscite[[#Headers],[Business Uscite]],Data!$I1071=SottocategorieUscite[[#Headers],[Banca]]),"$ -","")</f>
        <v/>
      </c>
      <c r="M1071" s="59" t="str">
        <f>IF(OR($I1071&lt;&gt;SottocategorieUscite[[#Headers],[Fuori Casa]],$I1071&lt;&gt;SottocategorieUscite[[#Headers],[Varie Uscite]],$I1071&lt;&gt;SottocategorieUscite[[#Headers],[Personali]],$I1071&lt;&gt;SottocategorieUscite[[#Headers],[Lavoro]],$I1071&lt;&gt;SottocategorieUscite[[#Headers],[Casa]],$I1071&lt;&gt;SottocategorieUscite[[#Headers],[Utenze]],$I1071&lt;&gt;SottocategorieUscite[[#Headers],[Business Uscite]],$I1071&lt;&gt;SottocategorieUscite[[#Headers],[Banca]]),"","$ -")</f>
        <v/>
      </c>
      <c r="N1071" s="59" t="str">
        <f>IF(OR(Data!$I1071=SottocategorieEntrate[[#Headers],[Business Entrate]],Data!$I1071=SottocategorieEntrate[[#Headers],[Varie Entrate]]),"$ -","")</f>
        <v/>
      </c>
      <c r="O1071" s="59" t="str">
        <f>IF(OR(Data!$I1071=SottocategorieEntrate[[#Headers],[Real Estate]],SottocategorieEntrate[[#Headers],[Other]]),"$ -","")</f>
        <v/>
      </c>
      <c r="P1071" s="59" t="str">
        <f>IF(OR($I1071&lt;&gt;SottocategorieEntrate[[#Headers],[Business Entrate]],$I1071&lt;&gt;SottocategorieEntrate[[#Headers],[Varie Entrate]],$I1071&lt;&gt;SottocategorieEntrate[[#Headers],[Real Estate]],$I1071&lt;&gt;SottocategorieEntrate[[#Headers],[Other]]),"","$ -")</f>
        <v/>
      </c>
      <c r="Q1071" s="59" t="str">
        <f>IF(Dati[[#This Row],[Categoria]]="Prelievo","€ -","")</f>
        <v/>
      </c>
      <c r="R1071" s="244"/>
      <c r="S1071" s="59" t="str">
        <f>IF(Dati[[#This Row],[Categoria]]="Savings",0,"")</f>
        <v/>
      </c>
      <c r="T1071" s="59"/>
      <c r="U1071" s="59"/>
      <c r="V1071" s="59"/>
      <c r="W1071" s="59"/>
      <c r="X1071" s="59"/>
      <c r="Y1071" s="59"/>
      <c r="Z1071" s="59"/>
      <c r="AA1071" s="59"/>
      <c r="AB1071" s="59"/>
      <c r="AC1071" s="59"/>
      <c r="AD1071" s="59"/>
      <c r="AE1071" s="59"/>
      <c r="AF1071" s="59"/>
      <c r="AG1071" s="59"/>
      <c r="AH1071" s="59"/>
      <c r="AI1071" s="59" t="str">
        <f>IF(SUM(Dati[[#This Row],[Inv. Business]:[Inv. Cryptocurrency]])=0," ",SUM(Dati[[#This Row],[Inv. Business]:[Inv. Cryptocurrency]]))</f>
        <v xml:space="preserve"> </v>
      </c>
      <c r="AJ1071" s="59"/>
      <c r="AK1071" s="59" t="str">
        <f>IF(SUM(Dati[[#This Row],[Inv. Gold]:[Mutuo]])=0," ",SUM(Dati[[#This Row],[Inv. Gold]:[Mutuo]]))</f>
        <v xml:space="preserve"> </v>
      </c>
      <c r="AL1071" s="59"/>
      <c r="AM1071" s="59"/>
    </row>
    <row r="1072" spans="2:39" x14ac:dyDescent="0.35">
      <c r="B1072" s="237">
        <f t="shared" si="58"/>
        <v>1052</v>
      </c>
      <c r="C1072" s="49">
        <f t="shared" si="57"/>
        <v>45684</v>
      </c>
      <c r="D1072" s="29">
        <f>DAY(Dati[[#This Row],[Data]])</f>
        <v>27</v>
      </c>
      <c r="E1072" s="29" t="str">
        <f>IF(DAY(Data!$C$21:$C$1327)&gt;0,TEXT(Data!$C$21:$C$1327, "mmmm"),"")</f>
        <v>gennaio</v>
      </c>
      <c r="F1072" s="29" t="str">
        <f>IF(DAY(Data!$C$21:$C$1327)&gt;0,TEXT(Data!$C$21:$C$1327, "aaaa"),"")</f>
        <v>2025</v>
      </c>
      <c r="I1072" t="str">
        <f>IF(OR(H1072=$B$5,H1072=$B$6,H1072=$B$7,H1072=$B$8,H1072=$B$9,H1072=$B$10,H1072=$B$11,H1072=$B$12,H1072=$B$13,H1072=$B$14),SottocategorieUscite[[#Headers],[Fuori Casa]],IF(OR(H1072=$C$5,H1072=$C$6,H1072=$C$7,H1072=$C$8,H1072=$C$9,H1072=$C$10,H1072=$C$11,H1072=$C$12,H1072=$C$13,H1072=$C$14),SottocategorieUscite[[#Headers],[Varie Uscite]],IF(OR(H1072=$D$5,H1072=$D$6,H1072=$D$7,H1072=$D$8,H1072=$D$9,H1072=$D$10,H1072=$D$11,H1072=$D$12,H1072=$D$13,H1072=$D$14),SottocategorieUscite[[#Headers],[Personali]],IF(OR(H1072=$E$5,H1072=$E$6,H1072=$E$7,H1072=$E$8,H1072=$E$9,H1072=$E$10,H1072=$E$11,H1072=$E$12,H1072=$E$13,H1072=$E$14),SottocategorieUscite[[#Headers],[Lavoro]],IF(OR(H1072=$F$5,H1072=$F$6,H1072=$F$7,H1072=$F$8,H1072=$F$9,H1072=$F$10,H1072=$F$11,H1072=$F$12,H1072=$F$13,H1072=$F$14),SottocategorieUscite[[#Headers],[Casa]],IF(OR(H1072=$G$5,H1072=$G$6,H1072=$G$7,H1072=$G$8,H1072=$G$9,H1072=$G$10,H1072=$G$11,H1072=$G$12,H1072=$G$13,H1072=$G$14),SottocategorieUscite[[#Headers],[Utenze]],IF(OR(H1072=$H$5,H1072=$H$6,H1072=$H$7,H1072=$H$8,H1072=$H$9,H1072=$H$10,H1072=$H$11,H1072=$H$12,H1072=$H$13,H1072=$H$14),SottocategorieUscite[[#Headers],[Business Uscite]],IF(OR(H1072=$I$5,H1072=$I$6,H1072=$I$7,H1072=$I$8,H1072=$I$9,H1072=$I$10,H1072=$I$11,H1072=$I$12,H1072=$I$13,H1072=$I$14),SottocategorieUscite[[#Headers],[Banca]],IF(OR(H1072=K$5,H1072=K$6,H1072=K$7,H1072=K$8,H1072=K$9,H1072=K$10,H1072=K$11,H1072=K$12,H1072=K$13,H1072=K$14),SottocategorieEntrate[[#Headers],[Business Entrate]],IF(OR(H1072=L$5,H1072=L$6,H1072=L$7,H1072=L$8,H1072=L$9,H1072=L$10,H1072=L$11,H1072=L$12,H1072=L$13,H1072=L$14),SottocategorieEntrate[[#Headers],[Varie Entrate]],IF(OR(H1072=M$5,H1072=M$6,H1072=M$7,H1072=M$8,H1072=M$9,H1072=M$10,H1072=M$11,H1072=M$12,H1072=M$13,H1072=M$14),SottocategorieEntrate[[#Headers],[Real Estate]],IF(OR(H1072=N$5,H1072=N$6,H1072=N$7,H1072=N$8,H1072=N$9,H1072=N$10,H1072=N$11,H1072=N$12,H1072=N$13,H1072=N$14),SottocategorieEntrate[[#Headers],[Other]],""))))))))))))</f>
        <v/>
      </c>
      <c r="J1072" t="str">
        <f>IF(OR(Dati[[#This Row],[Categoria]]="Bollette",Dati[[#This Row],[Categoria]]="Conto &amp; Carte BNL",Dati[[#This Row],[Categoria]]="Prelievo",Dati[[#This Row],[Categoria]]="Affitto",Dati[[#This Row],[Categoria]]="BNL(Interessi Creditori)"),"Carta",IF(Dati[[#This Row],[Categoria]]&lt;&gt;0,"Cash",""))</f>
        <v/>
      </c>
      <c r="K1072" s="59" t="str">
        <f>IF(OR(Data!$I1072=SottocategorieUscite[[#Headers],[Fuori Casa]],Data!$I1072=SottocategorieUscite[[#Headers],[Varie Uscite]],Data!$I1072=SottocategorieUscite[[#Headers],[Personali]],Data!$I1072=SottocategorieUscite[[#Headers],[Lavoro]]),"$ -","")</f>
        <v/>
      </c>
      <c r="L1072" s="59" t="str">
        <f>IF(OR(Data!$I1072=SottocategorieUscite[[#Headers],[Casa]],Data!$I1072=SottocategorieUscite[[#Headers],[Utenze]],Data!$I1072=SottocategorieUscite[[#Headers],[Business Uscite]],Data!$I1072=SottocategorieUscite[[#Headers],[Banca]]),"$ -","")</f>
        <v/>
      </c>
      <c r="M1072" s="59" t="str">
        <f>IF(OR($I1072&lt;&gt;SottocategorieUscite[[#Headers],[Fuori Casa]],$I1072&lt;&gt;SottocategorieUscite[[#Headers],[Varie Uscite]],$I1072&lt;&gt;SottocategorieUscite[[#Headers],[Personali]],$I1072&lt;&gt;SottocategorieUscite[[#Headers],[Lavoro]],$I1072&lt;&gt;SottocategorieUscite[[#Headers],[Casa]],$I1072&lt;&gt;SottocategorieUscite[[#Headers],[Utenze]],$I1072&lt;&gt;SottocategorieUscite[[#Headers],[Business Uscite]],$I1072&lt;&gt;SottocategorieUscite[[#Headers],[Banca]]),"","$ -")</f>
        <v/>
      </c>
      <c r="N1072" s="59" t="str">
        <f>IF(OR(Data!$I1072=SottocategorieEntrate[[#Headers],[Business Entrate]],Data!$I1072=SottocategorieEntrate[[#Headers],[Varie Entrate]]),"$ -","")</f>
        <v/>
      </c>
      <c r="O1072" s="59" t="str">
        <f>IF(OR(Data!$I1072=SottocategorieEntrate[[#Headers],[Real Estate]],SottocategorieEntrate[[#Headers],[Other]]),"$ -","")</f>
        <v/>
      </c>
      <c r="P1072" s="59" t="str">
        <f>IF(OR($I1072&lt;&gt;SottocategorieEntrate[[#Headers],[Business Entrate]],$I1072&lt;&gt;SottocategorieEntrate[[#Headers],[Varie Entrate]],$I1072&lt;&gt;SottocategorieEntrate[[#Headers],[Real Estate]],$I1072&lt;&gt;SottocategorieEntrate[[#Headers],[Other]]),"","$ -")</f>
        <v/>
      </c>
      <c r="Q1072" s="59" t="str">
        <f>IF(Dati[[#This Row],[Categoria]]="Prelievo","€ -","")</f>
        <v/>
      </c>
      <c r="R1072" s="244"/>
      <c r="S1072" s="59" t="str">
        <f>IF(Dati[[#This Row],[Categoria]]="Savings",0,"")</f>
        <v/>
      </c>
      <c r="T1072" s="59"/>
      <c r="U1072" s="59"/>
      <c r="V1072" s="59"/>
      <c r="W1072" s="59"/>
      <c r="X1072" s="59"/>
      <c r="Y1072" s="59"/>
      <c r="Z1072" s="59"/>
      <c r="AA1072" s="59"/>
      <c r="AB1072" s="59"/>
      <c r="AC1072" s="59"/>
      <c r="AD1072" s="59"/>
      <c r="AE1072" s="59"/>
      <c r="AF1072" s="59"/>
      <c r="AG1072" s="59"/>
      <c r="AH1072" s="59"/>
      <c r="AI1072" s="59" t="str">
        <f>IF(SUM(Dati[[#This Row],[Inv. Business]:[Inv. Cryptocurrency]])=0," ",SUM(Dati[[#This Row],[Inv. Business]:[Inv. Cryptocurrency]]))</f>
        <v xml:space="preserve"> </v>
      </c>
      <c r="AJ1072" s="59"/>
      <c r="AK1072" s="59" t="str">
        <f>IF(SUM(Dati[[#This Row],[Inv. Gold]:[Mutuo]])=0," ",SUM(Dati[[#This Row],[Inv. Gold]:[Mutuo]]))</f>
        <v xml:space="preserve"> </v>
      </c>
      <c r="AL1072" s="59"/>
      <c r="AM1072" s="59"/>
    </row>
    <row r="1073" spans="2:39" x14ac:dyDescent="0.35">
      <c r="B1073" s="237">
        <f t="shared" si="58"/>
        <v>1053</v>
      </c>
      <c r="C1073" s="49">
        <f t="shared" si="57"/>
        <v>45685</v>
      </c>
      <c r="D1073" s="29">
        <f>DAY(Dati[[#This Row],[Data]])</f>
        <v>28</v>
      </c>
      <c r="E1073" s="29" t="str">
        <f>IF(DAY(Data!$C$21:$C$1327)&gt;0,TEXT(Data!$C$21:$C$1327, "mmmm"),"")</f>
        <v>gennaio</v>
      </c>
      <c r="F1073" s="29" t="str">
        <f>IF(DAY(Data!$C$21:$C$1327)&gt;0,TEXT(Data!$C$21:$C$1327, "aaaa"),"")</f>
        <v>2025</v>
      </c>
      <c r="I1073" t="str">
        <f>IF(OR(H1073=$B$5,H1073=$B$6,H1073=$B$7,H1073=$B$8,H1073=$B$9,H1073=$B$10,H1073=$B$11,H1073=$B$12,H1073=$B$13,H1073=$B$14),SottocategorieUscite[[#Headers],[Fuori Casa]],IF(OR(H1073=$C$5,H1073=$C$6,H1073=$C$7,H1073=$C$8,H1073=$C$9,H1073=$C$10,H1073=$C$11,H1073=$C$12,H1073=$C$13,H1073=$C$14),SottocategorieUscite[[#Headers],[Varie Uscite]],IF(OR(H1073=$D$5,H1073=$D$6,H1073=$D$7,H1073=$D$8,H1073=$D$9,H1073=$D$10,H1073=$D$11,H1073=$D$12,H1073=$D$13,H1073=$D$14),SottocategorieUscite[[#Headers],[Personali]],IF(OR(H1073=$E$5,H1073=$E$6,H1073=$E$7,H1073=$E$8,H1073=$E$9,H1073=$E$10,H1073=$E$11,H1073=$E$12,H1073=$E$13,H1073=$E$14),SottocategorieUscite[[#Headers],[Lavoro]],IF(OR(H1073=$F$5,H1073=$F$6,H1073=$F$7,H1073=$F$8,H1073=$F$9,H1073=$F$10,H1073=$F$11,H1073=$F$12,H1073=$F$13,H1073=$F$14),SottocategorieUscite[[#Headers],[Casa]],IF(OR(H1073=$G$5,H1073=$G$6,H1073=$G$7,H1073=$G$8,H1073=$G$9,H1073=$G$10,H1073=$G$11,H1073=$G$12,H1073=$G$13,H1073=$G$14),SottocategorieUscite[[#Headers],[Utenze]],IF(OR(H1073=$H$5,H1073=$H$6,H1073=$H$7,H1073=$H$8,H1073=$H$9,H1073=$H$10,H1073=$H$11,H1073=$H$12,H1073=$H$13,H1073=$H$14),SottocategorieUscite[[#Headers],[Business Uscite]],IF(OR(H1073=$I$5,H1073=$I$6,H1073=$I$7,H1073=$I$8,H1073=$I$9,H1073=$I$10,H1073=$I$11,H1073=$I$12,H1073=$I$13,H1073=$I$14),SottocategorieUscite[[#Headers],[Banca]],IF(OR(H1073=K$5,H1073=K$6,H1073=K$7,H1073=K$8,H1073=K$9,H1073=K$10,H1073=K$11,H1073=K$12,H1073=K$13,H1073=K$14),SottocategorieEntrate[[#Headers],[Business Entrate]],IF(OR(H1073=L$5,H1073=L$6,H1073=L$7,H1073=L$8,H1073=L$9,H1073=L$10,H1073=L$11,H1073=L$12,H1073=L$13,H1073=L$14),SottocategorieEntrate[[#Headers],[Varie Entrate]],IF(OR(H1073=M$5,H1073=M$6,H1073=M$7,H1073=M$8,H1073=M$9,H1073=M$10,H1073=M$11,H1073=M$12,H1073=M$13,H1073=M$14),SottocategorieEntrate[[#Headers],[Real Estate]],IF(OR(H1073=N$5,H1073=N$6,H1073=N$7,H1073=N$8,H1073=N$9,H1073=N$10,H1073=N$11,H1073=N$12,H1073=N$13,H1073=N$14),SottocategorieEntrate[[#Headers],[Other]],""))))))))))))</f>
        <v/>
      </c>
      <c r="J1073" t="str">
        <f>IF(OR(Dati[[#This Row],[Categoria]]="Bollette",Dati[[#This Row],[Categoria]]="Conto &amp; Carte BNL",Dati[[#This Row],[Categoria]]="Prelievo",Dati[[#This Row],[Categoria]]="Affitto",Dati[[#This Row],[Categoria]]="BNL(Interessi Creditori)"),"Carta",IF(Dati[[#This Row],[Categoria]]&lt;&gt;0,"Cash",""))</f>
        <v/>
      </c>
      <c r="K1073" s="59" t="str">
        <f>IF(OR(Data!$I1073=SottocategorieUscite[[#Headers],[Fuori Casa]],Data!$I1073=SottocategorieUscite[[#Headers],[Varie Uscite]],Data!$I1073=SottocategorieUscite[[#Headers],[Personali]],Data!$I1073=SottocategorieUscite[[#Headers],[Lavoro]]),"$ -","")</f>
        <v/>
      </c>
      <c r="L1073" s="59" t="str">
        <f>IF(OR(Data!$I1073=SottocategorieUscite[[#Headers],[Casa]],Data!$I1073=SottocategorieUscite[[#Headers],[Utenze]],Data!$I1073=SottocategorieUscite[[#Headers],[Business Uscite]],Data!$I1073=SottocategorieUscite[[#Headers],[Banca]]),"$ -","")</f>
        <v/>
      </c>
      <c r="M1073" s="59" t="str">
        <f>IF(OR($I1073&lt;&gt;SottocategorieUscite[[#Headers],[Fuori Casa]],$I1073&lt;&gt;SottocategorieUscite[[#Headers],[Varie Uscite]],$I1073&lt;&gt;SottocategorieUscite[[#Headers],[Personali]],$I1073&lt;&gt;SottocategorieUscite[[#Headers],[Lavoro]],$I1073&lt;&gt;SottocategorieUscite[[#Headers],[Casa]],$I1073&lt;&gt;SottocategorieUscite[[#Headers],[Utenze]],$I1073&lt;&gt;SottocategorieUscite[[#Headers],[Business Uscite]],$I1073&lt;&gt;SottocategorieUscite[[#Headers],[Banca]]),"","$ -")</f>
        <v/>
      </c>
      <c r="N1073" s="59" t="str">
        <f>IF(OR(Data!$I1073=SottocategorieEntrate[[#Headers],[Business Entrate]],Data!$I1073=SottocategorieEntrate[[#Headers],[Varie Entrate]]),"$ -","")</f>
        <v/>
      </c>
      <c r="O1073" s="59" t="str">
        <f>IF(OR(Data!$I1073=SottocategorieEntrate[[#Headers],[Real Estate]],SottocategorieEntrate[[#Headers],[Other]]),"$ -","")</f>
        <v/>
      </c>
      <c r="P1073" s="59" t="str">
        <f>IF(OR($I1073&lt;&gt;SottocategorieEntrate[[#Headers],[Business Entrate]],$I1073&lt;&gt;SottocategorieEntrate[[#Headers],[Varie Entrate]],$I1073&lt;&gt;SottocategorieEntrate[[#Headers],[Real Estate]],$I1073&lt;&gt;SottocategorieEntrate[[#Headers],[Other]]),"","$ -")</f>
        <v/>
      </c>
      <c r="Q1073" s="59" t="str">
        <f>IF(Dati[[#This Row],[Categoria]]="Prelievo","€ -","")</f>
        <v/>
      </c>
      <c r="R1073" s="244"/>
      <c r="S1073" s="59" t="str">
        <f>IF(Dati[[#This Row],[Categoria]]="Savings",0,"")</f>
        <v/>
      </c>
      <c r="T1073" s="59"/>
      <c r="U1073" s="59"/>
      <c r="V1073" s="59"/>
      <c r="W1073" s="59"/>
      <c r="X1073" s="59"/>
      <c r="Y1073" s="59"/>
      <c r="Z1073" s="59"/>
      <c r="AA1073" s="59"/>
      <c r="AB1073" s="59"/>
      <c r="AC1073" s="59"/>
      <c r="AD1073" s="59"/>
      <c r="AE1073" s="59"/>
      <c r="AF1073" s="59"/>
      <c r="AG1073" s="59"/>
      <c r="AH1073" s="59"/>
      <c r="AI1073" s="59" t="str">
        <f>IF(SUM(Dati[[#This Row],[Inv. Business]:[Inv. Cryptocurrency]])=0," ",SUM(Dati[[#This Row],[Inv. Business]:[Inv. Cryptocurrency]]))</f>
        <v xml:space="preserve"> </v>
      </c>
      <c r="AJ1073" s="59"/>
      <c r="AK1073" s="59" t="str">
        <f>IF(SUM(Dati[[#This Row],[Inv. Gold]:[Mutuo]])=0," ",SUM(Dati[[#This Row],[Inv. Gold]:[Mutuo]]))</f>
        <v xml:space="preserve"> </v>
      </c>
      <c r="AL1073" s="59"/>
      <c r="AM1073" s="59"/>
    </row>
    <row r="1074" spans="2:39" x14ac:dyDescent="0.35">
      <c r="B1074" s="237">
        <f t="shared" si="58"/>
        <v>1054</v>
      </c>
      <c r="C1074" s="49">
        <f>C1073+1</f>
        <v>45686</v>
      </c>
      <c r="D1074" s="29">
        <f>DAY(Dati[[#This Row],[Data]])</f>
        <v>29</v>
      </c>
      <c r="E1074" s="29" t="str">
        <f>IF(DAY(Data!$C$21:$C$1327)&gt;0,TEXT(Data!$C$21:$C$1327, "mmmm"),"")</f>
        <v>gennaio</v>
      </c>
      <c r="F1074" s="29" t="str">
        <f>IF(DAY(Data!$C$21:$C$1327)&gt;0,TEXT(Data!$C$21:$C$1327, "aaaa"),"")</f>
        <v>2025</v>
      </c>
      <c r="I1074" t="str">
        <f>IF(OR(H1074=$B$5,H1074=$B$6,H1074=$B$7,H1074=$B$8,H1074=$B$9,H1074=$B$10,H1074=$B$11,H1074=$B$12,H1074=$B$13,H1074=$B$14),SottocategorieUscite[[#Headers],[Fuori Casa]],IF(OR(H1074=$C$5,H1074=$C$6,H1074=$C$7,H1074=$C$8,H1074=$C$9,H1074=$C$10,H1074=$C$11,H1074=$C$12,H1074=$C$13,H1074=$C$14),SottocategorieUscite[[#Headers],[Varie Uscite]],IF(OR(H1074=$D$5,H1074=$D$6,H1074=$D$7,H1074=$D$8,H1074=$D$9,H1074=$D$10,H1074=$D$11,H1074=$D$12,H1074=$D$13,H1074=$D$14),SottocategorieUscite[[#Headers],[Personali]],IF(OR(H1074=$E$5,H1074=$E$6,H1074=$E$7,H1074=$E$8,H1074=$E$9,H1074=$E$10,H1074=$E$11,H1074=$E$12,H1074=$E$13,H1074=$E$14),SottocategorieUscite[[#Headers],[Lavoro]],IF(OR(H1074=$F$5,H1074=$F$6,H1074=$F$7,H1074=$F$8,H1074=$F$9,H1074=$F$10,H1074=$F$11,H1074=$F$12,H1074=$F$13,H1074=$F$14),SottocategorieUscite[[#Headers],[Casa]],IF(OR(H1074=$G$5,H1074=$G$6,H1074=$G$7,H1074=$G$8,H1074=$G$9,H1074=$G$10,H1074=$G$11,H1074=$G$12,H1074=$G$13,H1074=$G$14),SottocategorieUscite[[#Headers],[Utenze]],IF(OR(H1074=$H$5,H1074=$H$6,H1074=$H$7,H1074=$H$8,H1074=$H$9,H1074=$H$10,H1074=$H$11,H1074=$H$12,H1074=$H$13,H1074=$H$14),SottocategorieUscite[[#Headers],[Business Uscite]],IF(OR(H1074=$I$5,H1074=$I$6,H1074=$I$7,H1074=$I$8,H1074=$I$9,H1074=$I$10,H1074=$I$11,H1074=$I$12,H1074=$I$13,H1074=$I$14),SottocategorieUscite[[#Headers],[Banca]],IF(OR(H1074=K$5,H1074=K$6,H1074=K$7,H1074=K$8,H1074=K$9,H1074=K$10,H1074=K$11,H1074=K$12,H1074=K$13,H1074=K$14),SottocategorieEntrate[[#Headers],[Business Entrate]],IF(OR(H1074=L$5,H1074=L$6,H1074=L$7,H1074=L$8,H1074=L$9,H1074=L$10,H1074=L$11,H1074=L$12,H1074=L$13,H1074=L$14),SottocategorieEntrate[[#Headers],[Varie Entrate]],IF(OR(H1074=M$5,H1074=M$6,H1074=M$7,H1074=M$8,H1074=M$9,H1074=M$10,H1074=M$11,H1074=M$12,H1074=M$13,H1074=M$14),SottocategorieEntrate[[#Headers],[Real Estate]],IF(OR(H1074=N$5,H1074=N$6,H1074=N$7,H1074=N$8,H1074=N$9,H1074=N$10,H1074=N$11,H1074=N$12,H1074=N$13,H1074=N$14),SottocategorieEntrate[[#Headers],[Other]],""))))))))))))</f>
        <v/>
      </c>
      <c r="J1074" t="str">
        <f>IF(OR(Dati[[#This Row],[Categoria]]="Bollette",Dati[[#This Row],[Categoria]]="Conto &amp; Carte BNL",Dati[[#This Row],[Categoria]]="Prelievo",Dati[[#This Row],[Categoria]]="Affitto",Dati[[#This Row],[Categoria]]="BNL(Interessi Creditori)"),"Carta",IF(Dati[[#This Row],[Categoria]]&lt;&gt;0,"Cash",""))</f>
        <v/>
      </c>
      <c r="K1074" s="59" t="str">
        <f>IF(OR(Data!$I1074=SottocategorieUscite[[#Headers],[Fuori Casa]],Data!$I1074=SottocategorieUscite[[#Headers],[Varie Uscite]],Data!$I1074=SottocategorieUscite[[#Headers],[Personali]],Data!$I1074=SottocategorieUscite[[#Headers],[Lavoro]]),"$ -","")</f>
        <v/>
      </c>
      <c r="L1074" s="59" t="str">
        <f>IF(OR(Data!$I1074=SottocategorieUscite[[#Headers],[Casa]],Data!$I1074=SottocategorieUscite[[#Headers],[Utenze]],Data!$I1074=SottocategorieUscite[[#Headers],[Business Uscite]],Data!$I1074=SottocategorieUscite[[#Headers],[Banca]]),"$ -","")</f>
        <v/>
      </c>
      <c r="M1074" s="59" t="str">
        <f>IF(OR($I1074&lt;&gt;SottocategorieUscite[[#Headers],[Fuori Casa]],$I1074&lt;&gt;SottocategorieUscite[[#Headers],[Varie Uscite]],$I1074&lt;&gt;SottocategorieUscite[[#Headers],[Personali]],$I1074&lt;&gt;SottocategorieUscite[[#Headers],[Lavoro]],$I1074&lt;&gt;SottocategorieUscite[[#Headers],[Casa]],$I1074&lt;&gt;SottocategorieUscite[[#Headers],[Utenze]],$I1074&lt;&gt;SottocategorieUscite[[#Headers],[Business Uscite]],$I1074&lt;&gt;SottocategorieUscite[[#Headers],[Banca]]),"","$ -")</f>
        <v/>
      </c>
      <c r="N1074" s="59" t="str">
        <f>IF(OR(Data!$I1074=SottocategorieEntrate[[#Headers],[Business Entrate]],Data!$I1074=SottocategorieEntrate[[#Headers],[Varie Entrate]]),"$ -","")</f>
        <v/>
      </c>
      <c r="O1074" s="59" t="str">
        <f>IF(OR(Data!$I1074=SottocategorieEntrate[[#Headers],[Real Estate]],SottocategorieEntrate[[#Headers],[Other]]),"$ -","")</f>
        <v/>
      </c>
      <c r="P1074" s="59" t="str">
        <f>IF(OR($I1074&lt;&gt;SottocategorieEntrate[[#Headers],[Business Entrate]],$I1074&lt;&gt;SottocategorieEntrate[[#Headers],[Varie Entrate]],$I1074&lt;&gt;SottocategorieEntrate[[#Headers],[Real Estate]],$I1074&lt;&gt;SottocategorieEntrate[[#Headers],[Other]]),"","$ -")</f>
        <v/>
      </c>
      <c r="Q1074" s="59" t="str">
        <f>IF(Dati[[#This Row],[Categoria]]="Prelievo","€ -","")</f>
        <v/>
      </c>
      <c r="R1074" s="244"/>
      <c r="S1074" s="59" t="str">
        <f>IF(Dati[[#This Row],[Categoria]]="Savings",0,"")</f>
        <v/>
      </c>
      <c r="T1074" s="59"/>
      <c r="U1074" s="59"/>
      <c r="V1074" s="59"/>
      <c r="W1074" s="59"/>
      <c r="X1074" s="59"/>
      <c r="Y1074" s="59"/>
      <c r="Z1074" s="59"/>
      <c r="AA1074" s="59"/>
      <c r="AB1074" s="59"/>
      <c r="AC1074" s="59"/>
      <c r="AD1074" s="59"/>
      <c r="AE1074" s="59"/>
      <c r="AF1074" s="59"/>
      <c r="AG1074" s="59"/>
      <c r="AH1074" s="59"/>
      <c r="AI1074" s="59" t="str">
        <f>IF(SUM(Dati[[#This Row],[Inv. Business]:[Inv. Cryptocurrency]])=0," ",SUM(Dati[[#This Row],[Inv. Business]:[Inv. Cryptocurrency]]))</f>
        <v xml:space="preserve"> </v>
      </c>
      <c r="AJ1074" s="59"/>
      <c r="AK1074" s="59" t="str">
        <f>IF(SUM(Dati[[#This Row],[Inv. Gold]:[Mutuo]])=0," ",SUM(Dati[[#This Row],[Inv. Gold]:[Mutuo]]))</f>
        <v xml:space="preserve"> </v>
      </c>
      <c r="AL1074" s="59"/>
      <c r="AM1074" s="59"/>
    </row>
    <row r="1075" spans="2:39" x14ac:dyDescent="0.35">
      <c r="B1075" s="237">
        <f t="shared" si="58"/>
        <v>1055</v>
      </c>
      <c r="C1075" s="49">
        <f t="shared" si="57"/>
        <v>45687</v>
      </c>
      <c r="D1075" s="29">
        <f>DAY(Dati[[#This Row],[Data]])</f>
        <v>30</v>
      </c>
      <c r="E1075" s="29" t="str">
        <f>IF(DAY(Data!$C$21:$C$1327)&gt;0,TEXT(Data!$C$21:$C$1327, "mmmm"),"")</f>
        <v>gennaio</v>
      </c>
      <c r="F1075" s="29" t="str">
        <f>IF(DAY(Data!$C$21:$C$1327)&gt;0,TEXT(Data!$C$21:$C$1327, "aaaa"),"")</f>
        <v>2025</v>
      </c>
      <c r="I1075" t="str">
        <f>IF(OR(H1075=$B$5,H1075=$B$6,H1075=$B$7,H1075=$B$8,H1075=$B$9,H1075=$B$10,H1075=$B$11,H1075=$B$12,H1075=$B$13,H1075=$B$14),SottocategorieUscite[[#Headers],[Fuori Casa]],IF(OR(H1075=$C$5,H1075=$C$6,H1075=$C$7,H1075=$C$8,H1075=$C$9,H1075=$C$10,H1075=$C$11,H1075=$C$12,H1075=$C$13,H1075=$C$14),SottocategorieUscite[[#Headers],[Varie Uscite]],IF(OR(H1075=$D$5,H1075=$D$6,H1075=$D$7,H1075=$D$8,H1075=$D$9,H1075=$D$10,H1075=$D$11,H1075=$D$12,H1075=$D$13,H1075=$D$14),SottocategorieUscite[[#Headers],[Personali]],IF(OR(H1075=$E$5,H1075=$E$6,H1075=$E$7,H1075=$E$8,H1075=$E$9,H1075=$E$10,H1075=$E$11,H1075=$E$12,H1075=$E$13,H1075=$E$14),SottocategorieUscite[[#Headers],[Lavoro]],IF(OR(H1075=$F$5,H1075=$F$6,H1075=$F$7,H1075=$F$8,H1075=$F$9,H1075=$F$10,H1075=$F$11,H1075=$F$12,H1075=$F$13,H1075=$F$14),SottocategorieUscite[[#Headers],[Casa]],IF(OR(H1075=$G$5,H1075=$G$6,H1075=$G$7,H1075=$G$8,H1075=$G$9,H1075=$G$10,H1075=$G$11,H1075=$G$12,H1075=$G$13,H1075=$G$14),SottocategorieUscite[[#Headers],[Utenze]],IF(OR(H1075=$H$5,H1075=$H$6,H1075=$H$7,H1075=$H$8,H1075=$H$9,H1075=$H$10,H1075=$H$11,H1075=$H$12,H1075=$H$13,H1075=$H$14),SottocategorieUscite[[#Headers],[Business Uscite]],IF(OR(H1075=$I$5,H1075=$I$6,H1075=$I$7,H1075=$I$8,H1075=$I$9,H1075=$I$10,H1075=$I$11,H1075=$I$12,H1075=$I$13,H1075=$I$14),SottocategorieUscite[[#Headers],[Banca]],IF(OR(H1075=K$5,H1075=K$6,H1075=K$7,H1075=K$8,H1075=K$9,H1075=K$10,H1075=K$11,H1075=K$12,H1075=K$13,H1075=K$14),SottocategorieEntrate[[#Headers],[Business Entrate]],IF(OR(H1075=L$5,H1075=L$6,H1075=L$7,H1075=L$8,H1075=L$9,H1075=L$10,H1075=L$11,H1075=L$12,H1075=L$13,H1075=L$14),SottocategorieEntrate[[#Headers],[Varie Entrate]],IF(OR(H1075=M$5,H1075=M$6,H1075=M$7,H1075=M$8,H1075=M$9,H1075=M$10,H1075=M$11,H1075=M$12,H1075=M$13,H1075=M$14),SottocategorieEntrate[[#Headers],[Real Estate]],IF(OR(H1075=N$5,H1075=N$6,H1075=N$7,H1075=N$8,H1075=N$9,H1075=N$10,H1075=N$11,H1075=N$12,H1075=N$13,H1075=N$14),SottocategorieEntrate[[#Headers],[Other]],""))))))))))))</f>
        <v/>
      </c>
      <c r="J1075" t="str">
        <f>IF(OR(Dati[[#This Row],[Categoria]]="Bollette",Dati[[#This Row],[Categoria]]="Conto &amp; Carte BNL",Dati[[#This Row],[Categoria]]="Prelievo",Dati[[#This Row],[Categoria]]="Affitto",Dati[[#This Row],[Categoria]]="BNL(Interessi Creditori)"),"Carta",IF(Dati[[#This Row],[Categoria]]&lt;&gt;0,"Cash",""))</f>
        <v/>
      </c>
      <c r="K1075" s="59" t="str">
        <f>IF(OR(Data!$I1075=SottocategorieUscite[[#Headers],[Fuori Casa]],Data!$I1075=SottocategorieUscite[[#Headers],[Varie Uscite]],Data!$I1075=SottocategorieUscite[[#Headers],[Personali]],Data!$I1075=SottocategorieUscite[[#Headers],[Lavoro]]),"$ -","")</f>
        <v/>
      </c>
      <c r="L1075" s="59" t="str">
        <f>IF(OR(Data!$I1075=SottocategorieUscite[[#Headers],[Casa]],Data!$I1075=SottocategorieUscite[[#Headers],[Utenze]],Data!$I1075=SottocategorieUscite[[#Headers],[Business Uscite]],Data!$I1075=SottocategorieUscite[[#Headers],[Banca]]),"$ -","")</f>
        <v/>
      </c>
      <c r="M1075" s="59" t="str">
        <f>IF(OR($I1075&lt;&gt;SottocategorieUscite[[#Headers],[Fuori Casa]],$I1075&lt;&gt;SottocategorieUscite[[#Headers],[Varie Uscite]],$I1075&lt;&gt;SottocategorieUscite[[#Headers],[Personali]],$I1075&lt;&gt;SottocategorieUscite[[#Headers],[Lavoro]],$I1075&lt;&gt;SottocategorieUscite[[#Headers],[Casa]],$I1075&lt;&gt;SottocategorieUscite[[#Headers],[Utenze]],$I1075&lt;&gt;SottocategorieUscite[[#Headers],[Business Uscite]],$I1075&lt;&gt;SottocategorieUscite[[#Headers],[Banca]]),"","$ -")</f>
        <v/>
      </c>
      <c r="N1075" s="59" t="str">
        <f>IF(OR(Data!$I1075=SottocategorieEntrate[[#Headers],[Business Entrate]],Data!$I1075=SottocategorieEntrate[[#Headers],[Varie Entrate]]),"$ -","")</f>
        <v/>
      </c>
      <c r="O1075" s="59" t="str">
        <f>IF(OR(Data!$I1075=SottocategorieEntrate[[#Headers],[Real Estate]],SottocategorieEntrate[[#Headers],[Other]]),"$ -","")</f>
        <v/>
      </c>
      <c r="P1075" s="59" t="str">
        <f>IF(OR($I1075&lt;&gt;SottocategorieEntrate[[#Headers],[Business Entrate]],$I1075&lt;&gt;SottocategorieEntrate[[#Headers],[Varie Entrate]],$I1075&lt;&gt;SottocategorieEntrate[[#Headers],[Real Estate]],$I1075&lt;&gt;SottocategorieEntrate[[#Headers],[Other]]),"","$ -")</f>
        <v/>
      </c>
      <c r="Q1075" s="59" t="str">
        <f>IF(Dati[[#This Row],[Categoria]]="Prelievo","€ -","")</f>
        <v/>
      </c>
      <c r="R1075" s="244"/>
      <c r="S1075" s="59" t="str">
        <f>IF(Dati[[#This Row],[Categoria]]="Savings",0,"")</f>
        <v/>
      </c>
      <c r="T1075" s="59"/>
      <c r="U1075" s="59"/>
      <c r="V1075" s="59"/>
      <c r="W1075" s="59"/>
      <c r="X1075" s="59"/>
      <c r="Y1075" s="59"/>
      <c r="Z1075" s="59"/>
      <c r="AA1075" s="59"/>
      <c r="AB1075" s="59"/>
      <c r="AC1075" s="59"/>
      <c r="AD1075" s="59"/>
      <c r="AE1075" s="59"/>
      <c r="AF1075" s="59"/>
      <c r="AG1075" s="59"/>
      <c r="AH1075" s="59"/>
      <c r="AI1075" s="59" t="str">
        <f>IF(SUM(Dati[[#This Row],[Inv. Business]:[Inv. Cryptocurrency]])=0," ",SUM(Dati[[#This Row],[Inv. Business]:[Inv. Cryptocurrency]]))</f>
        <v xml:space="preserve"> </v>
      </c>
      <c r="AJ1075" s="59"/>
      <c r="AK1075" s="59" t="str">
        <f>IF(SUM(Dati[[#This Row],[Inv. Gold]:[Mutuo]])=0," ",SUM(Dati[[#This Row],[Inv. Gold]:[Mutuo]]))</f>
        <v xml:space="preserve"> </v>
      </c>
      <c r="AL1075" s="59"/>
      <c r="AM1075" s="59"/>
    </row>
    <row r="1076" spans="2:39" x14ac:dyDescent="0.35">
      <c r="B1076" s="237">
        <f t="shared" si="58"/>
        <v>1056</v>
      </c>
      <c r="C1076" s="49">
        <f t="shared" si="57"/>
        <v>45688</v>
      </c>
      <c r="D1076" s="29">
        <f>DAY(Dati[[#This Row],[Data]])</f>
        <v>31</v>
      </c>
      <c r="E1076" s="29" t="str">
        <f>IF(DAY(Data!$C$21:$C$1327)&gt;0,TEXT(Data!$C$21:$C$1327, "mmmm"),"")</f>
        <v>gennaio</v>
      </c>
      <c r="F1076" s="29" t="str">
        <f>IF(DAY(Data!$C$21:$C$1327)&gt;0,TEXT(Data!$C$21:$C$1327, "aaaa"),"")</f>
        <v>2025</v>
      </c>
      <c r="I1076" t="str">
        <f>IF(OR(H1076=$B$5,H1076=$B$6,H1076=$B$7,H1076=$B$8,H1076=$B$9,H1076=$B$10,H1076=$B$11,H1076=$B$12,H1076=$B$13,H1076=$B$14),SottocategorieUscite[[#Headers],[Fuori Casa]],IF(OR(H1076=$C$5,H1076=$C$6,H1076=$C$7,H1076=$C$8,H1076=$C$9,H1076=$C$10,H1076=$C$11,H1076=$C$12,H1076=$C$13,H1076=$C$14),SottocategorieUscite[[#Headers],[Varie Uscite]],IF(OR(H1076=$D$5,H1076=$D$6,H1076=$D$7,H1076=$D$8,H1076=$D$9,H1076=$D$10,H1076=$D$11,H1076=$D$12,H1076=$D$13,H1076=$D$14),SottocategorieUscite[[#Headers],[Personali]],IF(OR(H1076=$E$5,H1076=$E$6,H1076=$E$7,H1076=$E$8,H1076=$E$9,H1076=$E$10,H1076=$E$11,H1076=$E$12,H1076=$E$13,H1076=$E$14),SottocategorieUscite[[#Headers],[Lavoro]],IF(OR(H1076=$F$5,H1076=$F$6,H1076=$F$7,H1076=$F$8,H1076=$F$9,H1076=$F$10,H1076=$F$11,H1076=$F$12,H1076=$F$13,H1076=$F$14),SottocategorieUscite[[#Headers],[Casa]],IF(OR(H1076=$G$5,H1076=$G$6,H1076=$G$7,H1076=$G$8,H1076=$G$9,H1076=$G$10,H1076=$G$11,H1076=$G$12,H1076=$G$13,H1076=$G$14),SottocategorieUscite[[#Headers],[Utenze]],IF(OR(H1076=$H$5,H1076=$H$6,H1076=$H$7,H1076=$H$8,H1076=$H$9,H1076=$H$10,H1076=$H$11,H1076=$H$12,H1076=$H$13,H1076=$H$14),SottocategorieUscite[[#Headers],[Business Uscite]],IF(OR(H1076=$I$5,H1076=$I$6,H1076=$I$7,H1076=$I$8,H1076=$I$9,H1076=$I$10,H1076=$I$11,H1076=$I$12,H1076=$I$13,H1076=$I$14),SottocategorieUscite[[#Headers],[Banca]],IF(OR(H1076=K$5,H1076=K$6,H1076=K$7,H1076=K$8,H1076=K$9,H1076=K$10,H1076=K$11,H1076=K$12,H1076=K$13,H1076=K$14),SottocategorieEntrate[[#Headers],[Business Entrate]],IF(OR(H1076=L$5,H1076=L$6,H1076=L$7,H1076=L$8,H1076=L$9,H1076=L$10,H1076=L$11,H1076=L$12,H1076=L$13,H1076=L$14),SottocategorieEntrate[[#Headers],[Varie Entrate]],IF(OR(H1076=M$5,H1076=M$6,H1076=M$7,H1076=M$8,H1076=M$9,H1076=M$10,H1076=M$11,H1076=M$12,H1076=M$13,H1076=M$14),SottocategorieEntrate[[#Headers],[Real Estate]],IF(OR(H1076=N$5,H1076=N$6,H1076=N$7,H1076=N$8,H1076=N$9,H1076=N$10,H1076=N$11,H1076=N$12,H1076=N$13,H1076=N$14),SottocategorieEntrate[[#Headers],[Other]],""))))))))))))</f>
        <v/>
      </c>
      <c r="J1076" t="str">
        <f>IF(OR(Dati[[#This Row],[Categoria]]="Bollette",Dati[[#This Row],[Categoria]]="Conto &amp; Carte BNL",Dati[[#This Row],[Categoria]]="Prelievo",Dati[[#This Row],[Categoria]]="Affitto",Dati[[#This Row],[Categoria]]="BNL(Interessi Creditori)"),"Carta",IF(Dati[[#This Row],[Categoria]]&lt;&gt;0,"Cash",""))</f>
        <v/>
      </c>
      <c r="K1076" s="59" t="str">
        <f>IF(OR(Data!$I1076=SottocategorieUscite[[#Headers],[Fuori Casa]],Data!$I1076=SottocategorieUscite[[#Headers],[Varie Uscite]],Data!$I1076=SottocategorieUscite[[#Headers],[Personali]],Data!$I1076=SottocategorieUscite[[#Headers],[Lavoro]]),"$ -","")</f>
        <v/>
      </c>
      <c r="L1076" s="59" t="str">
        <f>IF(OR(Data!$I1076=SottocategorieUscite[[#Headers],[Casa]],Data!$I1076=SottocategorieUscite[[#Headers],[Utenze]],Data!$I1076=SottocategorieUscite[[#Headers],[Business Uscite]],Data!$I1076=SottocategorieUscite[[#Headers],[Banca]]),"$ -","")</f>
        <v/>
      </c>
      <c r="M1076" s="59" t="str">
        <f>IF(OR($I1076&lt;&gt;SottocategorieUscite[[#Headers],[Fuori Casa]],$I1076&lt;&gt;SottocategorieUscite[[#Headers],[Varie Uscite]],$I1076&lt;&gt;SottocategorieUscite[[#Headers],[Personali]],$I1076&lt;&gt;SottocategorieUscite[[#Headers],[Lavoro]],$I1076&lt;&gt;SottocategorieUscite[[#Headers],[Casa]],$I1076&lt;&gt;SottocategorieUscite[[#Headers],[Utenze]],$I1076&lt;&gt;SottocategorieUscite[[#Headers],[Business Uscite]],$I1076&lt;&gt;SottocategorieUscite[[#Headers],[Banca]]),"","$ -")</f>
        <v/>
      </c>
      <c r="N1076" s="59" t="str">
        <f>IF(OR(Data!$I1076=SottocategorieEntrate[[#Headers],[Business Entrate]],Data!$I1076=SottocategorieEntrate[[#Headers],[Varie Entrate]]),"$ -","")</f>
        <v/>
      </c>
      <c r="O1076" s="59" t="str">
        <f>IF(OR(Data!$I1076=SottocategorieEntrate[[#Headers],[Real Estate]],SottocategorieEntrate[[#Headers],[Other]]),"$ -","")</f>
        <v/>
      </c>
      <c r="P1076" s="59" t="str">
        <f>IF(OR($I1076&lt;&gt;SottocategorieEntrate[[#Headers],[Business Entrate]],$I1076&lt;&gt;SottocategorieEntrate[[#Headers],[Varie Entrate]],$I1076&lt;&gt;SottocategorieEntrate[[#Headers],[Real Estate]],$I1076&lt;&gt;SottocategorieEntrate[[#Headers],[Other]]),"","$ -")</f>
        <v/>
      </c>
      <c r="Q1076" s="59" t="str">
        <f>IF(Dati[[#This Row],[Categoria]]="Prelievo","€ -","")</f>
        <v/>
      </c>
      <c r="R1076" s="244"/>
      <c r="S1076" s="59" t="str">
        <f>IF(Dati[[#This Row],[Categoria]]="Savings",0,"")</f>
        <v/>
      </c>
      <c r="T1076" s="59"/>
      <c r="U1076" s="59"/>
      <c r="V1076" s="59"/>
      <c r="W1076" s="59"/>
      <c r="X1076" s="59"/>
      <c r="Y1076" s="59"/>
      <c r="Z1076" s="59"/>
      <c r="AA1076" s="59"/>
      <c r="AB1076" s="59"/>
      <c r="AC1076" s="59"/>
      <c r="AD1076" s="59"/>
      <c r="AE1076" s="59"/>
      <c r="AF1076" s="59"/>
      <c r="AG1076" s="59"/>
      <c r="AH1076" s="59"/>
      <c r="AI1076" s="59" t="str">
        <f>IF(SUM(Dati[[#This Row],[Inv. Business]:[Inv. Cryptocurrency]])=0," ",SUM(Dati[[#This Row],[Inv. Business]:[Inv. Cryptocurrency]]))</f>
        <v xml:space="preserve"> </v>
      </c>
      <c r="AJ1076" s="59"/>
      <c r="AK1076" s="59" t="str">
        <f>IF(SUM(Dati[[#This Row],[Inv. Gold]:[Mutuo]])=0," ",SUM(Dati[[#This Row],[Inv. Gold]:[Mutuo]]))</f>
        <v xml:space="preserve"> </v>
      </c>
      <c r="AL1076" s="59"/>
      <c r="AM1076" s="59"/>
    </row>
    <row r="1077" spans="2:39" x14ac:dyDescent="0.35">
      <c r="B1077" s="237">
        <f t="shared" si="58"/>
        <v>1057</v>
      </c>
      <c r="C1077" s="49">
        <f t="shared" si="57"/>
        <v>45689</v>
      </c>
      <c r="D1077" s="29">
        <f>DAY(Dati[[#This Row],[Data]])</f>
        <v>1</v>
      </c>
      <c r="E1077" s="29" t="str">
        <f>IF(DAY(Data!$C$21:$C$1327)&gt;0,TEXT(Data!$C$21:$C$1327, "mmmm"),"")</f>
        <v>febbraio</v>
      </c>
      <c r="F1077" s="29" t="str">
        <f>IF(DAY(Data!$C$21:$C$1327)&gt;0,TEXT(Data!$C$21:$C$1327, "aaaa"),"")</f>
        <v>2025</v>
      </c>
      <c r="I1077" t="str">
        <f>IF(OR(H1077=$B$5,H1077=$B$6,H1077=$B$7,H1077=$B$8,H1077=$B$9,H1077=$B$10,H1077=$B$11,H1077=$B$12,H1077=$B$13,H1077=$B$14),SottocategorieUscite[[#Headers],[Fuori Casa]],IF(OR(H1077=$C$5,H1077=$C$6,H1077=$C$7,H1077=$C$8,H1077=$C$9,H1077=$C$10,H1077=$C$11,H1077=$C$12,H1077=$C$13,H1077=$C$14),SottocategorieUscite[[#Headers],[Varie Uscite]],IF(OR(H1077=$D$5,H1077=$D$6,H1077=$D$7,H1077=$D$8,H1077=$D$9,H1077=$D$10,H1077=$D$11,H1077=$D$12,H1077=$D$13,H1077=$D$14),SottocategorieUscite[[#Headers],[Personali]],IF(OR(H1077=$E$5,H1077=$E$6,H1077=$E$7,H1077=$E$8,H1077=$E$9,H1077=$E$10,H1077=$E$11,H1077=$E$12,H1077=$E$13,H1077=$E$14),SottocategorieUscite[[#Headers],[Lavoro]],IF(OR(H1077=$F$5,H1077=$F$6,H1077=$F$7,H1077=$F$8,H1077=$F$9,H1077=$F$10,H1077=$F$11,H1077=$F$12,H1077=$F$13,H1077=$F$14),SottocategorieUscite[[#Headers],[Casa]],IF(OR(H1077=$G$5,H1077=$G$6,H1077=$G$7,H1077=$G$8,H1077=$G$9,H1077=$G$10,H1077=$G$11,H1077=$G$12,H1077=$G$13,H1077=$G$14),SottocategorieUscite[[#Headers],[Utenze]],IF(OR(H1077=$H$5,H1077=$H$6,H1077=$H$7,H1077=$H$8,H1077=$H$9,H1077=$H$10,H1077=$H$11,H1077=$H$12,H1077=$H$13,H1077=$H$14),SottocategorieUscite[[#Headers],[Business Uscite]],IF(OR(H1077=$I$5,H1077=$I$6,H1077=$I$7,H1077=$I$8,H1077=$I$9,H1077=$I$10,H1077=$I$11,H1077=$I$12,H1077=$I$13,H1077=$I$14),SottocategorieUscite[[#Headers],[Banca]],IF(OR(H1077=K$5,H1077=K$6,H1077=K$7,H1077=K$8,H1077=K$9,H1077=K$10,H1077=K$11,H1077=K$12,H1077=K$13,H1077=K$14),SottocategorieEntrate[[#Headers],[Business Entrate]],IF(OR(H1077=L$5,H1077=L$6,H1077=L$7,H1077=L$8,H1077=L$9,H1077=L$10,H1077=L$11,H1077=L$12,H1077=L$13,H1077=L$14),SottocategorieEntrate[[#Headers],[Varie Entrate]],IF(OR(H1077=M$5,H1077=M$6,H1077=M$7,H1077=M$8,H1077=M$9,H1077=M$10,H1077=M$11,H1077=M$12,H1077=M$13,H1077=M$14),SottocategorieEntrate[[#Headers],[Real Estate]],IF(OR(H1077=N$5,H1077=N$6,H1077=N$7,H1077=N$8,H1077=N$9,H1077=N$10,H1077=N$11,H1077=N$12,H1077=N$13,H1077=N$14),SottocategorieEntrate[[#Headers],[Other]],""))))))))))))</f>
        <v/>
      </c>
      <c r="J1077" t="str">
        <f>IF(OR(Dati[[#This Row],[Categoria]]="Bollette",Dati[[#This Row],[Categoria]]="Conto &amp; Carte BNL",Dati[[#This Row],[Categoria]]="Prelievo",Dati[[#This Row],[Categoria]]="Affitto",Dati[[#This Row],[Categoria]]="BNL(Interessi Creditori)"),"Carta",IF(Dati[[#This Row],[Categoria]]&lt;&gt;0,"Cash",""))</f>
        <v/>
      </c>
      <c r="K1077" s="59" t="str">
        <f>IF(OR(Data!$I1077=SottocategorieUscite[[#Headers],[Fuori Casa]],Data!$I1077=SottocategorieUscite[[#Headers],[Varie Uscite]],Data!$I1077=SottocategorieUscite[[#Headers],[Personali]],Data!$I1077=SottocategorieUscite[[#Headers],[Lavoro]]),"$ -","")</f>
        <v/>
      </c>
      <c r="L1077" s="59" t="str">
        <f>IF(OR(Data!$I1077=SottocategorieUscite[[#Headers],[Casa]],Data!$I1077=SottocategorieUscite[[#Headers],[Utenze]],Data!$I1077=SottocategorieUscite[[#Headers],[Business Uscite]],Data!$I1077=SottocategorieUscite[[#Headers],[Banca]]),"$ -","")</f>
        <v/>
      </c>
      <c r="M1077" s="59" t="str">
        <f>IF(OR($I1077&lt;&gt;SottocategorieUscite[[#Headers],[Fuori Casa]],$I1077&lt;&gt;SottocategorieUscite[[#Headers],[Varie Uscite]],$I1077&lt;&gt;SottocategorieUscite[[#Headers],[Personali]],$I1077&lt;&gt;SottocategorieUscite[[#Headers],[Lavoro]],$I1077&lt;&gt;SottocategorieUscite[[#Headers],[Casa]],$I1077&lt;&gt;SottocategorieUscite[[#Headers],[Utenze]],$I1077&lt;&gt;SottocategorieUscite[[#Headers],[Business Uscite]],$I1077&lt;&gt;SottocategorieUscite[[#Headers],[Banca]]),"","$ -")</f>
        <v/>
      </c>
      <c r="N1077" s="59" t="str">
        <f>IF(OR(Data!$I1077=SottocategorieEntrate[[#Headers],[Business Entrate]],Data!$I1077=SottocategorieEntrate[[#Headers],[Varie Entrate]]),"$ -","")</f>
        <v/>
      </c>
      <c r="O1077" s="59" t="str">
        <f>IF(OR(Data!$I1077=SottocategorieEntrate[[#Headers],[Real Estate]],SottocategorieEntrate[[#Headers],[Other]]),"$ -","")</f>
        <v/>
      </c>
      <c r="P1077" s="59" t="str">
        <f>IF(OR($I1077&lt;&gt;SottocategorieEntrate[[#Headers],[Business Entrate]],$I1077&lt;&gt;SottocategorieEntrate[[#Headers],[Varie Entrate]],$I1077&lt;&gt;SottocategorieEntrate[[#Headers],[Real Estate]],$I1077&lt;&gt;SottocategorieEntrate[[#Headers],[Other]]),"","$ -")</f>
        <v/>
      </c>
      <c r="Q1077" s="59" t="str">
        <f>IF(Dati[[#This Row],[Categoria]]="Prelievo","€ -","")</f>
        <v/>
      </c>
      <c r="R1077" s="244"/>
      <c r="S1077" s="59" t="str">
        <f>IF(Dati[[#This Row],[Categoria]]="Savings",0,"")</f>
        <v/>
      </c>
      <c r="T1077" s="59"/>
      <c r="U1077" s="59"/>
      <c r="V1077" s="59"/>
      <c r="W1077" s="59"/>
      <c r="X1077" s="59"/>
      <c r="Y1077" s="59"/>
      <c r="Z1077" s="59"/>
      <c r="AA1077" s="59"/>
      <c r="AB1077" s="59"/>
      <c r="AC1077" s="59"/>
      <c r="AD1077" s="59"/>
      <c r="AE1077" s="59"/>
      <c r="AF1077" s="59"/>
      <c r="AG1077" s="59"/>
      <c r="AH1077" s="59"/>
      <c r="AI1077" s="59" t="str">
        <f>IF(SUM(Dati[[#This Row],[Inv. Business]:[Inv. Cryptocurrency]])=0," ",SUM(Dati[[#This Row],[Inv. Business]:[Inv. Cryptocurrency]]))</f>
        <v xml:space="preserve"> </v>
      </c>
      <c r="AJ1077" s="59"/>
      <c r="AK1077" s="59" t="str">
        <f>IF(SUM(Dati[[#This Row],[Inv. Gold]:[Mutuo]])=0," ",SUM(Dati[[#This Row],[Inv. Gold]:[Mutuo]]))</f>
        <v xml:space="preserve"> </v>
      </c>
      <c r="AL1077" s="59"/>
      <c r="AM1077" s="59"/>
    </row>
    <row r="1078" spans="2:39" x14ac:dyDescent="0.35">
      <c r="B1078" s="237">
        <f t="shared" si="58"/>
        <v>1058</v>
      </c>
      <c r="C1078" s="49">
        <f t="shared" si="57"/>
        <v>45690</v>
      </c>
      <c r="D1078" s="29">
        <f>DAY(Dati[[#This Row],[Data]])</f>
        <v>2</v>
      </c>
      <c r="E1078" s="29" t="str">
        <f>IF(DAY(Data!$C$21:$C$1327)&gt;0,TEXT(Data!$C$21:$C$1327, "mmmm"),"")</f>
        <v>febbraio</v>
      </c>
      <c r="F1078" s="29" t="str">
        <f>IF(DAY(Data!$C$21:$C$1327)&gt;0,TEXT(Data!$C$21:$C$1327, "aaaa"),"")</f>
        <v>2025</v>
      </c>
      <c r="I1078" t="str">
        <f>IF(OR(H1078=$B$5,H1078=$B$6,H1078=$B$7,H1078=$B$8,H1078=$B$9,H1078=$B$10,H1078=$B$11,H1078=$B$12,H1078=$B$13,H1078=$B$14),SottocategorieUscite[[#Headers],[Fuori Casa]],IF(OR(H1078=$C$5,H1078=$C$6,H1078=$C$7,H1078=$C$8,H1078=$C$9,H1078=$C$10,H1078=$C$11,H1078=$C$12,H1078=$C$13,H1078=$C$14),SottocategorieUscite[[#Headers],[Varie Uscite]],IF(OR(H1078=$D$5,H1078=$D$6,H1078=$D$7,H1078=$D$8,H1078=$D$9,H1078=$D$10,H1078=$D$11,H1078=$D$12,H1078=$D$13,H1078=$D$14),SottocategorieUscite[[#Headers],[Personali]],IF(OR(H1078=$E$5,H1078=$E$6,H1078=$E$7,H1078=$E$8,H1078=$E$9,H1078=$E$10,H1078=$E$11,H1078=$E$12,H1078=$E$13,H1078=$E$14),SottocategorieUscite[[#Headers],[Lavoro]],IF(OR(H1078=$F$5,H1078=$F$6,H1078=$F$7,H1078=$F$8,H1078=$F$9,H1078=$F$10,H1078=$F$11,H1078=$F$12,H1078=$F$13,H1078=$F$14),SottocategorieUscite[[#Headers],[Casa]],IF(OR(H1078=$G$5,H1078=$G$6,H1078=$G$7,H1078=$G$8,H1078=$G$9,H1078=$G$10,H1078=$G$11,H1078=$G$12,H1078=$G$13,H1078=$G$14),SottocategorieUscite[[#Headers],[Utenze]],IF(OR(H1078=$H$5,H1078=$H$6,H1078=$H$7,H1078=$H$8,H1078=$H$9,H1078=$H$10,H1078=$H$11,H1078=$H$12,H1078=$H$13,H1078=$H$14),SottocategorieUscite[[#Headers],[Business Uscite]],IF(OR(H1078=$I$5,H1078=$I$6,H1078=$I$7,H1078=$I$8,H1078=$I$9,H1078=$I$10,H1078=$I$11,H1078=$I$12,H1078=$I$13,H1078=$I$14),SottocategorieUscite[[#Headers],[Banca]],IF(OR(H1078=K$5,H1078=K$6,H1078=K$7,H1078=K$8,H1078=K$9,H1078=K$10,H1078=K$11,H1078=K$12,H1078=K$13,H1078=K$14),SottocategorieEntrate[[#Headers],[Business Entrate]],IF(OR(H1078=L$5,H1078=L$6,H1078=L$7,H1078=L$8,H1078=L$9,H1078=L$10,H1078=L$11,H1078=L$12,H1078=L$13,H1078=L$14),SottocategorieEntrate[[#Headers],[Varie Entrate]],IF(OR(H1078=M$5,H1078=M$6,H1078=M$7,H1078=M$8,H1078=M$9,H1078=M$10,H1078=M$11,H1078=M$12,H1078=M$13,H1078=M$14),SottocategorieEntrate[[#Headers],[Real Estate]],IF(OR(H1078=N$5,H1078=N$6,H1078=N$7,H1078=N$8,H1078=N$9,H1078=N$10,H1078=N$11,H1078=N$12,H1078=N$13,H1078=N$14),SottocategorieEntrate[[#Headers],[Other]],""))))))))))))</f>
        <v/>
      </c>
      <c r="J1078" t="str">
        <f>IF(OR(Dati[[#This Row],[Categoria]]="Bollette",Dati[[#This Row],[Categoria]]="Conto &amp; Carte BNL",Dati[[#This Row],[Categoria]]="Prelievo",Dati[[#This Row],[Categoria]]="Affitto",Dati[[#This Row],[Categoria]]="BNL(Interessi Creditori)"),"Carta",IF(Dati[[#This Row],[Categoria]]&lt;&gt;0,"Cash",""))</f>
        <v/>
      </c>
      <c r="K1078" s="59" t="str">
        <f>IF(OR(Data!$I1078=SottocategorieUscite[[#Headers],[Fuori Casa]],Data!$I1078=SottocategorieUscite[[#Headers],[Varie Uscite]],Data!$I1078=SottocategorieUscite[[#Headers],[Personali]],Data!$I1078=SottocategorieUscite[[#Headers],[Lavoro]]),"$ -","")</f>
        <v/>
      </c>
      <c r="L1078" s="59" t="str">
        <f>IF(OR(Data!$I1078=SottocategorieUscite[[#Headers],[Casa]],Data!$I1078=SottocategorieUscite[[#Headers],[Utenze]],Data!$I1078=SottocategorieUscite[[#Headers],[Business Uscite]],Data!$I1078=SottocategorieUscite[[#Headers],[Banca]]),"$ -","")</f>
        <v/>
      </c>
      <c r="M1078" s="59" t="str">
        <f>IF(OR($I1078&lt;&gt;SottocategorieUscite[[#Headers],[Fuori Casa]],$I1078&lt;&gt;SottocategorieUscite[[#Headers],[Varie Uscite]],$I1078&lt;&gt;SottocategorieUscite[[#Headers],[Personali]],$I1078&lt;&gt;SottocategorieUscite[[#Headers],[Lavoro]],$I1078&lt;&gt;SottocategorieUscite[[#Headers],[Casa]],$I1078&lt;&gt;SottocategorieUscite[[#Headers],[Utenze]],$I1078&lt;&gt;SottocategorieUscite[[#Headers],[Business Uscite]],$I1078&lt;&gt;SottocategorieUscite[[#Headers],[Banca]]),"","$ -")</f>
        <v/>
      </c>
      <c r="N1078" s="59" t="str">
        <f>IF(OR(Data!$I1078=SottocategorieEntrate[[#Headers],[Business Entrate]],Data!$I1078=SottocategorieEntrate[[#Headers],[Varie Entrate]]),"$ -","")</f>
        <v/>
      </c>
      <c r="O1078" s="59" t="str">
        <f>IF(OR(Data!$I1078=SottocategorieEntrate[[#Headers],[Real Estate]],SottocategorieEntrate[[#Headers],[Other]]),"$ -","")</f>
        <v/>
      </c>
      <c r="P1078" s="59" t="str">
        <f>IF(OR($I1078&lt;&gt;SottocategorieEntrate[[#Headers],[Business Entrate]],$I1078&lt;&gt;SottocategorieEntrate[[#Headers],[Varie Entrate]],$I1078&lt;&gt;SottocategorieEntrate[[#Headers],[Real Estate]],$I1078&lt;&gt;SottocategorieEntrate[[#Headers],[Other]]),"","$ -")</f>
        <v/>
      </c>
      <c r="Q1078" s="59" t="str">
        <f>IF(Dati[[#This Row],[Categoria]]="Prelievo","€ -","")</f>
        <v/>
      </c>
      <c r="R1078" s="244"/>
      <c r="S1078" s="59" t="str">
        <f>IF(Dati[[#This Row],[Categoria]]="Savings",0,"")</f>
        <v/>
      </c>
      <c r="T1078" s="59"/>
      <c r="U1078" s="59"/>
      <c r="V1078" s="59"/>
      <c r="W1078" s="59"/>
      <c r="X1078" s="59"/>
      <c r="Y1078" s="59"/>
      <c r="Z1078" s="59"/>
      <c r="AA1078" s="59"/>
      <c r="AB1078" s="59"/>
      <c r="AC1078" s="59"/>
      <c r="AD1078" s="59"/>
      <c r="AE1078" s="59"/>
      <c r="AF1078" s="59"/>
      <c r="AG1078" s="59"/>
      <c r="AH1078" s="59"/>
      <c r="AI1078" s="59" t="str">
        <f>IF(SUM(Dati[[#This Row],[Inv. Business]:[Inv. Cryptocurrency]])=0," ",SUM(Dati[[#This Row],[Inv. Business]:[Inv. Cryptocurrency]]))</f>
        <v xml:space="preserve"> </v>
      </c>
      <c r="AJ1078" s="59"/>
      <c r="AK1078" s="59" t="str">
        <f>IF(SUM(Dati[[#This Row],[Inv. Gold]:[Mutuo]])=0," ",SUM(Dati[[#This Row],[Inv. Gold]:[Mutuo]]))</f>
        <v xml:space="preserve"> </v>
      </c>
      <c r="AL1078" s="59"/>
      <c r="AM1078" s="59"/>
    </row>
    <row r="1079" spans="2:39" x14ac:dyDescent="0.35">
      <c r="B1079" s="237">
        <f t="shared" si="58"/>
        <v>1059</v>
      </c>
      <c r="C1079" s="49">
        <f t="shared" si="57"/>
        <v>45691</v>
      </c>
      <c r="D1079" s="29">
        <f>DAY(Dati[[#This Row],[Data]])</f>
        <v>3</v>
      </c>
      <c r="E1079" s="29" t="str">
        <f>IF(DAY(Data!$C$21:$C$1327)&gt;0,TEXT(Data!$C$21:$C$1327, "mmmm"),"")</f>
        <v>febbraio</v>
      </c>
      <c r="F1079" s="29" t="str">
        <f>IF(DAY(Data!$C$21:$C$1327)&gt;0,TEXT(Data!$C$21:$C$1327, "aaaa"),"")</f>
        <v>2025</v>
      </c>
      <c r="I1079" t="str">
        <f>IF(OR(H1079=$B$5,H1079=$B$6,H1079=$B$7,H1079=$B$8,H1079=$B$9,H1079=$B$10,H1079=$B$11,H1079=$B$12,H1079=$B$13,H1079=$B$14),SottocategorieUscite[[#Headers],[Fuori Casa]],IF(OR(H1079=$C$5,H1079=$C$6,H1079=$C$7,H1079=$C$8,H1079=$C$9,H1079=$C$10,H1079=$C$11,H1079=$C$12,H1079=$C$13,H1079=$C$14),SottocategorieUscite[[#Headers],[Varie Uscite]],IF(OR(H1079=$D$5,H1079=$D$6,H1079=$D$7,H1079=$D$8,H1079=$D$9,H1079=$D$10,H1079=$D$11,H1079=$D$12,H1079=$D$13,H1079=$D$14),SottocategorieUscite[[#Headers],[Personali]],IF(OR(H1079=$E$5,H1079=$E$6,H1079=$E$7,H1079=$E$8,H1079=$E$9,H1079=$E$10,H1079=$E$11,H1079=$E$12,H1079=$E$13,H1079=$E$14),SottocategorieUscite[[#Headers],[Lavoro]],IF(OR(H1079=$F$5,H1079=$F$6,H1079=$F$7,H1079=$F$8,H1079=$F$9,H1079=$F$10,H1079=$F$11,H1079=$F$12,H1079=$F$13,H1079=$F$14),SottocategorieUscite[[#Headers],[Casa]],IF(OR(H1079=$G$5,H1079=$G$6,H1079=$G$7,H1079=$G$8,H1079=$G$9,H1079=$G$10,H1079=$G$11,H1079=$G$12,H1079=$G$13,H1079=$G$14),SottocategorieUscite[[#Headers],[Utenze]],IF(OR(H1079=$H$5,H1079=$H$6,H1079=$H$7,H1079=$H$8,H1079=$H$9,H1079=$H$10,H1079=$H$11,H1079=$H$12,H1079=$H$13,H1079=$H$14),SottocategorieUscite[[#Headers],[Business Uscite]],IF(OR(H1079=$I$5,H1079=$I$6,H1079=$I$7,H1079=$I$8,H1079=$I$9,H1079=$I$10,H1079=$I$11,H1079=$I$12,H1079=$I$13,H1079=$I$14),SottocategorieUscite[[#Headers],[Banca]],IF(OR(H1079=K$5,H1079=K$6,H1079=K$7,H1079=K$8,H1079=K$9,H1079=K$10,H1079=K$11,H1079=K$12,H1079=K$13,H1079=K$14),SottocategorieEntrate[[#Headers],[Business Entrate]],IF(OR(H1079=L$5,H1079=L$6,H1079=L$7,H1079=L$8,H1079=L$9,H1079=L$10,H1079=L$11,H1079=L$12,H1079=L$13,H1079=L$14),SottocategorieEntrate[[#Headers],[Varie Entrate]],IF(OR(H1079=M$5,H1079=M$6,H1079=M$7,H1079=M$8,H1079=M$9,H1079=M$10,H1079=M$11,H1079=M$12,H1079=M$13,H1079=M$14),SottocategorieEntrate[[#Headers],[Real Estate]],IF(OR(H1079=N$5,H1079=N$6,H1079=N$7,H1079=N$8,H1079=N$9,H1079=N$10,H1079=N$11,H1079=N$12,H1079=N$13,H1079=N$14),SottocategorieEntrate[[#Headers],[Other]],""))))))))))))</f>
        <v/>
      </c>
      <c r="J1079" t="str">
        <f>IF(OR(Dati[[#This Row],[Categoria]]="Bollette",Dati[[#This Row],[Categoria]]="Conto &amp; Carte BNL",Dati[[#This Row],[Categoria]]="Prelievo",Dati[[#This Row],[Categoria]]="Affitto",Dati[[#This Row],[Categoria]]="BNL(Interessi Creditori)"),"Carta",IF(Dati[[#This Row],[Categoria]]&lt;&gt;0,"Cash",""))</f>
        <v/>
      </c>
      <c r="K1079" s="59" t="str">
        <f>IF(OR(Data!$I1079=SottocategorieUscite[[#Headers],[Fuori Casa]],Data!$I1079=SottocategorieUscite[[#Headers],[Varie Uscite]],Data!$I1079=SottocategorieUscite[[#Headers],[Personali]],Data!$I1079=SottocategorieUscite[[#Headers],[Lavoro]]),"$ -","")</f>
        <v/>
      </c>
      <c r="L1079" s="59" t="str">
        <f>IF(OR(Data!$I1079=SottocategorieUscite[[#Headers],[Casa]],Data!$I1079=SottocategorieUscite[[#Headers],[Utenze]],Data!$I1079=SottocategorieUscite[[#Headers],[Business Uscite]],Data!$I1079=SottocategorieUscite[[#Headers],[Banca]]),"$ -","")</f>
        <v/>
      </c>
      <c r="M1079" s="59" t="str">
        <f>IF(OR($I1079&lt;&gt;SottocategorieUscite[[#Headers],[Fuori Casa]],$I1079&lt;&gt;SottocategorieUscite[[#Headers],[Varie Uscite]],$I1079&lt;&gt;SottocategorieUscite[[#Headers],[Personali]],$I1079&lt;&gt;SottocategorieUscite[[#Headers],[Lavoro]],$I1079&lt;&gt;SottocategorieUscite[[#Headers],[Casa]],$I1079&lt;&gt;SottocategorieUscite[[#Headers],[Utenze]],$I1079&lt;&gt;SottocategorieUscite[[#Headers],[Business Uscite]],$I1079&lt;&gt;SottocategorieUscite[[#Headers],[Banca]]),"","$ -")</f>
        <v/>
      </c>
      <c r="N1079" s="59" t="str">
        <f>IF(OR(Data!$I1079=SottocategorieEntrate[[#Headers],[Business Entrate]],Data!$I1079=SottocategorieEntrate[[#Headers],[Varie Entrate]]),"$ -","")</f>
        <v/>
      </c>
      <c r="O1079" s="59" t="str">
        <f>IF(OR(Data!$I1079=SottocategorieEntrate[[#Headers],[Real Estate]],SottocategorieEntrate[[#Headers],[Other]]),"$ -","")</f>
        <v/>
      </c>
      <c r="P1079" s="59" t="str">
        <f>IF(OR($I1079&lt;&gt;SottocategorieEntrate[[#Headers],[Business Entrate]],$I1079&lt;&gt;SottocategorieEntrate[[#Headers],[Varie Entrate]],$I1079&lt;&gt;SottocategorieEntrate[[#Headers],[Real Estate]],$I1079&lt;&gt;SottocategorieEntrate[[#Headers],[Other]]),"","$ -")</f>
        <v/>
      </c>
      <c r="Q1079" s="59" t="str">
        <f>IF(Dati[[#This Row],[Categoria]]="Prelievo","€ -","")</f>
        <v/>
      </c>
      <c r="R1079" s="244"/>
      <c r="S1079" s="59" t="str">
        <f>IF(Dati[[#This Row],[Categoria]]="Savings",0,"")</f>
        <v/>
      </c>
      <c r="T1079" s="59"/>
      <c r="U1079" s="59"/>
      <c r="V1079" s="59"/>
      <c r="W1079" s="59"/>
      <c r="X1079" s="59"/>
      <c r="Y1079" s="59"/>
      <c r="Z1079" s="59"/>
      <c r="AA1079" s="59"/>
      <c r="AB1079" s="59"/>
      <c r="AC1079" s="59"/>
      <c r="AD1079" s="59"/>
      <c r="AE1079" s="59"/>
      <c r="AF1079" s="59"/>
      <c r="AG1079" s="59"/>
      <c r="AH1079" s="59"/>
      <c r="AI1079" s="59" t="str">
        <f>IF(SUM(Dati[[#This Row],[Inv. Business]:[Inv. Cryptocurrency]])=0," ",SUM(Dati[[#This Row],[Inv. Business]:[Inv. Cryptocurrency]]))</f>
        <v xml:space="preserve"> </v>
      </c>
      <c r="AJ1079" s="59"/>
      <c r="AK1079" s="59" t="str">
        <f>IF(SUM(Dati[[#This Row],[Inv. Gold]:[Mutuo]])=0," ",SUM(Dati[[#This Row],[Inv. Gold]:[Mutuo]]))</f>
        <v xml:space="preserve"> </v>
      </c>
      <c r="AL1079" s="59"/>
      <c r="AM1079" s="59"/>
    </row>
    <row r="1080" spans="2:39" x14ac:dyDescent="0.35">
      <c r="B1080" s="237">
        <f t="shared" si="58"/>
        <v>1060</v>
      </c>
      <c r="C1080" s="49">
        <f t="shared" si="57"/>
        <v>45692</v>
      </c>
      <c r="D1080" s="29">
        <f>DAY(Dati[[#This Row],[Data]])</f>
        <v>4</v>
      </c>
      <c r="E1080" s="29" t="str">
        <f>IF(DAY(Data!$C$21:$C$1327)&gt;0,TEXT(Data!$C$21:$C$1327, "mmmm"),"")</f>
        <v>febbraio</v>
      </c>
      <c r="F1080" s="29" t="str">
        <f>IF(DAY(Data!$C$21:$C$1327)&gt;0,TEXT(Data!$C$21:$C$1327, "aaaa"),"")</f>
        <v>2025</v>
      </c>
      <c r="I1080" t="str">
        <f>IF(OR(H1080=$B$5,H1080=$B$6,H1080=$B$7,H1080=$B$8,H1080=$B$9,H1080=$B$10,H1080=$B$11,H1080=$B$12,H1080=$B$13,H1080=$B$14),SottocategorieUscite[[#Headers],[Fuori Casa]],IF(OR(H1080=$C$5,H1080=$C$6,H1080=$C$7,H1080=$C$8,H1080=$C$9,H1080=$C$10,H1080=$C$11,H1080=$C$12,H1080=$C$13,H1080=$C$14),SottocategorieUscite[[#Headers],[Varie Uscite]],IF(OR(H1080=$D$5,H1080=$D$6,H1080=$D$7,H1080=$D$8,H1080=$D$9,H1080=$D$10,H1080=$D$11,H1080=$D$12,H1080=$D$13,H1080=$D$14),SottocategorieUscite[[#Headers],[Personali]],IF(OR(H1080=$E$5,H1080=$E$6,H1080=$E$7,H1080=$E$8,H1080=$E$9,H1080=$E$10,H1080=$E$11,H1080=$E$12,H1080=$E$13,H1080=$E$14),SottocategorieUscite[[#Headers],[Lavoro]],IF(OR(H1080=$F$5,H1080=$F$6,H1080=$F$7,H1080=$F$8,H1080=$F$9,H1080=$F$10,H1080=$F$11,H1080=$F$12,H1080=$F$13,H1080=$F$14),SottocategorieUscite[[#Headers],[Casa]],IF(OR(H1080=$G$5,H1080=$G$6,H1080=$G$7,H1080=$G$8,H1080=$G$9,H1080=$G$10,H1080=$G$11,H1080=$G$12,H1080=$G$13,H1080=$G$14),SottocategorieUscite[[#Headers],[Utenze]],IF(OR(H1080=$H$5,H1080=$H$6,H1080=$H$7,H1080=$H$8,H1080=$H$9,H1080=$H$10,H1080=$H$11,H1080=$H$12,H1080=$H$13,H1080=$H$14),SottocategorieUscite[[#Headers],[Business Uscite]],IF(OR(H1080=$I$5,H1080=$I$6,H1080=$I$7,H1080=$I$8,H1080=$I$9,H1080=$I$10,H1080=$I$11,H1080=$I$12,H1080=$I$13,H1080=$I$14),SottocategorieUscite[[#Headers],[Banca]],IF(OR(H1080=K$5,H1080=K$6,H1080=K$7,H1080=K$8,H1080=K$9,H1080=K$10,H1080=K$11,H1080=K$12,H1080=K$13,H1080=K$14),SottocategorieEntrate[[#Headers],[Business Entrate]],IF(OR(H1080=L$5,H1080=L$6,H1080=L$7,H1080=L$8,H1080=L$9,H1080=L$10,H1080=L$11,H1080=L$12,H1080=L$13,H1080=L$14),SottocategorieEntrate[[#Headers],[Varie Entrate]],IF(OR(H1080=M$5,H1080=M$6,H1080=M$7,H1080=M$8,H1080=M$9,H1080=M$10,H1080=M$11,H1080=M$12,H1080=M$13,H1080=M$14),SottocategorieEntrate[[#Headers],[Real Estate]],IF(OR(H1080=N$5,H1080=N$6,H1080=N$7,H1080=N$8,H1080=N$9,H1080=N$10,H1080=N$11,H1080=N$12,H1080=N$13,H1080=N$14),SottocategorieEntrate[[#Headers],[Other]],""))))))))))))</f>
        <v/>
      </c>
      <c r="J1080" t="str">
        <f>IF(OR(Dati[[#This Row],[Categoria]]="Bollette",Dati[[#This Row],[Categoria]]="Conto &amp; Carte BNL",Dati[[#This Row],[Categoria]]="Prelievo",Dati[[#This Row],[Categoria]]="Affitto",Dati[[#This Row],[Categoria]]="BNL(Interessi Creditori)"),"Carta",IF(Dati[[#This Row],[Categoria]]&lt;&gt;0,"Cash",""))</f>
        <v/>
      </c>
      <c r="K1080" s="59" t="str">
        <f>IF(OR(Data!$I1080=SottocategorieUscite[[#Headers],[Fuori Casa]],Data!$I1080=SottocategorieUscite[[#Headers],[Varie Uscite]],Data!$I1080=SottocategorieUscite[[#Headers],[Personali]],Data!$I1080=SottocategorieUscite[[#Headers],[Lavoro]]),"$ -","")</f>
        <v/>
      </c>
      <c r="L1080" s="59" t="str">
        <f>IF(OR(Data!$I1080=SottocategorieUscite[[#Headers],[Casa]],Data!$I1080=SottocategorieUscite[[#Headers],[Utenze]],Data!$I1080=SottocategorieUscite[[#Headers],[Business Uscite]],Data!$I1080=SottocategorieUscite[[#Headers],[Banca]]),"$ -","")</f>
        <v/>
      </c>
      <c r="M1080" s="59" t="str">
        <f>IF(OR($I1080&lt;&gt;SottocategorieUscite[[#Headers],[Fuori Casa]],$I1080&lt;&gt;SottocategorieUscite[[#Headers],[Varie Uscite]],$I1080&lt;&gt;SottocategorieUscite[[#Headers],[Personali]],$I1080&lt;&gt;SottocategorieUscite[[#Headers],[Lavoro]],$I1080&lt;&gt;SottocategorieUscite[[#Headers],[Casa]],$I1080&lt;&gt;SottocategorieUscite[[#Headers],[Utenze]],$I1080&lt;&gt;SottocategorieUscite[[#Headers],[Business Uscite]],$I1080&lt;&gt;SottocategorieUscite[[#Headers],[Banca]]),"","$ -")</f>
        <v/>
      </c>
      <c r="N1080" s="59" t="str">
        <f>IF(OR(Data!$I1080=SottocategorieEntrate[[#Headers],[Business Entrate]],Data!$I1080=SottocategorieEntrate[[#Headers],[Varie Entrate]]),"$ -","")</f>
        <v/>
      </c>
      <c r="O1080" s="59" t="str">
        <f>IF(OR(Data!$I1080=SottocategorieEntrate[[#Headers],[Real Estate]],SottocategorieEntrate[[#Headers],[Other]]),"$ -","")</f>
        <v/>
      </c>
      <c r="P1080" s="59" t="str">
        <f>IF(OR($I1080&lt;&gt;SottocategorieEntrate[[#Headers],[Business Entrate]],$I1080&lt;&gt;SottocategorieEntrate[[#Headers],[Varie Entrate]],$I1080&lt;&gt;SottocategorieEntrate[[#Headers],[Real Estate]],$I1080&lt;&gt;SottocategorieEntrate[[#Headers],[Other]]),"","$ -")</f>
        <v/>
      </c>
      <c r="Q1080" s="59" t="str">
        <f>IF(Dati[[#This Row],[Categoria]]="Prelievo","€ -","")</f>
        <v/>
      </c>
      <c r="R1080" s="244"/>
      <c r="S1080" s="59" t="str">
        <f>IF(Dati[[#This Row],[Categoria]]="Savings",0,"")</f>
        <v/>
      </c>
      <c r="T1080" s="59"/>
      <c r="U1080" s="59"/>
      <c r="V1080" s="59"/>
      <c r="W1080" s="59"/>
      <c r="X1080" s="59"/>
      <c r="Y1080" s="59"/>
      <c r="Z1080" s="59"/>
      <c r="AA1080" s="59"/>
      <c r="AB1080" s="59"/>
      <c r="AC1080" s="59"/>
      <c r="AD1080" s="59"/>
      <c r="AE1080" s="59"/>
      <c r="AF1080" s="59"/>
      <c r="AG1080" s="59"/>
      <c r="AH1080" s="59"/>
      <c r="AI1080" s="59" t="str">
        <f>IF(SUM(Dati[[#This Row],[Inv. Business]:[Inv. Cryptocurrency]])=0," ",SUM(Dati[[#This Row],[Inv. Business]:[Inv. Cryptocurrency]]))</f>
        <v xml:space="preserve"> </v>
      </c>
      <c r="AJ1080" s="59"/>
      <c r="AK1080" s="59" t="str">
        <f>IF(SUM(Dati[[#This Row],[Inv. Gold]:[Mutuo]])=0," ",SUM(Dati[[#This Row],[Inv. Gold]:[Mutuo]]))</f>
        <v xml:space="preserve"> </v>
      </c>
      <c r="AL1080" s="59"/>
      <c r="AM1080" s="59"/>
    </row>
    <row r="1081" spans="2:39" x14ac:dyDescent="0.35">
      <c r="B1081" s="237">
        <f t="shared" si="58"/>
        <v>1061</v>
      </c>
      <c r="C1081" s="49">
        <f t="shared" si="57"/>
        <v>45693</v>
      </c>
      <c r="D1081" s="29">
        <f>DAY(Dati[[#This Row],[Data]])</f>
        <v>5</v>
      </c>
      <c r="E1081" s="29" t="str">
        <f>IF(DAY(Data!$C$21:$C$1327)&gt;0,TEXT(Data!$C$21:$C$1327, "mmmm"),"")</f>
        <v>febbraio</v>
      </c>
      <c r="F1081" s="29" t="str">
        <f>IF(DAY(Data!$C$21:$C$1327)&gt;0,TEXT(Data!$C$21:$C$1327, "aaaa"),"")</f>
        <v>2025</v>
      </c>
      <c r="I1081" t="str">
        <f>IF(OR(H1081=$B$5,H1081=$B$6,H1081=$B$7,H1081=$B$8,H1081=$B$9,H1081=$B$10,H1081=$B$11,H1081=$B$12,H1081=$B$13,H1081=$B$14),SottocategorieUscite[[#Headers],[Fuori Casa]],IF(OR(H1081=$C$5,H1081=$C$6,H1081=$C$7,H1081=$C$8,H1081=$C$9,H1081=$C$10,H1081=$C$11,H1081=$C$12,H1081=$C$13,H1081=$C$14),SottocategorieUscite[[#Headers],[Varie Uscite]],IF(OR(H1081=$D$5,H1081=$D$6,H1081=$D$7,H1081=$D$8,H1081=$D$9,H1081=$D$10,H1081=$D$11,H1081=$D$12,H1081=$D$13,H1081=$D$14),SottocategorieUscite[[#Headers],[Personali]],IF(OR(H1081=$E$5,H1081=$E$6,H1081=$E$7,H1081=$E$8,H1081=$E$9,H1081=$E$10,H1081=$E$11,H1081=$E$12,H1081=$E$13,H1081=$E$14),SottocategorieUscite[[#Headers],[Lavoro]],IF(OR(H1081=$F$5,H1081=$F$6,H1081=$F$7,H1081=$F$8,H1081=$F$9,H1081=$F$10,H1081=$F$11,H1081=$F$12,H1081=$F$13,H1081=$F$14),SottocategorieUscite[[#Headers],[Casa]],IF(OR(H1081=$G$5,H1081=$G$6,H1081=$G$7,H1081=$G$8,H1081=$G$9,H1081=$G$10,H1081=$G$11,H1081=$G$12,H1081=$G$13,H1081=$G$14),SottocategorieUscite[[#Headers],[Utenze]],IF(OR(H1081=$H$5,H1081=$H$6,H1081=$H$7,H1081=$H$8,H1081=$H$9,H1081=$H$10,H1081=$H$11,H1081=$H$12,H1081=$H$13,H1081=$H$14),SottocategorieUscite[[#Headers],[Business Uscite]],IF(OR(H1081=$I$5,H1081=$I$6,H1081=$I$7,H1081=$I$8,H1081=$I$9,H1081=$I$10,H1081=$I$11,H1081=$I$12,H1081=$I$13,H1081=$I$14),SottocategorieUscite[[#Headers],[Banca]],IF(OR(H1081=K$5,H1081=K$6,H1081=K$7,H1081=K$8,H1081=K$9,H1081=K$10,H1081=K$11,H1081=K$12,H1081=K$13,H1081=K$14),SottocategorieEntrate[[#Headers],[Business Entrate]],IF(OR(H1081=L$5,H1081=L$6,H1081=L$7,H1081=L$8,H1081=L$9,H1081=L$10,H1081=L$11,H1081=L$12,H1081=L$13,H1081=L$14),SottocategorieEntrate[[#Headers],[Varie Entrate]],IF(OR(H1081=M$5,H1081=M$6,H1081=M$7,H1081=M$8,H1081=M$9,H1081=M$10,H1081=M$11,H1081=M$12,H1081=M$13,H1081=M$14),SottocategorieEntrate[[#Headers],[Real Estate]],IF(OR(H1081=N$5,H1081=N$6,H1081=N$7,H1081=N$8,H1081=N$9,H1081=N$10,H1081=N$11,H1081=N$12,H1081=N$13,H1081=N$14),SottocategorieEntrate[[#Headers],[Other]],""))))))))))))</f>
        <v/>
      </c>
      <c r="J1081" t="str">
        <f>IF(OR(Dati[[#This Row],[Categoria]]="Bollette",Dati[[#This Row],[Categoria]]="Conto &amp; Carte BNL",Dati[[#This Row],[Categoria]]="Prelievo",Dati[[#This Row],[Categoria]]="Affitto",Dati[[#This Row],[Categoria]]="BNL(Interessi Creditori)"),"Carta",IF(Dati[[#This Row],[Categoria]]&lt;&gt;0,"Cash",""))</f>
        <v/>
      </c>
      <c r="K1081" s="59" t="str">
        <f>IF(OR(Data!$I1081=SottocategorieUscite[[#Headers],[Fuori Casa]],Data!$I1081=SottocategorieUscite[[#Headers],[Varie Uscite]],Data!$I1081=SottocategorieUscite[[#Headers],[Personali]],Data!$I1081=SottocategorieUscite[[#Headers],[Lavoro]]),"$ -","")</f>
        <v/>
      </c>
      <c r="L1081" s="59" t="str">
        <f>IF(OR(Data!$I1081=SottocategorieUscite[[#Headers],[Casa]],Data!$I1081=SottocategorieUscite[[#Headers],[Utenze]],Data!$I1081=SottocategorieUscite[[#Headers],[Business Uscite]],Data!$I1081=SottocategorieUscite[[#Headers],[Banca]]),"$ -","")</f>
        <v/>
      </c>
      <c r="M1081" s="59" t="str">
        <f>IF(OR($I1081&lt;&gt;SottocategorieUscite[[#Headers],[Fuori Casa]],$I1081&lt;&gt;SottocategorieUscite[[#Headers],[Varie Uscite]],$I1081&lt;&gt;SottocategorieUscite[[#Headers],[Personali]],$I1081&lt;&gt;SottocategorieUscite[[#Headers],[Lavoro]],$I1081&lt;&gt;SottocategorieUscite[[#Headers],[Casa]],$I1081&lt;&gt;SottocategorieUscite[[#Headers],[Utenze]],$I1081&lt;&gt;SottocategorieUscite[[#Headers],[Business Uscite]],$I1081&lt;&gt;SottocategorieUscite[[#Headers],[Banca]]),"","$ -")</f>
        <v/>
      </c>
      <c r="N1081" s="59" t="str">
        <f>IF(OR(Data!$I1081=SottocategorieEntrate[[#Headers],[Business Entrate]],Data!$I1081=SottocategorieEntrate[[#Headers],[Varie Entrate]]),"$ -","")</f>
        <v/>
      </c>
      <c r="O1081" s="59" t="str">
        <f>IF(OR(Data!$I1081=SottocategorieEntrate[[#Headers],[Real Estate]],SottocategorieEntrate[[#Headers],[Other]]),"$ -","")</f>
        <v/>
      </c>
      <c r="P1081" s="59" t="str">
        <f>IF(OR($I1081&lt;&gt;SottocategorieEntrate[[#Headers],[Business Entrate]],$I1081&lt;&gt;SottocategorieEntrate[[#Headers],[Varie Entrate]],$I1081&lt;&gt;SottocategorieEntrate[[#Headers],[Real Estate]],$I1081&lt;&gt;SottocategorieEntrate[[#Headers],[Other]]),"","$ -")</f>
        <v/>
      </c>
      <c r="Q1081" s="59" t="str">
        <f>IF(Dati[[#This Row],[Categoria]]="Prelievo","€ -","")</f>
        <v/>
      </c>
      <c r="R1081" s="244"/>
      <c r="S1081" s="59" t="str">
        <f>IF(Dati[[#This Row],[Categoria]]="Savings",0,"")</f>
        <v/>
      </c>
      <c r="T1081" s="59"/>
      <c r="U1081" s="59"/>
      <c r="V1081" s="59"/>
      <c r="W1081" s="59"/>
      <c r="X1081" s="59"/>
      <c r="Y1081" s="59"/>
      <c r="Z1081" s="59"/>
      <c r="AA1081" s="59"/>
      <c r="AB1081" s="59"/>
      <c r="AC1081" s="59"/>
      <c r="AD1081" s="59"/>
      <c r="AE1081" s="59"/>
      <c r="AF1081" s="59"/>
      <c r="AG1081" s="59"/>
      <c r="AH1081" s="59"/>
      <c r="AI1081" s="59" t="str">
        <f>IF(SUM(Dati[[#This Row],[Inv. Business]:[Inv. Cryptocurrency]])=0," ",SUM(Dati[[#This Row],[Inv. Business]:[Inv. Cryptocurrency]]))</f>
        <v xml:space="preserve"> </v>
      </c>
      <c r="AJ1081" s="59"/>
      <c r="AK1081" s="59" t="str">
        <f>IF(SUM(Dati[[#This Row],[Inv. Gold]:[Mutuo]])=0," ",SUM(Dati[[#This Row],[Inv. Gold]:[Mutuo]]))</f>
        <v xml:space="preserve"> </v>
      </c>
      <c r="AL1081" s="59"/>
      <c r="AM1081" s="59"/>
    </row>
    <row r="1082" spans="2:39" x14ac:dyDescent="0.35">
      <c r="B1082" s="237">
        <f t="shared" si="58"/>
        <v>1062</v>
      </c>
      <c r="C1082" s="49">
        <f t="shared" si="57"/>
        <v>45694</v>
      </c>
      <c r="D1082" s="29">
        <f>DAY(Dati[[#This Row],[Data]])</f>
        <v>6</v>
      </c>
      <c r="E1082" s="29" t="str">
        <f>IF(DAY(Data!$C$21:$C$1327)&gt;0,TEXT(Data!$C$21:$C$1327, "mmmm"),"")</f>
        <v>febbraio</v>
      </c>
      <c r="F1082" s="29" t="str">
        <f>IF(DAY(Data!$C$21:$C$1327)&gt;0,TEXT(Data!$C$21:$C$1327, "aaaa"),"")</f>
        <v>2025</v>
      </c>
      <c r="I1082" t="str">
        <f>IF(OR(H1082=$B$5,H1082=$B$6,H1082=$B$7,H1082=$B$8,H1082=$B$9,H1082=$B$10,H1082=$B$11,H1082=$B$12,H1082=$B$13,H1082=$B$14),SottocategorieUscite[[#Headers],[Fuori Casa]],IF(OR(H1082=$C$5,H1082=$C$6,H1082=$C$7,H1082=$C$8,H1082=$C$9,H1082=$C$10,H1082=$C$11,H1082=$C$12,H1082=$C$13,H1082=$C$14),SottocategorieUscite[[#Headers],[Varie Uscite]],IF(OR(H1082=$D$5,H1082=$D$6,H1082=$D$7,H1082=$D$8,H1082=$D$9,H1082=$D$10,H1082=$D$11,H1082=$D$12,H1082=$D$13,H1082=$D$14),SottocategorieUscite[[#Headers],[Personali]],IF(OR(H1082=$E$5,H1082=$E$6,H1082=$E$7,H1082=$E$8,H1082=$E$9,H1082=$E$10,H1082=$E$11,H1082=$E$12,H1082=$E$13,H1082=$E$14),SottocategorieUscite[[#Headers],[Lavoro]],IF(OR(H1082=$F$5,H1082=$F$6,H1082=$F$7,H1082=$F$8,H1082=$F$9,H1082=$F$10,H1082=$F$11,H1082=$F$12,H1082=$F$13,H1082=$F$14),SottocategorieUscite[[#Headers],[Casa]],IF(OR(H1082=$G$5,H1082=$G$6,H1082=$G$7,H1082=$G$8,H1082=$G$9,H1082=$G$10,H1082=$G$11,H1082=$G$12,H1082=$G$13,H1082=$G$14),SottocategorieUscite[[#Headers],[Utenze]],IF(OR(H1082=$H$5,H1082=$H$6,H1082=$H$7,H1082=$H$8,H1082=$H$9,H1082=$H$10,H1082=$H$11,H1082=$H$12,H1082=$H$13,H1082=$H$14),SottocategorieUscite[[#Headers],[Business Uscite]],IF(OR(H1082=$I$5,H1082=$I$6,H1082=$I$7,H1082=$I$8,H1082=$I$9,H1082=$I$10,H1082=$I$11,H1082=$I$12,H1082=$I$13,H1082=$I$14),SottocategorieUscite[[#Headers],[Banca]],IF(OR(H1082=K$5,H1082=K$6,H1082=K$7,H1082=K$8,H1082=K$9,H1082=K$10,H1082=K$11,H1082=K$12,H1082=K$13,H1082=K$14),SottocategorieEntrate[[#Headers],[Business Entrate]],IF(OR(H1082=L$5,H1082=L$6,H1082=L$7,H1082=L$8,H1082=L$9,H1082=L$10,H1082=L$11,H1082=L$12,H1082=L$13,H1082=L$14),SottocategorieEntrate[[#Headers],[Varie Entrate]],IF(OR(H1082=M$5,H1082=M$6,H1082=M$7,H1082=M$8,H1082=M$9,H1082=M$10,H1082=M$11,H1082=M$12,H1082=M$13,H1082=M$14),SottocategorieEntrate[[#Headers],[Real Estate]],IF(OR(H1082=N$5,H1082=N$6,H1082=N$7,H1082=N$8,H1082=N$9,H1082=N$10,H1082=N$11,H1082=N$12,H1082=N$13,H1082=N$14),SottocategorieEntrate[[#Headers],[Other]],""))))))))))))</f>
        <v/>
      </c>
      <c r="J1082" t="str">
        <f>IF(OR(Dati[[#This Row],[Categoria]]="Bollette",Dati[[#This Row],[Categoria]]="Conto &amp; Carte BNL",Dati[[#This Row],[Categoria]]="Prelievo",Dati[[#This Row],[Categoria]]="Affitto",Dati[[#This Row],[Categoria]]="BNL(Interessi Creditori)"),"Carta",IF(Dati[[#This Row],[Categoria]]&lt;&gt;0,"Cash",""))</f>
        <v/>
      </c>
      <c r="K1082" s="59" t="str">
        <f>IF(OR(Data!$I1082=SottocategorieUscite[[#Headers],[Fuori Casa]],Data!$I1082=SottocategorieUscite[[#Headers],[Varie Uscite]],Data!$I1082=SottocategorieUscite[[#Headers],[Personali]],Data!$I1082=SottocategorieUscite[[#Headers],[Lavoro]]),"$ -","")</f>
        <v/>
      </c>
      <c r="L1082" s="59" t="str">
        <f>IF(OR(Data!$I1082=SottocategorieUscite[[#Headers],[Casa]],Data!$I1082=SottocategorieUscite[[#Headers],[Utenze]],Data!$I1082=SottocategorieUscite[[#Headers],[Business Uscite]],Data!$I1082=SottocategorieUscite[[#Headers],[Banca]]),"$ -","")</f>
        <v/>
      </c>
      <c r="M1082" s="59" t="str">
        <f>IF(OR($I1082&lt;&gt;SottocategorieUscite[[#Headers],[Fuori Casa]],$I1082&lt;&gt;SottocategorieUscite[[#Headers],[Varie Uscite]],$I1082&lt;&gt;SottocategorieUscite[[#Headers],[Personali]],$I1082&lt;&gt;SottocategorieUscite[[#Headers],[Lavoro]],$I1082&lt;&gt;SottocategorieUscite[[#Headers],[Casa]],$I1082&lt;&gt;SottocategorieUscite[[#Headers],[Utenze]],$I1082&lt;&gt;SottocategorieUscite[[#Headers],[Business Uscite]],$I1082&lt;&gt;SottocategorieUscite[[#Headers],[Banca]]),"","$ -")</f>
        <v/>
      </c>
      <c r="N1082" s="59" t="str">
        <f>IF(OR(Data!$I1082=SottocategorieEntrate[[#Headers],[Business Entrate]],Data!$I1082=SottocategorieEntrate[[#Headers],[Varie Entrate]]),"$ -","")</f>
        <v/>
      </c>
      <c r="O1082" s="59" t="str">
        <f>IF(OR(Data!$I1082=SottocategorieEntrate[[#Headers],[Real Estate]],SottocategorieEntrate[[#Headers],[Other]]),"$ -","")</f>
        <v/>
      </c>
      <c r="P1082" s="59" t="str">
        <f>IF(OR($I1082&lt;&gt;SottocategorieEntrate[[#Headers],[Business Entrate]],$I1082&lt;&gt;SottocategorieEntrate[[#Headers],[Varie Entrate]],$I1082&lt;&gt;SottocategorieEntrate[[#Headers],[Real Estate]],$I1082&lt;&gt;SottocategorieEntrate[[#Headers],[Other]]),"","$ -")</f>
        <v/>
      </c>
      <c r="Q1082" s="59" t="str">
        <f>IF(Dati[[#This Row],[Categoria]]="Prelievo","€ -","")</f>
        <v/>
      </c>
      <c r="R1082" s="244"/>
      <c r="S1082" s="59" t="str">
        <f>IF(Dati[[#This Row],[Categoria]]="Savings",0,"")</f>
        <v/>
      </c>
      <c r="T1082" s="59"/>
      <c r="U1082" s="59"/>
      <c r="V1082" s="59"/>
      <c r="W1082" s="59"/>
      <c r="X1082" s="59"/>
      <c r="Y1082" s="59"/>
      <c r="Z1082" s="59"/>
      <c r="AA1082" s="59"/>
      <c r="AB1082" s="59"/>
      <c r="AC1082" s="59"/>
      <c r="AD1082" s="59"/>
      <c r="AE1082" s="59"/>
      <c r="AF1082" s="59"/>
      <c r="AG1082" s="59"/>
      <c r="AH1082" s="59"/>
      <c r="AI1082" s="59" t="str">
        <f>IF(SUM(Dati[[#This Row],[Inv. Business]:[Inv. Cryptocurrency]])=0," ",SUM(Dati[[#This Row],[Inv. Business]:[Inv. Cryptocurrency]]))</f>
        <v xml:space="preserve"> </v>
      </c>
      <c r="AJ1082" s="59"/>
      <c r="AK1082" s="59" t="str">
        <f>IF(SUM(Dati[[#This Row],[Inv. Gold]:[Mutuo]])=0," ",SUM(Dati[[#This Row],[Inv. Gold]:[Mutuo]]))</f>
        <v xml:space="preserve"> </v>
      </c>
      <c r="AL1082" s="59"/>
      <c r="AM1082" s="59"/>
    </row>
    <row r="1083" spans="2:39" x14ac:dyDescent="0.35">
      <c r="B1083" s="237">
        <f t="shared" si="58"/>
        <v>1063</v>
      </c>
      <c r="C1083" s="49">
        <f t="shared" si="57"/>
        <v>45695</v>
      </c>
      <c r="D1083" s="29">
        <f>DAY(Dati[[#This Row],[Data]])</f>
        <v>7</v>
      </c>
      <c r="E1083" s="29" t="str">
        <f>IF(DAY(Data!$C$21:$C$1327)&gt;0,TEXT(Data!$C$21:$C$1327, "mmmm"),"")</f>
        <v>febbraio</v>
      </c>
      <c r="F1083" s="29" t="str">
        <f>IF(DAY(Data!$C$21:$C$1327)&gt;0,TEXT(Data!$C$21:$C$1327, "aaaa"),"")</f>
        <v>2025</v>
      </c>
      <c r="I1083" t="str">
        <f>IF(OR(H1083=$B$5,H1083=$B$6,H1083=$B$7,H1083=$B$8,H1083=$B$9,H1083=$B$10,H1083=$B$11,H1083=$B$12,H1083=$B$13,H1083=$B$14),SottocategorieUscite[[#Headers],[Fuori Casa]],IF(OR(H1083=$C$5,H1083=$C$6,H1083=$C$7,H1083=$C$8,H1083=$C$9,H1083=$C$10,H1083=$C$11,H1083=$C$12,H1083=$C$13,H1083=$C$14),SottocategorieUscite[[#Headers],[Varie Uscite]],IF(OR(H1083=$D$5,H1083=$D$6,H1083=$D$7,H1083=$D$8,H1083=$D$9,H1083=$D$10,H1083=$D$11,H1083=$D$12,H1083=$D$13,H1083=$D$14),SottocategorieUscite[[#Headers],[Personali]],IF(OR(H1083=$E$5,H1083=$E$6,H1083=$E$7,H1083=$E$8,H1083=$E$9,H1083=$E$10,H1083=$E$11,H1083=$E$12,H1083=$E$13,H1083=$E$14),SottocategorieUscite[[#Headers],[Lavoro]],IF(OR(H1083=$F$5,H1083=$F$6,H1083=$F$7,H1083=$F$8,H1083=$F$9,H1083=$F$10,H1083=$F$11,H1083=$F$12,H1083=$F$13,H1083=$F$14),SottocategorieUscite[[#Headers],[Casa]],IF(OR(H1083=$G$5,H1083=$G$6,H1083=$G$7,H1083=$G$8,H1083=$G$9,H1083=$G$10,H1083=$G$11,H1083=$G$12,H1083=$G$13,H1083=$G$14),SottocategorieUscite[[#Headers],[Utenze]],IF(OR(H1083=$H$5,H1083=$H$6,H1083=$H$7,H1083=$H$8,H1083=$H$9,H1083=$H$10,H1083=$H$11,H1083=$H$12,H1083=$H$13,H1083=$H$14),SottocategorieUscite[[#Headers],[Business Uscite]],IF(OR(H1083=$I$5,H1083=$I$6,H1083=$I$7,H1083=$I$8,H1083=$I$9,H1083=$I$10,H1083=$I$11,H1083=$I$12,H1083=$I$13,H1083=$I$14),SottocategorieUscite[[#Headers],[Banca]],IF(OR(H1083=K$5,H1083=K$6,H1083=K$7,H1083=K$8,H1083=K$9,H1083=K$10,H1083=K$11,H1083=K$12,H1083=K$13,H1083=K$14),SottocategorieEntrate[[#Headers],[Business Entrate]],IF(OR(H1083=L$5,H1083=L$6,H1083=L$7,H1083=L$8,H1083=L$9,H1083=L$10,H1083=L$11,H1083=L$12,H1083=L$13,H1083=L$14),SottocategorieEntrate[[#Headers],[Varie Entrate]],IF(OR(H1083=M$5,H1083=M$6,H1083=M$7,H1083=M$8,H1083=M$9,H1083=M$10,H1083=M$11,H1083=M$12,H1083=M$13,H1083=M$14),SottocategorieEntrate[[#Headers],[Real Estate]],IF(OR(H1083=N$5,H1083=N$6,H1083=N$7,H1083=N$8,H1083=N$9,H1083=N$10,H1083=N$11,H1083=N$12,H1083=N$13,H1083=N$14),SottocategorieEntrate[[#Headers],[Other]],""))))))))))))</f>
        <v/>
      </c>
      <c r="J1083" t="str">
        <f>IF(OR(Dati[[#This Row],[Categoria]]="Bollette",Dati[[#This Row],[Categoria]]="Conto &amp; Carte BNL",Dati[[#This Row],[Categoria]]="Prelievo",Dati[[#This Row],[Categoria]]="Affitto",Dati[[#This Row],[Categoria]]="BNL(Interessi Creditori)"),"Carta",IF(Dati[[#This Row],[Categoria]]&lt;&gt;0,"Cash",""))</f>
        <v/>
      </c>
      <c r="K1083" s="59" t="str">
        <f>IF(OR(Data!$I1083=SottocategorieUscite[[#Headers],[Fuori Casa]],Data!$I1083=SottocategorieUscite[[#Headers],[Varie Uscite]],Data!$I1083=SottocategorieUscite[[#Headers],[Personali]],Data!$I1083=SottocategorieUscite[[#Headers],[Lavoro]]),"$ -","")</f>
        <v/>
      </c>
      <c r="L1083" s="59" t="str">
        <f>IF(OR(Data!$I1083=SottocategorieUscite[[#Headers],[Casa]],Data!$I1083=SottocategorieUscite[[#Headers],[Utenze]],Data!$I1083=SottocategorieUscite[[#Headers],[Business Uscite]],Data!$I1083=SottocategorieUscite[[#Headers],[Banca]]),"$ -","")</f>
        <v/>
      </c>
      <c r="M1083" s="59" t="str">
        <f>IF(OR($I1083&lt;&gt;SottocategorieUscite[[#Headers],[Fuori Casa]],$I1083&lt;&gt;SottocategorieUscite[[#Headers],[Varie Uscite]],$I1083&lt;&gt;SottocategorieUscite[[#Headers],[Personali]],$I1083&lt;&gt;SottocategorieUscite[[#Headers],[Lavoro]],$I1083&lt;&gt;SottocategorieUscite[[#Headers],[Casa]],$I1083&lt;&gt;SottocategorieUscite[[#Headers],[Utenze]],$I1083&lt;&gt;SottocategorieUscite[[#Headers],[Business Uscite]],$I1083&lt;&gt;SottocategorieUscite[[#Headers],[Banca]]),"","$ -")</f>
        <v/>
      </c>
      <c r="N1083" s="59" t="str">
        <f>IF(OR(Data!$I1083=SottocategorieEntrate[[#Headers],[Business Entrate]],Data!$I1083=SottocategorieEntrate[[#Headers],[Varie Entrate]]),"$ -","")</f>
        <v/>
      </c>
      <c r="O1083" s="59" t="str">
        <f>IF(OR(Data!$I1083=SottocategorieEntrate[[#Headers],[Real Estate]],SottocategorieEntrate[[#Headers],[Other]]),"$ -","")</f>
        <v/>
      </c>
      <c r="P1083" s="59" t="str">
        <f>IF(OR($I1083&lt;&gt;SottocategorieEntrate[[#Headers],[Business Entrate]],$I1083&lt;&gt;SottocategorieEntrate[[#Headers],[Varie Entrate]],$I1083&lt;&gt;SottocategorieEntrate[[#Headers],[Real Estate]],$I1083&lt;&gt;SottocategorieEntrate[[#Headers],[Other]]),"","$ -")</f>
        <v/>
      </c>
      <c r="Q1083" s="59" t="str">
        <f>IF(Dati[[#This Row],[Categoria]]="Prelievo","€ -","")</f>
        <v/>
      </c>
      <c r="R1083" s="244"/>
      <c r="S1083" s="59" t="str">
        <f>IF(Dati[[#This Row],[Categoria]]="Savings",0,"")</f>
        <v/>
      </c>
      <c r="T1083" s="59"/>
      <c r="U1083" s="59"/>
      <c r="V1083" s="59"/>
      <c r="W1083" s="59"/>
      <c r="X1083" s="59"/>
      <c r="Y1083" s="59"/>
      <c r="Z1083" s="59"/>
      <c r="AA1083" s="59"/>
      <c r="AB1083" s="59"/>
      <c r="AC1083" s="59"/>
      <c r="AD1083" s="59"/>
      <c r="AE1083" s="59"/>
      <c r="AF1083" s="59"/>
      <c r="AG1083" s="59"/>
      <c r="AH1083" s="59"/>
      <c r="AI1083" s="59" t="str">
        <f>IF(SUM(Dati[[#This Row],[Inv. Business]:[Inv. Cryptocurrency]])=0," ",SUM(Dati[[#This Row],[Inv. Business]:[Inv. Cryptocurrency]]))</f>
        <v xml:space="preserve"> </v>
      </c>
      <c r="AJ1083" s="59"/>
      <c r="AK1083" s="59" t="str">
        <f>IF(SUM(Dati[[#This Row],[Inv. Gold]:[Mutuo]])=0," ",SUM(Dati[[#This Row],[Inv. Gold]:[Mutuo]]))</f>
        <v xml:space="preserve"> </v>
      </c>
      <c r="AL1083" s="59"/>
      <c r="AM1083" s="59"/>
    </row>
    <row r="1084" spans="2:39" x14ac:dyDescent="0.35">
      <c r="B1084" s="237">
        <f t="shared" si="58"/>
        <v>1064</v>
      </c>
      <c r="C1084" s="49">
        <f t="shared" si="57"/>
        <v>45696</v>
      </c>
      <c r="D1084" s="29">
        <f>DAY(Dati[[#This Row],[Data]])</f>
        <v>8</v>
      </c>
      <c r="E1084" s="29" t="str">
        <f>IF(DAY(Data!$C$21:$C$1327)&gt;0,TEXT(Data!$C$21:$C$1327, "mmmm"),"")</f>
        <v>febbraio</v>
      </c>
      <c r="F1084" s="29" t="str">
        <f>IF(DAY(Data!$C$21:$C$1327)&gt;0,TEXT(Data!$C$21:$C$1327, "aaaa"),"")</f>
        <v>2025</v>
      </c>
      <c r="I1084" t="str">
        <f>IF(OR(H1084=$B$5,H1084=$B$6,H1084=$B$7,H1084=$B$8,H1084=$B$9,H1084=$B$10,H1084=$B$11,H1084=$B$12,H1084=$B$13,H1084=$B$14),SottocategorieUscite[[#Headers],[Fuori Casa]],IF(OR(H1084=$C$5,H1084=$C$6,H1084=$C$7,H1084=$C$8,H1084=$C$9,H1084=$C$10,H1084=$C$11,H1084=$C$12,H1084=$C$13,H1084=$C$14),SottocategorieUscite[[#Headers],[Varie Uscite]],IF(OR(H1084=$D$5,H1084=$D$6,H1084=$D$7,H1084=$D$8,H1084=$D$9,H1084=$D$10,H1084=$D$11,H1084=$D$12,H1084=$D$13,H1084=$D$14),SottocategorieUscite[[#Headers],[Personali]],IF(OR(H1084=$E$5,H1084=$E$6,H1084=$E$7,H1084=$E$8,H1084=$E$9,H1084=$E$10,H1084=$E$11,H1084=$E$12,H1084=$E$13,H1084=$E$14),SottocategorieUscite[[#Headers],[Lavoro]],IF(OR(H1084=$F$5,H1084=$F$6,H1084=$F$7,H1084=$F$8,H1084=$F$9,H1084=$F$10,H1084=$F$11,H1084=$F$12,H1084=$F$13,H1084=$F$14),SottocategorieUscite[[#Headers],[Casa]],IF(OR(H1084=$G$5,H1084=$G$6,H1084=$G$7,H1084=$G$8,H1084=$G$9,H1084=$G$10,H1084=$G$11,H1084=$G$12,H1084=$G$13,H1084=$G$14),SottocategorieUscite[[#Headers],[Utenze]],IF(OR(H1084=$H$5,H1084=$H$6,H1084=$H$7,H1084=$H$8,H1084=$H$9,H1084=$H$10,H1084=$H$11,H1084=$H$12,H1084=$H$13,H1084=$H$14),SottocategorieUscite[[#Headers],[Business Uscite]],IF(OR(H1084=$I$5,H1084=$I$6,H1084=$I$7,H1084=$I$8,H1084=$I$9,H1084=$I$10,H1084=$I$11,H1084=$I$12,H1084=$I$13,H1084=$I$14),SottocategorieUscite[[#Headers],[Banca]],IF(OR(H1084=K$5,H1084=K$6,H1084=K$7,H1084=K$8,H1084=K$9,H1084=K$10,H1084=K$11,H1084=K$12,H1084=K$13,H1084=K$14),SottocategorieEntrate[[#Headers],[Business Entrate]],IF(OR(H1084=L$5,H1084=L$6,H1084=L$7,H1084=L$8,H1084=L$9,H1084=L$10,H1084=L$11,H1084=L$12,H1084=L$13,H1084=L$14),SottocategorieEntrate[[#Headers],[Varie Entrate]],IF(OR(H1084=M$5,H1084=M$6,H1084=M$7,H1084=M$8,H1084=M$9,H1084=M$10,H1084=M$11,H1084=M$12,H1084=M$13,H1084=M$14),SottocategorieEntrate[[#Headers],[Real Estate]],IF(OR(H1084=N$5,H1084=N$6,H1084=N$7,H1084=N$8,H1084=N$9,H1084=N$10,H1084=N$11,H1084=N$12,H1084=N$13,H1084=N$14),SottocategorieEntrate[[#Headers],[Other]],""))))))))))))</f>
        <v/>
      </c>
      <c r="J1084" t="str">
        <f>IF(OR(Dati[[#This Row],[Categoria]]="Bollette",Dati[[#This Row],[Categoria]]="Conto &amp; Carte BNL",Dati[[#This Row],[Categoria]]="Prelievo",Dati[[#This Row],[Categoria]]="Affitto",Dati[[#This Row],[Categoria]]="BNL(Interessi Creditori)"),"Carta",IF(Dati[[#This Row],[Categoria]]&lt;&gt;0,"Cash",""))</f>
        <v/>
      </c>
      <c r="K1084" s="59" t="str">
        <f>IF(OR(Data!$I1084=SottocategorieUscite[[#Headers],[Fuori Casa]],Data!$I1084=SottocategorieUscite[[#Headers],[Varie Uscite]],Data!$I1084=SottocategorieUscite[[#Headers],[Personali]],Data!$I1084=SottocategorieUscite[[#Headers],[Lavoro]]),"$ -","")</f>
        <v/>
      </c>
      <c r="L1084" s="59" t="str">
        <f>IF(OR(Data!$I1084=SottocategorieUscite[[#Headers],[Casa]],Data!$I1084=SottocategorieUscite[[#Headers],[Utenze]],Data!$I1084=SottocategorieUscite[[#Headers],[Business Uscite]],Data!$I1084=SottocategorieUscite[[#Headers],[Banca]]),"$ -","")</f>
        <v/>
      </c>
      <c r="M1084" s="59" t="str">
        <f>IF(OR($I1084&lt;&gt;SottocategorieUscite[[#Headers],[Fuori Casa]],$I1084&lt;&gt;SottocategorieUscite[[#Headers],[Varie Uscite]],$I1084&lt;&gt;SottocategorieUscite[[#Headers],[Personali]],$I1084&lt;&gt;SottocategorieUscite[[#Headers],[Lavoro]],$I1084&lt;&gt;SottocategorieUscite[[#Headers],[Casa]],$I1084&lt;&gt;SottocategorieUscite[[#Headers],[Utenze]],$I1084&lt;&gt;SottocategorieUscite[[#Headers],[Business Uscite]],$I1084&lt;&gt;SottocategorieUscite[[#Headers],[Banca]]),"","$ -")</f>
        <v/>
      </c>
      <c r="N1084" s="59" t="str">
        <f>IF(OR(Data!$I1084=SottocategorieEntrate[[#Headers],[Business Entrate]],Data!$I1084=SottocategorieEntrate[[#Headers],[Varie Entrate]]),"$ -","")</f>
        <v/>
      </c>
      <c r="O1084" s="59" t="str">
        <f>IF(OR(Data!$I1084=SottocategorieEntrate[[#Headers],[Real Estate]],SottocategorieEntrate[[#Headers],[Other]]),"$ -","")</f>
        <v/>
      </c>
      <c r="P1084" s="59" t="str">
        <f>IF(OR($I1084&lt;&gt;SottocategorieEntrate[[#Headers],[Business Entrate]],$I1084&lt;&gt;SottocategorieEntrate[[#Headers],[Varie Entrate]],$I1084&lt;&gt;SottocategorieEntrate[[#Headers],[Real Estate]],$I1084&lt;&gt;SottocategorieEntrate[[#Headers],[Other]]),"","$ -")</f>
        <v/>
      </c>
      <c r="Q1084" s="59" t="str">
        <f>IF(Dati[[#This Row],[Categoria]]="Prelievo","€ -","")</f>
        <v/>
      </c>
      <c r="R1084" s="244"/>
      <c r="S1084" s="59" t="str">
        <f>IF(Dati[[#This Row],[Categoria]]="Savings",0,"")</f>
        <v/>
      </c>
      <c r="T1084" s="59"/>
      <c r="U1084" s="59"/>
      <c r="V1084" s="59"/>
      <c r="W1084" s="59"/>
      <c r="X1084" s="59"/>
      <c r="Y1084" s="59"/>
      <c r="Z1084" s="59"/>
      <c r="AA1084" s="59"/>
      <c r="AB1084" s="59"/>
      <c r="AC1084" s="59"/>
      <c r="AD1084" s="59"/>
      <c r="AE1084" s="59"/>
      <c r="AF1084" s="59"/>
      <c r="AG1084" s="59"/>
      <c r="AH1084" s="59"/>
      <c r="AI1084" s="59" t="str">
        <f>IF(SUM(Dati[[#This Row],[Inv. Business]:[Inv. Cryptocurrency]])=0," ",SUM(Dati[[#This Row],[Inv. Business]:[Inv. Cryptocurrency]]))</f>
        <v xml:space="preserve"> </v>
      </c>
      <c r="AJ1084" s="59"/>
      <c r="AK1084" s="59" t="str">
        <f>IF(SUM(Dati[[#This Row],[Inv. Gold]:[Mutuo]])=0," ",SUM(Dati[[#This Row],[Inv. Gold]:[Mutuo]]))</f>
        <v xml:space="preserve"> </v>
      </c>
      <c r="AL1084" s="59"/>
      <c r="AM1084" s="59"/>
    </row>
    <row r="1085" spans="2:39" x14ac:dyDescent="0.35">
      <c r="B1085" s="237">
        <f t="shared" si="58"/>
        <v>1065</v>
      </c>
      <c r="C1085" s="49">
        <f t="shared" si="57"/>
        <v>45697</v>
      </c>
      <c r="D1085" s="29">
        <f>DAY(Dati[[#This Row],[Data]])</f>
        <v>9</v>
      </c>
      <c r="E1085" s="29" t="str">
        <f>IF(DAY(Data!$C$21:$C$1327)&gt;0,TEXT(Data!$C$21:$C$1327, "mmmm"),"")</f>
        <v>febbraio</v>
      </c>
      <c r="F1085" s="29" t="str">
        <f>IF(DAY(Data!$C$21:$C$1327)&gt;0,TEXT(Data!$C$21:$C$1327, "aaaa"),"")</f>
        <v>2025</v>
      </c>
      <c r="I1085" t="str">
        <f>IF(OR(H1085=$B$5,H1085=$B$6,H1085=$B$7,H1085=$B$8,H1085=$B$9,H1085=$B$10,H1085=$B$11,H1085=$B$12,H1085=$B$13,H1085=$B$14),SottocategorieUscite[[#Headers],[Fuori Casa]],IF(OR(H1085=$C$5,H1085=$C$6,H1085=$C$7,H1085=$C$8,H1085=$C$9,H1085=$C$10,H1085=$C$11,H1085=$C$12,H1085=$C$13,H1085=$C$14),SottocategorieUscite[[#Headers],[Varie Uscite]],IF(OR(H1085=$D$5,H1085=$D$6,H1085=$D$7,H1085=$D$8,H1085=$D$9,H1085=$D$10,H1085=$D$11,H1085=$D$12,H1085=$D$13,H1085=$D$14),SottocategorieUscite[[#Headers],[Personali]],IF(OR(H1085=$E$5,H1085=$E$6,H1085=$E$7,H1085=$E$8,H1085=$E$9,H1085=$E$10,H1085=$E$11,H1085=$E$12,H1085=$E$13,H1085=$E$14),SottocategorieUscite[[#Headers],[Lavoro]],IF(OR(H1085=$F$5,H1085=$F$6,H1085=$F$7,H1085=$F$8,H1085=$F$9,H1085=$F$10,H1085=$F$11,H1085=$F$12,H1085=$F$13,H1085=$F$14),SottocategorieUscite[[#Headers],[Casa]],IF(OR(H1085=$G$5,H1085=$G$6,H1085=$G$7,H1085=$G$8,H1085=$G$9,H1085=$G$10,H1085=$G$11,H1085=$G$12,H1085=$G$13,H1085=$G$14),SottocategorieUscite[[#Headers],[Utenze]],IF(OR(H1085=$H$5,H1085=$H$6,H1085=$H$7,H1085=$H$8,H1085=$H$9,H1085=$H$10,H1085=$H$11,H1085=$H$12,H1085=$H$13,H1085=$H$14),SottocategorieUscite[[#Headers],[Business Uscite]],IF(OR(H1085=$I$5,H1085=$I$6,H1085=$I$7,H1085=$I$8,H1085=$I$9,H1085=$I$10,H1085=$I$11,H1085=$I$12,H1085=$I$13,H1085=$I$14),SottocategorieUscite[[#Headers],[Banca]],IF(OR(H1085=K$5,H1085=K$6,H1085=K$7,H1085=K$8,H1085=K$9,H1085=K$10,H1085=K$11,H1085=K$12,H1085=K$13,H1085=K$14),SottocategorieEntrate[[#Headers],[Business Entrate]],IF(OR(H1085=L$5,H1085=L$6,H1085=L$7,H1085=L$8,H1085=L$9,H1085=L$10,H1085=L$11,H1085=L$12,H1085=L$13,H1085=L$14),SottocategorieEntrate[[#Headers],[Varie Entrate]],IF(OR(H1085=M$5,H1085=M$6,H1085=M$7,H1085=M$8,H1085=M$9,H1085=M$10,H1085=M$11,H1085=M$12,H1085=M$13,H1085=M$14),SottocategorieEntrate[[#Headers],[Real Estate]],IF(OR(H1085=N$5,H1085=N$6,H1085=N$7,H1085=N$8,H1085=N$9,H1085=N$10,H1085=N$11,H1085=N$12,H1085=N$13,H1085=N$14),SottocategorieEntrate[[#Headers],[Other]],""))))))))))))</f>
        <v/>
      </c>
      <c r="J1085" t="str">
        <f>IF(OR(Dati[[#This Row],[Categoria]]="Bollette",Dati[[#This Row],[Categoria]]="Conto &amp; Carte BNL",Dati[[#This Row],[Categoria]]="Prelievo",Dati[[#This Row],[Categoria]]="Affitto",Dati[[#This Row],[Categoria]]="BNL(Interessi Creditori)"),"Carta",IF(Dati[[#This Row],[Categoria]]&lt;&gt;0,"Cash",""))</f>
        <v/>
      </c>
      <c r="K1085" s="59" t="str">
        <f>IF(OR(Data!$I1085=SottocategorieUscite[[#Headers],[Fuori Casa]],Data!$I1085=SottocategorieUscite[[#Headers],[Varie Uscite]],Data!$I1085=SottocategorieUscite[[#Headers],[Personali]],Data!$I1085=SottocategorieUscite[[#Headers],[Lavoro]]),"$ -","")</f>
        <v/>
      </c>
      <c r="L1085" s="59" t="str">
        <f>IF(OR(Data!$I1085=SottocategorieUscite[[#Headers],[Casa]],Data!$I1085=SottocategorieUscite[[#Headers],[Utenze]],Data!$I1085=SottocategorieUscite[[#Headers],[Business Uscite]],Data!$I1085=SottocategorieUscite[[#Headers],[Banca]]),"$ -","")</f>
        <v/>
      </c>
      <c r="M1085" s="59" t="str">
        <f>IF(OR($I1085&lt;&gt;SottocategorieUscite[[#Headers],[Fuori Casa]],$I1085&lt;&gt;SottocategorieUscite[[#Headers],[Varie Uscite]],$I1085&lt;&gt;SottocategorieUscite[[#Headers],[Personali]],$I1085&lt;&gt;SottocategorieUscite[[#Headers],[Lavoro]],$I1085&lt;&gt;SottocategorieUscite[[#Headers],[Casa]],$I1085&lt;&gt;SottocategorieUscite[[#Headers],[Utenze]],$I1085&lt;&gt;SottocategorieUscite[[#Headers],[Business Uscite]],$I1085&lt;&gt;SottocategorieUscite[[#Headers],[Banca]]),"","$ -")</f>
        <v/>
      </c>
      <c r="N1085" s="59" t="str">
        <f>IF(OR(Data!$I1085=SottocategorieEntrate[[#Headers],[Business Entrate]],Data!$I1085=SottocategorieEntrate[[#Headers],[Varie Entrate]]),"$ -","")</f>
        <v/>
      </c>
      <c r="O1085" s="59" t="str">
        <f>IF(OR(Data!$I1085=SottocategorieEntrate[[#Headers],[Real Estate]],SottocategorieEntrate[[#Headers],[Other]]),"$ -","")</f>
        <v/>
      </c>
      <c r="P1085" s="59" t="str">
        <f>IF(OR($I1085&lt;&gt;SottocategorieEntrate[[#Headers],[Business Entrate]],$I1085&lt;&gt;SottocategorieEntrate[[#Headers],[Varie Entrate]],$I1085&lt;&gt;SottocategorieEntrate[[#Headers],[Real Estate]],$I1085&lt;&gt;SottocategorieEntrate[[#Headers],[Other]]),"","$ -")</f>
        <v/>
      </c>
      <c r="Q1085" s="59" t="str">
        <f>IF(Dati[[#This Row],[Categoria]]="Prelievo","€ -","")</f>
        <v/>
      </c>
      <c r="R1085" s="244"/>
      <c r="S1085" s="59" t="str">
        <f>IF(Dati[[#This Row],[Categoria]]="Savings",0,"")</f>
        <v/>
      </c>
      <c r="T1085" s="59"/>
      <c r="U1085" s="59"/>
      <c r="V1085" s="59"/>
      <c r="W1085" s="59"/>
      <c r="X1085" s="59"/>
      <c r="Y1085" s="59"/>
      <c r="Z1085" s="59"/>
      <c r="AA1085" s="59"/>
      <c r="AB1085" s="59"/>
      <c r="AC1085" s="59"/>
      <c r="AD1085" s="59"/>
      <c r="AE1085" s="59"/>
      <c r="AF1085" s="59"/>
      <c r="AG1085" s="59"/>
      <c r="AH1085" s="59"/>
      <c r="AI1085" s="59" t="str">
        <f>IF(SUM(Dati[[#This Row],[Inv. Business]:[Inv. Cryptocurrency]])=0," ",SUM(Dati[[#This Row],[Inv. Business]:[Inv. Cryptocurrency]]))</f>
        <v xml:space="preserve"> </v>
      </c>
      <c r="AJ1085" s="59"/>
      <c r="AK1085" s="59" t="str">
        <f>IF(SUM(Dati[[#This Row],[Inv. Gold]:[Mutuo]])=0," ",SUM(Dati[[#This Row],[Inv. Gold]:[Mutuo]]))</f>
        <v xml:space="preserve"> </v>
      </c>
      <c r="AL1085" s="59"/>
      <c r="AM1085" s="59"/>
    </row>
    <row r="1086" spans="2:39" x14ac:dyDescent="0.35">
      <c r="B1086" s="237">
        <f t="shared" si="58"/>
        <v>1066</v>
      </c>
      <c r="C1086" s="49">
        <f t="shared" si="57"/>
        <v>45698</v>
      </c>
      <c r="D1086" s="29">
        <f>DAY(Dati[[#This Row],[Data]])</f>
        <v>10</v>
      </c>
      <c r="E1086" s="29" t="str">
        <f>IF(DAY(Data!$C$21:$C$1327)&gt;0,TEXT(Data!$C$21:$C$1327, "mmmm"),"")</f>
        <v>febbraio</v>
      </c>
      <c r="F1086" s="29" t="str">
        <f>IF(DAY(Data!$C$21:$C$1327)&gt;0,TEXT(Data!$C$21:$C$1327, "aaaa"),"")</f>
        <v>2025</v>
      </c>
      <c r="I1086" t="str">
        <f>IF(OR(H1086=$B$5,H1086=$B$6,H1086=$B$7,H1086=$B$8,H1086=$B$9,H1086=$B$10,H1086=$B$11,H1086=$B$12,H1086=$B$13,H1086=$B$14),SottocategorieUscite[[#Headers],[Fuori Casa]],IF(OR(H1086=$C$5,H1086=$C$6,H1086=$C$7,H1086=$C$8,H1086=$C$9,H1086=$C$10,H1086=$C$11,H1086=$C$12,H1086=$C$13,H1086=$C$14),SottocategorieUscite[[#Headers],[Varie Uscite]],IF(OR(H1086=$D$5,H1086=$D$6,H1086=$D$7,H1086=$D$8,H1086=$D$9,H1086=$D$10,H1086=$D$11,H1086=$D$12,H1086=$D$13,H1086=$D$14),SottocategorieUscite[[#Headers],[Personali]],IF(OR(H1086=$E$5,H1086=$E$6,H1086=$E$7,H1086=$E$8,H1086=$E$9,H1086=$E$10,H1086=$E$11,H1086=$E$12,H1086=$E$13,H1086=$E$14),SottocategorieUscite[[#Headers],[Lavoro]],IF(OR(H1086=$F$5,H1086=$F$6,H1086=$F$7,H1086=$F$8,H1086=$F$9,H1086=$F$10,H1086=$F$11,H1086=$F$12,H1086=$F$13,H1086=$F$14),SottocategorieUscite[[#Headers],[Casa]],IF(OR(H1086=$G$5,H1086=$G$6,H1086=$G$7,H1086=$G$8,H1086=$G$9,H1086=$G$10,H1086=$G$11,H1086=$G$12,H1086=$G$13,H1086=$G$14),SottocategorieUscite[[#Headers],[Utenze]],IF(OR(H1086=$H$5,H1086=$H$6,H1086=$H$7,H1086=$H$8,H1086=$H$9,H1086=$H$10,H1086=$H$11,H1086=$H$12,H1086=$H$13,H1086=$H$14),SottocategorieUscite[[#Headers],[Business Uscite]],IF(OR(H1086=$I$5,H1086=$I$6,H1086=$I$7,H1086=$I$8,H1086=$I$9,H1086=$I$10,H1086=$I$11,H1086=$I$12,H1086=$I$13,H1086=$I$14),SottocategorieUscite[[#Headers],[Banca]],IF(OR(H1086=K$5,H1086=K$6,H1086=K$7,H1086=K$8,H1086=K$9,H1086=K$10,H1086=K$11,H1086=K$12,H1086=K$13,H1086=K$14),SottocategorieEntrate[[#Headers],[Business Entrate]],IF(OR(H1086=L$5,H1086=L$6,H1086=L$7,H1086=L$8,H1086=L$9,H1086=L$10,H1086=L$11,H1086=L$12,H1086=L$13,H1086=L$14),SottocategorieEntrate[[#Headers],[Varie Entrate]],IF(OR(H1086=M$5,H1086=M$6,H1086=M$7,H1086=M$8,H1086=M$9,H1086=M$10,H1086=M$11,H1086=M$12,H1086=M$13,H1086=M$14),SottocategorieEntrate[[#Headers],[Real Estate]],IF(OR(H1086=N$5,H1086=N$6,H1086=N$7,H1086=N$8,H1086=N$9,H1086=N$10,H1086=N$11,H1086=N$12,H1086=N$13,H1086=N$14),SottocategorieEntrate[[#Headers],[Other]],""))))))))))))</f>
        <v/>
      </c>
      <c r="J1086" t="str">
        <f>IF(OR(Dati[[#This Row],[Categoria]]="Bollette",Dati[[#This Row],[Categoria]]="Conto &amp; Carte BNL",Dati[[#This Row],[Categoria]]="Prelievo",Dati[[#This Row],[Categoria]]="Affitto",Dati[[#This Row],[Categoria]]="BNL(Interessi Creditori)"),"Carta",IF(Dati[[#This Row],[Categoria]]&lt;&gt;0,"Cash",""))</f>
        <v/>
      </c>
      <c r="K1086" s="59" t="str">
        <f>IF(OR(Data!$I1086=SottocategorieUscite[[#Headers],[Fuori Casa]],Data!$I1086=SottocategorieUscite[[#Headers],[Varie Uscite]],Data!$I1086=SottocategorieUscite[[#Headers],[Personali]],Data!$I1086=SottocategorieUscite[[#Headers],[Lavoro]]),"$ -","")</f>
        <v/>
      </c>
      <c r="L1086" s="59" t="str">
        <f>IF(OR(Data!$I1086=SottocategorieUscite[[#Headers],[Casa]],Data!$I1086=SottocategorieUscite[[#Headers],[Utenze]],Data!$I1086=SottocategorieUscite[[#Headers],[Business Uscite]],Data!$I1086=SottocategorieUscite[[#Headers],[Banca]]),"$ -","")</f>
        <v/>
      </c>
      <c r="M1086" s="59" t="str">
        <f>IF(OR($I1086&lt;&gt;SottocategorieUscite[[#Headers],[Fuori Casa]],$I1086&lt;&gt;SottocategorieUscite[[#Headers],[Varie Uscite]],$I1086&lt;&gt;SottocategorieUscite[[#Headers],[Personali]],$I1086&lt;&gt;SottocategorieUscite[[#Headers],[Lavoro]],$I1086&lt;&gt;SottocategorieUscite[[#Headers],[Casa]],$I1086&lt;&gt;SottocategorieUscite[[#Headers],[Utenze]],$I1086&lt;&gt;SottocategorieUscite[[#Headers],[Business Uscite]],$I1086&lt;&gt;SottocategorieUscite[[#Headers],[Banca]]),"","$ -")</f>
        <v/>
      </c>
      <c r="N1086" s="59" t="str">
        <f>IF(OR(Data!$I1086=SottocategorieEntrate[[#Headers],[Business Entrate]],Data!$I1086=SottocategorieEntrate[[#Headers],[Varie Entrate]]),"$ -","")</f>
        <v/>
      </c>
      <c r="O1086" s="59" t="str">
        <f>IF(OR(Data!$I1086=SottocategorieEntrate[[#Headers],[Real Estate]],SottocategorieEntrate[[#Headers],[Other]]),"$ -","")</f>
        <v/>
      </c>
      <c r="P1086" s="59" t="str">
        <f>IF(OR($I1086&lt;&gt;SottocategorieEntrate[[#Headers],[Business Entrate]],$I1086&lt;&gt;SottocategorieEntrate[[#Headers],[Varie Entrate]],$I1086&lt;&gt;SottocategorieEntrate[[#Headers],[Real Estate]],$I1086&lt;&gt;SottocategorieEntrate[[#Headers],[Other]]),"","$ -")</f>
        <v/>
      </c>
      <c r="Q1086" s="59" t="str">
        <f>IF(Dati[[#This Row],[Categoria]]="Prelievo","€ -","")</f>
        <v/>
      </c>
      <c r="R1086" s="244"/>
      <c r="S1086" s="59" t="str">
        <f>IF(Dati[[#This Row],[Categoria]]="Savings",0,"")</f>
        <v/>
      </c>
      <c r="T1086" s="59"/>
      <c r="U1086" s="59"/>
      <c r="V1086" s="59"/>
      <c r="W1086" s="59"/>
      <c r="X1086" s="59"/>
      <c r="Y1086" s="59"/>
      <c r="Z1086" s="59"/>
      <c r="AA1086" s="59"/>
      <c r="AB1086" s="59"/>
      <c r="AC1086" s="59"/>
      <c r="AD1086" s="59"/>
      <c r="AE1086" s="59"/>
      <c r="AF1086" s="59"/>
      <c r="AG1086" s="59"/>
      <c r="AH1086" s="59"/>
      <c r="AI1086" s="59" t="str">
        <f>IF(SUM(Dati[[#This Row],[Inv. Business]:[Inv. Cryptocurrency]])=0," ",SUM(Dati[[#This Row],[Inv. Business]:[Inv. Cryptocurrency]]))</f>
        <v xml:space="preserve"> </v>
      </c>
      <c r="AJ1086" s="59"/>
      <c r="AK1086" s="59" t="str">
        <f>IF(SUM(Dati[[#This Row],[Inv. Gold]:[Mutuo]])=0," ",SUM(Dati[[#This Row],[Inv. Gold]:[Mutuo]]))</f>
        <v xml:space="preserve"> </v>
      </c>
      <c r="AL1086" s="59"/>
      <c r="AM1086" s="59"/>
    </row>
    <row r="1087" spans="2:39" x14ac:dyDescent="0.35">
      <c r="B1087" s="237">
        <f t="shared" si="58"/>
        <v>1067</v>
      </c>
      <c r="C1087" s="49">
        <f t="shared" si="57"/>
        <v>45699</v>
      </c>
      <c r="D1087" s="29">
        <f>DAY(Dati[[#This Row],[Data]])</f>
        <v>11</v>
      </c>
      <c r="E1087" s="29" t="str">
        <f>IF(DAY(Data!$C$21:$C$1327)&gt;0,TEXT(Data!$C$21:$C$1327, "mmmm"),"")</f>
        <v>febbraio</v>
      </c>
      <c r="F1087" s="29" t="str">
        <f>IF(DAY(Data!$C$21:$C$1327)&gt;0,TEXT(Data!$C$21:$C$1327, "aaaa"),"")</f>
        <v>2025</v>
      </c>
      <c r="I1087" t="str">
        <f>IF(OR(H1087=$B$5,H1087=$B$6,H1087=$B$7,H1087=$B$8,H1087=$B$9,H1087=$B$10,H1087=$B$11,H1087=$B$12,H1087=$B$13,H1087=$B$14),SottocategorieUscite[[#Headers],[Fuori Casa]],IF(OR(H1087=$C$5,H1087=$C$6,H1087=$C$7,H1087=$C$8,H1087=$C$9,H1087=$C$10,H1087=$C$11,H1087=$C$12,H1087=$C$13,H1087=$C$14),SottocategorieUscite[[#Headers],[Varie Uscite]],IF(OR(H1087=$D$5,H1087=$D$6,H1087=$D$7,H1087=$D$8,H1087=$D$9,H1087=$D$10,H1087=$D$11,H1087=$D$12,H1087=$D$13,H1087=$D$14),SottocategorieUscite[[#Headers],[Personali]],IF(OR(H1087=$E$5,H1087=$E$6,H1087=$E$7,H1087=$E$8,H1087=$E$9,H1087=$E$10,H1087=$E$11,H1087=$E$12,H1087=$E$13,H1087=$E$14),SottocategorieUscite[[#Headers],[Lavoro]],IF(OR(H1087=$F$5,H1087=$F$6,H1087=$F$7,H1087=$F$8,H1087=$F$9,H1087=$F$10,H1087=$F$11,H1087=$F$12,H1087=$F$13,H1087=$F$14),SottocategorieUscite[[#Headers],[Casa]],IF(OR(H1087=$G$5,H1087=$G$6,H1087=$G$7,H1087=$G$8,H1087=$G$9,H1087=$G$10,H1087=$G$11,H1087=$G$12,H1087=$G$13,H1087=$G$14),SottocategorieUscite[[#Headers],[Utenze]],IF(OR(H1087=$H$5,H1087=$H$6,H1087=$H$7,H1087=$H$8,H1087=$H$9,H1087=$H$10,H1087=$H$11,H1087=$H$12,H1087=$H$13,H1087=$H$14),SottocategorieUscite[[#Headers],[Business Uscite]],IF(OR(H1087=$I$5,H1087=$I$6,H1087=$I$7,H1087=$I$8,H1087=$I$9,H1087=$I$10,H1087=$I$11,H1087=$I$12,H1087=$I$13,H1087=$I$14),SottocategorieUscite[[#Headers],[Banca]],IF(OR(H1087=K$5,H1087=K$6,H1087=K$7,H1087=K$8,H1087=K$9,H1087=K$10,H1087=K$11,H1087=K$12,H1087=K$13,H1087=K$14),SottocategorieEntrate[[#Headers],[Business Entrate]],IF(OR(H1087=L$5,H1087=L$6,H1087=L$7,H1087=L$8,H1087=L$9,H1087=L$10,H1087=L$11,H1087=L$12,H1087=L$13,H1087=L$14),SottocategorieEntrate[[#Headers],[Varie Entrate]],IF(OR(H1087=M$5,H1087=M$6,H1087=M$7,H1087=M$8,H1087=M$9,H1087=M$10,H1087=M$11,H1087=M$12,H1087=M$13,H1087=M$14),SottocategorieEntrate[[#Headers],[Real Estate]],IF(OR(H1087=N$5,H1087=N$6,H1087=N$7,H1087=N$8,H1087=N$9,H1087=N$10,H1087=N$11,H1087=N$12,H1087=N$13,H1087=N$14),SottocategorieEntrate[[#Headers],[Other]],""))))))))))))</f>
        <v/>
      </c>
      <c r="J1087" t="str">
        <f>IF(OR(Dati[[#This Row],[Categoria]]="Bollette",Dati[[#This Row],[Categoria]]="Conto &amp; Carte BNL",Dati[[#This Row],[Categoria]]="Prelievo",Dati[[#This Row],[Categoria]]="Affitto",Dati[[#This Row],[Categoria]]="BNL(Interessi Creditori)"),"Carta",IF(Dati[[#This Row],[Categoria]]&lt;&gt;0,"Cash",""))</f>
        <v/>
      </c>
      <c r="K1087" s="59" t="str">
        <f>IF(OR(Data!$I1087=SottocategorieUscite[[#Headers],[Fuori Casa]],Data!$I1087=SottocategorieUscite[[#Headers],[Varie Uscite]],Data!$I1087=SottocategorieUscite[[#Headers],[Personali]],Data!$I1087=SottocategorieUscite[[#Headers],[Lavoro]]),"$ -","")</f>
        <v/>
      </c>
      <c r="L1087" s="59" t="str">
        <f>IF(OR(Data!$I1087=SottocategorieUscite[[#Headers],[Casa]],Data!$I1087=SottocategorieUscite[[#Headers],[Utenze]],Data!$I1087=SottocategorieUscite[[#Headers],[Business Uscite]],Data!$I1087=SottocategorieUscite[[#Headers],[Banca]]),"$ -","")</f>
        <v/>
      </c>
      <c r="M1087" s="59" t="str">
        <f>IF(OR($I1087&lt;&gt;SottocategorieUscite[[#Headers],[Fuori Casa]],$I1087&lt;&gt;SottocategorieUscite[[#Headers],[Varie Uscite]],$I1087&lt;&gt;SottocategorieUscite[[#Headers],[Personali]],$I1087&lt;&gt;SottocategorieUscite[[#Headers],[Lavoro]],$I1087&lt;&gt;SottocategorieUscite[[#Headers],[Casa]],$I1087&lt;&gt;SottocategorieUscite[[#Headers],[Utenze]],$I1087&lt;&gt;SottocategorieUscite[[#Headers],[Business Uscite]],$I1087&lt;&gt;SottocategorieUscite[[#Headers],[Banca]]),"","$ -")</f>
        <v/>
      </c>
      <c r="N1087" s="59" t="str">
        <f>IF(OR(Data!$I1087=SottocategorieEntrate[[#Headers],[Business Entrate]],Data!$I1087=SottocategorieEntrate[[#Headers],[Varie Entrate]]),"$ -","")</f>
        <v/>
      </c>
      <c r="O1087" s="59" t="str">
        <f>IF(OR(Data!$I1087=SottocategorieEntrate[[#Headers],[Real Estate]],SottocategorieEntrate[[#Headers],[Other]]),"$ -","")</f>
        <v/>
      </c>
      <c r="P1087" s="59" t="str">
        <f>IF(OR($I1087&lt;&gt;SottocategorieEntrate[[#Headers],[Business Entrate]],$I1087&lt;&gt;SottocategorieEntrate[[#Headers],[Varie Entrate]],$I1087&lt;&gt;SottocategorieEntrate[[#Headers],[Real Estate]],$I1087&lt;&gt;SottocategorieEntrate[[#Headers],[Other]]),"","$ -")</f>
        <v/>
      </c>
      <c r="Q1087" s="59" t="str">
        <f>IF(Dati[[#This Row],[Categoria]]="Prelievo","€ -","")</f>
        <v/>
      </c>
      <c r="R1087" s="244"/>
      <c r="S1087" s="59" t="str">
        <f>IF(Dati[[#This Row],[Categoria]]="Savings",0,"")</f>
        <v/>
      </c>
      <c r="T1087" s="59"/>
      <c r="U1087" s="59"/>
      <c r="V1087" s="59"/>
      <c r="W1087" s="59"/>
      <c r="X1087" s="59"/>
      <c r="Y1087" s="59"/>
      <c r="Z1087" s="59"/>
      <c r="AA1087" s="59"/>
      <c r="AB1087" s="59"/>
      <c r="AC1087" s="59"/>
      <c r="AD1087" s="59"/>
      <c r="AE1087" s="59"/>
      <c r="AF1087" s="59"/>
      <c r="AG1087" s="59"/>
      <c r="AH1087" s="59"/>
      <c r="AI1087" s="59" t="str">
        <f>IF(SUM(Dati[[#This Row],[Inv. Business]:[Inv. Cryptocurrency]])=0," ",SUM(Dati[[#This Row],[Inv. Business]:[Inv. Cryptocurrency]]))</f>
        <v xml:space="preserve"> </v>
      </c>
      <c r="AJ1087" s="59"/>
      <c r="AK1087" s="59" t="str">
        <f>IF(SUM(Dati[[#This Row],[Inv. Gold]:[Mutuo]])=0," ",SUM(Dati[[#This Row],[Inv. Gold]:[Mutuo]]))</f>
        <v xml:space="preserve"> </v>
      </c>
      <c r="AL1087" s="59"/>
      <c r="AM1087" s="59"/>
    </row>
    <row r="1088" spans="2:39" x14ac:dyDescent="0.35">
      <c r="B1088" s="237">
        <f t="shared" si="58"/>
        <v>1068</v>
      </c>
      <c r="C1088" s="49">
        <f t="shared" si="57"/>
        <v>45700</v>
      </c>
      <c r="D1088" s="29">
        <f>DAY(Dati[[#This Row],[Data]])</f>
        <v>12</v>
      </c>
      <c r="E1088" s="29" t="str">
        <f>IF(DAY(Data!$C$21:$C$1327)&gt;0,TEXT(Data!$C$21:$C$1327, "mmmm"),"")</f>
        <v>febbraio</v>
      </c>
      <c r="F1088" s="29" t="str">
        <f>IF(DAY(Data!$C$21:$C$1327)&gt;0,TEXT(Data!$C$21:$C$1327, "aaaa"),"")</f>
        <v>2025</v>
      </c>
      <c r="I1088" t="str">
        <f>IF(OR(H1088=$B$5,H1088=$B$6,H1088=$B$7,H1088=$B$8,H1088=$B$9,H1088=$B$10,H1088=$B$11,H1088=$B$12,H1088=$B$13,H1088=$B$14),SottocategorieUscite[[#Headers],[Fuori Casa]],IF(OR(H1088=$C$5,H1088=$C$6,H1088=$C$7,H1088=$C$8,H1088=$C$9,H1088=$C$10,H1088=$C$11,H1088=$C$12,H1088=$C$13,H1088=$C$14),SottocategorieUscite[[#Headers],[Varie Uscite]],IF(OR(H1088=$D$5,H1088=$D$6,H1088=$D$7,H1088=$D$8,H1088=$D$9,H1088=$D$10,H1088=$D$11,H1088=$D$12,H1088=$D$13,H1088=$D$14),SottocategorieUscite[[#Headers],[Personali]],IF(OR(H1088=$E$5,H1088=$E$6,H1088=$E$7,H1088=$E$8,H1088=$E$9,H1088=$E$10,H1088=$E$11,H1088=$E$12,H1088=$E$13,H1088=$E$14),SottocategorieUscite[[#Headers],[Lavoro]],IF(OR(H1088=$F$5,H1088=$F$6,H1088=$F$7,H1088=$F$8,H1088=$F$9,H1088=$F$10,H1088=$F$11,H1088=$F$12,H1088=$F$13,H1088=$F$14),SottocategorieUscite[[#Headers],[Casa]],IF(OR(H1088=$G$5,H1088=$G$6,H1088=$G$7,H1088=$G$8,H1088=$G$9,H1088=$G$10,H1088=$G$11,H1088=$G$12,H1088=$G$13,H1088=$G$14),SottocategorieUscite[[#Headers],[Utenze]],IF(OR(H1088=$H$5,H1088=$H$6,H1088=$H$7,H1088=$H$8,H1088=$H$9,H1088=$H$10,H1088=$H$11,H1088=$H$12,H1088=$H$13,H1088=$H$14),SottocategorieUscite[[#Headers],[Business Uscite]],IF(OR(H1088=$I$5,H1088=$I$6,H1088=$I$7,H1088=$I$8,H1088=$I$9,H1088=$I$10,H1088=$I$11,H1088=$I$12,H1088=$I$13,H1088=$I$14),SottocategorieUscite[[#Headers],[Banca]],IF(OR(H1088=K$5,H1088=K$6,H1088=K$7,H1088=K$8,H1088=K$9,H1088=K$10,H1088=K$11,H1088=K$12,H1088=K$13,H1088=K$14),SottocategorieEntrate[[#Headers],[Business Entrate]],IF(OR(H1088=L$5,H1088=L$6,H1088=L$7,H1088=L$8,H1088=L$9,H1088=L$10,H1088=L$11,H1088=L$12,H1088=L$13,H1088=L$14),SottocategorieEntrate[[#Headers],[Varie Entrate]],IF(OR(H1088=M$5,H1088=M$6,H1088=M$7,H1088=M$8,H1088=M$9,H1088=M$10,H1088=M$11,H1088=M$12,H1088=M$13,H1088=M$14),SottocategorieEntrate[[#Headers],[Real Estate]],IF(OR(H1088=N$5,H1088=N$6,H1088=N$7,H1088=N$8,H1088=N$9,H1088=N$10,H1088=N$11,H1088=N$12,H1088=N$13,H1088=N$14),SottocategorieEntrate[[#Headers],[Other]],""))))))))))))</f>
        <v/>
      </c>
      <c r="J1088" t="str">
        <f>IF(OR(Dati[[#This Row],[Categoria]]="Bollette",Dati[[#This Row],[Categoria]]="Conto &amp; Carte BNL",Dati[[#This Row],[Categoria]]="Prelievo",Dati[[#This Row],[Categoria]]="Affitto",Dati[[#This Row],[Categoria]]="BNL(Interessi Creditori)"),"Carta",IF(Dati[[#This Row],[Categoria]]&lt;&gt;0,"Cash",""))</f>
        <v/>
      </c>
      <c r="K1088" s="59" t="str">
        <f>IF(OR(Data!$I1088=SottocategorieUscite[[#Headers],[Fuori Casa]],Data!$I1088=SottocategorieUscite[[#Headers],[Varie Uscite]],Data!$I1088=SottocategorieUscite[[#Headers],[Personali]],Data!$I1088=SottocategorieUscite[[#Headers],[Lavoro]]),"$ -","")</f>
        <v/>
      </c>
      <c r="L1088" s="59" t="str">
        <f>IF(OR(Data!$I1088=SottocategorieUscite[[#Headers],[Casa]],Data!$I1088=SottocategorieUscite[[#Headers],[Utenze]],Data!$I1088=SottocategorieUscite[[#Headers],[Business Uscite]],Data!$I1088=SottocategorieUscite[[#Headers],[Banca]]),"$ -","")</f>
        <v/>
      </c>
      <c r="M1088" s="59" t="str">
        <f>IF(OR($I1088&lt;&gt;SottocategorieUscite[[#Headers],[Fuori Casa]],$I1088&lt;&gt;SottocategorieUscite[[#Headers],[Varie Uscite]],$I1088&lt;&gt;SottocategorieUscite[[#Headers],[Personali]],$I1088&lt;&gt;SottocategorieUscite[[#Headers],[Lavoro]],$I1088&lt;&gt;SottocategorieUscite[[#Headers],[Casa]],$I1088&lt;&gt;SottocategorieUscite[[#Headers],[Utenze]],$I1088&lt;&gt;SottocategorieUscite[[#Headers],[Business Uscite]],$I1088&lt;&gt;SottocategorieUscite[[#Headers],[Banca]]),"","$ -")</f>
        <v/>
      </c>
      <c r="N1088" s="59" t="str">
        <f>IF(OR(Data!$I1088=SottocategorieEntrate[[#Headers],[Business Entrate]],Data!$I1088=SottocategorieEntrate[[#Headers],[Varie Entrate]]),"$ -","")</f>
        <v/>
      </c>
      <c r="O1088" s="59" t="str">
        <f>IF(OR(Data!$I1088=SottocategorieEntrate[[#Headers],[Real Estate]],SottocategorieEntrate[[#Headers],[Other]]),"$ -","")</f>
        <v/>
      </c>
      <c r="P1088" s="59" t="str">
        <f>IF(OR($I1088&lt;&gt;SottocategorieEntrate[[#Headers],[Business Entrate]],$I1088&lt;&gt;SottocategorieEntrate[[#Headers],[Varie Entrate]],$I1088&lt;&gt;SottocategorieEntrate[[#Headers],[Real Estate]],$I1088&lt;&gt;SottocategorieEntrate[[#Headers],[Other]]),"","$ -")</f>
        <v/>
      </c>
      <c r="Q1088" s="59" t="str">
        <f>IF(Dati[[#This Row],[Categoria]]="Prelievo","€ -","")</f>
        <v/>
      </c>
      <c r="R1088" s="244"/>
      <c r="S1088" s="59" t="str">
        <f>IF(Dati[[#This Row],[Categoria]]="Savings",0,"")</f>
        <v/>
      </c>
      <c r="T1088" s="59"/>
      <c r="U1088" s="59"/>
      <c r="V1088" s="59"/>
      <c r="W1088" s="59"/>
      <c r="X1088" s="59"/>
      <c r="Y1088" s="59"/>
      <c r="Z1088" s="59"/>
      <c r="AA1088" s="59"/>
      <c r="AB1088" s="59"/>
      <c r="AC1088" s="59"/>
      <c r="AD1088" s="59"/>
      <c r="AE1088" s="59"/>
      <c r="AF1088" s="59"/>
      <c r="AG1088" s="59"/>
      <c r="AH1088" s="59"/>
      <c r="AI1088" s="59" t="str">
        <f>IF(SUM(Dati[[#This Row],[Inv. Business]:[Inv. Cryptocurrency]])=0," ",SUM(Dati[[#This Row],[Inv. Business]:[Inv. Cryptocurrency]]))</f>
        <v xml:space="preserve"> </v>
      </c>
      <c r="AJ1088" s="59"/>
      <c r="AK1088" s="59" t="str">
        <f>IF(SUM(Dati[[#This Row],[Inv. Gold]:[Mutuo]])=0," ",SUM(Dati[[#This Row],[Inv. Gold]:[Mutuo]]))</f>
        <v xml:space="preserve"> </v>
      </c>
      <c r="AL1088" s="59"/>
      <c r="AM1088" s="59"/>
    </row>
    <row r="1089" spans="2:39" x14ac:dyDescent="0.35">
      <c r="B1089" s="237">
        <f t="shared" si="58"/>
        <v>1069</v>
      </c>
      <c r="C1089" s="49">
        <f t="shared" si="57"/>
        <v>45701</v>
      </c>
      <c r="D1089" s="29">
        <f>DAY(Dati[[#This Row],[Data]])</f>
        <v>13</v>
      </c>
      <c r="E1089" s="29" t="str">
        <f>IF(DAY(Data!$C$21:$C$1327)&gt;0,TEXT(Data!$C$21:$C$1327, "mmmm"),"")</f>
        <v>febbraio</v>
      </c>
      <c r="F1089" s="29" t="str">
        <f>IF(DAY(Data!$C$21:$C$1327)&gt;0,TEXT(Data!$C$21:$C$1327, "aaaa"),"")</f>
        <v>2025</v>
      </c>
      <c r="I1089" t="str">
        <f>IF(OR(H1089=$B$5,H1089=$B$6,H1089=$B$7,H1089=$B$8,H1089=$B$9,H1089=$B$10,H1089=$B$11,H1089=$B$12,H1089=$B$13,H1089=$B$14),SottocategorieUscite[[#Headers],[Fuori Casa]],IF(OR(H1089=$C$5,H1089=$C$6,H1089=$C$7,H1089=$C$8,H1089=$C$9,H1089=$C$10,H1089=$C$11,H1089=$C$12,H1089=$C$13,H1089=$C$14),SottocategorieUscite[[#Headers],[Varie Uscite]],IF(OR(H1089=$D$5,H1089=$D$6,H1089=$D$7,H1089=$D$8,H1089=$D$9,H1089=$D$10,H1089=$D$11,H1089=$D$12,H1089=$D$13,H1089=$D$14),SottocategorieUscite[[#Headers],[Personali]],IF(OR(H1089=$E$5,H1089=$E$6,H1089=$E$7,H1089=$E$8,H1089=$E$9,H1089=$E$10,H1089=$E$11,H1089=$E$12,H1089=$E$13,H1089=$E$14),SottocategorieUscite[[#Headers],[Lavoro]],IF(OR(H1089=$F$5,H1089=$F$6,H1089=$F$7,H1089=$F$8,H1089=$F$9,H1089=$F$10,H1089=$F$11,H1089=$F$12,H1089=$F$13,H1089=$F$14),SottocategorieUscite[[#Headers],[Casa]],IF(OR(H1089=$G$5,H1089=$G$6,H1089=$G$7,H1089=$G$8,H1089=$G$9,H1089=$G$10,H1089=$G$11,H1089=$G$12,H1089=$G$13,H1089=$G$14),SottocategorieUscite[[#Headers],[Utenze]],IF(OR(H1089=$H$5,H1089=$H$6,H1089=$H$7,H1089=$H$8,H1089=$H$9,H1089=$H$10,H1089=$H$11,H1089=$H$12,H1089=$H$13,H1089=$H$14),SottocategorieUscite[[#Headers],[Business Uscite]],IF(OR(H1089=$I$5,H1089=$I$6,H1089=$I$7,H1089=$I$8,H1089=$I$9,H1089=$I$10,H1089=$I$11,H1089=$I$12,H1089=$I$13,H1089=$I$14),SottocategorieUscite[[#Headers],[Banca]],IF(OR(H1089=K$5,H1089=K$6,H1089=K$7,H1089=K$8,H1089=K$9,H1089=K$10,H1089=K$11,H1089=K$12,H1089=K$13,H1089=K$14),SottocategorieEntrate[[#Headers],[Business Entrate]],IF(OR(H1089=L$5,H1089=L$6,H1089=L$7,H1089=L$8,H1089=L$9,H1089=L$10,H1089=L$11,H1089=L$12,H1089=L$13,H1089=L$14),SottocategorieEntrate[[#Headers],[Varie Entrate]],IF(OR(H1089=M$5,H1089=M$6,H1089=M$7,H1089=M$8,H1089=M$9,H1089=M$10,H1089=M$11,H1089=M$12,H1089=M$13,H1089=M$14),SottocategorieEntrate[[#Headers],[Real Estate]],IF(OR(H1089=N$5,H1089=N$6,H1089=N$7,H1089=N$8,H1089=N$9,H1089=N$10,H1089=N$11,H1089=N$12,H1089=N$13,H1089=N$14),SottocategorieEntrate[[#Headers],[Other]],""))))))))))))</f>
        <v/>
      </c>
      <c r="J1089" t="str">
        <f>IF(OR(Dati[[#This Row],[Categoria]]="Bollette",Dati[[#This Row],[Categoria]]="Conto &amp; Carte BNL",Dati[[#This Row],[Categoria]]="Prelievo",Dati[[#This Row],[Categoria]]="Affitto",Dati[[#This Row],[Categoria]]="BNL(Interessi Creditori)"),"Carta",IF(Dati[[#This Row],[Categoria]]&lt;&gt;0,"Cash",""))</f>
        <v/>
      </c>
      <c r="K1089" s="59" t="str">
        <f>IF(OR(Data!$I1089=SottocategorieUscite[[#Headers],[Fuori Casa]],Data!$I1089=SottocategorieUscite[[#Headers],[Varie Uscite]],Data!$I1089=SottocategorieUscite[[#Headers],[Personali]],Data!$I1089=SottocategorieUscite[[#Headers],[Lavoro]]),"$ -","")</f>
        <v/>
      </c>
      <c r="L1089" s="59" t="str">
        <f>IF(OR(Data!$I1089=SottocategorieUscite[[#Headers],[Casa]],Data!$I1089=SottocategorieUscite[[#Headers],[Utenze]],Data!$I1089=SottocategorieUscite[[#Headers],[Business Uscite]],Data!$I1089=SottocategorieUscite[[#Headers],[Banca]]),"$ -","")</f>
        <v/>
      </c>
      <c r="M1089" s="59" t="str">
        <f>IF(OR($I1089&lt;&gt;SottocategorieUscite[[#Headers],[Fuori Casa]],$I1089&lt;&gt;SottocategorieUscite[[#Headers],[Varie Uscite]],$I1089&lt;&gt;SottocategorieUscite[[#Headers],[Personali]],$I1089&lt;&gt;SottocategorieUscite[[#Headers],[Lavoro]],$I1089&lt;&gt;SottocategorieUscite[[#Headers],[Casa]],$I1089&lt;&gt;SottocategorieUscite[[#Headers],[Utenze]],$I1089&lt;&gt;SottocategorieUscite[[#Headers],[Business Uscite]],$I1089&lt;&gt;SottocategorieUscite[[#Headers],[Banca]]),"","$ -")</f>
        <v/>
      </c>
      <c r="N1089" s="59" t="str">
        <f>IF(OR(Data!$I1089=SottocategorieEntrate[[#Headers],[Business Entrate]],Data!$I1089=SottocategorieEntrate[[#Headers],[Varie Entrate]]),"$ -","")</f>
        <v/>
      </c>
      <c r="O1089" s="59" t="str">
        <f>IF(OR(Data!$I1089=SottocategorieEntrate[[#Headers],[Real Estate]],SottocategorieEntrate[[#Headers],[Other]]),"$ -","")</f>
        <v/>
      </c>
      <c r="P1089" s="59" t="str">
        <f>IF(OR($I1089&lt;&gt;SottocategorieEntrate[[#Headers],[Business Entrate]],$I1089&lt;&gt;SottocategorieEntrate[[#Headers],[Varie Entrate]],$I1089&lt;&gt;SottocategorieEntrate[[#Headers],[Real Estate]],$I1089&lt;&gt;SottocategorieEntrate[[#Headers],[Other]]),"","$ -")</f>
        <v/>
      </c>
      <c r="Q1089" s="59" t="str">
        <f>IF(Dati[[#This Row],[Categoria]]="Prelievo","€ -","")</f>
        <v/>
      </c>
      <c r="R1089" s="244"/>
      <c r="S1089" s="59" t="str">
        <f>IF(Dati[[#This Row],[Categoria]]="Savings",0,"")</f>
        <v/>
      </c>
      <c r="T1089" s="59"/>
      <c r="U1089" s="59"/>
      <c r="V1089" s="59"/>
      <c r="W1089" s="59"/>
      <c r="X1089" s="59"/>
      <c r="Y1089" s="59"/>
      <c r="Z1089" s="59"/>
      <c r="AA1089" s="59"/>
      <c r="AB1089" s="59"/>
      <c r="AC1089" s="59"/>
      <c r="AD1089" s="59"/>
      <c r="AE1089" s="59"/>
      <c r="AF1089" s="59"/>
      <c r="AG1089" s="59"/>
      <c r="AH1089" s="59"/>
      <c r="AI1089" s="59" t="str">
        <f>IF(SUM(Dati[[#This Row],[Inv. Business]:[Inv. Cryptocurrency]])=0," ",SUM(Dati[[#This Row],[Inv. Business]:[Inv. Cryptocurrency]]))</f>
        <v xml:space="preserve"> </v>
      </c>
      <c r="AJ1089" s="59"/>
      <c r="AK1089" s="59" t="str">
        <f>IF(SUM(Dati[[#This Row],[Inv. Gold]:[Mutuo]])=0," ",SUM(Dati[[#This Row],[Inv. Gold]:[Mutuo]]))</f>
        <v xml:space="preserve"> </v>
      </c>
      <c r="AL1089" s="59"/>
      <c r="AM1089" s="59"/>
    </row>
    <row r="1090" spans="2:39" x14ac:dyDescent="0.35">
      <c r="B1090" s="237">
        <f t="shared" si="58"/>
        <v>1070</v>
      </c>
      <c r="C1090" s="49">
        <f t="shared" si="57"/>
        <v>45702</v>
      </c>
      <c r="D1090" s="29">
        <f>DAY(Dati[[#This Row],[Data]])</f>
        <v>14</v>
      </c>
      <c r="E1090" s="29" t="str">
        <f>IF(DAY(Data!$C$21:$C$1327)&gt;0,TEXT(Data!$C$21:$C$1327, "mmmm"),"")</f>
        <v>febbraio</v>
      </c>
      <c r="F1090" s="29" t="str">
        <f>IF(DAY(Data!$C$21:$C$1327)&gt;0,TEXT(Data!$C$21:$C$1327, "aaaa"),"")</f>
        <v>2025</v>
      </c>
      <c r="I1090" t="str">
        <f>IF(OR(H1090=$B$5,H1090=$B$6,H1090=$B$7,H1090=$B$8,H1090=$B$9,H1090=$B$10,H1090=$B$11,H1090=$B$12,H1090=$B$13,H1090=$B$14),SottocategorieUscite[[#Headers],[Fuori Casa]],IF(OR(H1090=$C$5,H1090=$C$6,H1090=$C$7,H1090=$C$8,H1090=$C$9,H1090=$C$10,H1090=$C$11,H1090=$C$12,H1090=$C$13,H1090=$C$14),SottocategorieUscite[[#Headers],[Varie Uscite]],IF(OR(H1090=$D$5,H1090=$D$6,H1090=$D$7,H1090=$D$8,H1090=$D$9,H1090=$D$10,H1090=$D$11,H1090=$D$12,H1090=$D$13,H1090=$D$14),SottocategorieUscite[[#Headers],[Personali]],IF(OR(H1090=$E$5,H1090=$E$6,H1090=$E$7,H1090=$E$8,H1090=$E$9,H1090=$E$10,H1090=$E$11,H1090=$E$12,H1090=$E$13,H1090=$E$14),SottocategorieUscite[[#Headers],[Lavoro]],IF(OR(H1090=$F$5,H1090=$F$6,H1090=$F$7,H1090=$F$8,H1090=$F$9,H1090=$F$10,H1090=$F$11,H1090=$F$12,H1090=$F$13,H1090=$F$14),SottocategorieUscite[[#Headers],[Casa]],IF(OR(H1090=$G$5,H1090=$G$6,H1090=$G$7,H1090=$G$8,H1090=$G$9,H1090=$G$10,H1090=$G$11,H1090=$G$12,H1090=$G$13,H1090=$G$14),SottocategorieUscite[[#Headers],[Utenze]],IF(OR(H1090=$H$5,H1090=$H$6,H1090=$H$7,H1090=$H$8,H1090=$H$9,H1090=$H$10,H1090=$H$11,H1090=$H$12,H1090=$H$13,H1090=$H$14),SottocategorieUscite[[#Headers],[Business Uscite]],IF(OR(H1090=$I$5,H1090=$I$6,H1090=$I$7,H1090=$I$8,H1090=$I$9,H1090=$I$10,H1090=$I$11,H1090=$I$12,H1090=$I$13,H1090=$I$14),SottocategorieUscite[[#Headers],[Banca]],IF(OR(H1090=K$5,H1090=K$6,H1090=K$7,H1090=K$8,H1090=K$9,H1090=K$10,H1090=K$11,H1090=K$12,H1090=K$13,H1090=K$14),SottocategorieEntrate[[#Headers],[Business Entrate]],IF(OR(H1090=L$5,H1090=L$6,H1090=L$7,H1090=L$8,H1090=L$9,H1090=L$10,H1090=L$11,H1090=L$12,H1090=L$13,H1090=L$14),SottocategorieEntrate[[#Headers],[Varie Entrate]],IF(OR(H1090=M$5,H1090=M$6,H1090=M$7,H1090=M$8,H1090=M$9,H1090=M$10,H1090=M$11,H1090=M$12,H1090=M$13,H1090=M$14),SottocategorieEntrate[[#Headers],[Real Estate]],IF(OR(H1090=N$5,H1090=N$6,H1090=N$7,H1090=N$8,H1090=N$9,H1090=N$10,H1090=N$11,H1090=N$12,H1090=N$13,H1090=N$14),SottocategorieEntrate[[#Headers],[Other]],""))))))))))))</f>
        <v/>
      </c>
      <c r="J1090" t="str">
        <f>IF(OR(Dati[[#This Row],[Categoria]]="Bollette",Dati[[#This Row],[Categoria]]="Conto &amp; Carte BNL",Dati[[#This Row],[Categoria]]="Prelievo",Dati[[#This Row],[Categoria]]="Affitto",Dati[[#This Row],[Categoria]]="BNL(Interessi Creditori)"),"Carta",IF(Dati[[#This Row],[Categoria]]&lt;&gt;0,"Cash",""))</f>
        <v/>
      </c>
      <c r="K1090" s="59" t="str">
        <f>IF(OR(Data!$I1090=SottocategorieUscite[[#Headers],[Fuori Casa]],Data!$I1090=SottocategorieUscite[[#Headers],[Varie Uscite]],Data!$I1090=SottocategorieUscite[[#Headers],[Personali]],Data!$I1090=SottocategorieUscite[[#Headers],[Lavoro]]),"$ -","")</f>
        <v/>
      </c>
      <c r="L1090" s="59" t="str">
        <f>IF(OR(Data!$I1090=SottocategorieUscite[[#Headers],[Casa]],Data!$I1090=SottocategorieUscite[[#Headers],[Utenze]],Data!$I1090=SottocategorieUscite[[#Headers],[Business Uscite]],Data!$I1090=SottocategorieUscite[[#Headers],[Banca]]),"$ -","")</f>
        <v/>
      </c>
      <c r="M1090" s="59" t="str">
        <f>IF(OR($I1090&lt;&gt;SottocategorieUscite[[#Headers],[Fuori Casa]],$I1090&lt;&gt;SottocategorieUscite[[#Headers],[Varie Uscite]],$I1090&lt;&gt;SottocategorieUscite[[#Headers],[Personali]],$I1090&lt;&gt;SottocategorieUscite[[#Headers],[Lavoro]],$I1090&lt;&gt;SottocategorieUscite[[#Headers],[Casa]],$I1090&lt;&gt;SottocategorieUscite[[#Headers],[Utenze]],$I1090&lt;&gt;SottocategorieUscite[[#Headers],[Business Uscite]],$I1090&lt;&gt;SottocategorieUscite[[#Headers],[Banca]]),"","$ -")</f>
        <v/>
      </c>
      <c r="N1090" s="59" t="str">
        <f>IF(OR(Data!$I1090=SottocategorieEntrate[[#Headers],[Business Entrate]],Data!$I1090=SottocategorieEntrate[[#Headers],[Varie Entrate]]),"$ -","")</f>
        <v/>
      </c>
      <c r="O1090" s="59" t="str">
        <f>IF(OR(Data!$I1090=SottocategorieEntrate[[#Headers],[Real Estate]],SottocategorieEntrate[[#Headers],[Other]]),"$ -","")</f>
        <v/>
      </c>
      <c r="P1090" s="59" t="str">
        <f>IF(OR($I1090&lt;&gt;SottocategorieEntrate[[#Headers],[Business Entrate]],$I1090&lt;&gt;SottocategorieEntrate[[#Headers],[Varie Entrate]],$I1090&lt;&gt;SottocategorieEntrate[[#Headers],[Real Estate]],$I1090&lt;&gt;SottocategorieEntrate[[#Headers],[Other]]),"","$ -")</f>
        <v/>
      </c>
      <c r="Q1090" s="59" t="str">
        <f>IF(Dati[[#This Row],[Categoria]]="Prelievo","€ -","")</f>
        <v/>
      </c>
      <c r="R1090" s="244"/>
      <c r="S1090" s="59" t="str">
        <f>IF(Dati[[#This Row],[Categoria]]="Savings",0,"")</f>
        <v/>
      </c>
      <c r="T1090" s="59"/>
      <c r="U1090" s="59"/>
      <c r="V1090" s="59"/>
      <c r="W1090" s="59"/>
      <c r="X1090" s="59"/>
      <c r="Y1090" s="59"/>
      <c r="Z1090" s="59"/>
      <c r="AA1090" s="59"/>
      <c r="AB1090" s="59"/>
      <c r="AC1090" s="59"/>
      <c r="AD1090" s="59"/>
      <c r="AE1090" s="59"/>
      <c r="AF1090" s="59"/>
      <c r="AG1090" s="59"/>
      <c r="AH1090" s="59"/>
      <c r="AI1090" s="59" t="str">
        <f>IF(SUM(Dati[[#This Row],[Inv. Business]:[Inv. Cryptocurrency]])=0," ",SUM(Dati[[#This Row],[Inv. Business]:[Inv. Cryptocurrency]]))</f>
        <v xml:space="preserve"> </v>
      </c>
      <c r="AJ1090" s="59"/>
      <c r="AK1090" s="59" t="str">
        <f>IF(SUM(Dati[[#This Row],[Inv. Gold]:[Mutuo]])=0," ",SUM(Dati[[#This Row],[Inv. Gold]:[Mutuo]]))</f>
        <v xml:space="preserve"> </v>
      </c>
      <c r="AL1090" s="59"/>
      <c r="AM1090" s="59"/>
    </row>
    <row r="1091" spans="2:39" x14ac:dyDescent="0.35">
      <c r="B1091" s="237">
        <f t="shared" si="58"/>
        <v>1071</v>
      </c>
      <c r="C1091" s="49">
        <f t="shared" si="57"/>
        <v>45703</v>
      </c>
      <c r="D1091" s="29">
        <f>DAY(Dati[[#This Row],[Data]])</f>
        <v>15</v>
      </c>
      <c r="E1091" s="29" t="str">
        <f>IF(DAY(Data!$C$21:$C$1327)&gt;0,TEXT(Data!$C$21:$C$1327, "mmmm"),"")</f>
        <v>febbraio</v>
      </c>
      <c r="F1091" s="29" t="str">
        <f>IF(DAY(Data!$C$21:$C$1327)&gt;0,TEXT(Data!$C$21:$C$1327, "aaaa"),"")</f>
        <v>2025</v>
      </c>
      <c r="I1091" t="str">
        <f>IF(OR(H1091=$B$5,H1091=$B$6,H1091=$B$7,H1091=$B$8,H1091=$B$9,H1091=$B$10,H1091=$B$11,H1091=$B$12,H1091=$B$13,H1091=$B$14),SottocategorieUscite[[#Headers],[Fuori Casa]],IF(OR(H1091=$C$5,H1091=$C$6,H1091=$C$7,H1091=$C$8,H1091=$C$9,H1091=$C$10,H1091=$C$11,H1091=$C$12,H1091=$C$13,H1091=$C$14),SottocategorieUscite[[#Headers],[Varie Uscite]],IF(OR(H1091=$D$5,H1091=$D$6,H1091=$D$7,H1091=$D$8,H1091=$D$9,H1091=$D$10,H1091=$D$11,H1091=$D$12,H1091=$D$13,H1091=$D$14),SottocategorieUscite[[#Headers],[Personali]],IF(OR(H1091=$E$5,H1091=$E$6,H1091=$E$7,H1091=$E$8,H1091=$E$9,H1091=$E$10,H1091=$E$11,H1091=$E$12,H1091=$E$13,H1091=$E$14),SottocategorieUscite[[#Headers],[Lavoro]],IF(OR(H1091=$F$5,H1091=$F$6,H1091=$F$7,H1091=$F$8,H1091=$F$9,H1091=$F$10,H1091=$F$11,H1091=$F$12,H1091=$F$13,H1091=$F$14),SottocategorieUscite[[#Headers],[Casa]],IF(OR(H1091=$G$5,H1091=$G$6,H1091=$G$7,H1091=$G$8,H1091=$G$9,H1091=$G$10,H1091=$G$11,H1091=$G$12,H1091=$G$13,H1091=$G$14),SottocategorieUscite[[#Headers],[Utenze]],IF(OR(H1091=$H$5,H1091=$H$6,H1091=$H$7,H1091=$H$8,H1091=$H$9,H1091=$H$10,H1091=$H$11,H1091=$H$12,H1091=$H$13,H1091=$H$14),SottocategorieUscite[[#Headers],[Business Uscite]],IF(OR(H1091=$I$5,H1091=$I$6,H1091=$I$7,H1091=$I$8,H1091=$I$9,H1091=$I$10,H1091=$I$11,H1091=$I$12,H1091=$I$13,H1091=$I$14),SottocategorieUscite[[#Headers],[Banca]],IF(OR(H1091=K$5,H1091=K$6,H1091=K$7,H1091=K$8,H1091=K$9,H1091=K$10,H1091=K$11,H1091=K$12,H1091=K$13,H1091=K$14),SottocategorieEntrate[[#Headers],[Business Entrate]],IF(OR(H1091=L$5,H1091=L$6,H1091=L$7,H1091=L$8,H1091=L$9,H1091=L$10,H1091=L$11,H1091=L$12,H1091=L$13,H1091=L$14),SottocategorieEntrate[[#Headers],[Varie Entrate]],IF(OR(H1091=M$5,H1091=M$6,H1091=M$7,H1091=M$8,H1091=M$9,H1091=M$10,H1091=M$11,H1091=M$12,H1091=M$13,H1091=M$14),SottocategorieEntrate[[#Headers],[Real Estate]],IF(OR(H1091=N$5,H1091=N$6,H1091=N$7,H1091=N$8,H1091=N$9,H1091=N$10,H1091=N$11,H1091=N$12,H1091=N$13,H1091=N$14),SottocategorieEntrate[[#Headers],[Other]],""))))))))))))</f>
        <v/>
      </c>
      <c r="J1091" t="str">
        <f>IF(OR(Dati[[#This Row],[Categoria]]="Bollette",Dati[[#This Row],[Categoria]]="Conto &amp; Carte BNL",Dati[[#This Row],[Categoria]]="Prelievo",Dati[[#This Row],[Categoria]]="Affitto",Dati[[#This Row],[Categoria]]="BNL(Interessi Creditori)"),"Carta",IF(Dati[[#This Row],[Categoria]]&lt;&gt;0,"Cash",""))</f>
        <v/>
      </c>
      <c r="K1091" s="59" t="str">
        <f>IF(OR(Data!$I1091=SottocategorieUscite[[#Headers],[Fuori Casa]],Data!$I1091=SottocategorieUscite[[#Headers],[Varie Uscite]],Data!$I1091=SottocategorieUscite[[#Headers],[Personali]],Data!$I1091=SottocategorieUscite[[#Headers],[Lavoro]]),"$ -","")</f>
        <v/>
      </c>
      <c r="L1091" s="59" t="str">
        <f>IF(OR(Data!$I1091=SottocategorieUscite[[#Headers],[Casa]],Data!$I1091=SottocategorieUscite[[#Headers],[Utenze]],Data!$I1091=SottocategorieUscite[[#Headers],[Business Uscite]],Data!$I1091=SottocategorieUscite[[#Headers],[Banca]]),"$ -","")</f>
        <v/>
      </c>
      <c r="M1091" s="59" t="str">
        <f>IF(OR($I1091&lt;&gt;SottocategorieUscite[[#Headers],[Fuori Casa]],$I1091&lt;&gt;SottocategorieUscite[[#Headers],[Varie Uscite]],$I1091&lt;&gt;SottocategorieUscite[[#Headers],[Personali]],$I1091&lt;&gt;SottocategorieUscite[[#Headers],[Lavoro]],$I1091&lt;&gt;SottocategorieUscite[[#Headers],[Casa]],$I1091&lt;&gt;SottocategorieUscite[[#Headers],[Utenze]],$I1091&lt;&gt;SottocategorieUscite[[#Headers],[Business Uscite]],$I1091&lt;&gt;SottocategorieUscite[[#Headers],[Banca]]),"","$ -")</f>
        <v/>
      </c>
      <c r="N1091" s="59" t="str">
        <f>IF(OR(Data!$I1091=SottocategorieEntrate[[#Headers],[Business Entrate]],Data!$I1091=SottocategorieEntrate[[#Headers],[Varie Entrate]]),"$ -","")</f>
        <v/>
      </c>
      <c r="O1091" s="59" t="str">
        <f>IF(OR(Data!$I1091=SottocategorieEntrate[[#Headers],[Real Estate]],SottocategorieEntrate[[#Headers],[Other]]),"$ -","")</f>
        <v/>
      </c>
      <c r="P1091" s="59" t="str">
        <f>IF(OR($I1091&lt;&gt;SottocategorieEntrate[[#Headers],[Business Entrate]],$I1091&lt;&gt;SottocategorieEntrate[[#Headers],[Varie Entrate]],$I1091&lt;&gt;SottocategorieEntrate[[#Headers],[Real Estate]],$I1091&lt;&gt;SottocategorieEntrate[[#Headers],[Other]]),"","$ -")</f>
        <v/>
      </c>
      <c r="Q1091" s="59" t="str">
        <f>IF(Dati[[#This Row],[Categoria]]="Prelievo","€ -","")</f>
        <v/>
      </c>
      <c r="R1091" s="244"/>
      <c r="S1091" s="59" t="str">
        <f>IF(Dati[[#This Row],[Categoria]]="Savings",0,"")</f>
        <v/>
      </c>
      <c r="T1091" s="59"/>
      <c r="U1091" s="59"/>
      <c r="V1091" s="59"/>
      <c r="W1091" s="59"/>
      <c r="X1091" s="59"/>
      <c r="Y1091" s="59"/>
      <c r="Z1091" s="59"/>
      <c r="AA1091" s="59"/>
      <c r="AB1091" s="59"/>
      <c r="AC1091" s="59"/>
      <c r="AD1091" s="59"/>
      <c r="AE1091" s="59"/>
      <c r="AF1091" s="59"/>
      <c r="AG1091" s="59"/>
      <c r="AH1091" s="59"/>
      <c r="AI1091" s="59" t="str">
        <f>IF(SUM(Dati[[#This Row],[Inv. Business]:[Inv. Cryptocurrency]])=0," ",SUM(Dati[[#This Row],[Inv. Business]:[Inv. Cryptocurrency]]))</f>
        <v xml:space="preserve"> </v>
      </c>
      <c r="AJ1091" s="59"/>
      <c r="AK1091" s="59" t="str">
        <f>IF(SUM(Dati[[#This Row],[Inv. Gold]:[Mutuo]])=0," ",SUM(Dati[[#This Row],[Inv. Gold]:[Mutuo]]))</f>
        <v xml:space="preserve"> </v>
      </c>
      <c r="AL1091" s="59"/>
      <c r="AM1091" s="59"/>
    </row>
    <row r="1092" spans="2:39" x14ac:dyDescent="0.35">
      <c r="B1092" s="237">
        <f t="shared" si="58"/>
        <v>1072</v>
      </c>
      <c r="C1092" s="49">
        <f t="shared" si="57"/>
        <v>45704</v>
      </c>
      <c r="D1092" s="29">
        <f>DAY(Dati[[#This Row],[Data]])</f>
        <v>16</v>
      </c>
      <c r="E1092" s="29" t="str">
        <f>IF(DAY(Data!$C$21:$C$1327)&gt;0,TEXT(Data!$C$21:$C$1327, "mmmm"),"")</f>
        <v>febbraio</v>
      </c>
      <c r="F1092" s="29" t="str">
        <f>IF(DAY(Data!$C$21:$C$1327)&gt;0,TEXT(Data!$C$21:$C$1327, "aaaa"),"")</f>
        <v>2025</v>
      </c>
      <c r="I1092" t="str">
        <f>IF(OR(H1092=$B$5,H1092=$B$6,H1092=$B$7,H1092=$B$8,H1092=$B$9,H1092=$B$10,H1092=$B$11,H1092=$B$12,H1092=$B$13,H1092=$B$14),SottocategorieUscite[[#Headers],[Fuori Casa]],IF(OR(H1092=$C$5,H1092=$C$6,H1092=$C$7,H1092=$C$8,H1092=$C$9,H1092=$C$10,H1092=$C$11,H1092=$C$12,H1092=$C$13,H1092=$C$14),SottocategorieUscite[[#Headers],[Varie Uscite]],IF(OR(H1092=$D$5,H1092=$D$6,H1092=$D$7,H1092=$D$8,H1092=$D$9,H1092=$D$10,H1092=$D$11,H1092=$D$12,H1092=$D$13,H1092=$D$14),SottocategorieUscite[[#Headers],[Personali]],IF(OR(H1092=$E$5,H1092=$E$6,H1092=$E$7,H1092=$E$8,H1092=$E$9,H1092=$E$10,H1092=$E$11,H1092=$E$12,H1092=$E$13,H1092=$E$14),SottocategorieUscite[[#Headers],[Lavoro]],IF(OR(H1092=$F$5,H1092=$F$6,H1092=$F$7,H1092=$F$8,H1092=$F$9,H1092=$F$10,H1092=$F$11,H1092=$F$12,H1092=$F$13,H1092=$F$14),SottocategorieUscite[[#Headers],[Casa]],IF(OR(H1092=$G$5,H1092=$G$6,H1092=$G$7,H1092=$G$8,H1092=$G$9,H1092=$G$10,H1092=$G$11,H1092=$G$12,H1092=$G$13,H1092=$G$14),SottocategorieUscite[[#Headers],[Utenze]],IF(OR(H1092=$H$5,H1092=$H$6,H1092=$H$7,H1092=$H$8,H1092=$H$9,H1092=$H$10,H1092=$H$11,H1092=$H$12,H1092=$H$13,H1092=$H$14),SottocategorieUscite[[#Headers],[Business Uscite]],IF(OR(H1092=$I$5,H1092=$I$6,H1092=$I$7,H1092=$I$8,H1092=$I$9,H1092=$I$10,H1092=$I$11,H1092=$I$12,H1092=$I$13,H1092=$I$14),SottocategorieUscite[[#Headers],[Banca]],IF(OR(H1092=K$5,H1092=K$6,H1092=K$7,H1092=K$8,H1092=K$9,H1092=K$10,H1092=K$11,H1092=K$12,H1092=K$13,H1092=K$14),SottocategorieEntrate[[#Headers],[Business Entrate]],IF(OR(H1092=L$5,H1092=L$6,H1092=L$7,H1092=L$8,H1092=L$9,H1092=L$10,H1092=L$11,H1092=L$12,H1092=L$13,H1092=L$14),SottocategorieEntrate[[#Headers],[Varie Entrate]],IF(OR(H1092=M$5,H1092=M$6,H1092=M$7,H1092=M$8,H1092=M$9,H1092=M$10,H1092=M$11,H1092=M$12,H1092=M$13,H1092=M$14),SottocategorieEntrate[[#Headers],[Real Estate]],IF(OR(H1092=N$5,H1092=N$6,H1092=N$7,H1092=N$8,H1092=N$9,H1092=N$10,H1092=N$11,H1092=N$12,H1092=N$13,H1092=N$14),SottocategorieEntrate[[#Headers],[Other]],""))))))))))))</f>
        <v/>
      </c>
      <c r="J1092" t="str">
        <f>IF(OR(Dati[[#This Row],[Categoria]]="Bollette",Dati[[#This Row],[Categoria]]="Conto &amp; Carte BNL",Dati[[#This Row],[Categoria]]="Prelievo",Dati[[#This Row],[Categoria]]="Affitto",Dati[[#This Row],[Categoria]]="BNL(Interessi Creditori)"),"Carta",IF(Dati[[#This Row],[Categoria]]&lt;&gt;0,"Cash",""))</f>
        <v/>
      </c>
      <c r="K1092" s="59" t="str">
        <f>IF(OR(Data!$I1092=SottocategorieUscite[[#Headers],[Fuori Casa]],Data!$I1092=SottocategorieUscite[[#Headers],[Varie Uscite]],Data!$I1092=SottocategorieUscite[[#Headers],[Personali]],Data!$I1092=SottocategorieUscite[[#Headers],[Lavoro]]),"$ -","")</f>
        <v/>
      </c>
      <c r="L1092" s="59" t="str">
        <f>IF(OR(Data!$I1092=SottocategorieUscite[[#Headers],[Casa]],Data!$I1092=SottocategorieUscite[[#Headers],[Utenze]],Data!$I1092=SottocategorieUscite[[#Headers],[Business Uscite]],Data!$I1092=SottocategorieUscite[[#Headers],[Banca]]),"$ -","")</f>
        <v/>
      </c>
      <c r="M1092" s="59" t="str">
        <f>IF(OR($I1092&lt;&gt;SottocategorieUscite[[#Headers],[Fuori Casa]],$I1092&lt;&gt;SottocategorieUscite[[#Headers],[Varie Uscite]],$I1092&lt;&gt;SottocategorieUscite[[#Headers],[Personali]],$I1092&lt;&gt;SottocategorieUscite[[#Headers],[Lavoro]],$I1092&lt;&gt;SottocategorieUscite[[#Headers],[Casa]],$I1092&lt;&gt;SottocategorieUscite[[#Headers],[Utenze]],$I1092&lt;&gt;SottocategorieUscite[[#Headers],[Business Uscite]],$I1092&lt;&gt;SottocategorieUscite[[#Headers],[Banca]]),"","$ -")</f>
        <v/>
      </c>
      <c r="N1092" s="59" t="str">
        <f>IF(OR(Data!$I1092=SottocategorieEntrate[[#Headers],[Business Entrate]],Data!$I1092=SottocategorieEntrate[[#Headers],[Varie Entrate]]),"$ -","")</f>
        <v/>
      </c>
      <c r="O1092" s="59" t="str">
        <f>IF(OR(Data!$I1092=SottocategorieEntrate[[#Headers],[Real Estate]],SottocategorieEntrate[[#Headers],[Other]]),"$ -","")</f>
        <v/>
      </c>
      <c r="P1092" s="59" t="str">
        <f>IF(OR($I1092&lt;&gt;SottocategorieEntrate[[#Headers],[Business Entrate]],$I1092&lt;&gt;SottocategorieEntrate[[#Headers],[Varie Entrate]],$I1092&lt;&gt;SottocategorieEntrate[[#Headers],[Real Estate]],$I1092&lt;&gt;SottocategorieEntrate[[#Headers],[Other]]),"","$ -")</f>
        <v/>
      </c>
      <c r="Q1092" s="59" t="str">
        <f>IF(Dati[[#This Row],[Categoria]]="Prelievo","€ -","")</f>
        <v/>
      </c>
      <c r="R1092" s="244"/>
      <c r="S1092" s="59" t="str">
        <f>IF(Dati[[#This Row],[Categoria]]="Savings",0,"")</f>
        <v/>
      </c>
      <c r="T1092" s="59"/>
      <c r="U1092" s="59"/>
      <c r="V1092" s="59"/>
      <c r="W1092" s="59"/>
      <c r="X1092" s="59"/>
      <c r="Y1092" s="59"/>
      <c r="Z1092" s="59"/>
      <c r="AA1092" s="59"/>
      <c r="AB1092" s="59"/>
      <c r="AC1092" s="59"/>
      <c r="AD1092" s="59"/>
      <c r="AE1092" s="59"/>
      <c r="AF1092" s="59"/>
      <c r="AG1092" s="59"/>
      <c r="AH1092" s="59"/>
      <c r="AI1092" s="59" t="str">
        <f>IF(SUM(Dati[[#This Row],[Inv. Business]:[Inv. Cryptocurrency]])=0," ",SUM(Dati[[#This Row],[Inv. Business]:[Inv. Cryptocurrency]]))</f>
        <v xml:space="preserve"> </v>
      </c>
      <c r="AJ1092" s="59"/>
      <c r="AK1092" s="59" t="str">
        <f>IF(SUM(Dati[[#This Row],[Inv. Gold]:[Mutuo]])=0," ",SUM(Dati[[#This Row],[Inv. Gold]:[Mutuo]]))</f>
        <v xml:space="preserve"> </v>
      </c>
      <c r="AL1092" s="59"/>
      <c r="AM1092" s="59"/>
    </row>
    <row r="1093" spans="2:39" x14ac:dyDescent="0.35">
      <c r="B1093" s="237">
        <f t="shared" si="58"/>
        <v>1073</v>
      </c>
      <c r="C1093" s="49">
        <f t="shared" si="57"/>
        <v>45705</v>
      </c>
      <c r="D1093" s="29">
        <f>DAY(Dati[[#This Row],[Data]])</f>
        <v>17</v>
      </c>
      <c r="E1093" s="29" t="str">
        <f>IF(DAY(Data!$C$21:$C$1327)&gt;0,TEXT(Data!$C$21:$C$1327, "mmmm"),"")</f>
        <v>febbraio</v>
      </c>
      <c r="F1093" s="29" t="str">
        <f>IF(DAY(Data!$C$21:$C$1327)&gt;0,TEXT(Data!$C$21:$C$1327, "aaaa"),"")</f>
        <v>2025</v>
      </c>
      <c r="I1093" t="str">
        <f>IF(OR(H1093=$B$5,H1093=$B$6,H1093=$B$7,H1093=$B$8,H1093=$B$9,H1093=$B$10,H1093=$B$11,H1093=$B$12,H1093=$B$13,H1093=$B$14),SottocategorieUscite[[#Headers],[Fuori Casa]],IF(OR(H1093=$C$5,H1093=$C$6,H1093=$C$7,H1093=$C$8,H1093=$C$9,H1093=$C$10,H1093=$C$11,H1093=$C$12,H1093=$C$13,H1093=$C$14),SottocategorieUscite[[#Headers],[Varie Uscite]],IF(OR(H1093=$D$5,H1093=$D$6,H1093=$D$7,H1093=$D$8,H1093=$D$9,H1093=$D$10,H1093=$D$11,H1093=$D$12,H1093=$D$13,H1093=$D$14),SottocategorieUscite[[#Headers],[Personali]],IF(OR(H1093=$E$5,H1093=$E$6,H1093=$E$7,H1093=$E$8,H1093=$E$9,H1093=$E$10,H1093=$E$11,H1093=$E$12,H1093=$E$13,H1093=$E$14),SottocategorieUscite[[#Headers],[Lavoro]],IF(OR(H1093=$F$5,H1093=$F$6,H1093=$F$7,H1093=$F$8,H1093=$F$9,H1093=$F$10,H1093=$F$11,H1093=$F$12,H1093=$F$13,H1093=$F$14),SottocategorieUscite[[#Headers],[Casa]],IF(OR(H1093=$G$5,H1093=$G$6,H1093=$G$7,H1093=$G$8,H1093=$G$9,H1093=$G$10,H1093=$G$11,H1093=$G$12,H1093=$G$13,H1093=$G$14),SottocategorieUscite[[#Headers],[Utenze]],IF(OR(H1093=$H$5,H1093=$H$6,H1093=$H$7,H1093=$H$8,H1093=$H$9,H1093=$H$10,H1093=$H$11,H1093=$H$12,H1093=$H$13,H1093=$H$14),SottocategorieUscite[[#Headers],[Business Uscite]],IF(OR(H1093=$I$5,H1093=$I$6,H1093=$I$7,H1093=$I$8,H1093=$I$9,H1093=$I$10,H1093=$I$11,H1093=$I$12,H1093=$I$13,H1093=$I$14),SottocategorieUscite[[#Headers],[Banca]],IF(OR(H1093=K$5,H1093=K$6,H1093=K$7,H1093=K$8,H1093=K$9,H1093=K$10,H1093=K$11,H1093=K$12,H1093=K$13,H1093=K$14),SottocategorieEntrate[[#Headers],[Business Entrate]],IF(OR(H1093=L$5,H1093=L$6,H1093=L$7,H1093=L$8,H1093=L$9,H1093=L$10,H1093=L$11,H1093=L$12,H1093=L$13,H1093=L$14),SottocategorieEntrate[[#Headers],[Varie Entrate]],IF(OR(H1093=M$5,H1093=M$6,H1093=M$7,H1093=M$8,H1093=M$9,H1093=M$10,H1093=M$11,H1093=M$12,H1093=M$13,H1093=M$14),SottocategorieEntrate[[#Headers],[Real Estate]],IF(OR(H1093=N$5,H1093=N$6,H1093=N$7,H1093=N$8,H1093=N$9,H1093=N$10,H1093=N$11,H1093=N$12,H1093=N$13,H1093=N$14),SottocategorieEntrate[[#Headers],[Other]],""))))))))))))</f>
        <v/>
      </c>
      <c r="J1093" t="str">
        <f>IF(OR(Dati[[#This Row],[Categoria]]="Bollette",Dati[[#This Row],[Categoria]]="Conto &amp; Carte BNL",Dati[[#This Row],[Categoria]]="Prelievo",Dati[[#This Row],[Categoria]]="Affitto",Dati[[#This Row],[Categoria]]="BNL(Interessi Creditori)"),"Carta",IF(Dati[[#This Row],[Categoria]]&lt;&gt;0,"Cash",""))</f>
        <v/>
      </c>
      <c r="K1093" s="59" t="str">
        <f>IF(OR(Data!$I1093=SottocategorieUscite[[#Headers],[Fuori Casa]],Data!$I1093=SottocategorieUscite[[#Headers],[Varie Uscite]],Data!$I1093=SottocategorieUscite[[#Headers],[Personali]],Data!$I1093=SottocategorieUscite[[#Headers],[Lavoro]]),"$ -","")</f>
        <v/>
      </c>
      <c r="L1093" s="59" t="str">
        <f>IF(OR(Data!$I1093=SottocategorieUscite[[#Headers],[Casa]],Data!$I1093=SottocategorieUscite[[#Headers],[Utenze]],Data!$I1093=SottocategorieUscite[[#Headers],[Business Uscite]],Data!$I1093=SottocategorieUscite[[#Headers],[Banca]]),"$ -","")</f>
        <v/>
      </c>
      <c r="M1093" s="59" t="str">
        <f>IF(OR($I1093&lt;&gt;SottocategorieUscite[[#Headers],[Fuori Casa]],$I1093&lt;&gt;SottocategorieUscite[[#Headers],[Varie Uscite]],$I1093&lt;&gt;SottocategorieUscite[[#Headers],[Personali]],$I1093&lt;&gt;SottocategorieUscite[[#Headers],[Lavoro]],$I1093&lt;&gt;SottocategorieUscite[[#Headers],[Casa]],$I1093&lt;&gt;SottocategorieUscite[[#Headers],[Utenze]],$I1093&lt;&gt;SottocategorieUscite[[#Headers],[Business Uscite]],$I1093&lt;&gt;SottocategorieUscite[[#Headers],[Banca]]),"","$ -")</f>
        <v/>
      </c>
      <c r="N1093" s="59" t="str">
        <f>IF(OR(Data!$I1093=SottocategorieEntrate[[#Headers],[Business Entrate]],Data!$I1093=SottocategorieEntrate[[#Headers],[Varie Entrate]]),"$ -","")</f>
        <v/>
      </c>
      <c r="O1093" s="59" t="str">
        <f>IF(OR(Data!$I1093=SottocategorieEntrate[[#Headers],[Real Estate]],SottocategorieEntrate[[#Headers],[Other]]),"$ -","")</f>
        <v/>
      </c>
      <c r="P1093" s="59" t="str">
        <f>IF(OR($I1093&lt;&gt;SottocategorieEntrate[[#Headers],[Business Entrate]],$I1093&lt;&gt;SottocategorieEntrate[[#Headers],[Varie Entrate]],$I1093&lt;&gt;SottocategorieEntrate[[#Headers],[Real Estate]],$I1093&lt;&gt;SottocategorieEntrate[[#Headers],[Other]]),"","$ -")</f>
        <v/>
      </c>
      <c r="Q1093" s="59" t="str">
        <f>IF(Dati[[#This Row],[Categoria]]="Prelievo","€ -","")</f>
        <v/>
      </c>
      <c r="R1093" s="244"/>
      <c r="S1093" s="59" t="str">
        <f>IF(Dati[[#This Row],[Categoria]]="Savings",0,"")</f>
        <v/>
      </c>
      <c r="T1093" s="59"/>
      <c r="U1093" s="59"/>
      <c r="V1093" s="59"/>
      <c r="W1093" s="59"/>
      <c r="X1093" s="59"/>
      <c r="Y1093" s="59"/>
      <c r="Z1093" s="59"/>
      <c r="AA1093" s="59"/>
      <c r="AB1093" s="59"/>
      <c r="AC1093" s="59"/>
      <c r="AD1093" s="59"/>
      <c r="AE1093" s="59"/>
      <c r="AF1093" s="59"/>
      <c r="AG1093" s="59"/>
      <c r="AH1093" s="59"/>
      <c r="AI1093" s="59" t="str">
        <f>IF(SUM(Dati[[#This Row],[Inv. Business]:[Inv. Cryptocurrency]])=0," ",SUM(Dati[[#This Row],[Inv. Business]:[Inv. Cryptocurrency]]))</f>
        <v xml:space="preserve"> </v>
      </c>
      <c r="AJ1093" s="59"/>
      <c r="AK1093" s="59" t="str">
        <f>IF(SUM(Dati[[#This Row],[Inv. Gold]:[Mutuo]])=0," ",SUM(Dati[[#This Row],[Inv. Gold]:[Mutuo]]))</f>
        <v xml:space="preserve"> </v>
      </c>
      <c r="AL1093" s="59"/>
      <c r="AM1093" s="59"/>
    </row>
    <row r="1094" spans="2:39" x14ac:dyDescent="0.35">
      <c r="B1094" s="237">
        <f t="shared" si="58"/>
        <v>1074</v>
      </c>
      <c r="C1094" s="49">
        <f t="shared" si="57"/>
        <v>45706</v>
      </c>
      <c r="D1094" s="29">
        <f>DAY(Dati[[#This Row],[Data]])</f>
        <v>18</v>
      </c>
      <c r="E1094" s="29" t="str">
        <f>IF(DAY(Data!$C$21:$C$1327)&gt;0,TEXT(Data!$C$21:$C$1327, "mmmm"),"")</f>
        <v>febbraio</v>
      </c>
      <c r="F1094" s="29" t="str">
        <f>IF(DAY(Data!$C$21:$C$1327)&gt;0,TEXT(Data!$C$21:$C$1327, "aaaa"),"")</f>
        <v>2025</v>
      </c>
      <c r="I1094" t="str">
        <f>IF(OR(H1094=$B$5,H1094=$B$6,H1094=$B$7,H1094=$B$8,H1094=$B$9,H1094=$B$10,H1094=$B$11,H1094=$B$12,H1094=$B$13,H1094=$B$14),SottocategorieUscite[[#Headers],[Fuori Casa]],IF(OR(H1094=$C$5,H1094=$C$6,H1094=$C$7,H1094=$C$8,H1094=$C$9,H1094=$C$10,H1094=$C$11,H1094=$C$12,H1094=$C$13,H1094=$C$14),SottocategorieUscite[[#Headers],[Varie Uscite]],IF(OR(H1094=$D$5,H1094=$D$6,H1094=$D$7,H1094=$D$8,H1094=$D$9,H1094=$D$10,H1094=$D$11,H1094=$D$12,H1094=$D$13,H1094=$D$14),SottocategorieUscite[[#Headers],[Personali]],IF(OR(H1094=$E$5,H1094=$E$6,H1094=$E$7,H1094=$E$8,H1094=$E$9,H1094=$E$10,H1094=$E$11,H1094=$E$12,H1094=$E$13,H1094=$E$14),SottocategorieUscite[[#Headers],[Lavoro]],IF(OR(H1094=$F$5,H1094=$F$6,H1094=$F$7,H1094=$F$8,H1094=$F$9,H1094=$F$10,H1094=$F$11,H1094=$F$12,H1094=$F$13,H1094=$F$14),SottocategorieUscite[[#Headers],[Casa]],IF(OR(H1094=$G$5,H1094=$G$6,H1094=$G$7,H1094=$G$8,H1094=$G$9,H1094=$G$10,H1094=$G$11,H1094=$G$12,H1094=$G$13,H1094=$G$14),SottocategorieUscite[[#Headers],[Utenze]],IF(OR(H1094=$H$5,H1094=$H$6,H1094=$H$7,H1094=$H$8,H1094=$H$9,H1094=$H$10,H1094=$H$11,H1094=$H$12,H1094=$H$13,H1094=$H$14),SottocategorieUscite[[#Headers],[Business Uscite]],IF(OR(H1094=$I$5,H1094=$I$6,H1094=$I$7,H1094=$I$8,H1094=$I$9,H1094=$I$10,H1094=$I$11,H1094=$I$12,H1094=$I$13,H1094=$I$14),SottocategorieUscite[[#Headers],[Banca]],IF(OR(H1094=K$5,H1094=K$6,H1094=K$7,H1094=K$8,H1094=K$9,H1094=K$10,H1094=K$11,H1094=K$12,H1094=K$13,H1094=K$14),SottocategorieEntrate[[#Headers],[Business Entrate]],IF(OR(H1094=L$5,H1094=L$6,H1094=L$7,H1094=L$8,H1094=L$9,H1094=L$10,H1094=L$11,H1094=L$12,H1094=L$13,H1094=L$14),SottocategorieEntrate[[#Headers],[Varie Entrate]],IF(OR(H1094=M$5,H1094=M$6,H1094=M$7,H1094=M$8,H1094=M$9,H1094=M$10,H1094=M$11,H1094=M$12,H1094=M$13,H1094=M$14),SottocategorieEntrate[[#Headers],[Real Estate]],IF(OR(H1094=N$5,H1094=N$6,H1094=N$7,H1094=N$8,H1094=N$9,H1094=N$10,H1094=N$11,H1094=N$12,H1094=N$13,H1094=N$14),SottocategorieEntrate[[#Headers],[Other]],""))))))))))))</f>
        <v/>
      </c>
      <c r="J1094" t="str">
        <f>IF(OR(Dati[[#This Row],[Categoria]]="Bollette",Dati[[#This Row],[Categoria]]="Conto &amp; Carte BNL",Dati[[#This Row],[Categoria]]="Prelievo",Dati[[#This Row],[Categoria]]="Affitto",Dati[[#This Row],[Categoria]]="BNL(Interessi Creditori)"),"Carta",IF(Dati[[#This Row],[Categoria]]&lt;&gt;0,"Cash",""))</f>
        <v/>
      </c>
      <c r="K1094" s="59" t="str">
        <f>IF(OR(Data!$I1094=SottocategorieUscite[[#Headers],[Fuori Casa]],Data!$I1094=SottocategorieUscite[[#Headers],[Varie Uscite]],Data!$I1094=SottocategorieUscite[[#Headers],[Personali]],Data!$I1094=SottocategorieUscite[[#Headers],[Lavoro]]),"$ -","")</f>
        <v/>
      </c>
      <c r="L1094" s="59" t="str">
        <f>IF(OR(Data!$I1094=SottocategorieUscite[[#Headers],[Casa]],Data!$I1094=SottocategorieUscite[[#Headers],[Utenze]],Data!$I1094=SottocategorieUscite[[#Headers],[Business Uscite]],Data!$I1094=SottocategorieUscite[[#Headers],[Banca]]),"$ -","")</f>
        <v/>
      </c>
      <c r="M1094" s="59" t="str">
        <f>IF(OR($I1094&lt;&gt;SottocategorieUscite[[#Headers],[Fuori Casa]],$I1094&lt;&gt;SottocategorieUscite[[#Headers],[Varie Uscite]],$I1094&lt;&gt;SottocategorieUscite[[#Headers],[Personali]],$I1094&lt;&gt;SottocategorieUscite[[#Headers],[Lavoro]],$I1094&lt;&gt;SottocategorieUscite[[#Headers],[Casa]],$I1094&lt;&gt;SottocategorieUscite[[#Headers],[Utenze]],$I1094&lt;&gt;SottocategorieUscite[[#Headers],[Business Uscite]],$I1094&lt;&gt;SottocategorieUscite[[#Headers],[Banca]]),"","$ -")</f>
        <v/>
      </c>
      <c r="N1094" s="59" t="str">
        <f>IF(OR(Data!$I1094=SottocategorieEntrate[[#Headers],[Business Entrate]],Data!$I1094=SottocategorieEntrate[[#Headers],[Varie Entrate]]),"$ -","")</f>
        <v/>
      </c>
      <c r="O1094" s="59" t="str">
        <f>IF(OR(Data!$I1094=SottocategorieEntrate[[#Headers],[Real Estate]],SottocategorieEntrate[[#Headers],[Other]]),"$ -","")</f>
        <v/>
      </c>
      <c r="P1094" s="59" t="str">
        <f>IF(OR($I1094&lt;&gt;SottocategorieEntrate[[#Headers],[Business Entrate]],$I1094&lt;&gt;SottocategorieEntrate[[#Headers],[Varie Entrate]],$I1094&lt;&gt;SottocategorieEntrate[[#Headers],[Real Estate]],$I1094&lt;&gt;SottocategorieEntrate[[#Headers],[Other]]),"","$ -")</f>
        <v/>
      </c>
      <c r="Q1094" s="59" t="str">
        <f>IF(Dati[[#This Row],[Categoria]]="Prelievo","€ -","")</f>
        <v/>
      </c>
      <c r="R1094" s="244"/>
      <c r="S1094" s="59" t="str">
        <f>IF(Dati[[#This Row],[Categoria]]="Savings",0,"")</f>
        <v/>
      </c>
      <c r="T1094" s="59"/>
      <c r="U1094" s="59"/>
      <c r="V1094" s="59"/>
      <c r="W1094" s="59"/>
      <c r="X1094" s="59"/>
      <c r="Y1094" s="59"/>
      <c r="Z1094" s="59"/>
      <c r="AA1094" s="59"/>
      <c r="AB1094" s="59"/>
      <c r="AC1094" s="59"/>
      <c r="AD1094" s="59"/>
      <c r="AE1094" s="59"/>
      <c r="AF1094" s="59"/>
      <c r="AG1094" s="59"/>
      <c r="AH1094" s="59"/>
      <c r="AI1094" s="59" t="str">
        <f>IF(SUM(Dati[[#This Row],[Inv. Business]:[Inv. Cryptocurrency]])=0," ",SUM(Dati[[#This Row],[Inv. Business]:[Inv. Cryptocurrency]]))</f>
        <v xml:space="preserve"> </v>
      </c>
      <c r="AJ1094" s="59"/>
      <c r="AK1094" s="59" t="str">
        <f>IF(SUM(Dati[[#This Row],[Inv. Gold]:[Mutuo]])=0," ",SUM(Dati[[#This Row],[Inv. Gold]:[Mutuo]]))</f>
        <v xml:space="preserve"> </v>
      </c>
      <c r="AL1094" s="59"/>
      <c r="AM1094" s="59"/>
    </row>
    <row r="1095" spans="2:39" x14ac:dyDescent="0.35">
      <c r="B1095" s="237">
        <f t="shared" si="58"/>
        <v>1075</v>
      </c>
      <c r="C1095" s="49">
        <f t="shared" si="57"/>
        <v>45707</v>
      </c>
      <c r="D1095" s="29">
        <f>DAY(Dati[[#This Row],[Data]])</f>
        <v>19</v>
      </c>
      <c r="E1095" s="29" t="str">
        <f>IF(DAY(Data!$C$21:$C$1327)&gt;0,TEXT(Data!$C$21:$C$1327, "mmmm"),"")</f>
        <v>febbraio</v>
      </c>
      <c r="F1095" s="29" t="str">
        <f>IF(DAY(Data!$C$21:$C$1327)&gt;0,TEXT(Data!$C$21:$C$1327, "aaaa"),"")</f>
        <v>2025</v>
      </c>
      <c r="I1095" t="str">
        <f>IF(OR(H1095=$B$5,H1095=$B$6,H1095=$B$7,H1095=$B$8,H1095=$B$9,H1095=$B$10,H1095=$B$11,H1095=$B$12,H1095=$B$13,H1095=$B$14),SottocategorieUscite[[#Headers],[Fuori Casa]],IF(OR(H1095=$C$5,H1095=$C$6,H1095=$C$7,H1095=$C$8,H1095=$C$9,H1095=$C$10,H1095=$C$11,H1095=$C$12,H1095=$C$13,H1095=$C$14),SottocategorieUscite[[#Headers],[Varie Uscite]],IF(OR(H1095=$D$5,H1095=$D$6,H1095=$D$7,H1095=$D$8,H1095=$D$9,H1095=$D$10,H1095=$D$11,H1095=$D$12,H1095=$D$13,H1095=$D$14),SottocategorieUscite[[#Headers],[Personali]],IF(OR(H1095=$E$5,H1095=$E$6,H1095=$E$7,H1095=$E$8,H1095=$E$9,H1095=$E$10,H1095=$E$11,H1095=$E$12,H1095=$E$13,H1095=$E$14),SottocategorieUscite[[#Headers],[Lavoro]],IF(OR(H1095=$F$5,H1095=$F$6,H1095=$F$7,H1095=$F$8,H1095=$F$9,H1095=$F$10,H1095=$F$11,H1095=$F$12,H1095=$F$13,H1095=$F$14),SottocategorieUscite[[#Headers],[Casa]],IF(OR(H1095=$G$5,H1095=$G$6,H1095=$G$7,H1095=$G$8,H1095=$G$9,H1095=$G$10,H1095=$G$11,H1095=$G$12,H1095=$G$13,H1095=$G$14),SottocategorieUscite[[#Headers],[Utenze]],IF(OR(H1095=$H$5,H1095=$H$6,H1095=$H$7,H1095=$H$8,H1095=$H$9,H1095=$H$10,H1095=$H$11,H1095=$H$12,H1095=$H$13,H1095=$H$14),SottocategorieUscite[[#Headers],[Business Uscite]],IF(OR(H1095=$I$5,H1095=$I$6,H1095=$I$7,H1095=$I$8,H1095=$I$9,H1095=$I$10,H1095=$I$11,H1095=$I$12,H1095=$I$13,H1095=$I$14),SottocategorieUscite[[#Headers],[Banca]],IF(OR(H1095=K$5,H1095=K$6,H1095=K$7,H1095=K$8,H1095=K$9,H1095=K$10,H1095=K$11,H1095=K$12,H1095=K$13,H1095=K$14),SottocategorieEntrate[[#Headers],[Business Entrate]],IF(OR(H1095=L$5,H1095=L$6,H1095=L$7,H1095=L$8,H1095=L$9,H1095=L$10,H1095=L$11,H1095=L$12,H1095=L$13,H1095=L$14),SottocategorieEntrate[[#Headers],[Varie Entrate]],IF(OR(H1095=M$5,H1095=M$6,H1095=M$7,H1095=M$8,H1095=M$9,H1095=M$10,H1095=M$11,H1095=M$12,H1095=M$13,H1095=M$14),SottocategorieEntrate[[#Headers],[Real Estate]],IF(OR(H1095=N$5,H1095=N$6,H1095=N$7,H1095=N$8,H1095=N$9,H1095=N$10,H1095=N$11,H1095=N$12,H1095=N$13,H1095=N$14),SottocategorieEntrate[[#Headers],[Other]],""))))))))))))</f>
        <v/>
      </c>
      <c r="J1095" t="str">
        <f>IF(OR(Dati[[#This Row],[Categoria]]="Bollette",Dati[[#This Row],[Categoria]]="Conto &amp; Carte BNL",Dati[[#This Row],[Categoria]]="Prelievo",Dati[[#This Row],[Categoria]]="Affitto",Dati[[#This Row],[Categoria]]="BNL(Interessi Creditori)"),"Carta",IF(Dati[[#This Row],[Categoria]]&lt;&gt;0,"Cash",""))</f>
        <v/>
      </c>
      <c r="K1095" s="59" t="str">
        <f>IF(OR(Data!$I1095=SottocategorieUscite[[#Headers],[Fuori Casa]],Data!$I1095=SottocategorieUscite[[#Headers],[Varie Uscite]],Data!$I1095=SottocategorieUscite[[#Headers],[Personali]],Data!$I1095=SottocategorieUscite[[#Headers],[Lavoro]]),"$ -","")</f>
        <v/>
      </c>
      <c r="L1095" s="59" t="str">
        <f>IF(OR(Data!$I1095=SottocategorieUscite[[#Headers],[Casa]],Data!$I1095=SottocategorieUscite[[#Headers],[Utenze]],Data!$I1095=SottocategorieUscite[[#Headers],[Business Uscite]],Data!$I1095=SottocategorieUscite[[#Headers],[Banca]]),"$ -","")</f>
        <v/>
      </c>
      <c r="M1095" s="59" t="str">
        <f>IF(OR($I1095&lt;&gt;SottocategorieUscite[[#Headers],[Fuori Casa]],$I1095&lt;&gt;SottocategorieUscite[[#Headers],[Varie Uscite]],$I1095&lt;&gt;SottocategorieUscite[[#Headers],[Personali]],$I1095&lt;&gt;SottocategorieUscite[[#Headers],[Lavoro]],$I1095&lt;&gt;SottocategorieUscite[[#Headers],[Casa]],$I1095&lt;&gt;SottocategorieUscite[[#Headers],[Utenze]],$I1095&lt;&gt;SottocategorieUscite[[#Headers],[Business Uscite]],$I1095&lt;&gt;SottocategorieUscite[[#Headers],[Banca]]),"","$ -")</f>
        <v/>
      </c>
      <c r="N1095" s="59" t="str">
        <f>IF(OR(Data!$I1095=SottocategorieEntrate[[#Headers],[Business Entrate]],Data!$I1095=SottocategorieEntrate[[#Headers],[Varie Entrate]]),"$ -","")</f>
        <v/>
      </c>
      <c r="O1095" s="59" t="str">
        <f>IF(OR(Data!$I1095=SottocategorieEntrate[[#Headers],[Real Estate]],SottocategorieEntrate[[#Headers],[Other]]),"$ -","")</f>
        <v/>
      </c>
      <c r="P1095" s="59" t="str">
        <f>IF(OR($I1095&lt;&gt;SottocategorieEntrate[[#Headers],[Business Entrate]],$I1095&lt;&gt;SottocategorieEntrate[[#Headers],[Varie Entrate]],$I1095&lt;&gt;SottocategorieEntrate[[#Headers],[Real Estate]],$I1095&lt;&gt;SottocategorieEntrate[[#Headers],[Other]]),"","$ -")</f>
        <v/>
      </c>
      <c r="Q1095" s="59" t="str">
        <f>IF(Dati[[#This Row],[Categoria]]="Prelievo","€ -","")</f>
        <v/>
      </c>
      <c r="R1095" s="244"/>
      <c r="S1095" s="59" t="str">
        <f>IF(Dati[[#This Row],[Categoria]]="Savings",0,"")</f>
        <v/>
      </c>
      <c r="T1095" s="59"/>
      <c r="U1095" s="59"/>
      <c r="V1095" s="59"/>
      <c r="W1095" s="59"/>
      <c r="X1095" s="59"/>
      <c r="Y1095" s="59"/>
      <c r="Z1095" s="59"/>
      <c r="AA1095" s="59"/>
      <c r="AB1095" s="59"/>
      <c r="AC1095" s="59"/>
      <c r="AD1095" s="59"/>
      <c r="AE1095" s="59"/>
      <c r="AF1095" s="59"/>
      <c r="AG1095" s="59"/>
      <c r="AH1095" s="59"/>
      <c r="AI1095" s="59" t="str">
        <f>IF(SUM(Dati[[#This Row],[Inv. Business]:[Inv. Cryptocurrency]])=0," ",SUM(Dati[[#This Row],[Inv. Business]:[Inv. Cryptocurrency]]))</f>
        <v xml:space="preserve"> </v>
      </c>
      <c r="AJ1095" s="59"/>
      <c r="AK1095" s="59" t="str">
        <f>IF(SUM(Dati[[#This Row],[Inv. Gold]:[Mutuo]])=0," ",SUM(Dati[[#This Row],[Inv. Gold]:[Mutuo]]))</f>
        <v xml:space="preserve"> </v>
      </c>
      <c r="AL1095" s="59"/>
      <c r="AM1095" s="59"/>
    </row>
    <row r="1096" spans="2:39" x14ac:dyDescent="0.35">
      <c r="B1096" s="237">
        <f t="shared" si="58"/>
        <v>1076</v>
      </c>
      <c r="C1096" s="49">
        <f t="shared" si="57"/>
        <v>45708</v>
      </c>
      <c r="D1096" s="29">
        <f>DAY(Dati[[#This Row],[Data]])</f>
        <v>20</v>
      </c>
      <c r="E1096" s="29" t="str">
        <f>IF(DAY(Data!$C$21:$C$1327)&gt;0,TEXT(Data!$C$21:$C$1327, "mmmm"),"")</f>
        <v>febbraio</v>
      </c>
      <c r="F1096" s="29" t="str">
        <f>IF(DAY(Data!$C$21:$C$1327)&gt;0,TEXT(Data!$C$21:$C$1327, "aaaa"),"")</f>
        <v>2025</v>
      </c>
      <c r="I1096" t="str">
        <f>IF(OR(H1096=$B$5,H1096=$B$6,H1096=$B$7,H1096=$B$8,H1096=$B$9,H1096=$B$10,H1096=$B$11,H1096=$B$12,H1096=$B$13,H1096=$B$14),SottocategorieUscite[[#Headers],[Fuori Casa]],IF(OR(H1096=$C$5,H1096=$C$6,H1096=$C$7,H1096=$C$8,H1096=$C$9,H1096=$C$10,H1096=$C$11,H1096=$C$12,H1096=$C$13,H1096=$C$14),SottocategorieUscite[[#Headers],[Varie Uscite]],IF(OR(H1096=$D$5,H1096=$D$6,H1096=$D$7,H1096=$D$8,H1096=$D$9,H1096=$D$10,H1096=$D$11,H1096=$D$12,H1096=$D$13,H1096=$D$14),SottocategorieUscite[[#Headers],[Personali]],IF(OR(H1096=$E$5,H1096=$E$6,H1096=$E$7,H1096=$E$8,H1096=$E$9,H1096=$E$10,H1096=$E$11,H1096=$E$12,H1096=$E$13,H1096=$E$14),SottocategorieUscite[[#Headers],[Lavoro]],IF(OR(H1096=$F$5,H1096=$F$6,H1096=$F$7,H1096=$F$8,H1096=$F$9,H1096=$F$10,H1096=$F$11,H1096=$F$12,H1096=$F$13,H1096=$F$14),SottocategorieUscite[[#Headers],[Casa]],IF(OR(H1096=$G$5,H1096=$G$6,H1096=$G$7,H1096=$G$8,H1096=$G$9,H1096=$G$10,H1096=$G$11,H1096=$G$12,H1096=$G$13,H1096=$G$14),SottocategorieUscite[[#Headers],[Utenze]],IF(OR(H1096=$H$5,H1096=$H$6,H1096=$H$7,H1096=$H$8,H1096=$H$9,H1096=$H$10,H1096=$H$11,H1096=$H$12,H1096=$H$13,H1096=$H$14),SottocategorieUscite[[#Headers],[Business Uscite]],IF(OR(H1096=$I$5,H1096=$I$6,H1096=$I$7,H1096=$I$8,H1096=$I$9,H1096=$I$10,H1096=$I$11,H1096=$I$12,H1096=$I$13,H1096=$I$14),SottocategorieUscite[[#Headers],[Banca]],IF(OR(H1096=K$5,H1096=K$6,H1096=K$7,H1096=K$8,H1096=K$9,H1096=K$10,H1096=K$11,H1096=K$12,H1096=K$13,H1096=K$14),SottocategorieEntrate[[#Headers],[Business Entrate]],IF(OR(H1096=L$5,H1096=L$6,H1096=L$7,H1096=L$8,H1096=L$9,H1096=L$10,H1096=L$11,H1096=L$12,H1096=L$13,H1096=L$14),SottocategorieEntrate[[#Headers],[Varie Entrate]],IF(OR(H1096=M$5,H1096=M$6,H1096=M$7,H1096=M$8,H1096=M$9,H1096=M$10,H1096=M$11,H1096=M$12,H1096=M$13,H1096=M$14),SottocategorieEntrate[[#Headers],[Real Estate]],IF(OR(H1096=N$5,H1096=N$6,H1096=N$7,H1096=N$8,H1096=N$9,H1096=N$10,H1096=N$11,H1096=N$12,H1096=N$13,H1096=N$14),SottocategorieEntrate[[#Headers],[Other]],""))))))))))))</f>
        <v/>
      </c>
      <c r="J1096" t="str">
        <f>IF(OR(Dati[[#This Row],[Categoria]]="Bollette",Dati[[#This Row],[Categoria]]="Conto &amp; Carte BNL",Dati[[#This Row],[Categoria]]="Prelievo",Dati[[#This Row],[Categoria]]="Affitto",Dati[[#This Row],[Categoria]]="BNL(Interessi Creditori)"),"Carta",IF(Dati[[#This Row],[Categoria]]&lt;&gt;0,"Cash",""))</f>
        <v/>
      </c>
      <c r="K1096" s="59" t="str">
        <f>IF(OR(Data!$I1096=SottocategorieUscite[[#Headers],[Fuori Casa]],Data!$I1096=SottocategorieUscite[[#Headers],[Varie Uscite]],Data!$I1096=SottocategorieUscite[[#Headers],[Personali]],Data!$I1096=SottocategorieUscite[[#Headers],[Lavoro]]),"$ -","")</f>
        <v/>
      </c>
      <c r="L1096" s="59" t="str">
        <f>IF(OR(Data!$I1096=SottocategorieUscite[[#Headers],[Casa]],Data!$I1096=SottocategorieUscite[[#Headers],[Utenze]],Data!$I1096=SottocategorieUscite[[#Headers],[Business Uscite]],Data!$I1096=SottocategorieUscite[[#Headers],[Banca]]),"$ -","")</f>
        <v/>
      </c>
      <c r="M1096" s="59" t="str">
        <f>IF(OR($I1096&lt;&gt;SottocategorieUscite[[#Headers],[Fuori Casa]],$I1096&lt;&gt;SottocategorieUscite[[#Headers],[Varie Uscite]],$I1096&lt;&gt;SottocategorieUscite[[#Headers],[Personali]],$I1096&lt;&gt;SottocategorieUscite[[#Headers],[Lavoro]],$I1096&lt;&gt;SottocategorieUscite[[#Headers],[Casa]],$I1096&lt;&gt;SottocategorieUscite[[#Headers],[Utenze]],$I1096&lt;&gt;SottocategorieUscite[[#Headers],[Business Uscite]],$I1096&lt;&gt;SottocategorieUscite[[#Headers],[Banca]]),"","$ -")</f>
        <v/>
      </c>
      <c r="N1096" s="59" t="str">
        <f>IF(OR(Data!$I1096=SottocategorieEntrate[[#Headers],[Business Entrate]],Data!$I1096=SottocategorieEntrate[[#Headers],[Varie Entrate]]),"$ -","")</f>
        <v/>
      </c>
      <c r="O1096" s="59" t="str">
        <f>IF(OR(Data!$I1096=SottocategorieEntrate[[#Headers],[Real Estate]],SottocategorieEntrate[[#Headers],[Other]]),"$ -","")</f>
        <v/>
      </c>
      <c r="P1096" s="59" t="str">
        <f>IF(OR($I1096&lt;&gt;SottocategorieEntrate[[#Headers],[Business Entrate]],$I1096&lt;&gt;SottocategorieEntrate[[#Headers],[Varie Entrate]],$I1096&lt;&gt;SottocategorieEntrate[[#Headers],[Real Estate]],$I1096&lt;&gt;SottocategorieEntrate[[#Headers],[Other]]),"","$ -")</f>
        <v/>
      </c>
      <c r="Q1096" s="59" t="str">
        <f>IF(Dati[[#This Row],[Categoria]]="Prelievo","€ -","")</f>
        <v/>
      </c>
      <c r="R1096" s="244"/>
      <c r="S1096" s="59" t="str">
        <f>IF(Dati[[#This Row],[Categoria]]="Savings",0,"")</f>
        <v/>
      </c>
      <c r="T1096" s="59"/>
      <c r="U1096" s="59"/>
      <c r="V1096" s="59"/>
      <c r="W1096" s="59"/>
      <c r="X1096" s="59"/>
      <c r="Y1096" s="59"/>
      <c r="Z1096" s="59"/>
      <c r="AA1096" s="59"/>
      <c r="AB1096" s="59"/>
      <c r="AC1096" s="59"/>
      <c r="AD1096" s="59"/>
      <c r="AE1096" s="59"/>
      <c r="AF1096" s="59"/>
      <c r="AG1096" s="59"/>
      <c r="AH1096" s="59"/>
      <c r="AI1096" s="59" t="str">
        <f>IF(SUM(Dati[[#This Row],[Inv. Business]:[Inv. Cryptocurrency]])=0," ",SUM(Dati[[#This Row],[Inv. Business]:[Inv. Cryptocurrency]]))</f>
        <v xml:space="preserve"> </v>
      </c>
      <c r="AJ1096" s="59"/>
      <c r="AK1096" s="59" t="str">
        <f>IF(SUM(Dati[[#This Row],[Inv. Gold]:[Mutuo]])=0," ",SUM(Dati[[#This Row],[Inv. Gold]:[Mutuo]]))</f>
        <v xml:space="preserve"> </v>
      </c>
      <c r="AL1096" s="59"/>
      <c r="AM1096" s="59"/>
    </row>
    <row r="1097" spans="2:39" x14ac:dyDescent="0.35">
      <c r="B1097" s="237">
        <f t="shared" si="58"/>
        <v>1077</v>
      </c>
      <c r="C1097" s="49">
        <f t="shared" si="57"/>
        <v>45709</v>
      </c>
      <c r="D1097" s="29">
        <f>DAY(Dati[[#This Row],[Data]])</f>
        <v>21</v>
      </c>
      <c r="E1097" s="29" t="str">
        <f>IF(DAY(Data!$C$21:$C$1327)&gt;0,TEXT(Data!$C$21:$C$1327, "mmmm"),"")</f>
        <v>febbraio</v>
      </c>
      <c r="F1097" s="29" t="str">
        <f>IF(DAY(Data!$C$21:$C$1327)&gt;0,TEXT(Data!$C$21:$C$1327, "aaaa"),"")</f>
        <v>2025</v>
      </c>
      <c r="I1097" t="str">
        <f>IF(OR(H1097=$B$5,H1097=$B$6,H1097=$B$7,H1097=$B$8,H1097=$B$9,H1097=$B$10,H1097=$B$11,H1097=$B$12,H1097=$B$13,H1097=$B$14),SottocategorieUscite[[#Headers],[Fuori Casa]],IF(OR(H1097=$C$5,H1097=$C$6,H1097=$C$7,H1097=$C$8,H1097=$C$9,H1097=$C$10,H1097=$C$11,H1097=$C$12,H1097=$C$13,H1097=$C$14),SottocategorieUscite[[#Headers],[Varie Uscite]],IF(OR(H1097=$D$5,H1097=$D$6,H1097=$D$7,H1097=$D$8,H1097=$D$9,H1097=$D$10,H1097=$D$11,H1097=$D$12,H1097=$D$13,H1097=$D$14),SottocategorieUscite[[#Headers],[Personali]],IF(OR(H1097=$E$5,H1097=$E$6,H1097=$E$7,H1097=$E$8,H1097=$E$9,H1097=$E$10,H1097=$E$11,H1097=$E$12,H1097=$E$13,H1097=$E$14),SottocategorieUscite[[#Headers],[Lavoro]],IF(OR(H1097=$F$5,H1097=$F$6,H1097=$F$7,H1097=$F$8,H1097=$F$9,H1097=$F$10,H1097=$F$11,H1097=$F$12,H1097=$F$13,H1097=$F$14),SottocategorieUscite[[#Headers],[Casa]],IF(OR(H1097=$G$5,H1097=$G$6,H1097=$G$7,H1097=$G$8,H1097=$G$9,H1097=$G$10,H1097=$G$11,H1097=$G$12,H1097=$G$13,H1097=$G$14),SottocategorieUscite[[#Headers],[Utenze]],IF(OR(H1097=$H$5,H1097=$H$6,H1097=$H$7,H1097=$H$8,H1097=$H$9,H1097=$H$10,H1097=$H$11,H1097=$H$12,H1097=$H$13,H1097=$H$14),SottocategorieUscite[[#Headers],[Business Uscite]],IF(OR(H1097=$I$5,H1097=$I$6,H1097=$I$7,H1097=$I$8,H1097=$I$9,H1097=$I$10,H1097=$I$11,H1097=$I$12,H1097=$I$13,H1097=$I$14),SottocategorieUscite[[#Headers],[Banca]],IF(OR(H1097=K$5,H1097=K$6,H1097=K$7,H1097=K$8,H1097=K$9,H1097=K$10,H1097=K$11,H1097=K$12,H1097=K$13,H1097=K$14),SottocategorieEntrate[[#Headers],[Business Entrate]],IF(OR(H1097=L$5,H1097=L$6,H1097=L$7,H1097=L$8,H1097=L$9,H1097=L$10,H1097=L$11,H1097=L$12,H1097=L$13,H1097=L$14),SottocategorieEntrate[[#Headers],[Varie Entrate]],IF(OR(H1097=M$5,H1097=M$6,H1097=M$7,H1097=M$8,H1097=M$9,H1097=M$10,H1097=M$11,H1097=M$12,H1097=M$13,H1097=M$14),SottocategorieEntrate[[#Headers],[Real Estate]],IF(OR(H1097=N$5,H1097=N$6,H1097=N$7,H1097=N$8,H1097=N$9,H1097=N$10,H1097=N$11,H1097=N$12,H1097=N$13,H1097=N$14),SottocategorieEntrate[[#Headers],[Other]],""))))))))))))</f>
        <v/>
      </c>
      <c r="J1097" t="str">
        <f>IF(OR(Dati[[#This Row],[Categoria]]="Bollette",Dati[[#This Row],[Categoria]]="Conto &amp; Carte BNL",Dati[[#This Row],[Categoria]]="Prelievo",Dati[[#This Row],[Categoria]]="Affitto",Dati[[#This Row],[Categoria]]="BNL(Interessi Creditori)"),"Carta",IF(Dati[[#This Row],[Categoria]]&lt;&gt;0,"Cash",""))</f>
        <v/>
      </c>
      <c r="K1097" s="59" t="str">
        <f>IF(OR(Data!$I1097=SottocategorieUscite[[#Headers],[Fuori Casa]],Data!$I1097=SottocategorieUscite[[#Headers],[Varie Uscite]],Data!$I1097=SottocategorieUscite[[#Headers],[Personali]],Data!$I1097=SottocategorieUscite[[#Headers],[Lavoro]]),"$ -","")</f>
        <v/>
      </c>
      <c r="L1097" s="59" t="str">
        <f>IF(OR(Data!$I1097=SottocategorieUscite[[#Headers],[Casa]],Data!$I1097=SottocategorieUscite[[#Headers],[Utenze]],Data!$I1097=SottocategorieUscite[[#Headers],[Business Uscite]],Data!$I1097=SottocategorieUscite[[#Headers],[Banca]]),"$ -","")</f>
        <v/>
      </c>
      <c r="M1097" s="59" t="str">
        <f>IF(OR($I1097&lt;&gt;SottocategorieUscite[[#Headers],[Fuori Casa]],$I1097&lt;&gt;SottocategorieUscite[[#Headers],[Varie Uscite]],$I1097&lt;&gt;SottocategorieUscite[[#Headers],[Personali]],$I1097&lt;&gt;SottocategorieUscite[[#Headers],[Lavoro]],$I1097&lt;&gt;SottocategorieUscite[[#Headers],[Casa]],$I1097&lt;&gt;SottocategorieUscite[[#Headers],[Utenze]],$I1097&lt;&gt;SottocategorieUscite[[#Headers],[Business Uscite]],$I1097&lt;&gt;SottocategorieUscite[[#Headers],[Banca]]),"","$ -")</f>
        <v/>
      </c>
      <c r="N1097" s="59" t="str">
        <f>IF(OR(Data!$I1097=SottocategorieEntrate[[#Headers],[Business Entrate]],Data!$I1097=SottocategorieEntrate[[#Headers],[Varie Entrate]]),"$ -","")</f>
        <v/>
      </c>
      <c r="O1097" s="59" t="str">
        <f>IF(OR(Data!$I1097=SottocategorieEntrate[[#Headers],[Real Estate]],SottocategorieEntrate[[#Headers],[Other]]),"$ -","")</f>
        <v/>
      </c>
      <c r="P1097" s="59" t="str">
        <f>IF(OR($I1097&lt;&gt;SottocategorieEntrate[[#Headers],[Business Entrate]],$I1097&lt;&gt;SottocategorieEntrate[[#Headers],[Varie Entrate]],$I1097&lt;&gt;SottocategorieEntrate[[#Headers],[Real Estate]],$I1097&lt;&gt;SottocategorieEntrate[[#Headers],[Other]]),"","$ -")</f>
        <v/>
      </c>
      <c r="Q1097" s="59" t="str">
        <f>IF(Dati[[#This Row],[Categoria]]="Prelievo","€ -","")</f>
        <v/>
      </c>
      <c r="R1097" s="244"/>
      <c r="S1097" s="59" t="str">
        <f>IF(Dati[[#This Row],[Categoria]]="Savings",0,"")</f>
        <v/>
      </c>
      <c r="T1097" s="59"/>
      <c r="U1097" s="59"/>
      <c r="V1097" s="59"/>
      <c r="W1097" s="59"/>
      <c r="X1097" s="59"/>
      <c r="Y1097" s="59"/>
      <c r="Z1097" s="59"/>
      <c r="AA1097" s="59"/>
      <c r="AB1097" s="59"/>
      <c r="AC1097" s="59"/>
      <c r="AD1097" s="59"/>
      <c r="AE1097" s="59"/>
      <c r="AF1097" s="59"/>
      <c r="AG1097" s="59"/>
      <c r="AH1097" s="59"/>
      <c r="AI1097" s="59" t="str">
        <f>IF(SUM(Dati[[#This Row],[Inv. Business]:[Inv. Cryptocurrency]])=0," ",SUM(Dati[[#This Row],[Inv. Business]:[Inv. Cryptocurrency]]))</f>
        <v xml:space="preserve"> </v>
      </c>
      <c r="AJ1097" s="59"/>
      <c r="AK1097" s="59" t="str">
        <f>IF(SUM(Dati[[#This Row],[Inv. Gold]:[Mutuo]])=0," ",SUM(Dati[[#This Row],[Inv. Gold]:[Mutuo]]))</f>
        <v xml:space="preserve"> </v>
      </c>
      <c r="AL1097" s="59"/>
      <c r="AM1097" s="59"/>
    </row>
    <row r="1098" spans="2:39" x14ac:dyDescent="0.35">
      <c r="B1098" s="237">
        <f t="shared" si="58"/>
        <v>1078</v>
      </c>
      <c r="C1098" s="49">
        <f t="shared" si="57"/>
        <v>45710</v>
      </c>
      <c r="D1098" s="29">
        <f>DAY(Dati[[#This Row],[Data]])</f>
        <v>22</v>
      </c>
      <c r="E1098" s="29" t="str">
        <f>IF(DAY(Data!$C$21:$C$1327)&gt;0,TEXT(Data!$C$21:$C$1327, "mmmm"),"")</f>
        <v>febbraio</v>
      </c>
      <c r="F1098" s="29" t="str">
        <f>IF(DAY(Data!$C$21:$C$1327)&gt;0,TEXT(Data!$C$21:$C$1327, "aaaa"),"")</f>
        <v>2025</v>
      </c>
      <c r="I1098" t="str">
        <f>IF(OR(H1098=$B$5,H1098=$B$6,H1098=$B$7,H1098=$B$8,H1098=$B$9,H1098=$B$10,H1098=$B$11,H1098=$B$12,H1098=$B$13,H1098=$B$14),SottocategorieUscite[[#Headers],[Fuori Casa]],IF(OR(H1098=$C$5,H1098=$C$6,H1098=$C$7,H1098=$C$8,H1098=$C$9,H1098=$C$10,H1098=$C$11,H1098=$C$12,H1098=$C$13,H1098=$C$14),SottocategorieUscite[[#Headers],[Varie Uscite]],IF(OR(H1098=$D$5,H1098=$D$6,H1098=$D$7,H1098=$D$8,H1098=$D$9,H1098=$D$10,H1098=$D$11,H1098=$D$12,H1098=$D$13,H1098=$D$14),SottocategorieUscite[[#Headers],[Personali]],IF(OR(H1098=$E$5,H1098=$E$6,H1098=$E$7,H1098=$E$8,H1098=$E$9,H1098=$E$10,H1098=$E$11,H1098=$E$12,H1098=$E$13,H1098=$E$14),SottocategorieUscite[[#Headers],[Lavoro]],IF(OR(H1098=$F$5,H1098=$F$6,H1098=$F$7,H1098=$F$8,H1098=$F$9,H1098=$F$10,H1098=$F$11,H1098=$F$12,H1098=$F$13,H1098=$F$14),SottocategorieUscite[[#Headers],[Casa]],IF(OR(H1098=$G$5,H1098=$G$6,H1098=$G$7,H1098=$G$8,H1098=$G$9,H1098=$G$10,H1098=$G$11,H1098=$G$12,H1098=$G$13,H1098=$G$14),SottocategorieUscite[[#Headers],[Utenze]],IF(OR(H1098=$H$5,H1098=$H$6,H1098=$H$7,H1098=$H$8,H1098=$H$9,H1098=$H$10,H1098=$H$11,H1098=$H$12,H1098=$H$13,H1098=$H$14),SottocategorieUscite[[#Headers],[Business Uscite]],IF(OR(H1098=$I$5,H1098=$I$6,H1098=$I$7,H1098=$I$8,H1098=$I$9,H1098=$I$10,H1098=$I$11,H1098=$I$12,H1098=$I$13,H1098=$I$14),SottocategorieUscite[[#Headers],[Banca]],IF(OR(H1098=K$5,H1098=K$6,H1098=K$7,H1098=K$8,H1098=K$9,H1098=K$10,H1098=K$11,H1098=K$12,H1098=K$13,H1098=K$14),SottocategorieEntrate[[#Headers],[Business Entrate]],IF(OR(H1098=L$5,H1098=L$6,H1098=L$7,H1098=L$8,H1098=L$9,H1098=L$10,H1098=L$11,H1098=L$12,H1098=L$13,H1098=L$14),SottocategorieEntrate[[#Headers],[Varie Entrate]],IF(OR(H1098=M$5,H1098=M$6,H1098=M$7,H1098=M$8,H1098=M$9,H1098=M$10,H1098=M$11,H1098=M$12,H1098=M$13,H1098=M$14),SottocategorieEntrate[[#Headers],[Real Estate]],IF(OR(H1098=N$5,H1098=N$6,H1098=N$7,H1098=N$8,H1098=N$9,H1098=N$10,H1098=N$11,H1098=N$12,H1098=N$13,H1098=N$14),SottocategorieEntrate[[#Headers],[Other]],""))))))))))))</f>
        <v/>
      </c>
      <c r="J1098" t="str">
        <f>IF(OR(Dati[[#This Row],[Categoria]]="Bollette",Dati[[#This Row],[Categoria]]="Conto &amp; Carte BNL",Dati[[#This Row],[Categoria]]="Prelievo",Dati[[#This Row],[Categoria]]="Affitto",Dati[[#This Row],[Categoria]]="BNL(Interessi Creditori)"),"Carta",IF(Dati[[#This Row],[Categoria]]&lt;&gt;0,"Cash",""))</f>
        <v/>
      </c>
      <c r="K1098" s="59" t="str">
        <f>IF(OR(Data!$I1098=SottocategorieUscite[[#Headers],[Fuori Casa]],Data!$I1098=SottocategorieUscite[[#Headers],[Varie Uscite]],Data!$I1098=SottocategorieUscite[[#Headers],[Personali]],Data!$I1098=SottocategorieUscite[[#Headers],[Lavoro]]),"$ -","")</f>
        <v/>
      </c>
      <c r="L1098" s="59" t="str">
        <f>IF(OR(Data!$I1098=SottocategorieUscite[[#Headers],[Casa]],Data!$I1098=SottocategorieUscite[[#Headers],[Utenze]],Data!$I1098=SottocategorieUscite[[#Headers],[Business Uscite]],Data!$I1098=SottocategorieUscite[[#Headers],[Banca]]),"$ -","")</f>
        <v/>
      </c>
      <c r="M1098" s="59" t="str">
        <f>IF(OR($I1098&lt;&gt;SottocategorieUscite[[#Headers],[Fuori Casa]],$I1098&lt;&gt;SottocategorieUscite[[#Headers],[Varie Uscite]],$I1098&lt;&gt;SottocategorieUscite[[#Headers],[Personali]],$I1098&lt;&gt;SottocategorieUscite[[#Headers],[Lavoro]],$I1098&lt;&gt;SottocategorieUscite[[#Headers],[Casa]],$I1098&lt;&gt;SottocategorieUscite[[#Headers],[Utenze]],$I1098&lt;&gt;SottocategorieUscite[[#Headers],[Business Uscite]],$I1098&lt;&gt;SottocategorieUscite[[#Headers],[Banca]]),"","$ -")</f>
        <v/>
      </c>
      <c r="N1098" s="59" t="str">
        <f>IF(OR(Data!$I1098=SottocategorieEntrate[[#Headers],[Business Entrate]],Data!$I1098=SottocategorieEntrate[[#Headers],[Varie Entrate]]),"$ -","")</f>
        <v/>
      </c>
      <c r="O1098" s="59" t="str">
        <f>IF(OR(Data!$I1098=SottocategorieEntrate[[#Headers],[Real Estate]],SottocategorieEntrate[[#Headers],[Other]]),"$ -","")</f>
        <v/>
      </c>
      <c r="P1098" s="59" t="str">
        <f>IF(OR($I1098&lt;&gt;SottocategorieEntrate[[#Headers],[Business Entrate]],$I1098&lt;&gt;SottocategorieEntrate[[#Headers],[Varie Entrate]],$I1098&lt;&gt;SottocategorieEntrate[[#Headers],[Real Estate]],$I1098&lt;&gt;SottocategorieEntrate[[#Headers],[Other]]),"","$ -")</f>
        <v/>
      </c>
      <c r="Q1098" s="59" t="str">
        <f>IF(Dati[[#This Row],[Categoria]]="Prelievo","€ -","")</f>
        <v/>
      </c>
      <c r="R1098" s="244"/>
      <c r="S1098" s="59" t="str">
        <f>IF(Dati[[#This Row],[Categoria]]="Savings",0,"")</f>
        <v/>
      </c>
      <c r="T1098" s="59"/>
      <c r="U1098" s="59"/>
      <c r="V1098" s="59"/>
      <c r="W1098" s="59"/>
      <c r="X1098" s="59"/>
      <c r="Y1098" s="59"/>
      <c r="Z1098" s="59"/>
      <c r="AA1098" s="59"/>
      <c r="AB1098" s="59"/>
      <c r="AC1098" s="59"/>
      <c r="AD1098" s="59"/>
      <c r="AE1098" s="59"/>
      <c r="AF1098" s="59"/>
      <c r="AG1098" s="59"/>
      <c r="AH1098" s="59"/>
      <c r="AI1098" s="59" t="str">
        <f>IF(SUM(Dati[[#This Row],[Inv. Business]:[Inv. Cryptocurrency]])=0," ",SUM(Dati[[#This Row],[Inv. Business]:[Inv. Cryptocurrency]]))</f>
        <v xml:space="preserve"> </v>
      </c>
      <c r="AJ1098" s="59"/>
      <c r="AK1098" s="59" t="str">
        <f>IF(SUM(Dati[[#This Row],[Inv. Gold]:[Mutuo]])=0," ",SUM(Dati[[#This Row],[Inv. Gold]:[Mutuo]]))</f>
        <v xml:space="preserve"> </v>
      </c>
      <c r="AL1098" s="59"/>
      <c r="AM1098" s="59"/>
    </row>
    <row r="1099" spans="2:39" x14ac:dyDescent="0.35">
      <c r="B1099" s="237">
        <f t="shared" si="58"/>
        <v>1079</v>
      </c>
      <c r="C1099" s="49">
        <f t="shared" si="57"/>
        <v>45711</v>
      </c>
      <c r="D1099" s="29">
        <f>DAY(Dati[[#This Row],[Data]])</f>
        <v>23</v>
      </c>
      <c r="E1099" s="29" t="str">
        <f>IF(DAY(Data!$C$21:$C$1327)&gt;0,TEXT(Data!$C$21:$C$1327, "mmmm"),"")</f>
        <v>febbraio</v>
      </c>
      <c r="F1099" s="29" t="str">
        <f>IF(DAY(Data!$C$21:$C$1327)&gt;0,TEXT(Data!$C$21:$C$1327, "aaaa"),"")</f>
        <v>2025</v>
      </c>
      <c r="I1099" t="str">
        <f>IF(OR(H1099=$B$5,H1099=$B$6,H1099=$B$7,H1099=$B$8,H1099=$B$9,H1099=$B$10,H1099=$B$11,H1099=$B$12,H1099=$B$13,H1099=$B$14),SottocategorieUscite[[#Headers],[Fuori Casa]],IF(OR(H1099=$C$5,H1099=$C$6,H1099=$C$7,H1099=$C$8,H1099=$C$9,H1099=$C$10,H1099=$C$11,H1099=$C$12,H1099=$C$13,H1099=$C$14),SottocategorieUscite[[#Headers],[Varie Uscite]],IF(OR(H1099=$D$5,H1099=$D$6,H1099=$D$7,H1099=$D$8,H1099=$D$9,H1099=$D$10,H1099=$D$11,H1099=$D$12,H1099=$D$13,H1099=$D$14),SottocategorieUscite[[#Headers],[Personali]],IF(OR(H1099=$E$5,H1099=$E$6,H1099=$E$7,H1099=$E$8,H1099=$E$9,H1099=$E$10,H1099=$E$11,H1099=$E$12,H1099=$E$13,H1099=$E$14),SottocategorieUscite[[#Headers],[Lavoro]],IF(OR(H1099=$F$5,H1099=$F$6,H1099=$F$7,H1099=$F$8,H1099=$F$9,H1099=$F$10,H1099=$F$11,H1099=$F$12,H1099=$F$13,H1099=$F$14),SottocategorieUscite[[#Headers],[Casa]],IF(OR(H1099=$G$5,H1099=$G$6,H1099=$G$7,H1099=$G$8,H1099=$G$9,H1099=$G$10,H1099=$G$11,H1099=$G$12,H1099=$G$13,H1099=$G$14),SottocategorieUscite[[#Headers],[Utenze]],IF(OR(H1099=$H$5,H1099=$H$6,H1099=$H$7,H1099=$H$8,H1099=$H$9,H1099=$H$10,H1099=$H$11,H1099=$H$12,H1099=$H$13,H1099=$H$14),SottocategorieUscite[[#Headers],[Business Uscite]],IF(OR(H1099=$I$5,H1099=$I$6,H1099=$I$7,H1099=$I$8,H1099=$I$9,H1099=$I$10,H1099=$I$11,H1099=$I$12,H1099=$I$13,H1099=$I$14),SottocategorieUscite[[#Headers],[Banca]],IF(OR(H1099=K$5,H1099=K$6,H1099=K$7,H1099=K$8,H1099=K$9,H1099=K$10,H1099=K$11,H1099=K$12,H1099=K$13,H1099=K$14),SottocategorieEntrate[[#Headers],[Business Entrate]],IF(OR(H1099=L$5,H1099=L$6,H1099=L$7,H1099=L$8,H1099=L$9,H1099=L$10,H1099=L$11,H1099=L$12,H1099=L$13,H1099=L$14),SottocategorieEntrate[[#Headers],[Varie Entrate]],IF(OR(H1099=M$5,H1099=M$6,H1099=M$7,H1099=M$8,H1099=M$9,H1099=M$10,H1099=M$11,H1099=M$12,H1099=M$13,H1099=M$14),SottocategorieEntrate[[#Headers],[Real Estate]],IF(OR(H1099=N$5,H1099=N$6,H1099=N$7,H1099=N$8,H1099=N$9,H1099=N$10,H1099=N$11,H1099=N$12,H1099=N$13,H1099=N$14),SottocategorieEntrate[[#Headers],[Other]],""))))))))))))</f>
        <v/>
      </c>
      <c r="J1099" t="str">
        <f>IF(OR(Dati[[#This Row],[Categoria]]="Bollette",Dati[[#This Row],[Categoria]]="Conto &amp; Carte BNL",Dati[[#This Row],[Categoria]]="Prelievo",Dati[[#This Row],[Categoria]]="Affitto",Dati[[#This Row],[Categoria]]="BNL(Interessi Creditori)"),"Carta",IF(Dati[[#This Row],[Categoria]]&lt;&gt;0,"Cash",""))</f>
        <v/>
      </c>
      <c r="K1099" s="59" t="str">
        <f>IF(OR(Data!$I1099=SottocategorieUscite[[#Headers],[Fuori Casa]],Data!$I1099=SottocategorieUscite[[#Headers],[Varie Uscite]],Data!$I1099=SottocategorieUscite[[#Headers],[Personali]],Data!$I1099=SottocategorieUscite[[#Headers],[Lavoro]]),"$ -","")</f>
        <v/>
      </c>
      <c r="L1099" s="59" t="str">
        <f>IF(OR(Data!$I1099=SottocategorieUscite[[#Headers],[Casa]],Data!$I1099=SottocategorieUscite[[#Headers],[Utenze]],Data!$I1099=SottocategorieUscite[[#Headers],[Business Uscite]],Data!$I1099=SottocategorieUscite[[#Headers],[Banca]]),"$ -","")</f>
        <v/>
      </c>
      <c r="M1099" s="59" t="str">
        <f>IF(OR($I1099&lt;&gt;SottocategorieUscite[[#Headers],[Fuori Casa]],$I1099&lt;&gt;SottocategorieUscite[[#Headers],[Varie Uscite]],$I1099&lt;&gt;SottocategorieUscite[[#Headers],[Personali]],$I1099&lt;&gt;SottocategorieUscite[[#Headers],[Lavoro]],$I1099&lt;&gt;SottocategorieUscite[[#Headers],[Casa]],$I1099&lt;&gt;SottocategorieUscite[[#Headers],[Utenze]],$I1099&lt;&gt;SottocategorieUscite[[#Headers],[Business Uscite]],$I1099&lt;&gt;SottocategorieUscite[[#Headers],[Banca]]),"","$ -")</f>
        <v/>
      </c>
      <c r="N1099" s="59" t="str">
        <f>IF(OR(Data!$I1099=SottocategorieEntrate[[#Headers],[Business Entrate]],Data!$I1099=SottocategorieEntrate[[#Headers],[Varie Entrate]]),"$ -","")</f>
        <v/>
      </c>
      <c r="O1099" s="59" t="str">
        <f>IF(OR(Data!$I1099=SottocategorieEntrate[[#Headers],[Real Estate]],SottocategorieEntrate[[#Headers],[Other]]),"$ -","")</f>
        <v/>
      </c>
      <c r="P1099" s="59" t="str">
        <f>IF(OR($I1099&lt;&gt;SottocategorieEntrate[[#Headers],[Business Entrate]],$I1099&lt;&gt;SottocategorieEntrate[[#Headers],[Varie Entrate]],$I1099&lt;&gt;SottocategorieEntrate[[#Headers],[Real Estate]],$I1099&lt;&gt;SottocategorieEntrate[[#Headers],[Other]]),"","$ -")</f>
        <v/>
      </c>
      <c r="Q1099" s="59" t="str">
        <f>IF(Dati[[#This Row],[Categoria]]="Prelievo","€ -","")</f>
        <v/>
      </c>
      <c r="R1099" s="244"/>
      <c r="S1099" s="59" t="str">
        <f>IF(Dati[[#This Row],[Categoria]]="Savings",0,"")</f>
        <v/>
      </c>
      <c r="T1099" s="59"/>
      <c r="U1099" s="59"/>
      <c r="V1099" s="59"/>
      <c r="W1099" s="59"/>
      <c r="X1099" s="59"/>
      <c r="Y1099" s="59"/>
      <c r="Z1099" s="59"/>
      <c r="AA1099" s="59"/>
      <c r="AB1099" s="59"/>
      <c r="AC1099" s="59"/>
      <c r="AD1099" s="59"/>
      <c r="AE1099" s="59"/>
      <c r="AF1099" s="59"/>
      <c r="AG1099" s="59"/>
      <c r="AH1099" s="59"/>
      <c r="AI1099" s="59" t="str">
        <f>IF(SUM(Dati[[#This Row],[Inv. Business]:[Inv. Cryptocurrency]])=0," ",SUM(Dati[[#This Row],[Inv. Business]:[Inv. Cryptocurrency]]))</f>
        <v xml:space="preserve"> </v>
      </c>
      <c r="AJ1099" s="59"/>
      <c r="AK1099" s="59" t="str">
        <f>IF(SUM(Dati[[#This Row],[Inv. Gold]:[Mutuo]])=0," ",SUM(Dati[[#This Row],[Inv. Gold]:[Mutuo]]))</f>
        <v xml:space="preserve"> </v>
      </c>
      <c r="AL1099" s="59"/>
      <c r="AM1099" s="59"/>
    </row>
    <row r="1100" spans="2:39" x14ac:dyDescent="0.35">
      <c r="B1100" s="237">
        <f t="shared" si="58"/>
        <v>1080</v>
      </c>
      <c r="C1100" s="49">
        <f t="shared" si="57"/>
        <v>45712</v>
      </c>
      <c r="D1100" s="29">
        <f>DAY(Dati[[#This Row],[Data]])</f>
        <v>24</v>
      </c>
      <c r="E1100" s="29" t="str">
        <f>IF(DAY(Data!$C$21:$C$1327)&gt;0,TEXT(Data!$C$21:$C$1327, "mmmm"),"")</f>
        <v>febbraio</v>
      </c>
      <c r="F1100" s="29" t="str">
        <f>IF(DAY(Data!$C$21:$C$1327)&gt;0,TEXT(Data!$C$21:$C$1327, "aaaa"),"")</f>
        <v>2025</v>
      </c>
      <c r="I1100" t="str">
        <f>IF(OR(H1100=$B$5,H1100=$B$6,H1100=$B$7,H1100=$B$8,H1100=$B$9,H1100=$B$10,H1100=$B$11,H1100=$B$12,H1100=$B$13,H1100=$B$14),SottocategorieUscite[[#Headers],[Fuori Casa]],IF(OR(H1100=$C$5,H1100=$C$6,H1100=$C$7,H1100=$C$8,H1100=$C$9,H1100=$C$10,H1100=$C$11,H1100=$C$12,H1100=$C$13,H1100=$C$14),SottocategorieUscite[[#Headers],[Varie Uscite]],IF(OR(H1100=$D$5,H1100=$D$6,H1100=$D$7,H1100=$D$8,H1100=$D$9,H1100=$D$10,H1100=$D$11,H1100=$D$12,H1100=$D$13,H1100=$D$14),SottocategorieUscite[[#Headers],[Personali]],IF(OR(H1100=$E$5,H1100=$E$6,H1100=$E$7,H1100=$E$8,H1100=$E$9,H1100=$E$10,H1100=$E$11,H1100=$E$12,H1100=$E$13,H1100=$E$14),SottocategorieUscite[[#Headers],[Lavoro]],IF(OR(H1100=$F$5,H1100=$F$6,H1100=$F$7,H1100=$F$8,H1100=$F$9,H1100=$F$10,H1100=$F$11,H1100=$F$12,H1100=$F$13,H1100=$F$14),SottocategorieUscite[[#Headers],[Casa]],IF(OR(H1100=$G$5,H1100=$G$6,H1100=$G$7,H1100=$G$8,H1100=$G$9,H1100=$G$10,H1100=$G$11,H1100=$G$12,H1100=$G$13,H1100=$G$14),SottocategorieUscite[[#Headers],[Utenze]],IF(OR(H1100=$H$5,H1100=$H$6,H1100=$H$7,H1100=$H$8,H1100=$H$9,H1100=$H$10,H1100=$H$11,H1100=$H$12,H1100=$H$13,H1100=$H$14),SottocategorieUscite[[#Headers],[Business Uscite]],IF(OR(H1100=$I$5,H1100=$I$6,H1100=$I$7,H1100=$I$8,H1100=$I$9,H1100=$I$10,H1100=$I$11,H1100=$I$12,H1100=$I$13,H1100=$I$14),SottocategorieUscite[[#Headers],[Banca]],IF(OR(H1100=K$5,H1100=K$6,H1100=K$7,H1100=K$8,H1100=K$9,H1100=K$10,H1100=K$11,H1100=K$12,H1100=K$13,H1100=K$14),SottocategorieEntrate[[#Headers],[Business Entrate]],IF(OR(H1100=L$5,H1100=L$6,H1100=L$7,H1100=L$8,H1100=L$9,H1100=L$10,H1100=L$11,H1100=L$12,H1100=L$13,H1100=L$14),SottocategorieEntrate[[#Headers],[Varie Entrate]],IF(OR(H1100=M$5,H1100=M$6,H1100=M$7,H1100=M$8,H1100=M$9,H1100=M$10,H1100=M$11,H1100=M$12,H1100=M$13,H1100=M$14),SottocategorieEntrate[[#Headers],[Real Estate]],IF(OR(H1100=N$5,H1100=N$6,H1100=N$7,H1100=N$8,H1100=N$9,H1100=N$10,H1100=N$11,H1100=N$12,H1100=N$13,H1100=N$14),SottocategorieEntrate[[#Headers],[Other]],""))))))))))))</f>
        <v/>
      </c>
      <c r="J1100" t="str">
        <f>IF(OR(Dati[[#This Row],[Categoria]]="Bollette",Dati[[#This Row],[Categoria]]="Conto &amp; Carte BNL",Dati[[#This Row],[Categoria]]="Prelievo",Dati[[#This Row],[Categoria]]="Affitto",Dati[[#This Row],[Categoria]]="BNL(Interessi Creditori)"),"Carta",IF(Dati[[#This Row],[Categoria]]&lt;&gt;0,"Cash",""))</f>
        <v/>
      </c>
      <c r="K1100" s="59" t="str">
        <f>IF(OR(Data!$I1100=SottocategorieUscite[[#Headers],[Fuori Casa]],Data!$I1100=SottocategorieUscite[[#Headers],[Varie Uscite]],Data!$I1100=SottocategorieUscite[[#Headers],[Personali]],Data!$I1100=SottocategorieUscite[[#Headers],[Lavoro]]),"$ -","")</f>
        <v/>
      </c>
      <c r="L1100" s="59" t="str">
        <f>IF(OR(Data!$I1100=SottocategorieUscite[[#Headers],[Casa]],Data!$I1100=SottocategorieUscite[[#Headers],[Utenze]],Data!$I1100=SottocategorieUscite[[#Headers],[Business Uscite]],Data!$I1100=SottocategorieUscite[[#Headers],[Banca]]),"$ -","")</f>
        <v/>
      </c>
      <c r="M1100" s="59" t="str">
        <f>IF(OR($I1100&lt;&gt;SottocategorieUscite[[#Headers],[Fuori Casa]],$I1100&lt;&gt;SottocategorieUscite[[#Headers],[Varie Uscite]],$I1100&lt;&gt;SottocategorieUscite[[#Headers],[Personali]],$I1100&lt;&gt;SottocategorieUscite[[#Headers],[Lavoro]],$I1100&lt;&gt;SottocategorieUscite[[#Headers],[Casa]],$I1100&lt;&gt;SottocategorieUscite[[#Headers],[Utenze]],$I1100&lt;&gt;SottocategorieUscite[[#Headers],[Business Uscite]],$I1100&lt;&gt;SottocategorieUscite[[#Headers],[Banca]]),"","$ -")</f>
        <v/>
      </c>
      <c r="N1100" s="59" t="str">
        <f>IF(OR(Data!$I1100=SottocategorieEntrate[[#Headers],[Business Entrate]],Data!$I1100=SottocategorieEntrate[[#Headers],[Varie Entrate]]),"$ -","")</f>
        <v/>
      </c>
      <c r="O1100" s="59" t="str">
        <f>IF(OR(Data!$I1100=SottocategorieEntrate[[#Headers],[Real Estate]],SottocategorieEntrate[[#Headers],[Other]]),"$ -","")</f>
        <v/>
      </c>
      <c r="P1100" s="59" t="str">
        <f>IF(OR($I1100&lt;&gt;SottocategorieEntrate[[#Headers],[Business Entrate]],$I1100&lt;&gt;SottocategorieEntrate[[#Headers],[Varie Entrate]],$I1100&lt;&gt;SottocategorieEntrate[[#Headers],[Real Estate]],$I1100&lt;&gt;SottocategorieEntrate[[#Headers],[Other]]),"","$ -")</f>
        <v/>
      </c>
      <c r="Q1100" s="59" t="str">
        <f>IF(Dati[[#This Row],[Categoria]]="Prelievo","€ -","")</f>
        <v/>
      </c>
      <c r="R1100" s="244"/>
      <c r="S1100" s="59" t="str">
        <f>IF(Dati[[#This Row],[Categoria]]="Savings",0,"")</f>
        <v/>
      </c>
      <c r="T1100" s="59"/>
      <c r="U1100" s="59"/>
      <c r="V1100" s="59"/>
      <c r="W1100" s="59"/>
      <c r="X1100" s="59"/>
      <c r="Y1100" s="59"/>
      <c r="Z1100" s="59"/>
      <c r="AA1100" s="59"/>
      <c r="AB1100" s="59"/>
      <c r="AC1100" s="59"/>
      <c r="AD1100" s="59"/>
      <c r="AE1100" s="59"/>
      <c r="AF1100" s="59"/>
      <c r="AG1100" s="59"/>
      <c r="AH1100" s="59"/>
      <c r="AI1100" s="59" t="str">
        <f>IF(SUM(Dati[[#This Row],[Inv. Business]:[Inv. Cryptocurrency]])=0," ",SUM(Dati[[#This Row],[Inv. Business]:[Inv. Cryptocurrency]]))</f>
        <v xml:space="preserve"> </v>
      </c>
      <c r="AJ1100" s="59"/>
      <c r="AK1100" s="59" t="str">
        <f>IF(SUM(Dati[[#This Row],[Inv. Gold]:[Mutuo]])=0," ",SUM(Dati[[#This Row],[Inv. Gold]:[Mutuo]]))</f>
        <v xml:space="preserve"> </v>
      </c>
      <c r="AL1100" s="59"/>
      <c r="AM1100" s="59"/>
    </row>
    <row r="1101" spans="2:39" x14ac:dyDescent="0.35">
      <c r="B1101" s="237">
        <f t="shared" si="58"/>
        <v>1081</v>
      </c>
      <c r="C1101" s="49">
        <f t="shared" si="57"/>
        <v>45713</v>
      </c>
      <c r="D1101" s="29">
        <f>DAY(Dati[[#This Row],[Data]])</f>
        <v>25</v>
      </c>
      <c r="E1101" s="29" t="str">
        <f>IF(DAY(Data!$C$21:$C$1327)&gt;0,TEXT(Data!$C$21:$C$1327, "mmmm"),"")</f>
        <v>febbraio</v>
      </c>
      <c r="F1101" s="29" t="str">
        <f>IF(DAY(Data!$C$21:$C$1327)&gt;0,TEXT(Data!$C$21:$C$1327, "aaaa"),"")</f>
        <v>2025</v>
      </c>
      <c r="I1101" t="str">
        <f>IF(OR(H1101=$B$5,H1101=$B$6,H1101=$B$7,H1101=$B$8,H1101=$B$9,H1101=$B$10,H1101=$B$11,H1101=$B$12,H1101=$B$13,H1101=$B$14),SottocategorieUscite[[#Headers],[Fuori Casa]],IF(OR(H1101=$C$5,H1101=$C$6,H1101=$C$7,H1101=$C$8,H1101=$C$9,H1101=$C$10,H1101=$C$11,H1101=$C$12,H1101=$C$13,H1101=$C$14),SottocategorieUscite[[#Headers],[Varie Uscite]],IF(OR(H1101=$D$5,H1101=$D$6,H1101=$D$7,H1101=$D$8,H1101=$D$9,H1101=$D$10,H1101=$D$11,H1101=$D$12,H1101=$D$13,H1101=$D$14),SottocategorieUscite[[#Headers],[Personali]],IF(OR(H1101=$E$5,H1101=$E$6,H1101=$E$7,H1101=$E$8,H1101=$E$9,H1101=$E$10,H1101=$E$11,H1101=$E$12,H1101=$E$13,H1101=$E$14),SottocategorieUscite[[#Headers],[Lavoro]],IF(OR(H1101=$F$5,H1101=$F$6,H1101=$F$7,H1101=$F$8,H1101=$F$9,H1101=$F$10,H1101=$F$11,H1101=$F$12,H1101=$F$13,H1101=$F$14),SottocategorieUscite[[#Headers],[Casa]],IF(OR(H1101=$G$5,H1101=$G$6,H1101=$G$7,H1101=$G$8,H1101=$G$9,H1101=$G$10,H1101=$G$11,H1101=$G$12,H1101=$G$13,H1101=$G$14),SottocategorieUscite[[#Headers],[Utenze]],IF(OR(H1101=$H$5,H1101=$H$6,H1101=$H$7,H1101=$H$8,H1101=$H$9,H1101=$H$10,H1101=$H$11,H1101=$H$12,H1101=$H$13,H1101=$H$14),SottocategorieUscite[[#Headers],[Business Uscite]],IF(OR(H1101=$I$5,H1101=$I$6,H1101=$I$7,H1101=$I$8,H1101=$I$9,H1101=$I$10,H1101=$I$11,H1101=$I$12,H1101=$I$13,H1101=$I$14),SottocategorieUscite[[#Headers],[Banca]],IF(OR(H1101=K$5,H1101=K$6,H1101=K$7,H1101=K$8,H1101=K$9,H1101=K$10,H1101=K$11,H1101=K$12,H1101=K$13,H1101=K$14),SottocategorieEntrate[[#Headers],[Business Entrate]],IF(OR(H1101=L$5,H1101=L$6,H1101=L$7,H1101=L$8,H1101=L$9,H1101=L$10,H1101=L$11,H1101=L$12,H1101=L$13,H1101=L$14),SottocategorieEntrate[[#Headers],[Varie Entrate]],IF(OR(H1101=M$5,H1101=M$6,H1101=M$7,H1101=M$8,H1101=M$9,H1101=M$10,H1101=M$11,H1101=M$12,H1101=M$13,H1101=M$14),SottocategorieEntrate[[#Headers],[Real Estate]],IF(OR(H1101=N$5,H1101=N$6,H1101=N$7,H1101=N$8,H1101=N$9,H1101=N$10,H1101=N$11,H1101=N$12,H1101=N$13,H1101=N$14),SottocategorieEntrate[[#Headers],[Other]],""))))))))))))</f>
        <v/>
      </c>
      <c r="J1101" t="str">
        <f>IF(OR(Dati[[#This Row],[Categoria]]="Bollette",Dati[[#This Row],[Categoria]]="Conto &amp; Carte BNL",Dati[[#This Row],[Categoria]]="Prelievo",Dati[[#This Row],[Categoria]]="Affitto",Dati[[#This Row],[Categoria]]="BNL(Interessi Creditori)"),"Carta",IF(Dati[[#This Row],[Categoria]]&lt;&gt;0,"Cash",""))</f>
        <v/>
      </c>
      <c r="K1101" s="59" t="str">
        <f>IF(OR(Data!$I1101=SottocategorieUscite[[#Headers],[Fuori Casa]],Data!$I1101=SottocategorieUscite[[#Headers],[Varie Uscite]],Data!$I1101=SottocategorieUscite[[#Headers],[Personali]],Data!$I1101=SottocategorieUscite[[#Headers],[Lavoro]]),"$ -","")</f>
        <v/>
      </c>
      <c r="L1101" s="59" t="str">
        <f>IF(OR(Data!$I1101=SottocategorieUscite[[#Headers],[Casa]],Data!$I1101=SottocategorieUscite[[#Headers],[Utenze]],Data!$I1101=SottocategorieUscite[[#Headers],[Business Uscite]],Data!$I1101=SottocategorieUscite[[#Headers],[Banca]]),"$ -","")</f>
        <v/>
      </c>
      <c r="M1101" s="59" t="str">
        <f>IF(OR($I1101&lt;&gt;SottocategorieUscite[[#Headers],[Fuori Casa]],$I1101&lt;&gt;SottocategorieUscite[[#Headers],[Varie Uscite]],$I1101&lt;&gt;SottocategorieUscite[[#Headers],[Personali]],$I1101&lt;&gt;SottocategorieUscite[[#Headers],[Lavoro]],$I1101&lt;&gt;SottocategorieUscite[[#Headers],[Casa]],$I1101&lt;&gt;SottocategorieUscite[[#Headers],[Utenze]],$I1101&lt;&gt;SottocategorieUscite[[#Headers],[Business Uscite]],$I1101&lt;&gt;SottocategorieUscite[[#Headers],[Banca]]),"","$ -")</f>
        <v/>
      </c>
      <c r="N1101" s="59" t="str">
        <f>IF(OR(Data!$I1101=SottocategorieEntrate[[#Headers],[Business Entrate]],Data!$I1101=SottocategorieEntrate[[#Headers],[Varie Entrate]]),"$ -","")</f>
        <v/>
      </c>
      <c r="O1101" s="59" t="str">
        <f>IF(OR(Data!$I1101=SottocategorieEntrate[[#Headers],[Real Estate]],SottocategorieEntrate[[#Headers],[Other]]),"$ -","")</f>
        <v/>
      </c>
      <c r="P1101" s="59" t="str">
        <f>IF(OR($I1101&lt;&gt;SottocategorieEntrate[[#Headers],[Business Entrate]],$I1101&lt;&gt;SottocategorieEntrate[[#Headers],[Varie Entrate]],$I1101&lt;&gt;SottocategorieEntrate[[#Headers],[Real Estate]],$I1101&lt;&gt;SottocategorieEntrate[[#Headers],[Other]]),"","$ -")</f>
        <v/>
      </c>
      <c r="Q1101" s="59" t="str">
        <f>IF(Dati[[#This Row],[Categoria]]="Prelievo","€ -","")</f>
        <v/>
      </c>
      <c r="R1101" s="244"/>
      <c r="S1101" s="59" t="str">
        <f>IF(Dati[[#This Row],[Categoria]]="Savings",0,"")</f>
        <v/>
      </c>
      <c r="T1101" s="59"/>
      <c r="U1101" s="59"/>
      <c r="V1101" s="59"/>
      <c r="W1101" s="59"/>
      <c r="X1101" s="59"/>
      <c r="Y1101" s="59"/>
      <c r="Z1101" s="59"/>
      <c r="AA1101" s="59"/>
      <c r="AB1101" s="59"/>
      <c r="AC1101" s="59"/>
      <c r="AD1101" s="59"/>
      <c r="AE1101" s="59"/>
      <c r="AF1101" s="59"/>
      <c r="AG1101" s="59"/>
      <c r="AH1101" s="59"/>
      <c r="AI1101" s="59" t="str">
        <f>IF(SUM(Dati[[#This Row],[Inv. Business]:[Inv. Cryptocurrency]])=0," ",SUM(Dati[[#This Row],[Inv. Business]:[Inv. Cryptocurrency]]))</f>
        <v xml:space="preserve"> </v>
      </c>
      <c r="AJ1101" s="59"/>
      <c r="AK1101" s="59" t="str">
        <f>IF(SUM(Dati[[#This Row],[Inv. Gold]:[Mutuo]])=0," ",SUM(Dati[[#This Row],[Inv. Gold]:[Mutuo]]))</f>
        <v xml:space="preserve"> </v>
      </c>
      <c r="AL1101" s="59"/>
      <c r="AM1101" s="59"/>
    </row>
    <row r="1102" spans="2:39" x14ac:dyDescent="0.35">
      <c r="B1102" s="237">
        <f t="shared" si="58"/>
        <v>1082</v>
      </c>
      <c r="C1102" s="49">
        <f t="shared" si="57"/>
        <v>45714</v>
      </c>
      <c r="D1102" s="29">
        <f>DAY(Dati[[#This Row],[Data]])</f>
        <v>26</v>
      </c>
      <c r="E1102" s="29" t="str">
        <f>IF(DAY(Data!$C$21:$C$1327)&gt;0,TEXT(Data!$C$21:$C$1327, "mmmm"),"")</f>
        <v>febbraio</v>
      </c>
      <c r="F1102" s="29" t="str">
        <f>IF(DAY(Data!$C$21:$C$1327)&gt;0,TEXT(Data!$C$21:$C$1327, "aaaa"),"")</f>
        <v>2025</v>
      </c>
      <c r="I1102" t="str">
        <f>IF(OR(H1102=$B$5,H1102=$B$6,H1102=$B$7,H1102=$B$8,H1102=$B$9,H1102=$B$10,H1102=$B$11,H1102=$B$12,H1102=$B$13,H1102=$B$14),SottocategorieUscite[[#Headers],[Fuori Casa]],IF(OR(H1102=$C$5,H1102=$C$6,H1102=$C$7,H1102=$C$8,H1102=$C$9,H1102=$C$10,H1102=$C$11,H1102=$C$12,H1102=$C$13,H1102=$C$14),SottocategorieUscite[[#Headers],[Varie Uscite]],IF(OR(H1102=$D$5,H1102=$D$6,H1102=$D$7,H1102=$D$8,H1102=$D$9,H1102=$D$10,H1102=$D$11,H1102=$D$12,H1102=$D$13,H1102=$D$14),SottocategorieUscite[[#Headers],[Personali]],IF(OR(H1102=$E$5,H1102=$E$6,H1102=$E$7,H1102=$E$8,H1102=$E$9,H1102=$E$10,H1102=$E$11,H1102=$E$12,H1102=$E$13,H1102=$E$14),SottocategorieUscite[[#Headers],[Lavoro]],IF(OR(H1102=$F$5,H1102=$F$6,H1102=$F$7,H1102=$F$8,H1102=$F$9,H1102=$F$10,H1102=$F$11,H1102=$F$12,H1102=$F$13,H1102=$F$14),SottocategorieUscite[[#Headers],[Casa]],IF(OR(H1102=$G$5,H1102=$G$6,H1102=$G$7,H1102=$G$8,H1102=$G$9,H1102=$G$10,H1102=$G$11,H1102=$G$12,H1102=$G$13,H1102=$G$14),SottocategorieUscite[[#Headers],[Utenze]],IF(OR(H1102=$H$5,H1102=$H$6,H1102=$H$7,H1102=$H$8,H1102=$H$9,H1102=$H$10,H1102=$H$11,H1102=$H$12,H1102=$H$13,H1102=$H$14),SottocategorieUscite[[#Headers],[Business Uscite]],IF(OR(H1102=$I$5,H1102=$I$6,H1102=$I$7,H1102=$I$8,H1102=$I$9,H1102=$I$10,H1102=$I$11,H1102=$I$12,H1102=$I$13,H1102=$I$14),SottocategorieUscite[[#Headers],[Banca]],IF(OR(H1102=K$5,H1102=K$6,H1102=K$7,H1102=K$8,H1102=K$9,H1102=K$10,H1102=K$11,H1102=K$12,H1102=K$13,H1102=K$14),SottocategorieEntrate[[#Headers],[Business Entrate]],IF(OR(H1102=L$5,H1102=L$6,H1102=L$7,H1102=L$8,H1102=L$9,H1102=L$10,H1102=L$11,H1102=L$12,H1102=L$13,H1102=L$14),SottocategorieEntrate[[#Headers],[Varie Entrate]],IF(OR(H1102=M$5,H1102=M$6,H1102=M$7,H1102=M$8,H1102=M$9,H1102=M$10,H1102=M$11,H1102=M$12,H1102=M$13,H1102=M$14),SottocategorieEntrate[[#Headers],[Real Estate]],IF(OR(H1102=N$5,H1102=N$6,H1102=N$7,H1102=N$8,H1102=N$9,H1102=N$10,H1102=N$11,H1102=N$12,H1102=N$13,H1102=N$14),SottocategorieEntrate[[#Headers],[Other]],""))))))))))))</f>
        <v/>
      </c>
      <c r="J1102" t="str">
        <f>IF(OR(Dati[[#This Row],[Categoria]]="Bollette",Dati[[#This Row],[Categoria]]="Conto &amp; Carte BNL",Dati[[#This Row],[Categoria]]="Prelievo",Dati[[#This Row],[Categoria]]="Affitto",Dati[[#This Row],[Categoria]]="BNL(Interessi Creditori)"),"Carta",IF(Dati[[#This Row],[Categoria]]&lt;&gt;0,"Cash",""))</f>
        <v/>
      </c>
      <c r="K1102" s="59" t="str">
        <f>IF(OR(Data!$I1102=SottocategorieUscite[[#Headers],[Fuori Casa]],Data!$I1102=SottocategorieUscite[[#Headers],[Varie Uscite]],Data!$I1102=SottocategorieUscite[[#Headers],[Personali]],Data!$I1102=SottocategorieUscite[[#Headers],[Lavoro]]),"$ -","")</f>
        <v/>
      </c>
      <c r="L1102" s="59" t="str">
        <f>IF(OR(Data!$I1102=SottocategorieUscite[[#Headers],[Casa]],Data!$I1102=SottocategorieUscite[[#Headers],[Utenze]],Data!$I1102=SottocategorieUscite[[#Headers],[Business Uscite]],Data!$I1102=SottocategorieUscite[[#Headers],[Banca]]),"$ -","")</f>
        <v/>
      </c>
      <c r="M1102" s="59" t="str">
        <f>IF(OR($I1102&lt;&gt;SottocategorieUscite[[#Headers],[Fuori Casa]],$I1102&lt;&gt;SottocategorieUscite[[#Headers],[Varie Uscite]],$I1102&lt;&gt;SottocategorieUscite[[#Headers],[Personali]],$I1102&lt;&gt;SottocategorieUscite[[#Headers],[Lavoro]],$I1102&lt;&gt;SottocategorieUscite[[#Headers],[Casa]],$I1102&lt;&gt;SottocategorieUscite[[#Headers],[Utenze]],$I1102&lt;&gt;SottocategorieUscite[[#Headers],[Business Uscite]],$I1102&lt;&gt;SottocategorieUscite[[#Headers],[Banca]]),"","$ -")</f>
        <v/>
      </c>
      <c r="N1102" s="59" t="str">
        <f>IF(OR(Data!$I1102=SottocategorieEntrate[[#Headers],[Business Entrate]],Data!$I1102=SottocategorieEntrate[[#Headers],[Varie Entrate]]),"$ -","")</f>
        <v/>
      </c>
      <c r="O1102" s="59" t="str">
        <f>IF(OR(Data!$I1102=SottocategorieEntrate[[#Headers],[Real Estate]],SottocategorieEntrate[[#Headers],[Other]]),"$ -","")</f>
        <v/>
      </c>
      <c r="P1102" s="59" t="str">
        <f>IF(OR($I1102&lt;&gt;SottocategorieEntrate[[#Headers],[Business Entrate]],$I1102&lt;&gt;SottocategorieEntrate[[#Headers],[Varie Entrate]],$I1102&lt;&gt;SottocategorieEntrate[[#Headers],[Real Estate]],$I1102&lt;&gt;SottocategorieEntrate[[#Headers],[Other]]),"","$ -")</f>
        <v/>
      </c>
      <c r="Q1102" s="59" t="str">
        <f>IF(Dati[[#This Row],[Categoria]]="Prelievo","€ -","")</f>
        <v/>
      </c>
      <c r="R1102" s="244"/>
      <c r="S1102" s="59" t="str">
        <f>IF(Dati[[#This Row],[Categoria]]="Savings",0,"")</f>
        <v/>
      </c>
      <c r="T1102" s="59"/>
      <c r="U1102" s="59"/>
      <c r="V1102" s="59"/>
      <c r="W1102" s="59"/>
      <c r="X1102" s="59"/>
      <c r="Y1102" s="59"/>
      <c r="Z1102" s="59"/>
      <c r="AA1102" s="59"/>
      <c r="AB1102" s="59"/>
      <c r="AC1102" s="59"/>
      <c r="AD1102" s="59"/>
      <c r="AE1102" s="59"/>
      <c r="AF1102" s="59"/>
      <c r="AG1102" s="59"/>
      <c r="AH1102" s="59"/>
      <c r="AI1102" s="59" t="str">
        <f>IF(SUM(Dati[[#This Row],[Inv. Business]:[Inv. Cryptocurrency]])=0," ",SUM(Dati[[#This Row],[Inv. Business]:[Inv. Cryptocurrency]]))</f>
        <v xml:space="preserve"> </v>
      </c>
      <c r="AJ1102" s="59"/>
      <c r="AK1102" s="59" t="str">
        <f>IF(SUM(Dati[[#This Row],[Inv. Gold]:[Mutuo]])=0," ",SUM(Dati[[#This Row],[Inv. Gold]:[Mutuo]]))</f>
        <v xml:space="preserve"> </v>
      </c>
      <c r="AL1102" s="59"/>
      <c r="AM1102" s="59"/>
    </row>
    <row r="1103" spans="2:39" x14ac:dyDescent="0.35">
      <c r="B1103" s="237">
        <f t="shared" si="58"/>
        <v>1083</v>
      </c>
      <c r="C1103" s="49">
        <f t="shared" si="57"/>
        <v>45715</v>
      </c>
      <c r="D1103" s="29">
        <f>DAY(Dati[[#This Row],[Data]])</f>
        <v>27</v>
      </c>
      <c r="E1103" s="29" t="str">
        <f>IF(DAY(Data!$C$21:$C$1327)&gt;0,TEXT(Data!$C$21:$C$1327, "mmmm"),"")</f>
        <v>febbraio</v>
      </c>
      <c r="F1103" s="29" t="str">
        <f>IF(DAY(Data!$C$21:$C$1327)&gt;0,TEXT(Data!$C$21:$C$1327, "aaaa"),"")</f>
        <v>2025</v>
      </c>
      <c r="I1103" t="str">
        <f>IF(OR(H1103=$B$5,H1103=$B$6,H1103=$B$7,H1103=$B$8,H1103=$B$9,H1103=$B$10,H1103=$B$11,H1103=$B$12,H1103=$B$13,H1103=$B$14),SottocategorieUscite[[#Headers],[Fuori Casa]],IF(OR(H1103=$C$5,H1103=$C$6,H1103=$C$7,H1103=$C$8,H1103=$C$9,H1103=$C$10,H1103=$C$11,H1103=$C$12,H1103=$C$13,H1103=$C$14),SottocategorieUscite[[#Headers],[Varie Uscite]],IF(OR(H1103=$D$5,H1103=$D$6,H1103=$D$7,H1103=$D$8,H1103=$D$9,H1103=$D$10,H1103=$D$11,H1103=$D$12,H1103=$D$13,H1103=$D$14),SottocategorieUscite[[#Headers],[Personali]],IF(OR(H1103=$E$5,H1103=$E$6,H1103=$E$7,H1103=$E$8,H1103=$E$9,H1103=$E$10,H1103=$E$11,H1103=$E$12,H1103=$E$13,H1103=$E$14),SottocategorieUscite[[#Headers],[Lavoro]],IF(OR(H1103=$F$5,H1103=$F$6,H1103=$F$7,H1103=$F$8,H1103=$F$9,H1103=$F$10,H1103=$F$11,H1103=$F$12,H1103=$F$13,H1103=$F$14),SottocategorieUscite[[#Headers],[Casa]],IF(OR(H1103=$G$5,H1103=$G$6,H1103=$G$7,H1103=$G$8,H1103=$G$9,H1103=$G$10,H1103=$G$11,H1103=$G$12,H1103=$G$13,H1103=$G$14),SottocategorieUscite[[#Headers],[Utenze]],IF(OR(H1103=$H$5,H1103=$H$6,H1103=$H$7,H1103=$H$8,H1103=$H$9,H1103=$H$10,H1103=$H$11,H1103=$H$12,H1103=$H$13,H1103=$H$14),SottocategorieUscite[[#Headers],[Business Uscite]],IF(OR(H1103=$I$5,H1103=$I$6,H1103=$I$7,H1103=$I$8,H1103=$I$9,H1103=$I$10,H1103=$I$11,H1103=$I$12,H1103=$I$13,H1103=$I$14),SottocategorieUscite[[#Headers],[Banca]],IF(OR(H1103=K$5,H1103=K$6,H1103=K$7,H1103=K$8,H1103=K$9,H1103=K$10,H1103=K$11,H1103=K$12,H1103=K$13,H1103=K$14),SottocategorieEntrate[[#Headers],[Business Entrate]],IF(OR(H1103=L$5,H1103=L$6,H1103=L$7,H1103=L$8,H1103=L$9,H1103=L$10,H1103=L$11,H1103=L$12,H1103=L$13,H1103=L$14),SottocategorieEntrate[[#Headers],[Varie Entrate]],IF(OR(H1103=M$5,H1103=M$6,H1103=M$7,H1103=M$8,H1103=M$9,H1103=M$10,H1103=M$11,H1103=M$12,H1103=M$13,H1103=M$14),SottocategorieEntrate[[#Headers],[Real Estate]],IF(OR(H1103=N$5,H1103=N$6,H1103=N$7,H1103=N$8,H1103=N$9,H1103=N$10,H1103=N$11,H1103=N$12,H1103=N$13,H1103=N$14),SottocategorieEntrate[[#Headers],[Other]],""))))))))))))</f>
        <v/>
      </c>
      <c r="J1103" t="str">
        <f>IF(OR(Dati[[#This Row],[Categoria]]="Bollette",Dati[[#This Row],[Categoria]]="Conto &amp; Carte BNL",Dati[[#This Row],[Categoria]]="Prelievo",Dati[[#This Row],[Categoria]]="Affitto",Dati[[#This Row],[Categoria]]="BNL(Interessi Creditori)"),"Carta",IF(Dati[[#This Row],[Categoria]]&lt;&gt;0,"Cash",""))</f>
        <v/>
      </c>
      <c r="K1103" s="59" t="str">
        <f>IF(OR(Data!$I1103=SottocategorieUscite[[#Headers],[Fuori Casa]],Data!$I1103=SottocategorieUscite[[#Headers],[Varie Uscite]],Data!$I1103=SottocategorieUscite[[#Headers],[Personali]],Data!$I1103=SottocategorieUscite[[#Headers],[Lavoro]]),"$ -","")</f>
        <v/>
      </c>
      <c r="L1103" s="59" t="str">
        <f>IF(OR(Data!$I1103=SottocategorieUscite[[#Headers],[Casa]],Data!$I1103=SottocategorieUscite[[#Headers],[Utenze]],Data!$I1103=SottocategorieUscite[[#Headers],[Business Uscite]],Data!$I1103=SottocategorieUscite[[#Headers],[Banca]]),"$ -","")</f>
        <v/>
      </c>
      <c r="M1103" s="59" t="str">
        <f>IF(OR($I1103&lt;&gt;SottocategorieUscite[[#Headers],[Fuori Casa]],$I1103&lt;&gt;SottocategorieUscite[[#Headers],[Varie Uscite]],$I1103&lt;&gt;SottocategorieUscite[[#Headers],[Personali]],$I1103&lt;&gt;SottocategorieUscite[[#Headers],[Lavoro]],$I1103&lt;&gt;SottocategorieUscite[[#Headers],[Casa]],$I1103&lt;&gt;SottocategorieUscite[[#Headers],[Utenze]],$I1103&lt;&gt;SottocategorieUscite[[#Headers],[Business Uscite]],$I1103&lt;&gt;SottocategorieUscite[[#Headers],[Banca]]),"","$ -")</f>
        <v/>
      </c>
      <c r="N1103" s="59" t="str">
        <f>IF(OR(Data!$I1103=SottocategorieEntrate[[#Headers],[Business Entrate]],Data!$I1103=SottocategorieEntrate[[#Headers],[Varie Entrate]]),"$ -","")</f>
        <v/>
      </c>
      <c r="O1103" s="59" t="str">
        <f>IF(OR(Data!$I1103=SottocategorieEntrate[[#Headers],[Real Estate]],SottocategorieEntrate[[#Headers],[Other]]),"$ -","")</f>
        <v/>
      </c>
      <c r="P1103" s="59" t="str">
        <f>IF(OR($I1103&lt;&gt;SottocategorieEntrate[[#Headers],[Business Entrate]],$I1103&lt;&gt;SottocategorieEntrate[[#Headers],[Varie Entrate]],$I1103&lt;&gt;SottocategorieEntrate[[#Headers],[Real Estate]],$I1103&lt;&gt;SottocategorieEntrate[[#Headers],[Other]]),"","$ -")</f>
        <v/>
      </c>
      <c r="Q1103" s="59" t="str">
        <f>IF(Dati[[#This Row],[Categoria]]="Prelievo","€ -","")</f>
        <v/>
      </c>
      <c r="R1103" s="244"/>
      <c r="S1103" s="59" t="str">
        <f>IF(Dati[[#This Row],[Categoria]]="Savings",0,"")</f>
        <v/>
      </c>
      <c r="T1103" s="59"/>
      <c r="U1103" s="59"/>
      <c r="V1103" s="59"/>
      <c r="W1103" s="59"/>
      <c r="X1103" s="59"/>
      <c r="Y1103" s="59"/>
      <c r="Z1103" s="59"/>
      <c r="AA1103" s="59"/>
      <c r="AB1103" s="59"/>
      <c r="AC1103" s="59"/>
      <c r="AD1103" s="59"/>
      <c r="AE1103" s="59"/>
      <c r="AF1103" s="59"/>
      <c r="AG1103" s="59"/>
      <c r="AH1103" s="59"/>
      <c r="AI1103" s="59" t="str">
        <f>IF(SUM(Dati[[#This Row],[Inv. Business]:[Inv. Cryptocurrency]])=0," ",SUM(Dati[[#This Row],[Inv. Business]:[Inv. Cryptocurrency]]))</f>
        <v xml:space="preserve"> </v>
      </c>
      <c r="AJ1103" s="59"/>
      <c r="AK1103" s="59" t="str">
        <f>IF(SUM(Dati[[#This Row],[Inv. Gold]:[Mutuo]])=0," ",SUM(Dati[[#This Row],[Inv. Gold]:[Mutuo]]))</f>
        <v xml:space="preserve"> </v>
      </c>
      <c r="AL1103" s="59"/>
      <c r="AM1103" s="59"/>
    </row>
    <row r="1104" spans="2:39" x14ac:dyDescent="0.35">
      <c r="B1104" s="237">
        <f t="shared" si="58"/>
        <v>1084</v>
      </c>
      <c r="C1104" s="49">
        <f t="shared" si="57"/>
        <v>45716</v>
      </c>
      <c r="D1104" s="29">
        <f>DAY(Dati[[#This Row],[Data]])</f>
        <v>28</v>
      </c>
      <c r="E1104" s="29" t="str">
        <f>IF(DAY(Data!$C$21:$C$1327)&gt;0,TEXT(Data!$C$21:$C$1327, "mmmm"),"")</f>
        <v>febbraio</v>
      </c>
      <c r="F1104" s="29" t="str">
        <f>IF(DAY(Data!$C$21:$C$1327)&gt;0,TEXT(Data!$C$21:$C$1327, "aaaa"),"")</f>
        <v>2025</v>
      </c>
      <c r="I1104" t="str">
        <f>IF(OR(H1104=$B$5,H1104=$B$6,H1104=$B$7,H1104=$B$8,H1104=$B$9,H1104=$B$10,H1104=$B$11,H1104=$B$12,H1104=$B$13,H1104=$B$14),SottocategorieUscite[[#Headers],[Fuori Casa]],IF(OR(H1104=$C$5,H1104=$C$6,H1104=$C$7,H1104=$C$8,H1104=$C$9,H1104=$C$10,H1104=$C$11,H1104=$C$12,H1104=$C$13,H1104=$C$14),SottocategorieUscite[[#Headers],[Varie Uscite]],IF(OR(H1104=$D$5,H1104=$D$6,H1104=$D$7,H1104=$D$8,H1104=$D$9,H1104=$D$10,H1104=$D$11,H1104=$D$12,H1104=$D$13,H1104=$D$14),SottocategorieUscite[[#Headers],[Personali]],IF(OR(H1104=$E$5,H1104=$E$6,H1104=$E$7,H1104=$E$8,H1104=$E$9,H1104=$E$10,H1104=$E$11,H1104=$E$12,H1104=$E$13,H1104=$E$14),SottocategorieUscite[[#Headers],[Lavoro]],IF(OR(H1104=$F$5,H1104=$F$6,H1104=$F$7,H1104=$F$8,H1104=$F$9,H1104=$F$10,H1104=$F$11,H1104=$F$12,H1104=$F$13,H1104=$F$14),SottocategorieUscite[[#Headers],[Casa]],IF(OR(H1104=$G$5,H1104=$G$6,H1104=$G$7,H1104=$G$8,H1104=$G$9,H1104=$G$10,H1104=$G$11,H1104=$G$12,H1104=$G$13,H1104=$G$14),SottocategorieUscite[[#Headers],[Utenze]],IF(OR(H1104=$H$5,H1104=$H$6,H1104=$H$7,H1104=$H$8,H1104=$H$9,H1104=$H$10,H1104=$H$11,H1104=$H$12,H1104=$H$13,H1104=$H$14),SottocategorieUscite[[#Headers],[Business Uscite]],IF(OR(H1104=$I$5,H1104=$I$6,H1104=$I$7,H1104=$I$8,H1104=$I$9,H1104=$I$10,H1104=$I$11,H1104=$I$12,H1104=$I$13,H1104=$I$14),SottocategorieUscite[[#Headers],[Banca]],IF(OR(H1104=K$5,H1104=K$6,H1104=K$7,H1104=K$8,H1104=K$9,H1104=K$10,H1104=K$11,H1104=K$12,H1104=K$13,H1104=K$14),SottocategorieEntrate[[#Headers],[Business Entrate]],IF(OR(H1104=L$5,H1104=L$6,H1104=L$7,H1104=L$8,H1104=L$9,H1104=L$10,H1104=L$11,H1104=L$12,H1104=L$13,H1104=L$14),SottocategorieEntrate[[#Headers],[Varie Entrate]],IF(OR(H1104=M$5,H1104=M$6,H1104=M$7,H1104=M$8,H1104=M$9,H1104=M$10,H1104=M$11,H1104=M$12,H1104=M$13,H1104=M$14),SottocategorieEntrate[[#Headers],[Real Estate]],IF(OR(H1104=N$5,H1104=N$6,H1104=N$7,H1104=N$8,H1104=N$9,H1104=N$10,H1104=N$11,H1104=N$12,H1104=N$13,H1104=N$14),SottocategorieEntrate[[#Headers],[Other]],""))))))))))))</f>
        <v/>
      </c>
      <c r="J1104" t="str">
        <f>IF(OR(Dati[[#This Row],[Categoria]]="Bollette",Dati[[#This Row],[Categoria]]="Conto &amp; Carte BNL",Dati[[#This Row],[Categoria]]="Prelievo",Dati[[#This Row],[Categoria]]="Affitto",Dati[[#This Row],[Categoria]]="BNL(Interessi Creditori)"),"Carta",IF(Dati[[#This Row],[Categoria]]&lt;&gt;0,"Cash",""))</f>
        <v/>
      </c>
      <c r="K1104" s="59" t="str">
        <f>IF(OR(Data!$I1104=SottocategorieUscite[[#Headers],[Fuori Casa]],Data!$I1104=SottocategorieUscite[[#Headers],[Varie Uscite]],Data!$I1104=SottocategorieUscite[[#Headers],[Personali]],Data!$I1104=SottocategorieUscite[[#Headers],[Lavoro]]),"$ -","")</f>
        <v/>
      </c>
      <c r="L1104" s="59" t="str">
        <f>IF(OR(Data!$I1104=SottocategorieUscite[[#Headers],[Casa]],Data!$I1104=SottocategorieUscite[[#Headers],[Utenze]],Data!$I1104=SottocategorieUscite[[#Headers],[Business Uscite]],Data!$I1104=SottocategorieUscite[[#Headers],[Banca]]),"$ -","")</f>
        <v/>
      </c>
      <c r="M1104" s="59" t="str">
        <f>IF(OR($I1104&lt;&gt;SottocategorieUscite[[#Headers],[Fuori Casa]],$I1104&lt;&gt;SottocategorieUscite[[#Headers],[Varie Uscite]],$I1104&lt;&gt;SottocategorieUscite[[#Headers],[Personali]],$I1104&lt;&gt;SottocategorieUscite[[#Headers],[Lavoro]],$I1104&lt;&gt;SottocategorieUscite[[#Headers],[Casa]],$I1104&lt;&gt;SottocategorieUscite[[#Headers],[Utenze]],$I1104&lt;&gt;SottocategorieUscite[[#Headers],[Business Uscite]],$I1104&lt;&gt;SottocategorieUscite[[#Headers],[Banca]]),"","$ -")</f>
        <v/>
      </c>
      <c r="N1104" s="59" t="str">
        <f>IF(OR(Data!$I1104=SottocategorieEntrate[[#Headers],[Business Entrate]],Data!$I1104=SottocategorieEntrate[[#Headers],[Varie Entrate]]),"$ -","")</f>
        <v/>
      </c>
      <c r="O1104" s="59" t="str">
        <f>IF(OR(Data!$I1104=SottocategorieEntrate[[#Headers],[Real Estate]],SottocategorieEntrate[[#Headers],[Other]]),"$ -","")</f>
        <v/>
      </c>
      <c r="P1104" s="59" t="str">
        <f>IF(OR($I1104&lt;&gt;SottocategorieEntrate[[#Headers],[Business Entrate]],$I1104&lt;&gt;SottocategorieEntrate[[#Headers],[Varie Entrate]],$I1104&lt;&gt;SottocategorieEntrate[[#Headers],[Real Estate]],$I1104&lt;&gt;SottocategorieEntrate[[#Headers],[Other]]),"","$ -")</f>
        <v/>
      </c>
      <c r="Q1104" s="59" t="str">
        <f>IF(Dati[[#This Row],[Categoria]]="Prelievo","€ -","")</f>
        <v/>
      </c>
      <c r="R1104" s="244"/>
      <c r="S1104" s="59" t="str">
        <f>IF(Dati[[#This Row],[Categoria]]="Savings",0,"")</f>
        <v/>
      </c>
      <c r="T1104" s="59"/>
      <c r="U1104" s="59"/>
      <c r="V1104" s="59"/>
      <c r="W1104" s="59"/>
      <c r="X1104" s="59"/>
      <c r="Y1104" s="59"/>
      <c r="Z1104" s="59"/>
      <c r="AA1104" s="59"/>
      <c r="AB1104" s="59"/>
      <c r="AC1104" s="59"/>
      <c r="AD1104" s="59"/>
      <c r="AE1104" s="59"/>
      <c r="AF1104" s="59"/>
      <c r="AG1104" s="59"/>
      <c r="AH1104" s="59"/>
      <c r="AI1104" s="59" t="str">
        <f>IF(SUM(Dati[[#This Row],[Inv. Business]:[Inv. Cryptocurrency]])=0," ",SUM(Dati[[#This Row],[Inv. Business]:[Inv. Cryptocurrency]]))</f>
        <v xml:space="preserve"> </v>
      </c>
      <c r="AJ1104" s="59"/>
      <c r="AK1104" s="59" t="str">
        <f>IF(SUM(Dati[[#This Row],[Inv. Gold]:[Mutuo]])=0," ",SUM(Dati[[#This Row],[Inv. Gold]:[Mutuo]]))</f>
        <v xml:space="preserve"> </v>
      </c>
      <c r="AL1104" s="59"/>
      <c r="AM1104" s="59"/>
    </row>
    <row r="1105" spans="2:39" x14ac:dyDescent="0.35">
      <c r="B1105" s="237">
        <f t="shared" si="58"/>
        <v>1085</v>
      </c>
      <c r="C1105" s="49">
        <f t="shared" si="57"/>
        <v>45717</v>
      </c>
      <c r="D1105" s="29">
        <f>DAY(Dati[[#This Row],[Data]])</f>
        <v>1</v>
      </c>
      <c r="E1105" s="29" t="str">
        <f>IF(DAY(Data!$C$21:$C$1327)&gt;0,TEXT(Data!$C$21:$C$1327, "mmmm"),"")</f>
        <v>marzo</v>
      </c>
      <c r="F1105" s="29" t="str">
        <f>IF(DAY(Data!$C$21:$C$1327)&gt;0,TEXT(Data!$C$21:$C$1327, "aaaa"),"")</f>
        <v>2025</v>
      </c>
      <c r="I1105" t="str">
        <f>IF(OR(H1105=$B$5,H1105=$B$6,H1105=$B$7,H1105=$B$8,H1105=$B$9,H1105=$B$10,H1105=$B$11,H1105=$B$12,H1105=$B$13,H1105=$B$14),SottocategorieUscite[[#Headers],[Fuori Casa]],IF(OR(H1105=$C$5,H1105=$C$6,H1105=$C$7,H1105=$C$8,H1105=$C$9,H1105=$C$10,H1105=$C$11,H1105=$C$12,H1105=$C$13,H1105=$C$14),SottocategorieUscite[[#Headers],[Varie Uscite]],IF(OR(H1105=$D$5,H1105=$D$6,H1105=$D$7,H1105=$D$8,H1105=$D$9,H1105=$D$10,H1105=$D$11,H1105=$D$12,H1105=$D$13,H1105=$D$14),SottocategorieUscite[[#Headers],[Personali]],IF(OR(H1105=$E$5,H1105=$E$6,H1105=$E$7,H1105=$E$8,H1105=$E$9,H1105=$E$10,H1105=$E$11,H1105=$E$12,H1105=$E$13,H1105=$E$14),SottocategorieUscite[[#Headers],[Lavoro]],IF(OR(H1105=$F$5,H1105=$F$6,H1105=$F$7,H1105=$F$8,H1105=$F$9,H1105=$F$10,H1105=$F$11,H1105=$F$12,H1105=$F$13,H1105=$F$14),SottocategorieUscite[[#Headers],[Casa]],IF(OR(H1105=$G$5,H1105=$G$6,H1105=$G$7,H1105=$G$8,H1105=$G$9,H1105=$G$10,H1105=$G$11,H1105=$G$12,H1105=$G$13,H1105=$G$14),SottocategorieUscite[[#Headers],[Utenze]],IF(OR(H1105=$H$5,H1105=$H$6,H1105=$H$7,H1105=$H$8,H1105=$H$9,H1105=$H$10,H1105=$H$11,H1105=$H$12,H1105=$H$13,H1105=$H$14),SottocategorieUscite[[#Headers],[Business Uscite]],IF(OR(H1105=$I$5,H1105=$I$6,H1105=$I$7,H1105=$I$8,H1105=$I$9,H1105=$I$10,H1105=$I$11,H1105=$I$12,H1105=$I$13,H1105=$I$14),SottocategorieUscite[[#Headers],[Banca]],IF(OR(H1105=K$5,H1105=K$6,H1105=K$7,H1105=K$8,H1105=K$9,H1105=K$10,H1105=K$11,H1105=K$12,H1105=K$13,H1105=K$14),SottocategorieEntrate[[#Headers],[Business Entrate]],IF(OR(H1105=L$5,H1105=L$6,H1105=L$7,H1105=L$8,H1105=L$9,H1105=L$10,H1105=L$11,H1105=L$12,H1105=L$13,H1105=L$14),SottocategorieEntrate[[#Headers],[Varie Entrate]],IF(OR(H1105=M$5,H1105=M$6,H1105=M$7,H1105=M$8,H1105=M$9,H1105=M$10,H1105=M$11,H1105=M$12,H1105=M$13,H1105=M$14),SottocategorieEntrate[[#Headers],[Real Estate]],IF(OR(H1105=N$5,H1105=N$6,H1105=N$7,H1105=N$8,H1105=N$9,H1105=N$10,H1105=N$11,H1105=N$12,H1105=N$13,H1105=N$14),SottocategorieEntrate[[#Headers],[Other]],""))))))))))))</f>
        <v/>
      </c>
      <c r="J1105" t="str">
        <f>IF(OR(Dati[[#This Row],[Categoria]]="Bollette",Dati[[#This Row],[Categoria]]="Conto &amp; Carte BNL",Dati[[#This Row],[Categoria]]="Prelievo",Dati[[#This Row],[Categoria]]="Affitto",Dati[[#This Row],[Categoria]]="BNL(Interessi Creditori)"),"Carta",IF(Dati[[#This Row],[Categoria]]&lt;&gt;0,"Cash",""))</f>
        <v/>
      </c>
      <c r="K1105" s="59" t="str">
        <f>IF(OR(Data!$I1105=SottocategorieUscite[[#Headers],[Fuori Casa]],Data!$I1105=SottocategorieUscite[[#Headers],[Varie Uscite]],Data!$I1105=SottocategorieUscite[[#Headers],[Personali]],Data!$I1105=SottocategorieUscite[[#Headers],[Lavoro]]),"$ -","")</f>
        <v/>
      </c>
      <c r="L1105" s="59" t="str">
        <f>IF(OR(Data!$I1105=SottocategorieUscite[[#Headers],[Casa]],Data!$I1105=SottocategorieUscite[[#Headers],[Utenze]],Data!$I1105=SottocategorieUscite[[#Headers],[Business Uscite]],Data!$I1105=SottocategorieUscite[[#Headers],[Banca]]),"$ -","")</f>
        <v/>
      </c>
      <c r="M1105" s="59" t="str">
        <f>IF(OR($I1105&lt;&gt;SottocategorieUscite[[#Headers],[Fuori Casa]],$I1105&lt;&gt;SottocategorieUscite[[#Headers],[Varie Uscite]],$I1105&lt;&gt;SottocategorieUscite[[#Headers],[Personali]],$I1105&lt;&gt;SottocategorieUscite[[#Headers],[Lavoro]],$I1105&lt;&gt;SottocategorieUscite[[#Headers],[Casa]],$I1105&lt;&gt;SottocategorieUscite[[#Headers],[Utenze]],$I1105&lt;&gt;SottocategorieUscite[[#Headers],[Business Uscite]],$I1105&lt;&gt;SottocategorieUscite[[#Headers],[Banca]]),"","$ -")</f>
        <v/>
      </c>
      <c r="N1105" s="59" t="str">
        <f>IF(OR(Data!$I1105=SottocategorieEntrate[[#Headers],[Business Entrate]],Data!$I1105=SottocategorieEntrate[[#Headers],[Varie Entrate]]),"$ -","")</f>
        <v/>
      </c>
      <c r="O1105" s="59" t="str">
        <f>IF(OR(Data!$I1105=SottocategorieEntrate[[#Headers],[Real Estate]],SottocategorieEntrate[[#Headers],[Other]]),"$ -","")</f>
        <v/>
      </c>
      <c r="P1105" s="59" t="str">
        <f>IF(OR($I1105&lt;&gt;SottocategorieEntrate[[#Headers],[Business Entrate]],$I1105&lt;&gt;SottocategorieEntrate[[#Headers],[Varie Entrate]],$I1105&lt;&gt;SottocategorieEntrate[[#Headers],[Real Estate]],$I1105&lt;&gt;SottocategorieEntrate[[#Headers],[Other]]),"","$ -")</f>
        <v/>
      </c>
      <c r="Q1105" s="59" t="str">
        <f>IF(Dati[[#This Row],[Categoria]]="Prelievo","€ -","")</f>
        <v/>
      </c>
      <c r="R1105" s="244"/>
      <c r="S1105" s="59" t="str">
        <f>IF(Dati[[#This Row],[Categoria]]="Savings",0,"")</f>
        <v/>
      </c>
      <c r="T1105" s="59"/>
      <c r="U1105" s="59"/>
      <c r="V1105" s="59"/>
      <c r="W1105" s="59"/>
      <c r="X1105" s="59"/>
      <c r="Y1105" s="59"/>
      <c r="Z1105" s="59"/>
      <c r="AA1105" s="59"/>
      <c r="AB1105" s="59"/>
      <c r="AC1105" s="59"/>
      <c r="AD1105" s="59"/>
      <c r="AE1105" s="59"/>
      <c r="AF1105" s="59"/>
      <c r="AG1105" s="59"/>
      <c r="AH1105" s="59"/>
      <c r="AI1105" s="59" t="str">
        <f>IF(SUM(Dati[[#This Row],[Inv. Business]:[Inv. Cryptocurrency]])=0," ",SUM(Dati[[#This Row],[Inv. Business]:[Inv. Cryptocurrency]]))</f>
        <v xml:space="preserve"> </v>
      </c>
      <c r="AJ1105" s="59"/>
      <c r="AK1105" s="59" t="str">
        <f>IF(SUM(Dati[[#This Row],[Inv. Gold]:[Mutuo]])=0," ",SUM(Dati[[#This Row],[Inv. Gold]:[Mutuo]]))</f>
        <v xml:space="preserve"> </v>
      </c>
      <c r="AL1105" s="59"/>
      <c r="AM1105" s="59"/>
    </row>
    <row r="1106" spans="2:39" x14ac:dyDescent="0.35">
      <c r="B1106" s="237">
        <f t="shared" si="58"/>
        <v>1086</v>
      </c>
      <c r="C1106" s="49">
        <f t="shared" si="57"/>
        <v>45718</v>
      </c>
      <c r="D1106" s="29">
        <f>DAY(Dati[[#This Row],[Data]])</f>
        <v>2</v>
      </c>
      <c r="E1106" s="29" t="str">
        <f>IF(DAY(Data!$C$21:$C$1327)&gt;0,TEXT(Data!$C$21:$C$1327, "mmmm"),"")</f>
        <v>marzo</v>
      </c>
      <c r="F1106" s="29" t="str">
        <f>IF(DAY(Data!$C$21:$C$1327)&gt;0,TEXT(Data!$C$21:$C$1327, "aaaa"),"")</f>
        <v>2025</v>
      </c>
      <c r="I1106" t="str">
        <f>IF(OR(H1106=$B$5,H1106=$B$6,H1106=$B$7,H1106=$B$8,H1106=$B$9,H1106=$B$10,H1106=$B$11,H1106=$B$12,H1106=$B$13,H1106=$B$14),SottocategorieUscite[[#Headers],[Fuori Casa]],IF(OR(H1106=$C$5,H1106=$C$6,H1106=$C$7,H1106=$C$8,H1106=$C$9,H1106=$C$10,H1106=$C$11,H1106=$C$12,H1106=$C$13,H1106=$C$14),SottocategorieUscite[[#Headers],[Varie Uscite]],IF(OR(H1106=$D$5,H1106=$D$6,H1106=$D$7,H1106=$D$8,H1106=$D$9,H1106=$D$10,H1106=$D$11,H1106=$D$12,H1106=$D$13,H1106=$D$14),SottocategorieUscite[[#Headers],[Personali]],IF(OR(H1106=$E$5,H1106=$E$6,H1106=$E$7,H1106=$E$8,H1106=$E$9,H1106=$E$10,H1106=$E$11,H1106=$E$12,H1106=$E$13,H1106=$E$14),SottocategorieUscite[[#Headers],[Lavoro]],IF(OR(H1106=$F$5,H1106=$F$6,H1106=$F$7,H1106=$F$8,H1106=$F$9,H1106=$F$10,H1106=$F$11,H1106=$F$12,H1106=$F$13,H1106=$F$14),SottocategorieUscite[[#Headers],[Casa]],IF(OR(H1106=$G$5,H1106=$G$6,H1106=$G$7,H1106=$G$8,H1106=$G$9,H1106=$G$10,H1106=$G$11,H1106=$G$12,H1106=$G$13,H1106=$G$14),SottocategorieUscite[[#Headers],[Utenze]],IF(OR(H1106=$H$5,H1106=$H$6,H1106=$H$7,H1106=$H$8,H1106=$H$9,H1106=$H$10,H1106=$H$11,H1106=$H$12,H1106=$H$13,H1106=$H$14),SottocategorieUscite[[#Headers],[Business Uscite]],IF(OR(H1106=$I$5,H1106=$I$6,H1106=$I$7,H1106=$I$8,H1106=$I$9,H1106=$I$10,H1106=$I$11,H1106=$I$12,H1106=$I$13,H1106=$I$14),SottocategorieUscite[[#Headers],[Banca]],IF(OR(H1106=K$5,H1106=K$6,H1106=K$7,H1106=K$8,H1106=K$9,H1106=K$10,H1106=K$11,H1106=K$12,H1106=K$13,H1106=K$14),SottocategorieEntrate[[#Headers],[Business Entrate]],IF(OR(H1106=L$5,H1106=L$6,H1106=L$7,H1106=L$8,H1106=L$9,H1106=L$10,H1106=L$11,H1106=L$12,H1106=L$13,H1106=L$14),SottocategorieEntrate[[#Headers],[Varie Entrate]],IF(OR(H1106=M$5,H1106=M$6,H1106=M$7,H1106=M$8,H1106=M$9,H1106=M$10,H1106=M$11,H1106=M$12,H1106=M$13,H1106=M$14),SottocategorieEntrate[[#Headers],[Real Estate]],IF(OR(H1106=N$5,H1106=N$6,H1106=N$7,H1106=N$8,H1106=N$9,H1106=N$10,H1106=N$11,H1106=N$12,H1106=N$13,H1106=N$14),SottocategorieEntrate[[#Headers],[Other]],""))))))))))))</f>
        <v/>
      </c>
      <c r="J1106" t="str">
        <f>IF(OR(Dati[[#This Row],[Categoria]]="Bollette",Dati[[#This Row],[Categoria]]="Conto &amp; Carte BNL",Dati[[#This Row],[Categoria]]="Prelievo",Dati[[#This Row],[Categoria]]="Affitto",Dati[[#This Row],[Categoria]]="BNL(Interessi Creditori)"),"Carta",IF(Dati[[#This Row],[Categoria]]&lt;&gt;0,"Cash",""))</f>
        <v/>
      </c>
      <c r="K1106" s="59" t="str">
        <f>IF(OR(Data!$I1106=SottocategorieUscite[[#Headers],[Fuori Casa]],Data!$I1106=SottocategorieUscite[[#Headers],[Varie Uscite]],Data!$I1106=SottocategorieUscite[[#Headers],[Personali]],Data!$I1106=SottocategorieUscite[[#Headers],[Lavoro]]),"$ -","")</f>
        <v/>
      </c>
      <c r="L1106" s="59" t="str">
        <f>IF(OR(Data!$I1106=SottocategorieUscite[[#Headers],[Casa]],Data!$I1106=SottocategorieUscite[[#Headers],[Utenze]],Data!$I1106=SottocategorieUscite[[#Headers],[Business Uscite]],Data!$I1106=SottocategorieUscite[[#Headers],[Banca]]),"$ -","")</f>
        <v/>
      </c>
      <c r="M1106" s="59" t="str">
        <f>IF(OR($I1106&lt;&gt;SottocategorieUscite[[#Headers],[Fuori Casa]],$I1106&lt;&gt;SottocategorieUscite[[#Headers],[Varie Uscite]],$I1106&lt;&gt;SottocategorieUscite[[#Headers],[Personali]],$I1106&lt;&gt;SottocategorieUscite[[#Headers],[Lavoro]],$I1106&lt;&gt;SottocategorieUscite[[#Headers],[Casa]],$I1106&lt;&gt;SottocategorieUscite[[#Headers],[Utenze]],$I1106&lt;&gt;SottocategorieUscite[[#Headers],[Business Uscite]],$I1106&lt;&gt;SottocategorieUscite[[#Headers],[Banca]]),"","$ -")</f>
        <v/>
      </c>
      <c r="N1106" s="59" t="str">
        <f>IF(OR(Data!$I1106=SottocategorieEntrate[[#Headers],[Business Entrate]],Data!$I1106=SottocategorieEntrate[[#Headers],[Varie Entrate]]),"$ -","")</f>
        <v/>
      </c>
      <c r="O1106" s="59" t="str">
        <f>IF(OR(Data!$I1106=SottocategorieEntrate[[#Headers],[Real Estate]],SottocategorieEntrate[[#Headers],[Other]]),"$ -","")</f>
        <v/>
      </c>
      <c r="P1106" s="59" t="str">
        <f>IF(OR($I1106&lt;&gt;SottocategorieEntrate[[#Headers],[Business Entrate]],$I1106&lt;&gt;SottocategorieEntrate[[#Headers],[Varie Entrate]],$I1106&lt;&gt;SottocategorieEntrate[[#Headers],[Real Estate]],$I1106&lt;&gt;SottocategorieEntrate[[#Headers],[Other]]),"","$ -")</f>
        <v/>
      </c>
      <c r="Q1106" s="59" t="str">
        <f>IF(Dati[[#This Row],[Categoria]]="Prelievo","€ -","")</f>
        <v/>
      </c>
      <c r="R1106" s="244"/>
      <c r="S1106" s="59" t="str">
        <f>IF(Dati[[#This Row],[Categoria]]="Savings",0,"")</f>
        <v/>
      </c>
      <c r="T1106" s="59"/>
      <c r="U1106" s="59"/>
      <c r="V1106" s="59"/>
      <c r="W1106" s="59"/>
      <c r="X1106" s="59"/>
      <c r="Y1106" s="59"/>
      <c r="Z1106" s="59"/>
      <c r="AA1106" s="59"/>
      <c r="AB1106" s="59"/>
      <c r="AC1106" s="59"/>
      <c r="AD1106" s="59"/>
      <c r="AE1106" s="59"/>
      <c r="AF1106" s="59"/>
      <c r="AG1106" s="59"/>
      <c r="AH1106" s="59"/>
      <c r="AI1106" s="59" t="str">
        <f>IF(SUM(Dati[[#This Row],[Inv. Business]:[Inv. Cryptocurrency]])=0," ",SUM(Dati[[#This Row],[Inv. Business]:[Inv. Cryptocurrency]]))</f>
        <v xml:space="preserve"> </v>
      </c>
      <c r="AJ1106" s="59"/>
      <c r="AK1106" s="59" t="str">
        <f>IF(SUM(Dati[[#This Row],[Inv. Gold]:[Mutuo]])=0," ",SUM(Dati[[#This Row],[Inv. Gold]:[Mutuo]]))</f>
        <v xml:space="preserve"> </v>
      </c>
      <c r="AL1106" s="59"/>
      <c r="AM1106" s="59"/>
    </row>
    <row r="1107" spans="2:39" x14ac:dyDescent="0.35">
      <c r="B1107" s="237">
        <f t="shared" si="58"/>
        <v>1087</v>
      </c>
      <c r="C1107" s="49">
        <f t="shared" si="57"/>
        <v>45719</v>
      </c>
      <c r="D1107" s="29">
        <f>DAY(Dati[[#This Row],[Data]])</f>
        <v>3</v>
      </c>
      <c r="E1107" s="29" t="str">
        <f>IF(DAY(Data!$C$21:$C$1327)&gt;0,TEXT(Data!$C$21:$C$1327, "mmmm"),"")</f>
        <v>marzo</v>
      </c>
      <c r="F1107" s="29" t="str">
        <f>IF(DAY(Data!$C$21:$C$1327)&gt;0,TEXT(Data!$C$21:$C$1327, "aaaa"),"")</f>
        <v>2025</v>
      </c>
      <c r="I1107" t="str">
        <f>IF(OR(H1107=$B$5,H1107=$B$6,H1107=$B$7,H1107=$B$8,H1107=$B$9,H1107=$B$10,H1107=$B$11,H1107=$B$12,H1107=$B$13,H1107=$B$14),SottocategorieUscite[[#Headers],[Fuori Casa]],IF(OR(H1107=$C$5,H1107=$C$6,H1107=$C$7,H1107=$C$8,H1107=$C$9,H1107=$C$10,H1107=$C$11,H1107=$C$12,H1107=$C$13,H1107=$C$14),SottocategorieUscite[[#Headers],[Varie Uscite]],IF(OR(H1107=$D$5,H1107=$D$6,H1107=$D$7,H1107=$D$8,H1107=$D$9,H1107=$D$10,H1107=$D$11,H1107=$D$12,H1107=$D$13,H1107=$D$14),SottocategorieUscite[[#Headers],[Personali]],IF(OR(H1107=$E$5,H1107=$E$6,H1107=$E$7,H1107=$E$8,H1107=$E$9,H1107=$E$10,H1107=$E$11,H1107=$E$12,H1107=$E$13,H1107=$E$14),SottocategorieUscite[[#Headers],[Lavoro]],IF(OR(H1107=$F$5,H1107=$F$6,H1107=$F$7,H1107=$F$8,H1107=$F$9,H1107=$F$10,H1107=$F$11,H1107=$F$12,H1107=$F$13,H1107=$F$14),SottocategorieUscite[[#Headers],[Casa]],IF(OR(H1107=$G$5,H1107=$G$6,H1107=$G$7,H1107=$G$8,H1107=$G$9,H1107=$G$10,H1107=$G$11,H1107=$G$12,H1107=$G$13,H1107=$G$14),SottocategorieUscite[[#Headers],[Utenze]],IF(OR(H1107=$H$5,H1107=$H$6,H1107=$H$7,H1107=$H$8,H1107=$H$9,H1107=$H$10,H1107=$H$11,H1107=$H$12,H1107=$H$13,H1107=$H$14),SottocategorieUscite[[#Headers],[Business Uscite]],IF(OR(H1107=$I$5,H1107=$I$6,H1107=$I$7,H1107=$I$8,H1107=$I$9,H1107=$I$10,H1107=$I$11,H1107=$I$12,H1107=$I$13,H1107=$I$14),SottocategorieUscite[[#Headers],[Banca]],IF(OR(H1107=K$5,H1107=K$6,H1107=K$7,H1107=K$8,H1107=K$9,H1107=K$10,H1107=K$11,H1107=K$12,H1107=K$13,H1107=K$14),SottocategorieEntrate[[#Headers],[Business Entrate]],IF(OR(H1107=L$5,H1107=L$6,H1107=L$7,H1107=L$8,H1107=L$9,H1107=L$10,H1107=L$11,H1107=L$12,H1107=L$13,H1107=L$14),SottocategorieEntrate[[#Headers],[Varie Entrate]],IF(OR(H1107=M$5,H1107=M$6,H1107=M$7,H1107=M$8,H1107=M$9,H1107=M$10,H1107=M$11,H1107=M$12,H1107=M$13,H1107=M$14),SottocategorieEntrate[[#Headers],[Real Estate]],IF(OR(H1107=N$5,H1107=N$6,H1107=N$7,H1107=N$8,H1107=N$9,H1107=N$10,H1107=N$11,H1107=N$12,H1107=N$13,H1107=N$14),SottocategorieEntrate[[#Headers],[Other]],""))))))))))))</f>
        <v/>
      </c>
      <c r="J1107" t="str">
        <f>IF(OR(Dati[[#This Row],[Categoria]]="Bollette",Dati[[#This Row],[Categoria]]="Conto &amp; Carte BNL",Dati[[#This Row],[Categoria]]="Prelievo",Dati[[#This Row],[Categoria]]="Affitto",Dati[[#This Row],[Categoria]]="BNL(Interessi Creditori)"),"Carta",IF(Dati[[#This Row],[Categoria]]&lt;&gt;0,"Cash",""))</f>
        <v/>
      </c>
      <c r="K1107" s="59" t="str">
        <f>IF(OR(Data!$I1107=SottocategorieUscite[[#Headers],[Fuori Casa]],Data!$I1107=SottocategorieUscite[[#Headers],[Varie Uscite]],Data!$I1107=SottocategorieUscite[[#Headers],[Personali]],Data!$I1107=SottocategorieUscite[[#Headers],[Lavoro]]),"$ -","")</f>
        <v/>
      </c>
      <c r="L1107" s="59" t="str">
        <f>IF(OR(Data!$I1107=SottocategorieUscite[[#Headers],[Casa]],Data!$I1107=SottocategorieUscite[[#Headers],[Utenze]],Data!$I1107=SottocategorieUscite[[#Headers],[Business Uscite]],Data!$I1107=SottocategorieUscite[[#Headers],[Banca]]),"$ -","")</f>
        <v/>
      </c>
      <c r="M1107" s="59" t="str">
        <f>IF(OR($I1107&lt;&gt;SottocategorieUscite[[#Headers],[Fuori Casa]],$I1107&lt;&gt;SottocategorieUscite[[#Headers],[Varie Uscite]],$I1107&lt;&gt;SottocategorieUscite[[#Headers],[Personali]],$I1107&lt;&gt;SottocategorieUscite[[#Headers],[Lavoro]],$I1107&lt;&gt;SottocategorieUscite[[#Headers],[Casa]],$I1107&lt;&gt;SottocategorieUscite[[#Headers],[Utenze]],$I1107&lt;&gt;SottocategorieUscite[[#Headers],[Business Uscite]],$I1107&lt;&gt;SottocategorieUscite[[#Headers],[Banca]]),"","$ -")</f>
        <v/>
      </c>
      <c r="N1107" s="59" t="str">
        <f>IF(OR(Data!$I1107=SottocategorieEntrate[[#Headers],[Business Entrate]],Data!$I1107=SottocategorieEntrate[[#Headers],[Varie Entrate]]),"$ -","")</f>
        <v/>
      </c>
      <c r="O1107" s="59" t="str">
        <f>IF(OR(Data!$I1107=SottocategorieEntrate[[#Headers],[Real Estate]],SottocategorieEntrate[[#Headers],[Other]]),"$ -","")</f>
        <v/>
      </c>
      <c r="P1107" s="59" t="str">
        <f>IF(OR($I1107&lt;&gt;SottocategorieEntrate[[#Headers],[Business Entrate]],$I1107&lt;&gt;SottocategorieEntrate[[#Headers],[Varie Entrate]],$I1107&lt;&gt;SottocategorieEntrate[[#Headers],[Real Estate]],$I1107&lt;&gt;SottocategorieEntrate[[#Headers],[Other]]),"","$ -")</f>
        <v/>
      </c>
      <c r="Q1107" s="59" t="str">
        <f>IF(Dati[[#This Row],[Categoria]]="Prelievo","€ -","")</f>
        <v/>
      </c>
      <c r="R1107" s="244"/>
      <c r="S1107" s="59" t="str">
        <f>IF(Dati[[#This Row],[Categoria]]="Savings",0,"")</f>
        <v/>
      </c>
      <c r="T1107" s="59"/>
      <c r="U1107" s="59"/>
      <c r="V1107" s="59"/>
      <c r="W1107" s="59"/>
      <c r="X1107" s="59"/>
      <c r="Y1107" s="59"/>
      <c r="Z1107" s="59"/>
      <c r="AA1107" s="59"/>
      <c r="AB1107" s="59"/>
      <c r="AC1107" s="59"/>
      <c r="AD1107" s="59"/>
      <c r="AE1107" s="59"/>
      <c r="AF1107" s="59"/>
      <c r="AG1107" s="59"/>
      <c r="AH1107" s="59"/>
      <c r="AI1107" s="59" t="str">
        <f>IF(SUM(Dati[[#This Row],[Inv. Business]:[Inv. Cryptocurrency]])=0," ",SUM(Dati[[#This Row],[Inv. Business]:[Inv. Cryptocurrency]]))</f>
        <v xml:space="preserve"> </v>
      </c>
      <c r="AJ1107" s="59"/>
      <c r="AK1107" s="59" t="str">
        <f>IF(SUM(Dati[[#This Row],[Inv. Gold]:[Mutuo]])=0," ",SUM(Dati[[#This Row],[Inv. Gold]:[Mutuo]]))</f>
        <v xml:space="preserve"> </v>
      </c>
      <c r="AL1107" s="59"/>
      <c r="AM1107" s="59"/>
    </row>
    <row r="1108" spans="2:39" x14ac:dyDescent="0.35">
      <c r="B1108" s="237">
        <f t="shared" si="58"/>
        <v>1088</v>
      </c>
      <c r="C1108" s="49">
        <f t="shared" si="57"/>
        <v>45720</v>
      </c>
      <c r="D1108" s="29">
        <f>DAY(Dati[[#This Row],[Data]])</f>
        <v>4</v>
      </c>
      <c r="E1108" s="29" t="str">
        <f>IF(DAY(Data!$C$21:$C$1327)&gt;0,TEXT(Data!$C$21:$C$1327, "mmmm"),"")</f>
        <v>marzo</v>
      </c>
      <c r="F1108" s="29" t="str">
        <f>IF(DAY(Data!$C$21:$C$1327)&gt;0,TEXT(Data!$C$21:$C$1327, "aaaa"),"")</f>
        <v>2025</v>
      </c>
      <c r="I1108" t="str">
        <f>IF(OR(H1108=$B$5,H1108=$B$6,H1108=$B$7,H1108=$B$8,H1108=$B$9,H1108=$B$10,H1108=$B$11,H1108=$B$12,H1108=$B$13,H1108=$B$14),SottocategorieUscite[[#Headers],[Fuori Casa]],IF(OR(H1108=$C$5,H1108=$C$6,H1108=$C$7,H1108=$C$8,H1108=$C$9,H1108=$C$10,H1108=$C$11,H1108=$C$12,H1108=$C$13,H1108=$C$14),SottocategorieUscite[[#Headers],[Varie Uscite]],IF(OR(H1108=$D$5,H1108=$D$6,H1108=$D$7,H1108=$D$8,H1108=$D$9,H1108=$D$10,H1108=$D$11,H1108=$D$12,H1108=$D$13,H1108=$D$14),SottocategorieUscite[[#Headers],[Personali]],IF(OR(H1108=$E$5,H1108=$E$6,H1108=$E$7,H1108=$E$8,H1108=$E$9,H1108=$E$10,H1108=$E$11,H1108=$E$12,H1108=$E$13,H1108=$E$14),SottocategorieUscite[[#Headers],[Lavoro]],IF(OR(H1108=$F$5,H1108=$F$6,H1108=$F$7,H1108=$F$8,H1108=$F$9,H1108=$F$10,H1108=$F$11,H1108=$F$12,H1108=$F$13,H1108=$F$14),SottocategorieUscite[[#Headers],[Casa]],IF(OR(H1108=$G$5,H1108=$G$6,H1108=$G$7,H1108=$G$8,H1108=$G$9,H1108=$G$10,H1108=$G$11,H1108=$G$12,H1108=$G$13,H1108=$G$14),SottocategorieUscite[[#Headers],[Utenze]],IF(OR(H1108=$H$5,H1108=$H$6,H1108=$H$7,H1108=$H$8,H1108=$H$9,H1108=$H$10,H1108=$H$11,H1108=$H$12,H1108=$H$13,H1108=$H$14),SottocategorieUscite[[#Headers],[Business Uscite]],IF(OR(H1108=$I$5,H1108=$I$6,H1108=$I$7,H1108=$I$8,H1108=$I$9,H1108=$I$10,H1108=$I$11,H1108=$I$12,H1108=$I$13,H1108=$I$14),SottocategorieUscite[[#Headers],[Banca]],IF(OR(H1108=K$5,H1108=K$6,H1108=K$7,H1108=K$8,H1108=K$9,H1108=K$10,H1108=K$11,H1108=K$12,H1108=K$13,H1108=K$14),SottocategorieEntrate[[#Headers],[Business Entrate]],IF(OR(H1108=L$5,H1108=L$6,H1108=L$7,H1108=L$8,H1108=L$9,H1108=L$10,H1108=L$11,H1108=L$12,H1108=L$13,H1108=L$14),SottocategorieEntrate[[#Headers],[Varie Entrate]],IF(OR(H1108=M$5,H1108=M$6,H1108=M$7,H1108=M$8,H1108=M$9,H1108=M$10,H1108=M$11,H1108=M$12,H1108=M$13,H1108=M$14),SottocategorieEntrate[[#Headers],[Real Estate]],IF(OR(H1108=N$5,H1108=N$6,H1108=N$7,H1108=N$8,H1108=N$9,H1108=N$10,H1108=N$11,H1108=N$12,H1108=N$13,H1108=N$14),SottocategorieEntrate[[#Headers],[Other]],""))))))))))))</f>
        <v/>
      </c>
      <c r="J1108" t="str">
        <f>IF(OR(Dati[[#This Row],[Categoria]]="Bollette",Dati[[#This Row],[Categoria]]="Conto &amp; Carte BNL",Dati[[#This Row],[Categoria]]="Prelievo",Dati[[#This Row],[Categoria]]="Affitto",Dati[[#This Row],[Categoria]]="BNL(Interessi Creditori)"),"Carta",IF(Dati[[#This Row],[Categoria]]&lt;&gt;0,"Cash",""))</f>
        <v/>
      </c>
      <c r="K1108" s="59" t="str">
        <f>IF(OR(Data!$I1108=SottocategorieUscite[[#Headers],[Fuori Casa]],Data!$I1108=SottocategorieUscite[[#Headers],[Varie Uscite]],Data!$I1108=SottocategorieUscite[[#Headers],[Personali]],Data!$I1108=SottocategorieUscite[[#Headers],[Lavoro]]),"$ -","")</f>
        <v/>
      </c>
      <c r="L1108" s="59" t="str">
        <f>IF(OR(Data!$I1108=SottocategorieUscite[[#Headers],[Casa]],Data!$I1108=SottocategorieUscite[[#Headers],[Utenze]],Data!$I1108=SottocategorieUscite[[#Headers],[Business Uscite]],Data!$I1108=SottocategorieUscite[[#Headers],[Banca]]),"$ -","")</f>
        <v/>
      </c>
      <c r="M1108" s="59" t="str">
        <f>IF(OR($I1108&lt;&gt;SottocategorieUscite[[#Headers],[Fuori Casa]],$I1108&lt;&gt;SottocategorieUscite[[#Headers],[Varie Uscite]],$I1108&lt;&gt;SottocategorieUscite[[#Headers],[Personali]],$I1108&lt;&gt;SottocategorieUscite[[#Headers],[Lavoro]],$I1108&lt;&gt;SottocategorieUscite[[#Headers],[Casa]],$I1108&lt;&gt;SottocategorieUscite[[#Headers],[Utenze]],$I1108&lt;&gt;SottocategorieUscite[[#Headers],[Business Uscite]],$I1108&lt;&gt;SottocategorieUscite[[#Headers],[Banca]]),"","$ -")</f>
        <v/>
      </c>
      <c r="N1108" s="59" t="str">
        <f>IF(OR(Data!$I1108=SottocategorieEntrate[[#Headers],[Business Entrate]],Data!$I1108=SottocategorieEntrate[[#Headers],[Varie Entrate]]),"$ -","")</f>
        <v/>
      </c>
      <c r="O1108" s="59" t="str">
        <f>IF(OR(Data!$I1108=SottocategorieEntrate[[#Headers],[Real Estate]],SottocategorieEntrate[[#Headers],[Other]]),"$ -","")</f>
        <v/>
      </c>
      <c r="P1108" s="59" t="str">
        <f>IF(OR($I1108&lt;&gt;SottocategorieEntrate[[#Headers],[Business Entrate]],$I1108&lt;&gt;SottocategorieEntrate[[#Headers],[Varie Entrate]],$I1108&lt;&gt;SottocategorieEntrate[[#Headers],[Real Estate]],$I1108&lt;&gt;SottocategorieEntrate[[#Headers],[Other]]),"","$ -")</f>
        <v/>
      </c>
      <c r="Q1108" s="59" t="str">
        <f>IF(Dati[[#This Row],[Categoria]]="Prelievo","€ -","")</f>
        <v/>
      </c>
      <c r="R1108" s="244"/>
      <c r="S1108" s="59" t="str">
        <f>IF(Dati[[#This Row],[Categoria]]="Savings",0,"")</f>
        <v/>
      </c>
      <c r="T1108" s="59"/>
      <c r="U1108" s="59"/>
      <c r="V1108" s="59"/>
      <c r="W1108" s="59"/>
      <c r="X1108" s="59"/>
      <c r="Y1108" s="59"/>
      <c r="Z1108" s="59"/>
      <c r="AA1108" s="59"/>
      <c r="AB1108" s="59"/>
      <c r="AC1108" s="59"/>
      <c r="AD1108" s="59"/>
      <c r="AE1108" s="59"/>
      <c r="AF1108" s="59"/>
      <c r="AG1108" s="59"/>
      <c r="AH1108" s="59"/>
      <c r="AI1108" s="59" t="str">
        <f>IF(SUM(Dati[[#This Row],[Inv. Business]:[Inv. Cryptocurrency]])=0," ",SUM(Dati[[#This Row],[Inv. Business]:[Inv. Cryptocurrency]]))</f>
        <v xml:space="preserve"> </v>
      </c>
      <c r="AJ1108" s="59"/>
      <c r="AK1108" s="59" t="str">
        <f>IF(SUM(Dati[[#This Row],[Inv. Gold]:[Mutuo]])=0," ",SUM(Dati[[#This Row],[Inv. Gold]:[Mutuo]]))</f>
        <v xml:space="preserve"> </v>
      </c>
      <c r="AL1108" s="59"/>
      <c r="AM1108" s="59"/>
    </row>
    <row r="1109" spans="2:39" x14ac:dyDescent="0.35">
      <c r="B1109" s="237">
        <f t="shared" si="58"/>
        <v>1089</v>
      </c>
      <c r="C1109" s="49">
        <f t="shared" si="57"/>
        <v>45721</v>
      </c>
      <c r="D1109" s="29">
        <f>DAY(Dati[[#This Row],[Data]])</f>
        <v>5</v>
      </c>
      <c r="E1109" s="29" t="str">
        <f>IF(DAY(Data!$C$21:$C$1327)&gt;0,TEXT(Data!$C$21:$C$1327, "mmmm"),"")</f>
        <v>marzo</v>
      </c>
      <c r="F1109" s="29" t="str">
        <f>IF(DAY(Data!$C$21:$C$1327)&gt;0,TEXT(Data!$C$21:$C$1327, "aaaa"),"")</f>
        <v>2025</v>
      </c>
      <c r="I1109" t="str">
        <f>IF(OR(H1109=$B$5,H1109=$B$6,H1109=$B$7,H1109=$B$8,H1109=$B$9,H1109=$B$10,H1109=$B$11,H1109=$B$12,H1109=$B$13,H1109=$B$14),SottocategorieUscite[[#Headers],[Fuori Casa]],IF(OR(H1109=$C$5,H1109=$C$6,H1109=$C$7,H1109=$C$8,H1109=$C$9,H1109=$C$10,H1109=$C$11,H1109=$C$12,H1109=$C$13,H1109=$C$14),SottocategorieUscite[[#Headers],[Varie Uscite]],IF(OR(H1109=$D$5,H1109=$D$6,H1109=$D$7,H1109=$D$8,H1109=$D$9,H1109=$D$10,H1109=$D$11,H1109=$D$12,H1109=$D$13,H1109=$D$14),SottocategorieUscite[[#Headers],[Personali]],IF(OR(H1109=$E$5,H1109=$E$6,H1109=$E$7,H1109=$E$8,H1109=$E$9,H1109=$E$10,H1109=$E$11,H1109=$E$12,H1109=$E$13,H1109=$E$14),SottocategorieUscite[[#Headers],[Lavoro]],IF(OR(H1109=$F$5,H1109=$F$6,H1109=$F$7,H1109=$F$8,H1109=$F$9,H1109=$F$10,H1109=$F$11,H1109=$F$12,H1109=$F$13,H1109=$F$14),SottocategorieUscite[[#Headers],[Casa]],IF(OR(H1109=$G$5,H1109=$G$6,H1109=$G$7,H1109=$G$8,H1109=$G$9,H1109=$G$10,H1109=$G$11,H1109=$G$12,H1109=$G$13,H1109=$G$14),SottocategorieUscite[[#Headers],[Utenze]],IF(OR(H1109=$H$5,H1109=$H$6,H1109=$H$7,H1109=$H$8,H1109=$H$9,H1109=$H$10,H1109=$H$11,H1109=$H$12,H1109=$H$13,H1109=$H$14),SottocategorieUscite[[#Headers],[Business Uscite]],IF(OR(H1109=$I$5,H1109=$I$6,H1109=$I$7,H1109=$I$8,H1109=$I$9,H1109=$I$10,H1109=$I$11,H1109=$I$12,H1109=$I$13,H1109=$I$14),SottocategorieUscite[[#Headers],[Banca]],IF(OR(H1109=K$5,H1109=K$6,H1109=K$7,H1109=K$8,H1109=K$9,H1109=K$10,H1109=K$11,H1109=K$12,H1109=K$13,H1109=K$14),SottocategorieEntrate[[#Headers],[Business Entrate]],IF(OR(H1109=L$5,H1109=L$6,H1109=L$7,H1109=L$8,H1109=L$9,H1109=L$10,H1109=L$11,H1109=L$12,H1109=L$13,H1109=L$14),SottocategorieEntrate[[#Headers],[Varie Entrate]],IF(OR(H1109=M$5,H1109=M$6,H1109=M$7,H1109=M$8,H1109=M$9,H1109=M$10,H1109=M$11,H1109=M$12,H1109=M$13,H1109=M$14),SottocategorieEntrate[[#Headers],[Real Estate]],IF(OR(H1109=N$5,H1109=N$6,H1109=N$7,H1109=N$8,H1109=N$9,H1109=N$10,H1109=N$11,H1109=N$12,H1109=N$13,H1109=N$14),SottocategorieEntrate[[#Headers],[Other]],""))))))))))))</f>
        <v/>
      </c>
      <c r="J1109" t="str">
        <f>IF(OR(Dati[[#This Row],[Categoria]]="Bollette",Dati[[#This Row],[Categoria]]="Conto &amp; Carte BNL",Dati[[#This Row],[Categoria]]="Prelievo",Dati[[#This Row],[Categoria]]="Affitto",Dati[[#This Row],[Categoria]]="BNL(Interessi Creditori)"),"Carta",IF(Dati[[#This Row],[Categoria]]&lt;&gt;0,"Cash",""))</f>
        <v/>
      </c>
      <c r="K1109" s="59" t="str">
        <f>IF(OR(Data!$I1109=SottocategorieUscite[[#Headers],[Fuori Casa]],Data!$I1109=SottocategorieUscite[[#Headers],[Varie Uscite]],Data!$I1109=SottocategorieUscite[[#Headers],[Personali]],Data!$I1109=SottocategorieUscite[[#Headers],[Lavoro]]),"$ -","")</f>
        <v/>
      </c>
      <c r="L1109" s="59" t="str">
        <f>IF(OR(Data!$I1109=SottocategorieUscite[[#Headers],[Casa]],Data!$I1109=SottocategorieUscite[[#Headers],[Utenze]],Data!$I1109=SottocategorieUscite[[#Headers],[Business Uscite]],Data!$I1109=SottocategorieUscite[[#Headers],[Banca]]),"$ -","")</f>
        <v/>
      </c>
      <c r="M1109" s="59" t="str">
        <f>IF(OR($I1109&lt;&gt;SottocategorieUscite[[#Headers],[Fuori Casa]],$I1109&lt;&gt;SottocategorieUscite[[#Headers],[Varie Uscite]],$I1109&lt;&gt;SottocategorieUscite[[#Headers],[Personali]],$I1109&lt;&gt;SottocategorieUscite[[#Headers],[Lavoro]],$I1109&lt;&gt;SottocategorieUscite[[#Headers],[Casa]],$I1109&lt;&gt;SottocategorieUscite[[#Headers],[Utenze]],$I1109&lt;&gt;SottocategorieUscite[[#Headers],[Business Uscite]],$I1109&lt;&gt;SottocategorieUscite[[#Headers],[Banca]]),"","$ -")</f>
        <v/>
      </c>
      <c r="N1109" s="59" t="str">
        <f>IF(OR(Data!$I1109=SottocategorieEntrate[[#Headers],[Business Entrate]],Data!$I1109=SottocategorieEntrate[[#Headers],[Varie Entrate]]),"$ -","")</f>
        <v/>
      </c>
      <c r="O1109" s="59" t="str">
        <f>IF(OR(Data!$I1109=SottocategorieEntrate[[#Headers],[Real Estate]],SottocategorieEntrate[[#Headers],[Other]]),"$ -","")</f>
        <v/>
      </c>
      <c r="P1109" s="59" t="str">
        <f>IF(OR($I1109&lt;&gt;SottocategorieEntrate[[#Headers],[Business Entrate]],$I1109&lt;&gt;SottocategorieEntrate[[#Headers],[Varie Entrate]],$I1109&lt;&gt;SottocategorieEntrate[[#Headers],[Real Estate]],$I1109&lt;&gt;SottocategorieEntrate[[#Headers],[Other]]),"","$ -")</f>
        <v/>
      </c>
      <c r="Q1109" s="59" t="str">
        <f>IF(Dati[[#This Row],[Categoria]]="Prelievo","€ -","")</f>
        <v/>
      </c>
      <c r="R1109" s="244"/>
      <c r="S1109" s="59" t="str">
        <f>IF(Dati[[#This Row],[Categoria]]="Savings",0,"")</f>
        <v/>
      </c>
      <c r="T1109" s="59"/>
      <c r="U1109" s="59"/>
      <c r="V1109" s="59"/>
      <c r="W1109" s="59"/>
      <c r="X1109" s="59"/>
      <c r="Y1109" s="59"/>
      <c r="Z1109" s="59"/>
      <c r="AA1109" s="59"/>
      <c r="AB1109" s="59"/>
      <c r="AC1109" s="59"/>
      <c r="AD1109" s="59"/>
      <c r="AE1109" s="59"/>
      <c r="AF1109" s="59"/>
      <c r="AG1109" s="59"/>
      <c r="AH1109" s="59"/>
      <c r="AI1109" s="59" t="str">
        <f>IF(SUM(Dati[[#This Row],[Inv. Business]:[Inv. Cryptocurrency]])=0," ",SUM(Dati[[#This Row],[Inv. Business]:[Inv. Cryptocurrency]]))</f>
        <v xml:space="preserve"> </v>
      </c>
      <c r="AJ1109" s="59"/>
      <c r="AK1109" s="59" t="str">
        <f>IF(SUM(Dati[[#This Row],[Inv. Gold]:[Mutuo]])=0," ",SUM(Dati[[#This Row],[Inv. Gold]:[Mutuo]]))</f>
        <v xml:space="preserve"> </v>
      </c>
      <c r="AL1109" s="59"/>
      <c r="AM1109" s="59"/>
    </row>
    <row r="1110" spans="2:39" x14ac:dyDescent="0.35">
      <c r="B1110" s="237">
        <f t="shared" ref="B1110:B1136" si="59">ROW(1090:1090)</f>
        <v>1090</v>
      </c>
      <c r="C1110" s="49">
        <f t="shared" si="57"/>
        <v>45722</v>
      </c>
      <c r="D1110" s="29">
        <f>DAY(Dati[[#This Row],[Data]])</f>
        <v>6</v>
      </c>
      <c r="E1110" s="29" t="str">
        <f>IF(DAY(Data!$C$21:$C$1327)&gt;0,TEXT(Data!$C$21:$C$1327, "mmmm"),"")</f>
        <v>marzo</v>
      </c>
      <c r="F1110" s="29" t="str">
        <f>IF(DAY(Data!$C$21:$C$1327)&gt;0,TEXT(Data!$C$21:$C$1327, "aaaa"),"")</f>
        <v>2025</v>
      </c>
      <c r="I1110" t="str">
        <f>IF(OR(H1110=$B$5,H1110=$B$6,H1110=$B$7,H1110=$B$8,H1110=$B$9,H1110=$B$10,H1110=$B$11,H1110=$B$12,H1110=$B$13,H1110=$B$14),SottocategorieUscite[[#Headers],[Fuori Casa]],IF(OR(H1110=$C$5,H1110=$C$6,H1110=$C$7,H1110=$C$8,H1110=$C$9,H1110=$C$10,H1110=$C$11,H1110=$C$12,H1110=$C$13,H1110=$C$14),SottocategorieUscite[[#Headers],[Varie Uscite]],IF(OR(H1110=$D$5,H1110=$D$6,H1110=$D$7,H1110=$D$8,H1110=$D$9,H1110=$D$10,H1110=$D$11,H1110=$D$12,H1110=$D$13,H1110=$D$14),SottocategorieUscite[[#Headers],[Personali]],IF(OR(H1110=$E$5,H1110=$E$6,H1110=$E$7,H1110=$E$8,H1110=$E$9,H1110=$E$10,H1110=$E$11,H1110=$E$12,H1110=$E$13,H1110=$E$14),SottocategorieUscite[[#Headers],[Lavoro]],IF(OR(H1110=$F$5,H1110=$F$6,H1110=$F$7,H1110=$F$8,H1110=$F$9,H1110=$F$10,H1110=$F$11,H1110=$F$12,H1110=$F$13,H1110=$F$14),SottocategorieUscite[[#Headers],[Casa]],IF(OR(H1110=$G$5,H1110=$G$6,H1110=$G$7,H1110=$G$8,H1110=$G$9,H1110=$G$10,H1110=$G$11,H1110=$G$12,H1110=$G$13,H1110=$G$14),SottocategorieUscite[[#Headers],[Utenze]],IF(OR(H1110=$H$5,H1110=$H$6,H1110=$H$7,H1110=$H$8,H1110=$H$9,H1110=$H$10,H1110=$H$11,H1110=$H$12,H1110=$H$13,H1110=$H$14),SottocategorieUscite[[#Headers],[Business Uscite]],IF(OR(H1110=$I$5,H1110=$I$6,H1110=$I$7,H1110=$I$8,H1110=$I$9,H1110=$I$10,H1110=$I$11,H1110=$I$12,H1110=$I$13,H1110=$I$14),SottocategorieUscite[[#Headers],[Banca]],IF(OR(H1110=K$5,H1110=K$6,H1110=K$7,H1110=K$8,H1110=K$9,H1110=K$10,H1110=K$11,H1110=K$12,H1110=K$13,H1110=K$14),SottocategorieEntrate[[#Headers],[Business Entrate]],IF(OR(H1110=L$5,H1110=L$6,H1110=L$7,H1110=L$8,H1110=L$9,H1110=L$10,H1110=L$11,H1110=L$12,H1110=L$13,H1110=L$14),SottocategorieEntrate[[#Headers],[Varie Entrate]],IF(OR(H1110=M$5,H1110=M$6,H1110=M$7,H1110=M$8,H1110=M$9,H1110=M$10,H1110=M$11,H1110=M$12,H1110=M$13,H1110=M$14),SottocategorieEntrate[[#Headers],[Real Estate]],IF(OR(H1110=N$5,H1110=N$6,H1110=N$7,H1110=N$8,H1110=N$9,H1110=N$10,H1110=N$11,H1110=N$12,H1110=N$13,H1110=N$14),SottocategorieEntrate[[#Headers],[Other]],""))))))))))))</f>
        <v/>
      </c>
      <c r="J1110" t="str">
        <f>IF(OR(Dati[[#This Row],[Categoria]]="Bollette",Dati[[#This Row],[Categoria]]="Conto &amp; Carte BNL",Dati[[#This Row],[Categoria]]="Prelievo",Dati[[#This Row],[Categoria]]="Affitto",Dati[[#This Row],[Categoria]]="BNL(Interessi Creditori)"),"Carta",IF(Dati[[#This Row],[Categoria]]&lt;&gt;0,"Cash",""))</f>
        <v/>
      </c>
      <c r="K1110" s="59" t="str">
        <f>IF(OR(Data!$I1110=SottocategorieUscite[[#Headers],[Fuori Casa]],Data!$I1110=SottocategorieUscite[[#Headers],[Varie Uscite]],Data!$I1110=SottocategorieUscite[[#Headers],[Personali]],Data!$I1110=SottocategorieUscite[[#Headers],[Lavoro]]),"$ -","")</f>
        <v/>
      </c>
      <c r="L1110" s="59" t="str">
        <f>IF(OR(Data!$I1110=SottocategorieUscite[[#Headers],[Casa]],Data!$I1110=SottocategorieUscite[[#Headers],[Utenze]],Data!$I1110=SottocategorieUscite[[#Headers],[Business Uscite]],Data!$I1110=SottocategorieUscite[[#Headers],[Banca]]),"$ -","")</f>
        <v/>
      </c>
      <c r="M1110" s="59" t="str">
        <f>IF(OR($I1110&lt;&gt;SottocategorieUscite[[#Headers],[Fuori Casa]],$I1110&lt;&gt;SottocategorieUscite[[#Headers],[Varie Uscite]],$I1110&lt;&gt;SottocategorieUscite[[#Headers],[Personali]],$I1110&lt;&gt;SottocategorieUscite[[#Headers],[Lavoro]],$I1110&lt;&gt;SottocategorieUscite[[#Headers],[Casa]],$I1110&lt;&gt;SottocategorieUscite[[#Headers],[Utenze]],$I1110&lt;&gt;SottocategorieUscite[[#Headers],[Business Uscite]],$I1110&lt;&gt;SottocategorieUscite[[#Headers],[Banca]]),"","$ -")</f>
        <v/>
      </c>
      <c r="N1110" s="59" t="str">
        <f>IF(OR(Data!$I1110=SottocategorieEntrate[[#Headers],[Business Entrate]],Data!$I1110=SottocategorieEntrate[[#Headers],[Varie Entrate]]),"$ -","")</f>
        <v/>
      </c>
      <c r="O1110" s="59" t="str">
        <f>IF(OR(Data!$I1110=SottocategorieEntrate[[#Headers],[Real Estate]],SottocategorieEntrate[[#Headers],[Other]]),"$ -","")</f>
        <v/>
      </c>
      <c r="P1110" s="59" t="str">
        <f>IF(OR($I1110&lt;&gt;SottocategorieEntrate[[#Headers],[Business Entrate]],$I1110&lt;&gt;SottocategorieEntrate[[#Headers],[Varie Entrate]],$I1110&lt;&gt;SottocategorieEntrate[[#Headers],[Real Estate]],$I1110&lt;&gt;SottocategorieEntrate[[#Headers],[Other]]),"","$ -")</f>
        <v/>
      </c>
      <c r="Q1110" s="59" t="str">
        <f>IF(Dati[[#This Row],[Categoria]]="Prelievo","€ -","")</f>
        <v/>
      </c>
      <c r="R1110" s="244"/>
      <c r="S1110" s="59" t="str">
        <f>IF(Dati[[#This Row],[Categoria]]="Savings",0,"")</f>
        <v/>
      </c>
      <c r="T1110" s="59"/>
      <c r="U1110" s="59"/>
      <c r="V1110" s="59"/>
      <c r="W1110" s="59"/>
      <c r="X1110" s="59"/>
      <c r="Y1110" s="59"/>
      <c r="Z1110" s="59"/>
      <c r="AA1110" s="59"/>
      <c r="AB1110" s="59"/>
      <c r="AC1110" s="59"/>
      <c r="AD1110" s="59"/>
      <c r="AE1110" s="59"/>
      <c r="AF1110" s="59"/>
      <c r="AG1110" s="59"/>
      <c r="AH1110" s="59"/>
      <c r="AI1110" s="59" t="str">
        <f>IF(SUM(Dati[[#This Row],[Inv. Business]:[Inv. Cryptocurrency]])=0," ",SUM(Dati[[#This Row],[Inv. Business]:[Inv. Cryptocurrency]]))</f>
        <v xml:space="preserve"> </v>
      </c>
      <c r="AJ1110" s="59"/>
      <c r="AK1110" s="59" t="str">
        <f>IF(SUM(Dati[[#This Row],[Inv. Gold]:[Mutuo]])=0," ",SUM(Dati[[#This Row],[Inv. Gold]:[Mutuo]]))</f>
        <v xml:space="preserve"> </v>
      </c>
      <c r="AL1110" s="59"/>
      <c r="AM1110" s="59"/>
    </row>
    <row r="1111" spans="2:39" x14ac:dyDescent="0.35">
      <c r="B1111" s="237">
        <f t="shared" si="59"/>
        <v>1091</v>
      </c>
      <c r="C1111" s="49">
        <f t="shared" si="57"/>
        <v>45723</v>
      </c>
      <c r="D1111" s="29">
        <f>DAY(Dati[[#This Row],[Data]])</f>
        <v>7</v>
      </c>
      <c r="E1111" s="29" t="str">
        <f>IF(DAY(Data!$C$21:$C$1327)&gt;0,TEXT(Data!$C$21:$C$1327, "mmmm"),"")</f>
        <v>marzo</v>
      </c>
      <c r="F1111" s="29" t="str">
        <f>IF(DAY(Data!$C$21:$C$1327)&gt;0,TEXT(Data!$C$21:$C$1327, "aaaa"),"")</f>
        <v>2025</v>
      </c>
      <c r="I1111" t="str">
        <f>IF(OR(H1111=$B$5,H1111=$B$6,H1111=$B$7,H1111=$B$8,H1111=$B$9,H1111=$B$10,H1111=$B$11,H1111=$B$12,H1111=$B$13,H1111=$B$14),SottocategorieUscite[[#Headers],[Fuori Casa]],IF(OR(H1111=$C$5,H1111=$C$6,H1111=$C$7,H1111=$C$8,H1111=$C$9,H1111=$C$10,H1111=$C$11,H1111=$C$12,H1111=$C$13,H1111=$C$14),SottocategorieUscite[[#Headers],[Varie Uscite]],IF(OR(H1111=$D$5,H1111=$D$6,H1111=$D$7,H1111=$D$8,H1111=$D$9,H1111=$D$10,H1111=$D$11,H1111=$D$12,H1111=$D$13,H1111=$D$14),SottocategorieUscite[[#Headers],[Personali]],IF(OR(H1111=$E$5,H1111=$E$6,H1111=$E$7,H1111=$E$8,H1111=$E$9,H1111=$E$10,H1111=$E$11,H1111=$E$12,H1111=$E$13,H1111=$E$14),SottocategorieUscite[[#Headers],[Lavoro]],IF(OR(H1111=$F$5,H1111=$F$6,H1111=$F$7,H1111=$F$8,H1111=$F$9,H1111=$F$10,H1111=$F$11,H1111=$F$12,H1111=$F$13,H1111=$F$14),SottocategorieUscite[[#Headers],[Casa]],IF(OR(H1111=$G$5,H1111=$G$6,H1111=$G$7,H1111=$G$8,H1111=$G$9,H1111=$G$10,H1111=$G$11,H1111=$G$12,H1111=$G$13,H1111=$G$14),SottocategorieUscite[[#Headers],[Utenze]],IF(OR(H1111=$H$5,H1111=$H$6,H1111=$H$7,H1111=$H$8,H1111=$H$9,H1111=$H$10,H1111=$H$11,H1111=$H$12,H1111=$H$13,H1111=$H$14),SottocategorieUscite[[#Headers],[Business Uscite]],IF(OR(H1111=$I$5,H1111=$I$6,H1111=$I$7,H1111=$I$8,H1111=$I$9,H1111=$I$10,H1111=$I$11,H1111=$I$12,H1111=$I$13,H1111=$I$14),SottocategorieUscite[[#Headers],[Banca]],IF(OR(H1111=K$5,H1111=K$6,H1111=K$7,H1111=K$8,H1111=K$9,H1111=K$10,H1111=K$11,H1111=K$12,H1111=K$13,H1111=K$14),SottocategorieEntrate[[#Headers],[Business Entrate]],IF(OR(H1111=L$5,H1111=L$6,H1111=L$7,H1111=L$8,H1111=L$9,H1111=L$10,H1111=L$11,H1111=L$12,H1111=L$13,H1111=L$14),SottocategorieEntrate[[#Headers],[Varie Entrate]],IF(OR(H1111=M$5,H1111=M$6,H1111=M$7,H1111=M$8,H1111=M$9,H1111=M$10,H1111=M$11,H1111=M$12,H1111=M$13,H1111=M$14),SottocategorieEntrate[[#Headers],[Real Estate]],IF(OR(H1111=N$5,H1111=N$6,H1111=N$7,H1111=N$8,H1111=N$9,H1111=N$10,H1111=N$11,H1111=N$12,H1111=N$13,H1111=N$14),SottocategorieEntrate[[#Headers],[Other]],""))))))))))))</f>
        <v/>
      </c>
      <c r="J1111" t="str">
        <f>IF(OR(Dati[[#This Row],[Categoria]]="Bollette",Dati[[#This Row],[Categoria]]="Conto &amp; Carte BNL",Dati[[#This Row],[Categoria]]="Prelievo",Dati[[#This Row],[Categoria]]="Affitto",Dati[[#This Row],[Categoria]]="BNL(Interessi Creditori)"),"Carta",IF(Dati[[#This Row],[Categoria]]&lt;&gt;0,"Cash",""))</f>
        <v/>
      </c>
      <c r="K1111" s="59" t="str">
        <f>IF(OR(Data!$I1111=SottocategorieUscite[[#Headers],[Fuori Casa]],Data!$I1111=SottocategorieUscite[[#Headers],[Varie Uscite]],Data!$I1111=SottocategorieUscite[[#Headers],[Personali]],Data!$I1111=SottocategorieUscite[[#Headers],[Lavoro]]),"$ -","")</f>
        <v/>
      </c>
      <c r="L1111" s="59" t="str">
        <f>IF(OR(Data!$I1111=SottocategorieUscite[[#Headers],[Casa]],Data!$I1111=SottocategorieUscite[[#Headers],[Utenze]],Data!$I1111=SottocategorieUscite[[#Headers],[Business Uscite]],Data!$I1111=SottocategorieUscite[[#Headers],[Banca]]),"$ -","")</f>
        <v/>
      </c>
      <c r="M1111" s="59" t="str">
        <f>IF(OR($I1111&lt;&gt;SottocategorieUscite[[#Headers],[Fuori Casa]],$I1111&lt;&gt;SottocategorieUscite[[#Headers],[Varie Uscite]],$I1111&lt;&gt;SottocategorieUscite[[#Headers],[Personali]],$I1111&lt;&gt;SottocategorieUscite[[#Headers],[Lavoro]],$I1111&lt;&gt;SottocategorieUscite[[#Headers],[Casa]],$I1111&lt;&gt;SottocategorieUscite[[#Headers],[Utenze]],$I1111&lt;&gt;SottocategorieUscite[[#Headers],[Business Uscite]],$I1111&lt;&gt;SottocategorieUscite[[#Headers],[Banca]]),"","$ -")</f>
        <v/>
      </c>
      <c r="N1111" s="59" t="str">
        <f>IF(OR(Data!$I1111=SottocategorieEntrate[[#Headers],[Business Entrate]],Data!$I1111=SottocategorieEntrate[[#Headers],[Varie Entrate]]),"$ -","")</f>
        <v/>
      </c>
      <c r="O1111" s="59" t="str">
        <f>IF(OR(Data!$I1111=SottocategorieEntrate[[#Headers],[Real Estate]],SottocategorieEntrate[[#Headers],[Other]]),"$ -","")</f>
        <v/>
      </c>
      <c r="P1111" s="59" t="str">
        <f>IF(OR($I1111&lt;&gt;SottocategorieEntrate[[#Headers],[Business Entrate]],$I1111&lt;&gt;SottocategorieEntrate[[#Headers],[Varie Entrate]],$I1111&lt;&gt;SottocategorieEntrate[[#Headers],[Real Estate]],$I1111&lt;&gt;SottocategorieEntrate[[#Headers],[Other]]),"","$ -")</f>
        <v/>
      </c>
      <c r="Q1111" s="59" t="str">
        <f>IF(Dati[[#This Row],[Categoria]]="Prelievo","€ -","")</f>
        <v/>
      </c>
      <c r="R1111" s="244"/>
      <c r="S1111" s="59" t="str">
        <f>IF(Dati[[#This Row],[Categoria]]="Savings",0,"")</f>
        <v/>
      </c>
      <c r="T1111" s="59"/>
      <c r="U1111" s="59"/>
      <c r="V1111" s="59"/>
      <c r="W1111" s="59"/>
      <c r="X1111" s="59"/>
      <c r="Y1111" s="59"/>
      <c r="Z1111" s="59"/>
      <c r="AA1111" s="59"/>
      <c r="AB1111" s="59"/>
      <c r="AC1111" s="59"/>
      <c r="AD1111" s="59"/>
      <c r="AE1111" s="59"/>
      <c r="AF1111" s="59"/>
      <c r="AG1111" s="59"/>
      <c r="AH1111" s="59"/>
      <c r="AI1111" s="59" t="str">
        <f>IF(SUM(Dati[[#This Row],[Inv. Business]:[Inv. Cryptocurrency]])=0," ",SUM(Dati[[#This Row],[Inv. Business]:[Inv. Cryptocurrency]]))</f>
        <v xml:space="preserve"> </v>
      </c>
      <c r="AJ1111" s="59"/>
      <c r="AK1111" s="59" t="str">
        <f>IF(SUM(Dati[[#This Row],[Inv. Gold]:[Mutuo]])=0," ",SUM(Dati[[#This Row],[Inv. Gold]:[Mutuo]]))</f>
        <v xml:space="preserve"> </v>
      </c>
      <c r="AL1111" s="59"/>
      <c r="AM1111" s="59"/>
    </row>
    <row r="1112" spans="2:39" x14ac:dyDescent="0.35">
      <c r="B1112" s="237">
        <f t="shared" si="59"/>
        <v>1092</v>
      </c>
      <c r="C1112" s="49">
        <f t="shared" si="57"/>
        <v>45724</v>
      </c>
      <c r="D1112" s="29">
        <f>DAY(Dati[[#This Row],[Data]])</f>
        <v>8</v>
      </c>
      <c r="E1112" s="29" t="str">
        <f>IF(DAY(Data!$C$21:$C$1327)&gt;0,TEXT(Data!$C$21:$C$1327, "mmmm"),"")</f>
        <v>marzo</v>
      </c>
      <c r="F1112" s="29" t="str">
        <f>IF(DAY(Data!$C$21:$C$1327)&gt;0,TEXT(Data!$C$21:$C$1327, "aaaa"),"")</f>
        <v>2025</v>
      </c>
      <c r="I1112" t="str">
        <f>IF(OR(H1112=$B$5,H1112=$B$6,H1112=$B$7,H1112=$B$8,H1112=$B$9,H1112=$B$10,H1112=$B$11,H1112=$B$12,H1112=$B$13,H1112=$B$14),SottocategorieUscite[[#Headers],[Fuori Casa]],IF(OR(H1112=$C$5,H1112=$C$6,H1112=$C$7,H1112=$C$8,H1112=$C$9,H1112=$C$10,H1112=$C$11,H1112=$C$12,H1112=$C$13,H1112=$C$14),SottocategorieUscite[[#Headers],[Varie Uscite]],IF(OR(H1112=$D$5,H1112=$D$6,H1112=$D$7,H1112=$D$8,H1112=$D$9,H1112=$D$10,H1112=$D$11,H1112=$D$12,H1112=$D$13,H1112=$D$14),SottocategorieUscite[[#Headers],[Personali]],IF(OR(H1112=$E$5,H1112=$E$6,H1112=$E$7,H1112=$E$8,H1112=$E$9,H1112=$E$10,H1112=$E$11,H1112=$E$12,H1112=$E$13,H1112=$E$14),SottocategorieUscite[[#Headers],[Lavoro]],IF(OR(H1112=$F$5,H1112=$F$6,H1112=$F$7,H1112=$F$8,H1112=$F$9,H1112=$F$10,H1112=$F$11,H1112=$F$12,H1112=$F$13,H1112=$F$14),SottocategorieUscite[[#Headers],[Casa]],IF(OR(H1112=$G$5,H1112=$G$6,H1112=$G$7,H1112=$G$8,H1112=$G$9,H1112=$G$10,H1112=$G$11,H1112=$G$12,H1112=$G$13,H1112=$G$14),SottocategorieUscite[[#Headers],[Utenze]],IF(OR(H1112=$H$5,H1112=$H$6,H1112=$H$7,H1112=$H$8,H1112=$H$9,H1112=$H$10,H1112=$H$11,H1112=$H$12,H1112=$H$13,H1112=$H$14),SottocategorieUscite[[#Headers],[Business Uscite]],IF(OR(H1112=$I$5,H1112=$I$6,H1112=$I$7,H1112=$I$8,H1112=$I$9,H1112=$I$10,H1112=$I$11,H1112=$I$12,H1112=$I$13,H1112=$I$14),SottocategorieUscite[[#Headers],[Banca]],IF(OR(H1112=K$5,H1112=K$6,H1112=K$7,H1112=K$8,H1112=K$9,H1112=K$10,H1112=K$11,H1112=K$12,H1112=K$13,H1112=K$14),SottocategorieEntrate[[#Headers],[Business Entrate]],IF(OR(H1112=L$5,H1112=L$6,H1112=L$7,H1112=L$8,H1112=L$9,H1112=L$10,H1112=L$11,H1112=L$12,H1112=L$13,H1112=L$14),SottocategorieEntrate[[#Headers],[Varie Entrate]],IF(OR(H1112=M$5,H1112=M$6,H1112=M$7,H1112=M$8,H1112=M$9,H1112=M$10,H1112=M$11,H1112=M$12,H1112=M$13,H1112=M$14),SottocategorieEntrate[[#Headers],[Real Estate]],IF(OR(H1112=N$5,H1112=N$6,H1112=N$7,H1112=N$8,H1112=N$9,H1112=N$10,H1112=N$11,H1112=N$12,H1112=N$13,H1112=N$14),SottocategorieEntrate[[#Headers],[Other]],""))))))))))))</f>
        <v/>
      </c>
      <c r="J1112" t="str">
        <f>IF(OR(Dati[[#This Row],[Categoria]]="Bollette",Dati[[#This Row],[Categoria]]="Conto &amp; Carte BNL",Dati[[#This Row],[Categoria]]="Prelievo",Dati[[#This Row],[Categoria]]="Affitto",Dati[[#This Row],[Categoria]]="BNL(Interessi Creditori)"),"Carta",IF(Dati[[#This Row],[Categoria]]&lt;&gt;0,"Cash",""))</f>
        <v/>
      </c>
      <c r="K1112" s="59" t="str">
        <f>IF(OR(Data!$I1112=SottocategorieUscite[[#Headers],[Fuori Casa]],Data!$I1112=SottocategorieUscite[[#Headers],[Varie Uscite]],Data!$I1112=SottocategorieUscite[[#Headers],[Personali]],Data!$I1112=SottocategorieUscite[[#Headers],[Lavoro]]),"$ -","")</f>
        <v/>
      </c>
      <c r="L1112" s="59" t="str">
        <f>IF(OR(Data!$I1112=SottocategorieUscite[[#Headers],[Casa]],Data!$I1112=SottocategorieUscite[[#Headers],[Utenze]],Data!$I1112=SottocategorieUscite[[#Headers],[Business Uscite]],Data!$I1112=SottocategorieUscite[[#Headers],[Banca]]),"$ -","")</f>
        <v/>
      </c>
      <c r="M1112" s="59" t="str">
        <f>IF(OR($I1112&lt;&gt;SottocategorieUscite[[#Headers],[Fuori Casa]],$I1112&lt;&gt;SottocategorieUscite[[#Headers],[Varie Uscite]],$I1112&lt;&gt;SottocategorieUscite[[#Headers],[Personali]],$I1112&lt;&gt;SottocategorieUscite[[#Headers],[Lavoro]],$I1112&lt;&gt;SottocategorieUscite[[#Headers],[Casa]],$I1112&lt;&gt;SottocategorieUscite[[#Headers],[Utenze]],$I1112&lt;&gt;SottocategorieUscite[[#Headers],[Business Uscite]],$I1112&lt;&gt;SottocategorieUscite[[#Headers],[Banca]]),"","$ -")</f>
        <v/>
      </c>
      <c r="N1112" s="59" t="str">
        <f>IF(OR(Data!$I1112=SottocategorieEntrate[[#Headers],[Business Entrate]],Data!$I1112=SottocategorieEntrate[[#Headers],[Varie Entrate]]),"$ -","")</f>
        <v/>
      </c>
      <c r="O1112" s="59" t="str">
        <f>IF(OR(Data!$I1112=SottocategorieEntrate[[#Headers],[Real Estate]],SottocategorieEntrate[[#Headers],[Other]]),"$ -","")</f>
        <v/>
      </c>
      <c r="P1112" s="59" t="str">
        <f>IF(OR($I1112&lt;&gt;SottocategorieEntrate[[#Headers],[Business Entrate]],$I1112&lt;&gt;SottocategorieEntrate[[#Headers],[Varie Entrate]],$I1112&lt;&gt;SottocategorieEntrate[[#Headers],[Real Estate]],$I1112&lt;&gt;SottocategorieEntrate[[#Headers],[Other]]),"","$ -")</f>
        <v/>
      </c>
      <c r="Q1112" s="59" t="str">
        <f>IF(Dati[[#This Row],[Categoria]]="Prelievo","€ -","")</f>
        <v/>
      </c>
      <c r="R1112" s="244"/>
      <c r="S1112" s="59" t="str">
        <f>IF(Dati[[#This Row],[Categoria]]="Savings",0,"")</f>
        <v/>
      </c>
      <c r="T1112" s="59"/>
      <c r="U1112" s="59"/>
      <c r="V1112" s="59"/>
      <c r="W1112" s="59"/>
      <c r="X1112" s="59"/>
      <c r="Y1112" s="59"/>
      <c r="Z1112" s="59"/>
      <c r="AA1112" s="59"/>
      <c r="AB1112" s="59"/>
      <c r="AC1112" s="59"/>
      <c r="AD1112" s="59"/>
      <c r="AE1112" s="59"/>
      <c r="AF1112" s="59"/>
      <c r="AG1112" s="59"/>
      <c r="AH1112" s="59"/>
      <c r="AI1112" s="59" t="str">
        <f>IF(SUM(Dati[[#This Row],[Inv. Business]:[Inv. Cryptocurrency]])=0," ",SUM(Dati[[#This Row],[Inv. Business]:[Inv. Cryptocurrency]]))</f>
        <v xml:space="preserve"> </v>
      </c>
      <c r="AJ1112" s="59"/>
      <c r="AK1112" s="59" t="str">
        <f>IF(SUM(Dati[[#This Row],[Inv. Gold]:[Mutuo]])=0," ",SUM(Dati[[#This Row],[Inv. Gold]:[Mutuo]]))</f>
        <v xml:space="preserve"> </v>
      </c>
      <c r="AL1112" s="59"/>
      <c r="AM1112" s="59"/>
    </row>
    <row r="1113" spans="2:39" x14ac:dyDescent="0.35">
      <c r="B1113" s="237">
        <f t="shared" si="59"/>
        <v>1093</v>
      </c>
      <c r="C1113" s="49">
        <f t="shared" si="57"/>
        <v>45725</v>
      </c>
      <c r="D1113" s="29">
        <f>DAY(Dati[[#This Row],[Data]])</f>
        <v>9</v>
      </c>
      <c r="E1113" s="29" t="str">
        <f>IF(DAY(Data!$C$21:$C$1327)&gt;0,TEXT(Data!$C$21:$C$1327, "mmmm"),"")</f>
        <v>marzo</v>
      </c>
      <c r="F1113" s="29" t="str">
        <f>IF(DAY(Data!$C$21:$C$1327)&gt;0,TEXT(Data!$C$21:$C$1327, "aaaa"),"")</f>
        <v>2025</v>
      </c>
      <c r="I1113" t="str">
        <f>IF(OR(H1113=$B$5,H1113=$B$6,H1113=$B$7,H1113=$B$8,H1113=$B$9,H1113=$B$10,H1113=$B$11,H1113=$B$12,H1113=$B$13,H1113=$B$14),SottocategorieUscite[[#Headers],[Fuori Casa]],IF(OR(H1113=$C$5,H1113=$C$6,H1113=$C$7,H1113=$C$8,H1113=$C$9,H1113=$C$10,H1113=$C$11,H1113=$C$12,H1113=$C$13,H1113=$C$14),SottocategorieUscite[[#Headers],[Varie Uscite]],IF(OR(H1113=$D$5,H1113=$D$6,H1113=$D$7,H1113=$D$8,H1113=$D$9,H1113=$D$10,H1113=$D$11,H1113=$D$12,H1113=$D$13,H1113=$D$14),SottocategorieUscite[[#Headers],[Personali]],IF(OR(H1113=$E$5,H1113=$E$6,H1113=$E$7,H1113=$E$8,H1113=$E$9,H1113=$E$10,H1113=$E$11,H1113=$E$12,H1113=$E$13,H1113=$E$14),SottocategorieUscite[[#Headers],[Lavoro]],IF(OR(H1113=$F$5,H1113=$F$6,H1113=$F$7,H1113=$F$8,H1113=$F$9,H1113=$F$10,H1113=$F$11,H1113=$F$12,H1113=$F$13,H1113=$F$14),SottocategorieUscite[[#Headers],[Casa]],IF(OR(H1113=$G$5,H1113=$G$6,H1113=$G$7,H1113=$G$8,H1113=$G$9,H1113=$G$10,H1113=$G$11,H1113=$G$12,H1113=$G$13,H1113=$G$14),SottocategorieUscite[[#Headers],[Utenze]],IF(OR(H1113=$H$5,H1113=$H$6,H1113=$H$7,H1113=$H$8,H1113=$H$9,H1113=$H$10,H1113=$H$11,H1113=$H$12,H1113=$H$13,H1113=$H$14),SottocategorieUscite[[#Headers],[Business Uscite]],IF(OR(H1113=$I$5,H1113=$I$6,H1113=$I$7,H1113=$I$8,H1113=$I$9,H1113=$I$10,H1113=$I$11,H1113=$I$12,H1113=$I$13,H1113=$I$14),SottocategorieUscite[[#Headers],[Banca]],IF(OR(H1113=K$5,H1113=K$6,H1113=K$7,H1113=K$8,H1113=K$9,H1113=K$10,H1113=K$11,H1113=K$12,H1113=K$13,H1113=K$14),SottocategorieEntrate[[#Headers],[Business Entrate]],IF(OR(H1113=L$5,H1113=L$6,H1113=L$7,H1113=L$8,H1113=L$9,H1113=L$10,H1113=L$11,H1113=L$12,H1113=L$13,H1113=L$14),SottocategorieEntrate[[#Headers],[Varie Entrate]],IF(OR(H1113=M$5,H1113=M$6,H1113=M$7,H1113=M$8,H1113=M$9,H1113=M$10,H1113=M$11,H1113=M$12,H1113=M$13,H1113=M$14),SottocategorieEntrate[[#Headers],[Real Estate]],IF(OR(H1113=N$5,H1113=N$6,H1113=N$7,H1113=N$8,H1113=N$9,H1113=N$10,H1113=N$11,H1113=N$12,H1113=N$13,H1113=N$14),SottocategorieEntrate[[#Headers],[Other]],""))))))))))))</f>
        <v/>
      </c>
      <c r="J1113" t="str">
        <f>IF(OR(Dati[[#This Row],[Categoria]]="Bollette",Dati[[#This Row],[Categoria]]="Conto &amp; Carte BNL",Dati[[#This Row],[Categoria]]="Prelievo",Dati[[#This Row],[Categoria]]="Affitto",Dati[[#This Row],[Categoria]]="BNL(Interessi Creditori)"),"Carta",IF(Dati[[#This Row],[Categoria]]&lt;&gt;0,"Cash",""))</f>
        <v/>
      </c>
      <c r="K1113" s="59" t="str">
        <f>IF(OR(Data!$I1113=SottocategorieUscite[[#Headers],[Fuori Casa]],Data!$I1113=SottocategorieUscite[[#Headers],[Varie Uscite]],Data!$I1113=SottocategorieUscite[[#Headers],[Personali]],Data!$I1113=SottocategorieUscite[[#Headers],[Lavoro]]),"$ -","")</f>
        <v/>
      </c>
      <c r="L1113" s="59" t="str">
        <f>IF(OR(Data!$I1113=SottocategorieUscite[[#Headers],[Casa]],Data!$I1113=SottocategorieUscite[[#Headers],[Utenze]],Data!$I1113=SottocategorieUscite[[#Headers],[Business Uscite]],Data!$I1113=SottocategorieUscite[[#Headers],[Banca]]),"$ -","")</f>
        <v/>
      </c>
      <c r="M1113" s="59" t="str">
        <f>IF(OR($I1113&lt;&gt;SottocategorieUscite[[#Headers],[Fuori Casa]],$I1113&lt;&gt;SottocategorieUscite[[#Headers],[Varie Uscite]],$I1113&lt;&gt;SottocategorieUscite[[#Headers],[Personali]],$I1113&lt;&gt;SottocategorieUscite[[#Headers],[Lavoro]],$I1113&lt;&gt;SottocategorieUscite[[#Headers],[Casa]],$I1113&lt;&gt;SottocategorieUscite[[#Headers],[Utenze]],$I1113&lt;&gt;SottocategorieUscite[[#Headers],[Business Uscite]],$I1113&lt;&gt;SottocategorieUscite[[#Headers],[Banca]]),"","$ -")</f>
        <v/>
      </c>
      <c r="N1113" s="59" t="str">
        <f>IF(OR(Data!$I1113=SottocategorieEntrate[[#Headers],[Business Entrate]],Data!$I1113=SottocategorieEntrate[[#Headers],[Varie Entrate]]),"$ -","")</f>
        <v/>
      </c>
      <c r="O1113" s="59" t="str">
        <f>IF(OR(Data!$I1113=SottocategorieEntrate[[#Headers],[Real Estate]],SottocategorieEntrate[[#Headers],[Other]]),"$ -","")</f>
        <v/>
      </c>
      <c r="P1113" s="59" t="str">
        <f>IF(OR($I1113&lt;&gt;SottocategorieEntrate[[#Headers],[Business Entrate]],$I1113&lt;&gt;SottocategorieEntrate[[#Headers],[Varie Entrate]],$I1113&lt;&gt;SottocategorieEntrate[[#Headers],[Real Estate]],$I1113&lt;&gt;SottocategorieEntrate[[#Headers],[Other]]),"","$ -")</f>
        <v/>
      </c>
      <c r="Q1113" s="59" t="str">
        <f>IF(Dati[[#This Row],[Categoria]]="Prelievo","€ -","")</f>
        <v/>
      </c>
      <c r="R1113" s="244"/>
      <c r="S1113" s="59" t="str">
        <f>IF(Dati[[#This Row],[Categoria]]="Savings",0,"")</f>
        <v/>
      </c>
      <c r="T1113" s="59"/>
      <c r="U1113" s="59"/>
      <c r="V1113" s="59"/>
      <c r="W1113" s="59"/>
      <c r="X1113" s="59"/>
      <c r="Y1113" s="59"/>
      <c r="Z1113" s="59"/>
      <c r="AA1113" s="59"/>
      <c r="AB1113" s="59"/>
      <c r="AC1113" s="59"/>
      <c r="AD1113" s="59"/>
      <c r="AE1113" s="59"/>
      <c r="AF1113" s="59"/>
      <c r="AG1113" s="59"/>
      <c r="AH1113" s="59"/>
      <c r="AI1113" s="59" t="str">
        <f>IF(SUM(Dati[[#This Row],[Inv. Business]:[Inv. Cryptocurrency]])=0," ",SUM(Dati[[#This Row],[Inv. Business]:[Inv. Cryptocurrency]]))</f>
        <v xml:space="preserve"> </v>
      </c>
      <c r="AJ1113" s="59"/>
      <c r="AK1113" s="59" t="str">
        <f>IF(SUM(Dati[[#This Row],[Inv. Gold]:[Mutuo]])=0," ",SUM(Dati[[#This Row],[Inv. Gold]:[Mutuo]]))</f>
        <v xml:space="preserve"> </v>
      </c>
      <c r="AL1113" s="59"/>
      <c r="AM1113" s="59"/>
    </row>
    <row r="1114" spans="2:39" x14ac:dyDescent="0.35">
      <c r="B1114" s="237">
        <f t="shared" si="59"/>
        <v>1094</v>
      </c>
      <c r="C1114" s="49">
        <f t="shared" si="57"/>
        <v>45726</v>
      </c>
      <c r="D1114" s="29">
        <f>DAY(Dati[[#This Row],[Data]])</f>
        <v>10</v>
      </c>
      <c r="E1114" s="29" t="str">
        <f>IF(DAY(Data!$C$21:$C$1327)&gt;0,TEXT(Data!$C$21:$C$1327, "mmmm"),"")</f>
        <v>marzo</v>
      </c>
      <c r="F1114" s="29" t="str">
        <f>IF(DAY(Data!$C$21:$C$1327)&gt;0,TEXT(Data!$C$21:$C$1327, "aaaa"),"")</f>
        <v>2025</v>
      </c>
      <c r="I1114" t="str">
        <f>IF(OR(H1114=$B$5,H1114=$B$6,H1114=$B$7,H1114=$B$8,H1114=$B$9,H1114=$B$10,H1114=$B$11,H1114=$B$12,H1114=$B$13,H1114=$B$14),SottocategorieUscite[[#Headers],[Fuori Casa]],IF(OR(H1114=$C$5,H1114=$C$6,H1114=$C$7,H1114=$C$8,H1114=$C$9,H1114=$C$10,H1114=$C$11,H1114=$C$12,H1114=$C$13,H1114=$C$14),SottocategorieUscite[[#Headers],[Varie Uscite]],IF(OR(H1114=$D$5,H1114=$D$6,H1114=$D$7,H1114=$D$8,H1114=$D$9,H1114=$D$10,H1114=$D$11,H1114=$D$12,H1114=$D$13,H1114=$D$14),SottocategorieUscite[[#Headers],[Personali]],IF(OR(H1114=$E$5,H1114=$E$6,H1114=$E$7,H1114=$E$8,H1114=$E$9,H1114=$E$10,H1114=$E$11,H1114=$E$12,H1114=$E$13,H1114=$E$14),SottocategorieUscite[[#Headers],[Lavoro]],IF(OR(H1114=$F$5,H1114=$F$6,H1114=$F$7,H1114=$F$8,H1114=$F$9,H1114=$F$10,H1114=$F$11,H1114=$F$12,H1114=$F$13,H1114=$F$14),SottocategorieUscite[[#Headers],[Casa]],IF(OR(H1114=$G$5,H1114=$G$6,H1114=$G$7,H1114=$G$8,H1114=$G$9,H1114=$G$10,H1114=$G$11,H1114=$G$12,H1114=$G$13,H1114=$G$14),SottocategorieUscite[[#Headers],[Utenze]],IF(OR(H1114=$H$5,H1114=$H$6,H1114=$H$7,H1114=$H$8,H1114=$H$9,H1114=$H$10,H1114=$H$11,H1114=$H$12,H1114=$H$13,H1114=$H$14),SottocategorieUscite[[#Headers],[Business Uscite]],IF(OR(H1114=$I$5,H1114=$I$6,H1114=$I$7,H1114=$I$8,H1114=$I$9,H1114=$I$10,H1114=$I$11,H1114=$I$12,H1114=$I$13,H1114=$I$14),SottocategorieUscite[[#Headers],[Banca]],IF(OR(H1114=K$5,H1114=K$6,H1114=K$7,H1114=K$8,H1114=K$9,H1114=K$10,H1114=K$11,H1114=K$12,H1114=K$13,H1114=K$14),SottocategorieEntrate[[#Headers],[Business Entrate]],IF(OR(H1114=L$5,H1114=L$6,H1114=L$7,H1114=L$8,H1114=L$9,H1114=L$10,H1114=L$11,H1114=L$12,H1114=L$13,H1114=L$14),SottocategorieEntrate[[#Headers],[Varie Entrate]],IF(OR(H1114=M$5,H1114=M$6,H1114=M$7,H1114=M$8,H1114=M$9,H1114=M$10,H1114=M$11,H1114=M$12,H1114=M$13,H1114=M$14),SottocategorieEntrate[[#Headers],[Real Estate]],IF(OR(H1114=N$5,H1114=N$6,H1114=N$7,H1114=N$8,H1114=N$9,H1114=N$10,H1114=N$11,H1114=N$12,H1114=N$13,H1114=N$14),SottocategorieEntrate[[#Headers],[Other]],""))))))))))))</f>
        <v/>
      </c>
      <c r="J1114" t="str">
        <f>IF(OR(Dati[[#This Row],[Categoria]]="Bollette",Dati[[#This Row],[Categoria]]="Conto &amp; Carte BNL",Dati[[#This Row],[Categoria]]="Prelievo",Dati[[#This Row],[Categoria]]="Affitto",Dati[[#This Row],[Categoria]]="BNL(Interessi Creditori)"),"Carta",IF(Dati[[#This Row],[Categoria]]&lt;&gt;0,"Cash",""))</f>
        <v/>
      </c>
      <c r="K1114" s="59" t="str">
        <f>IF(OR(Data!$I1114=SottocategorieUscite[[#Headers],[Fuori Casa]],Data!$I1114=SottocategorieUscite[[#Headers],[Varie Uscite]],Data!$I1114=SottocategorieUscite[[#Headers],[Personali]],Data!$I1114=SottocategorieUscite[[#Headers],[Lavoro]]),"$ -","")</f>
        <v/>
      </c>
      <c r="L1114" s="59" t="str">
        <f>IF(OR(Data!$I1114=SottocategorieUscite[[#Headers],[Casa]],Data!$I1114=SottocategorieUscite[[#Headers],[Utenze]],Data!$I1114=SottocategorieUscite[[#Headers],[Business Uscite]],Data!$I1114=SottocategorieUscite[[#Headers],[Banca]]),"$ -","")</f>
        <v/>
      </c>
      <c r="M1114" s="59" t="str">
        <f>IF(OR($I1114&lt;&gt;SottocategorieUscite[[#Headers],[Fuori Casa]],$I1114&lt;&gt;SottocategorieUscite[[#Headers],[Varie Uscite]],$I1114&lt;&gt;SottocategorieUscite[[#Headers],[Personali]],$I1114&lt;&gt;SottocategorieUscite[[#Headers],[Lavoro]],$I1114&lt;&gt;SottocategorieUscite[[#Headers],[Casa]],$I1114&lt;&gt;SottocategorieUscite[[#Headers],[Utenze]],$I1114&lt;&gt;SottocategorieUscite[[#Headers],[Business Uscite]],$I1114&lt;&gt;SottocategorieUscite[[#Headers],[Banca]]),"","$ -")</f>
        <v/>
      </c>
      <c r="N1114" s="59" t="str">
        <f>IF(OR(Data!$I1114=SottocategorieEntrate[[#Headers],[Business Entrate]],Data!$I1114=SottocategorieEntrate[[#Headers],[Varie Entrate]]),"$ -","")</f>
        <v/>
      </c>
      <c r="O1114" s="59" t="str">
        <f>IF(OR(Data!$I1114=SottocategorieEntrate[[#Headers],[Real Estate]],SottocategorieEntrate[[#Headers],[Other]]),"$ -","")</f>
        <v/>
      </c>
      <c r="P1114" s="59" t="str">
        <f>IF(OR($I1114&lt;&gt;SottocategorieEntrate[[#Headers],[Business Entrate]],$I1114&lt;&gt;SottocategorieEntrate[[#Headers],[Varie Entrate]],$I1114&lt;&gt;SottocategorieEntrate[[#Headers],[Real Estate]],$I1114&lt;&gt;SottocategorieEntrate[[#Headers],[Other]]),"","$ -")</f>
        <v/>
      </c>
      <c r="Q1114" s="59" t="str">
        <f>IF(Dati[[#This Row],[Categoria]]="Prelievo","€ -","")</f>
        <v/>
      </c>
      <c r="R1114" s="244"/>
      <c r="S1114" s="59" t="str">
        <f>IF(Dati[[#This Row],[Categoria]]="Savings",0,"")</f>
        <v/>
      </c>
      <c r="T1114" s="59"/>
      <c r="U1114" s="59"/>
      <c r="V1114" s="59"/>
      <c r="W1114" s="59"/>
      <c r="X1114" s="59"/>
      <c r="Y1114" s="59"/>
      <c r="Z1114" s="59"/>
      <c r="AA1114" s="59"/>
      <c r="AB1114" s="59"/>
      <c r="AC1114" s="59"/>
      <c r="AD1114" s="59"/>
      <c r="AE1114" s="59"/>
      <c r="AF1114" s="59"/>
      <c r="AG1114" s="59"/>
      <c r="AH1114" s="59"/>
      <c r="AI1114" s="59" t="str">
        <f>IF(SUM(Dati[[#This Row],[Inv. Business]:[Inv. Cryptocurrency]])=0," ",SUM(Dati[[#This Row],[Inv. Business]:[Inv. Cryptocurrency]]))</f>
        <v xml:space="preserve"> </v>
      </c>
      <c r="AJ1114" s="59"/>
      <c r="AK1114" s="59" t="str">
        <f>IF(SUM(Dati[[#This Row],[Inv. Gold]:[Mutuo]])=0," ",SUM(Dati[[#This Row],[Inv. Gold]:[Mutuo]]))</f>
        <v xml:space="preserve"> </v>
      </c>
      <c r="AL1114" s="59"/>
      <c r="AM1114" s="59"/>
    </row>
    <row r="1115" spans="2:39" x14ac:dyDescent="0.35">
      <c r="B1115" s="237">
        <f t="shared" si="59"/>
        <v>1095</v>
      </c>
      <c r="C1115" s="49">
        <f t="shared" si="57"/>
        <v>45727</v>
      </c>
      <c r="D1115" s="29">
        <f>DAY(Dati[[#This Row],[Data]])</f>
        <v>11</v>
      </c>
      <c r="E1115" s="29" t="str">
        <f>IF(DAY(Data!$C$21:$C$1327)&gt;0,TEXT(Data!$C$21:$C$1327, "mmmm"),"")</f>
        <v>marzo</v>
      </c>
      <c r="F1115" s="29" t="str">
        <f>IF(DAY(Data!$C$21:$C$1327)&gt;0,TEXT(Data!$C$21:$C$1327, "aaaa"),"")</f>
        <v>2025</v>
      </c>
      <c r="I1115" t="str">
        <f>IF(OR(H1115=$B$5,H1115=$B$6,H1115=$B$7,H1115=$B$8,H1115=$B$9,H1115=$B$10,H1115=$B$11,H1115=$B$12,H1115=$B$13,H1115=$B$14),SottocategorieUscite[[#Headers],[Fuori Casa]],IF(OR(H1115=$C$5,H1115=$C$6,H1115=$C$7,H1115=$C$8,H1115=$C$9,H1115=$C$10,H1115=$C$11,H1115=$C$12,H1115=$C$13,H1115=$C$14),SottocategorieUscite[[#Headers],[Varie Uscite]],IF(OR(H1115=$D$5,H1115=$D$6,H1115=$D$7,H1115=$D$8,H1115=$D$9,H1115=$D$10,H1115=$D$11,H1115=$D$12,H1115=$D$13,H1115=$D$14),SottocategorieUscite[[#Headers],[Personali]],IF(OR(H1115=$E$5,H1115=$E$6,H1115=$E$7,H1115=$E$8,H1115=$E$9,H1115=$E$10,H1115=$E$11,H1115=$E$12,H1115=$E$13,H1115=$E$14),SottocategorieUscite[[#Headers],[Lavoro]],IF(OR(H1115=$F$5,H1115=$F$6,H1115=$F$7,H1115=$F$8,H1115=$F$9,H1115=$F$10,H1115=$F$11,H1115=$F$12,H1115=$F$13,H1115=$F$14),SottocategorieUscite[[#Headers],[Casa]],IF(OR(H1115=$G$5,H1115=$G$6,H1115=$G$7,H1115=$G$8,H1115=$G$9,H1115=$G$10,H1115=$G$11,H1115=$G$12,H1115=$G$13,H1115=$G$14),SottocategorieUscite[[#Headers],[Utenze]],IF(OR(H1115=$H$5,H1115=$H$6,H1115=$H$7,H1115=$H$8,H1115=$H$9,H1115=$H$10,H1115=$H$11,H1115=$H$12,H1115=$H$13,H1115=$H$14),SottocategorieUscite[[#Headers],[Business Uscite]],IF(OR(H1115=$I$5,H1115=$I$6,H1115=$I$7,H1115=$I$8,H1115=$I$9,H1115=$I$10,H1115=$I$11,H1115=$I$12,H1115=$I$13,H1115=$I$14),SottocategorieUscite[[#Headers],[Banca]],IF(OR(H1115=K$5,H1115=K$6,H1115=K$7,H1115=K$8,H1115=K$9,H1115=K$10,H1115=K$11,H1115=K$12,H1115=K$13,H1115=K$14),SottocategorieEntrate[[#Headers],[Business Entrate]],IF(OR(H1115=L$5,H1115=L$6,H1115=L$7,H1115=L$8,H1115=L$9,H1115=L$10,H1115=L$11,H1115=L$12,H1115=L$13,H1115=L$14),SottocategorieEntrate[[#Headers],[Varie Entrate]],IF(OR(H1115=M$5,H1115=M$6,H1115=M$7,H1115=M$8,H1115=M$9,H1115=M$10,H1115=M$11,H1115=M$12,H1115=M$13,H1115=M$14),SottocategorieEntrate[[#Headers],[Real Estate]],IF(OR(H1115=N$5,H1115=N$6,H1115=N$7,H1115=N$8,H1115=N$9,H1115=N$10,H1115=N$11,H1115=N$12,H1115=N$13,H1115=N$14),SottocategorieEntrate[[#Headers],[Other]],""))))))))))))</f>
        <v/>
      </c>
      <c r="J1115" t="str">
        <f>IF(OR(Dati[[#This Row],[Categoria]]="Bollette",Dati[[#This Row],[Categoria]]="Conto &amp; Carte BNL",Dati[[#This Row],[Categoria]]="Prelievo",Dati[[#This Row],[Categoria]]="Affitto",Dati[[#This Row],[Categoria]]="BNL(Interessi Creditori)"),"Carta",IF(Dati[[#This Row],[Categoria]]&lt;&gt;0,"Cash",""))</f>
        <v/>
      </c>
      <c r="K1115" s="59" t="str">
        <f>IF(OR(Data!$I1115=SottocategorieUscite[[#Headers],[Fuori Casa]],Data!$I1115=SottocategorieUscite[[#Headers],[Varie Uscite]],Data!$I1115=SottocategorieUscite[[#Headers],[Personali]],Data!$I1115=SottocategorieUscite[[#Headers],[Lavoro]]),"$ -","")</f>
        <v/>
      </c>
      <c r="L1115" s="59" t="str">
        <f>IF(OR(Data!$I1115=SottocategorieUscite[[#Headers],[Casa]],Data!$I1115=SottocategorieUscite[[#Headers],[Utenze]],Data!$I1115=SottocategorieUscite[[#Headers],[Business Uscite]],Data!$I1115=SottocategorieUscite[[#Headers],[Banca]]),"$ -","")</f>
        <v/>
      </c>
      <c r="M1115" s="59" t="str">
        <f>IF(OR($I1115&lt;&gt;SottocategorieUscite[[#Headers],[Fuori Casa]],$I1115&lt;&gt;SottocategorieUscite[[#Headers],[Varie Uscite]],$I1115&lt;&gt;SottocategorieUscite[[#Headers],[Personali]],$I1115&lt;&gt;SottocategorieUscite[[#Headers],[Lavoro]],$I1115&lt;&gt;SottocategorieUscite[[#Headers],[Casa]],$I1115&lt;&gt;SottocategorieUscite[[#Headers],[Utenze]],$I1115&lt;&gt;SottocategorieUscite[[#Headers],[Business Uscite]],$I1115&lt;&gt;SottocategorieUscite[[#Headers],[Banca]]),"","$ -")</f>
        <v/>
      </c>
      <c r="N1115" s="59" t="str">
        <f>IF(OR(Data!$I1115=SottocategorieEntrate[[#Headers],[Business Entrate]],Data!$I1115=SottocategorieEntrate[[#Headers],[Varie Entrate]]),"$ -","")</f>
        <v/>
      </c>
      <c r="O1115" s="59" t="str">
        <f>IF(OR(Data!$I1115=SottocategorieEntrate[[#Headers],[Real Estate]],SottocategorieEntrate[[#Headers],[Other]]),"$ -","")</f>
        <v/>
      </c>
      <c r="P1115" s="59" t="str">
        <f>IF(OR($I1115&lt;&gt;SottocategorieEntrate[[#Headers],[Business Entrate]],$I1115&lt;&gt;SottocategorieEntrate[[#Headers],[Varie Entrate]],$I1115&lt;&gt;SottocategorieEntrate[[#Headers],[Real Estate]],$I1115&lt;&gt;SottocategorieEntrate[[#Headers],[Other]]),"","$ -")</f>
        <v/>
      </c>
      <c r="Q1115" s="59" t="str">
        <f>IF(Dati[[#This Row],[Categoria]]="Prelievo","€ -","")</f>
        <v/>
      </c>
      <c r="R1115" s="244"/>
      <c r="S1115" s="59" t="str">
        <f>IF(Dati[[#This Row],[Categoria]]="Savings",0,"")</f>
        <v/>
      </c>
      <c r="T1115" s="59"/>
      <c r="U1115" s="59"/>
      <c r="V1115" s="59"/>
      <c r="W1115" s="59"/>
      <c r="X1115" s="59"/>
      <c r="Y1115" s="59"/>
      <c r="Z1115" s="59"/>
      <c r="AA1115" s="59"/>
      <c r="AB1115" s="59"/>
      <c r="AC1115" s="59"/>
      <c r="AD1115" s="59"/>
      <c r="AE1115" s="59"/>
      <c r="AF1115" s="59"/>
      <c r="AG1115" s="59"/>
      <c r="AH1115" s="59"/>
      <c r="AI1115" s="59" t="str">
        <f>IF(SUM(Dati[[#This Row],[Inv. Business]:[Inv. Cryptocurrency]])=0," ",SUM(Dati[[#This Row],[Inv. Business]:[Inv. Cryptocurrency]]))</f>
        <v xml:space="preserve"> </v>
      </c>
      <c r="AJ1115" s="59"/>
      <c r="AK1115" s="59" t="str">
        <f>IF(SUM(Dati[[#This Row],[Inv. Gold]:[Mutuo]])=0," ",SUM(Dati[[#This Row],[Inv. Gold]:[Mutuo]]))</f>
        <v xml:space="preserve"> </v>
      </c>
      <c r="AL1115" s="59"/>
      <c r="AM1115" s="59"/>
    </row>
    <row r="1116" spans="2:39" x14ac:dyDescent="0.35">
      <c r="B1116" s="237">
        <f t="shared" si="59"/>
        <v>1096</v>
      </c>
      <c r="C1116" s="49">
        <f t="shared" si="57"/>
        <v>45728</v>
      </c>
      <c r="D1116" s="29">
        <f>DAY(Dati[[#This Row],[Data]])</f>
        <v>12</v>
      </c>
      <c r="E1116" s="29" t="str">
        <f>IF(DAY(Data!$C$21:$C$1327)&gt;0,TEXT(Data!$C$21:$C$1327, "mmmm"),"")</f>
        <v>marzo</v>
      </c>
      <c r="F1116" s="29" t="str">
        <f>IF(DAY(Data!$C$21:$C$1327)&gt;0,TEXT(Data!$C$21:$C$1327, "aaaa"),"")</f>
        <v>2025</v>
      </c>
      <c r="I1116" t="str">
        <f>IF(OR(H1116=$B$5,H1116=$B$6,H1116=$B$7,H1116=$B$8,H1116=$B$9,H1116=$B$10,H1116=$B$11,H1116=$B$12,H1116=$B$13,H1116=$B$14),SottocategorieUscite[[#Headers],[Fuori Casa]],IF(OR(H1116=$C$5,H1116=$C$6,H1116=$C$7,H1116=$C$8,H1116=$C$9,H1116=$C$10,H1116=$C$11,H1116=$C$12,H1116=$C$13,H1116=$C$14),SottocategorieUscite[[#Headers],[Varie Uscite]],IF(OR(H1116=$D$5,H1116=$D$6,H1116=$D$7,H1116=$D$8,H1116=$D$9,H1116=$D$10,H1116=$D$11,H1116=$D$12,H1116=$D$13,H1116=$D$14),SottocategorieUscite[[#Headers],[Personali]],IF(OR(H1116=$E$5,H1116=$E$6,H1116=$E$7,H1116=$E$8,H1116=$E$9,H1116=$E$10,H1116=$E$11,H1116=$E$12,H1116=$E$13,H1116=$E$14),SottocategorieUscite[[#Headers],[Lavoro]],IF(OR(H1116=$F$5,H1116=$F$6,H1116=$F$7,H1116=$F$8,H1116=$F$9,H1116=$F$10,H1116=$F$11,H1116=$F$12,H1116=$F$13,H1116=$F$14),SottocategorieUscite[[#Headers],[Casa]],IF(OR(H1116=$G$5,H1116=$G$6,H1116=$G$7,H1116=$G$8,H1116=$G$9,H1116=$G$10,H1116=$G$11,H1116=$G$12,H1116=$G$13,H1116=$G$14),SottocategorieUscite[[#Headers],[Utenze]],IF(OR(H1116=$H$5,H1116=$H$6,H1116=$H$7,H1116=$H$8,H1116=$H$9,H1116=$H$10,H1116=$H$11,H1116=$H$12,H1116=$H$13,H1116=$H$14),SottocategorieUscite[[#Headers],[Business Uscite]],IF(OR(H1116=$I$5,H1116=$I$6,H1116=$I$7,H1116=$I$8,H1116=$I$9,H1116=$I$10,H1116=$I$11,H1116=$I$12,H1116=$I$13,H1116=$I$14),SottocategorieUscite[[#Headers],[Banca]],IF(OR(H1116=K$5,H1116=K$6,H1116=K$7,H1116=K$8,H1116=K$9,H1116=K$10,H1116=K$11,H1116=K$12,H1116=K$13,H1116=K$14),SottocategorieEntrate[[#Headers],[Business Entrate]],IF(OR(H1116=L$5,H1116=L$6,H1116=L$7,H1116=L$8,H1116=L$9,H1116=L$10,H1116=L$11,H1116=L$12,H1116=L$13,H1116=L$14),SottocategorieEntrate[[#Headers],[Varie Entrate]],IF(OR(H1116=M$5,H1116=M$6,H1116=M$7,H1116=M$8,H1116=M$9,H1116=M$10,H1116=M$11,H1116=M$12,H1116=M$13,H1116=M$14),SottocategorieEntrate[[#Headers],[Real Estate]],IF(OR(H1116=N$5,H1116=N$6,H1116=N$7,H1116=N$8,H1116=N$9,H1116=N$10,H1116=N$11,H1116=N$12,H1116=N$13,H1116=N$14),SottocategorieEntrate[[#Headers],[Other]],""))))))))))))</f>
        <v/>
      </c>
      <c r="J1116" t="str">
        <f>IF(OR(Dati[[#This Row],[Categoria]]="Bollette",Dati[[#This Row],[Categoria]]="Conto &amp; Carte BNL",Dati[[#This Row],[Categoria]]="Prelievo",Dati[[#This Row],[Categoria]]="Affitto",Dati[[#This Row],[Categoria]]="BNL(Interessi Creditori)"),"Carta",IF(Dati[[#This Row],[Categoria]]&lt;&gt;0,"Cash",""))</f>
        <v/>
      </c>
      <c r="K1116" s="59" t="str">
        <f>IF(OR(Data!$I1116=SottocategorieUscite[[#Headers],[Fuori Casa]],Data!$I1116=SottocategorieUscite[[#Headers],[Varie Uscite]],Data!$I1116=SottocategorieUscite[[#Headers],[Personali]],Data!$I1116=SottocategorieUscite[[#Headers],[Lavoro]]),"$ -","")</f>
        <v/>
      </c>
      <c r="L1116" s="59" t="str">
        <f>IF(OR(Data!$I1116=SottocategorieUscite[[#Headers],[Casa]],Data!$I1116=SottocategorieUscite[[#Headers],[Utenze]],Data!$I1116=SottocategorieUscite[[#Headers],[Business Uscite]],Data!$I1116=SottocategorieUscite[[#Headers],[Banca]]),"$ -","")</f>
        <v/>
      </c>
      <c r="M1116" s="59" t="str">
        <f>IF(OR($I1116&lt;&gt;SottocategorieUscite[[#Headers],[Fuori Casa]],$I1116&lt;&gt;SottocategorieUscite[[#Headers],[Varie Uscite]],$I1116&lt;&gt;SottocategorieUscite[[#Headers],[Personali]],$I1116&lt;&gt;SottocategorieUscite[[#Headers],[Lavoro]],$I1116&lt;&gt;SottocategorieUscite[[#Headers],[Casa]],$I1116&lt;&gt;SottocategorieUscite[[#Headers],[Utenze]],$I1116&lt;&gt;SottocategorieUscite[[#Headers],[Business Uscite]],$I1116&lt;&gt;SottocategorieUscite[[#Headers],[Banca]]),"","$ -")</f>
        <v/>
      </c>
      <c r="N1116" s="59" t="str">
        <f>IF(OR(Data!$I1116=SottocategorieEntrate[[#Headers],[Business Entrate]],Data!$I1116=SottocategorieEntrate[[#Headers],[Varie Entrate]]),"$ -","")</f>
        <v/>
      </c>
      <c r="O1116" s="59" t="str">
        <f>IF(OR(Data!$I1116=SottocategorieEntrate[[#Headers],[Real Estate]],SottocategorieEntrate[[#Headers],[Other]]),"$ -","")</f>
        <v/>
      </c>
      <c r="P1116" s="59" t="str">
        <f>IF(OR($I1116&lt;&gt;SottocategorieEntrate[[#Headers],[Business Entrate]],$I1116&lt;&gt;SottocategorieEntrate[[#Headers],[Varie Entrate]],$I1116&lt;&gt;SottocategorieEntrate[[#Headers],[Real Estate]],$I1116&lt;&gt;SottocategorieEntrate[[#Headers],[Other]]),"","$ -")</f>
        <v/>
      </c>
      <c r="Q1116" s="59" t="str">
        <f>IF(Dati[[#This Row],[Categoria]]="Prelievo","€ -","")</f>
        <v/>
      </c>
      <c r="R1116" s="244"/>
      <c r="S1116" s="59" t="str">
        <f>IF(Dati[[#This Row],[Categoria]]="Savings",0,"")</f>
        <v/>
      </c>
      <c r="T1116" s="59"/>
      <c r="U1116" s="59"/>
      <c r="V1116" s="59"/>
      <c r="W1116" s="59"/>
      <c r="X1116" s="59"/>
      <c r="Y1116" s="59"/>
      <c r="Z1116" s="59"/>
      <c r="AA1116" s="59"/>
      <c r="AB1116" s="59"/>
      <c r="AC1116" s="59"/>
      <c r="AD1116" s="59"/>
      <c r="AE1116" s="59"/>
      <c r="AF1116" s="59"/>
      <c r="AG1116" s="59"/>
      <c r="AH1116" s="59"/>
      <c r="AI1116" s="59" t="str">
        <f>IF(SUM(Dati[[#This Row],[Inv. Business]:[Inv. Cryptocurrency]])=0," ",SUM(Dati[[#This Row],[Inv. Business]:[Inv. Cryptocurrency]]))</f>
        <v xml:space="preserve"> </v>
      </c>
      <c r="AJ1116" s="59"/>
      <c r="AK1116" s="59" t="str">
        <f>IF(SUM(Dati[[#This Row],[Inv. Gold]:[Mutuo]])=0," ",SUM(Dati[[#This Row],[Inv. Gold]:[Mutuo]]))</f>
        <v xml:space="preserve"> </v>
      </c>
      <c r="AL1116" s="59"/>
      <c r="AM1116" s="59"/>
    </row>
    <row r="1117" spans="2:39" x14ac:dyDescent="0.35">
      <c r="B1117" s="237">
        <f t="shared" si="59"/>
        <v>1097</v>
      </c>
      <c r="C1117" s="49">
        <f t="shared" si="57"/>
        <v>45729</v>
      </c>
      <c r="D1117" s="29">
        <f>DAY(Dati[[#This Row],[Data]])</f>
        <v>13</v>
      </c>
      <c r="E1117" s="29" t="str">
        <f>IF(DAY(Data!$C$21:$C$1327)&gt;0,TEXT(Data!$C$21:$C$1327, "mmmm"),"")</f>
        <v>marzo</v>
      </c>
      <c r="F1117" s="29" t="str">
        <f>IF(DAY(Data!$C$21:$C$1327)&gt;0,TEXT(Data!$C$21:$C$1327, "aaaa"),"")</f>
        <v>2025</v>
      </c>
      <c r="I1117" t="str">
        <f>IF(OR(H1117=$B$5,H1117=$B$6,H1117=$B$7,H1117=$B$8,H1117=$B$9,H1117=$B$10,H1117=$B$11,H1117=$B$12,H1117=$B$13,H1117=$B$14),SottocategorieUscite[[#Headers],[Fuori Casa]],IF(OR(H1117=$C$5,H1117=$C$6,H1117=$C$7,H1117=$C$8,H1117=$C$9,H1117=$C$10,H1117=$C$11,H1117=$C$12,H1117=$C$13,H1117=$C$14),SottocategorieUscite[[#Headers],[Varie Uscite]],IF(OR(H1117=$D$5,H1117=$D$6,H1117=$D$7,H1117=$D$8,H1117=$D$9,H1117=$D$10,H1117=$D$11,H1117=$D$12,H1117=$D$13,H1117=$D$14),SottocategorieUscite[[#Headers],[Personali]],IF(OR(H1117=$E$5,H1117=$E$6,H1117=$E$7,H1117=$E$8,H1117=$E$9,H1117=$E$10,H1117=$E$11,H1117=$E$12,H1117=$E$13,H1117=$E$14),SottocategorieUscite[[#Headers],[Lavoro]],IF(OR(H1117=$F$5,H1117=$F$6,H1117=$F$7,H1117=$F$8,H1117=$F$9,H1117=$F$10,H1117=$F$11,H1117=$F$12,H1117=$F$13,H1117=$F$14),SottocategorieUscite[[#Headers],[Casa]],IF(OR(H1117=$G$5,H1117=$G$6,H1117=$G$7,H1117=$G$8,H1117=$G$9,H1117=$G$10,H1117=$G$11,H1117=$G$12,H1117=$G$13,H1117=$G$14),SottocategorieUscite[[#Headers],[Utenze]],IF(OR(H1117=$H$5,H1117=$H$6,H1117=$H$7,H1117=$H$8,H1117=$H$9,H1117=$H$10,H1117=$H$11,H1117=$H$12,H1117=$H$13,H1117=$H$14),SottocategorieUscite[[#Headers],[Business Uscite]],IF(OR(H1117=$I$5,H1117=$I$6,H1117=$I$7,H1117=$I$8,H1117=$I$9,H1117=$I$10,H1117=$I$11,H1117=$I$12,H1117=$I$13,H1117=$I$14),SottocategorieUscite[[#Headers],[Banca]],IF(OR(H1117=K$5,H1117=K$6,H1117=K$7,H1117=K$8,H1117=K$9,H1117=K$10,H1117=K$11,H1117=K$12,H1117=K$13,H1117=K$14),SottocategorieEntrate[[#Headers],[Business Entrate]],IF(OR(H1117=L$5,H1117=L$6,H1117=L$7,H1117=L$8,H1117=L$9,H1117=L$10,H1117=L$11,H1117=L$12,H1117=L$13,H1117=L$14),SottocategorieEntrate[[#Headers],[Varie Entrate]],IF(OR(H1117=M$5,H1117=M$6,H1117=M$7,H1117=M$8,H1117=M$9,H1117=M$10,H1117=M$11,H1117=M$12,H1117=M$13,H1117=M$14),SottocategorieEntrate[[#Headers],[Real Estate]],IF(OR(H1117=N$5,H1117=N$6,H1117=N$7,H1117=N$8,H1117=N$9,H1117=N$10,H1117=N$11,H1117=N$12,H1117=N$13,H1117=N$14),SottocategorieEntrate[[#Headers],[Other]],""))))))))))))</f>
        <v/>
      </c>
      <c r="J1117" t="str">
        <f>IF(OR(Dati[[#This Row],[Categoria]]="Bollette",Dati[[#This Row],[Categoria]]="Conto &amp; Carte BNL",Dati[[#This Row],[Categoria]]="Prelievo",Dati[[#This Row],[Categoria]]="Affitto",Dati[[#This Row],[Categoria]]="BNL(Interessi Creditori)"),"Carta",IF(Dati[[#This Row],[Categoria]]&lt;&gt;0,"Cash",""))</f>
        <v/>
      </c>
      <c r="K1117" s="59" t="str">
        <f>IF(OR(Data!$I1117=SottocategorieUscite[[#Headers],[Fuori Casa]],Data!$I1117=SottocategorieUscite[[#Headers],[Varie Uscite]],Data!$I1117=SottocategorieUscite[[#Headers],[Personali]],Data!$I1117=SottocategorieUscite[[#Headers],[Lavoro]]),"$ -","")</f>
        <v/>
      </c>
      <c r="L1117" s="59" t="str">
        <f>IF(OR(Data!$I1117=SottocategorieUscite[[#Headers],[Casa]],Data!$I1117=SottocategorieUscite[[#Headers],[Utenze]],Data!$I1117=SottocategorieUscite[[#Headers],[Business Uscite]],Data!$I1117=SottocategorieUscite[[#Headers],[Banca]]),"$ -","")</f>
        <v/>
      </c>
      <c r="M1117" s="59" t="str">
        <f>IF(OR($I1117&lt;&gt;SottocategorieUscite[[#Headers],[Fuori Casa]],$I1117&lt;&gt;SottocategorieUscite[[#Headers],[Varie Uscite]],$I1117&lt;&gt;SottocategorieUscite[[#Headers],[Personali]],$I1117&lt;&gt;SottocategorieUscite[[#Headers],[Lavoro]],$I1117&lt;&gt;SottocategorieUscite[[#Headers],[Casa]],$I1117&lt;&gt;SottocategorieUscite[[#Headers],[Utenze]],$I1117&lt;&gt;SottocategorieUscite[[#Headers],[Business Uscite]],$I1117&lt;&gt;SottocategorieUscite[[#Headers],[Banca]]),"","$ -")</f>
        <v/>
      </c>
      <c r="N1117" s="59" t="str">
        <f>IF(OR(Data!$I1117=SottocategorieEntrate[[#Headers],[Business Entrate]],Data!$I1117=SottocategorieEntrate[[#Headers],[Varie Entrate]]),"$ -","")</f>
        <v/>
      </c>
      <c r="O1117" s="59" t="str">
        <f>IF(OR(Data!$I1117=SottocategorieEntrate[[#Headers],[Real Estate]],SottocategorieEntrate[[#Headers],[Other]]),"$ -","")</f>
        <v/>
      </c>
      <c r="P1117" s="59" t="str">
        <f>IF(OR($I1117&lt;&gt;SottocategorieEntrate[[#Headers],[Business Entrate]],$I1117&lt;&gt;SottocategorieEntrate[[#Headers],[Varie Entrate]],$I1117&lt;&gt;SottocategorieEntrate[[#Headers],[Real Estate]],$I1117&lt;&gt;SottocategorieEntrate[[#Headers],[Other]]),"","$ -")</f>
        <v/>
      </c>
      <c r="Q1117" s="59" t="str">
        <f>IF(Dati[[#This Row],[Categoria]]="Prelievo","€ -","")</f>
        <v/>
      </c>
      <c r="R1117" s="244"/>
      <c r="S1117" s="59" t="str">
        <f>IF(Dati[[#This Row],[Categoria]]="Savings",0,"")</f>
        <v/>
      </c>
      <c r="T1117" s="59"/>
      <c r="U1117" s="59"/>
      <c r="V1117" s="59"/>
      <c r="W1117" s="59"/>
      <c r="X1117" s="59"/>
      <c r="Y1117" s="59"/>
      <c r="Z1117" s="59"/>
      <c r="AA1117" s="59"/>
      <c r="AB1117" s="59"/>
      <c r="AC1117" s="59"/>
      <c r="AD1117" s="59"/>
      <c r="AE1117" s="59"/>
      <c r="AF1117" s="59"/>
      <c r="AG1117" s="59"/>
      <c r="AH1117" s="59"/>
      <c r="AI1117" s="59" t="str">
        <f>IF(SUM(Dati[[#This Row],[Inv. Business]:[Inv. Cryptocurrency]])=0," ",SUM(Dati[[#This Row],[Inv. Business]:[Inv. Cryptocurrency]]))</f>
        <v xml:space="preserve"> </v>
      </c>
      <c r="AJ1117" s="59"/>
      <c r="AK1117" s="59" t="str">
        <f>IF(SUM(Dati[[#This Row],[Inv. Gold]:[Mutuo]])=0," ",SUM(Dati[[#This Row],[Inv. Gold]:[Mutuo]]))</f>
        <v xml:space="preserve"> </v>
      </c>
      <c r="AL1117" s="59"/>
      <c r="AM1117" s="59"/>
    </row>
    <row r="1118" spans="2:39" x14ac:dyDescent="0.35">
      <c r="B1118" s="237">
        <f t="shared" si="59"/>
        <v>1098</v>
      </c>
      <c r="C1118" s="49">
        <f t="shared" si="57"/>
        <v>45730</v>
      </c>
      <c r="D1118" s="29">
        <f>DAY(Dati[[#This Row],[Data]])</f>
        <v>14</v>
      </c>
      <c r="E1118" s="29" t="str">
        <f>IF(DAY(Data!$C$21:$C$1327)&gt;0,TEXT(Data!$C$21:$C$1327, "mmmm"),"")</f>
        <v>marzo</v>
      </c>
      <c r="F1118" s="29" t="str">
        <f>IF(DAY(Data!$C$21:$C$1327)&gt;0,TEXT(Data!$C$21:$C$1327, "aaaa"),"")</f>
        <v>2025</v>
      </c>
      <c r="I1118" t="str">
        <f>IF(OR(H1118=$B$5,H1118=$B$6,H1118=$B$7,H1118=$B$8,H1118=$B$9,H1118=$B$10,H1118=$B$11,H1118=$B$12,H1118=$B$13,H1118=$B$14),SottocategorieUscite[[#Headers],[Fuori Casa]],IF(OR(H1118=$C$5,H1118=$C$6,H1118=$C$7,H1118=$C$8,H1118=$C$9,H1118=$C$10,H1118=$C$11,H1118=$C$12,H1118=$C$13,H1118=$C$14),SottocategorieUscite[[#Headers],[Varie Uscite]],IF(OR(H1118=$D$5,H1118=$D$6,H1118=$D$7,H1118=$D$8,H1118=$D$9,H1118=$D$10,H1118=$D$11,H1118=$D$12,H1118=$D$13,H1118=$D$14),SottocategorieUscite[[#Headers],[Personali]],IF(OR(H1118=$E$5,H1118=$E$6,H1118=$E$7,H1118=$E$8,H1118=$E$9,H1118=$E$10,H1118=$E$11,H1118=$E$12,H1118=$E$13,H1118=$E$14),SottocategorieUscite[[#Headers],[Lavoro]],IF(OR(H1118=$F$5,H1118=$F$6,H1118=$F$7,H1118=$F$8,H1118=$F$9,H1118=$F$10,H1118=$F$11,H1118=$F$12,H1118=$F$13,H1118=$F$14),SottocategorieUscite[[#Headers],[Casa]],IF(OR(H1118=$G$5,H1118=$G$6,H1118=$G$7,H1118=$G$8,H1118=$G$9,H1118=$G$10,H1118=$G$11,H1118=$G$12,H1118=$G$13,H1118=$G$14),SottocategorieUscite[[#Headers],[Utenze]],IF(OR(H1118=$H$5,H1118=$H$6,H1118=$H$7,H1118=$H$8,H1118=$H$9,H1118=$H$10,H1118=$H$11,H1118=$H$12,H1118=$H$13,H1118=$H$14),SottocategorieUscite[[#Headers],[Business Uscite]],IF(OR(H1118=$I$5,H1118=$I$6,H1118=$I$7,H1118=$I$8,H1118=$I$9,H1118=$I$10,H1118=$I$11,H1118=$I$12,H1118=$I$13,H1118=$I$14),SottocategorieUscite[[#Headers],[Banca]],IF(OR(H1118=K$5,H1118=K$6,H1118=K$7,H1118=K$8,H1118=K$9,H1118=K$10,H1118=K$11,H1118=K$12,H1118=K$13,H1118=K$14),SottocategorieEntrate[[#Headers],[Business Entrate]],IF(OR(H1118=L$5,H1118=L$6,H1118=L$7,H1118=L$8,H1118=L$9,H1118=L$10,H1118=L$11,H1118=L$12,H1118=L$13,H1118=L$14),SottocategorieEntrate[[#Headers],[Varie Entrate]],IF(OR(H1118=M$5,H1118=M$6,H1118=M$7,H1118=M$8,H1118=M$9,H1118=M$10,H1118=M$11,H1118=M$12,H1118=M$13,H1118=M$14),SottocategorieEntrate[[#Headers],[Real Estate]],IF(OR(H1118=N$5,H1118=N$6,H1118=N$7,H1118=N$8,H1118=N$9,H1118=N$10,H1118=N$11,H1118=N$12,H1118=N$13,H1118=N$14),SottocategorieEntrate[[#Headers],[Other]],""))))))))))))</f>
        <v/>
      </c>
      <c r="J1118" t="str">
        <f>IF(OR(Dati[[#This Row],[Categoria]]="Bollette",Dati[[#This Row],[Categoria]]="Conto &amp; Carte BNL",Dati[[#This Row],[Categoria]]="Prelievo",Dati[[#This Row],[Categoria]]="Affitto",Dati[[#This Row],[Categoria]]="BNL(Interessi Creditori)"),"Carta",IF(Dati[[#This Row],[Categoria]]&lt;&gt;0,"Cash",""))</f>
        <v/>
      </c>
      <c r="K1118" s="59" t="str">
        <f>IF(OR(Data!$I1118=SottocategorieUscite[[#Headers],[Fuori Casa]],Data!$I1118=SottocategorieUscite[[#Headers],[Varie Uscite]],Data!$I1118=SottocategorieUscite[[#Headers],[Personali]],Data!$I1118=SottocategorieUscite[[#Headers],[Lavoro]]),"$ -","")</f>
        <v/>
      </c>
      <c r="L1118" s="59" t="str">
        <f>IF(OR(Data!$I1118=SottocategorieUscite[[#Headers],[Casa]],Data!$I1118=SottocategorieUscite[[#Headers],[Utenze]],Data!$I1118=SottocategorieUscite[[#Headers],[Business Uscite]],Data!$I1118=SottocategorieUscite[[#Headers],[Banca]]),"$ -","")</f>
        <v/>
      </c>
      <c r="M1118" s="59" t="str">
        <f>IF(OR($I1118&lt;&gt;SottocategorieUscite[[#Headers],[Fuori Casa]],$I1118&lt;&gt;SottocategorieUscite[[#Headers],[Varie Uscite]],$I1118&lt;&gt;SottocategorieUscite[[#Headers],[Personali]],$I1118&lt;&gt;SottocategorieUscite[[#Headers],[Lavoro]],$I1118&lt;&gt;SottocategorieUscite[[#Headers],[Casa]],$I1118&lt;&gt;SottocategorieUscite[[#Headers],[Utenze]],$I1118&lt;&gt;SottocategorieUscite[[#Headers],[Business Uscite]],$I1118&lt;&gt;SottocategorieUscite[[#Headers],[Banca]]),"","$ -")</f>
        <v/>
      </c>
      <c r="N1118" s="59" t="str">
        <f>IF(OR(Data!$I1118=SottocategorieEntrate[[#Headers],[Business Entrate]],Data!$I1118=SottocategorieEntrate[[#Headers],[Varie Entrate]]),"$ -","")</f>
        <v/>
      </c>
      <c r="O1118" s="59" t="str">
        <f>IF(OR(Data!$I1118=SottocategorieEntrate[[#Headers],[Real Estate]],SottocategorieEntrate[[#Headers],[Other]]),"$ -","")</f>
        <v/>
      </c>
      <c r="P1118" s="59" t="str">
        <f>IF(OR($I1118&lt;&gt;SottocategorieEntrate[[#Headers],[Business Entrate]],$I1118&lt;&gt;SottocategorieEntrate[[#Headers],[Varie Entrate]],$I1118&lt;&gt;SottocategorieEntrate[[#Headers],[Real Estate]],$I1118&lt;&gt;SottocategorieEntrate[[#Headers],[Other]]),"","$ -")</f>
        <v/>
      </c>
      <c r="Q1118" s="59" t="str">
        <f>IF(Dati[[#This Row],[Categoria]]="Prelievo","€ -","")</f>
        <v/>
      </c>
      <c r="R1118" s="244"/>
      <c r="S1118" s="59" t="str">
        <f>IF(Dati[[#This Row],[Categoria]]="Savings",0,"")</f>
        <v/>
      </c>
      <c r="T1118" s="59"/>
      <c r="U1118" s="59"/>
      <c r="V1118" s="59"/>
      <c r="W1118" s="59"/>
      <c r="X1118" s="59"/>
      <c r="Y1118" s="59"/>
      <c r="Z1118" s="59"/>
      <c r="AA1118" s="59"/>
      <c r="AB1118" s="59"/>
      <c r="AC1118" s="59"/>
      <c r="AD1118" s="59"/>
      <c r="AE1118" s="59"/>
      <c r="AF1118" s="59"/>
      <c r="AG1118" s="59"/>
      <c r="AH1118" s="59"/>
      <c r="AI1118" s="59" t="str">
        <f>IF(SUM(Dati[[#This Row],[Inv. Business]:[Inv. Cryptocurrency]])=0," ",SUM(Dati[[#This Row],[Inv. Business]:[Inv. Cryptocurrency]]))</f>
        <v xml:space="preserve"> </v>
      </c>
      <c r="AJ1118" s="59"/>
      <c r="AK1118" s="59" t="str">
        <f>IF(SUM(Dati[[#This Row],[Inv. Gold]:[Mutuo]])=0," ",SUM(Dati[[#This Row],[Inv. Gold]:[Mutuo]]))</f>
        <v xml:space="preserve"> </v>
      </c>
      <c r="AL1118" s="59"/>
      <c r="AM1118" s="59"/>
    </row>
    <row r="1119" spans="2:39" x14ac:dyDescent="0.35">
      <c r="B1119" s="237">
        <f t="shared" si="59"/>
        <v>1099</v>
      </c>
      <c r="C1119" s="49">
        <f t="shared" si="57"/>
        <v>45731</v>
      </c>
      <c r="D1119" s="29">
        <f>DAY(Dati[[#This Row],[Data]])</f>
        <v>15</v>
      </c>
      <c r="E1119" s="29" t="str">
        <f>IF(DAY(Data!$C$21:$C$1327)&gt;0,TEXT(Data!$C$21:$C$1327, "mmmm"),"")</f>
        <v>marzo</v>
      </c>
      <c r="F1119" s="29" t="str">
        <f>IF(DAY(Data!$C$21:$C$1327)&gt;0,TEXT(Data!$C$21:$C$1327, "aaaa"),"")</f>
        <v>2025</v>
      </c>
      <c r="I1119" t="str">
        <f>IF(OR(H1119=$B$5,H1119=$B$6,H1119=$B$7,H1119=$B$8,H1119=$B$9,H1119=$B$10,H1119=$B$11,H1119=$B$12,H1119=$B$13,H1119=$B$14),SottocategorieUscite[[#Headers],[Fuori Casa]],IF(OR(H1119=$C$5,H1119=$C$6,H1119=$C$7,H1119=$C$8,H1119=$C$9,H1119=$C$10,H1119=$C$11,H1119=$C$12,H1119=$C$13,H1119=$C$14),SottocategorieUscite[[#Headers],[Varie Uscite]],IF(OR(H1119=$D$5,H1119=$D$6,H1119=$D$7,H1119=$D$8,H1119=$D$9,H1119=$D$10,H1119=$D$11,H1119=$D$12,H1119=$D$13,H1119=$D$14),SottocategorieUscite[[#Headers],[Personali]],IF(OR(H1119=$E$5,H1119=$E$6,H1119=$E$7,H1119=$E$8,H1119=$E$9,H1119=$E$10,H1119=$E$11,H1119=$E$12,H1119=$E$13,H1119=$E$14),SottocategorieUscite[[#Headers],[Lavoro]],IF(OR(H1119=$F$5,H1119=$F$6,H1119=$F$7,H1119=$F$8,H1119=$F$9,H1119=$F$10,H1119=$F$11,H1119=$F$12,H1119=$F$13,H1119=$F$14),SottocategorieUscite[[#Headers],[Casa]],IF(OR(H1119=$G$5,H1119=$G$6,H1119=$G$7,H1119=$G$8,H1119=$G$9,H1119=$G$10,H1119=$G$11,H1119=$G$12,H1119=$G$13,H1119=$G$14),SottocategorieUscite[[#Headers],[Utenze]],IF(OR(H1119=$H$5,H1119=$H$6,H1119=$H$7,H1119=$H$8,H1119=$H$9,H1119=$H$10,H1119=$H$11,H1119=$H$12,H1119=$H$13,H1119=$H$14),SottocategorieUscite[[#Headers],[Business Uscite]],IF(OR(H1119=$I$5,H1119=$I$6,H1119=$I$7,H1119=$I$8,H1119=$I$9,H1119=$I$10,H1119=$I$11,H1119=$I$12,H1119=$I$13,H1119=$I$14),SottocategorieUscite[[#Headers],[Banca]],IF(OR(H1119=K$5,H1119=K$6,H1119=K$7,H1119=K$8,H1119=K$9,H1119=K$10,H1119=K$11,H1119=K$12,H1119=K$13,H1119=K$14),SottocategorieEntrate[[#Headers],[Business Entrate]],IF(OR(H1119=L$5,H1119=L$6,H1119=L$7,H1119=L$8,H1119=L$9,H1119=L$10,H1119=L$11,H1119=L$12,H1119=L$13,H1119=L$14),SottocategorieEntrate[[#Headers],[Varie Entrate]],IF(OR(H1119=M$5,H1119=M$6,H1119=M$7,H1119=M$8,H1119=M$9,H1119=M$10,H1119=M$11,H1119=M$12,H1119=M$13,H1119=M$14),SottocategorieEntrate[[#Headers],[Real Estate]],IF(OR(H1119=N$5,H1119=N$6,H1119=N$7,H1119=N$8,H1119=N$9,H1119=N$10,H1119=N$11,H1119=N$12,H1119=N$13,H1119=N$14),SottocategorieEntrate[[#Headers],[Other]],""))))))))))))</f>
        <v/>
      </c>
      <c r="J1119" t="str">
        <f>IF(OR(Dati[[#This Row],[Categoria]]="Bollette",Dati[[#This Row],[Categoria]]="Conto &amp; Carte BNL",Dati[[#This Row],[Categoria]]="Prelievo",Dati[[#This Row],[Categoria]]="Affitto",Dati[[#This Row],[Categoria]]="BNL(Interessi Creditori)"),"Carta",IF(Dati[[#This Row],[Categoria]]&lt;&gt;0,"Cash",""))</f>
        <v/>
      </c>
      <c r="K1119" s="59" t="str">
        <f>IF(OR(Data!$I1119=SottocategorieUscite[[#Headers],[Fuori Casa]],Data!$I1119=SottocategorieUscite[[#Headers],[Varie Uscite]],Data!$I1119=SottocategorieUscite[[#Headers],[Personali]],Data!$I1119=SottocategorieUscite[[#Headers],[Lavoro]]),"$ -","")</f>
        <v/>
      </c>
      <c r="L1119" s="59" t="str">
        <f>IF(OR(Data!$I1119=SottocategorieUscite[[#Headers],[Casa]],Data!$I1119=SottocategorieUscite[[#Headers],[Utenze]],Data!$I1119=SottocategorieUscite[[#Headers],[Business Uscite]],Data!$I1119=SottocategorieUscite[[#Headers],[Banca]]),"$ -","")</f>
        <v/>
      </c>
      <c r="M1119" s="59" t="str">
        <f>IF(OR($I1119&lt;&gt;SottocategorieUscite[[#Headers],[Fuori Casa]],$I1119&lt;&gt;SottocategorieUscite[[#Headers],[Varie Uscite]],$I1119&lt;&gt;SottocategorieUscite[[#Headers],[Personali]],$I1119&lt;&gt;SottocategorieUscite[[#Headers],[Lavoro]],$I1119&lt;&gt;SottocategorieUscite[[#Headers],[Casa]],$I1119&lt;&gt;SottocategorieUscite[[#Headers],[Utenze]],$I1119&lt;&gt;SottocategorieUscite[[#Headers],[Business Uscite]],$I1119&lt;&gt;SottocategorieUscite[[#Headers],[Banca]]),"","$ -")</f>
        <v/>
      </c>
      <c r="N1119" s="59" t="str">
        <f>IF(OR(Data!$I1119=SottocategorieEntrate[[#Headers],[Business Entrate]],Data!$I1119=SottocategorieEntrate[[#Headers],[Varie Entrate]]),"$ -","")</f>
        <v/>
      </c>
      <c r="O1119" s="59" t="str">
        <f>IF(OR(Data!$I1119=SottocategorieEntrate[[#Headers],[Real Estate]],SottocategorieEntrate[[#Headers],[Other]]),"$ -","")</f>
        <v/>
      </c>
      <c r="P1119" s="59" t="str">
        <f>IF(OR($I1119&lt;&gt;SottocategorieEntrate[[#Headers],[Business Entrate]],$I1119&lt;&gt;SottocategorieEntrate[[#Headers],[Varie Entrate]],$I1119&lt;&gt;SottocategorieEntrate[[#Headers],[Real Estate]],$I1119&lt;&gt;SottocategorieEntrate[[#Headers],[Other]]),"","$ -")</f>
        <v/>
      </c>
      <c r="Q1119" s="59" t="str">
        <f>IF(Dati[[#This Row],[Categoria]]="Prelievo","€ -","")</f>
        <v/>
      </c>
      <c r="R1119" s="244"/>
      <c r="S1119" s="59" t="str">
        <f>IF(Dati[[#This Row],[Categoria]]="Savings",0,"")</f>
        <v/>
      </c>
      <c r="T1119" s="59"/>
      <c r="U1119" s="59"/>
      <c r="V1119" s="59"/>
      <c r="W1119" s="59"/>
      <c r="X1119" s="59"/>
      <c r="Y1119" s="59"/>
      <c r="Z1119" s="59"/>
      <c r="AA1119" s="59"/>
      <c r="AB1119" s="59"/>
      <c r="AC1119" s="59"/>
      <c r="AD1119" s="59"/>
      <c r="AE1119" s="59"/>
      <c r="AF1119" s="59"/>
      <c r="AG1119" s="59"/>
      <c r="AH1119" s="59"/>
      <c r="AI1119" s="59" t="str">
        <f>IF(SUM(Dati[[#This Row],[Inv. Business]:[Inv. Cryptocurrency]])=0," ",SUM(Dati[[#This Row],[Inv. Business]:[Inv. Cryptocurrency]]))</f>
        <v xml:space="preserve"> </v>
      </c>
      <c r="AJ1119" s="59"/>
      <c r="AK1119" s="59" t="str">
        <f>IF(SUM(Dati[[#This Row],[Inv. Gold]:[Mutuo]])=0," ",SUM(Dati[[#This Row],[Inv. Gold]:[Mutuo]]))</f>
        <v xml:space="preserve"> </v>
      </c>
      <c r="AL1119" s="59"/>
      <c r="AM1119" s="59"/>
    </row>
    <row r="1120" spans="2:39" x14ac:dyDescent="0.35">
      <c r="B1120" s="237">
        <f t="shared" si="59"/>
        <v>1100</v>
      </c>
      <c r="C1120" s="49">
        <f t="shared" si="57"/>
        <v>45732</v>
      </c>
      <c r="D1120" s="29">
        <f>DAY(Dati[[#This Row],[Data]])</f>
        <v>16</v>
      </c>
      <c r="E1120" s="29" t="str">
        <f>IF(DAY(Data!$C$21:$C$1327)&gt;0,TEXT(Data!$C$21:$C$1327, "mmmm"),"")</f>
        <v>marzo</v>
      </c>
      <c r="F1120" s="29" t="str">
        <f>IF(DAY(Data!$C$21:$C$1327)&gt;0,TEXT(Data!$C$21:$C$1327, "aaaa"),"")</f>
        <v>2025</v>
      </c>
      <c r="I1120" t="str">
        <f>IF(OR(H1120=$B$5,H1120=$B$6,H1120=$B$7,H1120=$B$8,H1120=$B$9,H1120=$B$10,H1120=$B$11,H1120=$B$12,H1120=$B$13,H1120=$B$14),SottocategorieUscite[[#Headers],[Fuori Casa]],IF(OR(H1120=$C$5,H1120=$C$6,H1120=$C$7,H1120=$C$8,H1120=$C$9,H1120=$C$10,H1120=$C$11,H1120=$C$12,H1120=$C$13,H1120=$C$14),SottocategorieUscite[[#Headers],[Varie Uscite]],IF(OR(H1120=$D$5,H1120=$D$6,H1120=$D$7,H1120=$D$8,H1120=$D$9,H1120=$D$10,H1120=$D$11,H1120=$D$12,H1120=$D$13,H1120=$D$14),SottocategorieUscite[[#Headers],[Personali]],IF(OR(H1120=$E$5,H1120=$E$6,H1120=$E$7,H1120=$E$8,H1120=$E$9,H1120=$E$10,H1120=$E$11,H1120=$E$12,H1120=$E$13,H1120=$E$14),SottocategorieUscite[[#Headers],[Lavoro]],IF(OR(H1120=$F$5,H1120=$F$6,H1120=$F$7,H1120=$F$8,H1120=$F$9,H1120=$F$10,H1120=$F$11,H1120=$F$12,H1120=$F$13,H1120=$F$14),SottocategorieUscite[[#Headers],[Casa]],IF(OR(H1120=$G$5,H1120=$G$6,H1120=$G$7,H1120=$G$8,H1120=$G$9,H1120=$G$10,H1120=$G$11,H1120=$G$12,H1120=$G$13,H1120=$G$14),SottocategorieUscite[[#Headers],[Utenze]],IF(OR(H1120=$H$5,H1120=$H$6,H1120=$H$7,H1120=$H$8,H1120=$H$9,H1120=$H$10,H1120=$H$11,H1120=$H$12,H1120=$H$13,H1120=$H$14),SottocategorieUscite[[#Headers],[Business Uscite]],IF(OR(H1120=$I$5,H1120=$I$6,H1120=$I$7,H1120=$I$8,H1120=$I$9,H1120=$I$10,H1120=$I$11,H1120=$I$12,H1120=$I$13,H1120=$I$14),SottocategorieUscite[[#Headers],[Banca]],IF(OR(H1120=K$5,H1120=K$6,H1120=K$7,H1120=K$8,H1120=K$9,H1120=K$10,H1120=K$11,H1120=K$12,H1120=K$13,H1120=K$14),SottocategorieEntrate[[#Headers],[Business Entrate]],IF(OR(H1120=L$5,H1120=L$6,H1120=L$7,H1120=L$8,H1120=L$9,H1120=L$10,H1120=L$11,H1120=L$12,H1120=L$13,H1120=L$14),SottocategorieEntrate[[#Headers],[Varie Entrate]],IF(OR(H1120=M$5,H1120=M$6,H1120=M$7,H1120=M$8,H1120=M$9,H1120=M$10,H1120=M$11,H1120=M$12,H1120=M$13,H1120=M$14),SottocategorieEntrate[[#Headers],[Real Estate]],IF(OR(H1120=N$5,H1120=N$6,H1120=N$7,H1120=N$8,H1120=N$9,H1120=N$10,H1120=N$11,H1120=N$12,H1120=N$13,H1120=N$14),SottocategorieEntrate[[#Headers],[Other]],""))))))))))))</f>
        <v/>
      </c>
      <c r="J1120" t="str">
        <f>IF(OR(Dati[[#This Row],[Categoria]]="Bollette",Dati[[#This Row],[Categoria]]="Conto &amp; Carte BNL",Dati[[#This Row],[Categoria]]="Prelievo",Dati[[#This Row],[Categoria]]="Affitto",Dati[[#This Row],[Categoria]]="BNL(Interessi Creditori)"),"Carta",IF(Dati[[#This Row],[Categoria]]&lt;&gt;0,"Cash",""))</f>
        <v/>
      </c>
      <c r="K1120" s="59" t="str">
        <f>IF(OR(Data!$I1120=SottocategorieUscite[[#Headers],[Fuori Casa]],Data!$I1120=SottocategorieUscite[[#Headers],[Varie Uscite]],Data!$I1120=SottocategorieUscite[[#Headers],[Personali]],Data!$I1120=SottocategorieUscite[[#Headers],[Lavoro]]),"$ -","")</f>
        <v/>
      </c>
      <c r="L1120" s="59" t="str">
        <f>IF(OR(Data!$I1120=SottocategorieUscite[[#Headers],[Casa]],Data!$I1120=SottocategorieUscite[[#Headers],[Utenze]],Data!$I1120=SottocategorieUscite[[#Headers],[Business Uscite]],Data!$I1120=SottocategorieUscite[[#Headers],[Banca]]),"$ -","")</f>
        <v/>
      </c>
      <c r="M1120" s="59" t="str">
        <f>IF(OR($I1120&lt;&gt;SottocategorieUscite[[#Headers],[Fuori Casa]],$I1120&lt;&gt;SottocategorieUscite[[#Headers],[Varie Uscite]],$I1120&lt;&gt;SottocategorieUscite[[#Headers],[Personali]],$I1120&lt;&gt;SottocategorieUscite[[#Headers],[Lavoro]],$I1120&lt;&gt;SottocategorieUscite[[#Headers],[Casa]],$I1120&lt;&gt;SottocategorieUscite[[#Headers],[Utenze]],$I1120&lt;&gt;SottocategorieUscite[[#Headers],[Business Uscite]],$I1120&lt;&gt;SottocategorieUscite[[#Headers],[Banca]]),"","$ -")</f>
        <v/>
      </c>
      <c r="N1120" s="59" t="str">
        <f>IF(OR(Data!$I1120=SottocategorieEntrate[[#Headers],[Business Entrate]],Data!$I1120=SottocategorieEntrate[[#Headers],[Varie Entrate]]),"$ -","")</f>
        <v/>
      </c>
      <c r="O1120" s="59" t="str">
        <f>IF(OR(Data!$I1120=SottocategorieEntrate[[#Headers],[Real Estate]],SottocategorieEntrate[[#Headers],[Other]]),"$ -","")</f>
        <v/>
      </c>
      <c r="P1120" s="59" t="str">
        <f>IF(OR($I1120&lt;&gt;SottocategorieEntrate[[#Headers],[Business Entrate]],$I1120&lt;&gt;SottocategorieEntrate[[#Headers],[Varie Entrate]],$I1120&lt;&gt;SottocategorieEntrate[[#Headers],[Real Estate]],$I1120&lt;&gt;SottocategorieEntrate[[#Headers],[Other]]),"","$ -")</f>
        <v/>
      </c>
      <c r="Q1120" s="59" t="str">
        <f>IF(Dati[[#This Row],[Categoria]]="Prelievo","€ -","")</f>
        <v/>
      </c>
      <c r="R1120" s="244"/>
      <c r="S1120" s="59" t="str">
        <f>IF(Dati[[#This Row],[Categoria]]="Savings",0,"")</f>
        <v/>
      </c>
      <c r="T1120" s="59"/>
      <c r="U1120" s="59"/>
      <c r="V1120" s="59"/>
      <c r="W1120" s="59"/>
      <c r="X1120" s="59"/>
      <c r="Y1120" s="59"/>
      <c r="Z1120" s="59"/>
      <c r="AA1120" s="59"/>
      <c r="AB1120" s="59"/>
      <c r="AC1120" s="59"/>
      <c r="AD1120" s="59"/>
      <c r="AE1120" s="59"/>
      <c r="AF1120" s="59"/>
      <c r="AG1120" s="59"/>
      <c r="AH1120" s="59"/>
      <c r="AI1120" s="59" t="str">
        <f>IF(SUM(Dati[[#This Row],[Inv. Business]:[Inv. Cryptocurrency]])=0," ",SUM(Dati[[#This Row],[Inv. Business]:[Inv. Cryptocurrency]]))</f>
        <v xml:space="preserve"> </v>
      </c>
      <c r="AJ1120" s="59"/>
      <c r="AK1120" s="59" t="str">
        <f>IF(SUM(Dati[[#This Row],[Inv. Gold]:[Mutuo]])=0," ",SUM(Dati[[#This Row],[Inv. Gold]:[Mutuo]]))</f>
        <v xml:space="preserve"> </v>
      </c>
      <c r="AL1120" s="59"/>
      <c r="AM1120" s="59"/>
    </row>
    <row r="1121" spans="2:39" x14ac:dyDescent="0.35">
      <c r="B1121" s="237">
        <f t="shared" si="59"/>
        <v>1101</v>
      </c>
      <c r="C1121" s="49">
        <f t="shared" si="57"/>
        <v>45733</v>
      </c>
      <c r="D1121" s="29">
        <f>DAY(Dati[[#This Row],[Data]])</f>
        <v>17</v>
      </c>
      <c r="E1121" s="29" t="str">
        <f>IF(DAY(Data!$C$21:$C$1327)&gt;0,TEXT(Data!$C$21:$C$1327, "mmmm"),"")</f>
        <v>marzo</v>
      </c>
      <c r="F1121" s="29" t="str">
        <f>IF(DAY(Data!$C$21:$C$1327)&gt;0,TEXT(Data!$C$21:$C$1327, "aaaa"),"")</f>
        <v>2025</v>
      </c>
      <c r="I1121" t="str">
        <f>IF(OR(H1121=$B$5,H1121=$B$6,H1121=$B$7,H1121=$B$8,H1121=$B$9,H1121=$B$10,H1121=$B$11,H1121=$B$12,H1121=$B$13,H1121=$B$14),SottocategorieUscite[[#Headers],[Fuori Casa]],IF(OR(H1121=$C$5,H1121=$C$6,H1121=$C$7,H1121=$C$8,H1121=$C$9,H1121=$C$10,H1121=$C$11,H1121=$C$12,H1121=$C$13,H1121=$C$14),SottocategorieUscite[[#Headers],[Varie Uscite]],IF(OR(H1121=$D$5,H1121=$D$6,H1121=$D$7,H1121=$D$8,H1121=$D$9,H1121=$D$10,H1121=$D$11,H1121=$D$12,H1121=$D$13,H1121=$D$14),SottocategorieUscite[[#Headers],[Personali]],IF(OR(H1121=$E$5,H1121=$E$6,H1121=$E$7,H1121=$E$8,H1121=$E$9,H1121=$E$10,H1121=$E$11,H1121=$E$12,H1121=$E$13,H1121=$E$14),SottocategorieUscite[[#Headers],[Lavoro]],IF(OR(H1121=$F$5,H1121=$F$6,H1121=$F$7,H1121=$F$8,H1121=$F$9,H1121=$F$10,H1121=$F$11,H1121=$F$12,H1121=$F$13,H1121=$F$14),SottocategorieUscite[[#Headers],[Casa]],IF(OR(H1121=$G$5,H1121=$G$6,H1121=$G$7,H1121=$G$8,H1121=$G$9,H1121=$G$10,H1121=$G$11,H1121=$G$12,H1121=$G$13,H1121=$G$14),SottocategorieUscite[[#Headers],[Utenze]],IF(OR(H1121=$H$5,H1121=$H$6,H1121=$H$7,H1121=$H$8,H1121=$H$9,H1121=$H$10,H1121=$H$11,H1121=$H$12,H1121=$H$13,H1121=$H$14),SottocategorieUscite[[#Headers],[Business Uscite]],IF(OR(H1121=$I$5,H1121=$I$6,H1121=$I$7,H1121=$I$8,H1121=$I$9,H1121=$I$10,H1121=$I$11,H1121=$I$12,H1121=$I$13,H1121=$I$14),SottocategorieUscite[[#Headers],[Banca]],IF(OR(H1121=K$5,H1121=K$6,H1121=K$7,H1121=K$8,H1121=K$9,H1121=K$10,H1121=K$11,H1121=K$12,H1121=K$13,H1121=K$14),SottocategorieEntrate[[#Headers],[Business Entrate]],IF(OR(H1121=L$5,H1121=L$6,H1121=L$7,H1121=L$8,H1121=L$9,H1121=L$10,H1121=L$11,H1121=L$12,H1121=L$13,H1121=L$14),SottocategorieEntrate[[#Headers],[Varie Entrate]],IF(OR(H1121=M$5,H1121=M$6,H1121=M$7,H1121=M$8,H1121=M$9,H1121=M$10,H1121=M$11,H1121=M$12,H1121=M$13,H1121=M$14),SottocategorieEntrate[[#Headers],[Real Estate]],IF(OR(H1121=N$5,H1121=N$6,H1121=N$7,H1121=N$8,H1121=N$9,H1121=N$10,H1121=N$11,H1121=N$12,H1121=N$13,H1121=N$14),SottocategorieEntrate[[#Headers],[Other]],""))))))))))))</f>
        <v/>
      </c>
      <c r="J1121" t="str">
        <f>IF(OR(Dati[[#This Row],[Categoria]]="Bollette",Dati[[#This Row],[Categoria]]="Conto &amp; Carte BNL",Dati[[#This Row],[Categoria]]="Prelievo",Dati[[#This Row],[Categoria]]="Affitto",Dati[[#This Row],[Categoria]]="BNL(Interessi Creditori)"),"Carta",IF(Dati[[#This Row],[Categoria]]&lt;&gt;0,"Cash",""))</f>
        <v/>
      </c>
      <c r="K1121" s="59" t="str">
        <f>IF(OR(Data!$I1121=SottocategorieUscite[[#Headers],[Fuori Casa]],Data!$I1121=SottocategorieUscite[[#Headers],[Varie Uscite]],Data!$I1121=SottocategorieUscite[[#Headers],[Personali]],Data!$I1121=SottocategorieUscite[[#Headers],[Lavoro]]),"$ -","")</f>
        <v/>
      </c>
      <c r="L1121" s="59" t="str">
        <f>IF(OR(Data!$I1121=SottocategorieUscite[[#Headers],[Casa]],Data!$I1121=SottocategorieUscite[[#Headers],[Utenze]],Data!$I1121=SottocategorieUscite[[#Headers],[Business Uscite]],Data!$I1121=SottocategorieUscite[[#Headers],[Banca]]),"$ -","")</f>
        <v/>
      </c>
      <c r="M1121" s="59" t="str">
        <f>IF(OR($I1121&lt;&gt;SottocategorieUscite[[#Headers],[Fuori Casa]],$I1121&lt;&gt;SottocategorieUscite[[#Headers],[Varie Uscite]],$I1121&lt;&gt;SottocategorieUscite[[#Headers],[Personali]],$I1121&lt;&gt;SottocategorieUscite[[#Headers],[Lavoro]],$I1121&lt;&gt;SottocategorieUscite[[#Headers],[Casa]],$I1121&lt;&gt;SottocategorieUscite[[#Headers],[Utenze]],$I1121&lt;&gt;SottocategorieUscite[[#Headers],[Business Uscite]],$I1121&lt;&gt;SottocategorieUscite[[#Headers],[Banca]]),"","$ -")</f>
        <v/>
      </c>
      <c r="N1121" s="59" t="str">
        <f>IF(OR(Data!$I1121=SottocategorieEntrate[[#Headers],[Business Entrate]],Data!$I1121=SottocategorieEntrate[[#Headers],[Varie Entrate]]),"$ -","")</f>
        <v/>
      </c>
      <c r="O1121" s="59" t="str">
        <f>IF(OR(Data!$I1121=SottocategorieEntrate[[#Headers],[Real Estate]],SottocategorieEntrate[[#Headers],[Other]]),"$ -","")</f>
        <v/>
      </c>
      <c r="P1121" s="59" t="str">
        <f>IF(OR($I1121&lt;&gt;SottocategorieEntrate[[#Headers],[Business Entrate]],$I1121&lt;&gt;SottocategorieEntrate[[#Headers],[Varie Entrate]],$I1121&lt;&gt;SottocategorieEntrate[[#Headers],[Real Estate]],$I1121&lt;&gt;SottocategorieEntrate[[#Headers],[Other]]),"","$ -")</f>
        <v/>
      </c>
      <c r="Q1121" s="59" t="str">
        <f>IF(Dati[[#This Row],[Categoria]]="Prelievo","€ -","")</f>
        <v/>
      </c>
      <c r="R1121" s="244"/>
      <c r="S1121" s="59" t="str">
        <f>IF(Dati[[#This Row],[Categoria]]="Savings",0,"")</f>
        <v/>
      </c>
      <c r="T1121" s="59"/>
      <c r="U1121" s="59"/>
      <c r="V1121" s="59"/>
      <c r="W1121" s="59"/>
      <c r="X1121" s="59"/>
      <c r="Y1121" s="59"/>
      <c r="Z1121" s="59"/>
      <c r="AA1121" s="59"/>
      <c r="AB1121" s="59"/>
      <c r="AC1121" s="59"/>
      <c r="AD1121" s="59"/>
      <c r="AE1121" s="59"/>
      <c r="AF1121" s="59"/>
      <c r="AG1121" s="59"/>
      <c r="AH1121" s="59"/>
      <c r="AI1121" s="59" t="str">
        <f>IF(SUM(Dati[[#This Row],[Inv. Business]:[Inv. Cryptocurrency]])=0," ",SUM(Dati[[#This Row],[Inv. Business]:[Inv. Cryptocurrency]]))</f>
        <v xml:space="preserve"> </v>
      </c>
      <c r="AJ1121" s="59"/>
      <c r="AK1121" s="59" t="str">
        <f>IF(SUM(Dati[[#This Row],[Inv. Gold]:[Mutuo]])=0," ",SUM(Dati[[#This Row],[Inv. Gold]:[Mutuo]]))</f>
        <v xml:space="preserve"> </v>
      </c>
      <c r="AL1121" s="59"/>
      <c r="AM1121" s="59"/>
    </row>
    <row r="1122" spans="2:39" x14ac:dyDescent="0.35">
      <c r="B1122" s="237">
        <f t="shared" si="59"/>
        <v>1102</v>
      </c>
      <c r="C1122" s="49">
        <f t="shared" si="57"/>
        <v>45734</v>
      </c>
      <c r="D1122" s="29">
        <f>DAY(Dati[[#This Row],[Data]])</f>
        <v>18</v>
      </c>
      <c r="E1122" s="29" t="str">
        <f>IF(DAY(Data!$C$21:$C$1327)&gt;0,TEXT(Data!$C$21:$C$1327, "mmmm"),"")</f>
        <v>marzo</v>
      </c>
      <c r="F1122" s="29" t="str">
        <f>IF(DAY(Data!$C$21:$C$1327)&gt;0,TEXT(Data!$C$21:$C$1327, "aaaa"),"")</f>
        <v>2025</v>
      </c>
      <c r="I1122" t="str">
        <f>IF(OR(H1122=$B$5,H1122=$B$6,H1122=$B$7,H1122=$B$8,H1122=$B$9,H1122=$B$10,H1122=$B$11,H1122=$B$12,H1122=$B$13,H1122=$B$14),SottocategorieUscite[[#Headers],[Fuori Casa]],IF(OR(H1122=$C$5,H1122=$C$6,H1122=$C$7,H1122=$C$8,H1122=$C$9,H1122=$C$10,H1122=$C$11,H1122=$C$12,H1122=$C$13,H1122=$C$14),SottocategorieUscite[[#Headers],[Varie Uscite]],IF(OR(H1122=$D$5,H1122=$D$6,H1122=$D$7,H1122=$D$8,H1122=$D$9,H1122=$D$10,H1122=$D$11,H1122=$D$12,H1122=$D$13,H1122=$D$14),SottocategorieUscite[[#Headers],[Personali]],IF(OR(H1122=$E$5,H1122=$E$6,H1122=$E$7,H1122=$E$8,H1122=$E$9,H1122=$E$10,H1122=$E$11,H1122=$E$12,H1122=$E$13,H1122=$E$14),SottocategorieUscite[[#Headers],[Lavoro]],IF(OR(H1122=$F$5,H1122=$F$6,H1122=$F$7,H1122=$F$8,H1122=$F$9,H1122=$F$10,H1122=$F$11,H1122=$F$12,H1122=$F$13,H1122=$F$14),SottocategorieUscite[[#Headers],[Casa]],IF(OR(H1122=$G$5,H1122=$G$6,H1122=$G$7,H1122=$G$8,H1122=$G$9,H1122=$G$10,H1122=$G$11,H1122=$G$12,H1122=$G$13,H1122=$G$14),SottocategorieUscite[[#Headers],[Utenze]],IF(OR(H1122=$H$5,H1122=$H$6,H1122=$H$7,H1122=$H$8,H1122=$H$9,H1122=$H$10,H1122=$H$11,H1122=$H$12,H1122=$H$13,H1122=$H$14),SottocategorieUscite[[#Headers],[Business Uscite]],IF(OR(H1122=$I$5,H1122=$I$6,H1122=$I$7,H1122=$I$8,H1122=$I$9,H1122=$I$10,H1122=$I$11,H1122=$I$12,H1122=$I$13,H1122=$I$14),SottocategorieUscite[[#Headers],[Banca]],IF(OR(H1122=K$5,H1122=K$6,H1122=K$7,H1122=K$8,H1122=K$9,H1122=K$10,H1122=K$11,H1122=K$12,H1122=K$13,H1122=K$14),SottocategorieEntrate[[#Headers],[Business Entrate]],IF(OR(H1122=L$5,H1122=L$6,H1122=L$7,H1122=L$8,H1122=L$9,H1122=L$10,H1122=L$11,H1122=L$12,H1122=L$13,H1122=L$14),SottocategorieEntrate[[#Headers],[Varie Entrate]],IF(OR(H1122=M$5,H1122=M$6,H1122=M$7,H1122=M$8,H1122=M$9,H1122=M$10,H1122=M$11,H1122=M$12,H1122=M$13,H1122=M$14),SottocategorieEntrate[[#Headers],[Real Estate]],IF(OR(H1122=N$5,H1122=N$6,H1122=N$7,H1122=N$8,H1122=N$9,H1122=N$10,H1122=N$11,H1122=N$12,H1122=N$13,H1122=N$14),SottocategorieEntrate[[#Headers],[Other]],""))))))))))))</f>
        <v/>
      </c>
      <c r="J1122" t="str">
        <f>IF(OR(Dati[[#This Row],[Categoria]]="Bollette",Dati[[#This Row],[Categoria]]="Conto &amp; Carte BNL",Dati[[#This Row],[Categoria]]="Prelievo",Dati[[#This Row],[Categoria]]="Affitto",Dati[[#This Row],[Categoria]]="BNL(Interessi Creditori)"),"Carta",IF(Dati[[#This Row],[Categoria]]&lt;&gt;0,"Cash",""))</f>
        <v/>
      </c>
      <c r="K1122" s="59" t="str">
        <f>IF(OR(Data!$I1122=SottocategorieUscite[[#Headers],[Fuori Casa]],Data!$I1122=SottocategorieUscite[[#Headers],[Varie Uscite]],Data!$I1122=SottocategorieUscite[[#Headers],[Personali]],Data!$I1122=SottocategorieUscite[[#Headers],[Lavoro]]),"$ -","")</f>
        <v/>
      </c>
      <c r="L1122" s="59" t="str">
        <f>IF(OR(Data!$I1122=SottocategorieUscite[[#Headers],[Casa]],Data!$I1122=SottocategorieUscite[[#Headers],[Utenze]],Data!$I1122=SottocategorieUscite[[#Headers],[Business Uscite]],Data!$I1122=SottocategorieUscite[[#Headers],[Banca]]),"$ -","")</f>
        <v/>
      </c>
      <c r="M1122" s="59" t="str">
        <f>IF(OR($I1122&lt;&gt;SottocategorieUscite[[#Headers],[Fuori Casa]],$I1122&lt;&gt;SottocategorieUscite[[#Headers],[Varie Uscite]],$I1122&lt;&gt;SottocategorieUscite[[#Headers],[Personali]],$I1122&lt;&gt;SottocategorieUscite[[#Headers],[Lavoro]],$I1122&lt;&gt;SottocategorieUscite[[#Headers],[Casa]],$I1122&lt;&gt;SottocategorieUscite[[#Headers],[Utenze]],$I1122&lt;&gt;SottocategorieUscite[[#Headers],[Business Uscite]],$I1122&lt;&gt;SottocategorieUscite[[#Headers],[Banca]]),"","$ -")</f>
        <v/>
      </c>
      <c r="N1122" s="59" t="str">
        <f>IF(OR(Data!$I1122=SottocategorieEntrate[[#Headers],[Business Entrate]],Data!$I1122=SottocategorieEntrate[[#Headers],[Varie Entrate]]),"$ -","")</f>
        <v/>
      </c>
      <c r="O1122" s="59" t="str">
        <f>IF(OR(Data!$I1122=SottocategorieEntrate[[#Headers],[Real Estate]],SottocategorieEntrate[[#Headers],[Other]]),"$ -","")</f>
        <v/>
      </c>
      <c r="P1122" s="59" t="str">
        <f>IF(OR($I1122&lt;&gt;SottocategorieEntrate[[#Headers],[Business Entrate]],$I1122&lt;&gt;SottocategorieEntrate[[#Headers],[Varie Entrate]],$I1122&lt;&gt;SottocategorieEntrate[[#Headers],[Real Estate]],$I1122&lt;&gt;SottocategorieEntrate[[#Headers],[Other]]),"","$ -")</f>
        <v/>
      </c>
      <c r="Q1122" s="59" t="str">
        <f>IF(Dati[[#This Row],[Categoria]]="Prelievo","€ -","")</f>
        <v/>
      </c>
      <c r="R1122" s="244"/>
      <c r="S1122" s="59" t="str">
        <f>IF(Dati[[#This Row],[Categoria]]="Savings",0,"")</f>
        <v/>
      </c>
      <c r="T1122" s="59"/>
      <c r="U1122" s="59"/>
      <c r="V1122" s="59"/>
      <c r="W1122" s="59"/>
      <c r="X1122" s="59"/>
      <c r="Y1122" s="59"/>
      <c r="Z1122" s="59"/>
      <c r="AA1122" s="59"/>
      <c r="AB1122" s="59"/>
      <c r="AC1122" s="59"/>
      <c r="AD1122" s="59"/>
      <c r="AE1122" s="59"/>
      <c r="AF1122" s="59"/>
      <c r="AG1122" s="59"/>
      <c r="AH1122" s="59"/>
      <c r="AI1122" s="59" t="str">
        <f>IF(SUM(Dati[[#This Row],[Inv. Business]:[Inv. Cryptocurrency]])=0," ",SUM(Dati[[#This Row],[Inv. Business]:[Inv. Cryptocurrency]]))</f>
        <v xml:space="preserve"> </v>
      </c>
      <c r="AJ1122" s="59"/>
      <c r="AK1122" s="59" t="str">
        <f>IF(SUM(Dati[[#This Row],[Inv. Gold]:[Mutuo]])=0," ",SUM(Dati[[#This Row],[Inv. Gold]:[Mutuo]]))</f>
        <v xml:space="preserve"> </v>
      </c>
      <c r="AL1122" s="59"/>
      <c r="AM1122" s="59"/>
    </row>
    <row r="1123" spans="2:39" x14ac:dyDescent="0.35">
      <c r="B1123" s="237">
        <f t="shared" si="59"/>
        <v>1103</v>
      </c>
      <c r="C1123" s="49">
        <f t="shared" si="57"/>
        <v>45735</v>
      </c>
      <c r="D1123" s="29">
        <f>DAY(Dati[[#This Row],[Data]])</f>
        <v>19</v>
      </c>
      <c r="E1123" s="29" t="str">
        <f>IF(DAY(Data!$C$21:$C$1327)&gt;0,TEXT(Data!$C$21:$C$1327, "mmmm"),"")</f>
        <v>marzo</v>
      </c>
      <c r="F1123" s="29" t="str">
        <f>IF(DAY(Data!$C$21:$C$1327)&gt;0,TEXT(Data!$C$21:$C$1327, "aaaa"),"")</f>
        <v>2025</v>
      </c>
      <c r="I1123" t="str">
        <f>IF(OR(H1123=$B$5,H1123=$B$6,H1123=$B$7,H1123=$B$8,H1123=$B$9,H1123=$B$10,H1123=$B$11,H1123=$B$12,H1123=$B$13,H1123=$B$14),SottocategorieUscite[[#Headers],[Fuori Casa]],IF(OR(H1123=$C$5,H1123=$C$6,H1123=$C$7,H1123=$C$8,H1123=$C$9,H1123=$C$10,H1123=$C$11,H1123=$C$12,H1123=$C$13,H1123=$C$14),SottocategorieUscite[[#Headers],[Varie Uscite]],IF(OR(H1123=$D$5,H1123=$D$6,H1123=$D$7,H1123=$D$8,H1123=$D$9,H1123=$D$10,H1123=$D$11,H1123=$D$12,H1123=$D$13,H1123=$D$14),SottocategorieUscite[[#Headers],[Personali]],IF(OR(H1123=$E$5,H1123=$E$6,H1123=$E$7,H1123=$E$8,H1123=$E$9,H1123=$E$10,H1123=$E$11,H1123=$E$12,H1123=$E$13,H1123=$E$14),SottocategorieUscite[[#Headers],[Lavoro]],IF(OR(H1123=$F$5,H1123=$F$6,H1123=$F$7,H1123=$F$8,H1123=$F$9,H1123=$F$10,H1123=$F$11,H1123=$F$12,H1123=$F$13,H1123=$F$14),SottocategorieUscite[[#Headers],[Casa]],IF(OR(H1123=$G$5,H1123=$G$6,H1123=$G$7,H1123=$G$8,H1123=$G$9,H1123=$G$10,H1123=$G$11,H1123=$G$12,H1123=$G$13,H1123=$G$14),SottocategorieUscite[[#Headers],[Utenze]],IF(OR(H1123=$H$5,H1123=$H$6,H1123=$H$7,H1123=$H$8,H1123=$H$9,H1123=$H$10,H1123=$H$11,H1123=$H$12,H1123=$H$13,H1123=$H$14),SottocategorieUscite[[#Headers],[Business Uscite]],IF(OR(H1123=$I$5,H1123=$I$6,H1123=$I$7,H1123=$I$8,H1123=$I$9,H1123=$I$10,H1123=$I$11,H1123=$I$12,H1123=$I$13,H1123=$I$14),SottocategorieUscite[[#Headers],[Banca]],IF(OR(H1123=K$5,H1123=K$6,H1123=K$7,H1123=K$8,H1123=K$9,H1123=K$10,H1123=K$11,H1123=K$12,H1123=K$13,H1123=K$14),SottocategorieEntrate[[#Headers],[Business Entrate]],IF(OR(H1123=L$5,H1123=L$6,H1123=L$7,H1123=L$8,H1123=L$9,H1123=L$10,H1123=L$11,H1123=L$12,H1123=L$13,H1123=L$14),SottocategorieEntrate[[#Headers],[Varie Entrate]],IF(OR(H1123=M$5,H1123=M$6,H1123=M$7,H1123=M$8,H1123=M$9,H1123=M$10,H1123=M$11,H1123=M$12,H1123=M$13,H1123=M$14),SottocategorieEntrate[[#Headers],[Real Estate]],IF(OR(H1123=N$5,H1123=N$6,H1123=N$7,H1123=N$8,H1123=N$9,H1123=N$10,H1123=N$11,H1123=N$12,H1123=N$13,H1123=N$14),SottocategorieEntrate[[#Headers],[Other]],""))))))))))))</f>
        <v/>
      </c>
      <c r="J1123" t="str">
        <f>IF(OR(Dati[[#This Row],[Categoria]]="Bollette",Dati[[#This Row],[Categoria]]="Conto &amp; Carte BNL",Dati[[#This Row],[Categoria]]="Prelievo",Dati[[#This Row],[Categoria]]="Affitto",Dati[[#This Row],[Categoria]]="BNL(Interessi Creditori)"),"Carta",IF(Dati[[#This Row],[Categoria]]&lt;&gt;0,"Cash",""))</f>
        <v/>
      </c>
      <c r="K1123" s="59" t="str">
        <f>IF(OR(Data!$I1123=SottocategorieUscite[[#Headers],[Fuori Casa]],Data!$I1123=SottocategorieUscite[[#Headers],[Varie Uscite]],Data!$I1123=SottocategorieUscite[[#Headers],[Personali]],Data!$I1123=SottocategorieUscite[[#Headers],[Lavoro]]),"$ -","")</f>
        <v/>
      </c>
      <c r="L1123" s="59" t="str">
        <f>IF(OR(Data!$I1123=SottocategorieUscite[[#Headers],[Casa]],Data!$I1123=SottocategorieUscite[[#Headers],[Utenze]],Data!$I1123=SottocategorieUscite[[#Headers],[Business Uscite]],Data!$I1123=SottocategorieUscite[[#Headers],[Banca]]),"$ -","")</f>
        <v/>
      </c>
      <c r="M1123" s="59" t="str">
        <f>IF(OR($I1123&lt;&gt;SottocategorieUscite[[#Headers],[Fuori Casa]],$I1123&lt;&gt;SottocategorieUscite[[#Headers],[Varie Uscite]],$I1123&lt;&gt;SottocategorieUscite[[#Headers],[Personali]],$I1123&lt;&gt;SottocategorieUscite[[#Headers],[Lavoro]],$I1123&lt;&gt;SottocategorieUscite[[#Headers],[Casa]],$I1123&lt;&gt;SottocategorieUscite[[#Headers],[Utenze]],$I1123&lt;&gt;SottocategorieUscite[[#Headers],[Business Uscite]],$I1123&lt;&gt;SottocategorieUscite[[#Headers],[Banca]]),"","$ -")</f>
        <v/>
      </c>
      <c r="N1123" s="59" t="str">
        <f>IF(OR(Data!$I1123=SottocategorieEntrate[[#Headers],[Business Entrate]],Data!$I1123=SottocategorieEntrate[[#Headers],[Varie Entrate]]),"$ -","")</f>
        <v/>
      </c>
      <c r="O1123" s="59" t="str">
        <f>IF(OR(Data!$I1123=SottocategorieEntrate[[#Headers],[Real Estate]],SottocategorieEntrate[[#Headers],[Other]]),"$ -","")</f>
        <v/>
      </c>
      <c r="P1123" s="59" t="str">
        <f>IF(OR($I1123&lt;&gt;SottocategorieEntrate[[#Headers],[Business Entrate]],$I1123&lt;&gt;SottocategorieEntrate[[#Headers],[Varie Entrate]],$I1123&lt;&gt;SottocategorieEntrate[[#Headers],[Real Estate]],$I1123&lt;&gt;SottocategorieEntrate[[#Headers],[Other]]),"","$ -")</f>
        <v/>
      </c>
      <c r="Q1123" s="59" t="str">
        <f>IF(Dati[[#This Row],[Categoria]]="Prelievo","€ -","")</f>
        <v/>
      </c>
      <c r="R1123" s="244"/>
      <c r="S1123" s="59" t="str">
        <f>IF(Dati[[#This Row],[Categoria]]="Savings",0,"")</f>
        <v/>
      </c>
      <c r="T1123" s="59"/>
      <c r="U1123" s="59"/>
      <c r="V1123" s="59"/>
      <c r="W1123" s="59"/>
      <c r="X1123" s="59"/>
      <c r="Y1123" s="59"/>
      <c r="Z1123" s="59"/>
      <c r="AA1123" s="59"/>
      <c r="AB1123" s="59"/>
      <c r="AC1123" s="59"/>
      <c r="AD1123" s="59"/>
      <c r="AE1123" s="59"/>
      <c r="AF1123" s="59"/>
      <c r="AG1123" s="59"/>
      <c r="AH1123" s="59"/>
      <c r="AI1123" s="59" t="str">
        <f>IF(SUM(Dati[[#This Row],[Inv. Business]:[Inv. Cryptocurrency]])=0," ",SUM(Dati[[#This Row],[Inv. Business]:[Inv. Cryptocurrency]]))</f>
        <v xml:space="preserve"> </v>
      </c>
      <c r="AJ1123" s="59"/>
      <c r="AK1123" s="59" t="str">
        <f>IF(SUM(Dati[[#This Row],[Inv. Gold]:[Mutuo]])=0," ",SUM(Dati[[#This Row],[Inv. Gold]:[Mutuo]]))</f>
        <v xml:space="preserve"> </v>
      </c>
      <c r="AL1123" s="59"/>
      <c r="AM1123" s="59"/>
    </row>
    <row r="1124" spans="2:39" x14ac:dyDescent="0.35">
      <c r="B1124" s="237">
        <f t="shared" si="59"/>
        <v>1104</v>
      </c>
      <c r="C1124" s="49">
        <f t="shared" ref="C1124:C1174" si="60">C1123+1</f>
        <v>45736</v>
      </c>
      <c r="D1124" s="29">
        <f>DAY(Dati[[#This Row],[Data]])</f>
        <v>20</v>
      </c>
      <c r="E1124" s="29" t="str">
        <f>IF(DAY(Data!$C$21:$C$1327)&gt;0,TEXT(Data!$C$21:$C$1327, "mmmm"),"")</f>
        <v>marzo</v>
      </c>
      <c r="F1124" s="29" t="str">
        <f>IF(DAY(Data!$C$21:$C$1327)&gt;0,TEXT(Data!$C$21:$C$1327, "aaaa"),"")</f>
        <v>2025</v>
      </c>
      <c r="I1124" t="str">
        <f>IF(OR(H1124=$B$5,H1124=$B$6,H1124=$B$7,H1124=$B$8,H1124=$B$9,H1124=$B$10,H1124=$B$11,H1124=$B$12,H1124=$B$13,H1124=$B$14),SottocategorieUscite[[#Headers],[Fuori Casa]],IF(OR(H1124=$C$5,H1124=$C$6,H1124=$C$7,H1124=$C$8,H1124=$C$9,H1124=$C$10,H1124=$C$11,H1124=$C$12,H1124=$C$13,H1124=$C$14),SottocategorieUscite[[#Headers],[Varie Uscite]],IF(OR(H1124=$D$5,H1124=$D$6,H1124=$D$7,H1124=$D$8,H1124=$D$9,H1124=$D$10,H1124=$D$11,H1124=$D$12,H1124=$D$13,H1124=$D$14),SottocategorieUscite[[#Headers],[Personali]],IF(OR(H1124=$E$5,H1124=$E$6,H1124=$E$7,H1124=$E$8,H1124=$E$9,H1124=$E$10,H1124=$E$11,H1124=$E$12,H1124=$E$13,H1124=$E$14),SottocategorieUscite[[#Headers],[Lavoro]],IF(OR(H1124=$F$5,H1124=$F$6,H1124=$F$7,H1124=$F$8,H1124=$F$9,H1124=$F$10,H1124=$F$11,H1124=$F$12,H1124=$F$13,H1124=$F$14),SottocategorieUscite[[#Headers],[Casa]],IF(OR(H1124=$G$5,H1124=$G$6,H1124=$G$7,H1124=$G$8,H1124=$G$9,H1124=$G$10,H1124=$G$11,H1124=$G$12,H1124=$G$13,H1124=$G$14),SottocategorieUscite[[#Headers],[Utenze]],IF(OR(H1124=$H$5,H1124=$H$6,H1124=$H$7,H1124=$H$8,H1124=$H$9,H1124=$H$10,H1124=$H$11,H1124=$H$12,H1124=$H$13,H1124=$H$14),SottocategorieUscite[[#Headers],[Business Uscite]],IF(OR(H1124=$I$5,H1124=$I$6,H1124=$I$7,H1124=$I$8,H1124=$I$9,H1124=$I$10,H1124=$I$11,H1124=$I$12,H1124=$I$13,H1124=$I$14),SottocategorieUscite[[#Headers],[Banca]],IF(OR(H1124=K$5,H1124=K$6,H1124=K$7,H1124=K$8,H1124=K$9,H1124=K$10,H1124=K$11,H1124=K$12,H1124=K$13,H1124=K$14),SottocategorieEntrate[[#Headers],[Business Entrate]],IF(OR(H1124=L$5,H1124=L$6,H1124=L$7,H1124=L$8,H1124=L$9,H1124=L$10,H1124=L$11,H1124=L$12,H1124=L$13,H1124=L$14),SottocategorieEntrate[[#Headers],[Varie Entrate]],IF(OR(H1124=M$5,H1124=M$6,H1124=M$7,H1124=M$8,H1124=M$9,H1124=M$10,H1124=M$11,H1124=M$12,H1124=M$13,H1124=M$14),SottocategorieEntrate[[#Headers],[Real Estate]],IF(OR(H1124=N$5,H1124=N$6,H1124=N$7,H1124=N$8,H1124=N$9,H1124=N$10,H1124=N$11,H1124=N$12,H1124=N$13,H1124=N$14),SottocategorieEntrate[[#Headers],[Other]],""))))))))))))</f>
        <v/>
      </c>
      <c r="J1124" t="str">
        <f>IF(OR(Dati[[#This Row],[Categoria]]="Bollette",Dati[[#This Row],[Categoria]]="Conto &amp; Carte BNL",Dati[[#This Row],[Categoria]]="Prelievo",Dati[[#This Row],[Categoria]]="Affitto",Dati[[#This Row],[Categoria]]="BNL(Interessi Creditori)"),"Carta",IF(Dati[[#This Row],[Categoria]]&lt;&gt;0,"Cash",""))</f>
        <v/>
      </c>
      <c r="K1124" s="59" t="str">
        <f>IF(OR(Data!$I1124=SottocategorieUscite[[#Headers],[Fuori Casa]],Data!$I1124=SottocategorieUscite[[#Headers],[Varie Uscite]],Data!$I1124=SottocategorieUscite[[#Headers],[Personali]],Data!$I1124=SottocategorieUscite[[#Headers],[Lavoro]]),"$ -","")</f>
        <v/>
      </c>
      <c r="L1124" s="59" t="str">
        <f>IF(OR(Data!$I1124=SottocategorieUscite[[#Headers],[Casa]],Data!$I1124=SottocategorieUscite[[#Headers],[Utenze]],Data!$I1124=SottocategorieUscite[[#Headers],[Business Uscite]],Data!$I1124=SottocategorieUscite[[#Headers],[Banca]]),"$ -","")</f>
        <v/>
      </c>
      <c r="M1124" s="59" t="str">
        <f>IF(OR($I1124&lt;&gt;SottocategorieUscite[[#Headers],[Fuori Casa]],$I1124&lt;&gt;SottocategorieUscite[[#Headers],[Varie Uscite]],$I1124&lt;&gt;SottocategorieUscite[[#Headers],[Personali]],$I1124&lt;&gt;SottocategorieUscite[[#Headers],[Lavoro]],$I1124&lt;&gt;SottocategorieUscite[[#Headers],[Casa]],$I1124&lt;&gt;SottocategorieUscite[[#Headers],[Utenze]],$I1124&lt;&gt;SottocategorieUscite[[#Headers],[Business Uscite]],$I1124&lt;&gt;SottocategorieUscite[[#Headers],[Banca]]),"","$ -")</f>
        <v/>
      </c>
      <c r="N1124" s="59" t="str">
        <f>IF(OR(Data!$I1124=SottocategorieEntrate[[#Headers],[Business Entrate]],Data!$I1124=SottocategorieEntrate[[#Headers],[Varie Entrate]]),"$ -","")</f>
        <v/>
      </c>
      <c r="O1124" s="59" t="str">
        <f>IF(OR(Data!$I1124=SottocategorieEntrate[[#Headers],[Real Estate]],SottocategorieEntrate[[#Headers],[Other]]),"$ -","")</f>
        <v/>
      </c>
      <c r="P1124" s="59" t="str">
        <f>IF(OR($I1124&lt;&gt;SottocategorieEntrate[[#Headers],[Business Entrate]],$I1124&lt;&gt;SottocategorieEntrate[[#Headers],[Varie Entrate]],$I1124&lt;&gt;SottocategorieEntrate[[#Headers],[Real Estate]],$I1124&lt;&gt;SottocategorieEntrate[[#Headers],[Other]]),"","$ -")</f>
        <v/>
      </c>
      <c r="Q1124" s="59" t="str">
        <f>IF(Dati[[#This Row],[Categoria]]="Prelievo","€ -","")</f>
        <v/>
      </c>
      <c r="R1124" s="244"/>
      <c r="S1124" s="59" t="str">
        <f>IF(Dati[[#This Row],[Categoria]]="Savings",0,"")</f>
        <v/>
      </c>
      <c r="T1124" s="59"/>
      <c r="U1124" s="59"/>
      <c r="V1124" s="59"/>
      <c r="W1124" s="59"/>
      <c r="X1124" s="59"/>
      <c r="Y1124" s="59"/>
      <c r="Z1124" s="59"/>
      <c r="AA1124" s="59"/>
      <c r="AB1124" s="59"/>
      <c r="AC1124" s="59"/>
      <c r="AD1124" s="59"/>
      <c r="AE1124" s="59"/>
      <c r="AF1124" s="59"/>
      <c r="AG1124" s="59"/>
      <c r="AH1124" s="59"/>
      <c r="AI1124" s="59" t="str">
        <f>IF(SUM(Dati[[#This Row],[Inv. Business]:[Inv. Cryptocurrency]])=0," ",SUM(Dati[[#This Row],[Inv. Business]:[Inv. Cryptocurrency]]))</f>
        <v xml:space="preserve"> </v>
      </c>
      <c r="AJ1124" s="59"/>
      <c r="AK1124" s="59" t="str">
        <f>IF(SUM(Dati[[#This Row],[Inv. Gold]:[Mutuo]])=0," ",SUM(Dati[[#This Row],[Inv. Gold]:[Mutuo]]))</f>
        <v xml:space="preserve"> </v>
      </c>
      <c r="AL1124" s="59"/>
      <c r="AM1124" s="59"/>
    </row>
    <row r="1125" spans="2:39" x14ac:dyDescent="0.35">
      <c r="B1125" s="237">
        <f t="shared" si="59"/>
        <v>1105</v>
      </c>
      <c r="C1125" s="49">
        <f t="shared" si="60"/>
        <v>45737</v>
      </c>
      <c r="D1125" s="29">
        <f>DAY(Dati[[#This Row],[Data]])</f>
        <v>21</v>
      </c>
      <c r="E1125" s="29" t="str">
        <f>IF(DAY(Data!$C$21:$C$1327)&gt;0,TEXT(Data!$C$21:$C$1327, "mmmm"),"")</f>
        <v>marzo</v>
      </c>
      <c r="F1125" s="29" t="str">
        <f>IF(DAY(Data!$C$21:$C$1327)&gt;0,TEXT(Data!$C$21:$C$1327, "aaaa"),"")</f>
        <v>2025</v>
      </c>
      <c r="I1125" t="str">
        <f>IF(OR(H1125=$B$5,H1125=$B$6,H1125=$B$7,H1125=$B$8,H1125=$B$9,H1125=$B$10,H1125=$B$11,H1125=$B$12,H1125=$B$13,H1125=$B$14),SottocategorieUscite[[#Headers],[Fuori Casa]],IF(OR(H1125=$C$5,H1125=$C$6,H1125=$C$7,H1125=$C$8,H1125=$C$9,H1125=$C$10,H1125=$C$11,H1125=$C$12,H1125=$C$13,H1125=$C$14),SottocategorieUscite[[#Headers],[Varie Uscite]],IF(OR(H1125=$D$5,H1125=$D$6,H1125=$D$7,H1125=$D$8,H1125=$D$9,H1125=$D$10,H1125=$D$11,H1125=$D$12,H1125=$D$13,H1125=$D$14),SottocategorieUscite[[#Headers],[Personali]],IF(OR(H1125=$E$5,H1125=$E$6,H1125=$E$7,H1125=$E$8,H1125=$E$9,H1125=$E$10,H1125=$E$11,H1125=$E$12,H1125=$E$13,H1125=$E$14),SottocategorieUscite[[#Headers],[Lavoro]],IF(OR(H1125=$F$5,H1125=$F$6,H1125=$F$7,H1125=$F$8,H1125=$F$9,H1125=$F$10,H1125=$F$11,H1125=$F$12,H1125=$F$13,H1125=$F$14),SottocategorieUscite[[#Headers],[Casa]],IF(OR(H1125=$G$5,H1125=$G$6,H1125=$G$7,H1125=$G$8,H1125=$G$9,H1125=$G$10,H1125=$G$11,H1125=$G$12,H1125=$G$13,H1125=$G$14),SottocategorieUscite[[#Headers],[Utenze]],IF(OR(H1125=$H$5,H1125=$H$6,H1125=$H$7,H1125=$H$8,H1125=$H$9,H1125=$H$10,H1125=$H$11,H1125=$H$12,H1125=$H$13,H1125=$H$14),SottocategorieUscite[[#Headers],[Business Uscite]],IF(OR(H1125=$I$5,H1125=$I$6,H1125=$I$7,H1125=$I$8,H1125=$I$9,H1125=$I$10,H1125=$I$11,H1125=$I$12,H1125=$I$13,H1125=$I$14),SottocategorieUscite[[#Headers],[Banca]],IF(OR(H1125=K$5,H1125=K$6,H1125=K$7,H1125=K$8,H1125=K$9,H1125=K$10,H1125=K$11,H1125=K$12,H1125=K$13,H1125=K$14),SottocategorieEntrate[[#Headers],[Business Entrate]],IF(OR(H1125=L$5,H1125=L$6,H1125=L$7,H1125=L$8,H1125=L$9,H1125=L$10,H1125=L$11,H1125=L$12,H1125=L$13,H1125=L$14),SottocategorieEntrate[[#Headers],[Varie Entrate]],IF(OR(H1125=M$5,H1125=M$6,H1125=M$7,H1125=M$8,H1125=M$9,H1125=M$10,H1125=M$11,H1125=M$12,H1125=M$13,H1125=M$14),SottocategorieEntrate[[#Headers],[Real Estate]],IF(OR(H1125=N$5,H1125=N$6,H1125=N$7,H1125=N$8,H1125=N$9,H1125=N$10,H1125=N$11,H1125=N$12,H1125=N$13,H1125=N$14),SottocategorieEntrate[[#Headers],[Other]],""))))))))))))</f>
        <v/>
      </c>
      <c r="J1125" t="str">
        <f>IF(OR(Dati[[#This Row],[Categoria]]="Bollette",Dati[[#This Row],[Categoria]]="Conto &amp; Carte BNL",Dati[[#This Row],[Categoria]]="Prelievo",Dati[[#This Row],[Categoria]]="Affitto",Dati[[#This Row],[Categoria]]="BNL(Interessi Creditori)"),"Carta",IF(Dati[[#This Row],[Categoria]]&lt;&gt;0,"Cash",""))</f>
        <v/>
      </c>
      <c r="K1125" s="59" t="str">
        <f>IF(OR(Data!$I1125=SottocategorieUscite[[#Headers],[Fuori Casa]],Data!$I1125=SottocategorieUscite[[#Headers],[Varie Uscite]],Data!$I1125=SottocategorieUscite[[#Headers],[Personali]],Data!$I1125=SottocategorieUscite[[#Headers],[Lavoro]]),"$ -","")</f>
        <v/>
      </c>
      <c r="L1125" s="59" t="str">
        <f>IF(OR(Data!$I1125=SottocategorieUscite[[#Headers],[Casa]],Data!$I1125=SottocategorieUscite[[#Headers],[Utenze]],Data!$I1125=SottocategorieUscite[[#Headers],[Business Uscite]],Data!$I1125=SottocategorieUscite[[#Headers],[Banca]]),"$ -","")</f>
        <v/>
      </c>
      <c r="M1125" s="59" t="str">
        <f>IF(OR($I1125&lt;&gt;SottocategorieUscite[[#Headers],[Fuori Casa]],$I1125&lt;&gt;SottocategorieUscite[[#Headers],[Varie Uscite]],$I1125&lt;&gt;SottocategorieUscite[[#Headers],[Personali]],$I1125&lt;&gt;SottocategorieUscite[[#Headers],[Lavoro]],$I1125&lt;&gt;SottocategorieUscite[[#Headers],[Casa]],$I1125&lt;&gt;SottocategorieUscite[[#Headers],[Utenze]],$I1125&lt;&gt;SottocategorieUscite[[#Headers],[Business Uscite]],$I1125&lt;&gt;SottocategorieUscite[[#Headers],[Banca]]),"","$ -")</f>
        <v/>
      </c>
      <c r="N1125" s="59" t="str">
        <f>IF(OR(Data!$I1125=SottocategorieEntrate[[#Headers],[Business Entrate]],Data!$I1125=SottocategorieEntrate[[#Headers],[Varie Entrate]]),"$ -","")</f>
        <v/>
      </c>
      <c r="O1125" s="59" t="str">
        <f>IF(OR(Data!$I1125=SottocategorieEntrate[[#Headers],[Real Estate]],SottocategorieEntrate[[#Headers],[Other]]),"$ -","")</f>
        <v/>
      </c>
      <c r="P1125" s="59" t="str">
        <f>IF(OR($I1125&lt;&gt;SottocategorieEntrate[[#Headers],[Business Entrate]],$I1125&lt;&gt;SottocategorieEntrate[[#Headers],[Varie Entrate]],$I1125&lt;&gt;SottocategorieEntrate[[#Headers],[Real Estate]],$I1125&lt;&gt;SottocategorieEntrate[[#Headers],[Other]]),"","$ -")</f>
        <v/>
      </c>
      <c r="Q1125" s="59" t="str">
        <f>IF(Dati[[#This Row],[Categoria]]="Prelievo","€ -","")</f>
        <v/>
      </c>
      <c r="R1125" s="244"/>
      <c r="S1125" s="59" t="str">
        <f>IF(Dati[[#This Row],[Categoria]]="Savings",0,"")</f>
        <v/>
      </c>
      <c r="T1125" s="59"/>
      <c r="U1125" s="59"/>
      <c r="V1125" s="59"/>
      <c r="W1125" s="59"/>
      <c r="X1125" s="59"/>
      <c r="Y1125" s="59"/>
      <c r="Z1125" s="59"/>
      <c r="AA1125" s="59"/>
      <c r="AB1125" s="59"/>
      <c r="AC1125" s="59"/>
      <c r="AD1125" s="59"/>
      <c r="AE1125" s="59"/>
      <c r="AF1125" s="59"/>
      <c r="AG1125" s="59"/>
      <c r="AH1125" s="59"/>
      <c r="AI1125" s="59" t="str">
        <f>IF(SUM(Dati[[#This Row],[Inv. Business]:[Inv. Cryptocurrency]])=0," ",SUM(Dati[[#This Row],[Inv. Business]:[Inv. Cryptocurrency]]))</f>
        <v xml:space="preserve"> </v>
      </c>
      <c r="AJ1125" s="59"/>
      <c r="AK1125" s="59" t="str">
        <f>IF(SUM(Dati[[#This Row],[Inv. Gold]:[Mutuo]])=0," ",SUM(Dati[[#This Row],[Inv. Gold]:[Mutuo]]))</f>
        <v xml:space="preserve"> </v>
      </c>
      <c r="AL1125" s="59"/>
      <c r="AM1125" s="59"/>
    </row>
    <row r="1126" spans="2:39" x14ac:dyDescent="0.35">
      <c r="B1126" s="237">
        <f t="shared" si="59"/>
        <v>1106</v>
      </c>
      <c r="C1126" s="49">
        <f t="shared" si="60"/>
        <v>45738</v>
      </c>
      <c r="D1126" s="29">
        <f>DAY(Dati[[#This Row],[Data]])</f>
        <v>22</v>
      </c>
      <c r="E1126" s="29" t="str">
        <f>IF(DAY(Data!$C$21:$C$1327)&gt;0,TEXT(Data!$C$21:$C$1327, "mmmm"),"")</f>
        <v>marzo</v>
      </c>
      <c r="F1126" s="29" t="str">
        <f>IF(DAY(Data!$C$21:$C$1327)&gt;0,TEXT(Data!$C$21:$C$1327, "aaaa"),"")</f>
        <v>2025</v>
      </c>
      <c r="I1126" t="str">
        <f>IF(OR(H1126=$B$5,H1126=$B$6,H1126=$B$7,H1126=$B$8,H1126=$B$9,H1126=$B$10,H1126=$B$11,H1126=$B$12,H1126=$B$13,H1126=$B$14),SottocategorieUscite[[#Headers],[Fuori Casa]],IF(OR(H1126=$C$5,H1126=$C$6,H1126=$C$7,H1126=$C$8,H1126=$C$9,H1126=$C$10,H1126=$C$11,H1126=$C$12,H1126=$C$13,H1126=$C$14),SottocategorieUscite[[#Headers],[Varie Uscite]],IF(OR(H1126=$D$5,H1126=$D$6,H1126=$D$7,H1126=$D$8,H1126=$D$9,H1126=$D$10,H1126=$D$11,H1126=$D$12,H1126=$D$13,H1126=$D$14),SottocategorieUscite[[#Headers],[Personali]],IF(OR(H1126=$E$5,H1126=$E$6,H1126=$E$7,H1126=$E$8,H1126=$E$9,H1126=$E$10,H1126=$E$11,H1126=$E$12,H1126=$E$13,H1126=$E$14),SottocategorieUscite[[#Headers],[Lavoro]],IF(OR(H1126=$F$5,H1126=$F$6,H1126=$F$7,H1126=$F$8,H1126=$F$9,H1126=$F$10,H1126=$F$11,H1126=$F$12,H1126=$F$13,H1126=$F$14),SottocategorieUscite[[#Headers],[Casa]],IF(OR(H1126=$G$5,H1126=$G$6,H1126=$G$7,H1126=$G$8,H1126=$G$9,H1126=$G$10,H1126=$G$11,H1126=$G$12,H1126=$G$13,H1126=$G$14),SottocategorieUscite[[#Headers],[Utenze]],IF(OR(H1126=$H$5,H1126=$H$6,H1126=$H$7,H1126=$H$8,H1126=$H$9,H1126=$H$10,H1126=$H$11,H1126=$H$12,H1126=$H$13,H1126=$H$14),SottocategorieUscite[[#Headers],[Business Uscite]],IF(OR(H1126=$I$5,H1126=$I$6,H1126=$I$7,H1126=$I$8,H1126=$I$9,H1126=$I$10,H1126=$I$11,H1126=$I$12,H1126=$I$13,H1126=$I$14),SottocategorieUscite[[#Headers],[Banca]],IF(OR(H1126=K$5,H1126=K$6,H1126=K$7,H1126=K$8,H1126=K$9,H1126=K$10,H1126=K$11,H1126=K$12,H1126=K$13,H1126=K$14),SottocategorieEntrate[[#Headers],[Business Entrate]],IF(OR(H1126=L$5,H1126=L$6,H1126=L$7,H1126=L$8,H1126=L$9,H1126=L$10,H1126=L$11,H1126=L$12,H1126=L$13,H1126=L$14),SottocategorieEntrate[[#Headers],[Varie Entrate]],IF(OR(H1126=M$5,H1126=M$6,H1126=M$7,H1126=M$8,H1126=M$9,H1126=M$10,H1126=M$11,H1126=M$12,H1126=M$13,H1126=M$14),SottocategorieEntrate[[#Headers],[Real Estate]],IF(OR(H1126=N$5,H1126=N$6,H1126=N$7,H1126=N$8,H1126=N$9,H1126=N$10,H1126=N$11,H1126=N$12,H1126=N$13,H1126=N$14),SottocategorieEntrate[[#Headers],[Other]],""))))))))))))</f>
        <v/>
      </c>
      <c r="J1126" t="str">
        <f>IF(OR(Dati[[#This Row],[Categoria]]="Bollette",Dati[[#This Row],[Categoria]]="Conto &amp; Carte BNL",Dati[[#This Row],[Categoria]]="Prelievo",Dati[[#This Row],[Categoria]]="Affitto",Dati[[#This Row],[Categoria]]="BNL(Interessi Creditori)"),"Carta",IF(Dati[[#This Row],[Categoria]]&lt;&gt;0,"Cash",""))</f>
        <v/>
      </c>
      <c r="K1126" s="59" t="str">
        <f>IF(OR(Data!$I1126=SottocategorieUscite[[#Headers],[Fuori Casa]],Data!$I1126=SottocategorieUscite[[#Headers],[Varie Uscite]],Data!$I1126=SottocategorieUscite[[#Headers],[Personali]],Data!$I1126=SottocategorieUscite[[#Headers],[Lavoro]]),"$ -","")</f>
        <v/>
      </c>
      <c r="L1126" s="59" t="str">
        <f>IF(OR(Data!$I1126=SottocategorieUscite[[#Headers],[Casa]],Data!$I1126=SottocategorieUscite[[#Headers],[Utenze]],Data!$I1126=SottocategorieUscite[[#Headers],[Business Uscite]],Data!$I1126=SottocategorieUscite[[#Headers],[Banca]]),"$ -","")</f>
        <v/>
      </c>
      <c r="M1126" s="59" t="str">
        <f>IF(OR($I1126&lt;&gt;SottocategorieUscite[[#Headers],[Fuori Casa]],$I1126&lt;&gt;SottocategorieUscite[[#Headers],[Varie Uscite]],$I1126&lt;&gt;SottocategorieUscite[[#Headers],[Personali]],$I1126&lt;&gt;SottocategorieUscite[[#Headers],[Lavoro]],$I1126&lt;&gt;SottocategorieUscite[[#Headers],[Casa]],$I1126&lt;&gt;SottocategorieUscite[[#Headers],[Utenze]],$I1126&lt;&gt;SottocategorieUscite[[#Headers],[Business Uscite]],$I1126&lt;&gt;SottocategorieUscite[[#Headers],[Banca]]),"","$ -")</f>
        <v/>
      </c>
      <c r="N1126" s="59" t="str">
        <f>IF(OR(Data!$I1126=SottocategorieEntrate[[#Headers],[Business Entrate]],Data!$I1126=SottocategorieEntrate[[#Headers],[Varie Entrate]]),"$ -","")</f>
        <v/>
      </c>
      <c r="O1126" s="59" t="str">
        <f>IF(OR(Data!$I1126=SottocategorieEntrate[[#Headers],[Real Estate]],SottocategorieEntrate[[#Headers],[Other]]),"$ -","")</f>
        <v/>
      </c>
      <c r="P1126" s="59" t="str">
        <f>IF(OR($I1126&lt;&gt;SottocategorieEntrate[[#Headers],[Business Entrate]],$I1126&lt;&gt;SottocategorieEntrate[[#Headers],[Varie Entrate]],$I1126&lt;&gt;SottocategorieEntrate[[#Headers],[Real Estate]],$I1126&lt;&gt;SottocategorieEntrate[[#Headers],[Other]]),"","$ -")</f>
        <v/>
      </c>
      <c r="Q1126" s="59" t="str">
        <f>IF(Dati[[#This Row],[Categoria]]="Prelievo","€ -","")</f>
        <v/>
      </c>
      <c r="R1126" s="244"/>
      <c r="S1126" s="59" t="str">
        <f>IF(Dati[[#This Row],[Categoria]]="Savings",0,"")</f>
        <v/>
      </c>
      <c r="T1126" s="59"/>
      <c r="U1126" s="59"/>
      <c r="V1126" s="59"/>
      <c r="W1126" s="59"/>
      <c r="X1126" s="59"/>
      <c r="Y1126" s="59"/>
      <c r="Z1126" s="59"/>
      <c r="AA1126" s="59"/>
      <c r="AB1126" s="59"/>
      <c r="AC1126" s="59"/>
      <c r="AD1126" s="59"/>
      <c r="AE1126" s="59"/>
      <c r="AF1126" s="59"/>
      <c r="AG1126" s="59"/>
      <c r="AH1126" s="59"/>
      <c r="AI1126" s="59" t="str">
        <f>IF(SUM(Dati[[#This Row],[Inv. Business]:[Inv. Cryptocurrency]])=0," ",SUM(Dati[[#This Row],[Inv. Business]:[Inv. Cryptocurrency]]))</f>
        <v xml:space="preserve"> </v>
      </c>
      <c r="AJ1126" s="59"/>
      <c r="AK1126" s="59" t="str">
        <f>IF(SUM(Dati[[#This Row],[Inv. Gold]:[Mutuo]])=0," ",SUM(Dati[[#This Row],[Inv. Gold]:[Mutuo]]))</f>
        <v xml:space="preserve"> </v>
      </c>
      <c r="AL1126" s="59"/>
      <c r="AM1126" s="59"/>
    </row>
    <row r="1127" spans="2:39" x14ac:dyDescent="0.35">
      <c r="B1127" s="237">
        <f t="shared" si="59"/>
        <v>1107</v>
      </c>
      <c r="C1127" s="49">
        <f t="shared" si="60"/>
        <v>45739</v>
      </c>
      <c r="D1127" s="29">
        <f>DAY(Dati[[#This Row],[Data]])</f>
        <v>23</v>
      </c>
      <c r="E1127" s="29" t="str">
        <f>IF(DAY(Data!$C$21:$C$1327)&gt;0,TEXT(Data!$C$21:$C$1327, "mmmm"),"")</f>
        <v>marzo</v>
      </c>
      <c r="F1127" s="29" t="str">
        <f>IF(DAY(Data!$C$21:$C$1327)&gt;0,TEXT(Data!$C$21:$C$1327, "aaaa"),"")</f>
        <v>2025</v>
      </c>
      <c r="I1127" t="str">
        <f>IF(OR(H1127=$B$5,H1127=$B$6,H1127=$B$7,H1127=$B$8,H1127=$B$9,H1127=$B$10,H1127=$B$11,H1127=$B$12,H1127=$B$13,H1127=$B$14),SottocategorieUscite[[#Headers],[Fuori Casa]],IF(OR(H1127=$C$5,H1127=$C$6,H1127=$C$7,H1127=$C$8,H1127=$C$9,H1127=$C$10,H1127=$C$11,H1127=$C$12,H1127=$C$13,H1127=$C$14),SottocategorieUscite[[#Headers],[Varie Uscite]],IF(OR(H1127=$D$5,H1127=$D$6,H1127=$D$7,H1127=$D$8,H1127=$D$9,H1127=$D$10,H1127=$D$11,H1127=$D$12,H1127=$D$13,H1127=$D$14),SottocategorieUscite[[#Headers],[Personali]],IF(OR(H1127=$E$5,H1127=$E$6,H1127=$E$7,H1127=$E$8,H1127=$E$9,H1127=$E$10,H1127=$E$11,H1127=$E$12,H1127=$E$13,H1127=$E$14),SottocategorieUscite[[#Headers],[Lavoro]],IF(OR(H1127=$F$5,H1127=$F$6,H1127=$F$7,H1127=$F$8,H1127=$F$9,H1127=$F$10,H1127=$F$11,H1127=$F$12,H1127=$F$13,H1127=$F$14),SottocategorieUscite[[#Headers],[Casa]],IF(OR(H1127=$G$5,H1127=$G$6,H1127=$G$7,H1127=$G$8,H1127=$G$9,H1127=$G$10,H1127=$G$11,H1127=$G$12,H1127=$G$13,H1127=$G$14),SottocategorieUscite[[#Headers],[Utenze]],IF(OR(H1127=$H$5,H1127=$H$6,H1127=$H$7,H1127=$H$8,H1127=$H$9,H1127=$H$10,H1127=$H$11,H1127=$H$12,H1127=$H$13,H1127=$H$14),SottocategorieUscite[[#Headers],[Business Uscite]],IF(OR(H1127=$I$5,H1127=$I$6,H1127=$I$7,H1127=$I$8,H1127=$I$9,H1127=$I$10,H1127=$I$11,H1127=$I$12,H1127=$I$13,H1127=$I$14),SottocategorieUscite[[#Headers],[Banca]],IF(OR(H1127=K$5,H1127=K$6,H1127=K$7,H1127=K$8,H1127=K$9,H1127=K$10,H1127=K$11,H1127=K$12,H1127=K$13,H1127=K$14),SottocategorieEntrate[[#Headers],[Business Entrate]],IF(OR(H1127=L$5,H1127=L$6,H1127=L$7,H1127=L$8,H1127=L$9,H1127=L$10,H1127=L$11,H1127=L$12,H1127=L$13,H1127=L$14),SottocategorieEntrate[[#Headers],[Varie Entrate]],IF(OR(H1127=M$5,H1127=M$6,H1127=M$7,H1127=M$8,H1127=M$9,H1127=M$10,H1127=M$11,H1127=M$12,H1127=M$13,H1127=M$14),SottocategorieEntrate[[#Headers],[Real Estate]],IF(OR(H1127=N$5,H1127=N$6,H1127=N$7,H1127=N$8,H1127=N$9,H1127=N$10,H1127=N$11,H1127=N$12,H1127=N$13,H1127=N$14),SottocategorieEntrate[[#Headers],[Other]],""))))))))))))</f>
        <v/>
      </c>
      <c r="J1127" t="str">
        <f>IF(OR(Dati[[#This Row],[Categoria]]="Bollette",Dati[[#This Row],[Categoria]]="Conto &amp; Carte BNL",Dati[[#This Row],[Categoria]]="Prelievo",Dati[[#This Row],[Categoria]]="Affitto",Dati[[#This Row],[Categoria]]="BNL(Interessi Creditori)"),"Carta",IF(Dati[[#This Row],[Categoria]]&lt;&gt;0,"Cash",""))</f>
        <v/>
      </c>
      <c r="K1127" s="59" t="str">
        <f>IF(OR(Data!$I1127=SottocategorieUscite[[#Headers],[Fuori Casa]],Data!$I1127=SottocategorieUscite[[#Headers],[Varie Uscite]],Data!$I1127=SottocategorieUscite[[#Headers],[Personali]],Data!$I1127=SottocategorieUscite[[#Headers],[Lavoro]]),"$ -","")</f>
        <v/>
      </c>
      <c r="L1127" s="59" t="str">
        <f>IF(OR(Data!$I1127=SottocategorieUscite[[#Headers],[Casa]],Data!$I1127=SottocategorieUscite[[#Headers],[Utenze]],Data!$I1127=SottocategorieUscite[[#Headers],[Business Uscite]],Data!$I1127=SottocategorieUscite[[#Headers],[Banca]]),"$ -","")</f>
        <v/>
      </c>
      <c r="M1127" s="59" t="str">
        <f>IF(OR($I1127&lt;&gt;SottocategorieUscite[[#Headers],[Fuori Casa]],$I1127&lt;&gt;SottocategorieUscite[[#Headers],[Varie Uscite]],$I1127&lt;&gt;SottocategorieUscite[[#Headers],[Personali]],$I1127&lt;&gt;SottocategorieUscite[[#Headers],[Lavoro]],$I1127&lt;&gt;SottocategorieUscite[[#Headers],[Casa]],$I1127&lt;&gt;SottocategorieUscite[[#Headers],[Utenze]],$I1127&lt;&gt;SottocategorieUscite[[#Headers],[Business Uscite]],$I1127&lt;&gt;SottocategorieUscite[[#Headers],[Banca]]),"","$ -")</f>
        <v/>
      </c>
      <c r="N1127" s="59" t="str">
        <f>IF(OR(Data!$I1127=SottocategorieEntrate[[#Headers],[Business Entrate]],Data!$I1127=SottocategorieEntrate[[#Headers],[Varie Entrate]]),"$ -","")</f>
        <v/>
      </c>
      <c r="O1127" s="59" t="str">
        <f>IF(OR(Data!$I1127=SottocategorieEntrate[[#Headers],[Real Estate]],SottocategorieEntrate[[#Headers],[Other]]),"$ -","")</f>
        <v/>
      </c>
      <c r="P1127" s="59" t="str">
        <f>IF(OR($I1127&lt;&gt;SottocategorieEntrate[[#Headers],[Business Entrate]],$I1127&lt;&gt;SottocategorieEntrate[[#Headers],[Varie Entrate]],$I1127&lt;&gt;SottocategorieEntrate[[#Headers],[Real Estate]],$I1127&lt;&gt;SottocategorieEntrate[[#Headers],[Other]]),"","$ -")</f>
        <v/>
      </c>
      <c r="Q1127" s="59" t="str">
        <f>IF(Dati[[#This Row],[Categoria]]="Prelievo","€ -","")</f>
        <v/>
      </c>
      <c r="R1127" s="244"/>
      <c r="S1127" s="59" t="str">
        <f>IF(Dati[[#This Row],[Categoria]]="Savings",0,"")</f>
        <v/>
      </c>
      <c r="T1127" s="59"/>
      <c r="U1127" s="59"/>
      <c r="V1127" s="59"/>
      <c r="W1127" s="59"/>
      <c r="X1127" s="59"/>
      <c r="Y1127" s="59"/>
      <c r="Z1127" s="59"/>
      <c r="AA1127" s="59"/>
      <c r="AB1127" s="59"/>
      <c r="AC1127" s="59"/>
      <c r="AD1127" s="59"/>
      <c r="AE1127" s="59"/>
      <c r="AF1127" s="59"/>
      <c r="AG1127" s="59"/>
      <c r="AH1127" s="59"/>
      <c r="AI1127" s="59" t="str">
        <f>IF(SUM(Dati[[#This Row],[Inv. Business]:[Inv. Cryptocurrency]])=0," ",SUM(Dati[[#This Row],[Inv. Business]:[Inv. Cryptocurrency]]))</f>
        <v xml:space="preserve"> </v>
      </c>
      <c r="AJ1127" s="59"/>
      <c r="AK1127" s="59" t="str">
        <f>IF(SUM(Dati[[#This Row],[Inv. Gold]:[Mutuo]])=0," ",SUM(Dati[[#This Row],[Inv. Gold]:[Mutuo]]))</f>
        <v xml:space="preserve"> </v>
      </c>
      <c r="AL1127" s="59"/>
      <c r="AM1127" s="59"/>
    </row>
    <row r="1128" spans="2:39" x14ac:dyDescent="0.35">
      <c r="B1128" s="237">
        <f t="shared" si="59"/>
        <v>1108</v>
      </c>
      <c r="C1128" s="49">
        <f t="shared" si="60"/>
        <v>45740</v>
      </c>
      <c r="D1128" s="29">
        <f>DAY(Dati[[#This Row],[Data]])</f>
        <v>24</v>
      </c>
      <c r="E1128" s="29" t="str">
        <f>IF(DAY(Data!$C$21:$C$1327)&gt;0,TEXT(Data!$C$21:$C$1327, "mmmm"),"")</f>
        <v>marzo</v>
      </c>
      <c r="F1128" s="29" t="str">
        <f>IF(DAY(Data!$C$21:$C$1327)&gt;0,TEXT(Data!$C$21:$C$1327, "aaaa"),"")</f>
        <v>2025</v>
      </c>
      <c r="I1128" t="str">
        <f>IF(OR(H1128=$B$5,H1128=$B$6,H1128=$B$7,H1128=$B$8,H1128=$B$9,H1128=$B$10,H1128=$B$11,H1128=$B$12,H1128=$B$13,H1128=$B$14),SottocategorieUscite[[#Headers],[Fuori Casa]],IF(OR(H1128=$C$5,H1128=$C$6,H1128=$C$7,H1128=$C$8,H1128=$C$9,H1128=$C$10,H1128=$C$11,H1128=$C$12,H1128=$C$13,H1128=$C$14),SottocategorieUscite[[#Headers],[Varie Uscite]],IF(OR(H1128=$D$5,H1128=$D$6,H1128=$D$7,H1128=$D$8,H1128=$D$9,H1128=$D$10,H1128=$D$11,H1128=$D$12,H1128=$D$13,H1128=$D$14),SottocategorieUscite[[#Headers],[Personali]],IF(OR(H1128=$E$5,H1128=$E$6,H1128=$E$7,H1128=$E$8,H1128=$E$9,H1128=$E$10,H1128=$E$11,H1128=$E$12,H1128=$E$13,H1128=$E$14),SottocategorieUscite[[#Headers],[Lavoro]],IF(OR(H1128=$F$5,H1128=$F$6,H1128=$F$7,H1128=$F$8,H1128=$F$9,H1128=$F$10,H1128=$F$11,H1128=$F$12,H1128=$F$13,H1128=$F$14),SottocategorieUscite[[#Headers],[Casa]],IF(OR(H1128=$G$5,H1128=$G$6,H1128=$G$7,H1128=$G$8,H1128=$G$9,H1128=$G$10,H1128=$G$11,H1128=$G$12,H1128=$G$13,H1128=$G$14),SottocategorieUscite[[#Headers],[Utenze]],IF(OR(H1128=$H$5,H1128=$H$6,H1128=$H$7,H1128=$H$8,H1128=$H$9,H1128=$H$10,H1128=$H$11,H1128=$H$12,H1128=$H$13,H1128=$H$14),SottocategorieUscite[[#Headers],[Business Uscite]],IF(OR(H1128=$I$5,H1128=$I$6,H1128=$I$7,H1128=$I$8,H1128=$I$9,H1128=$I$10,H1128=$I$11,H1128=$I$12,H1128=$I$13,H1128=$I$14),SottocategorieUscite[[#Headers],[Banca]],IF(OR(H1128=K$5,H1128=K$6,H1128=K$7,H1128=K$8,H1128=K$9,H1128=K$10,H1128=K$11,H1128=K$12,H1128=K$13,H1128=K$14),SottocategorieEntrate[[#Headers],[Business Entrate]],IF(OR(H1128=L$5,H1128=L$6,H1128=L$7,H1128=L$8,H1128=L$9,H1128=L$10,H1128=L$11,H1128=L$12,H1128=L$13,H1128=L$14),SottocategorieEntrate[[#Headers],[Varie Entrate]],IF(OR(H1128=M$5,H1128=M$6,H1128=M$7,H1128=M$8,H1128=M$9,H1128=M$10,H1128=M$11,H1128=M$12,H1128=M$13,H1128=M$14),SottocategorieEntrate[[#Headers],[Real Estate]],IF(OR(H1128=N$5,H1128=N$6,H1128=N$7,H1128=N$8,H1128=N$9,H1128=N$10,H1128=N$11,H1128=N$12,H1128=N$13,H1128=N$14),SottocategorieEntrate[[#Headers],[Other]],""))))))))))))</f>
        <v/>
      </c>
      <c r="J1128" t="str">
        <f>IF(OR(Dati[[#This Row],[Categoria]]="Bollette",Dati[[#This Row],[Categoria]]="Conto &amp; Carte BNL",Dati[[#This Row],[Categoria]]="Prelievo",Dati[[#This Row],[Categoria]]="Affitto",Dati[[#This Row],[Categoria]]="BNL(Interessi Creditori)"),"Carta",IF(Dati[[#This Row],[Categoria]]&lt;&gt;0,"Cash",""))</f>
        <v/>
      </c>
      <c r="K1128" s="59" t="str">
        <f>IF(OR(Data!$I1128=SottocategorieUscite[[#Headers],[Fuori Casa]],Data!$I1128=SottocategorieUscite[[#Headers],[Varie Uscite]],Data!$I1128=SottocategorieUscite[[#Headers],[Personali]],Data!$I1128=SottocategorieUscite[[#Headers],[Lavoro]]),"$ -","")</f>
        <v/>
      </c>
      <c r="L1128" s="59" t="str">
        <f>IF(OR(Data!$I1128=SottocategorieUscite[[#Headers],[Casa]],Data!$I1128=SottocategorieUscite[[#Headers],[Utenze]],Data!$I1128=SottocategorieUscite[[#Headers],[Business Uscite]],Data!$I1128=SottocategorieUscite[[#Headers],[Banca]]),"$ -","")</f>
        <v/>
      </c>
      <c r="M1128" s="59" t="str">
        <f>IF(OR($I1128&lt;&gt;SottocategorieUscite[[#Headers],[Fuori Casa]],$I1128&lt;&gt;SottocategorieUscite[[#Headers],[Varie Uscite]],$I1128&lt;&gt;SottocategorieUscite[[#Headers],[Personali]],$I1128&lt;&gt;SottocategorieUscite[[#Headers],[Lavoro]],$I1128&lt;&gt;SottocategorieUscite[[#Headers],[Casa]],$I1128&lt;&gt;SottocategorieUscite[[#Headers],[Utenze]],$I1128&lt;&gt;SottocategorieUscite[[#Headers],[Business Uscite]],$I1128&lt;&gt;SottocategorieUscite[[#Headers],[Banca]]),"","$ -")</f>
        <v/>
      </c>
      <c r="N1128" s="59" t="str">
        <f>IF(OR(Data!$I1128=SottocategorieEntrate[[#Headers],[Business Entrate]],Data!$I1128=SottocategorieEntrate[[#Headers],[Varie Entrate]]),"$ -","")</f>
        <v/>
      </c>
      <c r="O1128" s="59" t="str">
        <f>IF(OR(Data!$I1128=SottocategorieEntrate[[#Headers],[Real Estate]],SottocategorieEntrate[[#Headers],[Other]]),"$ -","")</f>
        <v/>
      </c>
      <c r="P1128" s="59" t="str">
        <f>IF(OR($I1128&lt;&gt;SottocategorieEntrate[[#Headers],[Business Entrate]],$I1128&lt;&gt;SottocategorieEntrate[[#Headers],[Varie Entrate]],$I1128&lt;&gt;SottocategorieEntrate[[#Headers],[Real Estate]],$I1128&lt;&gt;SottocategorieEntrate[[#Headers],[Other]]),"","$ -")</f>
        <v/>
      </c>
      <c r="Q1128" s="59" t="str">
        <f>IF(Dati[[#This Row],[Categoria]]="Prelievo","€ -","")</f>
        <v/>
      </c>
      <c r="R1128" s="244"/>
      <c r="S1128" s="59" t="str">
        <f>IF(Dati[[#This Row],[Categoria]]="Savings",0,"")</f>
        <v/>
      </c>
      <c r="T1128" s="59"/>
      <c r="U1128" s="59"/>
      <c r="V1128" s="59"/>
      <c r="W1128" s="59"/>
      <c r="X1128" s="59"/>
      <c r="Y1128" s="59"/>
      <c r="Z1128" s="59"/>
      <c r="AA1128" s="59"/>
      <c r="AB1128" s="59"/>
      <c r="AC1128" s="59"/>
      <c r="AD1128" s="59"/>
      <c r="AE1128" s="59"/>
      <c r="AF1128" s="59"/>
      <c r="AG1128" s="59"/>
      <c r="AH1128" s="59"/>
      <c r="AI1128" s="59" t="str">
        <f>IF(SUM(Dati[[#This Row],[Inv. Business]:[Inv. Cryptocurrency]])=0," ",SUM(Dati[[#This Row],[Inv. Business]:[Inv. Cryptocurrency]]))</f>
        <v xml:space="preserve"> </v>
      </c>
      <c r="AJ1128" s="59"/>
      <c r="AK1128" s="59" t="str">
        <f>IF(SUM(Dati[[#This Row],[Inv. Gold]:[Mutuo]])=0," ",SUM(Dati[[#This Row],[Inv. Gold]:[Mutuo]]))</f>
        <v xml:space="preserve"> </v>
      </c>
      <c r="AL1128" s="59"/>
      <c r="AM1128" s="59"/>
    </row>
    <row r="1129" spans="2:39" x14ac:dyDescent="0.35">
      <c r="B1129" s="237">
        <f t="shared" si="59"/>
        <v>1109</v>
      </c>
      <c r="C1129" s="49">
        <f t="shared" si="60"/>
        <v>45741</v>
      </c>
      <c r="D1129" s="29">
        <f>DAY(Dati[[#This Row],[Data]])</f>
        <v>25</v>
      </c>
      <c r="E1129" s="29" t="str">
        <f>IF(DAY(Data!$C$21:$C$1327)&gt;0,TEXT(Data!$C$21:$C$1327, "mmmm"),"")</f>
        <v>marzo</v>
      </c>
      <c r="F1129" s="29" t="str">
        <f>IF(DAY(Data!$C$21:$C$1327)&gt;0,TEXT(Data!$C$21:$C$1327, "aaaa"),"")</f>
        <v>2025</v>
      </c>
      <c r="I1129" t="str">
        <f>IF(OR(H1129=$B$5,H1129=$B$6,H1129=$B$7,H1129=$B$8,H1129=$B$9,H1129=$B$10,H1129=$B$11,H1129=$B$12,H1129=$B$13,H1129=$B$14),SottocategorieUscite[[#Headers],[Fuori Casa]],IF(OR(H1129=$C$5,H1129=$C$6,H1129=$C$7,H1129=$C$8,H1129=$C$9,H1129=$C$10,H1129=$C$11,H1129=$C$12,H1129=$C$13,H1129=$C$14),SottocategorieUscite[[#Headers],[Varie Uscite]],IF(OR(H1129=$D$5,H1129=$D$6,H1129=$D$7,H1129=$D$8,H1129=$D$9,H1129=$D$10,H1129=$D$11,H1129=$D$12,H1129=$D$13,H1129=$D$14),SottocategorieUscite[[#Headers],[Personali]],IF(OR(H1129=$E$5,H1129=$E$6,H1129=$E$7,H1129=$E$8,H1129=$E$9,H1129=$E$10,H1129=$E$11,H1129=$E$12,H1129=$E$13,H1129=$E$14),SottocategorieUscite[[#Headers],[Lavoro]],IF(OR(H1129=$F$5,H1129=$F$6,H1129=$F$7,H1129=$F$8,H1129=$F$9,H1129=$F$10,H1129=$F$11,H1129=$F$12,H1129=$F$13,H1129=$F$14),SottocategorieUscite[[#Headers],[Casa]],IF(OR(H1129=$G$5,H1129=$G$6,H1129=$G$7,H1129=$G$8,H1129=$G$9,H1129=$G$10,H1129=$G$11,H1129=$G$12,H1129=$G$13,H1129=$G$14),SottocategorieUscite[[#Headers],[Utenze]],IF(OR(H1129=$H$5,H1129=$H$6,H1129=$H$7,H1129=$H$8,H1129=$H$9,H1129=$H$10,H1129=$H$11,H1129=$H$12,H1129=$H$13,H1129=$H$14),SottocategorieUscite[[#Headers],[Business Uscite]],IF(OR(H1129=$I$5,H1129=$I$6,H1129=$I$7,H1129=$I$8,H1129=$I$9,H1129=$I$10,H1129=$I$11,H1129=$I$12,H1129=$I$13,H1129=$I$14),SottocategorieUscite[[#Headers],[Banca]],IF(OR(H1129=K$5,H1129=K$6,H1129=K$7,H1129=K$8,H1129=K$9,H1129=K$10,H1129=K$11,H1129=K$12,H1129=K$13,H1129=K$14),SottocategorieEntrate[[#Headers],[Business Entrate]],IF(OR(H1129=L$5,H1129=L$6,H1129=L$7,H1129=L$8,H1129=L$9,H1129=L$10,H1129=L$11,H1129=L$12,H1129=L$13,H1129=L$14),SottocategorieEntrate[[#Headers],[Varie Entrate]],IF(OR(H1129=M$5,H1129=M$6,H1129=M$7,H1129=M$8,H1129=M$9,H1129=M$10,H1129=M$11,H1129=M$12,H1129=M$13,H1129=M$14),SottocategorieEntrate[[#Headers],[Real Estate]],IF(OR(H1129=N$5,H1129=N$6,H1129=N$7,H1129=N$8,H1129=N$9,H1129=N$10,H1129=N$11,H1129=N$12,H1129=N$13,H1129=N$14),SottocategorieEntrate[[#Headers],[Other]],""))))))))))))</f>
        <v/>
      </c>
      <c r="J1129" t="str">
        <f>IF(OR(Dati[[#This Row],[Categoria]]="Bollette",Dati[[#This Row],[Categoria]]="Conto &amp; Carte BNL",Dati[[#This Row],[Categoria]]="Prelievo",Dati[[#This Row],[Categoria]]="Affitto",Dati[[#This Row],[Categoria]]="BNL(Interessi Creditori)"),"Carta",IF(Dati[[#This Row],[Categoria]]&lt;&gt;0,"Cash",""))</f>
        <v/>
      </c>
      <c r="K1129" s="59" t="str">
        <f>IF(OR(Data!$I1129=SottocategorieUscite[[#Headers],[Fuori Casa]],Data!$I1129=SottocategorieUscite[[#Headers],[Varie Uscite]],Data!$I1129=SottocategorieUscite[[#Headers],[Personali]],Data!$I1129=SottocategorieUscite[[#Headers],[Lavoro]]),"$ -","")</f>
        <v/>
      </c>
      <c r="L1129" s="59" t="str">
        <f>IF(OR(Data!$I1129=SottocategorieUscite[[#Headers],[Casa]],Data!$I1129=SottocategorieUscite[[#Headers],[Utenze]],Data!$I1129=SottocategorieUscite[[#Headers],[Business Uscite]],Data!$I1129=SottocategorieUscite[[#Headers],[Banca]]),"$ -","")</f>
        <v/>
      </c>
      <c r="M1129" s="59" t="str">
        <f>IF(OR($I1129&lt;&gt;SottocategorieUscite[[#Headers],[Fuori Casa]],$I1129&lt;&gt;SottocategorieUscite[[#Headers],[Varie Uscite]],$I1129&lt;&gt;SottocategorieUscite[[#Headers],[Personali]],$I1129&lt;&gt;SottocategorieUscite[[#Headers],[Lavoro]],$I1129&lt;&gt;SottocategorieUscite[[#Headers],[Casa]],$I1129&lt;&gt;SottocategorieUscite[[#Headers],[Utenze]],$I1129&lt;&gt;SottocategorieUscite[[#Headers],[Business Uscite]],$I1129&lt;&gt;SottocategorieUscite[[#Headers],[Banca]]),"","$ -")</f>
        <v/>
      </c>
      <c r="N1129" s="59" t="str">
        <f>IF(OR(Data!$I1129=SottocategorieEntrate[[#Headers],[Business Entrate]],Data!$I1129=SottocategorieEntrate[[#Headers],[Varie Entrate]]),"$ -","")</f>
        <v/>
      </c>
      <c r="O1129" s="59" t="str">
        <f>IF(OR(Data!$I1129=SottocategorieEntrate[[#Headers],[Real Estate]],SottocategorieEntrate[[#Headers],[Other]]),"$ -","")</f>
        <v/>
      </c>
      <c r="P1129" s="59" t="str">
        <f>IF(OR($I1129&lt;&gt;SottocategorieEntrate[[#Headers],[Business Entrate]],$I1129&lt;&gt;SottocategorieEntrate[[#Headers],[Varie Entrate]],$I1129&lt;&gt;SottocategorieEntrate[[#Headers],[Real Estate]],$I1129&lt;&gt;SottocategorieEntrate[[#Headers],[Other]]),"","$ -")</f>
        <v/>
      </c>
      <c r="Q1129" s="59" t="str">
        <f>IF(Dati[[#This Row],[Categoria]]="Prelievo","€ -","")</f>
        <v/>
      </c>
      <c r="R1129" s="244"/>
      <c r="S1129" s="59" t="str">
        <f>IF(Dati[[#This Row],[Categoria]]="Savings",0,"")</f>
        <v/>
      </c>
      <c r="T1129" s="59"/>
      <c r="U1129" s="59"/>
      <c r="V1129" s="59"/>
      <c r="W1129" s="59"/>
      <c r="X1129" s="59"/>
      <c r="Y1129" s="59"/>
      <c r="Z1129" s="59"/>
      <c r="AA1129" s="59"/>
      <c r="AB1129" s="59"/>
      <c r="AC1129" s="59"/>
      <c r="AD1129" s="59"/>
      <c r="AE1129" s="59"/>
      <c r="AF1129" s="59"/>
      <c r="AG1129" s="59"/>
      <c r="AH1129" s="59"/>
      <c r="AI1129" s="59" t="str">
        <f>IF(SUM(Dati[[#This Row],[Inv. Business]:[Inv. Cryptocurrency]])=0," ",SUM(Dati[[#This Row],[Inv. Business]:[Inv. Cryptocurrency]]))</f>
        <v xml:space="preserve"> </v>
      </c>
      <c r="AJ1129" s="59"/>
      <c r="AK1129" s="59" t="str">
        <f>IF(SUM(Dati[[#This Row],[Inv. Gold]:[Mutuo]])=0," ",SUM(Dati[[#This Row],[Inv. Gold]:[Mutuo]]))</f>
        <v xml:space="preserve"> </v>
      </c>
      <c r="AL1129" s="59"/>
      <c r="AM1129" s="59"/>
    </row>
    <row r="1130" spans="2:39" x14ac:dyDescent="0.35">
      <c r="B1130" s="237">
        <f t="shared" si="59"/>
        <v>1110</v>
      </c>
      <c r="C1130" s="49">
        <f t="shared" si="60"/>
        <v>45742</v>
      </c>
      <c r="D1130" s="29">
        <f>DAY(Dati[[#This Row],[Data]])</f>
        <v>26</v>
      </c>
      <c r="E1130" s="29" t="str">
        <f>IF(DAY(Data!$C$21:$C$1327)&gt;0,TEXT(Data!$C$21:$C$1327, "mmmm"),"")</f>
        <v>marzo</v>
      </c>
      <c r="F1130" s="29" t="str">
        <f>IF(DAY(Data!$C$21:$C$1327)&gt;0,TEXT(Data!$C$21:$C$1327, "aaaa"),"")</f>
        <v>2025</v>
      </c>
      <c r="I1130" t="str">
        <f>IF(OR(H1130=$B$5,H1130=$B$6,H1130=$B$7,H1130=$B$8,H1130=$B$9,H1130=$B$10,H1130=$B$11,H1130=$B$12,H1130=$B$13,H1130=$B$14),SottocategorieUscite[[#Headers],[Fuori Casa]],IF(OR(H1130=$C$5,H1130=$C$6,H1130=$C$7,H1130=$C$8,H1130=$C$9,H1130=$C$10,H1130=$C$11,H1130=$C$12,H1130=$C$13,H1130=$C$14),SottocategorieUscite[[#Headers],[Varie Uscite]],IF(OR(H1130=$D$5,H1130=$D$6,H1130=$D$7,H1130=$D$8,H1130=$D$9,H1130=$D$10,H1130=$D$11,H1130=$D$12,H1130=$D$13,H1130=$D$14),SottocategorieUscite[[#Headers],[Personali]],IF(OR(H1130=$E$5,H1130=$E$6,H1130=$E$7,H1130=$E$8,H1130=$E$9,H1130=$E$10,H1130=$E$11,H1130=$E$12,H1130=$E$13,H1130=$E$14),SottocategorieUscite[[#Headers],[Lavoro]],IF(OR(H1130=$F$5,H1130=$F$6,H1130=$F$7,H1130=$F$8,H1130=$F$9,H1130=$F$10,H1130=$F$11,H1130=$F$12,H1130=$F$13,H1130=$F$14),SottocategorieUscite[[#Headers],[Casa]],IF(OR(H1130=$G$5,H1130=$G$6,H1130=$G$7,H1130=$G$8,H1130=$G$9,H1130=$G$10,H1130=$G$11,H1130=$G$12,H1130=$G$13,H1130=$G$14),SottocategorieUscite[[#Headers],[Utenze]],IF(OR(H1130=$H$5,H1130=$H$6,H1130=$H$7,H1130=$H$8,H1130=$H$9,H1130=$H$10,H1130=$H$11,H1130=$H$12,H1130=$H$13,H1130=$H$14),SottocategorieUscite[[#Headers],[Business Uscite]],IF(OR(H1130=$I$5,H1130=$I$6,H1130=$I$7,H1130=$I$8,H1130=$I$9,H1130=$I$10,H1130=$I$11,H1130=$I$12,H1130=$I$13,H1130=$I$14),SottocategorieUscite[[#Headers],[Banca]],IF(OR(H1130=K$5,H1130=K$6,H1130=K$7,H1130=K$8,H1130=K$9,H1130=K$10,H1130=K$11,H1130=K$12,H1130=K$13,H1130=K$14),SottocategorieEntrate[[#Headers],[Business Entrate]],IF(OR(H1130=L$5,H1130=L$6,H1130=L$7,H1130=L$8,H1130=L$9,H1130=L$10,H1130=L$11,H1130=L$12,H1130=L$13,H1130=L$14),SottocategorieEntrate[[#Headers],[Varie Entrate]],IF(OR(H1130=M$5,H1130=M$6,H1130=M$7,H1130=M$8,H1130=M$9,H1130=M$10,H1130=M$11,H1130=M$12,H1130=M$13,H1130=M$14),SottocategorieEntrate[[#Headers],[Real Estate]],IF(OR(H1130=N$5,H1130=N$6,H1130=N$7,H1130=N$8,H1130=N$9,H1130=N$10,H1130=N$11,H1130=N$12,H1130=N$13,H1130=N$14),SottocategorieEntrate[[#Headers],[Other]],""))))))))))))</f>
        <v/>
      </c>
      <c r="J1130" t="str">
        <f>IF(OR(Dati[[#This Row],[Categoria]]="Bollette",Dati[[#This Row],[Categoria]]="Conto &amp; Carte BNL",Dati[[#This Row],[Categoria]]="Prelievo",Dati[[#This Row],[Categoria]]="Affitto",Dati[[#This Row],[Categoria]]="BNL(Interessi Creditori)"),"Carta",IF(Dati[[#This Row],[Categoria]]&lt;&gt;0,"Cash",""))</f>
        <v/>
      </c>
      <c r="K1130" s="59" t="str">
        <f>IF(OR(Data!$I1130=SottocategorieUscite[[#Headers],[Fuori Casa]],Data!$I1130=SottocategorieUscite[[#Headers],[Varie Uscite]],Data!$I1130=SottocategorieUscite[[#Headers],[Personali]],Data!$I1130=SottocategorieUscite[[#Headers],[Lavoro]]),"$ -","")</f>
        <v/>
      </c>
      <c r="L1130" s="59" t="str">
        <f>IF(OR(Data!$I1130=SottocategorieUscite[[#Headers],[Casa]],Data!$I1130=SottocategorieUscite[[#Headers],[Utenze]],Data!$I1130=SottocategorieUscite[[#Headers],[Business Uscite]],Data!$I1130=SottocategorieUscite[[#Headers],[Banca]]),"$ -","")</f>
        <v/>
      </c>
      <c r="M1130" s="59" t="str">
        <f>IF(OR($I1130&lt;&gt;SottocategorieUscite[[#Headers],[Fuori Casa]],$I1130&lt;&gt;SottocategorieUscite[[#Headers],[Varie Uscite]],$I1130&lt;&gt;SottocategorieUscite[[#Headers],[Personali]],$I1130&lt;&gt;SottocategorieUscite[[#Headers],[Lavoro]],$I1130&lt;&gt;SottocategorieUscite[[#Headers],[Casa]],$I1130&lt;&gt;SottocategorieUscite[[#Headers],[Utenze]],$I1130&lt;&gt;SottocategorieUscite[[#Headers],[Business Uscite]],$I1130&lt;&gt;SottocategorieUscite[[#Headers],[Banca]]),"","$ -")</f>
        <v/>
      </c>
      <c r="N1130" s="59" t="str">
        <f>IF(OR(Data!$I1130=SottocategorieEntrate[[#Headers],[Business Entrate]],Data!$I1130=SottocategorieEntrate[[#Headers],[Varie Entrate]]),"$ -","")</f>
        <v/>
      </c>
      <c r="O1130" s="59" t="str">
        <f>IF(OR(Data!$I1130=SottocategorieEntrate[[#Headers],[Real Estate]],SottocategorieEntrate[[#Headers],[Other]]),"$ -","")</f>
        <v/>
      </c>
      <c r="P1130" s="59" t="str">
        <f>IF(OR($I1130&lt;&gt;SottocategorieEntrate[[#Headers],[Business Entrate]],$I1130&lt;&gt;SottocategorieEntrate[[#Headers],[Varie Entrate]],$I1130&lt;&gt;SottocategorieEntrate[[#Headers],[Real Estate]],$I1130&lt;&gt;SottocategorieEntrate[[#Headers],[Other]]),"","$ -")</f>
        <v/>
      </c>
      <c r="Q1130" s="59" t="str">
        <f>IF(Dati[[#This Row],[Categoria]]="Prelievo","€ -","")</f>
        <v/>
      </c>
      <c r="R1130" s="244"/>
      <c r="S1130" s="59" t="str">
        <f>IF(Dati[[#This Row],[Categoria]]="Savings",0,"")</f>
        <v/>
      </c>
      <c r="T1130" s="59"/>
      <c r="U1130" s="59"/>
      <c r="V1130" s="59"/>
      <c r="W1130" s="59"/>
      <c r="X1130" s="59"/>
      <c r="Y1130" s="59"/>
      <c r="Z1130" s="59"/>
      <c r="AA1130" s="59"/>
      <c r="AB1130" s="59"/>
      <c r="AC1130" s="59"/>
      <c r="AD1130" s="59"/>
      <c r="AE1130" s="59"/>
      <c r="AF1130" s="59"/>
      <c r="AG1130" s="59"/>
      <c r="AH1130" s="59"/>
      <c r="AI1130" s="59" t="str">
        <f>IF(SUM(Dati[[#This Row],[Inv. Business]:[Inv. Cryptocurrency]])=0," ",SUM(Dati[[#This Row],[Inv. Business]:[Inv. Cryptocurrency]]))</f>
        <v xml:space="preserve"> </v>
      </c>
      <c r="AJ1130" s="59"/>
      <c r="AK1130" s="59" t="str">
        <f>IF(SUM(Dati[[#This Row],[Inv. Gold]:[Mutuo]])=0," ",SUM(Dati[[#This Row],[Inv. Gold]:[Mutuo]]))</f>
        <v xml:space="preserve"> </v>
      </c>
      <c r="AL1130" s="59"/>
      <c r="AM1130" s="59"/>
    </row>
    <row r="1131" spans="2:39" x14ac:dyDescent="0.35">
      <c r="B1131" s="237">
        <f t="shared" si="59"/>
        <v>1111</v>
      </c>
      <c r="C1131" s="49">
        <f t="shared" si="60"/>
        <v>45743</v>
      </c>
      <c r="D1131" s="29">
        <f>DAY(Dati[[#This Row],[Data]])</f>
        <v>27</v>
      </c>
      <c r="E1131" s="29" t="str">
        <f>IF(DAY(Data!$C$21:$C$1327)&gt;0,TEXT(Data!$C$21:$C$1327, "mmmm"),"")</f>
        <v>marzo</v>
      </c>
      <c r="F1131" s="29" t="str">
        <f>IF(DAY(Data!$C$21:$C$1327)&gt;0,TEXT(Data!$C$21:$C$1327, "aaaa"),"")</f>
        <v>2025</v>
      </c>
      <c r="I1131" t="str">
        <f>IF(OR(H1131=$B$5,H1131=$B$6,H1131=$B$7,H1131=$B$8,H1131=$B$9,H1131=$B$10,H1131=$B$11,H1131=$B$12,H1131=$B$13,H1131=$B$14),SottocategorieUscite[[#Headers],[Fuori Casa]],IF(OR(H1131=$C$5,H1131=$C$6,H1131=$C$7,H1131=$C$8,H1131=$C$9,H1131=$C$10,H1131=$C$11,H1131=$C$12,H1131=$C$13,H1131=$C$14),SottocategorieUscite[[#Headers],[Varie Uscite]],IF(OR(H1131=$D$5,H1131=$D$6,H1131=$D$7,H1131=$D$8,H1131=$D$9,H1131=$D$10,H1131=$D$11,H1131=$D$12,H1131=$D$13,H1131=$D$14),SottocategorieUscite[[#Headers],[Personali]],IF(OR(H1131=$E$5,H1131=$E$6,H1131=$E$7,H1131=$E$8,H1131=$E$9,H1131=$E$10,H1131=$E$11,H1131=$E$12,H1131=$E$13,H1131=$E$14),SottocategorieUscite[[#Headers],[Lavoro]],IF(OR(H1131=$F$5,H1131=$F$6,H1131=$F$7,H1131=$F$8,H1131=$F$9,H1131=$F$10,H1131=$F$11,H1131=$F$12,H1131=$F$13,H1131=$F$14),SottocategorieUscite[[#Headers],[Casa]],IF(OR(H1131=$G$5,H1131=$G$6,H1131=$G$7,H1131=$G$8,H1131=$G$9,H1131=$G$10,H1131=$G$11,H1131=$G$12,H1131=$G$13,H1131=$G$14),SottocategorieUscite[[#Headers],[Utenze]],IF(OR(H1131=$H$5,H1131=$H$6,H1131=$H$7,H1131=$H$8,H1131=$H$9,H1131=$H$10,H1131=$H$11,H1131=$H$12,H1131=$H$13,H1131=$H$14),SottocategorieUscite[[#Headers],[Business Uscite]],IF(OR(H1131=$I$5,H1131=$I$6,H1131=$I$7,H1131=$I$8,H1131=$I$9,H1131=$I$10,H1131=$I$11,H1131=$I$12,H1131=$I$13,H1131=$I$14),SottocategorieUscite[[#Headers],[Banca]],IF(OR(H1131=K$5,H1131=K$6,H1131=K$7,H1131=K$8,H1131=K$9,H1131=K$10,H1131=K$11,H1131=K$12,H1131=K$13,H1131=K$14),SottocategorieEntrate[[#Headers],[Business Entrate]],IF(OR(H1131=L$5,H1131=L$6,H1131=L$7,H1131=L$8,H1131=L$9,H1131=L$10,H1131=L$11,H1131=L$12,H1131=L$13,H1131=L$14),SottocategorieEntrate[[#Headers],[Varie Entrate]],IF(OR(H1131=M$5,H1131=M$6,H1131=M$7,H1131=M$8,H1131=M$9,H1131=M$10,H1131=M$11,H1131=M$12,H1131=M$13,H1131=M$14),SottocategorieEntrate[[#Headers],[Real Estate]],IF(OR(H1131=N$5,H1131=N$6,H1131=N$7,H1131=N$8,H1131=N$9,H1131=N$10,H1131=N$11,H1131=N$12,H1131=N$13,H1131=N$14),SottocategorieEntrate[[#Headers],[Other]],""))))))))))))</f>
        <v/>
      </c>
      <c r="J1131" t="str">
        <f>IF(OR(Dati[[#This Row],[Categoria]]="Bollette",Dati[[#This Row],[Categoria]]="Conto &amp; Carte BNL",Dati[[#This Row],[Categoria]]="Prelievo",Dati[[#This Row],[Categoria]]="Affitto",Dati[[#This Row],[Categoria]]="BNL(Interessi Creditori)"),"Carta",IF(Dati[[#This Row],[Categoria]]&lt;&gt;0,"Cash",""))</f>
        <v/>
      </c>
      <c r="K1131" s="59" t="str">
        <f>IF(OR(Data!$I1131=SottocategorieUscite[[#Headers],[Fuori Casa]],Data!$I1131=SottocategorieUscite[[#Headers],[Varie Uscite]],Data!$I1131=SottocategorieUscite[[#Headers],[Personali]],Data!$I1131=SottocategorieUscite[[#Headers],[Lavoro]]),"$ -","")</f>
        <v/>
      </c>
      <c r="L1131" s="59" t="str">
        <f>IF(OR(Data!$I1131=SottocategorieUscite[[#Headers],[Casa]],Data!$I1131=SottocategorieUscite[[#Headers],[Utenze]],Data!$I1131=SottocategorieUscite[[#Headers],[Business Uscite]],Data!$I1131=SottocategorieUscite[[#Headers],[Banca]]),"$ -","")</f>
        <v/>
      </c>
      <c r="M1131" s="59" t="str">
        <f>IF(OR($I1131&lt;&gt;SottocategorieUscite[[#Headers],[Fuori Casa]],$I1131&lt;&gt;SottocategorieUscite[[#Headers],[Varie Uscite]],$I1131&lt;&gt;SottocategorieUscite[[#Headers],[Personali]],$I1131&lt;&gt;SottocategorieUscite[[#Headers],[Lavoro]],$I1131&lt;&gt;SottocategorieUscite[[#Headers],[Casa]],$I1131&lt;&gt;SottocategorieUscite[[#Headers],[Utenze]],$I1131&lt;&gt;SottocategorieUscite[[#Headers],[Business Uscite]],$I1131&lt;&gt;SottocategorieUscite[[#Headers],[Banca]]),"","$ -")</f>
        <v/>
      </c>
      <c r="N1131" s="59" t="str">
        <f>IF(OR(Data!$I1131=SottocategorieEntrate[[#Headers],[Business Entrate]],Data!$I1131=SottocategorieEntrate[[#Headers],[Varie Entrate]]),"$ -","")</f>
        <v/>
      </c>
      <c r="O1131" s="59" t="str">
        <f>IF(OR(Data!$I1131=SottocategorieEntrate[[#Headers],[Real Estate]],SottocategorieEntrate[[#Headers],[Other]]),"$ -","")</f>
        <v/>
      </c>
      <c r="P1131" s="59" t="str">
        <f>IF(OR($I1131&lt;&gt;SottocategorieEntrate[[#Headers],[Business Entrate]],$I1131&lt;&gt;SottocategorieEntrate[[#Headers],[Varie Entrate]],$I1131&lt;&gt;SottocategorieEntrate[[#Headers],[Real Estate]],$I1131&lt;&gt;SottocategorieEntrate[[#Headers],[Other]]),"","$ -")</f>
        <v/>
      </c>
      <c r="Q1131" s="59" t="str">
        <f>IF(Dati[[#This Row],[Categoria]]="Prelievo","€ -","")</f>
        <v/>
      </c>
      <c r="R1131" s="244"/>
      <c r="S1131" s="59" t="str">
        <f>IF(Dati[[#This Row],[Categoria]]="Savings",0,"")</f>
        <v/>
      </c>
      <c r="T1131" s="59"/>
      <c r="U1131" s="59"/>
      <c r="V1131" s="59"/>
      <c r="W1131" s="59"/>
      <c r="X1131" s="59"/>
      <c r="Y1131" s="59"/>
      <c r="Z1131" s="59"/>
      <c r="AA1131" s="59"/>
      <c r="AB1131" s="59"/>
      <c r="AC1131" s="59"/>
      <c r="AD1131" s="59"/>
      <c r="AE1131" s="59"/>
      <c r="AF1131" s="59"/>
      <c r="AG1131" s="59"/>
      <c r="AH1131" s="59"/>
      <c r="AI1131" s="59" t="str">
        <f>IF(SUM(Dati[[#This Row],[Inv. Business]:[Inv. Cryptocurrency]])=0," ",SUM(Dati[[#This Row],[Inv. Business]:[Inv. Cryptocurrency]]))</f>
        <v xml:space="preserve"> </v>
      </c>
      <c r="AJ1131" s="59"/>
      <c r="AK1131" s="59" t="str">
        <f>IF(SUM(Dati[[#This Row],[Inv. Gold]:[Mutuo]])=0," ",SUM(Dati[[#This Row],[Inv. Gold]:[Mutuo]]))</f>
        <v xml:space="preserve"> </v>
      </c>
      <c r="AL1131" s="59"/>
      <c r="AM1131" s="59"/>
    </row>
    <row r="1132" spans="2:39" x14ac:dyDescent="0.35">
      <c r="B1132" s="237">
        <f t="shared" si="59"/>
        <v>1112</v>
      </c>
      <c r="C1132" s="49">
        <f t="shared" si="60"/>
        <v>45744</v>
      </c>
      <c r="D1132" s="29">
        <f>DAY(Dati[[#This Row],[Data]])</f>
        <v>28</v>
      </c>
      <c r="E1132" s="29" t="str">
        <f>IF(DAY(Data!$C$21:$C$1327)&gt;0,TEXT(Data!$C$21:$C$1327, "mmmm"),"")</f>
        <v>marzo</v>
      </c>
      <c r="F1132" s="29" t="str">
        <f>IF(DAY(Data!$C$21:$C$1327)&gt;0,TEXT(Data!$C$21:$C$1327, "aaaa"),"")</f>
        <v>2025</v>
      </c>
      <c r="I1132" t="str">
        <f>IF(OR(H1132=$B$5,H1132=$B$6,H1132=$B$7,H1132=$B$8,H1132=$B$9,H1132=$B$10,H1132=$B$11,H1132=$B$12,H1132=$B$13,H1132=$B$14),SottocategorieUscite[[#Headers],[Fuori Casa]],IF(OR(H1132=$C$5,H1132=$C$6,H1132=$C$7,H1132=$C$8,H1132=$C$9,H1132=$C$10,H1132=$C$11,H1132=$C$12,H1132=$C$13,H1132=$C$14),SottocategorieUscite[[#Headers],[Varie Uscite]],IF(OR(H1132=$D$5,H1132=$D$6,H1132=$D$7,H1132=$D$8,H1132=$D$9,H1132=$D$10,H1132=$D$11,H1132=$D$12,H1132=$D$13,H1132=$D$14),SottocategorieUscite[[#Headers],[Personali]],IF(OR(H1132=$E$5,H1132=$E$6,H1132=$E$7,H1132=$E$8,H1132=$E$9,H1132=$E$10,H1132=$E$11,H1132=$E$12,H1132=$E$13,H1132=$E$14),SottocategorieUscite[[#Headers],[Lavoro]],IF(OR(H1132=$F$5,H1132=$F$6,H1132=$F$7,H1132=$F$8,H1132=$F$9,H1132=$F$10,H1132=$F$11,H1132=$F$12,H1132=$F$13,H1132=$F$14),SottocategorieUscite[[#Headers],[Casa]],IF(OR(H1132=$G$5,H1132=$G$6,H1132=$G$7,H1132=$G$8,H1132=$G$9,H1132=$G$10,H1132=$G$11,H1132=$G$12,H1132=$G$13,H1132=$G$14),SottocategorieUscite[[#Headers],[Utenze]],IF(OR(H1132=$H$5,H1132=$H$6,H1132=$H$7,H1132=$H$8,H1132=$H$9,H1132=$H$10,H1132=$H$11,H1132=$H$12,H1132=$H$13,H1132=$H$14),SottocategorieUscite[[#Headers],[Business Uscite]],IF(OR(H1132=$I$5,H1132=$I$6,H1132=$I$7,H1132=$I$8,H1132=$I$9,H1132=$I$10,H1132=$I$11,H1132=$I$12,H1132=$I$13,H1132=$I$14),SottocategorieUscite[[#Headers],[Banca]],IF(OR(H1132=K$5,H1132=K$6,H1132=K$7,H1132=K$8,H1132=K$9,H1132=K$10,H1132=K$11,H1132=K$12,H1132=K$13,H1132=K$14),SottocategorieEntrate[[#Headers],[Business Entrate]],IF(OR(H1132=L$5,H1132=L$6,H1132=L$7,H1132=L$8,H1132=L$9,H1132=L$10,H1132=L$11,H1132=L$12,H1132=L$13,H1132=L$14),SottocategorieEntrate[[#Headers],[Varie Entrate]],IF(OR(H1132=M$5,H1132=M$6,H1132=M$7,H1132=M$8,H1132=M$9,H1132=M$10,H1132=M$11,H1132=M$12,H1132=M$13,H1132=M$14),SottocategorieEntrate[[#Headers],[Real Estate]],IF(OR(H1132=N$5,H1132=N$6,H1132=N$7,H1132=N$8,H1132=N$9,H1132=N$10,H1132=N$11,H1132=N$12,H1132=N$13,H1132=N$14),SottocategorieEntrate[[#Headers],[Other]],""))))))))))))</f>
        <v/>
      </c>
      <c r="J1132" t="str">
        <f>IF(OR(Dati[[#This Row],[Categoria]]="Bollette",Dati[[#This Row],[Categoria]]="Conto &amp; Carte BNL",Dati[[#This Row],[Categoria]]="Prelievo",Dati[[#This Row],[Categoria]]="Affitto",Dati[[#This Row],[Categoria]]="BNL(Interessi Creditori)"),"Carta",IF(Dati[[#This Row],[Categoria]]&lt;&gt;0,"Cash",""))</f>
        <v/>
      </c>
      <c r="K1132" s="59" t="str">
        <f>IF(OR(Data!$I1132=SottocategorieUscite[[#Headers],[Fuori Casa]],Data!$I1132=SottocategorieUscite[[#Headers],[Varie Uscite]],Data!$I1132=SottocategorieUscite[[#Headers],[Personali]],Data!$I1132=SottocategorieUscite[[#Headers],[Lavoro]]),"$ -","")</f>
        <v/>
      </c>
      <c r="L1132" s="59" t="str">
        <f>IF(OR(Data!$I1132=SottocategorieUscite[[#Headers],[Casa]],Data!$I1132=SottocategorieUscite[[#Headers],[Utenze]],Data!$I1132=SottocategorieUscite[[#Headers],[Business Uscite]],Data!$I1132=SottocategorieUscite[[#Headers],[Banca]]),"$ -","")</f>
        <v/>
      </c>
      <c r="M1132" s="59" t="str">
        <f>IF(OR($I1132&lt;&gt;SottocategorieUscite[[#Headers],[Fuori Casa]],$I1132&lt;&gt;SottocategorieUscite[[#Headers],[Varie Uscite]],$I1132&lt;&gt;SottocategorieUscite[[#Headers],[Personali]],$I1132&lt;&gt;SottocategorieUscite[[#Headers],[Lavoro]],$I1132&lt;&gt;SottocategorieUscite[[#Headers],[Casa]],$I1132&lt;&gt;SottocategorieUscite[[#Headers],[Utenze]],$I1132&lt;&gt;SottocategorieUscite[[#Headers],[Business Uscite]],$I1132&lt;&gt;SottocategorieUscite[[#Headers],[Banca]]),"","$ -")</f>
        <v/>
      </c>
      <c r="N1132" s="59" t="str">
        <f>IF(OR(Data!$I1132=SottocategorieEntrate[[#Headers],[Business Entrate]],Data!$I1132=SottocategorieEntrate[[#Headers],[Varie Entrate]]),"$ -","")</f>
        <v/>
      </c>
      <c r="O1132" s="59" t="str">
        <f>IF(OR(Data!$I1132=SottocategorieEntrate[[#Headers],[Real Estate]],SottocategorieEntrate[[#Headers],[Other]]),"$ -","")</f>
        <v/>
      </c>
      <c r="P1132" s="59" t="str">
        <f>IF(OR($I1132&lt;&gt;SottocategorieEntrate[[#Headers],[Business Entrate]],$I1132&lt;&gt;SottocategorieEntrate[[#Headers],[Varie Entrate]],$I1132&lt;&gt;SottocategorieEntrate[[#Headers],[Real Estate]],$I1132&lt;&gt;SottocategorieEntrate[[#Headers],[Other]]),"","$ -")</f>
        <v/>
      </c>
      <c r="Q1132" s="59" t="str">
        <f>IF(Dati[[#This Row],[Categoria]]="Prelievo","€ -","")</f>
        <v/>
      </c>
      <c r="R1132" s="244"/>
      <c r="S1132" s="59" t="str">
        <f>IF(Dati[[#This Row],[Categoria]]="Savings",0,"")</f>
        <v/>
      </c>
      <c r="T1132" s="59"/>
      <c r="U1132" s="59"/>
      <c r="V1132" s="59"/>
      <c r="W1132" s="59"/>
      <c r="X1132" s="59"/>
      <c r="Y1132" s="59"/>
      <c r="Z1132" s="59"/>
      <c r="AA1132" s="59"/>
      <c r="AB1132" s="59"/>
      <c r="AC1132" s="59"/>
      <c r="AD1132" s="59"/>
      <c r="AE1132" s="59"/>
      <c r="AF1132" s="59"/>
      <c r="AG1132" s="59"/>
      <c r="AH1132" s="59"/>
      <c r="AI1132" s="59" t="str">
        <f>IF(SUM(Dati[[#This Row],[Inv. Business]:[Inv. Cryptocurrency]])=0," ",SUM(Dati[[#This Row],[Inv. Business]:[Inv. Cryptocurrency]]))</f>
        <v xml:space="preserve"> </v>
      </c>
      <c r="AJ1132" s="59"/>
      <c r="AK1132" s="59" t="str">
        <f>IF(SUM(Dati[[#This Row],[Inv. Gold]:[Mutuo]])=0," ",SUM(Dati[[#This Row],[Inv. Gold]:[Mutuo]]))</f>
        <v xml:space="preserve"> </v>
      </c>
      <c r="AL1132" s="59"/>
      <c r="AM1132" s="59"/>
    </row>
    <row r="1133" spans="2:39" x14ac:dyDescent="0.35">
      <c r="B1133" s="237">
        <f t="shared" si="59"/>
        <v>1113</v>
      </c>
      <c r="C1133" s="49">
        <f t="shared" si="60"/>
        <v>45745</v>
      </c>
      <c r="D1133" s="29">
        <f>DAY(Dati[[#This Row],[Data]])</f>
        <v>29</v>
      </c>
      <c r="E1133" s="29" t="str">
        <f>IF(DAY(Data!$C$21:$C$1327)&gt;0,TEXT(Data!$C$21:$C$1327, "mmmm"),"")</f>
        <v>marzo</v>
      </c>
      <c r="F1133" s="29" t="str">
        <f>IF(DAY(Data!$C$21:$C$1327)&gt;0,TEXT(Data!$C$21:$C$1327, "aaaa"),"")</f>
        <v>2025</v>
      </c>
      <c r="I1133" t="str">
        <f>IF(OR(H1133=$B$5,H1133=$B$6,H1133=$B$7,H1133=$B$8,H1133=$B$9,H1133=$B$10,H1133=$B$11,H1133=$B$12,H1133=$B$13,H1133=$B$14),SottocategorieUscite[[#Headers],[Fuori Casa]],IF(OR(H1133=$C$5,H1133=$C$6,H1133=$C$7,H1133=$C$8,H1133=$C$9,H1133=$C$10,H1133=$C$11,H1133=$C$12,H1133=$C$13,H1133=$C$14),SottocategorieUscite[[#Headers],[Varie Uscite]],IF(OR(H1133=$D$5,H1133=$D$6,H1133=$D$7,H1133=$D$8,H1133=$D$9,H1133=$D$10,H1133=$D$11,H1133=$D$12,H1133=$D$13,H1133=$D$14),SottocategorieUscite[[#Headers],[Personali]],IF(OR(H1133=$E$5,H1133=$E$6,H1133=$E$7,H1133=$E$8,H1133=$E$9,H1133=$E$10,H1133=$E$11,H1133=$E$12,H1133=$E$13,H1133=$E$14),SottocategorieUscite[[#Headers],[Lavoro]],IF(OR(H1133=$F$5,H1133=$F$6,H1133=$F$7,H1133=$F$8,H1133=$F$9,H1133=$F$10,H1133=$F$11,H1133=$F$12,H1133=$F$13,H1133=$F$14),SottocategorieUscite[[#Headers],[Casa]],IF(OR(H1133=$G$5,H1133=$G$6,H1133=$G$7,H1133=$G$8,H1133=$G$9,H1133=$G$10,H1133=$G$11,H1133=$G$12,H1133=$G$13,H1133=$G$14),SottocategorieUscite[[#Headers],[Utenze]],IF(OR(H1133=$H$5,H1133=$H$6,H1133=$H$7,H1133=$H$8,H1133=$H$9,H1133=$H$10,H1133=$H$11,H1133=$H$12,H1133=$H$13,H1133=$H$14),SottocategorieUscite[[#Headers],[Business Uscite]],IF(OR(H1133=$I$5,H1133=$I$6,H1133=$I$7,H1133=$I$8,H1133=$I$9,H1133=$I$10,H1133=$I$11,H1133=$I$12,H1133=$I$13,H1133=$I$14),SottocategorieUscite[[#Headers],[Banca]],IF(OR(H1133=K$5,H1133=K$6,H1133=K$7,H1133=K$8,H1133=K$9,H1133=K$10,H1133=K$11,H1133=K$12,H1133=K$13,H1133=K$14),SottocategorieEntrate[[#Headers],[Business Entrate]],IF(OR(H1133=L$5,H1133=L$6,H1133=L$7,H1133=L$8,H1133=L$9,H1133=L$10,H1133=L$11,H1133=L$12,H1133=L$13,H1133=L$14),SottocategorieEntrate[[#Headers],[Varie Entrate]],IF(OR(H1133=M$5,H1133=M$6,H1133=M$7,H1133=M$8,H1133=M$9,H1133=M$10,H1133=M$11,H1133=M$12,H1133=M$13,H1133=M$14),SottocategorieEntrate[[#Headers],[Real Estate]],IF(OR(H1133=N$5,H1133=N$6,H1133=N$7,H1133=N$8,H1133=N$9,H1133=N$10,H1133=N$11,H1133=N$12,H1133=N$13,H1133=N$14),SottocategorieEntrate[[#Headers],[Other]],""))))))))))))</f>
        <v/>
      </c>
      <c r="J1133" t="str">
        <f>IF(OR(Dati[[#This Row],[Categoria]]="Bollette",Dati[[#This Row],[Categoria]]="Conto &amp; Carte BNL",Dati[[#This Row],[Categoria]]="Prelievo",Dati[[#This Row],[Categoria]]="Affitto",Dati[[#This Row],[Categoria]]="BNL(Interessi Creditori)"),"Carta",IF(Dati[[#This Row],[Categoria]]&lt;&gt;0,"Cash",""))</f>
        <v/>
      </c>
      <c r="K1133" s="59" t="str">
        <f>IF(OR(Data!$I1133=SottocategorieUscite[[#Headers],[Fuori Casa]],Data!$I1133=SottocategorieUscite[[#Headers],[Varie Uscite]],Data!$I1133=SottocategorieUscite[[#Headers],[Personali]],Data!$I1133=SottocategorieUscite[[#Headers],[Lavoro]]),"$ -","")</f>
        <v/>
      </c>
      <c r="L1133" s="59" t="str">
        <f>IF(OR(Data!$I1133=SottocategorieUscite[[#Headers],[Casa]],Data!$I1133=SottocategorieUscite[[#Headers],[Utenze]],Data!$I1133=SottocategorieUscite[[#Headers],[Business Uscite]],Data!$I1133=SottocategorieUscite[[#Headers],[Banca]]),"$ -","")</f>
        <v/>
      </c>
      <c r="M1133" s="59" t="str">
        <f>IF(OR($I1133&lt;&gt;SottocategorieUscite[[#Headers],[Fuori Casa]],$I1133&lt;&gt;SottocategorieUscite[[#Headers],[Varie Uscite]],$I1133&lt;&gt;SottocategorieUscite[[#Headers],[Personali]],$I1133&lt;&gt;SottocategorieUscite[[#Headers],[Lavoro]],$I1133&lt;&gt;SottocategorieUscite[[#Headers],[Casa]],$I1133&lt;&gt;SottocategorieUscite[[#Headers],[Utenze]],$I1133&lt;&gt;SottocategorieUscite[[#Headers],[Business Uscite]],$I1133&lt;&gt;SottocategorieUscite[[#Headers],[Banca]]),"","$ -")</f>
        <v/>
      </c>
      <c r="N1133" s="59" t="str">
        <f>IF(OR(Data!$I1133=SottocategorieEntrate[[#Headers],[Business Entrate]],Data!$I1133=SottocategorieEntrate[[#Headers],[Varie Entrate]]),"$ -","")</f>
        <v/>
      </c>
      <c r="O1133" s="59" t="str">
        <f>IF(OR(Data!$I1133=SottocategorieEntrate[[#Headers],[Real Estate]],SottocategorieEntrate[[#Headers],[Other]]),"$ -","")</f>
        <v/>
      </c>
      <c r="P1133" s="59" t="str">
        <f>IF(OR($I1133&lt;&gt;SottocategorieEntrate[[#Headers],[Business Entrate]],$I1133&lt;&gt;SottocategorieEntrate[[#Headers],[Varie Entrate]],$I1133&lt;&gt;SottocategorieEntrate[[#Headers],[Real Estate]],$I1133&lt;&gt;SottocategorieEntrate[[#Headers],[Other]]),"","$ -")</f>
        <v/>
      </c>
      <c r="Q1133" s="59" t="str">
        <f>IF(Dati[[#This Row],[Categoria]]="Prelievo","€ -","")</f>
        <v/>
      </c>
      <c r="R1133" s="244"/>
      <c r="S1133" s="59" t="str">
        <f>IF(Dati[[#This Row],[Categoria]]="Savings",0,"")</f>
        <v/>
      </c>
      <c r="T1133" s="59"/>
      <c r="U1133" s="59"/>
      <c r="V1133" s="59"/>
      <c r="W1133" s="59"/>
      <c r="X1133" s="59"/>
      <c r="Y1133" s="59"/>
      <c r="Z1133" s="59"/>
      <c r="AA1133" s="59"/>
      <c r="AB1133" s="59"/>
      <c r="AC1133" s="59"/>
      <c r="AD1133" s="59"/>
      <c r="AE1133" s="59"/>
      <c r="AF1133" s="59"/>
      <c r="AG1133" s="59"/>
      <c r="AH1133" s="59"/>
      <c r="AI1133" s="59" t="str">
        <f>IF(SUM(Dati[[#This Row],[Inv. Business]:[Inv. Cryptocurrency]])=0," ",SUM(Dati[[#This Row],[Inv. Business]:[Inv. Cryptocurrency]]))</f>
        <v xml:space="preserve"> </v>
      </c>
      <c r="AJ1133" s="59"/>
      <c r="AK1133" s="59" t="str">
        <f>IF(SUM(Dati[[#This Row],[Inv. Gold]:[Mutuo]])=0," ",SUM(Dati[[#This Row],[Inv. Gold]:[Mutuo]]))</f>
        <v xml:space="preserve"> </v>
      </c>
      <c r="AL1133" s="59"/>
      <c r="AM1133" s="59"/>
    </row>
    <row r="1134" spans="2:39" x14ac:dyDescent="0.35">
      <c r="B1134" s="237">
        <f t="shared" si="59"/>
        <v>1114</v>
      </c>
      <c r="C1134" s="49">
        <f t="shared" si="60"/>
        <v>45746</v>
      </c>
      <c r="D1134" s="29">
        <f>DAY(Dati[[#This Row],[Data]])</f>
        <v>30</v>
      </c>
      <c r="E1134" s="29" t="str">
        <f>IF(DAY(Data!$C$21:$C$1327)&gt;0,TEXT(Data!$C$21:$C$1327, "mmmm"),"")</f>
        <v>marzo</v>
      </c>
      <c r="F1134" s="29" t="str">
        <f>IF(DAY(Data!$C$21:$C$1327)&gt;0,TEXT(Data!$C$21:$C$1327, "aaaa"),"")</f>
        <v>2025</v>
      </c>
      <c r="I1134" t="str">
        <f>IF(OR(H1134=$B$5,H1134=$B$6,H1134=$B$7,H1134=$B$8,H1134=$B$9,H1134=$B$10,H1134=$B$11,H1134=$B$12,H1134=$B$13,H1134=$B$14),SottocategorieUscite[[#Headers],[Fuori Casa]],IF(OR(H1134=$C$5,H1134=$C$6,H1134=$C$7,H1134=$C$8,H1134=$C$9,H1134=$C$10,H1134=$C$11,H1134=$C$12,H1134=$C$13,H1134=$C$14),SottocategorieUscite[[#Headers],[Varie Uscite]],IF(OR(H1134=$D$5,H1134=$D$6,H1134=$D$7,H1134=$D$8,H1134=$D$9,H1134=$D$10,H1134=$D$11,H1134=$D$12,H1134=$D$13,H1134=$D$14),SottocategorieUscite[[#Headers],[Personali]],IF(OR(H1134=$E$5,H1134=$E$6,H1134=$E$7,H1134=$E$8,H1134=$E$9,H1134=$E$10,H1134=$E$11,H1134=$E$12,H1134=$E$13,H1134=$E$14),SottocategorieUscite[[#Headers],[Lavoro]],IF(OR(H1134=$F$5,H1134=$F$6,H1134=$F$7,H1134=$F$8,H1134=$F$9,H1134=$F$10,H1134=$F$11,H1134=$F$12,H1134=$F$13,H1134=$F$14),SottocategorieUscite[[#Headers],[Casa]],IF(OR(H1134=$G$5,H1134=$G$6,H1134=$G$7,H1134=$G$8,H1134=$G$9,H1134=$G$10,H1134=$G$11,H1134=$G$12,H1134=$G$13,H1134=$G$14),SottocategorieUscite[[#Headers],[Utenze]],IF(OR(H1134=$H$5,H1134=$H$6,H1134=$H$7,H1134=$H$8,H1134=$H$9,H1134=$H$10,H1134=$H$11,H1134=$H$12,H1134=$H$13,H1134=$H$14),SottocategorieUscite[[#Headers],[Business Uscite]],IF(OR(H1134=$I$5,H1134=$I$6,H1134=$I$7,H1134=$I$8,H1134=$I$9,H1134=$I$10,H1134=$I$11,H1134=$I$12,H1134=$I$13,H1134=$I$14),SottocategorieUscite[[#Headers],[Banca]],IF(OR(H1134=K$5,H1134=K$6,H1134=K$7,H1134=K$8,H1134=K$9,H1134=K$10,H1134=K$11,H1134=K$12,H1134=K$13,H1134=K$14),SottocategorieEntrate[[#Headers],[Business Entrate]],IF(OR(H1134=L$5,H1134=L$6,H1134=L$7,H1134=L$8,H1134=L$9,H1134=L$10,H1134=L$11,H1134=L$12,H1134=L$13,H1134=L$14),SottocategorieEntrate[[#Headers],[Varie Entrate]],IF(OR(H1134=M$5,H1134=M$6,H1134=M$7,H1134=M$8,H1134=M$9,H1134=M$10,H1134=M$11,H1134=M$12,H1134=M$13,H1134=M$14),SottocategorieEntrate[[#Headers],[Real Estate]],IF(OR(H1134=N$5,H1134=N$6,H1134=N$7,H1134=N$8,H1134=N$9,H1134=N$10,H1134=N$11,H1134=N$12,H1134=N$13,H1134=N$14),SottocategorieEntrate[[#Headers],[Other]],""))))))))))))</f>
        <v/>
      </c>
      <c r="J1134" t="str">
        <f>IF(OR(Dati[[#This Row],[Categoria]]="Bollette",Dati[[#This Row],[Categoria]]="Conto &amp; Carte BNL",Dati[[#This Row],[Categoria]]="Prelievo",Dati[[#This Row],[Categoria]]="Affitto",Dati[[#This Row],[Categoria]]="BNL(Interessi Creditori)"),"Carta",IF(Dati[[#This Row],[Categoria]]&lt;&gt;0,"Cash",""))</f>
        <v/>
      </c>
      <c r="K1134" s="59" t="str">
        <f>IF(OR(Data!$I1134=SottocategorieUscite[[#Headers],[Fuori Casa]],Data!$I1134=SottocategorieUscite[[#Headers],[Varie Uscite]],Data!$I1134=SottocategorieUscite[[#Headers],[Personali]],Data!$I1134=SottocategorieUscite[[#Headers],[Lavoro]]),"$ -","")</f>
        <v/>
      </c>
      <c r="L1134" s="59" t="str">
        <f>IF(OR(Data!$I1134=SottocategorieUscite[[#Headers],[Casa]],Data!$I1134=SottocategorieUscite[[#Headers],[Utenze]],Data!$I1134=SottocategorieUscite[[#Headers],[Business Uscite]],Data!$I1134=SottocategorieUscite[[#Headers],[Banca]]),"$ -","")</f>
        <v/>
      </c>
      <c r="M1134" s="59" t="str">
        <f>IF(OR($I1134&lt;&gt;SottocategorieUscite[[#Headers],[Fuori Casa]],$I1134&lt;&gt;SottocategorieUscite[[#Headers],[Varie Uscite]],$I1134&lt;&gt;SottocategorieUscite[[#Headers],[Personali]],$I1134&lt;&gt;SottocategorieUscite[[#Headers],[Lavoro]],$I1134&lt;&gt;SottocategorieUscite[[#Headers],[Casa]],$I1134&lt;&gt;SottocategorieUscite[[#Headers],[Utenze]],$I1134&lt;&gt;SottocategorieUscite[[#Headers],[Business Uscite]],$I1134&lt;&gt;SottocategorieUscite[[#Headers],[Banca]]),"","$ -")</f>
        <v/>
      </c>
      <c r="N1134" s="59" t="str">
        <f>IF(OR(Data!$I1134=SottocategorieEntrate[[#Headers],[Business Entrate]],Data!$I1134=SottocategorieEntrate[[#Headers],[Varie Entrate]]),"$ -","")</f>
        <v/>
      </c>
      <c r="O1134" s="59" t="str">
        <f>IF(OR(Data!$I1134=SottocategorieEntrate[[#Headers],[Real Estate]],SottocategorieEntrate[[#Headers],[Other]]),"$ -","")</f>
        <v/>
      </c>
      <c r="P1134" s="59" t="str">
        <f>IF(OR($I1134&lt;&gt;SottocategorieEntrate[[#Headers],[Business Entrate]],$I1134&lt;&gt;SottocategorieEntrate[[#Headers],[Varie Entrate]],$I1134&lt;&gt;SottocategorieEntrate[[#Headers],[Real Estate]],$I1134&lt;&gt;SottocategorieEntrate[[#Headers],[Other]]),"","$ -")</f>
        <v/>
      </c>
      <c r="Q1134" s="59" t="str">
        <f>IF(Dati[[#This Row],[Categoria]]="Prelievo","€ -","")</f>
        <v/>
      </c>
      <c r="R1134" s="244"/>
      <c r="S1134" s="59" t="str">
        <f>IF(Dati[[#This Row],[Categoria]]="Savings",0,"")</f>
        <v/>
      </c>
      <c r="T1134" s="59"/>
      <c r="U1134" s="59"/>
      <c r="V1134" s="59"/>
      <c r="W1134" s="59"/>
      <c r="X1134" s="59"/>
      <c r="Y1134" s="59"/>
      <c r="Z1134" s="59"/>
      <c r="AA1134" s="59"/>
      <c r="AB1134" s="59"/>
      <c r="AC1134" s="59"/>
      <c r="AD1134" s="59"/>
      <c r="AE1134" s="59"/>
      <c r="AF1134" s="59"/>
      <c r="AG1134" s="59"/>
      <c r="AH1134" s="59"/>
      <c r="AI1134" s="59" t="str">
        <f>IF(SUM(Dati[[#This Row],[Inv. Business]:[Inv. Cryptocurrency]])=0," ",SUM(Dati[[#This Row],[Inv. Business]:[Inv. Cryptocurrency]]))</f>
        <v xml:space="preserve"> </v>
      </c>
      <c r="AJ1134" s="59"/>
      <c r="AK1134" s="59" t="str">
        <f>IF(SUM(Dati[[#This Row],[Inv. Gold]:[Mutuo]])=0," ",SUM(Dati[[#This Row],[Inv. Gold]:[Mutuo]]))</f>
        <v xml:space="preserve"> </v>
      </c>
      <c r="AL1134" s="59"/>
      <c r="AM1134" s="59"/>
    </row>
    <row r="1135" spans="2:39" x14ac:dyDescent="0.35">
      <c r="B1135" s="237">
        <f t="shared" si="59"/>
        <v>1115</v>
      </c>
      <c r="C1135" s="49">
        <f t="shared" si="60"/>
        <v>45747</v>
      </c>
      <c r="D1135" s="29">
        <f>DAY(Dati[[#This Row],[Data]])</f>
        <v>31</v>
      </c>
      <c r="E1135" s="29" t="str">
        <f>IF(DAY(Data!$C$21:$C$1327)&gt;0,TEXT(Data!$C$21:$C$1327, "mmmm"),"")</f>
        <v>marzo</v>
      </c>
      <c r="F1135" s="29" t="str">
        <f>IF(DAY(Data!$C$21:$C$1327)&gt;0,TEXT(Data!$C$21:$C$1327, "aaaa"),"")</f>
        <v>2025</v>
      </c>
      <c r="I1135" t="str">
        <f>IF(OR(H1135=$B$5,H1135=$B$6,H1135=$B$7,H1135=$B$8,H1135=$B$9,H1135=$B$10,H1135=$B$11,H1135=$B$12,H1135=$B$13,H1135=$B$14),SottocategorieUscite[[#Headers],[Fuori Casa]],IF(OR(H1135=$C$5,H1135=$C$6,H1135=$C$7,H1135=$C$8,H1135=$C$9,H1135=$C$10,H1135=$C$11,H1135=$C$12,H1135=$C$13,H1135=$C$14),SottocategorieUscite[[#Headers],[Varie Uscite]],IF(OR(H1135=$D$5,H1135=$D$6,H1135=$D$7,H1135=$D$8,H1135=$D$9,H1135=$D$10,H1135=$D$11,H1135=$D$12,H1135=$D$13,H1135=$D$14),SottocategorieUscite[[#Headers],[Personali]],IF(OR(H1135=$E$5,H1135=$E$6,H1135=$E$7,H1135=$E$8,H1135=$E$9,H1135=$E$10,H1135=$E$11,H1135=$E$12,H1135=$E$13,H1135=$E$14),SottocategorieUscite[[#Headers],[Lavoro]],IF(OR(H1135=$F$5,H1135=$F$6,H1135=$F$7,H1135=$F$8,H1135=$F$9,H1135=$F$10,H1135=$F$11,H1135=$F$12,H1135=$F$13,H1135=$F$14),SottocategorieUscite[[#Headers],[Casa]],IF(OR(H1135=$G$5,H1135=$G$6,H1135=$G$7,H1135=$G$8,H1135=$G$9,H1135=$G$10,H1135=$G$11,H1135=$G$12,H1135=$G$13,H1135=$G$14),SottocategorieUscite[[#Headers],[Utenze]],IF(OR(H1135=$H$5,H1135=$H$6,H1135=$H$7,H1135=$H$8,H1135=$H$9,H1135=$H$10,H1135=$H$11,H1135=$H$12,H1135=$H$13,H1135=$H$14),SottocategorieUscite[[#Headers],[Business Uscite]],IF(OR(H1135=$I$5,H1135=$I$6,H1135=$I$7,H1135=$I$8,H1135=$I$9,H1135=$I$10,H1135=$I$11,H1135=$I$12,H1135=$I$13,H1135=$I$14),SottocategorieUscite[[#Headers],[Banca]],IF(OR(H1135=K$5,H1135=K$6,H1135=K$7,H1135=K$8,H1135=K$9,H1135=K$10,H1135=K$11,H1135=K$12,H1135=K$13,H1135=K$14),SottocategorieEntrate[[#Headers],[Business Entrate]],IF(OR(H1135=L$5,H1135=L$6,H1135=L$7,H1135=L$8,H1135=L$9,H1135=L$10,H1135=L$11,H1135=L$12,H1135=L$13,H1135=L$14),SottocategorieEntrate[[#Headers],[Varie Entrate]],IF(OR(H1135=M$5,H1135=M$6,H1135=M$7,H1135=M$8,H1135=M$9,H1135=M$10,H1135=M$11,H1135=M$12,H1135=M$13,H1135=M$14),SottocategorieEntrate[[#Headers],[Real Estate]],IF(OR(H1135=N$5,H1135=N$6,H1135=N$7,H1135=N$8,H1135=N$9,H1135=N$10,H1135=N$11,H1135=N$12,H1135=N$13,H1135=N$14),SottocategorieEntrate[[#Headers],[Other]],""))))))))))))</f>
        <v/>
      </c>
      <c r="J1135" t="str">
        <f>IF(OR(Dati[[#This Row],[Categoria]]="Bollette",Dati[[#This Row],[Categoria]]="Conto &amp; Carte BNL",Dati[[#This Row],[Categoria]]="Prelievo",Dati[[#This Row],[Categoria]]="Affitto",Dati[[#This Row],[Categoria]]="BNL(Interessi Creditori)"),"Carta",IF(Dati[[#This Row],[Categoria]]&lt;&gt;0,"Cash",""))</f>
        <v/>
      </c>
      <c r="K1135" s="59" t="str">
        <f>IF(OR(Data!$I1135=SottocategorieUscite[[#Headers],[Fuori Casa]],Data!$I1135=SottocategorieUscite[[#Headers],[Varie Uscite]],Data!$I1135=SottocategorieUscite[[#Headers],[Personali]],Data!$I1135=SottocategorieUscite[[#Headers],[Lavoro]]),"$ -","")</f>
        <v/>
      </c>
      <c r="L1135" s="59" t="str">
        <f>IF(OR(Data!$I1135=SottocategorieUscite[[#Headers],[Casa]],Data!$I1135=SottocategorieUscite[[#Headers],[Utenze]],Data!$I1135=SottocategorieUscite[[#Headers],[Business Uscite]],Data!$I1135=SottocategorieUscite[[#Headers],[Banca]]),"$ -","")</f>
        <v/>
      </c>
      <c r="M1135" s="59" t="str">
        <f>IF(OR($I1135&lt;&gt;SottocategorieUscite[[#Headers],[Fuori Casa]],$I1135&lt;&gt;SottocategorieUscite[[#Headers],[Varie Uscite]],$I1135&lt;&gt;SottocategorieUscite[[#Headers],[Personali]],$I1135&lt;&gt;SottocategorieUscite[[#Headers],[Lavoro]],$I1135&lt;&gt;SottocategorieUscite[[#Headers],[Casa]],$I1135&lt;&gt;SottocategorieUscite[[#Headers],[Utenze]],$I1135&lt;&gt;SottocategorieUscite[[#Headers],[Business Uscite]],$I1135&lt;&gt;SottocategorieUscite[[#Headers],[Banca]]),"","$ -")</f>
        <v/>
      </c>
      <c r="N1135" s="59" t="str">
        <f>IF(OR(Data!$I1135=SottocategorieEntrate[[#Headers],[Business Entrate]],Data!$I1135=SottocategorieEntrate[[#Headers],[Varie Entrate]]),"$ -","")</f>
        <v/>
      </c>
      <c r="O1135" s="59" t="str">
        <f>IF(OR(Data!$I1135=SottocategorieEntrate[[#Headers],[Real Estate]],SottocategorieEntrate[[#Headers],[Other]]),"$ -","")</f>
        <v/>
      </c>
      <c r="P1135" s="59" t="str">
        <f>IF(OR($I1135&lt;&gt;SottocategorieEntrate[[#Headers],[Business Entrate]],$I1135&lt;&gt;SottocategorieEntrate[[#Headers],[Varie Entrate]],$I1135&lt;&gt;SottocategorieEntrate[[#Headers],[Real Estate]],$I1135&lt;&gt;SottocategorieEntrate[[#Headers],[Other]]),"","$ -")</f>
        <v/>
      </c>
      <c r="Q1135" s="59" t="str">
        <f>IF(Dati[[#This Row],[Categoria]]="Prelievo","€ -","")</f>
        <v/>
      </c>
      <c r="R1135" s="244"/>
      <c r="S1135" s="59" t="str">
        <f>IF(Dati[[#This Row],[Categoria]]="Savings",0,"")</f>
        <v/>
      </c>
      <c r="T1135" s="59"/>
      <c r="U1135" s="59"/>
      <c r="V1135" s="59"/>
      <c r="W1135" s="59"/>
      <c r="X1135" s="59"/>
      <c r="Y1135" s="59"/>
      <c r="Z1135" s="59"/>
      <c r="AA1135" s="59"/>
      <c r="AB1135" s="59"/>
      <c r="AC1135" s="59"/>
      <c r="AD1135" s="59"/>
      <c r="AE1135" s="59"/>
      <c r="AF1135" s="59"/>
      <c r="AG1135" s="59"/>
      <c r="AH1135" s="59"/>
      <c r="AI1135" s="59" t="str">
        <f>IF(SUM(Dati[[#This Row],[Inv. Business]:[Inv. Cryptocurrency]])=0," ",SUM(Dati[[#This Row],[Inv. Business]:[Inv. Cryptocurrency]]))</f>
        <v xml:space="preserve"> </v>
      </c>
      <c r="AJ1135" s="59"/>
      <c r="AK1135" s="59" t="str">
        <f>IF(SUM(Dati[[#This Row],[Inv. Gold]:[Mutuo]])=0," ",SUM(Dati[[#This Row],[Inv. Gold]:[Mutuo]]))</f>
        <v xml:space="preserve"> </v>
      </c>
      <c r="AL1135" s="59"/>
      <c r="AM1135" s="59"/>
    </row>
    <row r="1136" spans="2:39" x14ac:dyDescent="0.35">
      <c r="B1136" s="237">
        <f t="shared" si="59"/>
        <v>1116</v>
      </c>
      <c r="C1136" s="49">
        <f t="shared" si="60"/>
        <v>45748</v>
      </c>
      <c r="D1136" s="29">
        <f>DAY(Dati[[#This Row],[Data]])</f>
        <v>1</v>
      </c>
      <c r="E1136" s="29" t="str">
        <f>IF(DAY(Data!$C$21:$C$1327)&gt;0,TEXT(Data!$C$21:$C$1327, "mmmm"),"")</f>
        <v>aprile</v>
      </c>
      <c r="F1136" s="29" t="str">
        <f>IF(DAY(Data!$C$21:$C$1327)&gt;0,TEXT(Data!$C$21:$C$1327, "aaaa"),"")</f>
        <v>2025</v>
      </c>
      <c r="I1136" t="str">
        <f>IF(OR(H1136=$B$5,H1136=$B$6,H1136=$B$7,H1136=$B$8,H1136=$B$9,H1136=$B$10,H1136=$B$11,H1136=$B$12,H1136=$B$13,H1136=$B$14),SottocategorieUscite[[#Headers],[Fuori Casa]],IF(OR(H1136=$C$5,H1136=$C$6,H1136=$C$7,H1136=$C$8,H1136=$C$9,H1136=$C$10,H1136=$C$11,H1136=$C$12,H1136=$C$13,H1136=$C$14),SottocategorieUscite[[#Headers],[Varie Uscite]],IF(OR(H1136=$D$5,H1136=$D$6,H1136=$D$7,H1136=$D$8,H1136=$D$9,H1136=$D$10,H1136=$D$11,H1136=$D$12,H1136=$D$13,H1136=$D$14),SottocategorieUscite[[#Headers],[Personali]],IF(OR(H1136=$E$5,H1136=$E$6,H1136=$E$7,H1136=$E$8,H1136=$E$9,H1136=$E$10,H1136=$E$11,H1136=$E$12,H1136=$E$13,H1136=$E$14),SottocategorieUscite[[#Headers],[Lavoro]],IF(OR(H1136=$F$5,H1136=$F$6,H1136=$F$7,H1136=$F$8,H1136=$F$9,H1136=$F$10,H1136=$F$11,H1136=$F$12,H1136=$F$13,H1136=$F$14),SottocategorieUscite[[#Headers],[Casa]],IF(OR(H1136=$G$5,H1136=$G$6,H1136=$G$7,H1136=$G$8,H1136=$G$9,H1136=$G$10,H1136=$G$11,H1136=$G$12,H1136=$G$13,H1136=$G$14),SottocategorieUscite[[#Headers],[Utenze]],IF(OR(H1136=$H$5,H1136=$H$6,H1136=$H$7,H1136=$H$8,H1136=$H$9,H1136=$H$10,H1136=$H$11,H1136=$H$12,H1136=$H$13,H1136=$H$14),SottocategorieUscite[[#Headers],[Business Uscite]],IF(OR(H1136=$I$5,H1136=$I$6,H1136=$I$7,H1136=$I$8,H1136=$I$9,H1136=$I$10,H1136=$I$11,H1136=$I$12,H1136=$I$13,H1136=$I$14),SottocategorieUscite[[#Headers],[Banca]],IF(OR(H1136=K$5,H1136=K$6,H1136=K$7,H1136=K$8,H1136=K$9,H1136=K$10,H1136=K$11,H1136=K$12,H1136=K$13,H1136=K$14),SottocategorieEntrate[[#Headers],[Business Entrate]],IF(OR(H1136=L$5,H1136=L$6,H1136=L$7,H1136=L$8,H1136=L$9,H1136=L$10,H1136=L$11,H1136=L$12,H1136=L$13,H1136=L$14),SottocategorieEntrate[[#Headers],[Varie Entrate]],IF(OR(H1136=M$5,H1136=M$6,H1136=M$7,H1136=M$8,H1136=M$9,H1136=M$10,H1136=M$11,H1136=M$12,H1136=M$13,H1136=M$14),SottocategorieEntrate[[#Headers],[Real Estate]],IF(OR(H1136=N$5,H1136=N$6,H1136=N$7,H1136=N$8,H1136=N$9,H1136=N$10,H1136=N$11,H1136=N$12,H1136=N$13,H1136=N$14),SottocategorieEntrate[[#Headers],[Other]],""))))))))))))</f>
        <v/>
      </c>
      <c r="J1136" t="str">
        <f>IF(OR(Dati[[#This Row],[Categoria]]="Bollette",Dati[[#This Row],[Categoria]]="Conto &amp; Carte BNL",Dati[[#This Row],[Categoria]]="Prelievo",Dati[[#This Row],[Categoria]]="Affitto",Dati[[#This Row],[Categoria]]="BNL(Interessi Creditori)"),"Carta",IF(Dati[[#This Row],[Categoria]]&lt;&gt;0,"Cash",""))</f>
        <v/>
      </c>
      <c r="K1136" s="59" t="str">
        <f>IF(OR(Data!$I1136=SottocategorieUscite[[#Headers],[Fuori Casa]],Data!$I1136=SottocategorieUscite[[#Headers],[Varie Uscite]],Data!$I1136=SottocategorieUscite[[#Headers],[Personali]],Data!$I1136=SottocategorieUscite[[#Headers],[Lavoro]]),"$ -","")</f>
        <v/>
      </c>
      <c r="L1136" s="59" t="str">
        <f>IF(OR(Data!$I1136=SottocategorieUscite[[#Headers],[Casa]],Data!$I1136=SottocategorieUscite[[#Headers],[Utenze]],Data!$I1136=SottocategorieUscite[[#Headers],[Business Uscite]],Data!$I1136=SottocategorieUscite[[#Headers],[Banca]]),"$ -","")</f>
        <v/>
      </c>
      <c r="M1136" s="59" t="str">
        <f>IF(OR($I1136&lt;&gt;SottocategorieUscite[[#Headers],[Fuori Casa]],$I1136&lt;&gt;SottocategorieUscite[[#Headers],[Varie Uscite]],$I1136&lt;&gt;SottocategorieUscite[[#Headers],[Personali]],$I1136&lt;&gt;SottocategorieUscite[[#Headers],[Lavoro]],$I1136&lt;&gt;SottocategorieUscite[[#Headers],[Casa]],$I1136&lt;&gt;SottocategorieUscite[[#Headers],[Utenze]],$I1136&lt;&gt;SottocategorieUscite[[#Headers],[Business Uscite]],$I1136&lt;&gt;SottocategorieUscite[[#Headers],[Banca]]),"","$ -")</f>
        <v/>
      </c>
      <c r="N1136" s="59" t="str">
        <f>IF(OR(Data!$I1136=SottocategorieEntrate[[#Headers],[Business Entrate]],Data!$I1136=SottocategorieEntrate[[#Headers],[Varie Entrate]]),"$ -","")</f>
        <v/>
      </c>
      <c r="O1136" s="59" t="str">
        <f>IF(OR(Data!$I1136=SottocategorieEntrate[[#Headers],[Real Estate]],SottocategorieEntrate[[#Headers],[Other]]),"$ -","")</f>
        <v/>
      </c>
      <c r="P1136" s="59" t="str">
        <f>IF(OR($I1136&lt;&gt;SottocategorieEntrate[[#Headers],[Business Entrate]],$I1136&lt;&gt;SottocategorieEntrate[[#Headers],[Varie Entrate]],$I1136&lt;&gt;SottocategorieEntrate[[#Headers],[Real Estate]],$I1136&lt;&gt;SottocategorieEntrate[[#Headers],[Other]]),"","$ -")</f>
        <v/>
      </c>
      <c r="Q1136" s="59" t="str">
        <f>IF(Dati[[#This Row],[Categoria]]="Prelievo","€ -","")</f>
        <v/>
      </c>
      <c r="R1136" s="244"/>
      <c r="S1136" s="59" t="str">
        <f>IF(Dati[[#This Row],[Categoria]]="Savings",0,"")</f>
        <v/>
      </c>
      <c r="T1136" s="59"/>
      <c r="U1136" s="59"/>
      <c r="V1136" s="59"/>
      <c r="W1136" s="59"/>
      <c r="X1136" s="59"/>
      <c r="Y1136" s="59"/>
      <c r="Z1136" s="59"/>
      <c r="AA1136" s="59"/>
      <c r="AB1136" s="59"/>
      <c r="AC1136" s="59"/>
      <c r="AD1136" s="59"/>
      <c r="AE1136" s="59"/>
      <c r="AF1136" s="59"/>
      <c r="AG1136" s="59"/>
      <c r="AH1136" s="59"/>
      <c r="AI1136" s="59" t="str">
        <f>IF(SUM(Dati[[#This Row],[Inv. Business]:[Inv. Cryptocurrency]])=0," ",SUM(Dati[[#This Row],[Inv. Business]:[Inv. Cryptocurrency]]))</f>
        <v xml:space="preserve"> </v>
      </c>
      <c r="AJ1136" s="59"/>
      <c r="AK1136" s="59" t="str">
        <f>IF(SUM(Dati[[#This Row],[Inv. Gold]:[Mutuo]])=0," ",SUM(Dati[[#This Row],[Inv. Gold]:[Mutuo]]))</f>
        <v xml:space="preserve"> </v>
      </c>
      <c r="AL1136" s="59"/>
      <c r="AM1136" s="59"/>
    </row>
    <row r="1137" spans="2:39" x14ac:dyDescent="0.35">
      <c r="B1137" s="237">
        <f t="shared" ref="B1137:B1157" si="61">ROW(1116:1116)</f>
        <v>1116</v>
      </c>
      <c r="C1137" s="49">
        <f>C1135+1</f>
        <v>45748</v>
      </c>
      <c r="D1137" s="29">
        <f>DAY(Dati[[#This Row],[Data]])</f>
        <v>1</v>
      </c>
      <c r="E1137" s="29" t="str">
        <f>IF(DAY(Data!$C$21:$C$1327)&gt;0,TEXT(Data!$C$21:$C$1327, "mmmm"),"")</f>
        <v>aprile</v>
      </c>
      <c r="F1137" s="29" t="str">
        <f>IF(DAY(Data!$C$21:$C$1327)&gt;0,TEXT(Data!$C$21:$C$1327, "aaaa"),"")</f>
        <v>2025</v>
      </c>
      <c r="I1137" t="str">
        <f>IF(OR(H1137=$B$5,H1137=$B$6,H1137=$B$7,H1137=$B$8,H1137=$B$9,H1137=$B$10,H1137=$B$11,H1137=$B$12,H1137=$B$13,H1137=$B$14),SottocategorieUscite[[#Headers],[Fuori Casa]],IF(OR(H1137=$C$5,H1137=$C$6,H1137=$C$7,H1137=$C$8,H1137=$C$9,H1137=$C$10,H1137=$C$11,H1137=$C$12,H1137=$C$13,H1137=$C$14),SottocategorieUscite[[#Headers],[Varie Uscite]],IF(OR(H1137=$D$5,H1137=$D$6,H1137=$D$7,H1137=$D$8,H1137=$D$9,H1137=$D$10,H1137=$D$11,H1137=$D$12,H1137=$D$13,H1137=$D$14),SottocategorieUscite[[#Headers],[Personali]],IF(OR(H1137=$E$5,H1137=$E$6,H1137=$E$7,H1137=$E$8,H1137=$E$9,H1137=$E$10,H1137=$E$11,H1137=$E$12,H1137=$E$13,H1137=$E$14),SottocategorieUscite[[#Headers],[Lavoro]],IF(OR(H1137=$F$5,H1137=$F$6,H1137=$F$7,H1137=$F$8,H1137=$F$9,H1137=$F$10,H1137=$F$11,H1137=$F$12,H1137=$F$13,H1137=$F$14),SottocategorieUscite[[#Headers],[Casa]],IF(OR(H1137=$G$5,H1137=$G$6,H1137=$G$7,H1137=$G$8,H1137=$G$9,H1137=$G$10,H1137=$G$11,H1137=$G$12,H1137=$G$13,H1137=$G$14),SottocategorieUscite[[#Headers],[Utenze]],IF(OR(H1137=$H$5,H1137=$H$6,H1137=$H$7,H1137=$H$8,H1137=$H$9,H1137=$H$10,H1137=$H$11,H1137=$H$12,H1137=$H$13,H1137=$H$14),SottocategorieUscite[[#Headers],[Business Uscite]],IF(OR(H1137=$I$5,H1137=$I$6,H1137=$I$7,H1137=$I$8,H1137=$I$9,H1137=$I$10,H1137=$I$11,H1137=$I$12,H1137=$I$13,H1137=$I$14),SottocategorieUscite[[#Headers],[Banca]],IF(OR(H1137=K$5,H1137=K$6,H1137=K$7,H1137=K$8,H1137=K$9,H1137=K$10,H1137=K$11,H1137=K$12,H1137=K$13,H1137=K$14),SottocategorieEntrate[[#Headers],[Business Entrate]],IF(OR(H1137=L$5,H1137=L$6,H1137=L$7,H1137=L$8,H1137=L$9,H1137=L$10,H1137=L$11,H1137=L$12,H1137=L$13,H1137=L$14),SottocategorieEntrate[[#Headers],[Varie Entrate]],IF(OR(H1137=M$5,H1137=M$6,H1137=M$7,H1137=M$8,H1137=M$9,H1137=M$10,H1137=M$11,H1137=M$12,H1137=M$13,H1137=M$14),SottocategorieEntrate[[#Headers],[Real Estate]],IF(OR(H1137=N$5,H1137=N$6,H1137=N$7,H1137=N$8,H1137=N$9,H1137=N$10,H1137=N$11,H1137=N$12,H1137=N$13,H1137=N$14),SottocategorieEntrate[[#Headers],[Other]],""))))))))))))</f>
        <v/>
      </c>
      <c r="J1137" t="str">
        <f>IF(OR(Dati[[#This Row],[Categoria]]="Bollette",Dati[[#This Row],[Categoria]]="Conto &amp; Carte BNL",Dati[[#This Row],[Categoria]]="Prelievo",Dati[[#This Row],[Categoria]]="Affitto",Dati[[#This Row],[Categoria]]="BNL(Interessi Creditori)"),"Carta",IF(Dati[[#This Row],[Categoria]]&lt;&gt;0,"Cash",""))</f>
        <v/>
      </c>
      <c r="K1137" s="59" t="str">
        <f>IF(OR(Data!$I1137=SottocategorieUscite[[#Headers],[Fuori Casa]],Data!$I1137=SottocategorieUscite[[#Headers],[Varie Uscite]],Data!$I1137=SottocategorieUscite[[#Headers],[Personali]],Data!$I1137=SottocategorieUscite[[#Headers],[Lavoro]]),"$ -","")</f>
        <v/>
      </c>
      <c r="L1137" s="59" t="str">
        <f>IF(OR(Data!$I1137=SottocategorieUscite[[#Headers],[Casa]],Data!$I1137=SottocategorieUscite[[#Headers],[Utenze]],Data!$I1137=SottocategorieUscite[[#Headers],[Business Uscite]],Data!$I1137=SottocategorieUscite[[#Headers],[Banca]]),"$ -","")</f>
        <v/>
      </c>
      <c r="M1137" s="59" t="str">
        <f>IF(OR($I1137&lt;&gt;SottocategorieUscite[[#Headers],[Fuori Casa]],$I1137&lt;&gt;SottocategorieUscite[[#Headers],[Varie Uscite]],$I1137&lt;&gt;SottocategorieUscite[[#Headers],[Personali]],$I1137&lt;&gt;SottocategorieUscite[[#Headers],[Lavoro]],$I1137&lt;&gt;SottocategorieUscite[[#Headers],[Casa]],$I1137&lt;&gt;SottocategorieUscite[[#Headers],[Utenze]],$I1137&lt;&gt;SottocategorieUscite[[#Headers],[Business Uscite]],$I1137&lt;&gt;SottocategorieUscite[[#Headers],[Banca]]),"","$ -")</f>
        <v/>
      </c>
      <c r="N1137" s="59" t="str">
        <f>IF(OR(Data!$I1137=SottocategorieEntrate[[#Headers],[Business Entrate]],Data!$I1137=SottocategorieEntrate[[#Headers],[Varie Entrate]]),"$ -","")</f>
        <v/>
      </c>
      <c r="O1137" s="59" t="str">
        <f>IF(OR(Data!$I1137=SottocategorieEntrate[[#Headers],[Real Estate]],SottocategorieEntrate[[#Headers],[Other]]),"$ -","")</f>
        <v/>
      </c>
      <c r="P1137" s="59" t="str">
        <f>IF(OR($I1137&lt;&gt;SottocategorieEntrate[[#Headers],[Business Entrate]],$I1137&lt;&gt;SottocategorieEntrate[[#Headers],[Varie Entrate]],$I1137&lt;&gt;SottocategorieEntrate[[#Headers],[Real Estate]],$I1137&lt;&gt;SottocategorieEntrate[[#Headers],[Other]]),"","$ -")</f>
        <v/>
      </c>
      <c r="Q1137" s="59" t="str">
        <f>IF(Dati[[#This Row],[Categoria]]="Prelievo","€ -","")</f>
        <v/>
      </c>
      <c r="R1137" s="244"/>
      <c r="S1137" s="59" t="str">
        <f>IF(Dati[[#This Row],[Categoria]]="Savings",0,"")</f>
        <v/>
      </c>
      <c r="T1137" s="59"/>
      <c r="U1137" s="59"/>
      <c r="V1137" s="59"/>
      <c r="W1137" s="59"/>
      <c r="X1137" s="59"/>
      <c r="Y1137" s="59"/>
      <c r="Z1137" s="59"/>
      <c r="AA1137" s="59"/>
      <c r="AB1137" s="59"/>
      <c r="AC1137" s="59"/>
      <c r="AD1137" s="59"/>
      <c r="AE1137" s="59"/>
      <c r="AF1137" s="59"/>
      <c r="AG1137" s="59"/>
      <c r="AH1137" s="59"/>
      <c r="AI1137" s="59" t="str">
        <f>IF(SUM(Dati[[#This Row],[Inv. Business]:[Inv. Cryptocurrency]])=0," ",SUM(Dati[[#This Row],[Inv. Business]:[Inv. Cryptocurrency]]))</f>
        <v xml:space="preserve"> </v>
      </c>
      <c r="AJ1137" s="59"/>
      <c r="AK1137" s="59" t="str">
        <f>IF(SUM(Dati[[#This Row],[Inv. Gold]:[Mutuo]])=0," ",SUM(Dati[[#This Row],[Inv. Gold]:[Mutuo]]))</f>
        <v xml:space="preserve"> </v>
      </c>
      <c r="AL1137" s="59"/>
      <c r="AM1137" s="59"/>
    </row>
    <row r="1138" spans="2:39" x14ac:dyDescent="0.35">
      <c r="B1138" s="237">
        <f t="shared" si="61"/>
        <v>1117</v>
      </c>
      <c r="C1138" s="49">
        <f>C1136+1</f>
        <v>45749</v>
      </c>
      <c r="D1138" s="29">
        <f>DAY(Dati[[#This Row],[Data]])</f>
        <v>2</v>
      </c>
      <c r="E1138" s="29" t="str">
        <f>IF(DAY(Data!$C$21:$C$1327)&gt;0,TEXT(Data!$C$21:$C$1327, "mmmm"),"")</f>
        <v>aprile</v>
      </c>
      <c r="F1138" s="29" t="str">
        <f>IF(DAY(Data!$C$21:$C$1327)&gt;0,TEXT(Data!$C$21:$C$1327, "aaaa"),"")</f>
        <v>2025</v>
      </c>
      <c r="I1138" t="str">
        <f>IF(OR(H1138=$B$5,H1138=$B$6,H1138=$B$7,H1138=$B$8,H1138=$B$9,H1138=$B$10,H1138=$B$11,H1138=$B$12,H1138=$B$13,H1138=$B$14),SottocategorieUscite[[#Headers],[Fuori Casa]],IF(OR(H1138=$C$5,H1138=$C$6,H1138=$C$7,H1138=$C$8,H1138=$C$9,H1138=$C$10,H1138=$C$11,H1138=$C$12,H1138=$C$13,H1138=$C$14),SottocategorieUscite[[#Headers],[Varie Uscite]],IF(OR(H1138=$D$5,H1138=$D$6,H1138=$D$7,H1138=$D$8,H1138=$D$9,H1138=$D$10,H1138=$D$11,H1138=$D$12,H1138=$D$13,H1138=$D$14),SottocategorieUscite[[#Headers],[Personali]],IF(OR(H1138=$E$5,H1138=$E$6,H1138=$E$7,H1138=$E$8,H1138=$E$9,H1138=$E$10,H1138=$E$11,H1138=$E$12,H1138=$E$13,H1138=$E$14),SottocategorieUscite[[#Headers],[Lavoro]],IF(OR(H1138=$F$5,H1138=$F$6,H1138=$F$7,H1138=$F$8,H1138=$F$9,H1138=$F$10,H1138=$F$11,H1138=$F$12,H1138=$F$13,H1138=$F$14),SottocategorieUscite[[#Headers],[Casa]],IF(OR(H1138=$G$5,H1138=$G$6,H1138=$G$7,H1138=$G$8,H1138=$G$9,H1138=$G$10,H1138=$G$11,H1138=$G$12,H1138=$G$13,H1138=$G$14),SottocategorieUscite[[#Headers],[Utenze]],IF(OR(H1138=$H$5,H1138=$H$6,H1138=$H$7,H1138=$H$8,H1138=$H$9,H1138=$H$10,H1138=$H$11,H1138=$H$12,H1138=$H$13,H1138=$H$14),SottocategorieUscite[[#Headers],[Business Uscite]],IF(OR(H1138=$I$5,H1138=$I$6,H1138=$I$7,H1138=$I$8,H1138=$I$9,H1138=$I$10,H1138=$I$11,H1138=$I$12,H1138=$I$13,H1138=$I$14),SottocategorieUscite[[#Headers],[Banca]],IF(OR(H1138=K$5,H1138=K$6,H1138=K$7,H1138=K$8,H1138=K$9,H1138=K$10,H1138=K$11,H1138=K$12,H1138=K$13,H1138=K$14),SottocategorieEntrate[[#Headers],[Business Entrate]],IF(OR(H1138=L$5,H1138=L$6,H1138=L$7,H1138=L$8,H1138=L$9,H1138=L$10,H1138=L$11,H1138=L$12,H1138=L$13,H1138=L$14),SottocategorieEntrate[[#Headers],[Varie Entrate]],IF(OR(H1138=M$5,H1138=M$6,H1138=M$7,H1138=M$8,H1138=M$9,H1138=M$10,H1138=M$11,H1138=M$12,H1138=M$13,H1138=M$14),SottocategorieEntrate[[#Headers],[Real Estate]],IF(OR(H1138=N$5,H1138=N$6,H1138=N$7,H1138=N$8,H1138=N$9,H1138=N$10,H1138=N$11,H1138=N$12,H1138=N$13,H1138=N$14),SottocategorieEntrate[[#Headers],[Other]],""))))))))))))</f>
        <v/>
      </c>
      <c r="J1138" t="str">
        <f>IF(OR(Dati[[#This Row],[Categoria]]="Bollette",Dati[[#This Row],[Categoria]]="Conto &amp; Carte BNL",Dati[[#This Row],[Categoria]]="Prelievo",Dati[[#This Row],[Categoria]]="Affitto",Dati[[#This Row],[Categoria]]="BNL(Interessi Creditori)"),"Carta",IF(Dati[[#This Row],[Categoria]]&lt;&gt;0,"Cash",""))</f>
        <v/>
      </c>
      <c r="K1138" s="59" t="str">
        <f>IF(OR(Data!$I1138=SottocategorieUscite[[#Headers],[Fuori Casa]],Data!$I1138=SottocategorieUscite[[#Headers],[Varie Uscite]],Data!$I1138=SottocategorieUscite[[#Headers],[Personali]],Data!$I1138=SottocategorieUscite[[#Headers],[Lavoro]]),"$ -","")</f>
        <v/>
      </c>
      <c r="L1138" s="59" t="str">
        <f>IF(OR(Data!$I1138=SottocategorieUscite[[#Headers],[Casa]],Data!$I1138=SottocategorieUscite[[#Headers],[Utenze]],Data!$I1138=SottocategorieUscite[[#Headers],[Business Uscite]],Data!$I1138=SottocategorieUscite[[#Headers],[Banca]]),"$ -","")</f>
        <v/>
      </c>
      <c r="M1138" s="59" t="str">
        <f>IF(OR($I1138&lt;&gt;SottocategorieUscite[[#Headers],[Fuori Casa]],$I1138&lt;&gt;SottocategorieUscite[[#Headers],[Varie Uscite]],$I1138&lt;&gt;SottocategorieUscite[[#Headers],[Personali]],$I1138&lt;&gt;SottocategorieUscite[[#Headers],[Lavoro]],$I1138&lt;&gt;SottocategorieUscite[[#Headers],[Casa]],$I1138&lt;&gt;SottocategorieUscite[[#Headers],[Utenze]],$I1138&lt;&gt;SottocategorieUscite[[#Headers],[Business Uscite]],$I1138&lt;&gt;SottocategorieUscite[[#Headers],[Banca]]),"","$ -")</f>
        <v/>
      </c>
      <c r="N1138" s="59" t="str">
        <f>IF(OR(Data!$I1138=SottocategorieEntrate[[#Headers],[Business Entrate]],Data!$I1138=SottocategorieEntrate[[#Headers],[Varie Entrate]]),"$ -","")</f>
        <v/>
      </c>
      <c r="O1138" s="59" t="str">
        <f>IF(OR(Data!$I1138=SottocategorieEntrate[[#Headers],[Real Estate]],SottocategorieEntrate[[#Headers],[Other]]),"$ -","")</f>
        <v/>
      </c>
      <c r="P1138" s="59" t="str">
        <f>IF(OR($I1138&lt;&gt;SottocategorieEntrate[[#Headers],[Business Entrate]],$I1138&lt;&gt;SottocategorieEntrate[[#Headers],[Varie Entrate]],$I1138&lt;&gt;SottocategorieEntrate[[#Headers],[Real Estate]],$I1138&lt;&gt;SottocategorieEntrate[[#Headers],[Other]]),"","$ -")</f>
        <v/>
      </c>
      <c r="Q1138" s="59" t="str">
        <f>IF(Dati[[#This Row],[Categoria]]="Prelievo","€ -","")</f>
        <v/>
      </c>
      <c r="R1138" s="244"/>
      <c r="S1138" s="59" t="str">
        <f>IF(Dati[[#This Row],[Categoria]]="Savings",0,"")</f>
        <v/>
      </c>
      <c r="T1138" s="59"/>
      <c r="U1138" s="59"/>
      <c r="V1138" s="59"/>
      <c r="W1138" s="59"/>
      <c r="X1138" s="59"/>
      <c r="Y1138" s="59"/>
      <c r="Z1138" s="59"/>
      <c r="AA1138" s="59"/>
      <c r="AB1138" s="59"/>
      <c r="AC1138" s="59"/>
      <c r="AD1138" s="59"/>
      <c r="AE1138" s="59"/>
      <c r="AF1138" s="59"/>
      <c r="AG1138" s="59"/>
      <c r="AH1138" s="59"/>
      <c r="AI1138" s="59" t="str">
        <f>IF(SUM(Dati[[#This Row],[Inv. Business]:[Inv. Cryptocurrency]])=0," ",SUM(Dati[[#This Row],[Inv. Business]:[Inv. Cryptocurrency]]))</f>
        <v xml:space="preserve"> </v>
      </c>
      <c r="AJ1138" s="59"/>
      <c r="AK1138" s="59" t="str">
        <f>IF(SUM(Dati[[#This Row],[Inv. Gold]:[Mutuo]])=0," ",SUM(Dati[[#This Row],[Inv. Gold]:[Mutuo]]))</f>
        <v xml:space="preserve"> </v>
      </c>
      <c r="AL1138" s="59"/>
      <c r="AM1138" s="59"/>
    </row>
    <row r="1139" spans="2:39" x14ac:dyDescent="0.35">
      <c r="B1139" s="237">
        <f t="shared" si="61"/>
        <v>1118</v>
      </c>
      <c r="C1139" s="49">
        <f t="shared" si="60"/>
        <v>45750</v>
      </c>
      <c r="D1139" s="29">
        <f>DAY(Dati[[#This Row],[Data]])</f>
        <v>3</v>
      </c>
      <c r="E1139" s="29" t="str">
        <f>IF(DAY(Data!$C$21:$C$1327)&gt;0,TEXT(Data!$C$21:$C$1327, "mmmm"),"")</f>
        <v>aprile</v>
      </c>
      <c r="F1139" s="29" t="str">
        <f>IF(DAY(Data!$C$21:$C$1327)&gt;0,TEXT(Data!$C$21:$C$1327, "aaaa"),"")</f>
        <v>2025</v>
      </c>
      <c r="I1139" t="str">
        <f>IF(OR(H1139=$B$5,H1139=$B$6,H1139=$B$7,H1139=$B$8,H1139=$B$9,H1139=$B$10,H1139=$B$11,H1139=$B$12,H1139=$B$13,H1139=$B$14),SottocategorieUscite[[#Headers],[Fuori Casa]],IF(OR(H1139=$C$5,H1139=$C$6,H1139=$C$7,H1139=$C$8,H1139=$C$9,H1139=$C$10,H1139=$C$11,H1139=$C$12,H1139=$C$13,H1139=$C$14),SottocategorieUscite[[#Headers],[Varie Uscite]],IF(OR(H1139=$D$5,H1139=$D$6,H1139=$D$7,H1139=$D$8,H1139=$D$9,H1139=$D$10,H1139=$D$11,H1139=$D$12,H1139=$D$13,H1139=$D$14),SottocategorieUscite[[#Headers],[Personali]],IF(OR(H1139=$E$5,H1139=$E$6,H1139=$E$7,H1139=$E$8,H1139=$E$9,H1139=$E$10,H1139=$E$11,H1139=$E$12,H1139=$E$13,H1139=$E$14),SottocategorieUscite[[#Headers],[Lavoro]],IF(OR(H1139=$F$5,H1139=$F$6,H1139=$F$7,H1139=$F$8,H1139=$F$9,H1139=$F$10,H1139=$F$11,H1139=$F$12,H1139=$F$13,H1139=$F$14),SottocategorieUscite[[#Headers],[Casa]],IF(OR(H1139=$G$5,H1139=$G$6,H1139=$G$7,H1139=$G$8,H1139=$G$9,H1139=$G$10,H1139=$G$11,H1139=$G$12,H1139=$G$13,H1139=$G$14),SottocategorieUscite[[#Headers],[Utenze]],IF(OR(H1139=$H$5,H1139=$H$6,H1139=$H$7,H1139=$H$8,H1139=$H$9,H1139=$H$10,H1139=$H$11,H1139=$H$12,H1139=$H$13,H1139=$H$14),SottocategorieUscite[[#Headers],[Business Uscite]],IF(OR(H1139=$I$5,H1139=$I$6,H1139=$I$7,H1139=$I$8,H1139=$I$9,H1139=$I$10,H1139=$I$11,H1139=$I$12,H1139=$I$13,H1139=$I$14),SottocategorieUscite[[#Headers],[Banca]],IF(OR(H1139=K$5,H1139=K$6,H1139=K$7,H1139=K$8,H1139=K$9,H1139=K$10,H1139=K$11,H1139=K$12,H1139=K$13,H1139=K$14),SottocategorieEntrate[[#Headers],[Business Entrate]],IF(OR(H1139=L$5,H1139=L$6,H1139=L$7,H1139=L$8,H1139=L$9,H1139=L$10,H1139=L$11,H1139=L$12,H1139=L$13,H1139=L$14),SottocategorieEntrate[[#Headers],[Varie Entrate]],IF(OR(H1139=M$5,H1139=M$6,H1139=M$7,H1139=M$8,H1139=M$9,H1139=M$10,H1139=M$11,H1139=M$12,H1139=M$13,H1139=M$14),SottocategorieEntrate[[#Headers],[Real Estate]],IF(OR(H1139=N$5,H1139=N$6,H1139=N$7,H1139=N$8,H1139=N$9,H1139=N$10,H1139=N$11,H1139=N$12,H1139=N$13,H1139=N$14),SottocategorieEntrate[[#Headers],[Other]],""))))))))))))</f>
        <v/>
      </c>
      <c r="J1139" t="str">
        <f>IF(OR(Dati[[#This Row],[Categoria]]="Bollette",Dati[[#This Row],[Categoria]]="Conto &amp; Carte BNL",Dati[[#This Row],[Categoria]]="Prelievo",Dati[[#This Row],[Categoria]]="Affitto",Dati[[#This Row],[Categoria]]="BNL(Interessi Creditori)"),"Carta",IF(Dati[[#This Row],[Categoria]]&lt;&gt;0,"Cash",""))</f>
        <v/>
      </c>
      <c r="K1139" s="59" t="str">
        <f>IF(OR(Data!$I1139=SottocategorieUscite[[#Headers],[Fuori Casa]],Data!$I1139=SottocategorieUscite[[#Headers],[Varie Uscite]],Data!$I1139=SottocategorieUscite[[#Headers],[Personali]],Data!$I1139=SottocategorieUscite[[#Headers],[Lavoro]]),"$ -","")</f>
        <v/>
      </c>
      <c r="L1139" s="59" t="str">
        <f>IF(OR(Data!$I1139=SottocategorieUscite[[#Headers],[Casa]],Data!$I1139=SottocategorieUscite[[#Headers],[Utenze]],Data!$I1139=SottocategorieUscite[[#Headers],[Business Uscite]],Data!$I1139=SottocategorieUscite[[#Headers],[Banca]]),"$ -","")</f>
        <v/>
      </c>
      <c r="M1139" s="59" t="str">
        <f>IF(OR($I1139&lt;&gt;SottocategorieUscite[[#Headers],[Fuori Casa]],$I1139&lt;&gt;SottocategorieUscite[[#Headers],[Varie Uscite]],$I1139&lt;&gt;SottocategorieUscite[[#Headers],[Personali]],$I1139&lt;&gt;SottocategorieUscite[[#Headers],[Lavoro]],$I1139&lt;&gt;SottocategorieUscite[[#Headers],[Casa]],$I1139&lt;&gt;SottocategorieUscite[[#Headers],[Utenze]],$I1139&lt;&gt;SottocategorieUscite[[#Headers],[Business Uscite]],$I1139&lt;&gt;SottocategorieUscite[[#Headers],[Banca]]),"","$ -")</f>
        <v/>
      </c>
      <c r="N1139" s="59" t="str">
        <f>IF(OR(Data!$I1139=SottocategorieEntrate[[#Headers],[Business Entrate]],Data!$I1139=SottocategorieEntrate[[#Headers],[Varie Entrate]]),"$ -","")</f>
        <v/>
      </c>
      <c r="O1139" s="59" t="str">
        <f>IF(OR(Data!$I1139=SottocategorieEntrate[[#Headers],[Real Estate]],SottocategorieEntrate[[#Headers],[Other]]),"$ -","")</f>
        <v/>
      </c>
      <c r="P1139" s="59" t="str">
        <f>IF(OR($I1139&lt;&gt;SottocategorieEntrate[[#Headers],[Business Entrate]],$I1139&lt;&gt;SottocategorieEntrate[[#Headers],[Varie Entrate]],$I1139&lt;&gt;SottocategorieEntrate[[#Headers],[Real Estate]],$I1139&lt;&gt;SottocategorieEntrate[[#Headers],[Other]]),"","$ -")</f>
        <v/>
      </c>
      <c r="Q1139" s="59" t="str">
        <f>IF(Dati[[#This Row],[Categoria]]="Prelievo","€ -","")</f>
        <v/>
      </c>
      <c r="R1139" s="244"/>
      <c r="S1139" s="59" t="str">
        <f>IF(Dati[[#This Row],[Categoria]]="Savings",0,"")</f>
        <v/>
      </c>
      <c r="T1139" s="59"/>
      <c r="U1139" s="59"/>
      <c r="V1139" s="59"/>
      <c r="W1139" s="59"/>
      <c r="X1139" s="59"/>
      <c r="Y1139" s="59"/>
      <c r="Z1139" s="59"/>
      <c r="AA1139" s="59"/>
      <c r="AB1139" s="59"/>
      <c r="AC1139" s="59"/>
      <c r="AD1139" s="59"/>
      <c r="AE1139" s="59"/>
      <c r="AF1139" s="59"/>
      <c r="AG1139" s="59"/>
      <c r="AH1139" s="59"/>
      <c r="AI1139" s="59" t="str">
        <f>IF(SUM(Dati[[#This Row],[Inv. Business]:[Inv. Cryptocurrency]])=0," ",SUM(Dati[[#This Row],[Inv. Business]:[Inv. Cryptocurrency]]))</f>
        <v xml:space="preserve"> </v>
      </c>
      <c r="AJ1139" s="59"/>
      <c r="AK1139" s="59" t="str">
        <f>IF(SUM(Dati[[#This Row],[Inv. Gold]:[Mutuo]])=0," ",SUM(Dati[[#This Row],[Inv. Gold]:[Mutuo]]))</f>
        <v xml:space="preserve"> </v>
      </c>
      <c r="AL1139" s="59"/>
      <c r="AM1139" s="59"/>
    </row>
    <row r="1140" spans="2:39" x14ac:dyDescent="0.35">
      <c r="B1140" s="237">
        <f t="shared" si="61"/>
        <v>1119</v>
      </c>
      <c r="C1140" s="49">
        <f t="shared" si="60"/>
        <v>45751</v>
      </c>
      <c r="D1140" s="29">
        <f>DAY(Dati[[#This Row],[Data]])</f>
        <v>4</v>
      </c>
      <c r="E1140" s="29" t="str">
        <f>IF(DAY(Data!$C$21:$C$1327)&gt;0,TEXT(Data!$C$21:$C$1327, "mmmm"),"")</f>
        <v>aprile</v>
      </c>
      <c r="F1140" s="29" t="str">
        <f>IF(DAY(Data!$C$21:$C$1327)&gt;0,TEXT(Data!$C$21:$C$1327, "aaaa"),"")</f>
        <v>2025</v>
      </c>
      <c r="I1140" t="str">
        <f>IF(OR(H1140=$B$5,H1140=$B$6,H1140=$B$7,H1140=$B$8,H1140=$B$9,H1140=$B$10,H1140=$B$11,H1140=$B$12,H1140=$B$13,H1140=$B$14),SottocategorieUscite[[#Headers],[Fuori Casa]],IF(OR(H1140=$C$5,H1140=$C$6,H1140=$C$7,H1140=$C$8,H1140=$C$9,H1140=$C$10,H1140=$C$11,H1140=$C$12,H1140=$C$13,H1140=$C$14),SottocategorieUscite[[#Headers],[Varie Uscite]],IF(OR(H1140=$D$5,H1140=$D$6,H1140=$D$7,H1140=$D$8,H1140=$D$9,H1140=$D$10,H1140=$D$11,H1140=$D$12,H1140=$D$13,H1140=$D$14),SottocategorieUscite[[#Headers],[Personali]],IF(OR(H1140=$E$5,H1140=$E$6,H1140=$E$7,H1140=$E$8,H1140=$E$9,H1140=$E$10,H1140=$E$11,H1140=$E$12,H1140=$E$13,H1140=$E$14),SottocategorieUscite[[#Headers],[Lavoro]],IF(OR(H1140=$F$5,H1140=$F$6,H1140=$F$7,H1140=$F$8,H1140=$F$9,H1140=$F$10,H1140=$F$11,H1140=$F$12,H1140=$F$13,H1140=$F$14),SottocategorieUscite[[#Headers],[Casa]],IF(OR(H1140=$G$5,H1140=$G$6,H1140=$G$7,H1140=$G$8,H1140=$G$9,H1140=$G$10,H1140=$G$11,H1140=$G$12,H1140=$G$13,H1140=$G$14),SottocategorieUscite[[#Headers],[Utenze]],IF(OR(H1140=$H$5,H1140=$H$6,H1140=$H$7,H1140=$H$8,H1140=$H$9,H1140=$H$10,H1140=$H$11,H1140=$H$12,H1140=$H$13,H1140=$H$14),SottocategorieUscite[[#Headers],[Business Uscite]],IF(OR(H1140=$I$5,H1140=$I$6,H1140=$I$7,H1140=$I$8,H1140=$I$9,H1140=$I$10,H1140=$I$11,H1140=$I$12,H1140=$I$13,H1140=$I$14),SottocategorieUscite[[#Headers],[Banca]],IF(OR(H1140=K$5,H1140=K$6,H1140=K$7,H1140=K$8,H1140=K$9,H1140=K$10,H1140=K$11,H1140=K$12,H1140=K$13,H1140=K$14),SottocategorieEntrate[[#Headers],[Business Entrate]],IF(OR(H1140=L$5,H1140=L$6,H1140=L$7,H1140=L$8,H1140=L$9,H1140=L$10,H1140=L$11,H1140=L$12,H1140=L$13,H1140=L$14),SottocategorieEntrate[[#Headers],[Varie Entrate]],IF(OR(H1140=M$5,H1140=M$6,H1140=M$7,H1140=M$8,H1140=M$9,H1140=M$10,H1140=M$11,H1140=M$12,H1140=M$13,H1140=M$14),SottocategorieEntrate[[#Headers],[Real Estate]],IF(OR(H1140=N$5,H1140=N$6,H1140=N$7,H1140=N$8,H1140=N$9,H1140=N$10,H1140=N$11,H1140=N$12,H1140=N$13,H1140=N$14),SottocategorieEntrate[[#Headers],[Other]],""))))))))))))</f>
        <v/>
      </c>
      <c r="J1140" t="str">
        <f>IF(OR(Dati[[#This Row],[Categoria]]="Bollette",Dati[[#This Row],[Categoria]]="Conto &amp; Carte BNL",Dati[[#This Row],[Categoria]]="Prelievo",Dati[[#This Row],[Categoria]]="Affitto",Dati[[#This Row],[Categoria]]="BNL(Interessi Creditori)"),"Carta",IF(Dati[[#This Row],[Categoria]]&lt;&gt;0,"Cash",""))</f>
        <v/>
      </c>
      <c r="K1140" s="59" t="str">
        <f>IF(OR(Data!$I1140=SottocategorieUscite[[#Headers],[Fuori Casa]],Data!$I1140=SottocategorieUscite[[#Headers],[Varie Uscite]],Data!$I1140=SottocategorieUscite[[#Headers],[Personali]],Data!$I1140=SottocategorieUscite[[#Headers],[Lavoro]]),"$ -","")</f>
        <v/>
      </c>
      <c r="L1140" s="59" t="str">
        <f>IF(OR(Data!$I1140=SottocategorieUscite[[#Headers],[Casa]],Data!$I1140=SottocategorieUscite[[#Headers],[Utenze]],Data!$I1140=SottocategorieUscite[[#Headers],[Business Uscite]],Data!$I1140=SottocategorieUscite[[#Headers],[Banca]]),"$ -","")</f>
        <v/>
      </c>
      <c r="M1140" s="59" t="str">
        <f>IF(OR($I1140&lt;&gt;SottocategorieUscite[[#Headers],[Fuori Casa]],$I1140&lt;&gt;SottocategorieUscite[[#Headers],[Varie Uscite]],$I1140&lt;&gt;SottocategorieUscite[[#Headers],[Personali]],$I1140&lt;&gt;SottocategorieUscite[[#Headers],[Lavoro]],$I1140&lt;&gt;SottocategorieUscite[[#Headers],[Casa]],$I1140&lt;&gt;SottocategorieUscite[[#Headers],[Utenze]],$I1140&lt;&gt;SottocategorieUscite[[#Headers],[Business Uscite]],$I1140&lt;&gt;SottocategorieUscite[[#Headers],[Banca]]),"","$ -")</f>
        <v/>
      </c>
      <c r="N1140" s="59" t="str">
        <f>IF(OR(Data!$I1140=SottocategorieEntrate[[#Headers],[Business Entrate]],Data!$I1140=SottocategorieEntrate[[#Headers],[Varie Entrate]]),"$ -","")</f>
        <v/>
      </c>
      <c r="O1140" s="59" t="str">
        <f>IF(OR(Data!$I1140=SottocategorieEntrate[[#Headers],[Real Estate]],SottocategorieEntrate[[#Headers],[Other]]),"$ -","")</f>
        <v/>
      </c>
      <c r="P1140" s="59" t="str">
        <f>IF(OR($I1140&lt;&gt;SottocategorieEntrate[[#Headers],[Business Entrate]],$I1140&lt;&gt;SottocategorieEntrate[[#Headers],[Varie Entrate]],$I1140&lt;&gt;SottocategorieEntrate[[#Headers],[Real Estate]],$I1140&lt;&gt;SottocategorieEntrate[[#Headers],[Other]]),"","$ -")</f>
        <v/>
      </c>
      <c r="Q1140" s="59" t="str">
        <f>IF(Dati[[#This Row],[Categoria]]="Prelievo","€ -","")</f>
        <v/>
      </c>
      <c r="R1140" s="244"/>
      <c r="S1140" s="59" t="str">
        <f>IF(Dati[[#This Row],[Categoria]]="Savings",0,"")</f>
        <v/>
      </c>
      <c r="T1140" s="59"/>
      <c r="U1140" s="59"/>
      <c r="V1140" s="59"/>
      <c r="W1140" s="59"/>
      <c r="X1140" s="59"/>
      <c r="Y1140" s="59"/>
      <c r="Z1140" s="59"/>
      <c r="AA1140" s="59"/>
      <c r="AB1140" s="59"/>
      <c r="AC1140" s="59"/>
      <c r="AD1140" s="59"/>
      <c r="AE1140" s="59"/>
      <c r="AF1140" s="59"/>
      <c r="AG1140" s="59"/>
      <c r="AH1140" s="59"/>
      <c r="AI1140" s="59" t="str">
        <f>IF(SUM(Dati[[#This Row],[Inv. Business]:[Inv. Cryptocurrency]])=0," ",SUM(Dati[[#This Row],[Inv. Business]:[Inv. Cryptocurrency]]))</f>
        <v xml:space="preserve"> </v>
      </c>
      <c r="AJ1140" s="59"/>
      <c r="AK1140" s="59" t="str">
        <f>IF(SUM(Dati[[#This Row],[Inv. Gold]:[Mutuo]])=0," ",SUM(Dati[[#This Row],[Inv. Gold]:[Mutuo]]))</f>
        <v xml:space="preserve"> </v>
      </c>
      <c r="AL1140" s="59"/>
      <c r="AM1140" s="59"/>
    </row>
    <row r="1141" spans="2:39" x14ac:dyDescent="0.35">
      <c r="B1141" s="237">
        <f t="shared" si="61"/>
        <v>1120</v>
      </c>
      <c r="C1141" s="49">
        <f t="shared" si="60"/>
        <v>45752</v>
      </c>
      <c r="D1141" s="29">
        <f>DAY(Dati[[#This Row],[Data]])</f>
        <v>5</v>
      </c>
      <c r="E1141" s="29" t="str">
        <f>IF(DAY(Data!$C$21:$C$1327)&gt;0,TEXT(Data!$C$21:$C$1327, "mmmm"),"")</f>
        <v>aprile</v>
      </c>
      <c r="F1141" s="29" t="str">
        <f>IF(DAY(Data!$C$21:$C$1327)&gt;0,TEXT(Data!$C$21:$C$1327, "aaaa"),"")</f>
        <v>2025</v>
      </c>
      <c r="I1141" t="str">
        <f>IF(OR(H1141=$B$5,H1141=$B$6,H1141=$B$7,H1141=$B$8,H1141=$B$9,H1141=$B$10,H1141=$B$11,H1141=$B$12,H1141=$B$13,H1141=$B$14),SottocategorieUscite[[#Headers],[Fuori Casa]],IF(OR(H1141=$C$5,H1141=$C$6,H1141=$C$7,H1141=$C$8,H1141=$C$9,H1141=$C$10,H1141=$C$11,H1141=$C$12,H1141=$C$13,H1141=$C$14),SottocategorieUscite[[#Headers],[Varie Uscite]],IF(OR(H1141=$D$5,H1141=$D$6,H1141=$D$7,H1141=$D$8,H1141=$D$9,H1141=$D$10,H1141=$D$11,H1141=$D$12,H1141=$D$13,H1141=$D$14),SottocategorieUscite[[#Headers],[Personali]],IF(OR(H1141=$E$5,H1141=$E$6,H1141=$E$7,H1141=$E$8,H1141=$E$9,H1141=$E$10,H1141=$E$11,H1141=$E$12,H1141=$E$13,H1141=$E$14),SottocategorieUscite[[#Headers],[Lavoro]],IF(OR(H1141=$F$5,H1141=$F$6,H1141=$F$7,H1141=$F$8,H1141=$F$9,H1141=$F$10,H1141=$F$11,H1141=$F$12,H1141=$F$13,H1141=$F$14),SottocategorieUscite[[#Headers],[Casa]],IF(OR(H1141=$G$5,H1141=$G$6,H1141=$G$7,H1141=$G$8,H1141=$G$9,H1141=$G$10,H1141=$G$11,H1141=$G$12,H1141=$G$13,H1141=$G$14),SottocategorieUscite[[#Headers],[Utenze]],IF(OR(H1141=$H$5,H1141=$H$6,H1141=$H$7,H1141=$H$8,H1141=$H$9,H1141=$H$10,H1141=$H$11,H1141=$H$12,H1141=$H$13,H1141=$H$14),SottocategorieUscite[[#Headers],[Business Uscite]],IF(OR(H1141=$I$5,H1141=$I$6,H1141=$I$7,H1141=$I$8,H1141=$I$9,H1141=$I$10,H1141=$I$11,H1141=$I$12,H1141=$I$13,H1141=$I$14),SottocategorieUscite[[#Headers],[Banca]],IF(OR(H1141=K$5,H1141=K$6,H1141=K$7,H1141=K$8,H1141=K$9,H1141=K$10,H1141=K$11,H1141=K$12,H1141=K$13,H1141=K$14),SottocategorieEntrate[[#Headers],[Business Entrate]],IF(OR(H1141=L$5,H1141=L$6,H1141=L$7,H1141=L$8,H1141=L$9,H1141=L$10,H1141=L$11,H1141=L$12,H1141=L$13,H1141=L$14),SottocategorieEntrate[[#Headers],[Varie Entrate]],IF(OR(H1141=M$5,H1141=M$6,H1141=M$7,H1141=M$8,H1141=M$9,H1141=M$10,H1141=M$11,H1141=M$12,H1141=M$13,H1141=M$14),SottocategorieEntrate[[#Headers],[Real Estate]],IF(OR(H1141=N$5,H1141=N$6,H1141=N$7,H1141=N$8,H1141=N$9,H1141=N$10,H1141=N$11,H1141=N$12,H1141=N$13,H1141=N$14),SottocategorieEntrate[[#Headers],[Other]],""))))))))))))</f>
        <v/>
      </c>
      <c r="J1141" t="str">
        <f>IF(OR(Dati[[#This Row],[Categoria]]="Bollette",Dati[[#This Row],[Categoria]]="Conto &amp; Carte BNL",Dati[[#This Row],[Categoria]]="Prelievo",Dati[[#This Row],[Categoria]]="Affitto",Dati[[#This Row],[Categoria]]="BNL(Interessi Creditori)"),"Carta",IF(Dati[[#This Row],[Categoria]]&lt;&gt;0,"Cash",""))</f>
        <v/>
      </c>
      <c r="K1141" s="59" t="str">
        <f>IF(OR(Data!$I1141=SottocategorieUscite[[#Headers],[Fuori Casa]],Data!$I1141=SottocategorieUscite[[#Headers],[Varie Uscite]],Data!$I1141=SottocategorieUscite[[#Headers],[Personali]],Data!$I1141=SottocategorieUscite[[#Headers],[Lavoro]]),"$ -","")</f>
        <v/>
      </c>
      <c r="L1141" s="59" t="str">
        <f>IF(OR(Data!$I1141=SottocategorieUscite[[#Headers],[Casa]],Data!$I1141=SottocategorieUscite[[#Headers],[Utenze]],Data!$I1141=SottocategorieUscite[[#Headers],[Business Uscite]],Data!$I1141=SottocategorieUscite[[#Headers],[Banca]]),"$ -","")</f>
        <v/>
      </c>
      <c r="M1141" s="59" t="str">
        <f>IF(OR($I1141&lt;&gt;SottocategorieUscite[[#Headers],[Fuori Casa]],$I1141&lt;&gt;SottocategorieUscite[[#Headers],[Varie Uscite]],$I1141&lt;&gt;SottocategorieUscite[[#Headers],[Personali]],$I1141&lt;&gt;SottocategorieUscite[[#Headers],[Lavoro]],$I1141&lt;&gt;SottocategorieUscite[[#Headers],[Casa]],$I1141&lt;&gt;SottocategorieUscite[[#Headers],[Utenze]],$I1141&lt;&gt;SottocategorieUscite[[#Headers],[Business Uscite]],$I1141&lt;&gt;SottocategorieUscite[[#Headers],[Banca]]),"","$ -")</f>
        <v/>
      </c>
      <c r="N1141" s="59" t="str">
        <f>IF(OR(Data!$I1141=SottocategorieEntrate[[#Headers],[Business Entrate]],Data!$I1141=SottocategorieEntrate[[#Headers],[Varie Entrate]]),"$ -","")</f>
        <v/>
      </c>
      <c r="O1141" s="59" t="str">
        <f>IF(OR(Data!$I1141=SottocategorieEntrate[[#Headers],[Real Estate]],SottocategorieEntrate[[#Headers],[Other]]),"$ -","")</f>
        <v/>
      </c>
      <c r="P1141" s="59" t="str">
        <f>IF(OR($I1141&lt;&gt;SottocategorieEntrate[[#Headers],[Business Entrate]],$I1141&lt;&gt;SottocategorieEntrate[[#Headers],[Varie Entrate]],$I1141&lt;&gt;SottocategorieEntrate[[#Headers],[Real Estate]],$I1141&lt;&gt;SottocategorieEntrate[[#Headers],[Other]]),"","$ -")</f>
        <v/>
      </c>
      <c r="Q1141" s="59" t="str">
        <f>IF(Dati[[#This Row],[Categoria]]="Prelievo","€ -","")</f>
        <v/>
      </c>
      <c r="R1141" s="244"/>
      <c r="S1141" s="59" t="str">
        <f>IF(Dati[[#This Row],[Categoria]]="Savings",0,"")</f>
        <v/>
      </c>
      <c r="T1141" s="59"/>
      <c r="U1141" s="59"/>
      <c r="V1141" s="59"/>
      <c r="W1141" s="59"/>
      <c r="X1141" s="59"/>
      <c r="Y1141" s="59"/>
      <c r="Z1141" s="59"/>
      <c r="AA1141" s="59"/>
      <c r="AB1141" s="59"/>
      <c r="AC1141" s="59"/>
      <c r="AD1141" s="59"/>
      <c r="AE1141" s="59"/>
      <c r="AF1141" s="59"/>
      <c r="AG1141" s="59"/>
      <c r="AH1141" s="59"/>
      <c r="AI1141" s="59" t="str">
        <f>IF(SUM(Dati[[#This Row],[Inv. Business]:[Inv. Cryptocurrency]])=0," ",SUM(Dati[[#This Row],[Inv. Business]:[Inv. Cryptocurrency]]))</f>
        <v xml:space="preserve"> </v>
      </c>
      <c r="AJ1141" s="59"/>
      <c r="AK1141" s="59" t="str">
        <f>IF(SUM(Dati[[#This Row],[Inv. Gold]:[Mutuo]])=0," ",SUM(Dati[[#This Row],[Inv. Gold]:[Mutuo]]))</f>
        <v xml:space="preserve"> </v>
      </c>
      <c r="AL1141" s="59"/>
      <c r="AM1141" s="59"/>
    </row>
    <row r="1142" spans="2:39" x14ac:dyDescent="0.35">
      <c r="B1142" s="237">
        <f t="shared" si="61"/>
        <v>1121</v>
      </c>
      <c r="C1142" s="49">
        <f t="shared" si="60"/>
        <v>45753</v>
      </c>
      <c r="D1142" s="29">
        <f>DAY(Dati[[#This Row],[Data]])</f>
        <v>6</v>
      </c>
      <c r="E1142" s="29" t="str">
        <f>IF(DAY(Data!$C$21:$C$1327)&gt;0,TEXT(Data!$C$21:$C$1327, "mmmm"),"")</f>
        <v>aprile</v>
      </c>
      <c r="F1142" s="29" t="str">
        <f>IF(DAY(Data!$C$21:$C$1327)&gt;0,TEXT(Data!$C$21:$C$1327, "aaaa"),"")</f>
        <v>2025</v>
      </c>
      <c r="I1142" t="str">
        <f>IF(OR(H1142=$B$5,H1142=$B$6,H1142=$B$7,H1142=$B$8,H1142=$B$9,H1142=$B$10,H1142=$B$11,H1142=$B$12,H1142=$B$13,H1142=$B$14),SottocategorieUscite[[#Headers],[Fuori Casa]],IF(OR(H1142=$C$5,H1142=$C$6,H1142=$C$7,H1142=$C$8,H1142=$C$9,H1142=$C$10,H1142=$C$11,H1142=$C$12,H1142=$C$13,H1142=$C$14),SottocategorieUscite[[#Headers],[Varie Uscite]],IF(OR(H1142=$D$5,H1142=$D$6,H1142=$D$7,H1142=$D$8,H1142=$D$9,H1142=$D$10,H1142=$D$11,H1142=$D$12,H1142=$D$13,H1142=$D$14),SottocategorieUscite[[#Headers],[Personali]],IF(OR(H1142=$E$5,H1142=$E$6,H1142=$E$7,H1142=$E$8,H1142=$E$9,H1142=$E$10,H1142=$E$11,H1142=$E$12,H1142=$E$13,H1142=$E$14),SottocategorieUscite[[#Headers],[Lavoro]],IF(OR(H1142=$F$5,H1142=$F$6,H1142=$F$7,H1142=$F$8,H1142=$F$9,H1142=$F$10,H1142=$F$11,H1142=$F$12,H1142=$F$13,H1142=$F$14),SottocategorieUscite[[#Headers],[Casa]],IF(OR(H1142=$G$5,H1142=$G$6,H1142=$G$7,H1142=$G$8,H1142=$G$9,H1142=$G$10,H1142=$G$11,H1142=$G$12,H1142=$G$13,H1142=$G$14),SottocategorieUscite[[#Headers],[Utenze]],IF(OR(H1142=$H$5,H1142=$H$6,H1142=$H$7,H1142=$H$8,H1142=$H$9,H1142=$H$10,H1142=$H$11,H1142=$H$12,H1142=$H$13,H1142=$H$14),SottocategorieUscite[[#Headers],[Business Uscite]],IF(OR(H1142=$I$5,H1142=$I$6,H1142=$I$7,H1142=$I$8,H1142=$I$9,H1142=$I$10,H1142=$I$11,H1142=$I$12,H1142=$I$13,H1142=$I$14),SottocategorieUscite[[#Headers],[Banca]],IF(OR(H1142=K$5,H1142=K$6,H1142=K$7,H1142=K$8,H1142=K$9,H1142=K$10,H1142=K$11,H1142=K$12,H1142=K$13,H1142=K$14),SottocategorieEntrate[[#Headers],[Business Entrate]],IF(OR(H1142=L$5,H1142=L$6,H1142=L$7,H1142=L$8,H1142=L$9,H1142=L$10,H1142=L$11,H1142=L$12,H1142=L$13,H1142=L$14),SottocategorieEntrate[[#Headers],[Varie Entrate]],IF(OR(H1142=M$5,H1142=M$6,H1142=M$7,H1142=M$8,H1142=M$9,H1142=M$10,H1142=M$11,H1142=M$12,H1142=M$13,H1142=M$14),SottocategorieEntrate[[#Headers],[Real Estate]],IF(OR(H1142=N$5,H1142=N$6,H1142=N$7,H1142=N$8,H1142=N$9,H1142=N$10,H1142=N$11,H1142=N$12,H1142=N$13,H1142=N$14),SottocategorieEntrate[[#Headers],[Other]],""))))))))))))</f>
        <v/>
      </c>
      <c r="J1142" t="str">
        <f>IF(OR(Dati[[#This Row],[Categoria]]="Bollette",Dati[[#This Row],[Categoria]]="Conto &amp; Carte BNL",Dati[[#This Row],[Categoria]]="Prelievo",Dati[[#This Row],[Categoria]]="Affitto",Dati[[#This Row],[Categoria]]="BNL(Interessi Creditori)"),"Carta",IF(Dati[[#This Row],[Categoria]]&lt;&gt;0,"Cash",""))</f>
        <v/>
      </c>
      <c r="K1142" s="59" t="str">
        <f>IF(OR(Data!$I1142=SottocategorieUscite[[#Headers],[Fuori Casa]],Data!$I1142=SottocategorieUscite[[#Headers],[Varie Uscite]],Data!$I1142=SottocategorieUscite[[#Headers],[Personali]],Data!$I1142=SottocategorieUscite[[#Headers],[Lavoro]]),"$ -","")</f>
        <v/>
      </c>
      <c r="L1142" s="59" t="str">
        <f>IF(OR(Data!$I1142=SottocategorieUscite[[#Headers],[Casa]],Data!$I1142=SottocategorieUscite[[#Headers],[Utenze]],Data!$I1142=SottocategorieUscite[[#Headers],[Business Uscite]],Data!$I1142=SottocategorieUscite[[#Headers],[Banca]]),"$ -","")</f>
        <v/>
      </c>
      <c r="M1142" s="59" t="str">
        <f>IF(OR($I1142&lt;&gt;SottocategorieUscite[[#Headers],[Fuori Casa]],$I1142&lt;&gt;SottocategorieUscite[[#Headers],[Varie Uscite]],$I1142&lt;&gt;SottocategorieUscite[[#Headers],[Personali]],$I1142&lt;&gt;SottocategorieUscite[[#Headers],[Lavoro]],$I1142&lt;&gt;SottocategorieUscite[[#Headers],[Casa]],$I1142&lt;&gt;SottocategorieUscite[[#Headers],[Utenze]],$I1142&lt;&gt;SottocategorieUscite[[#Headers],[Business Uscite]],$I1142&lt;&gt;SottocategorieUscite[[#Headers],[Banca]]),"","$ -")</f>
        <v/>
      </c>
      <c r="N1142" s="59" t="str">
        <f>IF(OR(Data!$I1142=SottocategorieEntrate[[#Headers],[Business Entrate]],Data!$I1142=SottocategorieEntrate[[#Headers],[Varie Entrate]]),"$ -","")</f>
        <v/>
      </c>
      <c r="O1142" s="59" t="str">
        <f>IF(OR(Data!$I1142=SottocategorieEntrate[[#Headers],[Real Estate]],SottocategorieEntrate[[#Headers],[Other]]),"$ -","")</f>
        <v/>
      </c>
      <c r="P1142" s="59" t="str">
        <f>IF(OR($I1142&lt;&gt;SottocategorieEntrate[[#Headers],[Business Entrate]],$I1142&lt;&gt;SottocategorieEntrate[[#Headers],[Varie Entrate]],$I1142&lt;&gt;SottocategorieEntrate[[#Headers],[Real Estate]],$I1142&lt;&gt;SottocategorieEntrate[[#Headers],[Other]]),"","$ -")</f>
        <v/>
      </c>
      <c r="Q1142" s="59" t="str">
        <f>IF(Dati[[#This Row],[Categoria]]="Prelievo","€ -","")</f>
        <v/>
      </c>
      <c r="R1142" s="244"/>
      <c r="S1142" s="59" t="str">
        <f>IF(Dati[[#This Row],[Categoria]]="Savings",0,"")</f>
        <v/>
      </c>
      <c r="T1142" s="59"/>
      <c r="U1142" s="59"/>
      <c r="V1142" s="59"/>
      <c r="W1142" s="59"/>
      <c r="X1142" s="59"/>
      <c r="Y1142" s="59"/>
      <c r="Z1142" s="59"/>
      <c r="AA1142" s="59"/>
      <c r="AB1142" s="59"/>
      <c r="AC1142" s="59"/>
      <c r="AD1142" s="59"/>
      <c r="AE1142" s="59"/>
      <c r="AF1142" s="59"/>
      <c r="AG1142" s="59"/>
      <c r="AH1142" s="59"/>
      <c r="AI1142" s="59" t="str">
        <f>IF(SUM(Dati[[#This Row],[Inv. Business]:[Inv. Cryptocurrency]])=0," ",SUM(Dati[[#This Row],[Inv. Business]:[Inv. Cryptocurrency]]))</f>
        <v xml:space="preserve"> </v>
      </c>
      <c r="AJ1142" s="59"/>
      <c r="AK1142" s="59" t="str">
        <f>IF(SUM(Dati[[#This Row],[Inv. Gold]:[Mutuo]])=0," ",SUM(Dati[[#This Row],[Inv. Gold]:[Mutuo]]))</f>
        <v xml:space="preserve"> </v>
      </c>
      <c r="AL1142" s="59"/>
      <c r="AM1142" s="59"/>
    </row>
    <row r="1143" spans="2:39" x14ac:dyDescent="0.35">
      <c r="B1143" s="237">
        <f t="shared" si="61"/>
        <v>1122</v>
      </c>
      <c r="C1143" s="49">
        <f t="shared" si="60"/>
        <v>45754</v>
      </c>
      <c r="D1143" s="29">
        <f>DAY(Dati[[#This Row],[Data]])</f>
        <v>7</v>
      </c>
      <c r="E1143" s="29" t="str">
        <f>IF(DAY(Data!$C$21:$C$1327)&gt;0,TEXT(Data!$C$21:$C$1327, "mmmm"),"")</f>
        <v>aprile</v>
      </c>
      <c r="F1143" s="29" t="str">
        <f>IF(DAY(Data!$C$21:$C$1327)&gt;0,TEXT(Data!$C$21:$C$1327, "aaaa"),"")</f>
        <v>2025</v>
      </c>
      <c r="I1143" t="str">
        <f>IF(OR(H1143=$B$5,H1143=$B$6,H1143=$B$7,H1143=$B$8,H1143=$B$9,H1143=$B$10,H1143=$B$11,H1143=$B$12,H1143=$B$13,H1143=$B$14),SottocategorieUscite[[#Headers],[Fuori Casa]],IF(OR(H1143=$C$5,H1143=$C$6,H1143=$C$7,H1143=$C$8,H1143=$C$9,H1143=$C$10,H1143=$C$11,H1143=$C$12,H1143=$C$13,H1143=$C$14),SottocategorieUscite[[#Headers],[Varie Uscite]],IF(OR(H1143=$D$5,H1143=$D$6,H1143=$D$7,H1143=$D$8,H1143=$D$9,H1143=$D$10,H1143=$D$11,H1143=$D$12,H1143=$D$13,H1143=$D$14),SottocategorieUscite[[#Headers],[Personali]],IF(OR(H1143=$E$5,H1143=$E$6,H1143=$E$7,H1143=$E$8,H1143=$E$9,H1143=$E$10,H1143=$E$11,H1143=$E$12,H1143=$E$13,H1143=$E$14),SottocategorieUscite[[#Headers],[Lavoro]],IF(OR(H1143=$F$5,H1143=$F$6,H1143=$F$7,H1143=$F$8,H1143=$F$9,H1143=$F$10,H1143=$F$11,H1143=$F$12,H1143=$F$13,H1143=$F$14),SottocategorieUscite[[#Headers],[Casa]],IF(OR(H1143=$G$5,H1143=$G$6,H1143=$G$7,H1143=$G$8,H1143=$G$9,H1143=$G$10,H1143=$G$11,H1143=$G$12,H1143=$G$13,H1143=$G$14),SottocategorieUscite[[#Headers],[Utenze]],IF(OR(H1143=$H$5,H1143=$H$6,H1143=$H$7,H1143=$H$8,H1143=$H$9,H1143=$H$10,H1143=$H$11,H1143=$H$12,H1143=$H$13,H1143=$H$14),SottocategorieUscite[[#Headers],[Business Uscite]],IF(OR(H1143=$I$5,H1143=$I$6,H1143=$I$7,H1143=$I$8,H1143=$I$9,H1143=$I$10,H1143=$I$11,H1143=$I$12,H1143=$I$13,H1143=$I$14),SottocategorieUscite[[#Headers],[Banca]],IF(OR(H1143=K$5,H1143=K$6,H1143=K$7,H1143=K$8,H1143=K$9,H1143=K$10,H1143=K$11,H1143=K$12,H1143=K$13,H1143=K$14),SottocategorieEntrate[[#Headers],[Business Entrate]],IF(OR(H1143=L$5,H1143=L$6,H1143=L$7,H1143=L$8,H1143=L$9,H1143=L$10,H1143=L$11,H1143=L$12,H1143=L$13,H1143=L$14),SottocategorieEntrate[[#Headers],[Varie Entrate]],IF(OR(H1143=M$5,H1143=M$6,H1143=M$7,H1143=M$8,H1143=M$9,H1143=M$10,H1143=M$11,H1143=M$12,H1143=M$13,H1143=M$14),SottocategorieEntrate[[#Headers],[Real Estate]],IF(OR(H1143=N$5,H1143=N$6,H1143=N$7,H1143=N$8,H1143=N$9,H1143=N$10,H1143=N$11,H1143=N$12,H1143=N$13,H1143=N$14),SottocategorieEntrate[[#Headers],[Other]],""))))))))))))</f>
        <v/>
      </c>
      <c r="J1143" t="str">
        <f>IF(OR(Dati[[#This Row],[Categoria]]="Bollette",Dati[[#This Row],[Categoria]]="Conto &amp; Carte BNL",Dati[[#This Row],[Categoria]]="Prelievo",Dati[[#This Row],[Categoria]]="Affitto",Dati[[#This Row],[Categoria]]="BNL(Interessi Creditori)"),"Carta",IF(Dati[[#This Row],[Categoria]]&lt;&gt;0,"Cash",""))</f>
        <v/>
      </c>
      <c r="K1143" s="59" t="str">
        <f>IF(OR(Data!$I1143=SottocategorieUscite[[#Headers],[Fuori Casa]],Data!$I1143=SottocategorieUscite[[#Headers],[Varie Uscite]],Data!$I1143=SottocategorieUscite[[#Headers],[Personali]],Data!$I1143=SottocategorieUscite[[#Headers],[Lavoro]]),"$ -","")</f>
        <v/>
      </c>
      <c r="L1143" s="59" t="str">
        <f>IF(OR(Data!$I1143=SottocategorieUscite[[#Headers],[Casa]],Data!$I1143=SottocategorieUscite[[#Headers],[Utenze]],Data!$I1143=SottocategorieUscite[[#Headers],[Business Uscite]],Data!$I1143=SottocategorieUscite[[#Headers],[Banca]]),"$ -","")</f>
        <v/>
      </c>
      <c r="M1143" s="59" t="str">
        <f>IF(OR($I1143&lt;&gt;SottocategorieUscite[[#Headers],[Fuori Casa]],$I1143&lt;&gt;SottocategorieUscite[[#Headers],[Varie Uscite]],$I1143&lt;&gt;SottocategorieUscite[[#Headers],[Personali]],$I1143&lt;&gt;SottocategorieUscite[[#Headers],[Lavoro]],$I1143&lt;&gt;SottocategorieUscite[[#Headers],[Casa]],$I1143&lt;&gt;SottocategorieUscite[[#Headers],[Utenze]],$I1143&lt;&gt;SottocategorieUscite[[#Headers],[Business Uscite]],$I1143&lt;&gt;SottocategorieUscite[[#Headers],[Banca]]),"","$ -")</f>
        <v/>
      </c>
      <c r="N1143" s="59" t="str">
        <f>IF(OR(Data!$I1143=SottocategorieEntrate[[#Headers],[Business Entrate]],Data!$I1143=SottocategorieEntrate[[#Headers],[Varie Entrate]]),"$ -","")</f>
        <v/>
      </c>
      <c r="O1143" s="59" t="str">
        <f>IF(OR(Data!$I1143=SottocategorieEntrate[[#Headers],[Real Estate]],SottocategorieEntrate[[#Headers],[Other]]),"$ -","")</f>
        <v/>
      </c>
      <c r="P1143" s="59" t="str">
        <f>IF(OR($I1143&lt;&gt;SottocategorieEntrate[[#Headers],[Business Entrate]],$I1143&lt;&gt;SottocategorieEntrate[[#Headers],[Varie Entrate]],$I1143&lt;&gt;SottocategorieEntrate[[#Headers],[Real Estate]],$I1143&lt;&gt;SottocategorieEntrate[[#Headers],[Other]]),"","$ -")</f>
        <v/>
      </c>
      <c r="Q1143" s="59" t="str">
        <f>IF(Dati[[#This Row],[Categoria]]="Prelievo","€ -","")</f>
        <v/>
      </c>
      <c r="R1143" s="244"/>
      <c r="S1143" s="59" t="str">
        <f>IF(Dati[[#This Row],[Categoria]]="Savings",0,"")</f>
        <v/>
      </c>
      <c r="T1143" s="59"/>
      <c r="U1143" s="59"/>
      <c r="V1143" s="59"/>
      <c r="W1143" s="59"/>
      <c r="X1143" s="59"/>
      <c r="Y1143" s="59"/>
      <c r="Z1143" s="59"/>
      <c r="AA1143" s="59"/>
      <c r="AB1143" s="59"/>
      <c r="AC1143" s="59"/>
      <c r="AD1143" s="59"/>
      <c r="AE1143" s="59"/>
      <c r="AF1143" s="59"/>
      <c r="AG1143" s="59"/>
      <c r="AH1143" s="59"/>
      <c r="AI1143" s="59" t="str">
        <f>IF(SUM(Dati[[#This Row],[Inv. Business]:[Inv. Cryptocurrency]])=0," ",SUM(Dati[[#This Row],[Inv. Business]:[Inv. Cryptocurrency]]))</f>
        <v xml:space="preserve"> </v>
      </c>
      <c r="AJ1143" s="59"/>
      <c r="AK1143" s="59" t="str">
        <f>IF(SUM(Dati[[#This Row],[Inv. Gold]:[Mutuo]])=0," ",SUM(Dati[[#This Row],[Inv. Gold]:[Mutuo]]))</f>
        <v xml:space="preserve"> </v>
      </c>
      <c r="AL1143" s="59"/>
      <c r="AM1143" s="59"/>
    </row>
    <row r="1144" spans="2:39" x14ac:dyDescent="0.35">
      <c r="B1144" s="237">
        <f t="shared" si="61"/>
        <v>1123</v>
      </c>
      <c r="C1144" s="49">
        <f t="shared" si="60"/>
        <v>45755</v>
      </c>
      <c r="D1144" s="29">
        <f>DAY(Dati[[#This Row],[Data]])</f>
        <v>8</v>
      </c>
      <c r="E1144" s="29" t="str">
        <f>IF(DAY(Data!$C$21:$C$1327)&gt;0,TEXT(Data!$C$21:$C$1327, "mmmm"),"")</f>
        <v>aprile</v>
      </c>
      <c r="F1144" s="29" t="str">
        <f>IF(DAY(Data!$C$21:$C$1327)&gt;0,TEXT(Data!$C$21:$C$1327, "aaaa"),"")</f>
        <v>2025</v>
      </c>
      <c r="I1144" t="str">
        <f>IF(OR(H1144=$B$5,H1144=$B$6,H1144=$B$7,H1144=$B$8,H1144=$B$9,H1144=$B$10,H1144=$B$11,H1144=$B$12,H1144=$B$13,H1144=$B$14),SottocategorieUscite[[#Headers],[Fuori Casa]],IF(OR(H1144=$C$5,H1144=$C$6,H1144=$C$7,H1144=$C$8,H1144=$C$9,H1144=$C$10,H1144=$C$11,H1144=$C$12,H1144=$C$13,H1144=$C$14),SottocategorieUscite[[#Headers],[Varie Uscite]],IF(OR(H1144=$D$5,H1144=$D$6,H1144=$D$7,H1144=$D$8,H1144=$D$9,H1144=$D$10,H1144=$D$11,H1144=$D$12,H1144=$D$13,H1144=$D$14),SottocategorieUscite[[#Headers],[Personali]],IF(OR(H1144=$E$5,H1144=$E$6,H1144=$E$7,H1144=$E$8,H1144=$E$9,H1144=$E$10,H1144=$E$11,H1144=$E$12,H1144=$E$13,H1144=$E$14),SottocategorieUscite[[#Headers],[Lavoro]],IF(OR(H1144=$F$5,H1144=$F$6,H1144=$F$7,H1144=$F$8,H1144=$F$9,H1144=$F$10,H1144=$F$11,H1144=$F$12,H1144=$F$13,H1144=$F$14),SottocategorieUscite[[#Headers],[Casa]],IF(OR(H1144=$G$5,H1144=$G$6,H1144=$G$7,H1144=$G$8,H1144=$G$9,H1144=$G$10,H1144=$G$11,H1144=$G$12,H1144=$G$13,H1144=$G$14),SottocategorieUscite[[#Headers],[Utenze]],IF(OR(H1144=$H$5,H1144=$H$6,H1144=$H$7,H1144=$H$8,H1144=$H$9,H1144=$H$10,H1144=$H$11,H1144=$H$12,H1144=$H$13,H1144=$H$14),SottocategorieUscite[[#Headers],[Business Uscite]],IF(OR(H1144=$I$5,H1144=$I$6,H1144=$I$7,H1144=$I$8,H1144=$I$9,H1144=$I$10,H1144=$I$11,H1144=$I$12,H1144=$I$13,H1144=$I$14),SottocategorieUscite[[#Headers],[Banca]],IF(OR(H1144=K$5,H1144=K$6,H1144=K$7,H1144=K$8,H1144=K$9,H1144=K$10,H1144=K$11,H1144=K$12,H1144=K$13,H1144=K$14),SottocategorieEntrate[[#Headers],[Business Entrate]],IF(OR(H1144=L$5,H1144=L$6,H1144=L$7,H1144=L$8,H1144=L$9,H1144=L$10,H1144=L$11,H1144=L$12,H1144=L$13,H1144=L$14),SottocategorieEntrate[[#Headers],[Varie Entrate]],IF(OR(H1144=M$5,H1144=M$6,H1144=M$7,H1144=M$8,H1144=M$9,H1144=M$10,H1144=M$11,H1144=M$12,H1144=M$13,H1144=M$14),SottocategorieEntrate[[#Headers],[Real Estate]],IF(OR(H1144=N$5,H1144=N$6,H1144=N$7,H1144=N$8,H1144=N$9,H1144=N$10,H1144=N$11,H1144=N$12,H1144=N$13,H1144=N$14),SottocategorieEntrate[[#Headers],[Other]],""))))))))))))</f>
        <v/>
      </c>
      <c r="J1144" t="str">
        <f>IF(OR(Dati[[#This Row],[Categoria]]="Bollette",Dati[[#This Row],[Categoria]]="Conto &amp; Carte BNL",Dati[[#This Row],[Categoria]]="Prelievo",Dati[[#This Row],[Categoria]]="Affitto",Dati[[#This Row],[Categoria]]="BNL(Interessi Creditori)"),"Carta",IF(Dati[[#This Row],[Categoria]]&lt;&gt;0,"Cash",""))</f>
        <v/>
      </c>
      <c r="K1144" s="59" t="str">
        <f>IF(OR(Data!$I1144=SottocategorieUscite[[#Headers],[Fuori Casa]],Data!$I1144=SottocategorieUscite[[#Headers],[Varie Uscite]],Data!$I1144=SottocategorieUscite[[#Headers],[Personali]],Data!$I1144=SottocategorieUscite[[#Headers],[Lavoro]]),"$ -","")</f>
        <v/>
      </c>
      <c r="L1144" s="59" t="str">
        <f>IF(OR(Data!$I1144=SottocategorieUscite[[#Headers],[Casa]],Data!$I1144=SottocategorieUscite[[#Headers],[Utenze]],Data!$I1144=SottocategorieUscite[[#Headers],[Business Uscite]],Data!$I1144=SottocategorieUscite[[#Headers],[Banca]]),"$ -","")</f>
        <v/>
      </c>
      <c r="M1144" s="59" t="str">
        <f>IF(OR($I1144&lt;&gt;SottocategorieUscite[[#Headers],[Fuori Casa]],$I1144&lt;&gt;SottocategorieUscite[[#Headers],[Varie Uscite]],$I1144&lt;&gt;SottocategorieUscite[[#Headers],[Personali]],$I1144&lt;&gt;SottocategorieUscite[[#Headers],[Lavoro]],$I1144&lt;&gt;SottocategorieUscite[[#Headers],[Casa]],$I1144&lt;&gt;SottocategorieUscite[[#Headers],[Utenze]],$I1144&lt;&gt;SottocategorieUscite[[#Headers],[Business Uscite]],$I1144&lt;&gt;SottocategorieUscite[[#Headers],[Banca]]),"","$ -")</f>
        <v/>
      </c>
      <c r="N1144" s="59" t="str">
        <f>IF(OR(Data!$I1144=SottocategorieEntrate[[#Headers],[Business Entrate]],Data!$I1144=SottocategorieEntrate[[#Headers],[Varie Entrate]]),"$ -","")</f>
        <v/>
      </c>
      <c r="O1144" s="59" t="str">
        <f>IF(OR(Data!$I1144=SottocategorieEntrate[[#Headers],[Real Estate]],SottocategorieEntrate[[#Headers],[Other]]),"$ -","")</f>
        <v/>
      </c>
      <c r="P1144" s="59" t="str">
        <f>IF(OR($I1144&lt;&gt;SottocategorieEntrate[[#Headers],[Business Entrate]],$I1144&lt;&gt;SottocategorieEntrate[[#Headers],[Varie Entrate]],$I1144&lt;&gt;SottocategorieEntrate[[#Headers],[Real Estate]],$I1144&lt;&gt;SottocategorieEntrate[[#Headers],[Other]]),"","$ -")</f>
        <v/>
      </c>
      <c r="Q1144" s="59" t="str">
        <f>IF(Dati[[#This Row],[Categoria]]="Prelievo","€ -","")</f>
        <v/>
      </c>
      <c r="R1144" s="244"/>
      <c r="S1144" s="59" t="str">
        <f>IF(Dati[[#This Row],[Categoria]]="Savings",0,"")</f>
        <v/>
      </c>
      <c r="T1144" s="59"/>
      <c r="U1144" s="59"/>
      <c r="V1144" s="59"/>
      <c r="W1144" s="59"/>
      <c r="X1144" s="59"/>
      <c r="Y1144" s="59"/>
      <c r="Z1144" s="59"/>
      <c r="AA1144" s="59"/>
      <c r="AB1144" s="59"/>
      <c r="AC1144" s="59"/>
      <c r="AD1144" s="59"/>
      <c r="AE1144" s="59"/>
      <c r="AF1144" s="59"/>
      <c r="AG1144" s="59"/>
      <c r="AH1144" s="59"/>
      <c r="AI1144" s="59" t="str">
        <f>IF(SUM(Dati[[#This Row],[Inv. Business]:[Inv. Cryptocurrency]])=0," ",SUM(Dati[[#This Row],[Inv. Business]:[Inv. Cryptocurrency]]))</f>
        <v xml:space="preserve"> </v>
      </c>
      <c r="AJ1144" s="59"/>
      <c r="AK1144" s="59" t="str">
        <f>IF(SUM(Dati[[#This Row],[Inv. Gold]:[Mutuo]])=0," ",SUM(Dati[[#This Row],[Inv. Gold]:[Mutuo]]))</f>
        <v xml:space="preserve"> </v>
      </c>
      <c r="AL1144" s="59"/>
      <c r="AM1144" s="59"/>
    </row>
    <row r="1145" spans="2:39" x14ac:dyDescent="0.35">
      <c r="B1145" s="237">
        <f t="shared" si="61"/>
        <v>1124</v>
      </c>
      <c r="C1145" s="49">
        <f t="shared" si="60"/>
        <v>45756</v>
      </c>
      <c r="D1145" s="29">
        <f>DAY(Dati[[#This Row],[Data]])</f>
        <v>9</v>
      </c>
      <c r="E1145" s="29" t="str">
        <f>IF(DAY(Data!$C$21:$C$1327)&gt;0,TEXT(Data!$C$21:$C$1327, "mmmm"),"")</f>
        <v>aprile</v>
      </c>
      <c r="F1145" s="29" t="str">
        <f>IF(DAY(Data!$C$21:$C$1327)&gt;0,TEXT(Data!$C$21:$C$1327, "aaaa"),"")</f>
        <v>2025</v>
      </c>
      <c r="I1145" t="str">
        <f>IF(OR(H1145=$B$5,H1145=$B$6,H1145=$B$7,H1145=$B$8,H1145=$B$9,H1145=$B$10,H1145=$B$11,H1145=$B$12,H1145=$B$13,H1145=$B$14),SottocategorieUscite[[#Headers],[Fuori Casa]],IF(OR(H1145=$C$5,H1145=$C$6,H1145=$C$7,H1145=$C$8,H1145=$C$9,H1145=$C$10,H1145=$C$11,H1145=$C$12,H1145=$C$13,H1145=$C$14),SottocategorieUscite[[#Headers],[Varie Uscite]],IF(OR(H1145=$D$5,H1145=$D$6,H1145=$D$7,H1145=$D$8,H1145=$D$9,H1145=$D$10,H1145=$D$11,H1145=$D$12,H1145=$D$13,H1145=$D$14),SottocategorieUscite[[#Headers],[Personali]],IF(OR(H1145=$E$5,H1145=$E$6,H1145=$E$7,H1145=$E$8,H1145=$E$9,H1145=$E$10,H1145=$E$11,H1145=$E$12,H1145=$E$13,H1145=$E$14),SottocategorieUscite[[#Headers],[Lavoro]],IF(OR(H1145=$F$5,H1145=$F$6,H1145=$F$7,H1145=$F$8,H1145=$F$9,H1145=$F$10,H1145=$F$11,H1145=$F$12,H1145=$F$13,H1145=$F$14),SottocategorieUscite[[#Headers],[Casa]],IF(OR(H1145=$G$5,H1145=$G$6,H1145=$G$7,H1145=$G$8,H1145=$G$9,H1145=$G$10,H1145=$G$11,H1145=$G$12,H1145=$G$13,H1145=$G$14),SottocategorieUscite[[#Headers],[Utenze]],IF(OR(H1145=$H$5,H1145=$H$6,H1145=$H$7,H1145=$H$8,H1145=$H$9,H1145=$H$10,H1145=$H$11,H1145=$H$12,H1145=$H$13,H1145=$H$14),SottocategorieUscite[[#Headers],[Business Uscite]],IF(OR(H1145=$I$5,H1145=$I$6,H1145=$I$7,H1145=$I$8,H1145=$I$9,H1145=$I$10,H1145=$I$11,H1145=$I$12,H1145=$I$13,H1145=$I$14),SottocategorieUscite[[#Headers],[Banca]],IF(OR(H1145=K$5,H1145=K$6,H1145=K$7,H1145=K$8,H1145=K$9,H1145=K$10,H1145=K$11,H1145=K$12,H1145=K$13,H1145=K$14),SottocategorieEntrate[[#Headers],[Business Entrate]],IF(OR(H1145=L$5,H1145=L$6,H1145=L$7,H1145=L$8,H1145=L$9,H1145=L$10,H1145=L$11,H1145=L$12,H1145=L$13,H1145=L$14),SottocategorieEntrate[[#Headers],[Varie Entrate]],IF(OR(H1145=M$5,H1145=M$6,H1145=M$7,H1145=M$8,H1145=M$9,H1145=M$10,H1145=M$11,H1145=M$12,H1145=M$13,H1145=M$14),SottocategorieEntrate[[#Headers],[Real Estate]],IF(OR(H1145=N$5,H1145=N$6,H1145=N$7,H1145=N$8,H1145=N$9,H1145=N$10,H1145=N$11,H1145=N$12,H1145=N$13,H1145=N$14),SottocategorieEntrate[[#Headers],[Other]],""))))))))))))</f>
        <v/>
      </c>
      <c r="J1145" t="str">
        <f>IF(OR(Dati[[#This Row],[Categoria]]="Bollette",Dati[[#This Row],[Categoria]]="Conto &amp; Carte BNL",Dati[[#This Row],[Categoria]]="Prelievo",Dati[[#This Row],[Categoria]]="Affitto",Dati[[#This Row],[Categoria]]="BNL(Interessi Creditori)"),"Carta",IF(Dati[[#This Row],[Categoria]]&lt;&gt;0,"Cash",""))</f>
        <v/>
      </c>
      <c r="K1145" s="59" t="str">
        <f>IF(OR(Data!$I1145=SottocategorieUscite[[#Headers],[Fuori Casa]],Data!$I1145=SottocategorieUscite[[#Headers],[Varie Uscite]],Data!$I1145=SottocategorieUscite[[#Headers],[Personali]],Data!$I1145=SottocategorieUscite[[#Headers],[Lavoro]]),"$ -","")</f>
        <v/>
      </c>
      <c r="L1145" s="59" t="str">
        <f>IF(OR(Data!$I1145=SottocategorieUscite[[#Headers],[Casa]],Data!$I1145=SottocategorieUscite[[#Headers],[Utenze]],Data!$I1145=SottocategorieUscite[[#Headers],[Business Uscite]],Data!$I1145=SottocategorieUscite[[#Headers],[Banca]]),"$ -","")</f>
        <v/>
      </c>
      <c r="M1145" s="59" t="str">
        <f>IF(OR($I1145&lt;&gt;SottocategorieUscite[[#Headers],[Fuori Casa]],$I1145&lt;&gt;SottocategorieUscite[[#Headers],[Varie Uscite]],$I1145&lt;&gt;SottocategorieUscite[[#Headers],[Personali]],$I1145&lt;&gt;SottocategorieUscite[[#Headers],[Lavoro]],$I1145&lt;&gt;SottocategorieUscite[[#Headers],[Casa]],$I1145&lt;&gt;SottocategorieUscite[[#Headers],[Utenze]],$I1145&lt;&gt;SottocategorieUscite[[#Headers],[Business Uscite]],$I1145&lt;&gt;SottocategorieUscite[[#Headers],[Banca]]),"","$ -")</f>
        <v/>
      </c>
      <c r="N1145" s="59" t="str">
        <f>IF(OR(Data!$I1145=SottocategorieEntrate[[#Headers],[Business Entrate]],Data!$I1145=SottocategorieEntrate[[#Headers],[Varie Entrate]]),"$ -","")</f>
        <v/>
      </c>
      <c r="O1145" s="59" t="str">
        <f>IF(OR(Data!$I1145=SottocategorieEntrate[[#Headers],[Real Estate]],SottocategorieEntrate[[#Headers],[Other]]),"$ -","")</f>
        <v/>
      </c>
      <c r="P1145" s="59" t="str">
        <f>IF(OR($I1145&lt;&gt;SottocategorieEntrate[[#Headers],[Business Entrate]],$I1145&lt;&gt;SottocategorieEntrate[[#Headers],[Varie Entrate]],$I1145&lt;&gt;SottocategorieEntrate[[#Headers],[Real Estate]],$I1145&lt;&gt;SottocategorieEntrate[[#Headers],[Other]]),"","$ -")</f>
        <v/>
      </c>
      <c r="Q1145" s="59" t="str">
        <f>IF(Dati[[#This Row],[Categoria]]="Prelievo","€ -","")</f>
        <v/>
      </c>
      <c r="R1145" s="244"/>
      <c r="S1145" s="59" t="str">
        <f>IF(Dati[[#This Row],[Categoria]]="Savings",0,"")</f>
        <v/>
      </c>
      <c r="T1145" s="59"/>
      <c r="U1145" s="59"/>
      <c r="V1145" s="59"/>
      <c r="W1145" s="59"/>
      <c r="X1145" s="59"/>
      <c r="Y1145" s="59"/>
      <c r="Z1145" s="59"/>
      <c r="AA1145" s="59"/>
      <c r="AB1145" s="59"/>
      <c r="AC1145" s="59"/>
      <c r="AD1145" s="59"/>
      <c r="AE1145" s="59"/>
      <c r="AF1145" s="59"/>
      <c r="AG1145" s="59"/>
      <c r="AH1145" s="59"/>
      <c r="AI1145" s="59" t="str">
        <f>IF(SUM(Dati[[#This Row],[Inv. Business]:[Inv. Cryptocurrency]])=0," ",SUM(Dati[[#This Row],[Inv. Business]:[Inv. Cryptocurrency]]))</f>
        <v xml:space="preserve"> </v>
      </c>
      <c r="AJ1145" s="59"/>
      <c r="AK1145" s="59" t="str">
        <f>IF(SUM(Dati[[#This Row],[Inv. Gold]:[Mutuo]])=0," ",SUM(Dati[[#This Row],[Inv. Gold]:[Mutuo]]))</f>
        <v xml:space="preserve"> </v>
      </c>
      <c r="AL1145" s="59"/>
      <c r="AM1145" s="59"/>
    </row>
    <row r="1146" spans="2:39" x14ac:dyDescent="0.35">
      <c r="B1146" s="237">
        <f t="shared" si="61"/>
        <v>1125</v>
      </c>
      <c r="C1146" s="49">
        <f t="shared" si="60"/>
        <v>45757</v>
      </c>
      <c r="D1146" s="29">
        <f>DAY(Dati[[#This Row],[Data]])</f>
        <v>10</v>
      </c>
      <c r="E1146" s="29" t="str">
        <f>IF(DAY(Data!$C$21:$C$1327)&gt;0,TEXT(Data!$C$21:$C$1327, "mmmm"),"")</f>
        <v>aprile</v>
      </c>
      <c r="F1146" s="29" t="str">
        <f>IF(DAY(Data!$C$21:$C$1327)&gt;0,TEXT(Data!$C$21:$C$1327, "aaaa"),"")</f>
        <v>2025</v>
      </c>
      <c r="I1146" t="str">
        <f>IF(OR(H1146=$B$5,H1146=$B$6,H1146=$B$7,H1146=$B$8,H1146=$B$9,H1146=$B$10,H1146=$B$11,H1146=$B$12,H1146=$B$13,H1146=$B$14),SottocategorieUscite[[#Headers],[Fuori Casa]],IF(OR(H1146=$C$5,H1146=$C$6,H1146=$C$7,H1146=$C$8,H1146=$C$9,H1146=$C$10,H1146=$C$11,H1146=$C$12,H1146=$C$13,H1146=$C$14),SottocategorieUscite[[#Headers],[Varie Uscite]],IF(OR(H1146=$D$5,H1146=$D$6,H1146=$D$7,H1146=$D$8,H1146=$D$9,H1146=$D$10,H1146=$D$11,H1146=$D$12,H1146=$D$13,H1146=$D$14),SottocategorieUscite[[#Headers],[Personali]],IF(OR(H1146=$E$5,H1146=$E$6,H1146=$E$7,H1146=$E$8,H1146=$E$9,H1146=$E$10,H1146=$E$11,H1146=$E$12,H1146=$E$13,H1146=$E$14),SottocategorieUscite[[#Headers],[Lavoro]],IF(OR(H1146=$F$5,H1146=$F$6,H1146=$F$7,H1146=$F$8,H1146=$F$9,H1146=$F$10,H1146=$F$11,H1146=$F$12,H1146=$F$13,H1146=$F$14),SottocategorieUscite[[#Headers],[Casa]],IF(OR(H1146=$G$5,H1146=$G$6,H1146=$G$7,H1146=$G$8,H1146=$G$9,H1146=$G$10,H1146=$G$11,H1146=$G$12,H1146=$G$13,H1146=$G$14),SottocategorieUscite[[#Headers],[Utenze]],IF(OR(H1146=$H$5,H1146=$H$6,H1146=$H$7,H1146=$H$8,H1146=$H$9,H1146=$H$10,H1146=$H$11,H1146=$H$12,H1146=$H$13,H1146=$H$14),SottocategorieUscite[[#Headers],[Business Uscite]],IF(OR(H1146=$I$5,H1146=$I$6,H1146=$I$7,H1146=$I$8,H1146=$I$9,H1146=$I$10,H1146=$I$11,H1146=$I$12,H1146=$I$13,H1146=$I$14),SottocategorieUscite[[#Headers],[Banca]],IF(OR(H1146=K$5,H1146=K$6,H1146=K$7,H1146=K$8,H1146=K$9,H1146=K$10,H1146=K$11,H1146=K$12,H1146=K$13,H1146=K$14),SottocategorieEntrate[[#Headers],[Business Entrate]],IF(OR(H1146=L$5,H1146=L$6,H1146=L$7,H1146=L$8,H1146=L$9,H1146=L$10,H1146=L$11,H1146=L$12,H1146=L$13,H1146=L$14),SottocategorieEntrate[[#Headers],[Varie Entrate]],IF(OR(H1146=M$5,H1146=M$6,H1146=M$7,H1146=M$8,H1146=M$9,H1146=M$10,H1146=M$11,H1146=M$12,H1146=M$13,H1146=M$14),SottocategorieEntrate[[#Headers],[Real Estate]],IF(OR(H1146=N$5,H1146=N$6,H1146=N$7,H1146=N$8,H1146=N$9,H1146=N$10,H1146=N$11,H1146=N$12,H1146=N$13,H1146=N$14),SottocategorieEntrate[[#Headers],[Other]],""))))))))))))</f>
        <v/>
      </c>
      <c r="J1146" t="str">
        <f>IF(OR(Dati[[#This Row],[Categoria]]="Bollette",Dati[[#This Row],[Categoria]]="Conto &amp; Carte BNL",Dati[[#This Row],[Categoria]]="Prelievo",Dati[[#This Row],[Categoria]]="Affitto",Dati[[#This Row],[Categoria]]="BNL(Interessi Creditori)"),"Carta",IF(Dati[[#This Row],[Categoria]]&lt;&gt;0,"Cash",""))</f>
        <v/>
      </c>
      <c r="K1146" s="59" t="str">
        <f>IF(OR(Data!$I1146=SottocategorieUscite[[#Headers],[Fuori Casa]],Data!$I1146=SottocategorieUscite[[#Headers],[Varie Uscite]],Data!$I1146=SottocategorieUscite[[#Headers],[Personali]],Data!$I1146=SottocategorieUscite[[#Headers],[Lavoro]]),"$ -","")</f>
        <v/>
      </c>
      <c r="L1146" s="59" t="str">
        <f>IF(OR(Data!$I1146=SottocategorieUscite[[#Headers],[Casa]],Data!$I1146=SottocategorieUscite[[#Headers],[Utenze]],Data!$I1146=SottocategorieUscite[[#Headers],[Business Uscite]],Data!$I1146=SottocategorieUscite[[#Headers],[Banca]]),"$ -","")</f>
        <v/>
      </c>
      <c r="M1146" s="59" t="str">
        <f>IF(OR($I1146&lt;&gt;SottocategorieUscite[[#Headers],[Fuori Casa]],$I1146&lt;&gt;SottocategorieUscite[[#Headers],[Varie Uscite]],$I1146&lt;&gt;SottocategorieUscite[[#Headers],[Personali]],$I1146&lt;&gt;SottocategorieUscite[[#Headers],[Lavoro]],$I1146&lt;&gt;SottocategorieUscite[[#Headers],[Casa]],$I1146&lt;&gt;SottocategorieUscite[[#Headers],[Utenze]],$I1146&lt;&gt;SottocategorieUscite[[#Headers],[Business Uscite]],$I1146&lt;&gt;SottocategorieUscite[[#Headers],[Banca]]),"","$ -")</f>
        <v/>
      </c>
      <c r="N1146" s="59" t="str">
        <f>IF(OR(Data!$I1146=SottocategorieEntrate[[#Headers],[Business Entrate]],Data!$I1146=SottocategorieEntrate[[#Headers],[Varie Entrate]]),"$ -","")</f>
        <v/>
      </c>
      <c r="O1146" s="59" t="str">
        <f>IF(OR(Data!$I1146=SottocategorieEntrate[[#Headers],[Real Estate]],SottocategorieEntrate[[#Headers],[Other]]),"$ -","")</f>
        <v/>
      </c>
      <c r="P1146" s="59" t="str">
        <f>IF(OR($I1146&lt;&gt;SottocategorieEntrate[[#Headers],[Business Entrate]],$I1146&lt;&gt;SottocategorieEntrate[[#Headers],[Varie Entrate]],$I1146&lt;&gt;SottocategorieEntrate[[#Headers],[Real Estate]],$I1146&lt;&gt;SottocategorieEntrate[[#Headers],[Other]]),"","$ -")</f>
        <v/>
      </c>
      <c r="Q1146" s="59" t="str">
        <f>IF(Dati[[#This Row],[Categoria]]="Prelievo","€ -","")</f>
        <v/>
      </c>
      <c r="R1146" s="244"/>
      <c r="S1146" s="59" t="str">
        <f>IF(Dati[[#This Row],[Categoria]]="Savings",0,"")</f>
        <v/>
      </c>
      <c r="T1146" s="59"/>
      <c r="U1146" s="59"/>
      <c r="V1146" s="59"/>
      <c r="W1146" s="59"/>
      <c r="X1146" s="59"/>
      <c r="Y1146" s="59"/>
      <c r="Z1146" s="59"/>
      <c r="AA1146" s="59"/>
      <c r="AB1146" s="59"/>
      <c r="AC1146" s="59"/>
      <c r="AD1146" s="59"/>
      <c r="AE1146" s="59"/>
      <c r="AF1146" s="59"/>
      <c r="AG1146" s="59"/>
      <c r="AH1146" s="59"/>
      <c r="AI1146" s="59" t="str">
        <f>IF(SUM(Dati[[#This Row],[Inv. Business]:[Inv. Cryptocurrency]])=0," ",SUM(Dati[[#This Row],[Inv. Business]:[Inv. Cryptocurrency]]))</f>
        <v xml:space="preserve"> </v>
      </c>
      <c r="AJ1146" s="59"/>
      <c r="AK1146" s="59" t="str">
        <f>IF(SUM(Dati[[#This Row],[Inv. Gold]:[Mutuo]])=0," ",SUM(Dati[[#This Row],[Inv. Gold]:[Mutuo]]))</f>
        <v xml:space="preserve"> </v>
      </c>
      <c r="AL1146" s="59"/>
      <c r="AM1146" s="59"/>
    </row>
    <row r="1147" spans="2:39" x14ac:dyDescent="0.35">
      <c r="B1147" s="237">
        <f t="shared" si="61"/>
        <v>1126</v>
      </c>
      <c r="C1147" s="49">
        <f t="shared" si="60"/>
        <v>45758</v>
      </c>
      <c r="D1147" s="29">
        <f>DAY(Dati[[#This Row],[Data]])</f>
        <v>11</v>
      </c>
      <c r="E1147" s="29" t="str">
        <f>IF(DAY(Data!$C$21:$C$1327)&gt;0,TEXT(Data!$C$21:$C$1327, "mmmm"),"")</f>
        <v>aprile</v>
      </c>
      <c r="F1147" s="29" t="str">
        <f>IF(DAY(Data!$C$21:$C$1327)&gt;0,TEXT(Data!$C$21:$C$1327, "aaaa"),"")</f>
        <v>2025</v>
      </c>
      <c r="I1147" t="str">
        <f>IF(OR(H1147=$B$5,H1147=$B$6,H1147=$B$7,H1147=$B$8,H1147=$B$9,H1147=$B$10,H1147=$B$11,H1147=$B$12,H1147=$B$13,H1147=$B$14),SottocategorieUscite[[#Headers],[Fuori Casa]],IF(OR(H1147=$C$5,H1147=$C$6,H1147=$C$7,H1147=$C$8,H1147=$C$9,H1147=$C$10,H1147=$C$11,H1147=$C$12,H1147=$C$13,H1147=$C$14),SottocategorieUscite[[#Headers],[Varie Uscite]],IF(OR(H1147=$D$5,H1147=$D$6,H1147=$D$7,H1147=$D$8,H1147=$D$9,H1147=$D$10,H1147=$D$11,H1147=$D$12,H1147=$D$13,H1147=$D$14),SottocategorieUscite[[#Headers],[Personali]],IF(OR(H1147=$E$5,H1147=$E$6,H1147=$E$7,H1147=$E$8,H1147=$E$9,H1147=$E$10,H1147=$E$11,H1147=$E$12,H1147=$E$13,H1147=$E$14),SottocategorieUscite[[#Headers],[Lavoro]],IF(OR(H1147=$F$5,H1147=$F$6,H1147=$F$7,H1147=$F$8,H1147=$F$9,H1147=$F$10,H1147=$F$11,H1147=$F$12,H1147=$F$13,H1147=$F$14),SottocategorieUscite[[#Headers],[Casa]],IF(OR(H1147=$G$5,H1147=$G$6,H1147=$G$7,H1147=$G$8,H1147=$G$9,H1147=$G$10,H1147=$G$11,H1147=$G$12,H1147=$G$13,H1147=$G$14),SottocategorieUscite[[#Headers],[Utenze]],IF(OR(H1147=$H$5,H1147=$H$6,H1147=$H$7,H1147=$H$8,H1147=$H$9,H1147=$H$10,H1147=$H$11,H1147=$H$12,H1147=$H$13,H1147=$H$14),SottocategorieUscite[[#Headers],[Business Uscite]],IF(OR(H1147=$I$5,H1147=$I$6,H1147=$I$7,H1147=$I$8,H1147=$I$9,H1147=$I$10,H1147=$I$11,H1147=$I$12,H1147=$I$13,H1147=$I$14),SottocategorieUscite[[#Headers],[Banca]],IF(OR(H1147=K$5,H1147=K$6,H1147=K$7,H1147=K$8,H1147=K$9,H1147=K$10,H1147=K$11,H1147=K$12,H1147=K$13,H1147=K$14),SottocategorieEntrate[[#Headers],[Business Entrate]],IF(OR(H1147=L$5,H1147=L$6,H1147=L$7,H1147=L$8,H1147=L$9,H1147=L$10,H1147=L$11,H1147=L$12,H1147=L$13,H1147=L$14),SottocategorieEntrate[[#Headers],[Varie Entrate]],IF(OR(H1147=M$5,H1147=M$6,H1147=M$7,H1147=M$8,H1147=M$9,H1147=M$10,H1147=M$11,H1147=M$12,H1147=M$13,H1147=M$14),SottocategorieEntrate[[#Headers],[Real Estate]],IF(OR(H1147=N$5,H1147=N$6,H1147=N$7,H1147=N$8,H1147=N$9,H1147=N$10,H1147=N$11,H1147=N$12,H1147=N$13,H1147=N$14),SottocategorieEntrate[[#Headers],[Other]],""))))))))))))</f>
        <v/>
      </c>
      <c r="J1147" t="str">
        <f>IF(OR(Dati[[#This Row],[Categoria]]="Bollette",Dati[[#This Row],[Categoria]]="Conto &amp; Carte BNL",Dati[[#This Row],[Categoria]]="Prelievo",Dati[[#This Row],[Categoria]]="Affitto",Dati[[#This Row],[Categoria]]="BNL(Interessi Creditori)"),"Carta",IF(Dati[[#This Row],[Categoria]]&lt;&gt;0,"Cash",""))</f>
        <v/>
      </c>
      <c r="K1147" s="59" t="str">
        <f>IF(OR(Data!$I1147=SottocategorieUscite[[#Headers],[Fuori Casa]],Data!$I1147=SottocategorieUscite[[#Headers],[Varie Uscite]],Data!$I1147=SottocategorieUscite[[#Headers],[Personali]],Data!$I1147=SottocategorieUscite[[#Headers],[Lavoro]]),"$ -","")</f>
        <v/>
      </c>
      <c r="L1147" s="59" t="str">
        <f>IF(OR(Data!$I1147=SottocategorieUscite[[#Headers],[Casa]],Data!$I1147=SottocategorieUscite[[#Headers],[Utenze]],Data!$I1147=SottocategorieUscite[[#Headers],[Business Uscite]],Data!$I1147=SottocategorieUscite[[#Headers],[Banca]]),"$ -","")</f>
        <v/>
      </c>
      <c r="M1147" s="59" t="str">
        <f>IF(OR($I1147&lt;&gt;SottocategorieUscite[[#Headers],[Fuori Casa]],$I1147&lt;&gt;SottocategorieUscite[[#Headers],[Varie Uscite]],$I1147&lt;&gt;SottocategorieUscite[[#Headers],[Personali]],$I1147&lt;&gt;SottocategorieUscite[[#Headers],[Lavoro]],$I1147&lt;&gt;SottocategorieUscite[[#Headers],[Casa]],$I1147&lt;&gt;SottocategorieUscite[[#Headers],[Utenze]],$I1147&lt;&gt;SottocategorieUscite[[#Headers],[Business Uscite]],$I1147&lt;&gt;SottocategorieUscite[[#Headers],[Banca]]),"","$ -")</f>
        <v/>
      </c>
      <c r="N1147" s="59" t="str">
        <f>IF(OR(Data!$I1147=SottocategorieEntrate[[#Headers],[Business Entrate]],Data!$I1147=SottocategorieEntrate[[#Headers],[Varie Entrate]]),"$ -","")</f>
        <v/>
      </c>
      <c r="O1147" s="59" t="str">
        <f>IF(OR(Data!$I1147=SottocategorieEntrate[[#Headers],[Real Estate]],SottocategorieEntrate[[#Headers],[Other]]),"$ -","")</f>
        <v/>
      </c>
      <c r="P1147" s="59" t="str">
        <f>IF(OR($I1147&lt;&gt;SottocategorieEntrate[[#Headers],[Business Entrate]],$I1147&lt;&gt;SottocategorieEntrate[[#Headers],[Varie Entrate]],$I1147&lt;&gt;SottocategorieEntrate[[#Headers],[Real Estate]],$I1147&lt;&gt;SottocategorieEntrate[[#Headers],[Other]]),"","$ -")</f>
        <v/>
      </c>
      <c r="Q1147" s="59" t="str">
        <f>IF(Dati[[#This Row],[Categoria]]="Prelievo","€ -","")</f>
        <v/>
      </c>
      <c r="R1147" s="244"/>
      <c r="S1147" s="59" t="str">
        <f>IF(Dati[[#This Row],[Categoria]]="Savings",0,"")</f>
        <v/>
      </c>
      <c r="T1147" s="59"/>
      <c r="U1147" s="59"/>
      <c r="V1147" s="59"/>
      <c r="W1147" s="59"/>
      <c r="X1147" s="59"/>
      <c r="Y1147" s="59"/>
      <c r="Z1147" s="59"/>
      <c r="AA1147" s="59"/>
      <c r="AB1147" s="59"/>
      <c r="AC1147" s="59"/>
      <c r="AD1147" s="59"/>
      <c r="AE1147" s="59"/>
      <c r="AF1147" s="59"/>
      <c r="AG1147" s="59"/>
      <c r="AH1147" s="59"/>
      <c r="AI1147" s="59" t="str">
        <f>IF(SUM(Dati[[#This Row],[Inv. Business]:[Inv. Cryptocurrency]])=0," ",SUM(Dati[[#This Row],[Inv. Business]:[Inv. Cryptocurrency]]))</f>
        <v xml:space="preserve"> </v>
      </c>
      <c r="AJ1147" s="59"/>
      <c r="AK1147" s="59" t="str">
        <f>IF(SUM(Dati[[#This Row],[Inv. Gold]:[Mutuo]])=0," ",SUM(Dati[[#This Row],[Inv. Gold]:[Mutuo]]))</f>
        <v xml:space="preserve"> </v>
      </c>
      <c r="AL1147" s="59"/>
      <c r="AM1147" s="59"/>
    </row>
    <row r="1148" spans="2:39" x14ac:dyDescent="0.35">
      <c r="B1148" s="237">
        <f t="shared" si="61"/>
        <v>1127</v>
      </c>
      <c r="C1148" s="49">
        <f t="shared" si="60"/>
        <v>45759</v>
      </c>
      <c r="D1148" s="29">
        <f>DAY(Dati[[#This Row],[Data]])</f>
        <v>12</v>
      </c>
      <c r="E1148" s="29" t="str">
        <f>IF(DAY(Data!$C$21:$C$1327)&gt;0,TEXT(Data!$C$21:$C$1327, "mmmm"),"")</f>
        <v>aprile</v>
      </c>
      <c r="F1148" s="29" t="str">
        <f>IF(DAY(Data!$C$21:$C$1327)&gt;0,TEXT(Data!$C$21:$C$1327, "aaaa"),"")</f>
        <v>2025</v>
      </c>
      <c r="I1148" t="str">
        <f>IF(OR(H1148=$B$5,H1148=$B$6,H1148=$B$7,H1148=$B$8,H1148=$B$9,H1148=$B$10,H1148=$B$11,H1148=$B$12,H1148=$B$13,H1148=$B$14),SottocategorieUscite[[#Headers],[Fuori Casa]],IF(OR(H1148=$C$5,H1148=$C$6,H1148=$C$7,H1148=$C$8,H1148=$C$9,H1148=$C$10,H1148=$C$11,H1148=$C$12,H1148=$C$13,H1148=$C$14),SottocategorieUscite[[#Headers],[Varie Uscite]],IF(OR(H1148=$D$5,H1148=$D$6,H1148=$D$7,H1148=$D$8,H1148=$D$9,H1148=$D$10,H1148=$D$11,H1148=$D$12,H1148=$D$13,H1148=$D$14),SottocategorieUscite[[#Headers],[Personali]],IF(OR(H1148=$E$5,H1148=$E$6,H1148=$E$7,H1148=$E$8,H1148=$E$9,H1148=$E$10,H1148=$E$11,H1148=$E$12,H1148=$E$13,H1148=$E$14),SottocategorieUscite[[#Headers],[Lavoro]],IF(OR(H1148=$F$5,H1148=$F$6,H1148=$F$7,H1148=$F$8,H1148=$F$9,H1148=$F$10,H1148=$F$11,H1148=$F$12,H1148=$F$13,H1148=$F$14),SottocategorieUscite[[#Headers],[Casa]],IF(OR(H1148=$G$5,H1148=$G$6,H1148=$G$7,H1148=$G$8,H1148=$G$9,H1148=$G$10,H1148=$G$11,H1148=$G$12,H1148=$G$13,H1148=$G$14),SottocategorieUscite[[#Headers],[Utenze]],IF(OR(H1148=$H$5,H1148=$H$6,H1148=$H$7,H1148=$H$8,H1148=$H$9,H1148=$H$10,H1148=$H$11,H1148=$H$12,H1148=$H$13,H1148=$H$14),SottocategorieUscite[[#Headers],[Business Uscite]],IF(OR(H1148=$I$5,H1148=$I$6,H1148=$I$7,H1148=$I$8,H1148=$I$9,H1148=$I$10,H1148=$I$11,H1148=$I$12,H1148=$I$13,H1148=$I$14),SottocategorieUscite[[#Headers],[Banca]],IF(OR(H1148=K$5,H1148=K$6,H1148=K$7,H1148=K$8,H1148=K$9,H1148=K$10,H1148=K$11,H1148=K$12,H1148=K$13,H1148=K$14),SottocategorieEntrate[[#Headers],[Business Entrate]],IF(OR(H1148=L$5,H1148=L$6,H1148=L$7,H1148=L$8,H1148=L$9,H1148=L$10,H1148=L$11,H1148=L$12,H1148=L$13,H1148=L$14),SottocategorieEntrate[[#Headers],[Varie Entrate]],IF(OR(H1148=M$5,H1148=M$6,H1148=M$7,H1148=M$8,H1148=M$9,H1148=M$10,H1148=M$11,H1148=M$12,H1148=M$13,H1148=M$14),SottocategorieEntrate[[#Headers],[Real Estate]],IF(OR(H1148=N$5,H1148=N$6,H1148=N$7,H1148=N$8,H1148=N$9,H1148=N$10,H1148=N$11,H1148=N$12,H1148=N$13,H1148=N$14),SottocategorieEntrate[[#Headers],[Other]],""))))))))))))</f>
        <v/>
      </c>
      <c r="J1148" t="str">
        <f>IF(OR(Dati[[#This Row],[Categoria]]="Bollette",Dati[[#This Row],[Categoria]]="Conto &amp; Carte BNL",Dati[[#This Row],[Categoria]]="Prelievo",Dati[[#This Row],[Categoria]]="Affitto",Dati[[#This Row],[Categoria]]="BNL(Interessi Creditori)"),"Carta",IF(Dati[[#This Row],[Categoria]]&lt;&gt;0,"Cash",""))</f>
        <v/>
      </c>
      <c r="K1148" s="59" t="str">
        <f>IF(OR(Data!$I1148=SottocategorieUscite[[#Headers],[Fuori Casa]],Data!$I1148=SottocategorieUscite[[#Headers],[Varie Uscite]],Data!$I1148=SottocategorieUscite[[#Headers],[Personali]],Data!$I1148=SottocategorieUscite[[#Headers],[Lavoro]]),"$ -","")</f>
        <v/>
      </c>
      <c r="L1148" s="59" t="str">
        <f>IF(OR(Data!$I1148=SottocategorieUscite[[#Headers],[Casa]],Data!$I1148=SottocategorieUscite[[#Headers],[Utenze]],Data!$I1148=SottocategorieUscite[[#Headers],[Business Uscite]],Data!$I1148=SottocategorieUscite[[#Headers],[Banca]]),"$ -","")</f>
        <v/>
      </c>
      <c r="M1148" s="59" t="str">
        <f>IF(OR($I1148&lt;&gt;SottocategorieUscite[[#Headers],[Fuori Casa]],$I1148&lt;&gt;SottocategorieUscite[[#Headers],[Varie Uscite]],$I1148&lt;&gt;SottocategorieUscite[[#Headers],[Personali]],$I1148&lt;&gt;SottocategorieUscite[[#Headers],[Lavoro]],$I1148&lt;&gt;SottocategorieUscite[[#Headers],[Casa]],$I1148&lt;&gt;SottocategorieUscite[[#Headers],[Utenze]],$I1148&lt;&gt;SottocategorieUscite[[#Headers],[Business Uscite]],$I1148&lt;&gt;SottocategorieUscite[[#Headers],[Banca]]),"","$ -")</f>
        <v/>
      </c>
      <c r="N1148" s="59" t="str">
        <f>IF(OR(Data!$I1148=SottocategorieEntrate[[#Headers],[Business Entrate]],Data!$I1148=SottocategorieEntrate[[#Headers],[Varie Entrate]]),"$ -","")</f>
        <v/>
      </c>
      <c r="O1148" s="59" t="str">
        <f>IF(OR(Data!$I1148=SottocategorieEntrate[[#Headers],[Real Estate]],SottocategorieEntrate[[#Headers],[Other]]),"$ -","")</f>
        <v/>
      </c>
      <c r="P1148" s="59" t="str">
        <f>IF(OR($I1148&lt;&gt;SottocategorieEntrate[[#Headers],[Business Entrate]],$I1148&lt;&gt;SottocategorieEntrate[[#Headers],[Varie Entrate]],$I1148&lt;&gt;SottocategorieEntrate[[#Headers],[Real Estate]],$I1148&lt;&gt;SottocategorieEntrate[[#Headers],[Other]]),"","$ -")</f>
        <v/>
      </c>
      <c r="Q1148" s="59" t="str">
        <f>IF(Dati[[#This Row],[Categoria]]="Prelievo","€ -","")</f>
        <v/>
      </c>
      <c r="R1148" s="244"/>
      <c r="S1148" s="59" t="str">
        <f>IF(Dati[[#This Row],[Categoria]]="Savings",0,"")</f>
        <v/>
      </c>
      <c r="T1148" s="59"/>
      <c r="U1148" s="59"/>
      <c r="V1148" s="59"/>
      <c r="W1148" s="59"/>
      <c r="X1148" s="59"/>
      <c r="Y1148" s="59"/>
      <c r="Z1148" s="59"/>
      <c r="AA1148" s="59"/>
      <c r="AB1148" s="59"/>
      <c r="AC1148" s="59"/>
      <c r="AD1148" s="59"/>
      <c r="AE1148" s="59"/>
      <c r="AF1148" s="59"/>
      <c r="AG1148" s="59"/>
      <c r="AH1148" s="59"/>
      <c r="AI1148" s="59" t="str">
        <f>IF(SUM(Dati[[#This Row],[Inv. Business]:[Inv. Cryptocurrency]])=0," ",SUM(Dati[[#This Row],[Inv. Business]:[Inv. Cryptocurrency]]))</f>
        <v xml:space="preserve"> </v>
      </c>
      <c r="AJ1148" s="59"/>
      <c r="AK1148" s="59" t="str">
        <f>IF(SUM(Dati[[#This Row],[Inv. Gold]:[Mutuo]])=0," ",SUM(Dati[[#This Row],[Inv. Gold]:[Mutuo]]))</f>
        <v xml:space="preserve"> </v>
      </c>
      <c r="AL1148" s="59"/>
      <c r="AM1148" s="59"/>
    </row>
    <row r="1149" spans="2:39" x14ac:dyDescent="0.35">
      <c r="B1149" s="237">
        <f t="shared" si="61"/>
        <v>1128</v>
      </c>
      <c r="C1149" s="49">
        <f t="shared" si="60"/>
        <v>45760</v>
      </c>
      <c r="D1149" s="29">
        <f>DAY(Dati[[#This Row],[Data]])</f>
        <v>13</v>
      </c>
      <c r="E1149" s="29" t="str">
        <f>IF(DAY(Data!$C$21:$C$1327)&gt;0,TEXT(Data!$C$21:$C$1327, "mmmm"),"")</f>
        <v>aprile</v>
      </c>
      <c r="F1149" s="29" t="str">
        <f>IF(DAY(Data!$C$21:$C$1327)&gt;0,TEXT(Data!$C$21:$C$1327, "aaaa"),"")</f>
        <v>2025</v>
      </c>
      <c r="I1149" t="str">
        <f>IF(OR(H1149=$B$5,H1149=$B$6,H1149=$B$7,H1149=$B$8,H1149=$B$9,H1149=$B$10,H1149=$B$11,H1149=$B$12,H1149=$B$13,H1149=$B$14),SottocategorieUscite[[#Headers],[Fuori Casa]],IF(OR(H1149=$C$5,H1149=$C$6,H1149=$C$7,H1149=$C$8,H1149=$C$9,H1149=$C$10,H1149=$C$11,H1149=$C$12,H1149=$C$13,H1149=$C$14),SottocategorieUscite[[#Headers],[Varie Uscite]],IF(OR(H1149=$D$5,H1149=$D$6,H1149=$D$7,H1149=$D$8,H1149=$D$9,H1149=$D$10,H1149=$D$11,H1149=$D$12,H1149=$D$13,H1149=$D$14),SottocategorieUscite[[#Headers],[Personali]],IF(OR(H1149=$E$5,H1149=$E$6,H1149=$E$7,H1149=$E$8,H1149=$E$9,H1149=$E$10,H1149=$E$11,H1149=$E$12,H1149=$E$13,H1149=$E$14),SottocategorieUscite[[#Headers],[Lavoro]],IF(OR(H1149=$F$5,H1149=$F$6,H1149=$F$7,H1149=$F$8,H1149=$F$9,H1149=$F$10,H1149=$F$11,H1149=$F$12,H1149=$F$13,H1149=$F$14),SottocategorieUscite[[#Headers],[Casa]],IF(OR(H1149=$G$5,H1149=$G$6,H1149=$G$7,H1149=$G$8,H1149=$G$9,H1149=$G$10,H1149=$G$11,H1149=$G$12,H1149=$G$13,H1149=$G$14),SottocategorieUscite[[#Headers],[Utenze]],IF(OR(H1149=$H$5,H1149=$H$6,H1149=$H$7,H1149=$H$8,H1149=$H$9,H1149=$H$10,H1149=$H$11,H1149=$H$12,H1149=$H$13,H1149=$H$14),SottocategorieUscite[[#Headers],[Business Uscite]],IF(OR(H1149=$I$5,H1149=$I$6,H1149=$I$7,H1149=$I$8,H1149=$I$9,H1149=$I$10,H1149=$I$11,H1149=$I$12,H1149=$I$13,H1149=$I$14),SottocategorieUscite[[#Headers],[Banca]],IF(OR(H1149=K$5,H1149=K$6,H1149=K$7,H1149=K$8,H1149=K$9,H1149=K$10,H1149=K$11,H1149=K$12,H1149=K$13,H1149=K$14),SottocategorieEntrate[[#Headers],[Business Entrate]],IF(OR(H1149=L$5,H1149=L$6,H1149=L$7,H1149=L$8,H1149=L$9,H1149=L$10,H1149=L$11,H1149=L$12,H1149=L$13,H1149=L$14),SottocategorieEntrate[[#Headers],[Varie Entrate]],IF(OR(H1149=M$5,H1149=M$6,H1149=M$7,H1149=M$8,H1149=M$9,H1149=M$10,H1149=M$11,H1149=M$12,H1149=M$13,H1149=M$14),SottocategorieEntrate[[#Headers],[Real Estate]],IF(OR(H1149=N$5,H1149=N$6,H1149=N$7,H1149=N$8,H1149=N$9,H1149=N$10,H1149=N$11,H1149=N$12,H1149=N$13,H1149=N$14),SottocategorieEntrate[[#Headers],[Other]],""))))))))))))</f>
        <v/>
      </c>
      <c r="J1149" t="str">
        <f>IF(OR(Dati[[#This Row],[Categoria]]="Bollette",Dati[[#This Row],[Categoria]]="Conto &amp; Carte BNL",Dati[[#This Row],[Categoria]]="Prelievo",Dati[[#This Row],[Categoria]]="Affitto",Dati[[#This Row],[Categoria]]="BNL(Interessi Creditori)"),"Carta",IF(Dati[[#This Row],[Categoria]]&lt;&gt;0,"Cash",""))</f>
        <v/>
      </c>
      <c r="K1149" s="59" t="str">
        <f>IF(OR(Data!$I1149=SottocategorieUscite[[#Headers],[Fuori Casa]],Data!$I1149=SottocategorieUscite[[#Headers],[Varie Uscite]],Data!$I1149=SottocategorieUscite[[#Headers],[Personali]],Data!$I1149=SottocategorieUscite[[#Headers],[Lavoro]]),"$ -","")</f>
        <v/>
      </c>
      <c r="L1149" s="59" t="str">
        <f>IF(OR(Data!$I1149=SottocategorieUscite[[#Headers],[Casa]],Data!$I1149=SottocategorieUscite[[#Headers],[Utenze]],Data!$I1149=SottocategorieUscite[[#Headers],[Business Uscite]],Data!$I1149=SottocategorieUscite[[#Headers],[Banca]]),"$ -","")</f>
        <v/>
      </c>
      <c r="M1149" s="59" t="str">
        <f>IF(OR($I1149&lt;&gt;SottocategorieUscite[[#Headers],[Fuori Casa]],$I1149&lt;&gt;SottocategorieUscite[[#Headers],[Varie Uscite]],$I1149&lt;&gt;SottocategorieUscite[[#Headers],[Personali]],$I1149&lt;&gt;SottocategorieUscite[[#Headers],[Lavoro]],$I1149&lt;&gt;SottocategorieUscite[[#Headers],[Casa]],$I1149&lt;&gt;SottocategorieUscite[[#Headers],[Utenze]],$I1149&lt;&gt;SottocategorieUscite[[#Headers],[Business Uscite]],$I1149&lt;&gt;SottocategorieUscite[[#Headers],[Banca]]),"","$ -")</f>
        <v/>
      </c>
      <c r="N1149" s="59" t="str">
        <f>IF(OR(Data!$I1149=SottocategorieEntrate[[#Headers],[Business Entrate]],Data!$I1149=SottocategorieEntrate[[#Headers],[Varie Entrate]]),"$ -","")</f>
        <v/>
      </c>
      <c r="O1149" s="59" t="str">
        <f>IF(OR(Data!$I1149=SottocategorieEntrate[[#Headers],[Real Estate]],SottocategorieEntrate[[#Headers],[Other]]),"$ -","")</f>
        <v/>
      </c>
      <c r="P1149" s="59" t="str">
        <f>IF(OR($I1149&lt;&gt;SottocategorieEntrate[[#Headers],[Business Entrate]],$I1149&lt;&gt;SottocategorieEntrate[[#Headers],[Varie Entrate]],$I1149&lt;&gt;SottocategorieEntrate[[#Headers],[Real Estate]],$I1149&lt;&gt;SottocategorieEntrate[[#Headers],[Other]]),"","$ -")</f>
        <v/>
      </c>
      <c r="Q1149" s="59" t="str">
        <f>IF(Dati[[#This Row],[Categoria]]="Prelievo","€ -","")</f>
        <v/>
      </c>
      <c r="R1149" s="244"/>
      <c r="S1149" s="59" t="str">
        <f>IF(Dati[[#This Row],[Categoria]]="Savings",0,"")</f>
        <v/>
      </c>
      <c r="T1149" s="59"/>
      <c r="U1149" s="59"/>
      <c r="V1149" s="59"/>
      <c r="W1149" s="59"/>
      <c r="X1149" s="59"/>
      <c r="Y1149" s="59"/>
      <c r="Z1149" s="59"/>
      <c r="AA1149" s="59"/>
      <c r="AB1149" s="59"/>
      <c r="AC1149" s="59"/>
      <c r="AD1149" s="59"/>
      <c r="AE1149" s="59"/>
      <c r="AF1149" s="59"/>
      <c r="AG1149" s="59"/>
      <c r="AH1149" s="59"/>
      <c r="AI1149" s="59" t="str">
        <f>IF(SUM(Dati[[#This Row],[Inv. Business]:[Inv. Cryptocurrency]])=0," ",SUM(Dati[[#This Row],[Inv. Business]:[Inv. Cryptocurrency]]))</f>
        <v xml:space="preserve"> </v>
      </c>
      <c r="AJ1149" s="59"/>
      <c r="AK1149" s="59" t="str">
        <f>IF(SUM(Dati[[#This Row],[Inv. Gold]:[Mutuo]])=0," ",SUM(Dati[[#This Row],[Inv. Gold]:[Mutuo]]))</f>
        <v xml:space="preserve"> </v>
      </c>
      <c r="AL1149" s="59"/>
      <c r="AM1149" s="59"/>
    </row>
    <row r="1150" spans="2:39" x14ac:dyDescent="0.35">
      <c r="B1150" s="237">
        <f t="shared" si="61"/>
        <v>1129</v>
      </c>
      <c r="C1150" s="49">
        <f t="shared" si="60"/>
        <v>45761</v>
      </c>
      <c r="D1150" s="29">
        <f>DAY(Dati[[#This Row],[Data]])</f>
        <v>14</v>
      </c>
      <c r="E1150" s="29" t="str">
        <f>IF(DAY(Data!$C$21:$C$1327)&gt;0,TEXT(Data!$C$21:$C$1327, "mmmm"),"")</f>
        <v>aprile</v>
      </c>
      <c r="F1150" s="29" t="str">
        <f>IF(DAY(Data!$C$21:$C$1327)&gt;0,TEXT(Data!$C$21:$C$1327, "aaaa"),"")</f>
        <v>2025</v>
      </c>
      <c r="I1150" t="str">
        <f>IF(OR(H1150=$B$5,H1150=$B$6,H1150=$B$7,H1150=$B$8,H1150=$B$9,H1150=$B$10,H1150=$B$11,H1150=$B$12,H1150=$B$13,H1150=$B$14),SottocategorieUscite[[#Headers],[Fuori Casa]],IF(OR(H1150=$C$5,H1150=$C$6,H1150=$C$7,H1150=$C$8,H1150=$C$9,H1150=$C$10,H1150=$C$11,H1150=$C$12,H1150=$C$13,H1150=$C$14),SottocategorieUscite[[#Headers],[Varie Uscite]],IF(OR(H1150=$D$5,H1150=$D$6,H1150=$D$7,H1150=$D$8,H1150=$D$9,H1150=$D$10,H1150=$D$11,H1150=$D$12,H1150=$D$13,H1150=$D$14),SottocategorieUscite[[#Headers],[Personali]],IF(OR(H1150=$E$5,H1150=$E$6,H1150=$E$7,H1150=$E$8,H1150=$E$9,H1150=$E$10,H1150=$E$11,H1150=$E$12,H1150=$E$13,H1150=$E$14),SottocategorieUscite[[#Headers],[Lavoro]],IF(OR(H1150=$F$5,H1150=$F$6,H1150=$F$7,H1150=$F$8,H1150=$F$9,H1150=$F$10,H1150=$F$11,H1150=$F$12,H1150=$F$13,H1150=$F$14),SottocategorieUscite[[#Headers],[Casa]],IF(OR(H1150=$G$5,H1150=$G$6,H1150=$G$7,H1150=$G$8,H1150=$G$9,H1150=$G$10,H1150=$G$11,H1150=$G$12,H1150=$G$13,H1150=$G$14),SottocategorieUscite[[#Headers],[Utenze]],IF(OR(H1150=$H$5,H1150=$H$6,H1150=$H$7,H1150=$H$8,H1150=$H$9,H1150=$H$10,H1150=$H$11,H1150=$H$12,H1150=$H$13,H1150=$H$14),SottocategorieUscite[[#Headers],[Business Uscite]],IF(OR(H1150=$I$5,H1150=$I$6,H1150=$I$7,H1150=$I$8,H1150=$I$9,H1150=$I$10,H1150=$I$11,H1150=$I$12,H1150=$I$13,H1150=$I$14),SottocategorieUscite[[#Headers],[Banca]],IF(OR(H1150=K$5,H1150=K$6,H1150=K$7,H1150=K$8,H1150=K$9,H1150=K$10,H1150=K$11,H1150=K$12,H1150=K$13,H1150=K$14),SottocategorieEntrate[[#Headers],[Business Entrate]],IF(OR(H1150=L$5,H1150=L$6,H1150=L$7,H1150=L$8,H1150=L$9,H1150=L$10,H1150=L$11,H1150=L$12,H1150=L$13,H1150=L$14),SottocategorieEntrate[[#Headers],[Varie Entrate]],IF(OR(H1150=M$5,H1150=M$6,H1150=M$7,H1150=M$8,H1150=M$9,H1150=M$10,H1150=M$11,H1150=M$12,H1150=M$13,H1150=M$14),SottocategorieEntrate[[#Headers],[Real Estate]],IF(OR(H1150=N$5,H1150=N$6,H1150=N$7,H1150=N$8,H1150=N$9,H1150=N$10,H1150=N$11,H1150=N$12,H1150=N$13,H1150=N$14),SottocategorieEntrate[[#Headers],[Other]],""))))))))))))</f>
        <v/>
      </c>
      <c r="J1150" t="str">
        <f>IF(OR(Dati[[#This Row],[Categoria]]="Bollette",Dati[[#This Row],[Categoria]]="Conto &amp; Carte BNL",Dati[[#This Row],[Categoria]]="Prelievo",Dati[[#This Row],[Categoria]]="Affitto",Dati[[#This Row],[Categoria]]="BNL(Interessi Creditori)"),"Carta",IF(Dati[[#This Row],[Categoria]]&lt;&gt;0,"Cash",""))</f>
        <v/>
      </c>
      <c r="K1150" s="59" t="str">
        <f>IF(OR(Data!$I1150=SottocategorieUscite[[#Headers],[Fuori Casa]],Data!$I1150=SottocategorieUscite[[#Headers],[Varie Uscite]],Data!$I1150=SottocategorieUscite[[#Headers],[Personali]],Data!$I1150=SottocategorieUscite[[#Headers],[Lavoro]]),"$ -","")</f>
        <v/>
      </c>
      <c r="L1150" s="59" t="str">
        <f>IF(OR(Data!$I1150=SottocategorieUscite[[#Headers],[Casa]],Data!$I1150=SottocategorieUscite[[#Headers],[Utenze]],Data!$I1150=SottocategorieUscite[[#Headers],[Business Uscite]],Data!$I1150=SottocategorieUscite[[#Headers],[Banca]]),"$ -","")</f>
        <v/>
      </c>
      <c r="M1150" s="59" t="str">
        <f>IF(OR($I1150&lt;&gt;SottocategorieUscite[[#Headers],[Fuori Casa]],$I1150&lt;&gt;SottocategorieUscite[[#Headers],[Varie Uscite]],$I1150&lt;&gt;SottocategorieUscite[[#Headers],[Personali]],$I1150&lt;&gt;SottocategorieUscite[[#Headers],[Lavoro]],$I1150&lt;&gt;SottocategorieUscite[[#Headers],[Casa]],$I1150&lt;&gt;SottocategorieUscite[[#Headers],[Utenze]],$I1150&lt;&gt;SottocategorieUscite[[#Headers],[Business Uscite]],$I1150&lt;&gt;SottocategorieUscite[[#Headers],[Banca]]),"","$ -")</f>
        <v/>
      </c>
      <c r="N1150" s="59" t="str">
        <f>IF(OR(Data!$I1150=SottocategorieEntrate[[#Headers],[Business Entrate]],Data!$I1150=SottocategorieEntrate[[#Headers],[Varie Entrate]]),"$ -","")</f>
        <v/>
      </c>
      <c r="O1150" s="59" t="str">
        <f>IF(OR(Data!$I1150=SottocategorieEntrate[[#Headers],[Real Estate]],SottocategorieEntrate[[#Headers],[Other]]),"$ -","")</f>
        <v/>
      </c>
      <c r="P1150" s="59" t="str">
        <f>IF(OR($I1150&lt;&gt;SottocategorieEntrate[[#Headers],[Business Entrate]],$I1150&lt;&gt;SottocategorieEntrate[[#Headers],[Varie Entrate]],$I1150&lt;&gt;SottocategorieEntrate[[#Headers],[Real Estate]],$I1150&lt;&gt;SottocategorieEntrate[[#Headers],[Other]]),"","$ -")</f>
        <v/>
      </c>
      <c r="Q1150" s="59" t="str">
        <f>IF(Dati[[#This Row],[Categoria]]="Prelievo","€ -","")</f>
        <v/>
      </c>
      <c r="R1150" s="244"/>
      <c r="S1150" s="59" t="str">
        <f>IF(Dati[[#This Row],[Categoria]]="Savings",0,"")</f>
        <v/>
      </c>
      <c r="T1150" s="59"/>
      <c r="U1150" s="59"/>
      <c r="V1150" s="59"/>
      <c r="W1150" s="59"/>
      <c r="X1150" s="59"/>
      <c r="Y1150" s="59"/>
      <c r="Z1150" s="59"/>
      <c r="AA1150" s="59"/>
      <c r="AB1150" s="59"/>
      <c r="AC1150" s="59"/>
      <c r="AD1150" s="59"/>
      <c r="AE1150" s="59"/>
      <c r="AF1150" s="59"/>
      <c r="AG1150" s="59"/>
      <c r="AH1150" s="59"/>
      <c r="AI1150" s="59" t="str">
        <f>IF(SUM(Dati[[#This Row],[Inv. Business]:[Inv. Cryptocurrency]])=0," ",SUM(Dati[[#This Row],[Inv. Business]:[Inv. Cryptocurrency]]))</f>
        <v xml:space="preserve"> </v>
      </c>
      <c r="AJ1150" s="59"/>
      <c r="AK1150" s="59" t="str">
        <f>IF(SUM(Dati[[#This Row],[Inv. Gold]:[Mutuo]])=0," ",SUM(Dati[[#This Row],[Inv. Gold]:[Mutuo]]))</f>
        <v xml:space="preserve"> </v>
      </c>
      <c r="AL1150" s="59"/>
      <c r="AM1150" s="59"/>
    </row>
    <row r="1151" spans="2:39" x14ac:dyDescent="0.35">
      <c r="B1151" s="237">
        <f t="shared" si="61"/>
        <v>1130</v>
      </c>
      <c r="C1151" s="49">
        <f t="shared" si="60"/>
        <v>45762</v>
      </c>
      <c r="D1151" s="29">
        <f>DAY(Dati[[#This Row],[Data]])</f>
        <v>15</v>
      </c>
      <c r="E1151" s="29" t="str">
        <f>IF(DAY(Data!$C$21:$C$1327)&gt;0,TEXT(Data!$C$21:$C$1327, "mmmm"),"")</f>
        <v>aprile</v>
      </c>
      <c r="F1151" s="29" t="str">
        <f>IF(DAY(Data!$C$21:$C$1327)&gt;0,TEXT(Data!$C$21:$C$1327, "aaaa"),"")</f>
        <v>2025</v>
      </c>
      <c r="I1151" t="str">
        <f>IF(OR(H1151=$B$5,H1151=$B$6,H1151=$B$7,H1151=$B$8,H1151=$B$9,H1151=$B$10,H1151=$B$11,H1151=$B$12,H1151=$B$13,H1151=$B$14),SottocategorieUscite[[#Headers],[Fuori Casa]],IF(OR(H1151=$C$5,H1151=$C$6,H1151=$C$7,H1151=$C$8,H1151=$C$9,H1151=$C$10,H1151=$C$11,H1151=$C$12,H1151=$C$13,H1151=$C$14),SottocategorieUscite[[#Headers],[Varie Uscite]],IF(OR(H1151=$D$5,H1151=$D$6,H1151=$D$7,H1151=$D$8,H1151=$D$9,H1151=$D$10,H1151=$D$11,H1151=$D$12,H1151=$D$13,H1151=$D$14),SottocategorieUscite[[#Headers],[Personali]],IF(OR(H1151=$E$5,H1151=$E$6,H1151=$E$7,H1151=$E$8,H1151=$E$9,H1151=$E$10,H1151=$E$11,H1151=$E$12,H1151=$E$13,H1151=$E$14),SottocategorieUscite[[#Headers],[Lavoro]],IF(OR(H1151=$F$5,H1151=$F$6,H1151=$F$7,H1151=$F$8,H1151=$F$9,H1151=$F$10,H1151=$F$11,H1151=$F$12,H1151=$F$13,H1151=$F$14),SottocategorieUscite[[#Headers],[Casa]],IF(OR(H1151=$G$5,H1151=$G$6,H1151=$G$7,H1151=$G$8,H1151=$G$9,H1151=$G$10,H1151=$G$11,H1151=$G$12,H1151=$G$13,H1151=$G$14),SottocategorieUscite[[#Headers],[Utenze]],IF(OR(H1151=$H$5,H1151=$H$6,H1151=$H$7,H1151=$H$8,H1151=$H$9,H1151=$H$10,H1151=$H$11,H1151=$H$12,H1151=$H$13,H1151=$H$14),SottocategorieUscite[[#Headers],[Business Uscite]],IF(OR(H1151=$I$5,H1151=$I$6,H1151=$I$7,H1151=$I$8,H1151=$I$9,H1151=$I$10,H1151=$I$11,H1151=$I$12,H1151=$I$13,H1151=$I$14),SottocategorieUscite[[#Headers],[Banca]],IF(OR(H1151=K$5,H1151=K$6,H1151=K$7,H1151=K$8,H1151=K$9,H1151=K$10,H1151=K$11,H1151=K$12,H1151=K$13,H1151=K$14),SottocategorieEntrate[[#Headers],[Business Entrate]],IF(OR(H1151=L$5,H1151=L$6,H1151=L$7,H1151=L$8,H1151=L$9,H1151=L$10,H1151=L$11,H1151=L$12,H1151=L$13,H1151=L$14),SottocategorieEntrate[[#Headers],[Varie Entrate]],IF(OR(H1151=M$5,H1151=M$6,H1151=M$7,H1151=M$8,H1151=M$9,H1151=M$10,H1151=M$11,H1151=M$12,H1151=M$13,H1151=M$14),SottocategorieEntrate[[#Headers],[Real Estate]],IF(OR(H1151=N$5,H1151=N$6,H1151=N$7,H1151=N$8,H1151=N$9,H1151=N$10,H1151=N$11,H1151=N$12,H1151=N$13,H1151=N$14),SottocategorieEntrate[[#Headers],[Other]],""))))))))))))</f>
        <v/>
      </c>
      <c r="J1151" t="str">
        <f>IF(OR(Dati[[#This Row],[Categoria]]="Bollette",Dati[[#This Row],[Categoria]]="Conto &amp; Carte BNL",Dati[[#This Row],[Categoria]]="Prelievo",Dati[[#This Row],[Categoria]]="Affitto",Dati[[#This Row],[Categoria]]="BNL(Interessi Creditori)"),"Carta",IF(Dati[[#This Row],[Categoria]]&lt;&gt;0,"Cash",""))</f>
        <v/>
      </c>
      <c r="K1151" s="59" t="str">
        <f>IF(OR(Data!$I1151=SottocategorieUscite[[#Headers],[Fuori Casa]],Data!$I1151=SottocategorieUscite[[#Headers],[Varie Uscite]],Data!$I1151=SottocategorieUscite[[#Headers],[Personali]],Data!$I1151=SottocategorieUscite[[#Headers],[Lavoro]]),"$ -","")</f>
        <v/>
      </c>
      <c r="L1151" s="59" t="str">
        <f>IF(OR(Data!$I1151=SottocategorieUscite[[#Headers],[Casa]],Data!$I1151=SottocategorieUscite[[#Headers],[Utenze]],Data!$I1151=SottocategorieUscite[[#Headers],[Business Uscite]],Data!$I1151=SottocategorieUscite[[#Headers],[Banca]]),"$ -","")</f>
        <v/>
      </c>
      <c r="M1151" s="59" t="str">
        <f>IF(OR($I1151&lt;&gt;SottocategorieUscite[[#Headers],[Fuori Casa]],$I1151&lt;&gt;SottocategorieUscite[[#Headers],[Varie Uscite]],$I1151&lt;&gt;SottocategorieUscite[[#Headers],[Personali]],$I1151&lt;&gt;SottocategorieUscite[[#Headers],[Lavoro]],$I1151&lt;&gt;SottocategorieUscite[[#Headers],[Casa]],$I1151&lt;&gt;SottocategorieUscite[[#Headers],[Utenze]],$I1151&lt;&gt;SottocategorieUscite[[#Headers],[Business Uscite]],$I1151&lt;&gt;SottocategorieUscite[[#Headers],[Banca]]),"","$ -")</f>
        <v/>
      </c>
      <c r="N1151" s="59" t="str">
        <f>IF(OR(Data!$I1151=SottocategorieEntrate[[#Headers],[Business Entrate]],Data!$I1151=SottocategorieEntrate[[#Headers],[Varie Entrate]]),"$ -","")</f>
        <v/>
      </c>
      <c r="O1151" s="59" t="str">
        <f>IF(OR(Data!$I1151=SottocategorieEntrate[[#Headers],[Real Estate]],SottocategorieEntrate[[#Headers],[Other]]),"$ -","")</f>
        <v/>
      </c>
      <c r="P1151" s="59" t="str">
        <f>IF(OR($I1151&lt;&gt;SottocategorieEntrate[[#Headers],[Business Entrate]],$I1151&lt;&gt;SottocategorieEntrate[[#Headers],[Varie Entrate]],$I1151&lt;&gt;SottocategorieEntrate[[#Headers],[Real Estate]],$I1151&lt;&gt;SottocategorieEntrate[[#Headers],[Other]]),"","$ -")</f>
        <v/>
      </c>
      <c r="Q1151" s="59" t="str">
        <f>IF(Dati[[#This Row],[Categoria]]="Prelievo","€ -","")</f>
        <v/>
      </c>
      <c r="R1151" s="244"/>
      <c r="S1151" s="59" t="str">
        <f>IF(Dati[[#This Row],[Categoria]]="Savings",0,"")</f>
        <v/>
      </c>
      <c r="T1151" s="59"/>
      <c r="U1151" s="59"/>
      <c r="V1151" s="59"/>
      <c r="W1151" s="59"/>
      <c r="X1151" s="59"/>
      <c r="Y1151" s="59"/>
      <c r="Z1151" s="59"/>
      <c r="AA1151" s="59"/>
      <c r="AB1151" s="59"/>
      <c r="AC1151" s="59"/>
      <c r="AD1151" s="59"/>
      <c r="AE1151" s="59"/>
      <c r="AF1151" s="59"/>
      <c r="AG1151" s="59"/>
      <c r="AH1151" s="59"/>
      <c r="AI1151" s="59" t="str">
        <f>IF(SUM(Dati[[#This Row],[Inv. Business]:[Inv. Cryptocurrency]])=0," ",SUM(Dati[[#This Row],[Inv. Business]:[Inv. Cryptocurrency]]))</f>
        <v xml:space="preserve"> </v>
      </c>
      <c r="AJ1151" s="59"/>
      <c r="AK1151" s="59" t="str">
        <f>IF(SUM(Dati[[#This Row],[Inv. Gold]:[Mutuo]])=0," ",SUM(Dati[[#This Row],[Inv. Gold]:[Mutuo]]))</f>
        <v xml:space="preserve"> </v>
      </c>
      <c r="AL1151" s="59"/>
      <c r="AM1151" s="59"/>
    </row>
    <row r="1152" spans="2:39" x14ac:dyDescent="0.35">
      <c r="B1152" s="237">
        <f t="shared" si="61"/>
        <v>1131</v>
      </c>
      <c r="C1152" s="49">
        <f t="shared" si="60"/>
        <v>45763</v>
      </c>
      <c r="D1152" s="29">
        <f>DAY(Dati[[#This Row],[Data]])</f>
        <v>16</v>
      </c>
      <c r="E1152" s="29" t="str">
        <f>IF(DAY(Data!$C$21:$C$1327)&gt;0,TEXT(Data!$C$21:$C$1327, "mmmm"),"")</f>
        <v>aprile</v>
      </c>
      <c r="F1152" s="29" t="str">
        <f>IF(DAY(Data!$C$21:$C$1327)&gt;0,TEXT(Data!$C$21:$C$1327, "aaaa"),"")</f>
        <v>2025</v>
      </c>
      <c r="I1152" t="str">
        <f>IF(OR(H1152=$B$5,H1152=$B$6,H1152=$B$7,H1152=$B$8,H1152=$B$9,H1152=$B$10,H1152=$B$11,H1152=$B$12,H1152=$B$13,H1152=$B$14),SottocategorieUscite[[#Headers],[Fuori Casa]],IF(OR(H1152=$C$5,H1152=$C$6,H1152=$C$7,H1152=$C$8,H1152=$C$9,H1152=$C$10,H1152=$C$11,H1152=$C$12,H1152=$C$13,H1152=$C$14),SottocategorieUscite[[#Headers],[Varie Uscite]],IF(OR(H1152=$D$5,H1152=$D$6,H1152=$D$7,H1152=$D$8,H1152=$D$9,H1152=$D$10,H1152=$D$11,H1152=$D$12,H1152=$D$13,H1152=$D$14),SottocategorieUscite[[#Headers],[Personali]],IF(OR(H1152=$E$5,H1152=$E$6,H1152=$E$7,H1152=$E$8,H1152=$E$9,H1152=$E$10,H1152=$E$11,H1152=$E$12,H1152=$E$13,H1152=$E$14),SottocategorieUscite[[#Headers],[Lavoro]],IF(OR(H1152=$F$5,H1152=$F$6,H1152=$F$7,H1152=$F$8,H1152=$F$9,H1152=$F$10,H1152=$F$11,H1152=$F$12,H1152=$F$13,H1152=$F$14),SottocategorieUscite[[#Headers],[Casa]],IF(OR(H1152=$G$5,H1152=$G$6,H1152=$G$7,H1152=$G$8,H1152=$G$9,H1152=$G$10,H1152=$G$11,H1152=$G$12,H1152=$G$13,H1152=$G$14),SottocategorieUscite[[#Headers],[Utenze]],IF(OR(H1152=$H$5,H1152=$H$6,H1152=$H$7,H1152=$H$8,H1152=$H$9,H1152=$H$10,H1152=$H$11,H1152=$H$12,H1152=$H$13,H1152=$H$14),SottocategorieUscite[[#Headers],[Business Uscite]],IF(OR(H1152=$I$5,H1152=$I$6,H1152=$I$7,H1152=$I$8,H1152=$I$9,H1152=$I$10,H1152=$I$11,H1152=$I$12,H1152=$I$13,H1152=$I$14),SottocategorieUscite[[#Headers],[Banca]],IF(OR(H1152=K$5,H1152=K$6,H1152=K$7,H1152=K$8,H1152=K$9,H1152=K$10,H1152=K$11,H1152=K$12,H1152=K$13,H1152=K$14),SottocategorieEntrate[[#Headers],[Business Entrate]],IF(OR(H1152=L$5,H1152=L$6,H1152=L$7,H1152=L$8,H1152=L$9,H1152=L$10,H1152=L$11,H1152=L$12,H1152=L$13,H1152=L$14),SottocategorieEntrate[[#Headers],[Varie Entrate]],IF(OR(H1152=M$5,H1152=M$6,H1152=M$7,H1152=M$8,H1152=M$9,H1152=M$10,H1152=M$11,H1152=M$12,H1152=M$13,H1152=M$14),SottocategorieEntrate[[#Headers],[Real Estate]],IF(OR(H1152=N$5,H1152=N$6,H1152=N$7,H1152=N$8,H1152=N$9,H1152=N$10,H1152=N$11,H1152=N$12,H1152=N$13,H1152=N$14),SottocategorieEntrate[[#Headers],[Other]],""))))))))))))</f>
        <v/>
      </c>
      <c r="J1152" t="str">
        <f>IF(OR(Dati[[#This Row],[Categoria]]="Bollette",Dati[[#This Row],[Categoria]]="Conto &amp; Carte BNL",Dati[[#This Row],[Categoria]]="Prelievo",Dati[[#This Row],[Categoria]]="Affitto",Dati[[#This Row],[Categoria]]="BNL(Interessi Creditori)"),"Carta",IF(Dati[[#This Row],[Categoria]]&lt;&gt;0,"Cash",""))</f>
        <v/>
      </c>
      <c r="K1152" s="59" t="str">
        <f>IF(OR(Data!$I1152=SottocategorieUscite[[#Headers],[Fuori Casa]],Data!$I1152=SottocategorieUscite[[#Headers],[Varie Uscite]],Data!$I1152=SottocategorieUscite[[#Headers],[Personali]],Data!$I1152=SottocategorieUscite[[#Headers],[Lavoro]]),"$ -","")</f>
        <v/>
      </c>
      <c r="L1152" s="59" t="str">
        <f>IF(OR(Data!$I1152=SottocategorieUscite[[#Headers],[Casa]],Data!$I1152=SottocategorieUscite[[#Headers],[Utenze]],Data!$I1152=SottocategorieUscite[[#Headers],[Business Uscite]],Data!$I1152=SottocategorieUscite[[#Headers],[Banca]]),"$ -","")</f>
        <v/>
      </c>
      <c r="M1152" s="59" t="str">
        <f>IF(OR($I1152&lt;&gt;SottocategorieUscite[[#Headers],[Fuori Casa]],$I1152&lt;&gt;SottocategorieUscite[[#Headers],[Varie Uscite]],$I1152&lt;&gt;SottocategorieUscite[[#Headers],[Personali]],$I1152&lt;&gt;SottocategorieUscite[[#Headers],[Lavoro]],$I1152&lt;&gt;SottocategorieUscite[[#Headers],[Casa]],$I1152&lt;&gt;SottocategorieUscite[[#Headers],[Utenze]],$I1152&lt;&gt;SottocategorieUscite[[#Headers],[Business Uscite]],$I1152&lt;&gt;SottocategorieUscite[[#Headers],[Banca]]),"","$ -")</f>
        <v/>
      </c>
      <c r="N1152" s="59" t="str">
        <f>IF(OR(Data!$I1152=SottocategorieEntrate[[#Headers],[Business Entrate]],Data!$I1152=SottocategorieEntrate[[#Headers],[Varie Entrate]]),"$ -","")</f>
        <v/>
      </c>
      <c r="O1152" s="59" t="str">
        <f>IF(OR(Data!$I1152=SottocategorieEntrate[[#Headers],[Real Estate]],SottocategorieEntrate[[#Headers],[Other]]),"$ -","")</f>
        <v/>
      </c>
      <c r="P1152" s="59" t="str">
        <f>IF(OR($I1152&lt;&gt;SottocategorieEntrate[[#Headers],[Business Entrate]],$I1152&lt;&gt;SottocategorieEntrate[[#Headers],[Varie Entrate]],$I1152&lt;&gt;SottocategorieEntrate[[#Headers],[Real Estate]],$I1152&lt;&gt;SottocategorieEntrate[[#Headers],[Other]]),"","$ -")</f>
        <v/>
      </c>
      <c r="Q1152" s="59" t="str">
        <f>IF(Dati[[#This Row],[Categoria]]="Prelievo","€ -","")</f>
        <v/>
      </c>
      <c r="R1152" s="244"/>
      <c r="S1152" s="59" t="str">
        <f>IF(Dati[[#This Row],[Categoria]]="Savings",0,"")</f>
        <v/>
      </c>
      <c r="T1152" s="59"/>
      <c r="U1152" s="59"/>
      <c r="V1152" s="59"/>
      <c r="W1152" s="59"/>
      <c r="X1152" s="59"/>
      <c r="Y1152" s="59"/>
      <c r="Z1152" s="59"/>
      <c r="AA1152" s="59"/>
      <c r="AB1152" s="59"/>
      <c r="AC1152" s="59"/>
      <c r="AD1152" s="59"/>
      <c r="AE1152" s="59"/>
      <c r="AF1152" s="59"/>
      <c r="AG1152" s="59"/>
      <c r="AH1152" s="59"/>
      <c r="AI1152" s="59" t="str">
        <f>IF(SUM(Dati[[#This Row],[Inv. Business]:[Inv. Cryptocurrency]])=0," ",SUM(Dati[[#This Row],[Inv. Business]:[Inv. Cryptocurrency]]))</f>
        <v xml:space="preserve"> </v>
      </c>
      <c r="AJ1152" s="59"/>
      <c r="AK1152" s="59" t="str">
        <f>IF(SUM(Dati[[#This Row],[Inv. Gold]:[Mutuo]])=0," ",SUM(Dati[[#This Row],[Inv. Gold]:[Mutuo]]))</f>
        <v xml:space="preserve"> </v>
      </c>
      <c r="AL1152" s="59"/>
      <c r="AM1152" s="59"/>
    </row>
    <row r="1153" spans="2:39" x14ac:dyDescent="0.35">
      <c r="B1153" s="237">
        <f t="shared" si="61"/>
        <v>1132</v>
      </c>
      <c r="C1153" s="49">
        <f t="shared" si="60"/>
        <v>45764</v>
      </c>
      <c r="D1153" s="29">
        <f>DAY(Dati[[#This Row],[Data]])</f>
        <v>17</v>
      </c>
      <c r="E1153" s="29" t="str">
        <f>IF(DAY(Data!$C$21:$C$1327)&gt;0,TEXT(Data!$C$21:$C$1327, "mmmm"),"")</f>
        <v>aprile</v>
      </c>
      <c r="F1153" s="29" t="str">
        <f>IF(DAY(Data!$C$21:$C$1327)&gt;0,TEXT(Data!$C$21:$C$1327, "aaaa"),"")</f>
        <v>2025</v>
      </c>
      <c r="I1153" t="str">
        <f>IF(OR(H1153=$B$5,H1153=$B$6,H1153=$B$7,H1153=$B$8,H1153=$B$9,H1153=$B$10,H1153=$B$11,H1153=$B$12,H1153=$B$13,H1153=$B$14),SottocategorieUscite[[#Headers],[Fuori Casa]],IF(OR(H1153=$C$5,H1153=$C$6,H1153=$C$7,H1153=$C$8,H1153=$C$9,H1153=$C$10,H1153=$C$11,H1153=$C$12,H1153=$C$13,H1153=$C$14),SottocategorieUscite[[#Headers],[Varie Uscite]],IF(OR(H1153=$D$5,H1153=$D$6,H1153=$D$7,H1153=$D$8,H1153=$D$9,H1153=$D$10,H1153=$D$11,H1153=$D$12,H1153=$D$13,H1153=$D$14),SottocategorieUscite[[#Headers],[Personali]],IF(OR(H1153=$E$5,H1153=$E$6,H1153=$E$7,H1153=$E$8,H1153=$E$9,H1153=$E$10,H1153=$E$11,H1153=$E$12,H1153=$E$13,H1153=$E$14),SottocategorieUscite[[#Headers],[Lavoro]],IF(OR(H1153=$F$5,H1153=$F$6,H1153=$F$7,H1153=$F$8,H1153=$F$9,H1153=$F$10,H1153=$F$11,H1153=$F$12,H1153=$F$13,H1153=$F$14),SottocategorieUscite[[#Headers],[Casa]],IF(OR(H1153=$G$5,H1153=$G$6,H1153=$G$7,H1153=$G$8,H1153=$G$9,H1153=$G$10,H1153=$G$11,H1153=$G$12,H1153=$G$13,H1153=$G$14),SottocategorieUscite[[#Headers],[Utenze]],IF(OR(H1153=$H$5,H1153=$H$6,H1153=$H$7,H1153=$H$8,H1153=$H$9,H1153=$H$10,H1153=$H$11,H1153=$H$12,H1153=$H$13,H1153=$H$14),SottocategorieUscite[[#Headers],[Business Uscite]],IF(OR(H1153=$I$5,H1153=$I$6,H1153=$I$7,H1153=$I$8,H1153=$I$9,H1153=$I$10,H1153=$I$11,H1153=$I$12,H1153=$I$13,H1153=$I$14),SottocategorieUscite[[#Headers],[Banca]],IF(OR(H1153=K$5,H1153=K$6,H1153=K$7,H1153=K$8,H1153=K$9,H1153=K$10,H1153=K$11,H1153=K$12,H1153=K$13,H1153=K$14),SottocategorieEntrate[[#Headers],[Business Entrate]],IF(OR(H1153=L$5,H1153=L$6,H1153=L$7,H1153=L$8,H1153=L$9,H1153=L$10,H1153=L$11,H1153=L$12,H1153=L$13,H1153=L$14),SottocategorieEntrate[[#Headers],[Varie Entrate]],IF(OR(H1153=M$5,H1153=M$6,H1153=M$7,H1153=M$8,H1153=M$9,H1153=M$10,H1153=M$11,H1153=M$12,H1153=M$13,H1153=M$14),SottocategorieEntrate[[#Headers],[Real Estate]],IF(OR(H1153=N$5,H1153=N$6,H1153=N$7,H1153=N$8,H1153=N$9,H1153=N$10,H1153=N$11,H1153=N$12,H1153=N$13,H1153=N$14),SottocategorieEntrate[[#Headers],[Other]],""))))))))))))</f>
        <v/>
      </c>
      <c r="J1153" t="str">
        <f>IF(OR(Dati[[#This Row],[Categoria]]="Bollette",Dati[[#This Row],[Categoria]]="Conto &amp; Carte BNL",Dati[[#This Row],[Categoria]]="Prelievo",Dati[[#This Row],[Categoria]]="Affitto",Dati[[#This Row],[Categoria]]="BNL(Interessi Creditori)"),"Carta",IF(Dati[[#This Row],[Categoria]]&lt;&gt;0,"Cash",""))</f>
        <v/>
      </c>
      <c r="K1153" s="59" t="str">
        <f>IF(OR(Data!$I1153=SottocategorieUscite[[#Headers],[Fuori Casa]],Data!$I1153=SottocategorieUscite[[#Headers],[Varie Uscite]],Data!$I1153=SottocategorieUscite[[#Headers],[Personali]],Data!$I1153=SottocategorieUscite[[#Headers],[Lavoro]]),"$ -","")</f>
        <v/>
      </c>
      <c r="L1153" s="59" t="str">
        <f>IF(OR(Data!$I1153=SottocategorieUscite[[#Headers],[Casa]],Data!$I1153=SottocategorieUscite[[#Headers],[Utenze]],Data!$I1153=SottocategorieUscite[[#Headers],[Business Uscite]],Data!$I1153=SottocategorieUscite[[#Headers],[Banca]]),"$ -","")</f>
        <v/>
      </c>
      <c r="M1153" s="59" t="str">
        <f>IF(OR($I1153&lt;&gt;SottocategorieUscite[[#Headers],[Fuori Casa]],$I1153&lt;&gt;SottocategorieUscite[[#Headers],[Varie Uscite]],$I1153&lt;&gt;SottocategorieUscite[[#Headers],[Personali]],$I1153&lt;&gt;SottocategorieUscite[[#Headers],[Lavoro]],$I1153&lt;&gt;SottocategorieUscite[[#Headers],[Casa]],$I1153&lt;&gt;SottocategorieUscite[[#Headers],[Utenze]],$I1153&lt;&gt;SottocategorieUscite[[#Headers],[Business Uscite]],$I1153&lt;&gt;SottocategorieUscite[[#Headers],[Banca]]),"","$ -")</f>
        <v/>
      </c>
      <c r="N1153" s="59" t="str">
        <f>IF(OR(Data!$I1153=SottocategorieEntrate[[#Headers],[Business Entrate]],Data!$I1153=SottocategorieEntrate[[#Headers],[Varie Entrate]]),"$ -","")</f>
        <v/>
      </c>
      <c r="O1153" s="59" t="str">
        <f>IF(OR(Data!$I1153=SottocategorieEntrate[[#Headers],[Real Estate]],SottocategorieEntrate[[#Headers],[Other]]),"$ -","")</f>
        <v/>
      </c>
      <c r="P1153" s="59" t="str">
        <f>IF(OR($I1153&lt;&gt;SottocategorieEntrate[[#Headers],[Business Entrate]],$I1153&lt;&gt;SottocategorieEntrate[[#Headers],[Varie Entrate]],$I1153&lt;&gt;SottocategorieEntrate[[#Headers],[Real Estate]],$I1153&lt;&gt;SottocategorieEntrate[[#Headers],[Other]]),"","$ -")</f>
        <v/>
      </c>
      <c r="Q1153" s="59" t="str">
        <f>IF(Dati[[#This Row],[Categoria]]="Prelievo","€ -","")</f>
        <v/>
      </c>
      <c r="R1153" s="244"/>
      <c r="S1153" s="59" t="str">
        <f>IF(Dati[[#This Row],[Categoria]]="Savings",0,"")</f>
        <v/>
      </c>
      <c r="T1153" s="59"/>
      <c r="U1153" s="59"/>
      <c r="V1153" s="59"/>
      <c r="W1153" s="59"/>
      <c r="X1153" s="59"/>
      <c r="Y1153" s="59"/>
      <c r="Z1153" s="59"/>
      <c r="AA1153" s="59"/>
      <c r="AB1153" s="59"/>
      <c r="AC1153" s="59"/>
      <c r="AD1153" s="59"/>
      <c r="AE1153" s="59"/>
      <c r="AF1153" s="59"/>
      <c r="AG1153" s="59"/>
      <c r="AH1153" s="59"/>
      <c r="AI1153" s="59" t="str">
        <f>IF(SUM(Dati[[#This Row],[Inv. Business]:[Inv. Cryptocurrency]])=0," ",SUM(Dati[[#This Row],[Inv. Business]:[Inv. Cryptocurrency]]))</f>
        <v xml:space="preserve"> </v>
      </c>
      <c r="AJ1153" s="59"/>
      <c r="AK1153" s="59" t="str">
        <f>IF(SUM(Dati[[#This Row],[Inv. Gold]:[Mutuo]])=0," ",SUM(Dati[[#This Row],[Inv. Gold]:[Mutuo]]))</f>
        <v xml:space="preserve"> </v>
      </c>
      <c r="AL1153" s="59"/>
      <c r="AM1153" s="59"/>
    </row>
    <row r="1154" spans="2:39" x14ac:dyDescent="0.35">
      <c r="B1154" s="237">
        <f t="shared" si="61"/>
        <v>1133</v>
      </c>
      <c r="C1154" s="49">
        <f t="shared" si="60"/>
        <v>45765</v>
      </c>
      <c r="D1154" s="29">
        <f>DAY(Dati[[#This Row],[Data]])</f>
        <v>18</v>
      </c>
      <c r="E1154" s="29" t="str">
        <f>IF(DAY(Data!$C$21:$C$1327)&gt;0,TEXT(Data!$C$21:$C$1327, "mmmm"),"")</f>
        <v>aprile</v>
      </c>
      <c r="F1154" s="29" t="str">
        <f>IF(DAY(Data!$C$21:$C$1327)&gt;0,TEXT(Data!$C$21:$C$1327, "aaaa"),"")</f>
        <v>2025</v>
      </c>
      <c r="I1154" t="str">
        <f>IF(OR(H1154=$B$5,H1154=$B$6,H1154=$B$7,H1154=$B$8,H1154=$B$9,H1154=$B$10,H1154=$B$11,H1154=$B$12,H1154=$B$13,H1154=$B$14),SottocategorieUscite[[#Headers],[Fuori Casa]],IF(OR(H1154=$C$5,H1154=$C$6,H1154=$C$7,H1154=$C$8,H1154=$C$9,H1154=$C$10,H1154=$C$11,H1154=$C$12,H1154=$C$13,H1154=$C$14),SottocategorieUscite[[#Headers],[Varie Uscite]],IF(OR(H1154=$D$5,H1154=$D$6,H1154=$D$7,H1154=$D$8,H1154=$D$9,H1154=$D$10,H1154=$D$11,H1154=$D$12,H1154=$D$13,H1154=$D$14),SottocategorieUscite[[#Headers],[Personali]],IF(OR(H1154=$E$5,H1154=$E$6,H1154=$E$7,H1154=$E$8,H1154=$E$9,H1154=$E$10,H1154=$E$11,H1154=$E$12,H1154=$E$13,H1154=$E$14),SottocategorieUscite[[#Headers],[Lavoro]],IF(OR(H1154=$F$5,H1154=$F$6,H1154=$F$7,H1154=$F$8,H1154=$F$9,H1154=$F$10,H1154=$F$11,H1154=$F$12,H1154=$F$13,H1154=$F$14),SottocategorieUscite[[#Headers],[Casa]],IF(OR(H1154=$G$5,H1154=$G$6,H1154=$G$7,H1154=$G$8,H1154=$G$9,H1154=$G$10,H1154=$G$11,H1154=$G$12,H1154=$G$13,H1154=$G$14),SottocategorieUscite[[#Headers],[Utenze]],IF(OR(H1154=$H$5,H1154=$H$6,H1154=$H$7,H1154=$H$8,H1154=$H$9,H1154=$H$10,H1154=$H$11,H1154=$H$12,H1154=$H$13,H1154=$H$14),SottocategorieUscite[[#Headers],[Business Uscite]],IF(OR(H1154=$I$5,H1154=$I$6,H1154=$I$7,H1154=$I$8,H1154=$I$9,H1154=$I$10,H1154=$I$11,H1154=$I$12,H1154=$I$13,H1154=$I$14),SottocategorieUscite[[#Headers],[Banca]],IF(OR(H1154=K$5,H1154=K$6,H1154=K$7,H1154=K$8,H1154=K$9,H1154=K$10,H1154=K$11,H1154=K$12,H1154=K$13,H1154=K$14),SottocategorieEntrate[[#Headers],[Business Entrate]],IF(OR(H1154=L$5,H1154=L$6,H1154=L$7,H1154=L$8,H1154=L$9,H1154=L$10,H1154=L$11,H1154=L$12,H1154=L$13,H1154=L$14),SottocategorieEntrate[[#Headers],[Varie Entrate]],IF(OR(H1154=M$5,H1154=M$6,H1154=M$7,H1154=M$8,H1154=M$9,H1154=M$10,H1154=M$11,H1154=M$12,H1154=M$13,H1154=M$14),SottocategorieEntrate[[#Headers],[Real Estate]],IF(OR(H1154=N$5,H1154=N$6,H1154=N$7,H1154=N$8,H1154=N$9,H1154=N$10,H1154=N$11,H1154=N$12,H1154=N$13,H1154=N$14),SottocategorieEntrate[[#Headers],[Other]],""))))))))))))</f>
        <v/>
      </c>
      <c r="J1154" t="str">
        <f>IF(OR(Dati[[#This Row],[Categoria]]="Bollette",Dati[[#This Row],[Categoria]]="Conto &amp; Carte BNL",Dati[[#This Row],[Categoria]]="Prelievo",Dati[[#This Row],[Categoria]]="Affitto",Dati[[#This Row],[Categoria]]="BNL(Interessi Creditori)"),"Carta",IF(Dati[[#This Row],[Categoria]]&lt;&gt;0,"Cash",""))</f>
        <v/>
      </c>
      <c r="K1154" s="59" t="str">
        <f>IF(OR(Data!$I1154=SottocategorieUscite[[#Headers],[Fuori Casa]],Data!$I1154=SottocategorieUscite[[#Headers],[Varie Uscite]],Data!$I1154=SottocategorieUscite[[#Headers],[Personali]],Data!$I1154=SottocategorieUscite[[#Headers],[Lavoro]]),"$ -","")</f>
        <v/>
      </c>
      <c r="L1154" s="59" t="str">
        <f>IF(OR(Data!$I1154=SottocategorieUscite[[#Headers],[Casa]],Data!$I1154=SottocategorieUscite[[#Headers],[Utenze]],Data!$I1154=SottocategorieUscite[[#Headers],[Business Uscite]],Data!$I1154=SottocategorieUscite[[#Headers],[Banca]]),"$ -","")</f>
        <v/>
      </c>
      <c r="M1154" s="59" t="str">
        <f>IF(OR($I1154&lt;&gt;SottocategorieUscite[[#Headers],[Fuori Casa]],$I1154&lt;&gt;SottocategorieUscite[[#Headers],[Varie Uscite]],$I1154&lt;&gt;SottocategorieUscite[[#Headers],[Personali]],$I1154&lt;&gt;SottocategorieUscite[[#Headers],[Lavoro]],$I1154&lt;&gt;SottocategorieUscite[[#Headers],[Casa]],$I1154&lt;&gt;SottocategorieUscite[[#Headers],[Utenze]],$I1154&lt;&gt;SottocategorieUscite[[#Headers],[Business Uscite]],$I1154&lt;&gt;SottocategorieUscite[[#Headers],[Banca]]),"","$ -")</f>
        <v/>
      </c>
      <c r="N1154" s="59" t="str">
        <f>IF(OR(Data!$I1154=SottocategorieEntrate[[#Headers],[Business Entrate]],Data!$I1154=SottocategorieEntrate[[#Headers],[Varie Entrate]]),"$ -","")</f>
        <v/>
      </c>
      <c r="O1154" s="59" t="str">
        <f>IF(OR(Data!$I1154=SottocategorieEntrate[[#Headers],[Real Estate]],SottocategorieEntrate[[#Headers],[Other]]),"$ -","")</f>
        <v/>
      </c>
      <c r="P1154" s="59" t="str">
        <f>IF(OR($I1154&lt;&gt;SottocategorieEntrate[[#Headers],[Business Entrate]],$I1154&lt;&gt;SottocategorieEntrate[[#Headers],[Varie Entrate]],$I1154&lt;&gt;SottocategorieEntrate[[#Headers],[Real Estate]],$I1154&lt;&gt;SottocategorieEntrate[[#Headers],[Other]]),"","$ -")</f>
        <v/>
      </c>
      <c r="Q1154" s="59" t="str">
        <f>IF(Dati[[#This Row],[Categoria]]="Prelievo","€ -","")</f>
        <v/>
      </c>
      <c r="R1154" s="244"/>
      <c r="S1154" s="59" t="str">
        <f>IF(Dati[[#This Row],[Categoria]]="Savings",0,"")</f>
        <v/>
      </c>
      <c r="T1154" s="59"/>
      <c r="U1154" s="59"/>
      <c r="V1154" s="59"/>
      <c r="W1154" s="59"/>
      <c r="X1154" s="59"/>
      <c r="Y1154" s="59"/>
      <c r="Z1154" s="59"/>
      <c r="AA1154" s="59"/>
      <c r="AB1154" s="59"/>
      <c r="AC1154" s="59"/>
      <c r="AD1154" s="59"/>
      <c r="AE1154" s="59"/>
      <c r="AF1154" s="59"/>
      <c r="AG1154" s="59"/>
      <c r="AH1154" s="59"/>
      <c r="AI1154" s="59" t="str">
        <f>IF(SUM(Dati[[#This Row],[Inv. Business]:[Inv. Cryptocurrency]])=0," ",SUM(Dati[[#This Row],[Inv. Business]:[Inv. Cryptocurrency]]))</f>
        <v xml:space="preserve"> </v>
      </c>
      <c r="AJ1154" s="59"/>
      <c r="AK1154" s="59" t="str">
        <f>IF(SUM(Dati[[#This Row],[Inv. Gold]:[Mutuo]])=0," ",SUM(Dati[[#This Row],[Inv. Gold]:[Mutuo]]))</f>
        <v xml:space="preserve"> </v>
      </c>
      <c r="AL1154" s="59"/>
      <c r="AM1154" s="59"/>
    </row>
    <row r="1155" spans="2:39" x14ac:dyDescent="0.35">
      <c r="B1155" s="237">
        <f t="shared" si="61"/>
        <v>1134</v>
      </c>
      <c r="C1155" s="49">
        <f t="shared" si="60"/>
        <v>45766</v>
      </c>
      <c r="D1155" s="29">
        <f>DAY(Dati[[#This Row],[Data]])</f>
        <v>19</v>
      </c>
      <c r="E1155" s="29" t="str">
        <f>IF(DAY(Data!$C$21:$C$1327)&gt;0,TEXT(Data!$C$21:$C$1327, "mmmm"),"")</f>
        <v>aprile</v>
      </c>
      <c r="F1155" s="29" t="str">
        <f>IF(DAY(Data!$C$21:$C$1327)&gt;0,TEXT(Data!$C$21:$C$1327, "aaaa"),"")</f>
        <v>2025</v>
      </c>
      <c r="I1155" t="str">
        <f>IF(OR(H1155=$B$5,H1155=$B$6,H1155=$B$7,H1155=$B$8,H1155=$B$9,H1155=$B$10,H1155=$B$11,H1155=$B$12,H1155=$B$13,H1155=$B$14),SottocategorieUscite[[#Headers],[Fuori Casa]],IF(OR(H1155=$C$5,H1155=$C$6,H1155=$C$7,H1155=$C$8,H1155=$C$9,H1155=$C$10,H1155=$C$11,H1155=$C$12,H1155=$C$13,H1155=$C$14),SottocategorieUscite[[#Headers],[Varie Uscite]],IF(OR(H1155=$D$5,H1155=$D$6,H1155=$D$7,H1155=$D$8,H1155=$D$9,H1155=$D$10,H1155=$D$11,H1155=$D$12,H1155=$D$13,H1155=$D$14),SottocategorieUscite[[#Headers],[Personali]],IF(OR(H1155=$E$5,H1155=$E$6,H1155=$E$7,H1155=$E$8,H1155=$E$9,H1155=$E$10,H1155=$E$11,H1155=$E$12,H1155=$E$13,H1155=$E$14),SottocategorieUscite[[#Headers],[Lavoro]],IF(OR(H1155=$F$5,H1155=$F$6,H1155=$F$7,H1155=$F$8,H1155=$F$9,H1155=$F$10,H1155=$F$11,H1155=$F$12,H1155=$F$13,H1155=$F$14),SottocategorieUscite[[#Headers],[Casa]],IF(OR(H1155=$G$5,H1155=$G$6,H1155=$G$7,H1155=$G$8,H1155=$G$9,H1155=$G$10,H1155=$G$11,H1155=$G$12,H1155=$G$13,H1155=$G$14),SottocategorieUscite[[#Headers],[Utenze]],IF(OR(H1155=$H$5,H1155=$H$6,H1155=$H$7,H1155=$H$8,H1155=$H$9,H1155=$H$10,H1155=$H$11,H1155=$H$12,H1155=$H$13,H1155=$H$14),SottocategorieUscite[[#Headers],[Business Uscite]],IF(OR(H1155=$I$5,H1155=$I$6,H1155=$I$7,H1155=$I$8,H1155=$I$9,H1155=$I$10,H1155=$I$11,H1155=$I$12,H1155=$I$13,H1155=$I$14),SottocategorieUscite[[#Headers],[Banca]],IF(OR(H1155=K$5,H1155=K$6,H1155=K$7,H1155=K$8,H1155=K$9,H1155=K$10,H1155=K$11,H1155=K$12,H1155=K$13,H1155=K$14),SottocategorieEntrate[[#Headers],[Business Entrate]],IF(OR(H1155=L$5,H1155=L$6,H1155=L$7,H1155=L$8,H1155=L$9,H1155=L$10,H1155=L$11,H1155=L$12,H1155=L$13,H1155=L$14),SottocategorieEntrate[[#Headers],[Varie Entrate]],IF(OR(H1155=M$5,H1155=M$6,H1155=M$7,H1155=M$8,H1155=M$9,H1155=M$10,H1155=M$11,H1155=M$12,H1155=M$13,H1155=M$14),SottocategorieEntrate[[#Headers],[Real Estate]],IF(OR(H1155=N$5,H1155=N$6,H1155=N$7,H1155=N$8,H1155=N$9,H1155=N$10,H1155=N$11,H1155=N$12,H1155=N$13,H1155=N$14),SottocategorieEntrate[[#Headers],[Other]],""))))))))))))</f>
        <v/>
      </c>
      <c r="J1155" t="str">
        <f>IF(OR(Dati[[#This Row],[Categoria]]="Bollette",Dati[[#This Row],[Categoria]]="Conto &amp; Carte BNL",Dati[[#This Row],[Categoria]]="Prelievo",Dati[[#This Row],[Categoria]]="Affitto",Dati[[#This Row],[Categoria]]="BNL(Interessi Creditori)"),"Carta",IF(Dati[[#This Row],[Categoria]]&lt;&gt;0,"Cash",""))</f>
        <v/>
      </c>
      <c r="K1155" s="59" t="str">
        <f>IF(OR(Data!$I1155=SottocategorieUscite[[#Headers],[Fuori Casa]],Data!$I1155=SottocategorieUscite[[#Headers],[Varie Uscite]],Data!$I1155=SottocategorieUscite[[#Headers],[Personali]],Data!$I1155=SottocategorieUscite[[#Headers],[Lavoro]]),"$ -","")</f>
        <v/>
      </c>
      <c r="L1155" s="59" t="str">
        <f>IF(OR(Data!$I1155=SottocategorieUscite[[#Headers],[Casa]],Data!$I1155=SottocategorieUscite[[#Headers],[Utenze]],Data!$I1155=SottocategorieUscite[[#Headers],[Business Uscite]],Data!$I1155=SottocategorieUscite[[#Headers],[Banca]]),"$ -","")</f>
        <v/>
      </c>
      <c r="M1155" s="59" t="str">
        <f>IF(OR($I1155&lt;&gt;SottocategorieUscite[[#Headers],[Fuori Casa]],$I1155&lt;&gt;SottocategorieUscite[[#Headers],[Varie Uscite]],$I1155&lt;&gt;SottocategorieUscite[[#Headers],[Personali]],$I1155&lt;&gt;SottocategorieUscite[[#Headers],[Lavoro]],$I1155&lt;&gt;SottocategorieUscite[[#Headers],[Casa]],$I1155&lt;&gt;SottocategorieUscite[[#Headers],[Utenze]],$I1155&lt;&gt;SottocategorieUscite[[#Headers],[Business Uscite]],$I1155&lt;&gt;SottocategorieUscite[[#Headers],[Banca]]),"","$ -")</f>
        <v/>
      </c>
      <c r="N1155" s="59" t="str">
        <f>IF(OR(Data!$I1155=SottocategorieEntrate[[#Headers],[Business Entrate]],Data!$I1155=SottocategorieEntrate[[#Headers],[Varie Entrate]]),"$ -","")</f>
        <v/>
      </c>
      <c r="O1155" s="59" t="str">
        <f>IF(OR(Data!$I1155=SottocategorieEntrate[[#Headers],[Real Estate]],SottocategorieEntrate[[#Headers],[Other]]),"$ -","")</f>
        <v/>
      </c>
      <c r="P1155" s="59" t="str">
        <f>IF(OR($I1155&lt;&gt;SottocategorieEntrate[[#Headers],[Business Entrate]],$I1155&lt;&gt;SottocategorieEntrate[[#Headers],[Varie Entrate]],$I1155&lt;&gt;SottocategorieEntrate[[#Headers],[Real Estate]],$I1155&lt;&gt;SottocategorieEntrate[[#Headers],[Other]]),"","$ -")</f>
        <v/>
      </c>
      <c r="Q1155" s="59" t="str">
        <f>IF(Dati[[#This Row],[Categoria]]="Prelievo","€ -","")</f>
        <v/>
      </c>
      <c r="R1155" s="244"/>
      <c r="S1155" s="59" t="str">
        <f>IF(Dati[[#This Row],[Categoria]]="Savings",0,"")</f>
        <v/>
      </c>
      <c r="T1155" s="59"/>
      <c r="U1155" s="59"/>
      <c r="V1155" s="59"/>
      <c r="W1155" s="59"/>
      <c r="X1155" s="59"/>
      <c r="Y1155" s="59"/>
      <c r="Z1155" s="59"/>
      <c r="AA1155" s="59"/>
      <c r="AB1155" s="59"/>
      <c r="AC1155" s="59"/>
      <c r="AD1155" s="59"/>
      <c r="AE1155" s="59"/>
      <c r="AF1155" s="59"/>
      <c r="AG1155" s="59"/>
      <c r="AH1155" s="59"/>
      <c r="AI1155" s="59" t="str">
        <f>IF(SUM(Dati[[#This Row],[Inv. Business]:[Inv. Cryptocurrency]])=0," ",SUM(Dati[[#This Row],[Inv. Business]:[Inv. Cryptocurrency]]))</f>
        <v xml:space="preserve"> </v>
      </c>
      <c r="AJ1155" s="59"/>
      <c r="AK1155" s="59" t="str">
        <f>IF(SUM(Dati[[#This Row],[Inv. Gold]:[Mutuo]])=0," ",SUM(Dati[[#This Row],[Inv. Gold]:[Mutuo]]))</f>
        <v xml:space="preserve"> </v>
      </c>
      <c r="AL1155" s="59"/>
      <c r="AM1155" s="59"/>
    </row>
    <row r="1156" spans="2:39" x14ac:dyDescent="0.35">
      <c r="B1156" s="237">
        <f t="shared" si="61"/>
        <v>1135</v>
      </c>
      <c r="C1156" s="49">
        <f t="shared" si="60"/>
        <v>45767</v>
      </c>
      <c r="D1156" s="29">
        <f>DAY(Dati[[#This Row],[Data]])</f>
        <v>20</v>
      </c>
      <c r="E1156" s="29" t="str">
        <f>IF(DAY(Data!$C$21:$C$1327)&gt;0,TEXT(Data!$C$21:$C$1327, "mmmm"),"")</f>
        <v>aprile</v>
      </c>
      <c r="F1156" s="29" t="str">
        <f>IF(DAY(Data!$C$21:$C$1327)&gt;0,TEXT(Data!$C$21:$C$1327, "aaaa"),"")</f>
        <v>2025</v>
      </c>
      <c r="I1156" t="str">
        <f>IF(OR(H1156=$B$5,H1156=$B$6,H1156=$B$7,H1156=$B$8,H1156=$B$9,H1156=$B$10,H1156=$B$11,H1156=$B$12,H1156=$B$13,H1156=$B$14),SottocategorieUscite[[#Headers],[Fuori Casa]],IF(OR(H1156=$C$5,H1156=$C$6,H1156=$C$7,H1156=$C$8,H1156=$C$9,H1156=$C$10,H1156=$C$11,H1156=$C$12,H1156=$C$13,H1156=$C$14),SottocategorieUscite[[#Headers],[Varie Uscite]],IF(OR(H1156=$D$5,H1156=$D$6,H1156=$D$7,H1156=$D$8,H1156=$D$9,H1156=$D$10,H1156=$D$11,H1156=$D$12,H1156=$D$13,H1156=$D$14),SottocategorieUscite[[#Headers],[Personali]],IF(OR(H1156=$E$5,H1156=$E$6,H1156=$E$7,H1156=$E$8,H1156=$E$9,H1156=$E$10,H1156=$E$11,H1156=$E$12,H1156=$E$13,H1156=$E$14),SottocategorieUscite[[#Headers],[Lavoro]],IF(OR(H1156=$F$5,H1156=$F$6,H1156=$F$7,H1156=$F$8,H1156=$F$9,H1156=$F$10,H1156=$F$11,H1156=$F$12,H1156=$F$13,H1156=$F$14),SottocategorieUscite[[#Headers],[Casa]],IF(OR(H1156=$G$5,H1156=$G$6,H1156=$G$7,H1156=$G$8,H1156=$G$9,H1156=$G$10,H1156=$G$11,H1156=$G$12,H1156=$G$13,H1156=$G$14),SottocategorieUscite[[#Headers],[Utenze]],IF(OR(H1156=$H$5,H1156=$H$6,H1156=$H$7,H1156=$H$8,H1156=$H$9,H1156=$H$10,H1156=$H$11,H1156=$H$12,H1156=$H$13,H1156=$H$14),SottocategorieUscite[[#Headers],[Business Uscite]],IF(OR(H1156=$I$5,H1156=$I$6,H1156=$I$7,H1156=$I$8,H1156=$I$9,H1156=$I$10,H1156=$I$11,H1156=$I$12,H1156=$I$13,H1156=$I$14),SottocategorieUscite[[#Headers],[Banca]],IF(OR(H1156=K$5,H1156=K$6,H1156=K$7,H1156=K$8,H1156=K$9,H1156=K$10,H1156=K$11,H1156=K$12,H1156=K$13,H1156=K$14),SottocategorieEntrate[[#Headers],[Business Entrate]],IF(OR(H1156=L$5,H1156=L$6,H1156=L$7,H1156=L$8,H1156=L$9,H1156=L$10,H1156=L$11,H1156=L$12,H1156=L$13,H1156=L$14),SottocategorieEntrate[[#Headers],[Varie Entrate]],IF(OR(H1156=M$5,H1156=M$6,H1156=M$7,H1156=M$8,H1156=M$9,H1156=M$10,H1156=M$11,H1156=M$12,H1156=M$13,H1156=M$14),SottocategorieEntrate[[#Headers],[Real Estate]],IF(OR(H1156=N$5,H1156=N$6,H1156=N$7,H1156=N$8,H1156=N$9,H1156=N$10,H1156=N$11,H1156=N$12,H1156=N$13,H1156=N$14),SottocategorieEntrate[[#Headers],[Other]],""))))))))))))</f>
        <v/>
      </c>
      <c r="J1156" t="str">
        <f>IF(OR(Dati[[#This Row],[Categoria]]="Bollette",Dati[[#This Row],[Categoria]]="Conto &amp; Carte BNL",Dati[[#This Row],[Categoria]]="Prelievo",Dati[[#This Row],[Categoria]]="Affitto",Dati[[#This Row],[Categoria]]="BNL(Interessi Creditori)"),"Carta",IF(Dati[[#This Row],[Categoria]]&lt;&gt;0,"Cash",""))</f>
        <v/>
      </c>
      <c r="K1156" s="59" t="str">
        <f>IF(OR(Data!$I1156=SottocategorieUscite[[#Headers],[Fuori Casa]],Data!$I1156=SottocategorieUscite[[#Headers],[Varie Uscite]],Data!$I1156=SottocategorieUscite[[#Headers],[Personali]],Data!$I1156=SottocategorieUscite[[#Headers],[Lavoro]]),"$ -","")</f>
        <v/>
      </c>
      <c r="L1156" s="59" t="str">
        <f>IF(OR(Data!$I1156=SottocategorieUscite[[#Headers],[Casa]],Data!$I1156=SottocategorieUscite[[#Headers],[Utenze]],Data!$I1156=SottocategorieUscite[[#Headers],[Business Uscite]],Data!$I1156=SottocategorieUscite[[#Headers],[Banca]]),"$ -","")</f>
        <v/>
      </c>
      <c r="M1156" s="59" t="str">
        <f>IF(OR($I1156&lt;&gt;SottocategorieUscite[[#Headers],[Fuori Casa]],$I1156&lt;&gt;SottocategorieUscite[[#Headers],[Varie Uscite]],$I1156&lt;&gt;SottocategorieUscite[[#Headers],[Personali]],$I1156&lt;&gt;SottocategorieUscite[[#Headers],[Lavoro]],$I1156&lt;&gt;SottocategorieUscite[[#Headers],[Casa]],$I1156&lt;&gt;SottocategorieUscite[[#Headers],[Utenze]],$I1156&lt;&gt;SottocategorieUscite[[#Headers],[Business Uscite]],$I1156&lt;&gt;SottocategorieUscite[[#Headers],[Banca]]),"","$ -")</f>
        <v/>
      </c>
      <c r="N1156" s="59" t="str">
        <f>IF(OR(Data!$I1156=SottocategorieEntrate[[#Headers],[Business Entrate]],Data!$I1156=SottocategorieEntrate[[#Headers],[Varie Entrate]]),"$ -","")</f>
        <v/>
      </c>
      <c r="O1156" s="59" t="str">
        <f>IF(OR(Data!$I1156=SottocategorieEntrate[[#Headers],[Real Estate]],SottocategorieEntrate[[#Headers],[Other]]),"$ -","")</f>
        <v/>
      </c>
      <c r="P1156" s="59" t="str">
        <f>IF(OR($I1156&lt;&gt;SottocategorieEntrate[[#Headers],[Business Entrate]],$I1156&lt;&gt;SottocategorieEntrate[[#Headers],[Varie Entrate]],$I1156&lt;&gt;SottocategorieEntrate[[#Headers],[Real Estate]],$I1156&lt;&gt;SottocategorieEntrate[[#Headers],[Other]]),"","$ -")</f>
        <v/>
      </c>
      <c r="Q1156" s="59" t="str">
        <f>IF(Dati[[#This Row],[Categoria]]="Prelievo","€ -","")</f>
        <v/>
      </c>
      <c r="R1156" s="244"/>
      <c r="S1156" s="59" t="str">
        <f>IF(Dati[[#This Row],[Categoria]]="Savings",0,"")</f>
        <v/>
      </c>
      <c r="T1156" s="59"/>
      <c r="U1156" s="59"/>
      <c r="V1156" s="59"/>
      <c r="W1156" s="59"/>
      <c r="X1156" s="59"/>
      <c r="Y1156" s="59"/>
      <c r="Z1156" s="59"/>
      <c r="AA1156" s="59"/>
      <c r="AB1156" s="59"/>
      <c r="AC1156" s="59"/>
      <c r="AD1156" s="59"/>
      <c r="AE1156" s="59"/>
      <c r="AF1156" s="59"/>
      <c r="AG1156" s="59"/>
      <c r="AH1156" s="59"/>
      <c r="AI1156" s="59" t="str">
        <f>IF(SUM(Dati[[#This Row],[Inv. Business]:[Inv. Cryptocurrency]])=0," ",SUM(Dati[[#This Row],[Inv. Business]:[Inv. Cryptocurrency]]))</f>
        <v xml:space="preserve"> </v>
      </c>
      <c r="AJ1156" s="59"/>
      <c r="AK1156" s="59" t="str">
        <f>IF(SUM(Dati[[#This Row],[Inv. Gold]:[Mutuo]])=0," ",SUM(Dati[[#This Row],[Inv. Gold]:[Mutuo]]))</f>
        <v xml:space="preserve"> </v>
      </c>
      <c r="AL1156" s="59"/>
      <c r="AM1156" s="59"/>
    </row>
    <row r="1157" spans="2:39" x14ac:dyDescent="0.35">
      <c r="B1157" s="237">
        <f t="shared" si="61"/>
        <v>1136</v>
      </c>
      <c r="C1157" s="49">
        <f t="shared" si="60"/>
        <v>45768</v>
      </c>
      <c r="D1157" s="29">
        <f>DAY(Dati[[#This Row],[Data]])</f>
        <v>21</v>
      </c>
      <c r="E1157" s="29" t="str">
        <f>IF(DAY(Data!$C$21:$C$1327)&gt;0,TEXT(Data!$C$21:$C$1327, "mmmm"),"")</f>
        <v>aprile</v>
      </c>
      <c r="F1157" s="29" t="str">
        <f>IF(DAY(Data!$C$21:$C$1327)&gt;0,TEXT(Data!$C$21:$C$1327, "aaaa"),"")</f>
        <v>2025</v>
      </c>
      <c r="I1157" t="str">
        <f>IF(OR(H1157=$B$5,H1157=$B$6,H1157=$B$7,H1157=$B$8,H1157=$B$9,H1157=$B$10,H1157=$B$11,H1157=$B$12,H1157=$B$13,H1157=$B$14),SottocategorieUscite[[#Headers],[Fuori Casa]],IF(OR(H1157=$C$5,H1157=$C$6,H1157=$C$7,H1157=$C$8,H1157=$C$9,H1157=$C$10,H1157=$C$11,H1157=$C$12,H1157=$C$13,H1157=$C$14),SottocategorieUscite[[#Headers],[Varie Uscite]],IF(OR(H1157=$D$5,H1157=$D$6,H1157=$D$7,H1157=$D$8,H1157=$D$9,H1157=$D$10,H1157=$D$11,H1157=$D$12,H1157=$D$13,H1157=$D$14),SottocategorieUscite[[#Headers],[Personali]],IF(OR(H1157=$E$5,H1157=$E$6,H1157=$E$7,H1157=$E$8,H1157=$E$9,H1157=$E$10,H1157=$E$11,H1157=$E$12,H1157=$E$13,H1157=$E$14),SottocategorieUscite[[#Headers],[Lavoro]],IF(OR(H1157=$F$5,H1157=$F$6,H1157=$F$7,H1157=$F$8,H1157=$F$9,H1157=$F$10,H1157=$F$11,H1157=$F$12,H1157=$F$13,H1157=$F$14),SottocategorieUscite[[#Headers],[Casa]],IF(OR(H1157=$G$5,H1157=$G$6,H1157=$G$7,H1157=$G$8,H1157=$G$9,H1157=$G$10,H1157=$G$11,H1157=$G$12,H1157=$G$13,H1157=$G$14),SottocategorieUscite[[#Headers],[Utenze]],IF(OR(H1157=$H$5,H1157=$H$6,H1157=$H$7,H1157=$H$8,H1157=$H$9,H1157=$H$10,H1157=$H$11,H1157=$H$12,H1157=$H$13,H1157=$H$14),SottocategorieUscite[[#Headers],[Business Uscite]],IF(OR(H1157=$I$5,H1157=$I$6,H1157=$I$7,H1157=$I$8,H1157=$I$9,H1157=$I$10,H1157=$I$11,H1157=$I$12,H1157=$I$13,H1157=$I$14),SottocategorieUscite[[#Headers],[Banca]],IF(OR(H1157=K$5,H1157=K$6,H1157=K$7,H1157=K$8,H1157=K$9,H1157=K$10,H1157=K$11,H1157=K$12,H1157=K$13,H1157=K$14),SottocategorieEntrate[[#Headers],[Business Entrate]],IF(OR(H1157=L$5,H1157=L$6,H1157=L$7,H1157=L$8,H1157=L$9,H1157=L$10,H1157=L$11,H1157=L$12,H1157=L$13,H1157=L$14),SottocategorieEntrate[[#Headers],[Varie Entrate]],IF(OR(H1157=M$5,H1157=M$6,H1157=M$7,H1157=M$8,H1157=M$9,H1157=M$10,H1157=M$11,H1157=M$12,H1157=M$13,H1157=M$14),SottocategorieEntrate[[#Headers],[Real Estate]],IF(OR(H1157=N$5,H1157=N$6,H1157=N$7,H1157=N$8,H1157=N$9,H1157=N$10,H1157=N$11,H1157=N$12,H1157=N$13,H1157=N$14),SottocategorieEntrate[[#Headers],[Other]],""))))))))))))</f>
        <v/>
      </c>
      <c r="J1157" t="str">
        <f>IF(OR(Dati[[#This Row],[Categoria]]="Bollette",Dati[[#This Row],[Categoria]]="Conto &amp; Carte BNL",Dati[[#This Row],[Categoria]]="Prelievo",Dati[[#This Row],[Categoria]]="Affitto",Dati[[#This Row],[Categoria]]="BNL(Interessi Creditori)"),"Carta",IF(Dati[[#This Row],[Categoria]]&lt;&gt;0,"Cash",""))</f>
        <v/>
      </c>
      <c r="K1157" s="59" t="str">
        <f>IF(OR(Data!$I1157=SottocategorieUscite[[#Headers],[Fuori Casa]],Data!$I1157=SottocategorieUscite[[#Headers],[Varie Uscite]],Data!$I1157=SottocategorieUscite[[#Headers],[Personali]],Data!$I1157=SottocategorieUscite[[#Headers],[Lavoro]]),"$ -","")</f>
        <v/>
      </c>
      <c r="L1157" s="59" t="str">
        <f>IF(OR(Data!$I1157=SottocategorieUscite[[#Headers],[Casa]],Data!$I1157=SottocategorieUscite[[#Headers],[Utenze]],Data!$I1157=SottocategorieUscite[[#Headers],[Business Uscite]],Data!$I1157=SottocategorieUscite[[#Headers],[Banca]]),"$ -","")</f>
        <v/>
      </c>
      <c r="M1157" s="59" t="str">
        <f>IF(OR($I1157&lt;&gt;SottocategorieUscite[[#Headers],[Fuori Casa]],$I1157&lt;&gt;SottocategorieUscite[[#Headers],[Varie Uscite]],$I1157&lt;&gt;SottocategorieUscite[[#Headers],[Personali]],$I1157&lt;&gt;SottocategorieUscite[[#Headers],[Lavoro]],$I1157&lt;&gt;SottocategorieUscite[[#Headers],[Casa]],$I1157&lt;&gt;SottocategorieUscite[[#Headers],[Utenze]],$I1157&lt;&gt;SottocategorieUscite[[#Headers],[Business Uscite]],$I1157&lt;&gt;SottocategorieUscite[[#Headers],[Banca]]),"","$ -")</f>
        <v/>
      </c>
      <c r="N1157" s="59" t="str">
        <f>IF(OR(Data!$I1157=SottocategorieEntrate[[#Headers],[Business Entrate]],Data!$I1157=SottocategorieEntrate[[#Headers],[Varie Entrate]]),"$ -","")</f>
        <v/>
      </c>
      <c r="O1157" s="59" t="str">
        <f>IF(OR(Data!$I1157=SottocategorieEntrate[[#Headers],[Real Estate]],SottocategorieEntrate[[#Headers],[Other]]),"$ -","")</f>
        <v/>
      </c>
      <c r="P1157" s="59" t="str">
        <f>IF(OR($I1157&lt;&gt;SottocategorieEntrate[[#Headers],[Business Entrate]],$I1157&lt;&gt;SottocategorieEntrate[[#Headers],[Varie Entrate]],$I1157&lt;&gt;SottocategorieEntrate[[#Headers],[Real Estate]],$I1157&lt;&gt;SottocategorieEntrate[[#Headers],[Other]]),"","$ -")</f>
        <v/>
      </c>
      <c r="Q1157" s="59" t="str">
        <f>IF(Dati[[#This Row],[Categoria]]="Prelievo","€ -","")</f>
        <v/>
      </c>
      <c r="R1157" s="244"/>
      <c r="S1157" s="59" t="str">
        <f>IF(Dati[[#This Row],[Categoria]]="Savings",0,"")</f>
        <v/>
      </c>
      <c r="T1157" s="59"/>
      <c r="U1157" s="59"/>
      <c r="V1157" s="59"/>
      <c r="W1157" s="59"/>
      <c r="X1157" s="59"/>
      <c r="Y1157" s="59"/>
      <c r="Z1157" s="59"/>
      <c r="AA1157" s="59"/>
      <c r="AB1157" s="59"/>
      <c r="AC1157" s="59"/>
      <c r="AD1157" s="59"/>
      <c r="AE1157" s="59"/>
      <c r="AF1157" s="59"/>
      <c r="AG1157" s="59"/>
      <c r="AH1157" s="59"/>
      <c r="AI1157" s="59" t="str">
        <f>IF(SUM(Dati[[#This Row],[Inv. Business]:[Inv. Cryptocurrency]])=0," ",SUM(Dati[[#This Row],[Inv. Business]:[Inv. Cryptocurrency]]))</f>
        <v xml:space="preserve"> </v>
      </c>
      <c r="AJ1157" s="59"/>
      <c r="AK1157" s="59" t="str">
        <f>IF(SUM(Dati[[#This Row],[Inv. Gold]:[Mutuo]])=0," ",SUM(Dati[[#This Row],[Inv. Gold]:[Mutuo]]))</f>
        <v xml:space="preserve"> </v>
      </c>
      <c r="AL1157" s="59"/>
      <c r="AM1157" s="59"/>
    </row>
    <row r="1158" spans="2:39" x14ac:dyDescent="0.35">
      <c r="B1158" s="237">
        <f t="shared" ref="B1158:B1174" si="62">ROW(1138:1138)</f>
        <v>1138</v>
      </c>
      <c r="C1158" s="49">
        <f t="shared" si="60"/>
        <v>45769</v>
      </c>
      <c r="D1158" s="29">
        <f>DAY(Dati[[#This Row],[Data]])</f>
        <v>22</v>
      </c>
      <c r="E1158" s="29" t="str">
        <f>IF(DAY(Data!$C$21:$C$1327)&gt;0,TEXT(Data!$C$21:$C$1327, "mmmm"),"")</f>
        <v>aprile</v>
      </c>
      <c r="F1158" s="29" t="str">
        <f>IF(DAY(Data!$C$21:$C$1327)&gt;0,TEXT(Data!$C$21:$C$1327, "aaaa"),"")</f>
        <v>2025</v>
      </c>
      <c r="I1158" t="str">
        <f>IF(OR(H1158=$B$5,H1158=$B$6,H1158=$B$7,H1158=$B$8,H1158=$B$9,H1158=$B$10,H1158=$B$11,H1158=$B$12,H1158=$B$13,H1158=$B$14),SottocategorieUscite[[#Headers],[Fuori Casa]],IF(OR(H1158=$C$5,H1158=$C$6,H1158=$C$7,H1158=$C$8,H1158=$C$9,H1158=$C$10,H1158=$C$11,H1158=$C$12,H1158=$C$13,H1158=$C$14),SottocategorieUscite[[#Headers],[Varie Uscite]],IF(OR(H1158=$D$5,H1158=$D$6,H1158=$D$7,H1158=$D$8,H1158=$D$9,H1158=$D$10,H1158=$D$11,H1158=$D$12,H1158=$D$13,H1158=$D$14),SottocategorieUscite[[#Headers],[Personali]],IF(OR(H1158=$E$5,H1158=$E$6,H1158=$E$7,H1158=$E$8,H1158=$E$9,H1158=$E$10,H1158=$E$11,H1158=$E$12,H1158=$E$13,H1158=$E$14),SottocategorieUscite[[#Headers],[Lavoro]],IF(OR(H1158=$F$5,H1158=$F$6,H1158=$F$7,H1158=$F$8,H1158=$F$9,H1158=$F$10,H1158=$F$11,H1158=$F$12,H1158=$F$13,H1158=$F$14),SottocategorieUscite[[#Headers],[Casa]],IF(OR(H1158=$G$5,H1158=$G$6,H1158=$G$7,H1158=$G$8,H1158=$G$9,H1158=$G$10,H1158=$G$11,H1158=$G$12,H1158=$G$13,H1158=$G$14),SottocategorieUscite[[#Headers],[Utenze]],IF(OR(H1158=$H$5,H1158=$H$6,H1158=$H$7,H1158=$H$8,H1158=$H$9,H1158=$H$10,H1158=$H$11,H1158=$H$12,H1158=$H$13,H1158=$H$14),SottocategorieUscite[[#Headers],[Business Uscite]],IF(OR(H1158=$I$5,H1158=$I$6,H1158=$I$7,H1158=$I$8,H1158=$I$9,H1158=$I$10,H1158=$I$11,H1158=$I$12,H1158=$I$13,H1158=$I$14),SottocategorieUscite[[#Headers],[Banca]],IF(OR(H1158=K$5,H1158=K$6,H1158=K$7,H1158=K$8,H1158=K$9,H1158=K$10,H1158=K$11,H1158=K$12,H1158=K$13,H1158=K$14),SottocategorieEntrate[[#Headers],[Business Entrate]],IF(OR(H1158=L$5,H1158=L$6,H1158=L$7,H1158=L$8,H1158=L$9,H1158=L$10,H1158=L$11,H1158=L$12,H1158=L$13,H1158=L$14),SottocategorieEntrate[[#Headers],[Varie Entrate]],IF(OR(H1158=M$5,H1158=M$6,H1158=M$7,H1158=M$8,H1158=M$9,H1158=M$10,H1158=M$11,H1158=M$12,H1158=M$13,H1158=M$14),SottocategorieEntrate[[#Headers],[Real Estate]],IF(OR(H1158=N$5,H1158=N$6,H1158=N$7,H1158=N$8,H1158=N$9,H1158=N$10,H1158=N$11,H1158=N$12,H1158=N$13,H1158=N$14),SottocategorieEntrate[[#Headers],[Other]],""))))))))))))</f>
        <v/>
      </c>
      <c r="J1158" t="str">
        <f>IF(OR(Dati[[#This Row],[Categoria]]="Bollette",Dati[[#This Row],[Categoria]]="Conto &amp; Carte BNL",Dati[[#This Row],[Categoria]]="Prelievo",Dati[[#This Row],[Categoria]]="Affitto",Dati[[#This Row],[Categoria]]="BNL(Interessi Creditori)"),"Carta",IF(Dati[[#This Row],[Categoria]]&lt;&gt;0,"Cash",""))</f>
        <v/>
      </c>
      <c r="K1158" s="59" t="str">
        <f>IF(OR(Data!$I1158=SottocategorieUscite[[#Headers],[Fuori Casa]],Data!$I1158=SottocategorieUscite[[#Headers],[Varie Uscite]],Data!$I1158=SottocategorieUscite[[#Headers],[Personali]],Data!$I1158=SottocategorieUscite[[#Headers],[Lavoro]]),"$ -","")</f>
        <v/>
      </c>
      <c r="L1158" s="59" t="str">
        <f>IF(OR(Data!$I1158=SottocategorieUscite[[#Headers],[Casa]],Data!$I1158=SottocategorieUscite[[#Headers],[Utenze]],Data!$I1158=SottocategorieUscite[[#Headers],[Business Uscite]],Data!$I1158=SottocategorieUscite[[#Headers],[Banca]]),"$ -","")</f>
        <v/>
      </c>
      <c r="M1158" s="59" t="str">
        <f>IF(OR($I1158&lt;&gt;SottocategorieUscite[[#Headers],[Fuori Casa]],$I1158&lt;&gt;SottocategorieUscite[[#Headers],[Varie Uscite]],$I1158&lt;&gt;SottocategorieUscite[[#Headers],[Personali]],$I1158&lt;&gt;SottocategorieUscite[[#Headers],[Lavoro]],$I1158&lt;&gt;SottocategorieUscite[[#Headers],[Casa]],$I1158&lt;&gt;SottocategorieUscite[[#Headers],[Utenze]],$I1158&lt;&gt;SottocategorieUscite[[#Headers],[Business Uscite]],$I1158&lt;&gt;SottocategorieUscite[[#Headers],[Banca]]),"","$ -")</f>
        <v/>
      </c>
      <c r="N1158" s="59" t="str">
        <f>IF(OR(Data!$I1158=SottocategorieEntrate[[#Headers],[Business Entrate]],Data!$I1158=SottocategorieEntrate[[#Headers],[Varie Entrate]]),"$ -","")</f>
        <v/>
      </c>
      <c r="O1158" s="59" t="str">
        <f>IF(OR(Data!$I1158=SottocategorieEntrate[[#Headers],[Real Estate]],SottocategorieEntrate[[#Headers],[Other]]),"$ -","")</f>
        <v/>
      </c>
      <c r="P1158" s="59" t="str">
        <f>IF(OR($I1158&lt;&gt;SottocategorieEntrate[[#Headers],[Business Entrate]],$I1158&lt;&gt;SottocategorieEntrate[[#Headers],[Varie Entrate]],$I1158&lt;&gt;SottocategorieEntrate[[#Headers],[Real Estate]],$I1158&lt;&gt;SottocategorieEntrate[[#Headers],[Other]]),"","$ -")</f>
        <v/>
      </c>
      <c r="Q1158" s="59" t="str">
        <f>IF(Dati[[#This Row],[Categoria]]="Prelievo","€ -","")</f>
        <v/>
      </c>
      <c r="R1158" s="244"/>
      <c r="S1158" s="59" t="str">
        <f>IF(Dati[[#This Row],[Categoria]]="Savings",0,"")</f>
        <v/>
      </c>
      <c r="T1158" s="59"/>
      <c r="U1158" s="59"/>
      <c r="V1158" s="59"/>
      <c r="W1158" s="59"/>
      <c r="X1158" s="59"/>
      <c r="Y1158" s="59"/>
      <c r="Z1158" s="59"/>
      <c r="AA1158" s="59"/>
      <c r="AB1158" s="59"/>
      <c r="AC1158" s="59"/>
      <c r="AD1158" s="59"/>
      <c r="AE1158" s="59"/>
      <c r="AF1158" s="59"/>
      <c r="AG1158" s="59"/>
      <c r="AH1158" s="59"/>
      <c r="AI1158" s="59" t="str">
        <f>IF(SUM(Dati[[#This Row],[Inv. Business]:[Inv. Cryptocurrency]])=0," ",SUM(Dati[[#This Row],[Inv. Business]:[Inv. Cryptocurrency]]))</f>
        <v xml:space="preserve"> </v>
      </c>
      <c r="AJ1158" s="59"/>
      <c r="AK1158" s="59" t="str">
        <f>IF(SUM(Dati[[#This Row],[Inv. Gold]:[Mutuo]])=0," ",SUM(Dati[[#This Row],[Inv. Gold]:[Mutuo]]))</f>
        <v xml:space="preserve"> </v>
      </c>
      <c r="AL1158" s="59"/>
      <c r="AM1158" s="59"/>
    </row>
    <row r="1159" spans="2:39" x14ac:dyDescent="0.35">
      <c r="B1159" s="237">
        <f t="shared" si="62"/>
        <v>1139</v>
      </c>
      <c r="C1159" s="49">
        <f t="shared" si="60"/>
        <v>45770</v>
      </c>
      <c r="D1159" s="29">
        <f>DAY(Dati[[#This Row],[Data]])</f>
        <v>23</v>
      </c>
      <c r="E1159" s="29" t="str">
        <f>IF(DAY(Data!$C$21:$C$1327)&gt;0,TEXT(Data!$C$21:$C$1327, "mmmm"),"")</f>
        <v>aprile</v>
      </c>
      <c r="F1159" s="29" t="str">
        <f>IF(DAY(Data!$C$21:$C$1327)&gt;0,TEXT(Data!$C$21:$C$1327, "aaaa"),"")</f>
        <v>2025</v>
      </c>
      <c r="I1159" t="str">
        <f>IF(OR(H1159=$B$5,H1159=$B$6,H1159=$B$7,H1159=$B$8,H1159=$B$9,H1159=$B$10,H1159=$B$11,H1159=$B$12,H1159=$B$13,H1159=$B$14),SottocategorieUscite[[#Headers],[Fuori Casa]],IF(OR(H1159=$C$5,H1159=$C$6,H1159=$C$7,H1159=$C$8,H1159=$C$9,H1159=$C$10,H1159=$C$11,H1159=$C$12,H1159=$C$13,H1159=$C$14),SottocategorieUscite[[#Headers],[Varie Uscite]],IF(OR(H1159=$D$5,H1159=$D$6,H1159=$D$7,H1159=$D$8,H1159=$D$9,H1159=$D$10,H1159=$D$11,H1159=$D$12,H1159=$D$13,H1159=$D$14),SottocategorieUscite[[#Headers],[Personali]],IF(OR(H1159=$E$5,H1159=$E$6,H1159=$E$7,H1159=$E$8,H1159=$E$9,H1159=$E$10,H1159=$E$11,H1159=$E$12,H1159=$E$13,H1159=$E$14),SottocategorieUscite[[#Headers],[Lavoro]],IF(OR(H1159=$F$5,H1159=$F$6,H1159=$F$7,H1159=$F$8,H1159=$F$9,H1159=$F$10,H1159=$F$11,H1159=$F$12,H1159=$F$13,H1159=$F$14),SottocategorieUscite[[#Headers],[Casa]],IF(OR(H1159=$G$5,H1159=$G$6,H1159=$G$7,H1159=$G$8,H1159=$G$9,H1159=$G$10,H1159=$G$11,H1159=$G$12,H1159=$G$13,H1159=$G$14),SottocategorieUscite[[#Headers],[Utenze]],IF(OR(H1159=$H$5,H1159=$H$6,H1159=$H$7,H1159=$H$8,H1159=$H$9,H1159=$H$10,H1159=$H$11,H1159=$H$12,H1159=$H$13,H1159=$H$14),SottocategorieUscite[[#Headers],[Business Uscite]],IF(OR(H1159=$I$5,H1159=$I$6,H1159=$I$7,H1159=$I$8,H1159=$I$9,H1159=$I$10,H1159=$I$11,H1159=$I$12,H1159=$I$13,H1159=$I$14),SottocategorieUscite[[#Headers],[Banca]],IF(OR(H1159=K$5,H1159=K$6,H1159=K$7,H1159=K$8,H1159=K$9,H1159=K$10,H1159=K$11,H1159=K$12,H1159=K$13,H1159=K$14),SottocategorieEntrate[[#Headers],[Business Entrate]],IF(OR(H1159=L$5,H1159=L$6,H1159=L$7,H1159=L$8,H1159=L$9,H1159=L$10,H1159=L$11,H1159=L$12,H1159=L$13,H1159=L$14),SottocategorieEntrate[[#Headers],[Varie Entrate]],IF(OR(H1159=M$5,H1159=M$6,H1159=M$7,H1159=M$8,H1159=M$9,H1159=M$10,H1159=M$11,H1159=M$12,H1159=M$13,H1159=M$14),SottocategorieEntrate[[#Headers],[Real Estate]],IF(OR(H1159=N$5,H1159=N$6,H1159=N$7,H1159=N$8,H1159=N$9,H1159=N$10,H1159=N$11,H1159=N$12,H1159=N$13,H1159=N$14),SottocategorieEntrate[[#Headers],[Other]],""))))))))))))</f>
        <v/>
      </c>
      <c r="J1159" t="str">
        <f>IF(OR(Dati[[#This Row],[Categoria]]="Bollette",Dati[[#This Row],[Categoria]]="Conto &amp; Carte BNL",Dati[[#This Row],[Categoria]]="Prelievo",Dati[[#This Row],[Categoria]]="Affitto",Dati[[#This Row],[Categoria]]="BNL(Interessi Creditori)"),"Carta",IF(Dati[[#This Row],[Categoria]]&lt;&gt;0,"Cash",""))</f>
        <v/>
      </c>
      <c r="K1159" s="59" t="str">
        <f>IF(OR(Data!$I1159=SottocategorieUscite[[#Headers],[Fuori Casa]],Data!$I1159=SottocategorieUscite[[#Headers],[Varie Uscite]],Data!$I1159=SottocategorieUscite[[#Headers],[Personali]],Data!$I1159=SottocategorieUscite[[#Headers],[Lavoro]]),"$ -","")</f>
        <v/>
      </c>
      <c r="L1159" s="59" t="str">
        <f>IF(OR(Data!$I1159=SottocategorieUscite[[#Headers],[Casa]],Data!$I1159=SottocategorieUscite[[#Headers],[Utenze]],Data!$I1159=SottocategorieUscite[[#Headers],[Business Uscite]],Data!$I1159=SottocategorieUscite[[#Headers],[Banca]]),"$ -","")</f>
        <v/>
      </c>
      <c r="M1159" s="59" t="str">
        <f>IF(OR($I1159&lt;&gt;SottocategorieUscite[[#Headers],[Fuori Casa]],$I1159&lt;&gt;SottocategorieUscite[[#Headers],[Varie Uscite]],$I1159&lt;&gt;SottocategorieUscite[[#Headers],[Personali]],$I1159&lt;&gt;SottocategorieUscite[[#Headers],[Lavoro]],$I1159&lt;&gt;SottocategorieUscite[[#Headers],[Casa]],$I1159&lt;&gt;SottocategorieUscite[[#Headers],[Utenze]],$I1159&lt;&gt;SottocategorieUscite[[#Headers],[Business Uscite]],$I1159&lt;&gt;SottocategorieUscite[[#Headers],[Banca]]),"","$ -")</f>
        <v/>
      </c>
      <c r="N1159" s="59" t="str">
        <f>IF(OR(Data!$I1159=SottocategorieEntrate[[#Headers],[Business Entrate]],Data!$I1159=SottocategorieEntrate[[#Headers],[Varie Entrate]]),"$ -","")</f>
        <v/>
      </c>
      <c r="O1159" s="59" t="str">
        <f>IF(OR(Data!$I1159=SottocategorieEntrate[[#Headers],[Real Estate]],SottocategorieEntrate[[#Headers],[Other]]),"$ -","")</f>
        <v/>
      </c>
      <c r="P1159" s="59" t="str">
        <f>IF(OR($I1159&lt;&gt;SottocategorieEntrate[[#Headers],[Business Entrate]],$I1159&lt;&gt;SottocategorieEntrate[[#Headers],[Varie Entrate]],$I1159&lt;&gt;SottocategorieEntrate[[#Headers],[Real Estate]],$I1159&lt;&gt;SottocategorieEntrate[[#Headers],[Other]]),"","$ -")</f>
        <v/>
      </c>
      <c r="Q1159" s="59" t="str">
        <f>IF(Dati[[#This Row],[Categoria]]="Prelievo","€ -","")</f>
        <v/>
      </c>
      <c r="R1159" s="244"/>
      <c r="S1159" s="59" t="str">
        <f>IF(Dati[[#This Row],[Categoria]]="Savings",0,"")</f>
        <v/>
      </c>
      <c r="T1159" s="59"/>
      <c r="U1159" s="59"/>
      <c r="V1159" s="59"/>
      <c r="W1159" s="59"/>
      <c r="X1159" s="59"/>
      <c r="Y1159" s="59"/>
      <c r="Z1159" s="59"/>
      <c r="AA1159" s="59"/>
      <c r="AB1159" s="59"/>
      <c r="AC1159" s="59"/>
      <c r="AD1159" s="59"/>
      <c r="AE1159" s="59"/>
      <c r="AF1159" s="59"/>
      <c r="AG1159" s="59"/>
      <c r="AH1159" s="59"/>
      <c r="AI1159" s="59" t="str">
        <f>IF(SUM(Dati[[#This Row],[Inv. Business]:[Inv. Cryptocurrency]])=0," ",SUM(Dati[[#This Row],[Inv. Business]:[Inv. Cryptocurrency]]))</f>
        <v xml:space="preserve"> </v>
      </c>
      <c r="AJ1159" s="59"/>
      <c r="AK1159" s="59" t="str">
        <f>IF(SUM(Dati[[#This Row],[Inv. Gold]:[Mutuo]])=0," ",SUM(Dati[[#This Row],[Inv. Gold]:[Mutuo]]))</f>
        <v xml:space="preserve"> </v>
      </c>
      <c r="AL1159" s="59"/>
      <c r="AM1159" s="59"/>
    </row>
    <row r="1160" spans="2:39" x14ac:dyDescent="0.35">
      <c r="B1160" s="237">
        <f t="shared" si="62"/>
        <v>1140</v>
      </c>
      <c r="C1160" s="49">
        <f t="shared" si="60"/>
        <v>45771</v>
      </c>
      <c r="D1160" s="29">
        <f>DAY(Dati[[#This Row],[Data]])</f>
        <v>24</v>
      </c>
      <c r="E1160" s="29" t="str">
        <f>IF(DAY(Data!$C$21:$C$1327)&gt;0,TEXT(Data!$C$21:$C$1327, "mmmm"),"")</f>
        <v>aprile</v>
      </c>
      <c r="F1160" s="29" t="str">
        <f>IF(DAY(Data!$C$21:$C$1327)&gt;0,TEXT(Data!$C$21:$C$1327, "aaaa"),"")</f>
        <v>2025</v>
      </c>
      <c r="I1160" t="str">
        <f>IF(OR(H1160=$B$5,H1160=$B$6,H1160=$B$7,H1160=$B$8,H1160=$B$9,H1160=$B$10,H1160=$B$11,H1160=$B$12,H1160=$B$13,H1160=$B$14),SottocategorieUscite[[#Headers],[Fuori Casa]],IF(OR(H1160=$C$5,H1160=$C$6,H1160=$C$7,H1160=$C$8,H1160=$C$9,H1160=$C$10,H1160=$C$11,H1160=$C$12,H1160=$C$13,H1160=$C$14),SottocategorieUscite[[#Headers],[Varie Uscite]],IF(OR(H1160=$D$5,H1160=$D$6,H1160=$D$7,H1160=$D$8,H1160=$D$9,H1160=$D$10,H1160=$D$11,H1160=$D$12,H1160=$D$13,H1160=$D$14),SottocategorieUscite[[#Headers],[Personali]],IF(OR(H1160=$E$5,H1160=$E$6,H1160=$E$7,H1160=$E$8,H1160=$E$9,H1160=$E$10,H1160=$E$11,H1160=$E$12,H1160=$E$13,H1160=$E$14),SottocategorieUscite[[#Headers],[Lavoro]],IF(OR(H1160=$F$5,H1160=$F$6,H1160=$F$7,H1160=$F$8,H1160=$F$9,H1160=$F$10,H1160=$F$11,H1160=$F$12,H1160=$F$13,H1160=$F$14),SottocategorieUscite[[#Headers],[Casa]],IF(OR(H1160=$G$5,H1160=$G$6,H1160=$G$7,H1160=$G$8,H1160=$G$9,H1160=$G$10,H1160=$G$11,H1160=$G$12,H1160=$G$13,H1160=$G$14),SottocategorieUscite[[#Headers],[Utenze]],IF(OR(H1160=$H$5,H1160=$H$6,H1160=$H$7,H1160=$H$8,H1160=$H$9,H1160=$H$10,H1160=$H$11,H1160=$H$12,H1160=$H$13,H1160=$H$14),SottocategorieUscite[[#Headers],[Business Uscite]],IF(OR(H1160=$I$5,H1160=$I$6,H1160=$I$7,H1160=$I$8,H1160=$I$9,H1160=$I$10,H1160=$I$11,H1160=$I$12,H1160=$I$13,H1160=$I$14),SottocategorieUscite[[#Headers],[Banca]],IF(OR(H1160=K$5,H1160=K$6,H1160=K$7,H1160=K$8,H1160=K$9,H1160=K$10,H1160=K$11,H1160=K$12,H1160=K$13,H1160=K$14),SottocategorieEntrate[[#Headers],[Business Entrate]],IF(OR(H1160=L$5,H1160=L$6,H1160=L$7,H1160=L$8,H1160=L$9,H1160=L$10,H1160=L$11,H1160=L$12,H1160=L$13,H1160=L$14),SottocategorieEntrate[[#Headers],[Varie Entrate]],IF(OR(H1160=M$5,H1160=M$6,H1160=M$7,H1160=M$8,H1160=M$9,H1160=M$10,H1160=M$11,H1160=M$12,H1160=M$13,H1160=M$14),SottocategorieEntrate[[#Headers],[Real Estate]],IF(OR(H1160=N$5,H1160=N$6,H1160=N$7,H1160=N$8,H1160=N$9,H1160=N$10,H1160=N$11,H1160=N$12,H1160=N$13,H1160=N$14),SottocategorieEntrate[[#Headers],[Other]],""))))))))))))</f>
        <v/>
      </c>
      <c r="J1160" t="str">
        <f>IF(OR(Dati[[#This Row],[Categoria]]="Bollette",Dati[[#This Row],[Categoria]]="Conto &amp; Carte BNL",Dati[[#This Row],[Categoria]]="Prelievo",Dati[[#This Row],[Categoria]]="Affitto",Dati[[#This Row],[Categoria]]="BNL(Interessi Creditori)"),"Carta",IF(Dati[[#This Row],[Categoria]]&lt;&gt;0,"Cash",""))</f>
        <v/>
      </c>
      <c r="K1160" s="59" t="str">
        <f>IF(OR(Data!$I1160=SottocategorieUscite[[#Headers],[Fuori Casa]],Data!$I1160=SottocategorieUscite[[#Headers],[Varie Uscite]],Data!$I1160=SottocategorieUscite[[#Headers],[Personali]],Data!$I1160=SottocategorieUscite[[#Headers],[Lavoro]]),"$ -","")</f>
        <v/>
      </c>
      <c r="L1160" s="59" t="str">
        <f>IF(OR(Data!$I1160=SottocategorieUscite[[#Headers],[Casa]],Data!$I1160=SottocategorieUscite[[#Headers],[Utenze]],Data!$I1160=SottocategorieUscite[[#Headers],[Business Uscite]],Data!$I1160=SottocategorieUscite[[#Headers],[Banca]]),"$ -","")</f>
        <v/>
      </c>
      <c r="M1160" s="59" t="str">
        <f>IF(OR($I1160&lt;&gt;SottocategorieUscite[[#Headers],[Fuori Casa]],$I1160&lt;&gt;SottocategorieUscite[[#Headers],[Varie Uscite]],$I1160&lt;&gt;SottocategorieUscite[[#Headers],[Personali]],$I1160&lt;&gt;SottocategorieUscite[[#Headers],[Lavoro]],$I1160&lt;&gt;SottocategorieUscite[[#Headers],[Casa]],$I1160&lt;&gt;SottocategorieUscite[[#Headers],[Utenze]],$I1160&lt;&gt;SottocategorieUscite[[#Headers],[Business Uscite]],$I1160&lt;&gt;SottocategorieUscite[[#Headers],[Banca]]),"","$ -")</f>
        <v/>
      </c>
      <c r="N1160" s="59" t="str">
        <f>IF(OR(Data!$I1160=SottocategorieEntrate[[#Headers],[Business Entrate]],Data!$I1160=SottocategorieEntrate[[#Headers],[Varie Entrate]]),"$ -","")</f>
        <v/>
      </c>
      <c r="O1160" s="59" t="str">
        <f>IF(OR(Data!$I1160=SottocategorieEntrate[[#Headers],[Real Estate]],SottocategorieEntrate[[#Headers],[Other]]),"$ -","")</f>
        <v/>
      </c>
      <c r="P1160" s="59" t="str">
        <f>IF(OR($I1160&lt;&gt;SottocategorieEntrate[[#Headers],[Business Entrate]],$I1160&lt;&gt;SottocategorieEntrate[[#Headers],[Varie Entrate]],$I1160&lt;&gt;SottocategorieEntrate[[#Headers],[Real Estate]],$I1160&lt;&gt;SottocategorieEntrate[[#Headers],[Other]]),"","$ -")</f>
        <v/>
      </c>
      <c r="Q1160" s="59" t="str">
        <f>IF(Dati[[#This Row],[Categoria]]="Prelievo","€ -","")</f>
        <v/>
      </c>
      <c r="R1160" s="244"/>
      <c r="S1160" s="59" t="str">
        <f>IF(Dati[[#This Row],[Categoria]]="Savings",0,"")</f>
        <v/>
      </c>
      <c r="T1160" s="59"/>
      <c r="U1160" s="59"/>
      <c r="V1160" s="59"/>
      <c r="W1160" s="59"/>
      <c r="X1160" s="59"/>
      <c r="Y1160" s="59"/>
      <c r="Z1160" s="59"/>
      <c r="AA1160" s="59"/>
      <c r="AB1160" s="59"/>
      <c r="AC1160" s="59"/>
      <c r="AD1160" s="59"/>
      <c r="AE1160" s="59"/>
      <c r="AF1160" s="59"/>
      <c r="AG1160" s="59"/>
      <c r="AH1160" s="59"/>
      <c r="AI1160" s="59" t="str">
        <f>IF(SUM(Dati[[#This Row],[Inv. Business]:[Inv. Cryptocurrency]])=0," ",SUM(Dati[[#This Row],[Inv. Business]:[Inv. Cryptocurrency]]))</f>
        <v xml:space="preserve"> </v>
      </c>
      <c r="AJ1160" s="59"/>
      <c r="AK1160" s="59" t="str">
        <f>IF(SUM(Dati[[#This Row],[Inv. Gold]:[Mutuo]])=0," ",SUM(Dati[[#This Row],[Inv. Gold]:[Mutuo]]))</f>
        <v xml:space="preserve"> </v>
      </c>
      <c r="AL1160" s="59"/>
      <c r="AM1160" s="59"/>
    </row>
    <row r="1161" spans="2:39" x14ac:dyDescent="0.35">
      <c r="B1161" s="237">
        <f t="shared" si="62"/>
        <v>1141</v>
      </c>
      <c r="C1161" s="49">
        <f t="shared" si="60"/>
        <v>45772</v>
      </c>
      <c r="D1161" s="29">
        <f>DAY(Dati[[#This Row],[Data]])</f>
        <v>25</v>
      </c>
      <c r="E1161" s="29" t="str">
        <f>IF(DAY(Data!$C$21:$C$1327)&gt;0,TEXT(Data!$C$21:$C$1327, "mmmm"),"")</f>
        <v>aprile</v>
      </c>
      <c r="F1161" s="29" t="str">
        <f>IF(DAY(Data!$C$21:$C$1327)&gt;0,TEXT(Data!$C$21:$C$1327, "aaaa"),"")</f>
        <v>2025</v>
      </c>
      <c r="I1161" t="str">
        <f>IF(OR(H1161=$B$5,H1161=$B$6,H1161=$B$7,H1161=$B$8,H1161=$B$9,H1161=$B$10,H1161=$B$11,H1161=$B$12,H1161=$B$13,H1161=$B$14),SottocategorieUscite[[#Headers],[Fuori Casa]],IF(OR(H1161=$C$5,H1161=$C$6,H1161=$C$7,H1161=$C$8,H1161=$C$9,H1161=$C$10,H1161=$C$11,H1161=$C$12,H1161=$C$13,H1161=$C$14),SottocategorieUscite[[#Headers],[Varie Uscite]],IF(OR(H1161=$D$5,H1161=$D$6,H1161=$D$7,H1161=$D$8,H1161=$D$9,H1161=$D$10,H1161=$D$11,H1161=$D$12,H1161=$D$13,H1161=$D$14),SottocategorieUscite[[#Headers],[Personali]],IF(OR(H1161=$E$5,H1161=$E$6,H1161=$E$7,H1161=$E$8,H1161=$E$9,H1161=$E$10,H1161=$E$11,H1161=$E$12,H1161=$E$13,H1161=$E$14),SottocategorieUscite[[#Headers],[Lavoro]],IF(OR(H1161=$F$5,H1161=$F$6,H1161=$F$7,H1161=$F$8,H1161=$F$9,H1161=$F$10,H1161=$F$11,H1161=$F$12,H1161=$F$13,H1161=$F$14),SottocategorieUscite[[#Headers],[Casa]],IF(OR(H1161=$G$5,H1161=$G$6,H1161=$G$7,H1161=$G$8,H1161=$G$9,H1161=$G$10,H1161=$G$11,H1161=$G$12,H1161=$G$13,H1161=$G$14),SottocategorieUscite[[#Headers],[Utenze]],IF(OR(H1161=$H$5,H1161=$H$6,H1161=$H$7,H1161=$H$8,H1161=$H$9,H1161=$H$10,H1161=$H$11,H1161=$H$12,H1161=$H$13,H1161=$H$14),SottocategorieUscite[[#Headers],[Business Uscite]],IF(OR(H1161=$I$5,H1161=$I$6,H1161=$I$7,H1161=$I$8,H1161=$I$9,H1161=$I$10,H1161=$I$11,H1161=$I$12,H1161=$I$13,H1161=$I$14),SottocategorieUscite[[#Headers],[Banca]],IF(OR(H1161=K$5,H1161=K$6,H1161=K$7,H1161=K$8,H1161=K$9,H1161=K$10,H1161=K$11,H1161=K$12,H1161=K$13,H1161=K$14),SottocategorieEntrate[[#Headers],[Business Entrate]],IF(OR(H1161=L$5,H1161=L$6,H1161=L$7,H1161=L$8,H1161=L$9,H1161=L$10,H1161=L$11,H1161=L$12,H1161=L$13,H1161=L$14),SottocategorieEntrate[[#Headers],[Varie Entrate]],IF(OR(H1161=M$5,H1161=M$6,H1161=M$7,H1161=M$8,H1161=M$9,H1161=M$10,H1161=M$11,H1161=M$12,H1161=M$13,H1161=M$14),SottocategorieEntrate[[#Headers],[Real Estate]],IF(OR(H1161=N$5,H1161=N$6,H1161=N$7,H1161=N$8,H1161=N$9,H1161=N$10,H1161=N$11,H1161=N$12,H1161=N$13,H1161=N$14),SottocategorieEntrate[[#Headers],[Other]],""))))))))))))</f>
        <v/>
      </c>
      <c r="J1161" t="str">
        <f>IF(OR(Dati[[#This Row],[Categoria]]="Bollette",Dati[[#This Row],[Categoria]]="Conto &amp; Carte BNL",Dati[[#This Row],[Categoria]]="Prelievo",Dati[[#This Row],[Categoria]]="Affitto",Dati[[#This Row],[Categoria]]="BNL(Interessi Creditori)"),"Carta",IF(Dati[[#This Row],[Categoria]]&lt;&gt;0,"Cash",""))</f>
        <v/>
      </c>
      <c r="K1161" s="59" t="str">
        <f>IF(OR(Data!$I1161=SottocategorieUscite[[#Headers],[Fuori Casa]],Data!$I1161=SottocategorieUscite[[#Headers],[Varie Uscite]],Data!$I1161=SottocategorieUscite[[#Headers],[Personali]],Data!$I1161=SottocategorieUscite[[#Headers],[Lavoro]]),"$ -","")</f>
        <v/>
      </c>
      <c r="L1161" s="59" t="str">
        <f>IF(OR(Data!$I1161=SottocategorieUscite[[#Headers],[Casa]],Data!$I1161=SottocategorieUscite[[#Headers],[Utenze]],Data!$I1161=SottocategorieUscite[[#Headers],[Business Uscite]],Data!$I1161=SottocategorieUscite[[#Headers],[Banca]]),"$ -","")</f>
        <v/>
      </c>
      <c r="M1161" s="59" t="str">
        <f>IF(OR($I1161&lt;&gt;SottocategorieUscite[[#Headers],[Fuori Casa]],$I1161&lt;&gt;SottocategorieUscite[[#Headers],[Varie Uscite]],$I1161&lt;&gt;SottocategorieUscite[[#Headers],[Personali]],$I1161&lt;&gt;SottocategorieUscite[[#Headers],[Lavoro]],$I1161&lt;&gt;SottocategorieUscite[[#Headers],[Casa]],$I1161&lt;&gt;SottocategorieUscite[[#Headers],[Utenze]],$I1161&lt;&gt;SottocategorieUscite[[#Headers],[Business Uscite]],$I1161&lt;&gt;SottocategorieUscite[[#Headers],[Banca]]),"","$ -")</f>
        <v/>
      </c>
      <c r="N1161" s="59" t="str">
        <f>IF(OR(Data!$I1161=SottocategorieEntrate[[#Headers],[Business Entrate]],Data!$I1161=SottocategorieEntrate[[#Headers],[Varie Entrate]]),"$ -","")</f>
        <v/>
      </c>
      <c r="O1161" s="59" t="str">
        <f>IF(OR(Data!$I1161=SottocategorieEntrate[[#Headers],[Real Estate]],SottocategorieEntrate[[#Headers],[Other]]),"$ -","")</f>
        <v/>
      </c>
      <c r="P1161" s="59" t="str">
        <f>IF(OR($I1161&lt;&gt;SottocategorieEntrate[[#Headers],[Business Entrate]],$I1161&lt;&gt;SottocategorieEntrate[[#Headers],[Varie Entrate]],$I1161&lt;&gt;SottocategorieEntrate[[#Headers],[Real Estate]],$I1161&lt;&gt;SottocategorieEntrate[[#Headers],[Other]]),"","$ -")</f>
        <v/>
      </c>
      <c r="Q1161" s="59" t="str">
        <f>IF(Dati[[#This Row],[Categoria]]="Prelievo","€ -","")</f>
        <v/>
      </c>
      <c r="R1161" s="244"/>
      <c r="S1161" s="59" t="str">
        <f>IF(Dati[[#This Row],[Categoria]]="Savings",0,"")</f>
        <v/>
      </c>
      <c r="T1161" s="59"/>
      <c r="U1161" s="59"/>
      <c r="V1161" s="59"/>
      <c r="W1161" s="59"/>
      <c r="X1161" s="59"/>
      <c r="Y1161" s="59"/>
      <c r="Z1161" s="59"/>
      <c r="AA1161" s="59"/>
      <c r="AB1161" s="59"/>
      <c r="AC1161" s="59"/>
      <c r="AD1161" s="59"/>
      <c r="AE1161" s="59"/>
      <c r="AF1161" s="59"/>
      <c r="AG1161" s="59"/>
      <c r="AH1161" s="59"/>
      <c r="AI1161" s="59" t="str">
        <f>IF(SUM(Dati[[#This Row],[Inv. Business]:[Inv. Cryptocurrency]])=0," ",SUM(Dati[[#This Row],[Inv. Business]:[Inv. Cryptocurrency]]))</f>
        <v xml:space="preserve"> </v>
      </c>
      <c r="AJ1161" s="59"/>
      <c r="AK1161" s="59" t="str">
        <f>IF(SUM(Dati[[#This Row],[Inv. Gold]:[Mutuo]])=0," ",SUM(Dati[[#This Row],[Inv. Gold]:[Mutuo]]))</f>
        <v xml:space="preserve"> </v>
      </c>
      <c r="AL1161" s="59"/>
      <c r="AM1161" s="59"/>
    </row>
    <row r="1162" spans="2:39" x14ac:dyDescent="0.35">
      <c r="B1162" s="237">
        <f t="shared" si="62"/>
        <v>1142</v>
      </c>
      <c r="C1162" s="49">
        <f t="shared" si="60"/>
        <v>45773</v>
      </c>
      <c r="D1162" s="29">
        <f>DAY(Dati[[#This Row],[Data]])</f>
        <v>26</v>
      </c>
      <c r="E1162" s="29" t="str">
        <f>IF(DAY(Data!$C$21:$C$1327)&gt;0,TEXT(Data!$C$21:$C$1327, "mmmm"),"")</f>
        <v>aprile</v>
      </c>
      <c r="F1162" s="29" t="str">
        <f>IF(DAY(Data!$C$21:$C$1327)&gt;0,TEXT(Data!$C$21:$C$1327, "aaaa"),"")</f>
        <v>2025</v>
      </c>
      <c r="I1162" t="str">
        <f>IF(OR(H1162=$B$5,H1162=$B$6,H1162=$B$7,H1162=$B$8,H1162=$B$9,H1162=$B$10,H1162=$B$11,H1162=$B$12,H1162=$B$13,H1162=$B$14),SottocategorieUscite[[#Headers],[Fuori Casa]],IF(OR(H1162=$C$5,H1162=$C$6,H1162=$C$7,H1162=$C$8,H1162=$C$9,H1162=$C$10,H1162=$C$11,H1162=$C$12,H1162=$C$13,H1162=$C$14),SottocategorieUscite[[#Headers],[Varie Uscite]],IF(OR(H1162=$D$5,H1162=$D$6,H1162=$D$7,H1162=$D$8,H1162=$D$9,H1162=$D$10,H1162=$D$11,H1162=$D$12,H1162=$D$13,H1162=$D$14),SottocategorieUscite[[#Headers],[Personali]],IF(OR(H1162=$E$5,H1162=$E$6,H1162=$E$7,H1162=$E$8,H1162=$E$9,H1162=$E$10,H1162=$E$11,H1162=$E$12,H1162=$E$13,H1162=$E$14),SottocategorieUscite[[#Headers],[Lavoro]],IF(OR(H1162=$F$5,H1162=$F$6,H1162=$F$7,H1162=$F$8,H1162=$F$9,H1162=$F$10,H1162=$F$11,H1162=$F$12,H1162=$F$13,H1162=$F$14),SottocategorieUscite[[#Headers],[Casa]],IF(OR(H1162=$G$5,H1162=$G$6,H1162=$G$7,H1162=$G$8,H1162=$G$9,H1162=$G$10,H1162=$G$11,H1162=$G$12,H1162=$G$13,H1162=$G$14),SottocategorieUscite[[#Headers],[Utenze]],IF(OR(H1162=$H$5,H1162=$H$6,H1162=$H$7,H1162=$H$8,H1162=$H$9,H1162=$H$10,H1162=$H$11,H1162=$H$12,H1162=$H$13,H1162=$H$14),SottocategorieUscite[[#Headers],[Business Uscite]],IF(OR(H1162=$I$5,H1162=$I$6,H1162=$I$7,H1162=$I$8,H1162=$I$9,H1162=$I$10,H1162=$I$11,H1162=$I$12,H1162=$I$13,H1162=$I$14),SottocategorieUscite[[#Headers],[Banca]],IF(OR(H1162=K$5,H1162=K$6,H1162=K$7,H1162=K$8,H1162=K$9,H1162=K$10,H1162=K$11,H1162=K$12,H1162=K$13,H1162=K$14),SottocategorieEntrate[[#Headers],[Business Entrate]],IF(OR(H1162=L$5,H1162=L$6,H1162=L$7,H1162=L$8,H1162=L$9,H1162=L$10,H1162=L$11,H1162=L$12,H1162=L$13,H1162=L$14),SottocategorieEntrate[[#Headers],[Varie Entrate]],IF(OR(H1162=M$5,H1162=M$6,H1162=M$7,H1162=M$8,H1162=M$9,H1162=M$10,H1162=M$11,H1162=M$12,H1162=M$13,H1162=M$14),SottocategorieEntrate[[#Headers],[Real Estate]],IF(OR(H1162=N$5,H1162=N$6,H1162=N$7,H1162=N$8,H1162=N$9,H1162=N$10,H1162=N$11,H1162=N$12,H1162=N$13,H1162=N$14),SottocategorieEntrate[[#Headers],[Other]],""))))))))))))</f>
        <v/>
      </c>
      <c r="J1162" t="str">
        <f>IF(OR(Dati[[#This Row],[Categoria]]="Bollette",Dati[[#This Row],[Categoria]]="Conto &amp; Carte BNL",Dati[[#This Row],[Categoria]]="Prelievo",Dati[[#This Row],[Categoria]]="Affitto",Dati[[#This Row],[Categoria]]="BNL(Interessi Creditori)"),"Carta",IF(Dati[[#This Row],[Categoria]]&lt;&gt;0,"Cash",""))</f>
        <v/>
      </c>
      <c r="K1162" s="59" t="str">
        <f>IF(OR(Data!$I1162=SottocategorieUscite[[#Headers],[Fuori Casa]],Data!$I1162=SottocategorieUscite[[#Headers],[Varie Uscite]],Data!$I1162=SottocategorieUscite[[#Headers],[Personali]],Data!$I1162=SottocategorieUscite[[#Headers],[Lavoro]]),"$ -","")</f>
        <v/>
      </c>
      <c r="L1162" s="59" t="str">
        <f>IF(OR(Data!$I1162=SottocategorieUscite[[#Headers],[Casa]],Data!$I1162=SottocategorieUscite[[#Headers],[Utenze]],Data!$I1162=SottocategorieUscite[[#Headers],[Business Uscite]],Data!$I1162=SottocategorieUscite[[#Headers],[Banca]]),"$ -","")</f>
        <v/>
      </c>
      <c r="M1162" s="59" t="str">
        <f>IF(OR($I1162&lt;&gt;SottocategorieUscite[[#Headers],[Fuori Casa]],$I1162&lt;&gt;SottocategorieUscite[[#Headers],[Varie Uscite]],$I1162&lt;&gt;SottocategorieUscite[[#Headers],[Personali]],$I1162&lt;&gt;SottocategorieUscite[[#Headers],[Lavoro]],$I1162&lt;&gt;SottocategorieUscite[[#Headers],[Casa]],$I1162&lt;&gt;SottocategorieUscite[[#Headers],[Utenze]],$I1162&lt;&gt;SottocategorieUscite[[#Headers],[Business Uscite]],$I1162&lt;&gt;SottocategorieUscite[[#Headers],[Banca]]),"","$ -")</f>
        <v/>
      </c>
      <c r="N1162" s="59" t="str">
        <f>IF(OR(Data!$I1162=SottocategorieEntrate[[#Headers],[Business Entrate]],Data!$I1162=SottocategorieEntrate[[#Headers],[Varie Entrate]]),"$ -","")</f>
        <v/>
      </c>
      <c r="O1162" s="59" t="str">
        <f>IF(OR(Data!$I1162=SottocategorieEntrate[[#Headers],[Real Estate]],SottocategorieEntrate[[#Headers],[Other]]),"$ -","")</f>
        <v/>
      </c>
      <c r="P1162" s="59" t="str">
        <f>IF(OR($I1162&lt;&gt;SottocategorieEntrate[[#Headers],[Business Entrate]],$I1162&lt;&gt;SottocategorieEntrate[[#Headers],[Varie Entrate]],$I1162&lt;&gt;SottocategorieEntrate[[#Headers],[Real Estate]],$I1162&lt;&gt;SottocategorieEntrate[[#Headers],[Other]]),"","$ -")</f>
        <v/>
      </c>
      <c r="Q1162" s="59" t="str">
        <f>IF(Dati[[#This Row],[Categoria]]="Prelievo","€ -","")</f>
        <v/>
      </c>
      <c r="R1162" s="244"/>
      <c r="S1162" s="59" t="str">
        <f>IF(Dati[[#This Row],[Categoria]]="Savings",0,"")</f>
        <v/>
      </c>
      <c r="T1162" s="59"/>
      <c r="U1162" s="59"/>
      <c r="V1162" s="59"/>
      <c r="W1162" s="59"/>
      <c r="X1162" s="59"/>
      <c r="Y1162" s="59"/>
      <c r="Z1162" s="59"/>
      <c r="AA1162" s="59"/>
      <c r="AB1162" s="59"/>
      <c r="AC1162" s="59"/>
      <c r="AD1162" s="59"/>
      <c r="AE1162" s="59"/>
      <c r="AF1162" s="59"/>
      <c r="AG1162" s="59"/>
      <c r="AH1162" s="59"/>
      <c r="AI1162" s="59" t="str">
        <f>IF(SUM(Dati[[#This Row],[Inv. Business]:[Inv. Cryptocurrency]])=0," ",SUM(Dati[[#This Row],[Inv. Business]:[Inv. Cryptocurrency]]))</f>
        <v xml:space="preserve"> </v>
      </c>
      <c r="AJ1162" s="59"/>
      <c r="AK1162" s="59" t="str">
        <f>IF(SUM(Dati[[#This Row],[Inv. Gold]:[Mutuo]])=0," ",SUM(Dati[[#This Row],[Inv. Gold]:[Mutuo]]))</f>
        <v xml:space="preserve"> </v>
      </c>
      <c r="AL1162" s="59"/>
      <c r="AM1162" s="59"/>
    </row>
    <row r="1163" spans="2:39" x14ac:dyDescent="0.35">
      <c r="B1163" s="237">
        <f t="shared" si="62"/>
        <v>1143</v>
      </c>
      <c r="C1163" s="49">
        <f t="shared" si="60"/>
        <v>45774</v>
      </c>
      <c r="D1163" s="29">
        <f>DAY(Dati[[#This Row],[Data]])</f>
        <v>27</v>
      </c>
      <c r="E1163" s="29" t="str">
        <f>IF(DAY(Data!$C$21:$C$1327)&gt;0,TEXT(Data!$C$21:$C$1327, "mmmm"),"")</f>
        <v>aprile</v>
      </c>
      <c r="F1163" s="29" t="str">
        <f>IF(DAY(Data!$C$21:$C$1327)&gt;0,TEXT(Data!$C$21:$C$1327, "aaaa"),"")</f>
        <v>2025</v>
      </c>
      <c r="I1163" t="str">
        <f>IF(OR(H1163=$B$5,H1163=$B$6,H1163=$B$7,H1163=$B$8,H1163=$B$9,H1163=$B$10,H1163=$B$11,H1163=$B$12,H1163=$B$13,H1163=$B$14),SottocategorieUscite[[#Headers],[Fuori Casa]],IF(OR(H1163=$C$5,H1163=$C$6,H1163=$C$7,H1163=$C$8,H1163=$C$9,H1163=$C$10,H1163=$C$11,H1163=$C$12,H1163=$C$13,H1163=$C$14),SottocategorieUscite[[#Headers],[Varie Uscite]],IF(OR(H1163=$D$5,H1163=$D$6,H1163=$D$7,H1163=$D$8,H1163=$D$9,H1163=$D$10,H1163=$D$11,H1163=$D$12,H1163=$D$13,H1163=$D$14),SottocategorieUscite[[#Headers],[Personali]],IF(OR(H1163=$E$5,H1163=$E$6,H1163=$E$7,H1163=$E$8,H1163=$E$9,H1163=$E$10,H1163=$E$11,H1163=$E$12,H1163=$E$13,H1163=$E$14),SottocategorieUscite[[#Headers],[Lavoro]],IF(OR(H1163=$F$5,H1163=$F$6,H1163=$F$7,H1163=$F$8,H1163=$F$9,H1163=$F$10,H1163=$F$11,H1163=$F$12,H1163=$F$13,H1163=$F$14),SottocategorieUscite[[#Headers],[Casa]],IF(OR(H1163=$G$5,H1163=$G$6,H1163=$G$7,H1163=$G$8,H1163=$G$9,H1163=$G$10,H1163=$G$11,H1163=$G$12,H1163=$G$13,H1163=$G$14),SottocategorieUscite[[#Headers],[Utenze]],IF(OR(H1163=$H$5,H1163=$H$6,H1163=$H$7,H1163=$H$8,H1163=$H$9,H1163=$H$10,H1163=$H$11,H1163=$H$12,H1163=$H$13,H1163=$H$14),SottocategorieUscite[[#Headers],[Business Uscite]],IF(OR(H1163=$I$5,H1163=$I$6,H1163=$I$7,H1163=$I$8,H1163=$I$9,H1163=$I$10,H1163=$I$11,H1163=$I$12,H1163=$I$13,H1163=$I$14),SottocategorieUscite[[#Headers],[Banca]],IF(OR(H1163=K$5,H1163=K$6,H1163=K$7,H1163=K$8,H1163=K$9,H1163=K$10,H1163=K$11,H1163=K$12,H1163=K$13,H1163=K$14),SottocategorieEntrate[[#Headers],[Business Entrate]],IF(OR(H1163=L$5,H1163=L$6,H1163=L$7,H1163=L$8,H1163=L$9,H1163=L$10,H1163=L$11,H1163=L$12,H1163=L$13,H1163=L$14),SottocategorieEntrate[[#Headers],[Varie Entrate]],IF(OR(H1163=M$5,H1163=M$6,H1163=M$7,H1163=M$8,H1163=M$9,H1163=M$10,H1163=M$11,H1163=M$12,H1163=M$13,H1163=M$14),SottocategorieEntrate[[#Headers],[Real Estate]],IF(OR(H1163=N$5,H1163=N$6,H1163=N$7,H1163=N$8,H1163=N$9,H1163=N$10,H1163=N$11,H1163=N$12,H1163=N$13,H1163=N$14),SottocategorieEntrate[[#Headers],[Other]],""))))))))))))</f>
        <v/>
      </c>
      <c r="J1163" t="str">
        <f>IF(OR(Dati[[#This Row],[Categoria]]="Bollette",Dati[[#This Row],[Categoria]]="Conto &amp; Carte BNL",Dati[[#This Row],[Categoria]]="Prelievo",Dati[[#This Row],[Categoria]]="Affitto",Dati[[#This Row],[Categoria]]="BNL(Interessi Creditori)"),"Carta",IF(Dati[[#This Row],[Categoria]]&lt;&gt;0,"Cash",""))</f>
        <v/>
      </c>
      <c r="K1163" s="59" t="str">
        <f>IF(OR(Data!$I1163=SottocategorieUscite[[#Headers],[Fuori Casa]],Data!$I1163=SottocategorieUscite[[#Headers],[Varie Uscite]],Data!$I1163=SottocategorieUscite[[#Headers],[Personali]],Data!$I1163=SottocategorieUscite[[#Headers],[Lavoro]]),"$ -","")</f>
        <v/>
      </c>
      <c r="L1163" s="59" t="str">
        <f>IF(OR(Data!$I1163=SottocategorieUscite[[#Headers],[Casa]],Data!$I1163=SottocategorieUscite[[#Headers],[Utenze]],Data!$I1163=SottocategorieUscite[[#Headers],[Business Uscite]],Data!$I1163=SottocategorieUscite[[#Headers],[Banca]]),"$ -","")</f>
        <v/>
      </c>
      <c r="M1163" s="59" t="str">
        <f>IF(OR($I1163&lt;&gt;SottocategorieUscite[[#Headers],[Fuori Casa]],$I1163&lt;&gt;SottocategorieUscite[[#Headers],[Varie Uscite]],$I1163&lt;&gt;SottocategorieUscite[[#Headers],[Personali]],$I1163&lt;&gt;SottocategorieUscite[[#Headers],[Lavoro]],$I1163&lt;&gt;SottocategorieUscite[[#Headers],[Casa]],$I1163&lt;&gt;SottocategorieUscite[[#Headers],[Utenze]],$I1163&lt;&gt;SottocategorieUscite[[#Headers],[Business Uscite]],$I1163&lt;&gt;SottocategorieUscite[[#Headers],[Banca]]),"","$ -")</f>
        <v/>
      </c>
      <c r="N1163" s="59" t="str">
        <f>IF(OR(Data!$I1163=SottocategorieEntrate[[#Headers],[Business Entrate]],Data!$I1163=SottocategorieEntrate[[#Headers],[Varie Entrate]]),"$ -","")</f>
        <v/>
      </c>
      <c r="O1163" s="59" t="str">
        <f>IF(OR(Data!$I1163=SottocategorieEntrate[[#Headers],[Real Estate]],SottocategorieEntrate[[#Headers],[Other]]),"$ -","")</f>
        <v/>
      </c>
      <c r="P1163" s="59" t="str">
        <f>IF(OR($I1163&lt;&gt;SottocategorieEntrate[[#Headers],[Business Entrate]],$I1163&lt;&gt;SottocategorieEntrate[[#Headers],[Varie Entrate]],$I1163&lt;&gt;SottocategorieEntrate[[#Headers],[Real Estate]],$I1163&lt;&gt;SottocategorieEntrate[[#Headers],[Other]]),"","$ -")</f>
        <v/>
      </c>
      <c r="Q1163" s="59" t="str">
        <f>IF(Dati[[#This Row],[Categoria]]="Prelievo","€ -","")</f>
        <v/>
      </c>
      <c r="R1163" s="244"/>
      <c r="S1163" s="59" t="str">
        <f>IF(Dati[[#This Row],[Categoria]]="Savings",0,"")</f>
        <v/>
      </c>
      <c r="T1163" s="59"/>
      <c r="U1163" s="59"/>
      <c r="V1163" s="59"/>
      <c r="W1163" s="59"/>
      <c r="X1163" s="59"/>
      <c r="Y1163" s="59"/>
      <c r="Z1163" s="59"/>
      <c r="AA1163" s="59"/>
      <c r="AB1163" s="59"/>
      <c r="AC1163" s="59"/>
      <c r="AD1163" s="59"/>
      <c r="AE1163" s="59"/>
      <c r="AF1163" s="59"/>
      <c r="AG1163" s="59"/>
      <c r="AH1163" s="59"/>
      <c r="AI1163" s="59" t="str">
        <f>IF(SUM(Dati[[#This Row],[Inv. Business]:[Inv. Cryptocurrency]])=0," ",SUM(Dati[[#This Row],[Inv. Business]:[Inv. Cryptocurrency]]))</f>
        <v xml:space="preserve"> </v>
      </c>
      <c r="AJ1163" s="59"/>
      <c r="AK1163" s="59" t="str">
        <f>IF(SUM(Dati[[#This Row],[Inv. Gold]:[Mutuo]])=0," ",SUM(Dati[[#This Row],[Inv. Gold]:[Mutuo]]))</f>
        <v xml:space="preserve"> </v>
      </c>
      <c r="AL1163" s="59"/>
      <c r="AM1163" s="59"/>
    </row>
    <row r="1164" spans="2:39" x14ac:dyDescent="0.35">
      <c r="B1164" s="237">
        <f t="shared" si="62"/>
        <v>1144</v>
      </c>
      <c r="C1164" s="49">
        <f t="shared" si="60"/>
        <v>45775</v>
      </c>
      <c r="D1164" s="29">
        <f>DAY(Dati[[#This Row],[Data]])</f>
        <v>28</v>
      </c>
      <c r="E1164" s="29" t="str">
        <f>IF(DAY(Data!$C$21:$C$1327)&gt;0,TEXT(Data!$C$21:$C$1327, "mmmm"),"")</f>
        <v>aprile</v>
      </c>
      <c r="F1164" s="29" t="str">
        <f>IF(DAY(Data!$C$21:$C$1327)&gt;0,TEXT(Data!$C$21:$C$1327, "aaaa"),"")</f>
        <v>2025</v>
      </c>
      <c r="I1164" t="str">
        <f>IF(OR(H1164=$B$5,H1164=$B$6,H1164=$B$7,H1164=$B$8,H1164=$B$9,H1164=$B$10,H1164=$B$11,H1164=$B$12,H1164=$B$13,H1164=$B$14),SottocategorieUscite[[#Headers],[Fuori Casa]],IF(OR(H1164=$C$5,H1164=$C$6,H1164=$C$7,H1164=$C$8,H1164=$C$9,H1164=$C$10,H1164=$C$11,H1164=$C$12,H1164=$C$13,H1164=$C$14),SottocategorieUscite[[#Headers],[Varie Uscite]],IF(OR(H1164=$D$5,H1164=$D$6,H1164=$D$7,H1164=$D$8,H1164=$D$9,H1164=$D$10,H1164=$D$11,H1164=$D$12,H1164=$D$13,H1164=$D$14),SottocategorieUscite[[#Headers],[Personali]],IF(OR(H1164=$E$5,H1164=$E$6,H1164=$E$7,H1164=$E$8,H1164=$E$9,H1164=$E$10,H1164=$E$11,H1164=$E$12,H1164=$E$13,H1164=$E$14),SottocategorieUscite[[#Headers],[Lavoro]],IF(OR(H1164=$F$5,H1164=$F$6,H1164=$F$7,H1164=$F$8,H1164=$F$9,H1164=$F$10,H1164=$F$11,H1164=$F$12,H1164=$F$13,H1164=$F$14),SottocategorieUscite[[#Headers],[Casa]],IF(OR(H1164=$G$5,H1164=$G$6,H1164=$G$7,H1164=$G$8,H1164=$G$9,H1164=$G$10,H1164=$G$11,H1164=$G$12,H1164=$G$13,H1164=$G$14),SottocategorieUscite[[#Headers],[Utenze]],IF(OR(H1164=$H$5,H1164=$H$6,H1164=$H$7,H1164=$H$8,H1164=$H$9,H1164=$H$10,H1164=$H$11,H1164=$H$12,H1164=$H$13,H1164=$H$14),SottocategorieUscite[[#Headers],[Business Uscite]],IF(OR(H1164=$I$5,H1164=$I$6,H1164=$I$7,H1164=$I$8,H1164=$I$9,H1164=$I$10,H1164=$I$11,H1164=$I$12,H1164=$I$13,H1164=$I$14),SottocategorieUscite[[#Headers],[Banca]],IF(OR(H1164=K$5,H1164=K$6,H1164=K$7,H1164=K$8,H1164=K$9,H1164=K$10,H1164=K$11,H1164=K$12,H1164=K$13,H1164=K$14),SottocategorieEntrate[[#Headers],[Business Entrate]],IF(OR(H1164=L$5,H1164=L$6,H1164=L$7,H1164=L$8,H1164=L$9,H1164=L$10,H1164=L$11,H1164=L$12,H1164=L$13,H1164=L$14),SottocategorieEntrate[[#Headers],[Varie Entrate]],IF(OR(H1164=M$5,H1164=M$6,H1164=M$7,H1164=M$8,H1164=M$9,H1164=M$10,H1164=M$11,H1164=M$12,H1164=M$13,H1164=M$14),SottocategorieEntrate[[#Headers],[Real Estate]],IF(OR(H1164=N$5,H1164=N$6,H1164=N$7,H1164=N$8,H1164=N$9,H1164=N$10,H1164=N$11,H1164=N$12,H1164=N$13,H1164=N$14),SottocategorieEntrate[[#Headers],[Other]],""))))))))))))</f>
        <v/>
      </c>
      <c r="J1164" t="str">
        <f>IF(OR(Dati[[#This Row],[Categoria]]="Bollette",Dati[[#This Row],[Categoria]]="Conto &amp; Carte BNL",Dati[[#This Row],[Categoria]]="Prelievo",Dati[[#This Row],[Categoria]]="Affitto",Dati[[#This Row],[Categoria]]="BNL(Interessi Creditori)"),"Carta",IF(Dati[[#This Row],[Categoria]]&lt;&gt;0,"Cash",""))</f>
        <v/>
      </c>
      <c r="K1164" s="59" t="str">
        <f>IF(OR(Data!$I1164=SottocategorieUscite[[#Headers],[Fuori Casa]],Data!$I1164=SottocategorieUscite[[#Headers],[Varie Uscite]],Data!$I1164=SottocategorieUscite[[#Headers],[Personali]],Data!$I1164=SottocategorieUscite[[#Headers],[Lavoro]]),"$ -","")</f>
        <v/>
      </c>
      <c r="L1164" s="59" t="str">
        <f>IF(OR(Data!$I1164=SottocategorieUscite[[#Headers],[Casa]],Data!$I1164=SottocategorieUscite[[#Headers],[Utenze]],Data!$I1164=SottocategorieUscite[[#Headers],[Business Uscite]],Data!$I1164=SottocategorieUscite[[#Headers],[Banca]]),"$ -","")</f>
        <v/>
      </c>
      <c r="M1164" s="59" t="str">
        <f>IF(OR($I1164&lt;&gt;SottocategorieUscite[[#Headers],[Fuori Casa]],$I1164&lt;&gt;SottocategorieUscite[[#Headers],[Varie Uscite]],$I1164&lt;&gt;SottocategorieUscite[[#Headers],[Personali]],$I1164&lt;&gt;SottocategorieUscite[[#Headers],[Lavoro]],$I1164&lt;&gt;SottocategorieUscite[[#Headers],[Casa]],$I1164&lt;&gt;SottocategorieUscite[[#Headers],[Utenze]],$I1164&lt;&gt;SottocategorieUscite[[#Headers],[Business Uscite]],$I1164&lt;&gt;SottocategorieUscite[[#Headers],[Banca]]),"","$ -")</f>
        <v/>
      </c>
      <c r="N1164" s="59" t="str">
        <f>IF(OR(Data!$I1164=SottocategorieEntrate[[#Headers],[Business Entrate]],Data!$I1164=SottocategorieEntrate[[#Headers],[Varie Entrate]]),"$ -","")</f>
        <v/>
      </c>
      <c r="O1164" s="59" t="str">
        <f>IF(OR(Data!$I1164=SottocategorieEntrate[[#Headers],[Real Estate]],SottocategorieEntrate[[#Headers],[Other]]),"$ -","")</f>
        <v/>
      </c>
      <c r="P1164" s="59" t="str">
        <f>IF(OR($I1164&lt;&gt;SottocategorieEntrate[[#Headers],[Business Entrate]],$I1164&lt;&gt;SottocategorieEntrate[[#Headers],[Varie Entrate]],$I1164&lt;&gt;SottocategorieEntrate[[#Headers],[Real Estate]],$I1164&lt;&gt;SottocategorieEntrate[[#Headers],[Other]]),"","$ -")</f>
        <v/>
      </c>
      <c r="Q1164" s="59" t="str">
        <f>IF(Dati[[#This Row],[Categoria]]="Prelievo","€ -","")</f>
        <v/>
      </c>
      <c r="R1164" s="244"/>
      <c r="S1164" s="59" t="str">
        <f>IF(Dati[[#This Row],[Categoria]]="Savings",0,"")</f>
        <v/>
      </c>
      <c r="T1164" s="59"/>
      <c r="U1164" s="59"/>
      <c r="V1164" s="59"/>
      <c r="W1164" s="59"/>
      <c r="X1164" s="59"/>
      <c r="Y1164" s="59"/>
      <c r="Z1164" s="59"/>
      <c r="AA1164" s="59"/>
      <c r="AB1164" s="59"/>
      <c r="AC1164" s="59"/>
      <c r="AD1164" s="59"/>
      <c r="AE1164" s="59"/>
      <c r="AF1164" s="59"/>
      <c r="AG1164" s="59"/>
      <c r="AH1164" s="59"/>
      <c r="AI1164" s="59" t="str">
        <f>IF(SUM(Dati[[#This Row],[Inv. Business]:[Inv. Cryptocurrency]])=0," ",SUM(Dati[[#This Row],[Inv. Business]:[Inv. Cryptocurrency]]))</f>
        <v xml:space="preserve"> </v>
      </c>
      <c r="AJ1164" s="59"/>
      <c r="AK1164" s="59" t="str">
        <f>IF(SUM(Dati[[#This Row],[Inv. Gold]:[Mutuo]])=0," ",SUM(Dati[[#This Row],[Inv. Gold]:[Mutuo]]))</f>
        <v xml:space="preserve"> </v>
      </c>
      <c r="AL1164" s="59"/>
      <c r="AM1164" s="59"/>
    </row>
    <row r="1165" spans="2:39" x14ac:dyDescent="0.35">
      <c r="B1165" s="237">
        <f t="shared" si="62"/>
        <v>1145</v>
      </c>
      <c r="C1165" s="49">
        <f t="shared" si="60"/>
        <v>45776</v>
      </c>
      <c r="D1165" s="29">
        <f>DAY(Dati[[#This Row],[Data]])</f>
        <v>29</v>
      </c>
      <c r="E1165" s="29" t="str">
        <f>IF(DAY(Data!$C$21:$C$1327)&gt;0,TEXT(Data!$C$21:$C$1327, "mmmm"),"")</f>
        <v>aprile</v>
      </c>
      <c r="F1165" s="29" t="str">
        <f>IF(DAY(Data!$C$21:$C$1327)&gt;0,TEXT(Data!$C$21:$C$1327, "aaaa"),"")</f>
        <v>2025</v>
      </c>
      <c r="I1165" t="str">
        <f>IF(OR(H1165=$B$5,H1165=$B$6,H1165=$B$7,H1165=$B$8,H1165=$B$9,H1165=$B$10,H1165=$B$11,H1165=$B$12,H1165=$B$13,H1165=$B$14),SottocategorieUscite[[#Headers],[Fuori Casa]],IF(OR(H1165=$C$5,H1165=$C$6,H1165=$C$7,H1165=$C$8,H1165=$C$9,H1165=$C$10,H1165=$C$11,H1165=$C$12,H1165=$C$13,H1165=$C$14),SottocategorieUscite[[#Headers],[Varie Uscite]],IF(OR(H1165=$D$5,H1165=$D$6,H1165=$D$7,H1165=$D$8,H1165=$D$9,H1165=$D$10,H1165=$D$11,H1165=$D$12,H1165=$D$13,H1165=$D$14),SottocategorieUscite[[#Headers],[Personali]],IF(OR(H1165=$E$5,H1165=$E$6,H1165=$E$7,H1165=$E$8,H1165=$E$9,H1165=$E$10,H1165=$E$11,H1165=$E$12,H1165=$E$13,H1165=$E$14),SottocategorieUscite[[#Headers],[Lavoro]],IF(OR(H1165=$F$5,H1165=$F$6,H1165=$F$7,H1165=$F$8,H1165=$F$9,H1165=$F$10,H1165=$F$11,H1165=$F$12,H1165=$F$13,H1165=$F$14),SottocategorieUscite[[#Headers],[Casa]],IF(OR(H1165=$G$5,H1165=$G$6,H1165=$G$7,H1165=$G$8,H1165=$G$9,H1165=$G$10,H1165=$G$11,H1165=$G$12,H1165=$G$13,H1165=$G$14),SottocategorieUscite[[#Headers],[Utenze]],IF(OR(H1165=$H$5,H1165=$H$6,H1165=$H$7,H1165=$H$8,H1165=$H$9,H1165=$H$10,H1165=$H$11,H1165=$H$12,H1165=$H$13,H1165=$H$14),SottocategorieUscite[[#Headers],[Business Uscite]],IF(OR(H1165=$I$5,H1165=$I$6,H1165=$I$7,H1165=$I$8,H1165=$I$9,H1165=$I$10,H1165=$I$11,H1165=$I$12,H1165=$I$13,H1165=$I$14),SottocategorieUscite[[#Headers],[Banca]],IF(OR(H1165=K$5,H1165=K$6,H1165=K$7,H1165=K$8,H1165=K$9,H1165=K$10,H1165=K$11,H1165=K$12,H1165=K$13,H1165=K$14),SottocategorieEntrate[[#Headers],[Business Entrate]],IF(OR(H1165=L$5,H1165=L$6,H1165=L$7,H1165=L$8,H1165=L$9,H1165=L$10,H1165=L$11,H1165=L$12,H1165=L$13,H1165=L$14),SottocategorieEntrate[[#Headers],[Varie Entrate]],IF(OR(H1165=M$5,H1165=M$6,H1165=M$7,H1165=M$8,H1165=M$9,H1165=M$10,H1165=M$11,H1165=M$12,H1165=M$13,H1165=M$14),SottocategorieEntrate[[#Headers],[Real Estate]],IF(OR(H1165=N$5,H1165=N$6,H1165=N$7,H1165=N$8,H1165=N$9,H1165=N$10,H1165=N$11,H1165=N$12,H1165=N$13,H1165=N$14),SottocategorieEntrate[[#Headers],[Other]],""))))))))))))</f>
        <v/>
      </c>
      <c r="J1165" t="str">
        <f>IF(OR(Dati[[#This Row],[Categoria]]="Bollette",Dati[[#This Row],[Categoria]]="Conto &amp; Carte BNL",Dati[[#This Row],[Categoria]]="Prelievo",Dati[[#This Row],[Categoria]]="Affitto",Dati[[#This Row],[Categoria]]="BNL(Interessi Creditori)"),"Carta",IF(Dati[[#This Row],[Categoria]]&lt;&gt;0,"Cash",""))</f>
        <v/>
      </c>
      <c r="K1165" s="59" t="str">
        <f>IF(OR(Data!$I1165=SottocategorieUscite[[#Headers],[Fuori Casa]],Data!$I1165=SottocategorieUscite[[#Headers],[Varie Uscite]],Data!$I1165=SottocategorieUscite[[#Headers],[Personali]],Data!$I1165=SottocategorieUscite[[#Headers],[Lavoro]]),"$ -","")</f>
        <v/>
      </c>
      <c r="L1165" s="59" t="str">
        <f>IF(OR(Data!$I1165=SottocategorieUscite[[#Headers],[Casa]],Data!$I1165=SottocategorieUscite[[#Headers],[Utenze]],Data!$I1165=SottocategorieUscite[[#Headers],[Business Uscite]],Data!$I1165=SottocategorieUscite[[#Headers],[Banca]]),"$ -","")</f>
        <v/>
      </c>
      <c r="M1165" s="59" t="str">
        <f>IF(OR($I1165&lt;&gt;SottocategorieUscite[[#Headers],[Fuori Casa]],$I1165&lt;&gt;SottocategorieUscite[[#Headers],[Varie Uscite]],$I1165&lt;&gt;SottocategorieUscite[[#Headers],[Personali]],$I1165&lt;&gt;SottocategorieUscite[[#Headers],[Lavoro]],$I1165&lt;&gt;SottocategorieUscite[[#Headers],[Casa]],$I1165&lt;&gt;SottocategorieUscite[[#Headers],[Utenze]],$I1165&lt;&gt;SottocategorieUscite[[#Headers],[Business Uscite]],$I1165&lt;&gt;SottocategorieUscite[[#Headers],[Banca]]),"","$ -")</f>
        <v/>
      </c>
      <c r="N1165" s="59" t="str">
        <f>IF(OR(Data!$I1165=SottocategorieEntrate[[#Headers],[Business Entrate]],Data!$I1165=SottocategorieEntrate[[#Headers],[Varie Entrate]]),"$ -","")</f>
        <v/>
      </c>
      <c r="O1165" s="59" t="str">
        <f>IF(OR(Data!$I1165=SottocategorieEntrate[[#Headers],[Real Estate]],SottocategorieEntrate[[#Headers],[Other]]),"$ -","")</f>
        <v/>
      </c>
      <c r="P1165" s="59" t="str">
        <f>IF(OR($I1165&lt;&gt;SottocategorieEntrate[[#Headers],[Business Entrate]],$I1165&lt;&gt;SottocategorieEntrate[[#Headers],[Varie Entrate]],$I1165&lt;&gt;SottocategorieEntrate[[#Headers],[Real Estate]],$I1165&lt;&gt;SottocategorieEntrate[[#Headers],[Other]]),"","$ -")</f>
        <v/>
      </c>
      <c r="Q1165" s="59" t="str">
        <f>IF(Dati[[#This Row],[Categoria]]="Prelievo","€ -","")</f>
        <v/>
      </c>
      <c r="R1165" s="244"/>
      <c r="S1165" s="59" t="str">
        <f>IF(Dati[[#This Row],[Categoria]]="Savings",0,"")</f>
        <v/>
      </c>
      <c r="T1165" s="59"/>
      <c r="U1165" s="59"/>
      <c r="V1165" s="59"/>
      <c r="W1165" s="59"/>
      <c r="X1165" s="59"/>
      <c r="Y1165" s="59"/>
      <c r="Z1165" s="59"/>
      <c r="AA1165" s="59"/>
      <c r="AB1165" s="59"/>
      <c r="AC1165" s="59"/>
      <c r="AD1165" s="59"/>
      <c r="AE1165" s="59"/>
      <c r="AF1165" s="59"/>
      <c r="AG1165" s="59"/>
      <c r="AH1165" s="59"/>
      <c r="AI1165" s="59" t="str">
        <f>IF(SUM(Dati[[#This Row],[Inv. Business]:[Inv. Cryptocurrency]])=0," ",SUM(Dati[[#This Row],[Inv. Business]:[Inv. Cryptocurrency]]))</f>
        <v xml:space="preserve"> </v>
      </c>
      <c r="AJ1165" s="59"/>
      <c r="AK1165" s="59" t="str">
        <f>IF(SUM(Dati[[#This Row],[Inv. Gold]:[Mutuo]])=0," ",SUM(Dati[[#This Row],[Inv. Gold]:[Mutuo]]))</f>
        <v xml:space="preserve"> </v>
      </c>
      <c r="AL1165" s="59"/>
      <c r="AM1165" s="59"/>
    </row>
    <row r="1166" spans="2:39" x14ac:dyDescent="0.35">
      <c r="B1166" s="237">
        <f t="shared" si="62"/>
        <v>1146</v>
      </c>
      <c r="C1166" s="49">
        <f t="shared" si="60"/>
        <v>45777</v>
      </c>
      <c r="D1166" s="29">
        <f>DAY(Dati[[#This Row],[Data]])</f>
        <v>30</v>
      </c>
      <c r="E1166" s="29" t="str">
        <f>IF(DAY(Data!$C$21:$C$1327)&gt;0,TEXT(Data!$C$21:$C$1327, "mmmm"),"")</f>
        <v>aprile</v>
      </c>
      <c r="F1166" s="29" t="str">
        <f>IF(DAY(Data!$C$21:$C$1327)&gt;0,TEXT(Data!$C$21:$C$1327, "aaaa"),"")</f>
        <v>2025</v>
      </c>
      <c r="I1166" t="str">
        <f>IF(OR(H1166=$B$5,H1166=$B$6,H1166=$B$7,H1166=$B$8,H1166=$B$9,H1166=$B$10,H1166=$B$11,H1166=$B$12,H1166=$B$13,H1166=$B$14),SottocategorieUscite[[#Headers],[Fuori Casa]],IF(OR(H1166=$C$5,H1166=$C$6,H1166=$C$7,H1166=$C$8,H1166=$C$9,H1166=$C$10,H1166=$C$11,H1166=$C$12,H1166=$C$13,H1166=$C$14),SottocategorieUscite[[#Headers],[Varie Uscite]],IF(OR(H1166=$D$5,H1166=$D$6,H1166=$D$7,H1166=$D$8,H1166=$D$9,H1166=$D$10,H1166=$D$11,H1166=$D$12,H1166=$D$13,H1166=$D$14),SottocategorieUscite[[#Headers],[Personali]],IF(OR(H1166=$E$5,H1166=$E$6,H1166=$E$7,H1166=$E$8,H1166=$E$9,H1166=$E$10,H1166=$E$11,H1166=$E$12,H1166=$E$13,H1166=$E$14),SottocategorieUscite[[#Headers],[Lavoro]],IF(OR(H1166=$F$5,H1166=$F$6,H1166=$F$7,H1166=$F$8,H1166=$F$9,H1166=$F$10,H1166=$F$11,H1166=$F$12,H1166=$F$13,H1166=$F$14),SottocategorieUscite[[#Headers],[Casa]],IF(OR(H1166=$G$5,H1166=$G$6,H1166=$G$7,H1166=$G$8,H1166=$G$9,H1166=$G$10,H1166=$G$11,H1166=$G$12,H1166=$G$13,H1166=$G$14),SottocategorieUscite[[#Headers],[Utenze]],IF(OR(H1166=$H$5,H1166=$H$6,H1166=$H$7,H1166=$H$8,H1166=$H$9,H1166=$H$10,H1166=$H$11,H1166=$H$12,H1166=$H$13,H1166=$H$14),SottocategorieUscite[[#Headers],[Business Uscite]],IF(OR(H1166=$I$5,H1166=$I$6,H1166=$I$7,H1166=$I$8,H1166=$I$9,H1166=$I$10,H1166=$I$11,H1166=$I$12,H1166=$I$13,H1166=$I$14),SottocategorieUscite[[#Headers],[Banca]],IF(OR(H1166=K$5,H1166=K$6,H1166=K$7,H1166=K$8,H1166=K$9,H1166=K$10,H1166=K$11,H1166=K$12,H1166=K$13,H1166=K$14),SottocategorieEntrate[[#Headers],[Business Entrate]],IF(OR(H1166=L$5,H1166=L$6,H1166=L$7,H1166=L$8,H1166=L$9,H1166=L$10,H1166=L$11,H1166=L$12,H1166=L$13,H1166=L$14),SottocategorieEntrate[[#Headers],[Varie Entrate]],IF(OR(H1166=M$5,H1166=M$6,H1166=M$7,H1166=M$8,H1166=M$9,H1166=M$10,H1166=M$11,H1166=M$12,H1166=M$13,H1166=M$14),SottocategorieEntrate[[#Headers],[Real Estate]],IF(OR(H1166=N$5,H1166=N$6,H1166=N$7,H1166=N$8,H1166=N$9,H1166=N$10,H1166=N$11,H1166=N$12,H1166=N$13,H1166=N$14),SottocategorieEntrate[[#Headers],[Other]],""))))))))))))</f>
        <v/>
      </c>
      <c r="J1166" t="str">
        <f>IF(OR(Dati[[#This Row],[Categoria]]="Bollette",Dati[[#This Row],[Categoria]]="Conto &amp; Carte BNL",Dati[[#This Row],[Categoria]]="Prelievo",Dati[[#This Row],[Categoria]]="Affitto",Dati[[#This Row],[Categoria]]="BNL(Interessi Creditori)"),"Carta",IF(Dati[[#This Row],[Categoria]]&lt;&gt;0,"Cash",""))</f>
        <v/>
      </c>
      <c r="K1166" s="59" t="str">
        <f>IF(OR(Data!$I1166=SottocategorieUscite[[#Headers],[Fuori Casa]],Data!$I1166=SottocategorieUscite[[#Headers],[Varie Uscite]],Data!$I1166=SottocategorieUscite[[#Headers],[Personali]],Data!$I1166=SottocategorieUscite[[#Headers],[Lavoro]]),"$ -","")</f>
        <v/>
      </c>
      <c r="L1166" s="59" t="str">
        <f>IF(OR(Data!$I1166=SottocategorieUscite[[#Headers],[Casa]],Data!$I1166=SottocategorieUscite[[#Headers],[Utenze]],Data!$I1166=SottocategorieUscite[[#Headers],[Business Uscite]],Data!$I1166=SottocategorieUscite[[#Headers],[Banca]]),"$ -","")</f>
        <v/>
      </c>
      <c r="M1166" s="59" t="str">
        <f>IF(OR($I1166&lt;&gt;SottocategorieUscite[[#Headers],[Fuori Casa]],$I1166&lt;&gt;SottocategorieUscite[[#Headers],[Varie Uscite]],$I1166&lt;&gt;SottocategorieUscite[[#Headers],[Personali]],$I1166&lt;&gt;SottocategorieUscite[[#Headers],[Lavoro]],$I1166&lt;&gt;SottocategorieUscite[[#Headers],[Casa]],$I1166&lt;&gt;SottocategorieUscite[[#Headers],[Utenze]],$I1166&lt;&gt;SottocategorieUscite[[#Headers],[Business Uscite]],$I1166&lt;&gt;SottocategorieUscite[[#Headers],[Banca]]),"","$ -")</f>
        <v/>
      </c>
      <c r="N1166" s="59" t="str">
        <f>IF(OR(Data!$I1166=SottocategorieEntrate[[#Headers],[Business Entrate]],Data!$I1166=SottocategorieEntrate[[#Headers],[Varie Entrate]]),"$ -","")</f>
        <v/>
      </c>
      <c r="O1166" s="59" t="str">
        <f>IF(OR(Data!$I1166=SottocategorieEntrate[[#Headers],[Real Estate]],SottocategorieEntrate[[#Headers],[Other]]),"$ -","")</f>
        <v/>
      </c>
      <c r="P1166" s="59" t="str">
        <f>IF(OR($I1166&lt;&gt;SottocategorieEntrate[[#Headers],[Business Entrate]],$I1166&lt;&gt;SottocategorieEntrate[[#Headers],[Varie Entrate]],$I1166&lt;&gt;SottocategorieEntrate[[#Headers],[Real Estate]],$I1166&lt;&gt;SottocategorieEntrate[[#Headers],[Other]]),"","$ -")</f>
        <v/>
      </c>
      <c r="Q1166" s="59" t="str">
        <f>IF(Dati[[#This Row],[Categoria]]="Prelievo","€ -","")</f>
        <v/>
      </c>
      <c r="R1166" s="244"/>
      <c r="S1166" s="59" t="str">
        <f>IF(Dati[[#This Row],[Categoria]]="Savings",0,"")</f>
        <v/>
      </c>
      <c r="T1166" s="59"/>
      <c r="U1166" s="59"/>
      <c r="V1166" s="59"/>
      <c r="W1166" s="59"/>
      <c r="X1166" s="59"/>
      <c r="Y1166" s="59"/>
      <c r="Z1166" s="59"/>
      <c r="AA1166" s="59"/>
      <c r="AB1166" s="59"/>
      <c r="AC1166" s="59"/>
      <c r="AD1166" s="59"/>
      <c r="AE1166" s="59"/>
      <c r="AF1166" s="59"/>
      <c r="AG1166" s="59"/>
      <c r="AH1166" s="59"/>
      <c r="AI1166" s="59" t="str">
        <f>IF(SUM(Dati[[#This Row],[Inv. Business]:[Inv. Cryptocurrency]])=0," ",SUM(Dati[[#This Row],[Inv. Business]:[Inv. Cryptocurrency]]))</f>
        <v xml:space="preserve"> </v>
      </c>
      <c r="AJ1166" s="59"/>
      <c r="AK1166" s="59" t="str">
        <f>IF(SUM(Dati[[#This Row],[Inv. Gold]:[Mutuo]])=0," ",SUM(Dati[[#This Row],[Inv. Gold]:[Mutuo]]))</f>
        <v xml:space="preserve"> </v>
      </c>
      <c r="AL1166" s="59"/>
      <c r="AM1166" s="59"/>
    </row>
    <row r="1167" spans="2:39" x14ac:dyDescent="0.35">
      <c r="B1167" s="237">
        <f t="shared" si="62"/>
        <v>1147</v>
      </c>
      <c r="C1167" s="49">
        <f t="shared" si="60"/>
        <v>45778</v>
      </c>
      <c r="D1167" s="29">
        <f>DAY(Dati[[#This Row],[Data]])</f>
        <v>1</v>
      </c>
      <c r="E1167" s="29" t="str">
        <f>IF(DAY(Data!$C$21:$C$1327)&gt;0,TEXT(Data!$C$21:$C$1327, "mmmm"),"")</f>
        <v>maggio</v>
      </c>
      <c r="F1167" s="29" t="str">
        <f>IF(DAY(Data!$C$21:$C$1327)&gt;0,TEXT(Data!$C$21:$C$1327, "aaaa"),"")</f>
        <v>2025</v>
      </c>
      <c r="I1167" t="str">
        <f>IF(OR(H1167=$B$5,H1167=$B$6,H1167=$B$7,H1167=$B$8,H1167=$B$9,H1167=$B$10,H1167=$B$11,H1167=$B$12,H1167=$B$13,H1167=$B$14),SottocategorieUscite[[#Headers],[Fuori Casa]],IF(OR(H1167=$C$5,H1167=$C$6,H1167=$C$7,H1167=$C$8,H1167=$C$9,H1167=$C$10,H1167=$C$11,H1167=$C$12,H1167=$C$13,H1167=$C$14),SottocategorieUscite[[#Headers],[Varie Uscite]],IF(OR(H1167=$D$5,H1167=$D$6,H1167=$D$7,H1167=$D$8,H1167=$D$9,H1167=$D$10,H1167=$D$11,H1167=$D$12,H1167=$D$13,H1167=$D$14),SottocategorieUscite[[#Headers],[Personali]],IF(OR(H1167=$E$5,H1167=$E$6,H1167=$E$7,H1167=$E$8,H1167=$E$9,H1167=$E$10,H1167=$E$11,H1167=$E$12,H1167=$E$13,H1167=$E$14),SottocategorieUscite[[#Headers],[Lavoro]],IF(OR(H1167=$F$5,H1167=$F$6,H1167=$F$7,H1167=$F$8,H1167=$F$9,H1167=$F$10,H1167=$F$11,H1167=$F$12,H1167=$F$13,H1167=$F$14),SottocategorieUscite[[#Headers],[Casa]],IF(OR(H1167=$G$5,H1167=$G$6,H1167=$G$7,H1167=$G$8,H1167=$G$9,H1167=$G$10,H1167=$G$11,H1167=$G$12,H1167=$G$13,H1167=$G$14),SottocategorieUscite[[#Headers],[Utenze]],IF(OR(H1167=$H$5,H1167=$H$6,H1167=$H$7,H1167=$H$8,H1167=$H$9,H1167=$H$10,H1167=$H$11,H1167=$H$12,H1167=$H$13,H1167=$H$14),SottocategorieUscite[[#Headers],[Business Uscite]],IF(OR(H1167=$I$5,H1167=$I$6,H1167=$I$7,H1167=$I$8,H1167=$I$9,H1167=$I$10,H1167=$I$11,H1167=$I$12,H1167=$I$13,H1167=$I$14),SottocategorieUscite[[#Headers],[Banca]],IF(OR(H1167=K$5,H1167=K$6,H1167=K$7,H1167=K$8,H1167=K$9,H1167=K$10,H1167=K$11,H1167=K$12,H1167=K$13,H1167=K$14),SottocategorieEntrate[[#Headers],[Business Entrate]],IF(OR(H1167=L$5,H1167=L$6,H1167=L$7,H1167=L$8,H1167=L$9,H1167=L$10,H1167=L$11,H1167=L$12,H1167=L$13,H1167=L$14),SottocategorieEntrate[[#Headers],[Varie Entrate]],IF(OR(H1167=M$5,H1167=M$6,H1167=M$7,H1167=M$8,H1167=M$9,H1167=M$10,H1167=M$11,H1167=M$12,H1167=M$13,H1167=M$14),SottocategorieEntrate[[#Headers],[Real Estate]],IF(OR(H1167=N$5,H1167=N$6,H1167=N$7,H1167=N$8,H1167=N$9,H1167=N$10,H1167=N$11,H1167=N$12,H1167=N$13,H1167=N$14),SottocategorieEntrate[[#Headers],[Other]],""))))))))))))</f>
        <v/>
      </c>
      <c r="J1167" t="str">
        <f>IF(OR(Dati[[#This Row],[Categoria]]="Bollette",Dati[[#This Row],[Categoria]]="Conto &amp; Carte BNL",Dati[[#This Row],[Categoria]]="Prelievo",Dati[[#This Row],[Categoria]]="Affitto",Dati[[#This Row],[Categoria]]="BNL(Interessi Creditori)"),"Carta",IF(Dati[[#This Row],[Categoria]]&lt;&gt;0,"Cash",""))</f>
        <v/>
      </c>
      <c r="K1167" s="59" t="str">
        <f>IF(OR(Data!$I1167=SottocategorieUscite[[#Headers],[Fuori Casa]],Data!$I1167=SottocategorieUscite[[#Headers],[Varie Uscite]],Data!$I1167=SottocategorieUscite[[#Headers],[Personali]],Data!$I1167=SottocategorieUscite[[#Headers],[Lavoro]]),"$ -","")</f>
        <v/>
      </c>
      <c r="L1167" s="59" t="str">
        <f>IF(OR(Data!$I1167=SottocategorieUscite[[#Headers],[Casa]],Data!$I1167=SottocategorieUscite[[#Headers],[Utenze]],Data!$I1167=SottocategorieUscite[[#Headers],[Business Uscite]],Data!$I1167=SottocategorieUscite[[#Headers],[Banca]]),"$ -","")</f>
        <v/>
      </c>
      <c r="M1167" s="59" t="str">
        <f>IF(OR($I1167&lt;&gt;SottocategorieUscite[[#Headers],[Fuori Casa]],$I1167&lt;&gt;SottocategorieUscite[[#Headers],[Varie Uscite]],$I1167&lt;&gt;SottocategorieUscite[[#Headers],[Personali]],$I1167&lt;&gt;SottocategorieUscite[[#Headers],[Lavoro]],$I1167&lt;&gt;SottocategorieUscite[[#Headers],[Casa]],$I1167&lt;&gt;SottocategorieUscite[[#Headers],[Utenze]],$I1167&lt;&gt;SottocategorieUscite[[#Headers],[Business Uscite]],$I1167&lt;&gt;SottocategorieUscite[[#Headers],[Banca]]),"","$ -")</f>
        <v/>
      </c>
      <c r="N1167" s="59" t="str">
        <f>IF(OR(Data!$I1167=SottocategorieEntrate[[#Headers],[Business Entrate]],Data!$I1167=SottocategorieEntrate[[#Headers],[Varie Entrate]]),"$ -","")</f>
        <v/>
      </c>
      <c r="O1167" s="59" t="str">
        <f>IF(OR(Data!$I1167=SottocategorieEntrate[[#Headers],[Real Estate]],SottocategorieEntrate[[#Headers],[Other]]),"$ -","")</f>
        <v/>
      </c>
      <c r="P1167" s="59" t="str">
        <f>IF(OR($I1167&lt;&gt;SottocategorieEntrate[[#Headers],[Business Entrate]],$I1167&lt;&gt;SottocategorieEntrate[[#Headers],[Varie Entrate]],$I1167&lt;&gt;SottocategorieEntrate[[#Headers],[Real Estate]],$I1167&lt;&gt;SottocategorieEntrate[[#Headers],[Other]]),"","$ -")</f>
        <v/>
      </c>
      <c r="Q1167" s="59" t="str">
        <f>IF(Dati[[#This Row],[Categoria]]="Prelievo","€ -","")</f>
        <v/>
      </c>
      <c r="R1167" s="244"/>
      <c r="S1167" s="59" t="str">
        <f>IF(Dati[[#This Row],[Categoria]]="Savings",0,"")</f>
        <v/>
      </c>
      <c r="T1167" s="59"/>
      <c r="U1167" s="59"/>
      <c r="V1167" s="59"/>
      <c r="W1167" s="59"/>
      <c r="X1167" s="59"/>
      <c r="Y1167" s="59"/>
      <c r="Z1167" s="59"/>
      <c r="AA1167" s="59"/>
      <c r="AB1167" s="59"/>
      <c r="AC1167" s="59"/>
      <c r="AD1167" s="59"/>
      <c r="AE1167" s="59"/>
      <c r="AF1167" s="59"/>
      <c r="AG1167" s="59"/>
      <c r="AH1167" s="59"/>
      <c r="AI1167" s="59" t="str">
        <f>IF(SUM(Dati[[#This Row],[Inv. Business]:[Inv. Cryptocurrency]])=0," ",SUM(Dati[[#This Row],[Inv. Business]:[Inv. Cryptocurrency]]))</f>
        <v xml:space="preserve"> </v>
      </c>
      <c r="AJ1167" s="59"/>
      <c r="AK1167" s="59" t="str">
        <f>IF(SUM(Dati[[#This Row],[Inv. Gold]:[Mutuo]])=0," ",SUM(Dati[[#This Row],[Inv. Gold]:[Mutuo]]))</f>
        <v xml:space="preserve"> </v>
      </c>
      <c r="AL1167" s="59"/>
      <c r="AM1167" s="59"/>
    </row>
    <row r="1168" spans="2:39" x14ac:dyDescent="0.35">
      <c r="B1168" s="237">
        <f t="shared" si="62"/>
        <v>1148</v>
      </c>
      <c r="C1168" s="49">
        <f t="shared" si="60"/>
        <v>45779</v>
      </c>
      <c r="D1168" s="29">
        <f>DAY(Dati[[#This Row],[Data]])</f>
        <v>2</v>
      </c>
      <c r="E1168" s="29" t="str">
        <f>IF(DAY(Data!$C$21:$C$1327)&gt;0,TEXT(Data!$C$21:$C$1327, "mmmm"),"")</f>
        <v>maggio</v>
      </c>
      <c r="F1168" s="29" t="str">
        <f>IF(DAY(Data!$C$21:$C$1327)&gt;0,TEXT(Data!$C$21:$C$1327, "aaaa"),"")</f>
        <v>2025</v>
      </c>
      <c r="I1168" t="str">
        <f>IF(OR(H1168=$B$5,H1168=$B$6,H1168=$B$7,H1168=$B$8,H1168=$B$9,H1168=$B$10,H1168=$B$11,H1168=$B$12,H1168=$B$13,H1168=$B$14),SottocategorieUscite[[#Headers],[Fuori Casa]],IF(OR(H1168=$C$5,H1168=$C$6,H1168=$C$7,H1168=$C$8,H1168=$C$9,H1168=$C$10,H1168=$C$11,H1168=$C$12,H1168=$C$13,H1168=$C$14),SottocategorieUscite[[#Headers],[Varie Uscite]],IF(OR(H1168=$D$5,H1168=$D$6,H1168=$D$7,H1168=$D$8,H1168=$D$9,H1168=$D$10,H1168=$D$11,H1168=$D$12,H1168=$D$13,H1168=$D$14),SottocategorieUscite[[#Headers],[Personali]],IF(OR(H1168=$E$5,H1168=$E$6,H1168=$E$7,H1168=$E$8,H1168=$E$9,H1168=$E$10,H1168=$E$11,H1168=$E$12,H1168=$E$13,H1168=$E$14),SottocategorieUscite[[#Headers],[Lavoro]],IF(OR(H1168=$F$5,H1168=$F$6,H1168=$F$7,H1168=$F$8,H1168=$F$9,H1168=$F$10,H1168=$F$11,H1168=$F$12,H1168=$F$13,H1168=$F$14),SottocategorieUscite[[#Headers],[Casa]],IF(OR(H1168=$G$5,H1168=$G$6,H1168=$G$7,H1168=$G$8,H1168=$G$9,H1168=$G$10,H1168=$G$11,H1168=$G$12,H1168=$G$13,H1168=$G$14),SottocategorieUscite[[#Headers],[Utenze]],IF(OR(H1168=$H$5,H1168=$H$6,H1168=$H$7,H1168=$H$8,H1168=$H$9,H1168=$H$10,H1168=$H$11,H1168=$H$12,H1168=$H$13,H1168=$H$14),SottocategorieUscite[[#Headers],[Business Uscite]],IF(OR(H1168=$I$5,H1168=$I$6,H1168=$I$7,H1168=$I$8,H1168=$I$9,H1168=$I$10,H1168=$I$11,H1168=$I$12,H1168=$I$13,H1168=$I$14),SottocategorieUscite[[#Headers],[Banca]],IF(OR(H1168=K$5,H1168=K$6,H1168=K$7,H1168=K$8,H1168=K$9,H1168=K$10,H1168=K$11,H1168=K$12,H1168=K$13,H1168=K$14),SottocategorieEntrate[[#Headers],[Business Entrate]],IF(OR(H1168=L$5,H1168=L$6,H1168=L$7,H1168=L$8,H1168=L$9,H1168=L$10,H1168=L$11,H1168=L$12,H1168=L$13,H1168=L$14),SottocategorieEntrate[[#Headers],[Varie Entrate]],IF(OR(H1168=M$5,H1168=M$6,H1168=M$7,H1168=M$8,H1168=M$9,H1168=M$10,H1168=M$11,H1168=M$12,H1168=M$13,H1168=M$14),SottocategorieEntrate[[#Headers],[Real Estate]],IF(OR(H1168=N$5,H1168=N$6,H1168=N$7,H1168=N$8,H1168=N$9,H1168=N$10,H1168=N$11,H1168=N$12,H1168=N$13,H1168=N$14),SottocategorieEntrate[[#Headers],[Other]],""))))))))))))</f>
        <v/>
      </c>
      <c r="J1168" t="str">
        <f>IF(OR(Dati[[#This Row],[Categoria]]="Bollette",Dati[[#This Row],[Categoria]]="Conto &amp; Carte BNL",Dati[[#This Row],[Categoria]]="Prelievo",Dati[[#This Row],[Categoria]]="Affitto",Dati[[#This Row],[Categoria]]="BNL(Interessi Creditori)"),"Carta",IF(Dati[[#This Row],[Categoria]]&lt;&gt;0,"Cash",""))</f>
        <v/>
      </c>
      <c r="K1168" s="59" t="str">
        <f>IF(OR(Data!$I1168=SottocategorieUscite[[#Headers],[Fuori Casa]],Data!$I1168=SottocategorieUscite[[#Headers],[Varie Uscite]],Data!$I1168=SottocategorieUscite[[#Headers],[Personali]],Data!$I1168=SottocategorieUscite[[#Headers],[Lavoro]]),"$ -","")</f>
        <v/>
      </c>
      <c r="L1168" s="59" t="str">
        <f>IF(OR(Data!$I1168=SottocategorieUscite[[#Headers],[Casa]],Data!$I1168=SottocategorieUscite[[#Headers],[Utenze]],Data!$I1168=SottocategorieUscite[[#Headers],[Business Uscite]],Data!$I1168=SottocategorieUscite[[#Headers],[Banca]]),"$ -","")</f>
        <v/>
      </c>
      <c r="M1168" s="59" t="str">
        <f>IF(OR($I1168&lt;&gt;SottocategorieUscite[[#Headers],[Fuori Casa]],$I1168&lt;&gt;SottocategorieUscite[[#Headers],[Varie Uscite]],$I1168&lt;&gt;SottocategorieUscite[[#Headers],[Personali]],$I1168&lt;&gt;SottocategorieUscite[[#Headers],[Lavoro]],$I1168&lt;&gt;SottocategorieUscite[[#Headers],[Casa]],$I1168&lt;&gt;SottocategorieUscite[[#Headers],[Utenze]],$I1168&lt;&gt;SottocategorieUscite[[#Headers],[Business Uscite]],$I1168&lt;&gt;SottocategorieUscite[[#Headers],[Banca]]),"","$ -")</f>
        <v/>
      </c>
      <c r="N1168" s="59" t="str">
        <f>IF(OR(Data!$I1168=SottocategorieEntrate[[#Headers],[Business Entrate]],Data!$I1168=SottocategorieEntrate[[#Headers],[Varie Entrate]]),"$ -","")</f>
        <v/>
      </c>
      <c r="O1168" s="59" t="str">
        <f>IF(OR(Data!$I1168=SottocategorieEntrate[[#Headers],[Real Estate]],SottocategorieEntrate[[#Headers],[Other]]),"$ -","")</f>
        <v/>
      </c>
      <c r="P1168" s="59" t="str">
        <f>IF(OR($I1168&lt;&gt;SottocategorieEntrate[[#Headers],[Business Entrate]],$I1168&lt;&gt;SottocategorieEntrate[[#Headers],[Varie Entrate]],$I1168&lt;&gt;SottocategorieEntrate[[#Headers],[Real Estate]],$I1168&lt;&gt;SottocategorieEntrate[[#Headers],[Other]]),"","$ -")</f>
        <v/>
      </c>
      <c r="Q1168" s="59" t="str">
        <f>IF(Dati[[#This Row],[Categoria]]="Prelievo","€ -","")</f>
        <v/>
      </c>
      <c r="R1168" s="244"/>
      <c r="S1168" s="59" t="str">
        <f>IF(Dati[[#This Row],[Categoria]]="Savings",0,"")</f>
        <v/>
      </c>
      <c r="T1168" s="59"/>
      <c r="U1168" s="59"/>
      <c r="V1168" s="59"/>
      <c r="W1168" s="59"/>
      <c r="X1168" s="59"/>
      <c r="Y1168" s="59"/>
      <c r="Z1168" s="59"/>
      <c r="AA1168" s="59"/>
      <c r="AB1168" s="59"/>
      <c r="AC1168" s="59"/>
      <c r="AD1168" s="59"/>
      <c r="AE1168" s="59"/>
      <c r="AF1168" s="59"/>
      <c r="AG1168" s="59"/>
      <c r="AH1168" s="59"/>
      <c r="AI1168" s="59" t="str">
        <f>IF(SUM(Dati[[#This Row],[Inv. Business]:[Inv. Cryptocurrency]])=0," ",SUM(Dati[[#This Row],[Inv. Business]:[Inv. Cryptocurrency]]))</f>
        <v xml:space="preserve"> </v>
      </c>
      <c r="AJ1168" s="59"/>
      <c r="AK1168" s="59" t="str">
        <f>IF(SUM(Dati[[#This Row],[Inv. Gold]:[Mutuo]])=0," ",SUM(Dati[[#This Row],[Inv. Gold]:[Mutuo]]))</f>
        <v xml:space="preserve"> </v>
      </c>
      <c r="AL1168" s="59"/>
      <c r="AM1168" s="59"/>
    </row>
    <row r="1169" spans="2:39" x14ac:dyDescent="0.35">
      <c r="B1169" s="237">
        <f t="shared" si="62"/>
        <v>1149</v>
      </c>
      <c r="C1169" s="49">
        <f t="shared" si="60"/>
        <v>45780</v>
      </c>
      <c r="D1169" s="29">
        <f>DAY(Dati[[#This Row],[Data]])</f>
        <v>3</v>
      </c>
      <c r="E1169" s="29" t="str">
        <f>IF(DAY(Data!$C$21:$C$1327)&gt;0,TEXT(Data!$C$21:$C$1327, "mmmm"),"")</f>
        <v>maggio</v>
      </c>
      <c r="F1169" s="29" t="str">
        <f>IF(DAY(Data!$C$21:$C$1327)&gt;0,TEXT(Data!$C$21:$C$1327, "aaaa"),"")</f>
        <v>2025</v>
      </c>
      <c r="I1169" t="str">
        <f>IF(OR(H1169=$B$5,H1169=$B$6,H1169=$B$7,H1169=$B$8,H1169=$B$9,H1169=$B$10,H1169=$B$11,H1169=$B$12,H1169=$B$13,H1169=$B$14),SottocategorieUscite[[#Headers],[Fuori Casa]],IF(OR(H1169=$C$5,H1169=$C$6,H1169=$C$7,H1169=$C$8,H1169=$C$9,H1169=$C$10,H1169=$C$11,H1169=$C$12,H1169=$C$13,H1169=$C$14),SottocategorieUscite[[#Headers],[Varie Uscite]],IF(OR(H1169=$D$5,H1169=$D$6,H1169=$D$7,H1169=$D$8,H1169=$D$9,H1169=$D$10,H1169=$D$11,H1169=$D$12,H1169=$D$13,H1169=$D$14),SottocategorieUscite[[#Headers],[Personali]],IF(OR(H1169=$E$5,H1169=$E$6,H1169=$E$7,H1169=$E$8,H1169=$E$9,H1169=$E$10,H1169=$E$11,H1169=$E$12,H1169=$E$13,H1169=$E$14),SottocategorieUscite[[#Headers],[Lavoro]],IF(OR(H1169=$F$5,H1169=$F$6,H1169=$F$7,H1169=$F$8,H1169=$F$9,H1169=$F$10,H1169=$F$11,H1169=$F$12,H1169=$F$13,H1169=$F$14),SottocategorieUscite[[#Headers],[Casa]],IF(OR(H1169=$G$5,H1169=$G$6,H1169=$G$7,H1169=$G$8,H1169=$G$9,H1169=$G$10,H1169=$G$11,H1169=$G$12,H1169=$G$13,H1169=$G$14),SottocategorieUscite[[#Headers],[Utenze]],IF(OR(H1169=$H$5,H1169=$H$6,H1169=$H$7,H1169=$H$8,H1169=$H$9,H1169=$H$10,H1169=$H$11,H1169=$H$12,H1169=$H$13,H1169=$H$14),SottocategorieUscite[[#Headers],[Business Uscite]],IF(OR(H1169=$I$5,H1169=$I$6,H1169=$I$7,H1169=$I$8,H1169=$I$9,H1169=$I$10,H1169=$I$11,H1169=$I$12,H1169=$I$13,H1169=$I$14),SottocategorieUscite[[#Headers],[Banca]],IF(OR(H1169=K$5,H1169=K$6,H1169=K$7,H1169=K$8,H1169=K$9,H1169=K$10,H1169=K$11,H1169=K$12,H1169=K$13,H1169=K$14),SottocategorieEntrate[[#Headers],[Business Entrate]],IF(OR(H1169=L$5,H1169=L$6,H1169=L$7,H1169=L$8,H1169=L$9,H1169=L$10,H1169=L$11,H1169=L$12,H1169=L$13,H1169=L$14),SottocategorieEntrate[[#Headers],[Varie Entrate]],IF(OR(H1169=M$5,H1169=M$6,H1169=M$7,H1169=M$8,H1169=M$9,H1169=M$10,H1169=M$11,H1169=M$12,H1169=M$13,H1169=M$14),SottocategorieEntrate[[#Headers],[Real Estate]],IF(OR(H1169=N$5,H1169=N$6,H1169=N$7,H1169=N$8,H1169=N$9,H1169=N$10,H1169=N$11,H1169=N$12,H1169=N$13,H1169=N$14),SottocategorieEntrate[[#Headers],[Other]],""))))))))))))</f>
        <v/>
      </c>
      <c r="J1169" t="str">
        <f>IF(OR(Dati[[#This Row],[Categoria]]="Bollette",Dati[[#This Row],[Categoria]]="Conto &amp; Carte BNL",Dati[[#This Row],[Categoria]]="Prelievo",Dati[[#This Row],[Categoria]]="Affitto",Dati[[#This Row],[Categoria]]="BNL(Interessi Creditori)"),"Carta",IF(Dati[[#This Row],[Categoria]]&lt;&gt;0,"Cash",""))</f>
        <v/>
      </c>
      <c r="K1169" s="59" t="str">
        <f>IF(OR(Data!$I1169=SottocategorieUscite[[#Headers],[Fuori Casa]],Data!$I1169=SottocategorieUscite[[#Headers],[Varie Uscite]],Data!$I1169=SottocategorieUscite[[#Headers],[Personali]],Data!$I1169=SottocategorieUscite[[#Headers],[Lavoro]]),"$ -","")</f>
        <v/>
      </c>
      <c r="L1169" s="59" t="str">
        <f>IF(OR(Data!$I1169=SottocategorieUscite[[#Headers],[Casa]],Data!$I1169=SottocategorieUscite[[#Headers],[Utenze]],Data!$I1169=SottocategorieUscite[[#Headers],[Business Uscite]],Data!$I1169=SottocategorieUscite[[#Headers],[Banca]]),"$ -","")</f>
        <v/>
      </c>
      <c r="M1169" s="59" t="str">
        <f>IF(OR($I1169&lt;&gt;SottocategorieUscite[[#Headers],[Fuori Casa]],$I1169&lt;&gt;SottocategorieUscite[[#Headers],[Varie Uscite]],$I1169&lt;&gt;SottocategorieUscite[[#Headers],[Personali]],$I1169&lt;&gt;SottocategorieUscite[[#Headers],[Lavoro]],$I1169&lt;&gt;SottocategorieUscite[[#Headers],[Casa]],$I1169&lt;&gt;SottocategorieUscite[[#Headers],[Utenze]],$I1169&lt;&gt;SottocategorieUscite[[#Headers],[Business Uscite]],$I1169&lt;&gt;SottocategorieUscite[[#Headers],[Banca]]),"","$ -")</f>
        <v/>
      </c>
      <c r="N1169" s="59" t="str">
        <f>IF(OR(Data!$I1169=SottocategorieEntrate[[#Headers],[Business Entrate]],Data!$I1169=SottocategorieEntrate[[#Headers],[Varie Entrate]]),"$ -","")</f>
        <v/>
      </c>
      <c r="O1169" s="59" t="str">
        <f>IF(OR(Data!$I1169=SottocategorieEntrate[[#Headers],[Real Estate]],SottocategorieEntrate[[#Headers],[Other]]),"$ -","")</f>
        <v/>
      </c>
      <c r="P1169" s="59" t="str">
        <f>IF(OR($I1169&lt;&gt;SottocategorieEntrate[[#Headers],[Business Entrate]],$I1169&lt;&gt;SottocategorieEntrate[[#Headers],[Varie Entrate]],$I1169&lt;&gt;SottocategorieEntrate[[#Headers],[Real Estate]],$I1169&lt;&gt;SottocategorieEntrate[[#Headers],[Other]]),"","$ -")</f>
        <v/>
      </c>
      <c r="Q1169" s="59" t="str">
        <f>IF(Dati[[#This Row],[Categoria]]="Prelievo","€ -","")</f>
        <v/>
      </c>
      <c r="R1169" s="244"/>
      <c r="S1169" s="59" t="str">
        <f>IF(Dati[[#This Row],[Categoria]]="Savings",0,"")</f>
        <v/>
      </c>
      <c r="T1169" s="59"/>
      <c r="U1169" s="59"/>
      <c r="V1169" s="59"/>
      <c r="W1169" s="59"/>
      <c r="X1169" s="59"/>
      <c r="Y1169" s="59"/>
      <c r="Z1169" s="59"/>
      <c r="AA1169" s="59"/>
      <c r="AB1169" s="59"/>
      <c r="AC1169" s="59"/>
      <c r="AD1169" s="59"/>
      <c r="AE1169" s="59"/>
      <c r="AF1169" s="59"/>
      <c r="AG1169" s="59"/>
      <c r="AH1169" s="59"/>
      <c r="AI1169" s="59" t="str">
        <f>IF(SUM(Dati[[#This Row],[Inv. Business]:[Inv. Cryptocurrency]])=0," ",SUM(Dati[[#This Row],[Inv. Business]:[Inv. Cryptocurrency]]))</f>
        <v xml:space="preserve"> </v>
      </c>
      <c r="AJ1169" s="59"/>
      <c r="AK1169" s="59" t="str">
        <f>IF(SUM(Dati[[#This Row],[Inv. Gold]:[Mutuo]])=0," ",SUM(Dati[[#This Row],[Inv. Gold]:[Mutuo]]))</f>
        <v xml:space="preserve"> </v>
      </c>
      <c r="AL1169" s="59"/>
      <c r="AM1169" s="59"/>
    </row>
    <row r="1170" spans="2:39" x14ac:dyDescent="0.35">
      <c r="B1170" s="237">
        <f t="shared" si="62"/>
        <v>1150</v>
      </c>
      <c r="C1170" s="49">
        <f t="shared" si="60"/>
        <v>45781</v>
      </c>
      <c r="D1170" s="29">
        <f>DAY(Dati[[#This Row],[Data]])</f>
        <v>4</v>
      </c>
      <c r="E1170" s="29" t="str">
        <f>IF(DAY(Data!$C$21:$C$1327)&gt;0,TEXT(Data!$C$21:$C$1327, "mmmm"),"")</f>
        <v>maggio</v>
      </c>
      <c r="F1170" s="29" t="str">
        <f>IF(DAY(Data!$C$21:$C$1327)&gt;0,TEXT(Data!$C$21:$C$1327, "aaaa"),"")</f>
        <v>2025</v>
      </c>
      <c r="I1170" t="str">
        <f>IF(OR(H1170=$B$5,H1170=$B$6,H1170=$B$7,H1170=$B$8,H1170=$B$9,H1170=$B$10,H1170=$B$11,H1170=$B$12,H1170=$B$13,H1170=$B$14),SottocategorieUscite[[#Headers],[Fuori Casa]],IF(OR(H1170=$C$5,H1170=$C$6,H1170=$C$7,H1170=$C$8,H1170=$C$9,H1170=$C$10,H1170=$C$11,H1170=$C$12,H1170=$C$13,H1170=$C$14),SottocategorieUscite[[#Headers],[Varie Uscite]],IF(OR(H1170=$D$5,H1170=$D$6,H1170=$D$7,H1170=$D$8,H1170=$D$9,H1170=$D$10,H1170=$D$11,H1170=$D$12,H1170=$D$13,H1170=$D$14),SottocategorieUscite[[#Headers],[Personali]],IF(OR(H1170=$E$5,H1170=$E$6,H1170=$E$7,H1170=$E$8,H1170=$E$9,H1170=$E$10,H1170=$E$11,H1170=$E$12,H1170=$E$13,H1170=$E$14),SottocategorieUscite[[#Headers],[Lavoro]],IF(OR(H1170=$F$5,H1170=$F$6,H1170=$F$7,H1170=$F$8,H1170=$F$9,H1170=$F$10,H1170=$F$11,H1170=$F$12,H1170=$F$13,H1170=$F$14),SottocategorieUscite[[#Headers],[Casa]],IF(OR(H1170=$G$5,H1170=$G$6,H1170=$G$7,H1170=$G$8,H1170=$G$9,H1170=$G$10,H1170=$G$11,H1170=$G$12,H1170=$G$13,H1170=$G$14),SottocategorieUscite[[#Headers],[Utenze]],IF(OR(H1170=$H$5,H1170=$H$6,H1170=$H$7,H1170=$H$8,H1170=$H$9,H1170=$H$10,H1170=$H$11,H1170=$H$12,H1170=$H$13,H1170=$H$14),SottocategorieUscite[[#Headers],[Business Uscite]],IF(OR(H1170=$I$5,H1170=$I$6,H1170=$I$7,H1170=$I$8,H1170=$I$9,H1170=$I$10,H1170=$I$11,H1170=$I$12,H1170=$I$13,H1170=$I$14),SottocategorieUscite[[#Headers],[Banca]],IF(OR(H1170=K$5,H1170=K$6,H1170=K$7,H1170=K$8,H1170=K$9,H1170=K$10,H1170=K$11,H1170=K$12,H1170=K$13,H1170=K$14),SottocategorieEntrate[[#Headers],[Business Entrate]],IF(OR(H1170=L$5,H1170=L$6,H1170=L$7,H1170=L$8,H1170=L$9,H1170=L$10,H1170=L$11,H1170=L$12,H1170=L$13,H1170=L$14),SottocategorieEntrate[[#Headers],[Varie Entrate]],IF(OR(H1170=M$5,H1170=M$6,H1170=M$7,H1170=M$8,H1170=M$9,H1170=M$10,H1170=M$11,H1170=M$12,H1170=M$13,H1170=M$14),SottocategorieEntrate[[#Headers],[Real Estate]],IF(OR(H1170=N$5,H1170=N$6,H1170=N$7,H1170=N$8,H1170=N$9,H1170=N$10,H1170=N$11,H1170=N$12,H1170=N$13,H1170=N$14),SottocategorieEntrate[[#Headers],[Other]],""))))))))))))</f>
        <v/>
      </c>
      <c r="J1170" t="str">
        <f>IF(OR(Dati[[#This Row],[Categoria]]="Bollette",Dati[[#This Row],[Categoria]]="Conto &amp; Carte BNL",Dati[[#This Row],[Categoria]]="Prelievo",Dati[[#This Row],[Categoria]]="Affitto",Dati[[#This Row],[Categoria]]="BNL(Interessi Creditori)"),"Carta",IF(Dati[[#This Row],[Categoria]]&lt;&gt;0,"Cash",""))</f>
        <v/>
      </c>
      <c r="K1170" s="59" t="str">
        <f>IF(OR(Data!$I1170=SottocategorieUscite[[#Headers],[Fuori Casa]],Data!$I1170=SottocategorieUscite[[#Headers],[Varie Uscite]],Data!$I1170=SottocategorieUscite[[#Headers],[Personali]],Data!$I1170=SottocategorieUscite[[#Headers],[Lavoro]]),"$ -","")</f>
        <v/>
      </c>
      <c r="L1170" s="59" t="str">
        <f>IF(OR(Data!$I1170=SottocategorieUscite[[#Headers],[Casa]],Data!$I1170=SottocategorieUscite[[#Headers],[Utenze]],Data!$I1170=SottocategorieUscite[[#Headers],[Business Uscite]],Data!$I1170=SottocategorieUscite[[#Headers],[Banca]]),"$ -","")</f>
        <v/>
      </c>
      <c r="M1170" s="59" t="str">
        <f>IF(OR($I1170&lt;&gt;SottocategorieUscite[[#Headers],[Fuori Casa]],$I1170&lt;&gt;SottocategorieUscite[[#Headers],[Varie Uscite]],$I1170&lt;&gt;SottocategorieUscite[[#Headers],[Personali]],$I1170&lt;&gt;SottocategorieUscite[[#Headers],[Lavoro]],$I1170&lt;&gt;SottocategorieUscite[[#Headers],[Casa]],$I1170&lt;&gt;SottocategorieUscite[[#Headers],[Utenze]],$I1170&lt;&gt;SottocategorieUscite[[#Headers],[Business Uscite]],$I1170&lt;&gt;SottocategorieUscite[[#Headers],[Banca]]),"","$ -")</f>
        <v/>
      </c>
      <c r="N1170" s="59" t="str">
        <f>IF(OR(Data!$I1170=SottocategorieEntrate[[#Headers],[Business Entrate]],Data!$I1170=SottocategorieEntrate[[#Headers],[Varie Entrate]]),"$ -","")</f>
        <v/>
      </c>
      <c r="O1170" s="59" t="str">
        <f>IF(OR(Data!$I1170=SottocategorieEntrate[[#Headers],[Real Estate]],SottocategorieEntrate[[#Headers],[Other]]),"$ -","")</f>
        <v/>
      </c>
      <c r="P1170" s="59" t="str">
        <f>IF(OR($I1170&lt;&gt;SottocategorieEntrate[[#Headers],[Business Entrate]],$I1170&lt;&gt;SottocategorieEntrate[[#Headers],[Varie Entrate]],$I1170&lt;&gt;SottocategorieEntrate[[#Headers],[Real Estate]],$I1170&lt;&gt;SottocategorieEntrate[[#Headers],[Other]]),"","$ -")</f>
        <v/>
      </c>
      <c r="Q1170" s="59" t="str">
        <f>IF(Dati[[#This Row],[Categoria]]="Prelievo","€ -","")</f>
        <v/>
      </c>
      <c r="R1170" s="244"/>
      <c r="S1170" s="59" t="str">
        <f>IF(Dati[[#This Row],[Categoria]]="Savings",0,"")</f>
        <v/>
      </c>
      <c r="T1170" s="59"/>
      <c r="U1170" s="59"/>
      <c r="V1170" s="59"/>
      <c r="W1170" s="59"/>
      <c r="X1170" s="59"/>
      <c r="Y1170" s="59"/>
      <c r="Z1170" s="59"/>
      <c r="AA1170" s="59"/>
      <c r="AB1170" s="59"/>
      <c r="AC1170" s="59"/>
      <c r="AD1170" s="59"/>
      <c r="AE1170" s="59"/>
      <c r="AF1170" s="59"/>
      <c r="AG1170" s="59"/>
      <c r="AH1170" s="59"/>
      <c r="AI1170" s="59" t="str">
        <f>IF(SUM(Dati[[#This Row],[Inv. Business]:[Inv. Cryptocurrency]])=0," ",SUM(Dati[[#This Row],[Inv. Business]:[Inv. Cryptocurrency]]))</f>
        <v xml:space="preserve"> </v>
      </c>
      <c r="AJ1170" s="59"/>
      <c r="AK1170" s="59" t="str">
        <f>IF(SUM(Dati[[#This Row],[Inv. Gold]:[Mutuo]])=0," ",SUM(Dati[[#This Row],[Inv. Gold]:[Mutuo]]))</f>
        <v xml:space="preserve"> </v>
      </c>
      <c r="AL1170" s="59"/>
      <c r="AM1170" s="59"/>
    </row>
    <row r="1171" spans="2:39" x14ac:dyDescent="0.35">
      <c r="B1171" s="237">
        <f t="shared" si="62"/>
        <v>1151</v>
      </c>
      <c r="C1171" s="49">
        <f t="shared" si="60"/>
        <v>45782</v>
      </c>
      <c r="D1171" s="29">
        <f>DAY(Dati[[#This Row],[Data]])</f>
        <v>5</v>
      </c>
      <c r="E1171" s="29" t="str">
        <f>IF(DAY(Data!$C$21:$C$1327)&gt;0,TEXT(Data!$C$21:$C$1327, "mmmm"),"")</f>
        <v>maggio</v>
      </c>
      <c r="F1171" s="29" t="str">
        <f>IF(DAY(Data!$C$21:$C$1327)&gt;0,TEXT(Data!$C$21:$C$1327, "aaaa"),"")</f>
        <v>2025</v>
      </c>
      <c r="I1171" t="str">
        <f>IF(OR(H1171=$B$5,H1171=$B$6,H1171=$B$7,H1171=$B$8,H1171=$B$9,H1171=$B$10,H1171=$B$11,H1171=$B$12,H1171=$B$13,H1171=$B$14),SottocategorieUscite[[#Headers],[Fuori Casa]],IF(OR(H1171=$C$5,H1171=$C$6,H1171=$C$7,H1171=$C$8,H1171=$C$9,H1171=$C$10,H1171=$C$11,H1171=$C$12,H1171=$C$13,H1171=$C$14),SottocategorieUscite[[#Headers],[Varie Uscite]],IF(OR(H1171=$D$5,H1171=$D$6,H1171=$D$7,H1171=$D$8,H1171=$D$9,H1171=$D$10,H1171=$D$11,H1171=$D$12,H1171=$D$13,H1171=$D$14),SottocategorieUscite[[#Headers],[Personali]],IF(OR(H1171=$E$5,H1171=$E$6,H1171=$E$7,H1171=$E$8,H1171=$E$9,H1171=$E$10,H1171=$E$11,H1171=$E$12,H1171=$E$13,H1171=$E$14),SottocategorieUscite[[#Headers],[Lavoro]],IF(OR(H1171=$F$5,H1171=$F$6,H1171=$F$7,H1171=$F$8,H1171=$F$9,H1171=$F$10,H1171=$F$11,H1171=$F$12,H1171=$F$13,H1171=$F$14),SottocategorieUscite[[#Headers],[Casa]],IF(OR(H1171=$G$5,H1171=$G$6,H1171=$G$7,H1171=$G$8,H1171=$G$9,H1171=$G$10,H1171=$G$11,H1171=$G$12,H1171=$G$13,H1171=$G$14),SottocategorieUscite[[#Headers],[Utenze]],IF(OR(H1171=$H$5,H1171=$H$6,H1171=$H$7,H1171=$H$8,H1171=$H$9,H1171=$H$10,H1171=$H$11,H1171=$H$12,H1171=$H$13,H1171=$H$14),SottocategorieUscite[[#Headers],[Business Uscite]],IF(OR(H1171=$I$5,H1171=$I$6,H1171=$I$7,H1171=$I$8,H1171=$I$9,H1171=$I$10,H1171=$I$11,H1171=$I$12,H1171=$I$13,H1171=$I$14),SottocategorieUscite[[#Headers],[Banca]],IF(OR(H1171=K$5,H1171=K$6,H1171=K$7,H1171=K$8,H1171=K$9,H1171=K$10,H1171=K$11,H1171=K$12,H1171=K$13,H1171=K$14),SottocategorieEntrate[[#Headers],[Business Entrate]],IF(OR(H1171=L$5,H1171=L$6,H1171=L$7,H1171=L$8,H1171=L$9,H1171=L$10,H1171=L$11,H1171=L$12,H1171=L$13,H1171=L$14),SottocategorieEntrate[[#Headers],[Varie Entrate]],IF(OR(H1171=M$5,H1171=M$6,H1171=M$7,H1171=M$8,H1171=M$9,H1171=M$10,H1171=M$11,H1171=M$12,H1171=M$13,H1171=M$14),SottocategorieEntrate[[#Headers],[Real Estate]],IF(OR(H1171=N$5,H1171=N$6,H1171=N$7,H1171=N$8,H1171=N$9,H1171=N$10,H1171=N$11,H1171=N$12,H1171=N$13,H1171=N$14),SottocategorieEntrate[[#Headers],[Other]],""))))))))))))</f>
        <v/>
      </c>
      <c r="J1171" t="str">
        <f>IF(OR(Dati[[#This Row],[Categoria]]="Bollette",Dati[[#This Row],[Categoria]]="Conto &amp; Carte BNL",Dati[[#This Row],[Categoria]]="Prelievo",Dati[[#This Row],[Categoria]]="Affitto",Dati[[#This Row],[Categoria]]="BNL(Interessi Creditori)"),"Carta",IF(Dati[[#This Row],[Categoria]]&lt;&gt;0,"Cash",""))</f>
        <v/>
      </c>
      <c r="K1171" s="59" t="str">
        <f>IF(OR(Data!$I1171=SottocategorieUscite[[#Headers],[Fuori Casa]],Data!$I1171=SottocategorieUscite[[#Headers],[Varie Uscite]],Data!$I1171=SottocategorieUscite[[#Headers],[Personali]],Data!$I1171=SottocategorieUscite[[#Headers],[Lavoro]]),"$ -","")</f>
        <v/>
      </c>
      <c r="L1171" s="59" t="str">
        <f>IF(OR(Data!$I1171=SottocategorieUscite[[#Headers],[Casa]],Data!$I1171=SottocategorieUscite[[#Headers],[Utenze]],Data!$I1171=SottocategorieUscite[[#Headers],[Business Uscite]],Data!$I1171=SottocategorieUscite[[#Headers],[Banca]]),"$ -","")</f>
        <v/>
      </c>
      <c r="M1171" s="59" t="str">
        <f>IF(OR($I1171&lt;&gt;SottocategorieUscite[[#Headers],[Fuori Casa]],$I1171&lt;&gt;SottocategorieUscite[[#Headers],[Varie Uscite]],$I1171&lt;&gt;SottocategorieUscite[[#Headers],[Personali]],$I1171&lt;&gt;SottocategorieUscite[[#Headers],[Lavoro]],$I1171&lt;&gt;SottocategorieUscite[[#Headers],[Casa]],$I1171&lt;&gt;SottocategorieUscite[[#Headers],[Utenze]],$I1171&lt;&gt;SottocategorieUscite[[#Headers],[Business Uscite]],$I1171&lt;&gt;SottocategorieUscite[[#Headers],[Banca]]),"","$ -")</f>
        <v/>
      </c>
      <c r="N1171" s="59" t="str">
        <f>IF(OR(Data!$I1171=SottocategorieEntrate[[#Headers],[Business Entrate]],Data!$I1171=SottocategorieEntrate[[#Headers],[Varie Entrate]]),"$ -","")</f>
        <v/>
      </c>
      <c r="O1171" s="59" t="str">
        <f>IF(OR(Data!$I1171=SottocategorieEntrate[[#Headers],[Real Estate]],SottocategorieEntrate[[#Headers],[Other]]),"$ -","")</f>
        <v/>
      </c>
      <c r="P1171" s="59" t="str">
        <f>IF(OR($I1171&lt;&gt;SottocategorieEntrate[[#Headers],[Business Entrate]],$I1171&lt;&gt;SottocategorieEntrate[[#Headers],[Varie Entrate]],$I1171&lt;&gt;SottocategorieEntrate[[#Headers],[Real Estate]],$I1171&lt;&gt;SottocategorieEntrate[[#Headers],[Other]]),"","$ -")</f>
        <v/>
      </c>
      <c r="Q1171" s="59" t="str">
        <f>IF(Dati[[#This Row],[Categoria]]="Prelievo","€ -","")</f>
        <v/>
      </c>
      <c r="R1171" s="244"/>
      <c r="S1171" s="59" t="str">
        <f>IF(Dati[[#This Row],[Categoria]]="Savings",0,"")</f>
        <v/>
      </c>
      <c r="T1171" s="59"/>
      <c r="U1171" s="59"/>
      <c r="V1171" s="59"/>
      <c r="W1171" s="59"/>
      <c r="X1171" s="59"/>
      <c r="Y1171" s="59"/>
      <c r="Z1171" s="59"/>
      <c r="AA1171" s="59"/>
      <c r="AB1171" s="59"/>
      <c r="AC1171" s="59"/>
      <c r="AD1171" s="59"/>
      <c r="AE1171" s="59"/>
      <c r="AF1171" s="59"/>
      <c r="AG1171" s="59"/>
      <c r="AH1171" s="59"/>
      <c r="AI1171" s="59" t="str">
        <f>IF(SUM(Dati[[#This Row],[Inv. Business]:[Inv. Cryptocurrency]])=0," ",SUM(Dati[[#This Row],[Inv. Business]:[Inv. Cryptocurrency]]))</f>
        <v xml:space="preserve"> </v>
      </c>
      <c r="AJ1171" s="59"/>
      <c r="AK1171" s="59" t="str">
        <f>IF(SUM(Dati[[#This Row],[Inv. Gold]:[Mutuo]])=0," ",SUM(Dati[[#This Row],[Inv. Gold]:[Mutuo]]))</f>
        <v xml:space="preserve"> </v>
      </c>
      <c r="AL1171" s="59"/>
      <c r="AM1171" s="59"/>
    </row>
    <row r="1172" spans="2:39" x14ac:dyDescent="0.35">
      <c r="B1172" s="237">
        <f t="shared" si="62"/>
        <v>1152</v>
      </c>
      <c r="C1172" s="49">
        <f t="shared" si="60"/>
        <v>45783</v>
      </c>
      <c r="D1172" s="29">
        <f>DAY(Dati[[#This Row],[Data]])</f>
        <v>6</v>
      </c>
      <c r="E1172" s="29" t="str">
        <f>IF(DAY(Data!$C$21:$C$1327)&gt;0,TEXT(Data!$C$21:$C$1327, "mmmm"),"")</f>
        <v>maggio</v>
      </c>
      <c r="F1172" s="29" t="str">
        <f>IF(DAY(Data!$C$21:$C$1327)&gt;0,TEXT(Data!$C$21:$C$1327, "aaaa"),"")</f>
        <v>2025</v>
      </c>
      <c r="I1172" t="str">
        <f>IF(OR(H1172=$B$5,H1172=$B$6,H1172=$B$7,H1172=$B$8,H1172=$B$9,H1172=$B$10,H1172=$B$11,H1172=$B$12,H1172=$B$13,H1172=$B$14),SottocategorieUscite[[#Headers],[Fuori Casa]],IF(OR(H1172=$C$5,H1172=$C$6,H1172=$C$7,H1172=$C$8,H1172=$C$9,H1172=$C$10,H1172=$C$11,H1172=$C$12,H1172=$C$13,H1172=$C$14),SottocategorieUscite[[#Headers],[Varie Uscite]],IF(OR(H1172=$D$5,H1172=$D$6,H1172=$D$7,H1172=$D$8,H1172=$D$9,H1172=$D$10,H1172=$D$11,H1172=$D$12,H1172=$D$13,H1172=$D$14),SottocategorieUscite[[#Headers],[Personali]],IF(OR(H1172=$E$5,H1172=$E$6,H1172=$E$7,H1172=$E$8,H1172=$E$9,H1172=$E$10,H1172=$E$11,H1172=$E$12,H1172=$E$13,H1172=$E$14),SottocategorieUscite[[#Headers],[Lavoro]],IF(OR(H1172=$F$5,H1172=$F$6,H1172=$F$7,H1172=$F$8,H1172=$F$9,H1172=$F$10,H1172=$F$11,H1172=$F$12,H1172=$F$13,H1172=$F$14),SottocategorieUscite[[#Headers],[Casa]],IF(OR(H1172=$G$5,H1172=$G$6,H1172=$G$7,H1172=$G$8,H1172=$G$9,H1172=$G$10,H1172=$G$11,H1172=$G$12,H1172=$G$13,H1172=$G$14),SottocategorieUscite[[#Headers],[Utenze]],IF(OR(H1172=$H$5,H1172=$H$6,H1172=$H$7,H1172=$H$8,H1172=$H$9,H1172=$H$10,H1172=$H$11,H1172=$H$12,H1172=$H$13,H1172=$H$14),SottocategorieUscite[[#Headers],[Business Uscite]],IF(OR(H1172=$I$5,H1172=$I$6,H1172=$I$7,H1172=$I$8,H1172=$I$9,H1172=$I$10,H1172=$I$11,H1172=$I$12,H1172=$I$13,H1172=$I$14),SottocategorieUscite[[#Headers],[Banca]],IF(OR(H1172=K$5,H1172=K$6,H1172=K$7,H1172=K$8,H1172=K$9,H1172=K$10,H1172=K$11,H1172=K$12,H1172=K$13,H1172=K$14),SottocategorieEntrate[[#Headers],[Business Entrate]],IF(OR(H1172=L$5,H1172=L$6,H1172=L$7,H1172=L$8,H1172=L$9,H1172=L$10,H1172=L$11,H1172=L$12,H1172=L$13,H1172=L$14),SottocategorieEntrate[[#Headers],[Varie Entrate]],IF(OR(H1172=M$5,H1172=M$6,H1172=M$7,H1172=M$8,H1172=M$9,H1172=M$10,H1172=M$11,H1172=M$12,H1172=M$13,H1172=M$14),SottocategorieEntrate[[#Headers],[Real Estate]],IF(OR(H1172=N$5,H1172=N$6,H1172=N$7,H1172=N$8,H1172=N$9,H1172=N$10,H1172=N$11,H1172=N$12,H1172=N$13,H1172=N$14),SottocategorieEntrate[[#Headers],[Other]],""))))))))))))</f>
        <v/>
      </c>
      <c r="J1172" t="str">
        <f>IF(OR(Dati[[#This Row],[Categoria]]="Bollette",Dati[[#This Row],[Categoria]]="Conto &amp; Carte BNL",Dati[[#This Row],[Categoria]]="Prelievo",Dati[[#This Row],[Categoria]]="Affitto",Dati[[#This Row],[Categoria]]="BNL(Interessi Creditori)"),"Carta",IF(Dati[[#This Row],[Categoria]]&lt;&gt;0,"Cash",""))</f>
        <v/>
      </c>
      <c r="K1172" s="59" t="str">
        <f>IF(OR(Data!$I1172=SottocategorieUscite[[#Headers],[Fuori Casa]],Data!$I1172=SottocategorieUscite[[#Headers],[Varie Uscite]],Data!$I1172=SottocategorieUscite[[#Headers],[Personali]],Data!$I1172=SottocategorieUscite[[#Headers],[Lavoro]]),"$ -","")</f>
        <v/>
      </c>
      <c r="L1172" s="59" t="str">
        <f>IF(OR(Data!$I1172=SottocategorieUscite[[#Headers],[Casa]],Data!$I1172=SottocategorieUscite[[#Headers],[Utenze]],Data!$I1172=SottocategorieUscite[[#Headers],[Business Uscite]],Data!$I1172=SottocategorieUscite[[#Headers],[Banca]]),"$ -","")</f>
        <v/>
      </c>
      <c r="M1172" s="59" t="str">
        <f>IF(OR($I1172&lt;&gt;SottocategorieUscite[[#Headers],[Fuori Casa]],$I1172&lt;&gt;SottocategorieUscite[[#Headers],[Varie Uscite]],$I1172&lt;&gt;SottocategorieUscite[[#Headers],[Personali]],$I1172&lt;&gt;SottocategorieUscite[[#Headers],[Lavoro]],$I1172&lt;&gt;SottocategorieUscite[[#Headers],[Casa]],$I1172&lt;&gt;SottocategorieUscite[[#Headers],[Utenze]],$I1172&lt;&gt;SottocategorieUscite[[#Headers],[Business Uscite]],$I1172&lt;&gt;SottocategorieUscite[[#Headers],[Banca]]),"","$ -")</f>
        <v/>
      </c>
      <c r="N1172" s="59" t="str">
        <f>IF(OR(Data!$I1172=SottocategorieEntrate[[#Headers],[Business Entrate]],Data!$I1172=SottocategorieEntrate[[#Headers],[Varie Entrate]]),"$ -","")</f>
        <v/>
      </c>
      <c r="O1172" s="59" t="str">
        <f>IF(OR(Data!$I1172=SottocategorieEntrate[[#Headers],[Real Estate]],SottocategorieEntrate[[#Headers],[Other]]),"$ -","")</f>
        <v/>
      </c>
      <c r="P1172" s="59" t="str">
        <f>IF(OR($I1172&lt;&gt;SottocategorieEntrate[[#Headers],[Business Entrate]],$I1172&lt;&gt;SottocategorieEntrate[[#Headers],[Varie Entrate]],$I1172&lt;&gt;SottocategorieEntrate[[#Headers],[Real Estate]],$I1172&lt;&gt;SottocategorieEntrate[[#Headers],[Other]]),"","$ -")</f>
        <v/>
      </c>
      <c r="Q1172" s="59" t="str">
        <f>IF(Dati[[#This Row],[Categoria]]="Prelievo","€ -","")</f>
        <v/>
      </c>
      <c r="R1172" s="244"/>
      <c r="S1172" s="59" t="str">
        <f>IF(Dati[[#This Row],[Categoria]]="Savings",0,"")</f>
        <v/>
      </c>
      <c r="T1172" s="59"/>
      <c r="U1172" s="59"/>
      <c r="V1172" s="59"/>
      <c r="W1172" s="59"/>
      <c r="X1172" s="59"/>
      <c r="Y1172" s="59"/>
      <c r="Z1172" s="59"/>
      <c r="AA1172" s="59"/>
      <c r="AB1172" s="59"/>
      <c r="AC1172" s="59"/>
      <c r="AD1172" s="59"/>
      <c r="AE1172" s="59"/>
      <c r="AF1172" s="59"/>
      <c r="AG1172" s="59"/>
      <c r="AH1172" s="59"/>
      <c r="AI1172" s="59" t="str">
        <f>IF(SUM(Dati[[#This Row],[Inv. Business]:[Inv. Cryptocurrency]])=0," ",SUM(Dati[[#This Row],[Inv. Business]:[Inv. Cryptocurrency]]))</f>
        <v xml:space="preserve"> </v>
      </c>
      <c r="AJ1172" s="59"/>
      <c r="AK1172" s="59" t="str">
        <f>IF(SUM(Dati[[#This Row],[Inv. Gold]:[Mutuo]])=0," ",SUM(Dati[[#This Row],[Inv. Gold]:[Mutuo]]))</f>
        <v xml:space="preserve"> </v>
      </c>
      <c r="AL1172" s="59"/>
      <c r="AM1172" s="59"/>
    </row>
    <row r="1173" spans="2:39" x14ac:dyDescent="0.35">
      <c r="B1173" s="237">
        <f t="shared" si="62"/>
        <v>1153</v>
      </c>
      <c r="C1173" s="49">
        <f t="shared" si="60"/>
        <v>45784</v>
      </c>
      <c r="D1173" s="29">
        <f>DAY(Dati[[#This Row],[Data]])</f>
        <v>7</v>
      </c>
      <c r="E1173" s="29" t="str">
        <f>IF(DAY(Data!$C$21:$C$1327)&gt;0,TEXT(Data!$C$21:$C$1327, "mmmm"),"")</f>
        <v>maggio</v>
      </c>
      <c r="F1173" s="29" t="str">
        <f>IF(DAY(Data!$C$21:$C$1327)&gt;0,TEXT(Data!$C$21:$C$1327, "aaaa"),"")</f>
        <v>2025</v>
      </c>
      <c r="I1173" t="str">
        <f>IF(OR(H1173=$B$5,H1173=$B$6,H1173=$B$7,H1173=$B$8,H1173=$B$9,H1173=$B$10,H1173=$B$11,H1173=$B$12,H1173=$B$13,H1173=$B$14),SottocategorieUscite[[#Headers],[Fuori Casa]],IF(OR(H1173=$C$5,H1173=$C$6,H1173=$C$7,H1173=$C$8,H1173=$C$9,H1173=$C$10,H1173=$C$11,H1173=$C$12,H1173=$C$13,H1173=$C$14),SottocategorieUscite[[#Headers],[Varie Uscite]],IF(OR(H1173=$D$5,H1173=$D$6,H1173=$D$7,H1173=$D$8,H1173=$D$9,H1173=$D$10,H1173=$D$11,H1173=$D$12,H1173=$D$13,H1173=$D$14),SottocategorieUscite[[#Headers],[Personali]],IF(OR(H1173=$E$5,H1173=$E$6,H1173=$E$7,H1173=$E$8,H1173=$E$9,H1173=$E$10,H1173=$E$11,H1173=$E$12,H1173=$E$13,H1173=$E$14),SottocategorieUscite[[#Headers],[Lavoro]],IF(OR(H1173=$F$5,H1173=$F$6,H1173=$F$7,H1173=$F$8,H1173=$F$9,H1173=$F$10,H1173=$F$11,H1173=$F$12,H1173=$F$13,H1173=$F$14),SottocategorieUscite[[#Headers],[Casa]],IF(OR(H1173=$G$5,H1173=$G$6,H1173=$G$7,H1173=$G$8,H1173=$G$9,H1173=$G$10,H1173=$G$11,H1173=$G$12,H1173=$G$13,H1173=$G$14),SottocategorieUscite[[#Headers],[Utenze]],IF(OR(H1173=$H$5,H1173=$H$6,H1173=$H$7,H1173=$H$8,H1173=$H$9,H1173=$H$10,H1173=$H$11,H1173=$H$12,H1173=$H$13,H1173=$H$14),SottocategorieUscite[[#Headers],[Business Uscite]],IF(OR(H1173=$I$5,H1173=$I$6,H1173=$I$7,H1173=$I$8,H1173=$I$9,H1173=$I$10,H1173=$I$11,H1173=$I$12,H1173=$I$13,H1173=$I$14),SottocategorieUscite[[#Headers],[Banca]],IF(OR(H1173=K$5,H1173=K$6,H1173=K$7,H1173=K$8,H1173=K$9,H1173=K$10,H1173=K$11,H1173=K$12,H1173=K$13,H1173=K$14),SottocategorieEntrate[[#Headers],[Business Entrate]],IF(OR(H1173=L$5,H1173=L$6,H1173=L$7,H1173=L$8,H1173=L$9,H1173=L$10,H1173=L$11,H1173=L$12,H1173=L$13,H1173=L$14),SottocategorieEntrate[[#Headers],[Varie Entrate]],IF(OR(H1173=M$5,H1173=M$6,H1173=M$7,H1173=M$8,H1173=M$9,H1173=M$10,H1173=M$11,H1173=M$12,H1173=M$13,H1173=M$14),SottocategorieEntrate[[#Headers],[Real Estate]],IF(OR(H1173=N$5,H1173=N$6,H1173=N$7,H1173=N$8,H1173=N$9,H1173=N$10,H1173=N$11,H1173=N$12,H1173=N$13,H1173=N$14),SottocategorieEntrate[[#Headers],[Other]],""))))))))))))</f>
        <v/>
      </c>
      <c r="J1173" t="str">
        <f>IF(OR(Dati[[#This Row],[Categoria]]="Bollette",Dati[[#This Row],[Categoria]]="Conto &amp; Carte BNL",Dati[[#This Row],[Categoria]]="Prelievo",Dati[[#This Row],[Categoria]]="Affitto",Dati[[#This Row],[Categoria]]="BNL(Interessi Creditori)"),"Carta",IF(Dati[[#This Row],[Categoria]]&lt;&gt;0,"Cash",""))</f>
        <v/>
      </c>
      <c r="K1173" s="59" t="str">
        <f>IF(OR(Data!$I1173=SottocategorieUscite[[#Headers],[Fuori Casa]],Data!$I1173=SottocategorieUscite[[#Headers],[Varie Uscite]],Data!$I1173=SottocategorieUscite[[#Headers],[Personali]],Data!$I1173=SottocategorieUscite[[#Headers],[Lavoro]]),"$ -","")</f>
        <v/>
      </c>
      <c r="L1173" s="59" t="str">
        <f>IF(OR(Data!$I1173=SottocategorieUscite[[#Headers],[Casa]],Data!$I1173=SottocategorieUscite[[#Headers],[Utenze]],Data!$I1173=SottocategorieUscite[[#Headers],[Business Uscite]],Data!$I1173=SottocategorieUscite[[#Headers],[Banca]]),"$ -","")</f>
        <v/>
      </c>
      <c r="M1173" s="59" t="str">
        <f>IF(OR($I1173&lt;&gt;SottocategorieUscite[[#Headers],[Fuori Casa]],$I1173&lt;&gt;SottocategorieUscite[[#Headers],[Varie Uscite]],$I1173&lt;&gt;SottocategorieUscite[[#Headers],[Personali]],$I1173&lt;&gt;SottocategorieUscite[[#Headers],[Lavoro]],$I1173&lt;&gt;SottocategorieUscite[[#Headers],[Casa]],$I1173&lt;&gt;SottocategorieUscite[[#Headers],[Utenze]],$I1173&lt;&gt;SottocategorieUscite[[#Headers],[Business Uscite]],$I1173&lt;&gt;SottocategorieUscite[[#Headers],[Banca]]),"","$ -")</f>
        <v/>
      </c>
      <c r="N1173" s="59" t="str">
        <f>IF(OR(Data!$I1173=SottocategorieEntrate[[#Headers],[Business Entrate]],Data!$I1173=SottocategorieEntrate[[#Headers],[Varie Entrate]]),"$ -","")</f>
        <v/>
      </c>
      <c r="O1173" s="59" t="str">
        <f>IF(OR(Data!$I1173=SottocategorieEntrate[[#Headers],[Real Estate]],SottocategorieEntrate[[#Headers],[Other]]),"$ -","")</f>
        <v/>
      </c>
      <c r="P1173" s="59" t="str">
        <f>IF(OR($I1173&lt;&gt;SottocategorieEntrate[[#Headers],[Business Entrate]],$I1173&lt;&gt;SottocategorieEntrate[[#Headers],[Varie Entrate]],$I1173&lt;&gt;SottocategorieEntrate[[#Headers],[Real Estate]],$I1173&lt;&gt;SottocategorieEntrate[[#Headers],[Other]]),"","$ -")</f>
        <v/>
      </c>
      <c r="Q1173" s="59" t="str">
        <f>IF(Dati[[#This Row],[Categoria]]="Prelievo","€ -","")</f>
        <v/>
      </c>
      <c r="R1173" s="244"/>
      <c r="S1173" s="59" t="str">
        <f>IF(Dati[[#This Row],[Categoria]]="Savings",0,"")</f>
        <v/>
      </c>
      <c r="T1173" s="59"/>
      <c r="U1173" s="59"/>
      <c r="V1173" s="59"/>
      <c r="W1173" s="59"/>
      <c r="X1173" s="59"/>
      <c r="Y1173" s="59"/>
      <c r="Z1173" s="59"/>
      <c r="AA1173" s="59"/>
      <c r="AB1173" s="59"/>
      <c r="AC1173" s="59"/>
      <c r="AD1173" s="59"/>
      <c r="AE1173" s="59"/>
      <c r="AF1173" s="59"/>
      <c r="AG1173" s="59"/>
      <c r="AH1173" s="59"/>
      <c r="AI1173" s="59" t="str">
        <f>IF(SUM(Dati[[#This Row],[Inv. Business]:[Inv. Cryptocurrency]])=0," ",SUM(Dati[[#This Row],[Inv. Business]:[Inv. Cryptocurrency]]))</f>
        <v xml:space="preserve"> </v>
      </c>
      <c r="AJ1173" s="59"/>
      <c r="AK1173" s="59" t="str">
        <f>IF(SUM(Dati[[#This Row],[Inv. Gold]:[Mutuo]])=0," ",SUM(Dati[[#This Row],[Inv. Gold]:[Mutuo]]))</f>
        <v xml:space="preserve"> </v>
      </c>
      <c r="AL1173" s="59"/>
      <c r="AM1173" s="59"/>
    </row>
    <row r="1174" spans="2:39" x14ac:dyDescent="0.35">
      <c r="B1174" s="237">
        <f t="shared" si="62"/>
        <v>1154</v>
      </c>
      <c r="C1174" s="49">
        <f t="shared" si="60"/>
        <v>45785</v>
      </c>
      <c r="D1174" s="29">
        <f>DAY(Dati[[#This Row],[Data]])</f>
        <v>8</v>
      </c>
      <c r="E1174" s="29" t="str">
        <f>IF(DAY(Data!$C$21:$C$1327)&gt;0,TEXT(Data!$C$21:$C$1327, "mmmm"),"")</f>
        <v>maggio</v>
      </c>
      <c r="F1174" s="29" t="str">
        <f>IF(DAY(Data!$C$21:$C$1327)&gt;0,TEXT(Data!$C$21:$C$1327, "aaaa"),"")</f>
        <v>2025</v>
      </c>
      <c r="I1174" t="str">
        <f>IF(OR(H1174=$B$5,H1174=$B$6,H1174=$B$7,H1174=$B$8,H1174=$B$9,H1174=$B$10,H1174=$B$11,H1174=$B$12,H1174=$B$13,H1174=$B$14),SottocategorieUscite[[#Headers],[Fuori Casa]],IF(OR(H1174=$C$5,H1174=$C$6,H1174=$C$7,H1174=$C$8,H1174=$C$9,H1174=$C$10,H1174=$C$11,H1174=$C$12,H1174=$C$13,H1174=$C$14),SottocategorieUscite[[#Headers],[Varie Uscite]],IF(OR(H1174=$D$5,H1174=$D$6,H1174=$D$7,H1174=$D$8,H1174=$D$9,H1174=$D$10,H1174=$D$11,H1174=$D$12,H1174=$D$13,H1174=$D$14),SottocategorieUscite[[#Headers],[Personali]],IF(OR(H1174=$E$5,H1174=$E$6,H1174=$E$7,H1174=$E$8,H1174=$E$9,H1174=$E$10,H1174=$E$11,H1174=$E$12,H1174=$E$13,H1174=$E$14),SottocategorieUscite[[#Headers],[Lavoro]],IF(OR(H1174=$F$5,H1174=$F$6,H1174=$F$7,H1174=$F$8,H1174=$F$9,H1174=$F$10,H1174=$F$11,H1174=$F$12,H1174=$F$13,H1174=$F$14),SottocategorieUscite[[#Headers],[Casa]],IF(OR(H1174=$G$5,H1174=$G$6,H1174=$G$7,H1174=$G$8,H1174=$G$9,H1174=$G$10,H1174=$G$11,H1174=$G$12,H1174=$G$13,H1174=$G$14),SottocategorieUscite[[#Headers],[Utenze]],IF(OR(H1174=$H$5,H1174=$H$6,H1174=$H$7,H1174=$H$8,H1174=$H$9,H1174=$H$10,H1174=$H$11,H1174=$H$12,H1174=$H$13,H1174=$H$14),SottocategorieUscite[[#Headers],[Business Uscite]],IF(OR(H1174=$I$5,H1174=$I$6,H1174=$I$7,H1174=$I$8,H1174=$I$9,H1174=$I$10,H1174=$I$11,H1174=$I$12,H1174=$I$13,H1174=$I$14),SottocategorieUscite[[#Headers],[Banca]],IF(OR(H1174=K$5,H1174=K$6,H1174=K$7,H1174=K$8,H1174=K$9,H1174=K$10,H1174=K$11,H1174=K$12,H1174=K$13,H1174=K$14),SottocategorieEntrate[[#Headers],[Business Entrate]],IF(OR(H1174=L$5,H1174=L$6,H1174=L$7,H1174=L$8,H1174=L$9,H1174=L$10,H1174=L$11,H1174=L$12,H1174=L$13,H1174=L$14),SottocategorieEntrate[[#Headers],[Varie Entrate]],IF(OR(H1174=M$5,H1174=M$6,H1174=M$7,H1174=M$8,H1174=M$9,H1174=M$10,H1174=M$11,H1174=M$12,H1174=M$13,H1174=M$14),SottocategorieEntrate[[#Headers],[Real Estate]],IF(OR(H1174=N$5,H1174=N$6,H1174=N$7,H1174=N$8,H1174=N$9,H1174=N$10,H1174=N$11,H1174=N$12,H1174=N$13,H1174=N$14),SottocategorieEntrate[[#Headers],[Other]],""))))))))))))</f>
        <v/>
      </c>
      <c r="J1174" t="str">
        <f>IF(OR(Dati[[#This Row],[Categoria]]="Bollette",Dati[[#This Row],[Categoria]]="Conto &amp; Carte BNL",Dati[[#This Row],[Categoria]]="Prelievo",Dati[[#This Row],[Categoria]]="Affitto",Dati[[#This Row],[Categoria]]="BNL(Interessi Creditori)"),"Carta",IF(Dati[[#This Row],[Categoria]]&lt;&gt;0,"Cash",""))</f>
        <v/>
      </c>
      <c r="K1174" s="59" t="str">
        <f>IF(OR(Data!$I1174=SottocategorieUscite[[#Headers],[Fuori Casa]],Data!$I1174=SottocategorieUscite[[#Headers],[Varie Uscite]],Data!$I1174=SottocategorieUscite[[#Headers],[Personali]],Data!$I1174=SottocategorieUscite[[#Headers],[Lavoro]]),"$ -","")</f>
        <v/>
      </c>
      <c r="L1174" s="59" t="str">
        <f>IF(OR(Data!$I1174=SottocategorieUscite[[#Headers],[Casa]],Data!$I1174=SottocategorieUscite[[#Headers],[Utenze]],Data!$I1174=SottocategorieUscite[[#Headers],[Business Uscite]],Data!$I1174=SottocategorieUscite[[#Headers],[Banca]]),"$ -","")</f>
        <v/>
      </c>
      <c r="M1174" s="59" t="str">
        <f>IF(OR($I1174&lt;&gt;SottocategorieUscite[[#Headers],[Fuori Casa]],$I1174&lt;&gt;SottocategorieUscite[[#Headers],[Varie Uscite]],$I1174&lt;&gt;SottocategorieUscite[[#Headers],[Personali]],$I1174&lt;&gt;SottocategorieUscite[[#Headers],[Lavoro]],$I1174&lt;&gt;SottocategorieUscite[[#Headers],[Casa]],$I1174&lt;&gt;SottocategorieUscite[[#Headers],[Utenze]],$I1174&lt;&gt;SottocategorieUscite[[#Headers],[Business Uscite]],$I1174&lt;&gt;SottocategorieUscite[[#Headers],[Banca]]),"","$ -")</f>
        <v/>
      </c>
      <c r="N1174" s="59" t="str">
        <f>IF(OR(Data!$I1174=SottocategorieEntrate[[#Headers],[Business Entrate]],Data!$I1174=SottocategorieEntrate[[#Headers],[Varie Entrate]]),"$ -","")</f>
        <v/>
      </c>
      <c r="O1174" s="59" t="str">
        <f>IF(OR(Data!$I1174=SottocategorieEntrate[[#Headers],[Real Estate]],SottocategorieEntrate[[#Headers],[Other]]),"$ -","")</f>
        <v/>
      </c>
      <c r="P1174" s="59" t="str">
        <f>IF(OR($I1174&lt;&gt;SottocategorieEntrate[[#Headers],[Business Entrate]],$I1174&lt;&gt;SottocategorieEntrate[[#Headers],[Varie Entrate]],$I1174&lt;&gt;SottocategorieEntrate[[#Headers],[Real Estate]],$I1174&lt;&gt;SottocategorieEntrate[[#Headers],[Other]]),"","$ -")</f>
        <v/>
      </c>
      <c r="Q1174" s="59" t="str">
        <f>IF(Dati[[#This Row],[Categoria]]="Prelievo","€ -","")</f>
        <v/>
      </c>
      <c r="R1174" s="244"/>
      <c r="S1174" s="59" t="str">
        <f>IF(Dati[[#This Row],[Categoria]]="Savings",0,"")</f>
        <v/>
      </c>
      <c r="T1174" s="59"/>
      <c r="U1174" s="59"/>
      <c r="V1174" s="59"/>
      <c r="W1174" s="59"/>
      <c r="X1174" s="59"/>
      <c r="Y1174" s="59"/>
      <c r="Z1174" s="59"/>
      <c r="AA1174" s="59"/>
      <c r="AB1174" s="59"/>
      <c r="AC1174" s="59"/>
      <c r="AD1174" s="59"/>
      <c r="AE1174" s="59"/>
      <c r="AF1174" s="59"/>
      <c r="AG1174" s="59"/>
      <c r="AH1174" s="59"/>
      <c r="AI1174" s="59" t="str">
        <f>IF(SUM(Dati[[#This Row],[Inv. Business]:[Inv. Cryptocurrency]])=0," ",SUM(Dati[[#This Row],[Inv. Business]:[Inv. Cryptocurrency]]))</f>
        <v xml:space="preserve"> </v>
      </c>
      <c r="AJ1174" s="59"/>
      <c r="AK1174" s="59" t="str">
        <f>IF(SUM(Dati[[#This Row],[Inv. Gold]:[Mutuo]])=0," ",SUM(Dati[[#This Row],[Inv. Gold]:[Mutuo]]))</f>
        <v xml:space="preserve"> </v>
      </c>
      <c r="AL1174" s="59"/>
      <c r="AM1174" s="59"/>
    </row>
    <row r="1175" spans="2:39" x14ac:dyDescent="0.35">
      <c r="B1175" s="237">
        <f t="shared" ref="B1175:B1180" si="63">ROW(1155:1155)</f>
        <v>1155</v>
      </c>
      <c r="C1175" s="49">
        <f t="shared" ref="C1175" si="64">C1174+1</f>
        <v>45786</v>
      </c>
      <c r="D1175" s="29">
        <f>DAY(Dati[[#This Row],[Data]])</f>
        <v>9</v>
      </c>
      <c r="E1175" s="29" t="str">
        <f>IF(DAY(Data!$C$21:$C$1327)&gt;0,TEXT(Data!$C$21:$C$1327, "mmmm"),"")</f>
        <v>maggio</v>
      </c>
      <c r="F1175" s="29" t="str">
        <f>IF(DAY(Data!$C$21:$C$1327)&gt;0,TEXT(Data!$C$21:$C$1327, "aaaa"),"")</f>
        <v>2025</v>
      </c>
      <c r="I1175" t="str">
        <f>IF(OR(H1175=$B$5,H1175=$B$6,H1175=$B$7,H1175=$B$8,H1175=$B$9,H1175=$B$10,H1175=$B$11,H1175=$B$12,H1175=$B$13,H1175=$B$14),SottocategorieUscite[[#Headers],[Fuori Casa]],IF(OR(H1175=$C$5,H1175=$C$6,H1175=$C$7,H1175=$C$8,H1175=$C$9,H1175=$C$10,H1175=$C$11,H1175=$C$12,H1175=$C$13,H1175=$C$14),SottocategorieUscite[[#Headers],[Varie Uscite]],IF(OR(H1175=$D$5,H1175=$D$6,H1175=$D$7,H1175=$D$8,H1175=$D$9,H1175=$D$10,H1175=$D$11,H1175=$D$12,H1175=$D$13,H1175=$D$14),SottocategorieUscite[[#Headers],[Personali]],IF(OR(H1175=$E$5,H1175=$E$6,H1175=$E$7,H1175=$E$8,H1175=$E$9,H1175=$E$10,H1175=$E$11,H1175=$E$12,H1175=$E$13,H1175=$E$14),SottocategorieUscite[[#Headers],[Lavoro]],IF(OR(H1175=$F$5,H1175=$F$6,H1175=$F$7,H1175=$F$8,H1175=$F$9,H1175=$F$10,H1175=$F$11,H1175=$F$12,H1175=$F$13,H1175=$F$14),SottocategorieUscite[[#Headers],[Casa]],IF(OR(H1175=$G$5,H1175=$G$6,H1175=$G$7,H1175=$G$8,H1175=$G$9,H1175=$G$10,H1175=$G$11,H1175=$G$12,H1175=$G$13,H1175=$G$14),SottocategorieUscite[[#Headers],[Utenze]],IF(OR(H1175=$H$5,H1175=$H$6,H1175=$H$7,H1175=$H$8,H1175=$H$9,H1175=$H$10,H1175=$H$11,H1175=$H$12,H1175=$H$13,H1175=$H$14),SottocategorieUscite[[#Headers],[Business Uscite]],IF(OR(H1175=$I$5,H1175=$I$6,H1175=$I$7,H1175=$I$8,H1175=$I$9,H1175=$I$10,H1175=$I$11,H1175=$I$12,H1175=$I$13,H1175=$I$14),SottocategorieUscite[[#Headers],[Banca]],IF(OR(H1175=K$5,H1175=K$6,H1175=K$7,H1175=K$8,H1175=K$9,H1175=K$10,H1175=K$11,H1175=K$12,H1175=K$13,H1175=K$14),SottocategorieEntrate[[#Headers],[Business Entrate]],IF(OR(H1175=L$5,H1175=L$6,H1175=L$7,H1175=L$8,H1175=L$9,H1175=L$10,H1175=L$11,H1175=L$12,H1175=L$13,H1175=L$14),SottocategorieEntrate[[#Headers],[Varie Entrate]],IF(OR(H1175=M$5,H1175=M$6,H1175=M$7,H1175=M$8,H1175=M$9,H1175=M$10,H1175=M$11,H1175=M$12,H1175=M$13,H1175=M$14),SottocategorieEntrate[[#Headers],[Real Estate]],IF(OR(H1175=N$5,H1175=N$6,H1175=N$7,H1175=N$8,H1175=N$9,H1175=N$10,H1175=N$11,H1175=N$12,H1175=N$13,H1175=N$14),SottocategorieEntrate[[#Headers],[Other]],""))))))))))))</f>
        <v/>
      </c>
      <c r="J1175" t="str">
        <f>IF(OR(Dati[[#This Row],[Categoria]]="Bollette",Dati[[#This Row],[Categoria]]="Conto &amp; Carte BNL",Dati[[#This Row],[Categoria]]="Prelievo",Dati[[#This Row],[Categoria]]="Affitto",Dati[[#This Row],[Categoria]]="BNL(Interessi Creditori)"),"Carta",IF(Dati[[#This Row],[Categoria]]&lt;&gt;0,"Cash",""))</f>
        <v/>
      </c>
      <c r="K1175" s="59" t="str">
        <f>IF(OR(Data!$I1175=SottocategorieUscite[[#Headers],[Fuori Casa]],Data!$I1175=SottocategorieUscite[[#Headers],[Varie Uscite]],Data!$I1175=SottocategorieUscite[[#Headers],[Personali]],Data!$I1175=SottocategorieUscite[[#Headers],[Lavoro]]),"$ -","")</f>
        <v/>
      </c>
      <c r="L1175" s="59" t="str">
        <f>IF(OR(Data!$I1175=SottocategorieUscite[[#Headers],[Casa]],Data!$I1175=SottocategorieUscite[[#Headers],[Utenze]],Data!$I1175=SottocategorieUscite[[#Headers],[Business Uscite]],Data!$I1175=SottocategorieUscite[[#Headers],[Banca]]),"$ -","")</f>
        <v/>
      </c>
      <c r="M1175" s="59" t="str">
        <f>IF(OR($I1175&lt;&gt;SottocategorieUscite[[#Headers],[Fuori Casa]],$I1175&lt;&gt;SottocategorieUscite[[#Headers],[Varie Uscite]],$I1175&lt;&gt;SottocategorieUscite[[#Headers],[Personali]],$I1175&lt;&gt;SottocategorieUscite[[#Headers],[Lavoro]],$I1175&lt;&gt;SottocategorieUscite[[#Headers],[Casa]],$I1175&lt;&gt;SottocategorieUscite[[#Headers],[Utenze]],$I1175&lt;&gt;SottocategorieUscite[[#Headers],[Business Uscite]],$I1175&lt;&gt;SottocategorieUscite[[#Headers],[Banca]]),"","$ -")</f>
        <v/>
      </c>
      <c r="N1175" s="59" t="str">
        <f>IF(OR(Data!$I1175=SottocategorieEntrate[[#Headers],[Business Entrate]],Data!$I1175=SottocategorieEntrate[[#Headers],[Varie Entrate]]),"$ -","")</f>
        <v/>
      </c>
      <c r="O1175" s="59" t="str">
        <f>IF(OR(Data!$I1175=SottocategorieEntrate[[#Headers],[Real Estate]],SottocategorieEntrate[[#Headers],[Other]]),"$ -","")</f>
        <v/>
      </c>
      <c r="P1175" s="59" t="str">
        <f>IF(OR($I1175&lt;&gt;SottocategorieEntrate[[#Headers],[Business Entrate]],$I1175&lt;&gt;SottocategorieEntrate[[#Headers],[Varie Entrate]],$I1175&lt;&gt;SottocategorieEntrate[[#Headers],[Real Estate]],$I1175&lt;&gt;SottocategorieEntrate[[#Headers],[Other]]),"","$ -")</f>
        <v/>
      </c>
      <c r="Q1175" s="59" t="str">
        <f>IF(Dati[[#This Row],[Categoria]]="Prelievo","€ -","")</f>
        <v/>
      </c>
      <c r="R1175" s="244"/>
      <c r="S1175" s="59" t="str">
        <f>IF(Dati[[#This Row],[Categoria]]="Savings",0,"")</f>
        <v/>
      </c>
      <c r="T1175" s="59"/>
      <c r="U1175" s="59"/>
      <c r="V1175" s="59"/>
      <c r="W1175" s="59"/>
      <c r="X1175" s="59"/>
      <c r="Y1175" s="59"/>
      <c r="Z1175" s="59"/>
      <c r="AA1175" s="59"/>
      <c r="AB1175" s="59"/>
      <c r="AC1175" s="59"/>
      <c r="AD1175" s="59"/>
      <c r="AE1175" s="59"/>
      <c r="AF1175" s="59"/>
      <c r="AG1175" s="59"/>
      <c r="AH1175" s="59"/>
      <c r="AI1175" s="59" t="str">
        <f>IF(SUM(Dati[[#This Row],[Inv. Business]:[Inv. Cryptocurrency]])=0," ",SUM(Dati[[#This Row],[Inv. Business]:[Inv. Cryptocurrency]]))</f>
        <v xml:space="preserve"> </v>
      </c>
      <c r="AJ1175" s="59"/>
      <c r="AK1175" s="59" t="str">
        <f>IF(SUM(Dati[[#This Row],[Inv. Gold]:[Mutuo]])=0," ",SUM(Dati[[#This Row],[Inv. Gold]:[Mutuo]]))</f>
        <v xml:space="preserve"> </v>
      </c>
      <c r="AL1175" s="59"/>
      <c r="AM1175" s="59"/>
    </row>
    <row r="1176" spans="2:39" x14ac:dyDescent="0.35">
      <c r="B1176" s="237">
        <f t="shared" si="63"/>
        <v>1156</v>
      </c>
      <c r="C1176" s="49">
        <f t="shared" ref="C1176" si="65">C1175+1</f>
        <v>45787</v>
      </c>
      <c r="D1176" s="29">
        <f>DAY(Dati[[#This Row],[Data]])</f>
        <v>10</v>
      </c>
      <c r="E1176" s="29" t="str">
        <f>IF(DAY(Data!$C$21:$C$1327)&gt;0,TEXT(Data!$C$21:$C$1327, "mmmm"),"")</f>
        <v>maggio</v>
      </c>
      <c r="F1176" s="29" t="str">
        <f>IF(DAY(Data!$C$21:$C$1327)&gt;0,TEXT(Data!$C$21:$C$1327, "aaaa"),"")</f>
        <v>2025</v>
      </c>
      <c r="I1176" t="str">
        <f>IF(OR(H1176=$B$5,H1176=$B$6,H1176=$B$7,H1176=$B$8,H1176=$B$9,H1176=$B$10,H1176=$B$11,H1176=$B$12,H1176=$B$13,H1176=$B$14),SottocategorieUscite[[#Headers],[Fuori Casa]],IF(OR(H1176=$C$5,H1176=$C$6,H1176=$C$7,H1176=$C$8,H1176=$C$9,H1176=$C$10,H1176=$C$11,H1176=$C$12,H1176=$C$13,H1176=$C$14),SottocategorieUscite[[#Headers],[Varie Uscite]],IF(OR(H1176=$D$5,H1176=$D$6,H1176=$D$7,H1176=$D$8,H1176=$D$9,H1176=$D$10,H1176=$D$11,H1176=$D$12,H1176=$D$13,H1176=$D$14),SottocategorieUscite[[#Headers],[Personali]],IF(OR(H1176=$E$5,H1176=$E$6,H1176=$E$7,H1176=$E$8,H1176=$E$9,H1176=$E$10,H1176=$E$11,H1176=$E$12,H1176=$E$13,H1176=$E$14),SottocategorieUscite[[#Headers],[Lavoro]],IF(OR(H1176=$F$5,H1176=$F$6,H1176=$F$7,H1176=$F$8,H1176=$F$9,H1176=$F$10,H1176=$F$11,H1176=$F$12,H1176=$F$13,H1176=$F$14),SottocategorieUscite[[#Headers],[Casa]],IF(OR(H1176=$G$5,H1176=$G$6,H1176=$G$7,H1176=$G$8,H1176=$G$9,H1176=$G$10,H1176=$G$11,H1176=$G$12,H1176=$G$13,H1176=$G$14),SottocategorieUscite[[#Headers],[Utenze]],IF(OR(H1176=$H$5,H1176=$H$6,H1176=$H$7,H1176=$H$8,H1176=$H$9,H1176=$H$10,H1176=$H$11,H1176=$H$12,H1176=$H$13,H1176=$H$14),SottocategorieUscite[[#Headers],[Business Uscite]],IF(OR(H1176=$I$5,H1176=$I$6,H1176=$I$7,H1176=$I$8,H1176=$I$9,H1176=$I$10,H1176=$I$11,H1176=$I$12,H1176=$I$13,H1176=$I$14),SottocategorieUscite[[#Headers],[Banca]],IF(OR(H1176=K$5,H1176=K$6,H1176=K$7,H1176=K$8,H1176=K$9,H1176=K$10,H1176=K$11,H1176=K$12,H1176=K$13,H1176=K$14),SottocategorieEntrate[[#Headers],[Business Entrate]],IF(OR(H1176=L$5,H1176=L$6,H1176=L$7,H1176=L$8,H1176=L$9,H1176=L$10,H1176=L$11,H1176=L$12,H1176=L$13,H1176=L$14),SottocategorieEntrate[[#Headers],[Varie Entrate]],IF(OR(H1176=M$5,H1176=M$6,H1176=M$7,H1176=M$8,H1176=M$9,H1176=M$10,H1176=M$11,H1176=M$12,H1176=M$13,H1176=M$14),SottocategorieEntrate[[#Headers],[Real Estate]],IF(OR(H1176=N$5,H1176=N$6,H1176=N$7,H1176=N$8,H1176=N$9,H1176=N$10,H1176=N$11,H1176=N$12,H1176=N$13,H1176=N$14),SottocategorieEntrate[[#Headers],[Other]],""))))))))))))</f>
        <v/>
      </c>
      <c r="J1176" t="str">
        <f>IF(OR(Dati[[#This Row],[Categoria]]="Bollette",Dati[[#This Row],[Categoria]]="Conto &amp; Carte BNL",Dati[[#This Row],[Categoria]]="Prelievo",Dati[[#This Row],[Categoria]]="Affitto",Dati[[#This Row],[Categoria]]="BNL(Interessi Creditori)"),"Carta",IF(Dati[[#This Row],[Categoria]]&lt;&gt;0,"Cash",""))</f>
        <v/>
      </c>
      <c r="K1176" s="59" t="str">
        <f>IF(OR(Data!$I1176=SottocategorieUscite[[#Headers],[Fuori Casa]],Data!$I1176=SottocategorieUscite[[#Headers],[Varie Uscite]],Data!$I1176=SottocategorieUscite[[#Headers],[Personali]],Data!$I1176=SottocategorieUscite[[#Headers],[Lavoro]]),"$ -","")</f>
        <v/>
      </c>
      <c r="L1176" s="59" t="str">
        <f>IF(OR(Data!$I1176=SottocategorieUscite[[#Headers],[Casa]],Data!$I1176=SottocategorieUscite[[#Headers],[Utenze]],Data!$I1176=SottocategorieUscite[[#Headers],[Business Uscite]],Data!$I1176=SottocategorieUscite[[#Headers],[Banca]]),"$ -","")</f>
        <v/>
      </c>
      <c r="M1176" s="59" t="str">
        <f>IF(OR($I1176&lt;&gt;SottocategorieUscite[[#Headers],[Fuori Casa]],$I1176&lt;&gt;SottocategorieUscite[[#Headers],[Varie Uscite]],$I1176&lt;&gt;SottocategorieUscite[[#Headers],[Personali]],$I1176&lt;&gt;SottocategorieUscite[[#Headers],[Lavoro]],$I1176&lt;&gt;SottocategorieUscite[[#Headers],[Casa]],$I1176&lt;&gt;SottocategorieUscite[[#Headers],[Utenze]],$I1176&lt;&gt;SottocategorieUscite[[#Headers],[Business Uscite]],$I1176&lt;&gt;SottocategorieUscite[[#Headers],[Banca]]),"","$ -")</f>
        <v/>
      </c>
      <c r="N1176" s="59" t="str">
        <f>IF(OR(Data!$I1176=SottocategorieEntrate[[#Headers],[Business Entrate]],Data!$I1176=SottocategorieEntrate[[#Headers],[Varie Entrate]]),"$ -","")</f>
        <v/>
      </c>
      <c r="O1176" s="59" t="str">
        <f>IF(OR(Data!$I1176=SottocategorieEntrate[[#Headers],[Real Estate]],SottocategorieEntrate[[#Headers],[Other]]),"$ -","")</f>
        <v/>
      </c>
      <c r="P1176" s="59" t="str">
        <f>IF(OR($I1176&lt;&gt;SottocategorieEntrate[[#Headers],[Business Entrate]],$I1176&lt;&gt;SottocategorieEntrate[[#Headers],[Varie Entrate]],$I1176&lt;&gt;SottocategorieEntrate[[#Headers],[Real Estate]],$I1176&lt;&gt;SottocategorieEntrate[[#Headers],[Other]]),"","$ -")</f>
        <v/>
      </c>
      <c r="Q1176" s="59" t="str">
        <f>IF(Dati[[#This Row],[Categoria]]="Prelievo","€ -","")</f>
        <v/>
      </c>
      <c r="R1176" s="244"/>
      <c r="S1176" s="59" t="str">
        <f>IF(Dati[[#This Row],[Categoria]]="Savings",0,"")</f>
        <v/>
      </c>
      <c r="T1176" s="59"/>
      <c r="U1176" s="59"/>
      <c r="V1176" s="59"/>
      <c r="W1176" s="59"/>
      <c r="X1176" s="59"/>
      <c r="Y1176" s="59"/>
      <c r="Z1176" s="59"/>
      <c r="AA1176" s="59"/>
      <c r="AB1176" s="59"/>
      <c r="AC1176" s="59"/>
      <c r="AD1176" s="59"/>
      <c r="AE1176" s="59"/>
      <c r="AF1176" s="59"/>
      <c r="AG1176" s="59"/>
      <c r="AH1176" s="59"/>
      <c r="AI1176" s="59" t="str">
        <f>IF(SUM(Dati[[#This Row],[Inv. Business]:[Inv. Cryptocurrency]])=0," ",SUM(Dati[[#This Row],[Inv. Business]:[Inv. Cryptocurrency]]))</f>
        <v xml:space="preserve"> </v>
      </c>
      <c r="AJ1176" s="59"/>
      <c r="AK1176" s="59" t="str">
        <f>IF(SUM(Dati[[#This Row],[Inv. Gold]:[Mutuo]])=0," ",SUM(Dati[[#This Row],[Inv. Gold]:[Mutuo]]))</f>
        <v xml:space="preserve"> </v>
      </c>
      <c r="AL1176" s="59"/>
      <c r="AM1176" s="59"/>
    </row>
    <row r="1177" spans="2:39" x14ac:dyDescent="0.35">
      <c r="B1177" s="237">
        <f t="shared" si="63"/>
        <v>1157</v>
      </c>
      <c r="C1177" s="49">
        <f t="shared" ref="C1177" si="66">C1176+1</f>
        <v>45788</v>
      </c>
      <c r="D1177" s="29">
        <f>DAY(Dati[[#This Row],[Data]])</f>
        <v>11</v>
      </c>
      <c r="E1177" s="29" t="str">
        <f>IF(DAY(Data!$C$21:$C$1327)&gt;0,TEXT(Data!$C$21:$C$1327, "mmmm"),"")</f>
        <v>maggio</v>
      </c>
      <c r="F1177" s="29" t="str">
        <f>IF(DAY(Data!$C$21:$C$1327)&gt;0,TEXT(Data!$C$21:$C$1327, "aaaa"),"")</f>
        <v>2025</v>
      </c>
      <c r="I1177" t="str">
        <f>IF(OR(H1177=$B$5,H1177=$B$6,H1177=$B$7,H1177=$B$8,H1177=$B$9,H1177=$B$10,H1177=$B$11,H1177=$B$12,H1177=$B$13,H1177=$B$14),SottocategorieUscite[[#Headers],[Fuori Casa]],IF(OR(H1177=$C$5,H1177=$C$6,H1177=$C$7,H1177=$C$8,H1177=$C$9,H1177=$C$10,H1177=$C$11,H1177=$C$12,H1177=$C$13,H1177=$C$14),SottocategorieUscite[[#Headers],[Varie Uscite]],IF(OR(H1177=$D$5,H1177=$D$6,H1177=$D$7,H1177=$D$8,H1177=$D$9,H1177=$D$10,H1177=$D$11,H1177=$D$12,H1177=$D$13,H1177=$D$14),SottocategorieUscite[[#Headers],[Personali]],IF(OR(H1177=$E$5,H1177=$E$6,H1177=$E$7,H1177=$E$8,H1177=$E$9,H1177=$E$10,H1177=$E$11,H1177=$E$12,H1177=$E$13,H1177=$E$14),SottocategorieUscite[[#Headers],[Lavoro]],IF(OR(H1177=$F$5,H1177=$F$6,H1177=$F$7,H1177=$F$8,H1177=$F$9,H1177=$F$10,H1177=$F$11,H1177=$F$12,H1177=$F$13,H1177=$F$14),SottocategorieUscite[[#Headers],[Casa]],IF(OR(H1177=$G$5,H1177=$G$6,H1177=$G$7,H1177=$G$8,H1177=$G$9,H1177=$G$10,H1177=$G$11,H1177=$G$12,H1177=$G$13,H1177=$G$14),SottocategorieUscite[[#Headers],[Utenze]],IF(OR(H1177=$H$5,H1177=$H$6,H1177=$H$7,H1177=$H$8,H1177=$H$9,H1177=$H$10,H1177=$H$11,H1177=$H$12,H1177=$H$13,H1177=$H$14),SottocategorieUscite[[#Headers],[Business Uscite]],IF(OR(H1177=$I$5,H1177=$I$6,H1177=$I$7,H1177=$I$8,H1177=$I$9,H1177=$I$10,H1177=$I$11,H1177=$I$12,H1177=$I$13,H1177=$I$14),SottocategorieUscite[[#Headers],[Banca]],IF(OR(H1177=K$5,H1177=K$6,H1177=K$7,H1177=K$8,H1177=K$9,H1177=K$10,H1177=K$11,H1177=K$12,H1177=K$13,H1177=K$14),SottocategorieEntrate[[#Headers],[Business Entrate]],IF(OR(H1177=L$5,H1177=L$6,H1177=L$7,H1177=L$8,H1177=L$9,H1177=L$10,H1177=L$11,H1177=L$12,H1177=L$13,H1177=L$14),SottocategorieEntrate[[#Headers],[Varie Entrate]],IF(OR(H1177=M$5,H1177=M$6,H1177=M$7,H1177=M$8,H1177=M$9,H1177=M$10,H1177=M$11,H1177=M$12,H1177=M$13,H1177=M$14),SottocategorieEntrate[[#Headers],[Real Estate]],IF(OR(H1177=N$5,H1177=N$6,H1177=N$7,H1177=N$8,H1177=N$9,H1177=N$10,H1177=N$11,H1177=N$12,H1177=N$13,H1177=N$14),SottocategorieEntrate[[#Headers],[Other]],""))))))))))))</f>
        <v/>
      </c>
      <c r="J1177" t="str">
        <f>IF(OR(Dati[[#This Row],[Categoria]]="Bollette",Dati[[#This Row],[Categoria]]="Conto &amp; Carte BNL",Dati[[#This Row],[Categoria]]="Prelievo",Dati[[#This Row],[Categoria]]="Affitto",Dati[[#This Row],[Categoria]]="BNL(Interessi Creditori)"),"Carta",IF(Dati[[#This Row],[Categoria]]&lt;&gt;0,"Cash",""))</f>
        <v/>
      </c>
      <c r="K1177" s="59" t="str">
        <f>IF(OR(Data!$I1177=SottocategorieUscite[[#Headers],[Fuori Casa]],Data!$I1177=SottocategorieUscite[[#Headers],[Varie Uscite]],Data!$I1177=SottocategorieUscite[[#Headers],[Personali]],Data!$I1177=SottocategorieUscite[[#Headers],[Lavoro]]),"$ -","")</f>
        <v/>
      </c>
      <c r="L1177" s="59" t="str">
        <f>IF(OR(Data!$I1177=SottocategorieUscite[[#Headers],[Casa]],Data!$I1177=SottocategorieUscite[[#Headers],[Utenze]],Data!$I1177=SottocategorieUscite[[#Headers],[Business Uscite]],Data!$I1177=SottocategorieUscite[[#Headers],[Banca]]),"$ -","")</f>
        <v/>
      </c>
      <c r="M1177" s="59" t="str">
        <f>IF(OR($I1177&lt;&gt;SottocategorieUscite[[#Headers],[Fuori Casa]],$I1177&lt;&gt;SottocategorieUscite[[#Headers],[Varie Uscite]],$I1177&lt;&gt;SottocategorieUscite[[#Headers],[Personali]],$I1177&lt;&gt;SottocategorieUscite[[#Headers],[Lavoro]],$I1177&lt;&gt;SottocategorieUscite[[#Headers],[Casa]],$I1177&lt;&gt;SottocategorieUscite[[#Headers],[Utenze]],$I1177&lt;&gt;SottocategorieUscite[[#Headers],[Business Uscite]],$I1177&lt;&gt;SottocategorieUscite[[#Headers],[Banca]]),"","$ -")</f>
        <v/>
      </c>
      <c r="N1177" s="59" t="str">
        <f>IF(OR(Data!$I1177=SottocategorieEntrate[[#Headers],[Business Entrate]],Data!$I1177=SottocategorieEntrate[[#Headers],[Varie Entrate]]),"$ -","")</f>
        <v/>
      </c>
      <c r="O1177" s="59" t="str">
        <f>IF(OR(Data!$I1177=SottocategorieEntrate[[#Headers],[Real Estate]],SottocategorieEntrate[[#Headers],[Other]]),"$ -","")</f>
        <v/>
      </c>
      <c r="P1177" s="59" t="str">
        <f>IF(OR($I1177&lt;&gt;SottocategorieEntrate[[#Headers],[Business Entrate]],$I1177&lt;&gt;SottocategorieEntrate[[#Headers],[Varie Entrate]],$I1177&lt;&gt;SottocategorieEntrate[[#Headers],[Real Estate]],$I1177&lt;&gt;SottocategorieEntrate[[#Headers],[Other]]),"","$ -")</f>
        <v/>
      </c>
      <c r="Q1177" s="59" t="str">
        <f>IF(Dati[[#This Row],[Categoria]]="Prelievo","€ -","")</f>
        <v/>
      </c>
      <c r="R1177" s="244"/>
      <c r="S1177" s="59" t="str">
        <f>IF(Dati[[#This Row],[Categoria]]="Savings",0,"")</f>
        <v/>
      </c>
      <c r="T1177" s="59"/>
      <c r="U1177" s="59"/>
      <c r="V1177" s="59"/>
      <c r="W1177" s="59"/>
      <c r="X1177" s="59"/>
      <c r="Y1177" s="59"/>
      <c r="Z1177" s="59"/>
      <c r="AA1177" s="59"/>
      <c r="AB1177" s="59"/>
      <c r="AC1177" s="59"/>
      <c r="AD1177" s="59"/>
      <c r="AE1177" s="59"/>
      <c r="AF1177" s="59"/>
      <c r="AG1177" s="59"/>
      <c r="AH1177" s="59"/>
      <c r="AI1177" s="59" t="str">
        <f>IF(SUM(Dati[[#This Row],[Inv. Business]:[Inv. Cryptocurrency]])=0," ",SUM(Dati[[#This Row],[Inv. Business]:[Inv. Cryptocurrency]]))</f>
        <v xml:space="preserve"> </v>
      </c>
      <c r="AJ1177" s="59"/>
      <c r="AK1177" s="59" t="str">
        <f>IF(SUM(Dati[[#This Row],[Inv. Gold]:[Mutuo]])=0," ",SUM(Dati[[#This Row],[Inv. Gold]:[Mutuo]]))</f>
        <v xml:space="preserve"> </v>
      </c>
      <c r="AL1177" s="59"/>
      <c r="AM1177" s="59"/>
    </row>
    <row r="1178" spans="2:39" x14ac:dyDescent="0.35">
      <c r="B1178" s="237">
        <f t="shared" si="63"/>
        <v>1158</v>
      </c>
      <c r="C1178" s="49">
        <f t="shared" ref="C1178" si="67">C1177+1</f>
        <v>45789</v>
      </c>
      <c r="D1178" s="29">
        <f>DAY(Dati[[#This Row],[Data]])</f>
        <v>12</v>
      </c>
      <c r="E1178" s="29" t="str">
        <f>IF(DAY(Data!$C$21:$C$1327)&gt;0,TEXT(Data!$C$21:$C$1327, "mmmm"),"")</f>
        <v>maggio</v>
      </c>
      <c r="F1178" s="29" t="str">
        <f>IF(DAY(Data!$C$21:$C$1327)&gt;0,TEXT(Data!$C$21:$C$1327, "aaaa"),"")</f>
        <v>2025</v>
      </c>
      <c r="I1178" t="str">
        <f>IF(OR(H1178=$B$5,H1178=$B$6,H1178=$B$7,H1178=$B$8,H1178=$B$9,H1178=$B$10,H1178=$B$11,H1178=$B$12,H1178=$B$13,H1178=$B$14),SottocategorieUscite[[#Headers],[Fuori Casa]],IF(OR(H1178=$C$5,H1178=$C$6,H1178=$C$7,H1178=$C$8,H1178=$C$9,H1178=$C$10,H1178=$C$11,H1178=$C$12,H1178=$C$13,H1178=$C$14),SottocategorieUscite[[#Headers],[Varie Uscite]],IF(OR(H1178=$D$5,H1178=$D$6,H1178=$D$7,H1178=$D$8,H1178=$D$9,H1178=$D$10,H1178=$D$11,H1178=$D$12,H1178=$D$13,H1178=$D$14),SottocategorieUscite[[#Headers],[Personali]],IF(OR(H1178=$E$5,H1178=$E$6,H1178=$E$7,H1178=$E$8,H1178=$E$9,H1178=$E$10,H1178=$E$11,H1178=$E$12,H1178=$E$13,H1178=$E$14),SottocategorieUscite[[#Headers],[Lavoro]],IF(OR(H1178=$F$5,H1178=$F$6,H1178=$F$7,H1178=$F$8,H1178=$F$9,H1178=$F$10,H1178=$F$11,H1178=$F$12,H1178=$F$13,H1178=$F$14),SottocategorieUscite[[#Headers],[Casa]],IF(OR(H1178=$G$5,H1178=$G$6,H1178=$G$7,H1178=$G$8,H1178=$G$9,H1178=$G$10,H1178=$G$11,H1178=$G$12,H1178=$G$13,H1178=$G$14),SottocategorieUscite[[#Headers],[Utenze]],IF(OR(H1178=$H$5,H1178=$H$6,H1178=$H$7,H1178=$H$8,H1178=$H$9,H1178=$H$10,H1178=$H$11,H1178=$H$12,H1178=$H$13,H1178=$H$14),SottocategorieUscite[[#Headers],[Business Uscite]],IF(OR(H1178=$I$5,H1178=$I$6,H1178=$I$7,H1178=$I$8,H1178=$I$9,H1178=$I$10,H1178=$I$11,H1178=$I$12,H1178=$I$13,H1178=$I$14),SottocategorieUscite[[#Headers],[Banca]],IF(OR(H1178=K$5,H1178=K$6,H1178=K$7,H1178=K$8,H1178=K$9,H1178=K$10,H1178=K$11,H1178=K$12,H1178=K$13,H1178=K$14),SottocategorieEntrate[[#Headers],[Business Entrate]],IF(OR(H1178=L$5,H1178=L$6,H1178=L$7,H1178=L$8,H1178=L$9,H1178=L$10,H1178=L$11,H1178=L$12,H1178=L$13,H1178=L$14),SottocategorieEntrate[[#Headers],[Varie Entrate]],IF(OR(H1178=M$5,H1178=M$6,H1178=M$7,H1178=M$8,H1178=M$9,H1178=M$10,H1178=M$11,H1178=M$12,H1178=M$13,H1178=M$14),SottocategorieEntrate[[#Headers],[Real Estate]],IF(OR(H1178=N$5,H1178=N$6,H1178=N$7,H1178=N$8,H1178=N$9,H1178=N$10,H1178=N$11,H1178=N$12,H1178=N$13,H1178=N$14),SottocategorieEntrate[[#Headers],[Other]],""))))))))))))</f>
        <v/>
      </c>
      <c r="J1178" t="str">
        <f>IF(OR(Dati[[#This Row],[Categoria]]="Bollette",Dati[[#This Row],[Categoria]]="Conto &amp; Carte BNL",Dati[[#This Row],[Categoria]]="Prelievo",Dati[[#This Row],[Categoria]]="Affitto",Dati[[#This Row],[Categoria]]="BNL(Interessi Creditori)"),"Carta",IF(Dati[[#This Row],[Categoria]]&lt;&gt;0,"Cash",""))</f>
        <v/>
      </c>
      <c r="K1178" s="59" t="str">
        <f>IF(OR(Data!$I1178=SottocategorieUscite[[#Headers],[Fuori Casa]],Data!$I1178=SottocategorieUscite[[#Headers],[Varie Uscite]],Data!$I1178=SottocategorieUscite[[#Headers],[Personali]],Data!$I1178=SottocategorieUscite[[#Headers],[Lavoro]]),"$ -","")</f>
        <v/>
      </c>
      <c r="L1178" s="59" t="str">
        <f>IF(OR(Data!$I1178=SottocategorieUscite[[#Headers],[Casa]],Data!$I1178=SottocategorieUscite[[#Headers],[Utenze]],Data!$I1178=SottocategorieUscite[[#Headers],[Business Uscite]],Data!$I1178=SottocategorieUscite[[#Headers],[Banca]]),"$ -","")</f>
        <v/>
      </c>
      <c r="M1178" s="59" t="str">
        <f>IF(OR($I1178&lt;&gt;SottocategorieUscite[[#Headers],[Fuori Casa]],$I1178&lt;&gt;SottocategorieUscite[[#Headers],[Varie Uscite]],$I1178&lt;&gt;SottocategorieUscite[[#Headers],[Personali]],$I1178&lt;&gt;SottocategorieUscite[[#Headers],[Lavoro]],$I1178&lt;&gt;SottocategorieUscite[[#Headers],[Casa]],$I1178&lt;&gt;SottocategorieUscite[[#Headers],[Utenze]],$I1178&lt;&gt;SottocategorieUscite[[#Headers],[Business Uscite]],$I1178&lt;&gt;SottocategorieUscite[[#Headers],[Banca]]),"","$ -")</f>
        <v/>
      </c>
      <c r="N1178" s="59" t="str">
        <f>IF(OR(Data!$I1178=SottocategorieEntrate[[#Headers],[Business Entrate]],Data!$I1178=SottocategorieEntrate[[#Headers],[Varie Entrate]]),"$ -","")</f>
        <v/>
      </c>
      <c r="O1178" s="59" t="str">
        <f>IF(OR(Data!$I1178=SottocategorieEntrate[[#Headers],[Real Estate]],SottocategorieEntrate[[#Headers],[Other]]),"$ -","")</f>
        <v/>
      </c>
      <c r="P1178" s="59" t="str">
        <f>IF(OR($I1178&lt;&gt;SottocategorieEntrate[[#Headers],[Business Entrate]],$I1178&lt;&gt;SottocategorieEntrate[[#Headers],[Varie Entrate]],$I1178&lt;&gt;SottocategorieEntrate[[#Headers],[Real Estate]],$I1178&lt;&gt;SottocategorieEntrate[[#Headers],[Other]]),"","$ -")</f>
        <v/>
      </c>
      <c r="Q1178" s="59" t="str">
        <f>IF(Dati[[#This Row],[Categoria]]="Prelievo","€ -","")</f>
        <v/>
      </c>
      <c r="R1178" s="244"/>
      <c r="S1178" s="59" t="str">
        <f>IF(Dati[[#This Row],[Categoria]]="Savings",0,"")</f>
        <v/>
      </c>
      <c r="T1178" s="59"/>
      <c r="U1178" s="59"/>
      <c r="V1178" s="59"/>
      <c r="W1178" s="59"/>
      <c r="X1178" s="59"/>
      <c r="Y1178" s="59"/>
      <c r="Z1178" s="59"/>
      <c r="AA1178" s="59"/>
      <c r="AB1178" s="59"/>
      <c r="AC1178" s="59"/>
      <c r="AD1178" s="59"/>
      <c r="AE1178" s="59"/>
      <c r="AF1178" s="59"/>
      <c r="AG1178" s="59"/>
      <c r="AH1178" s="59"/>
      <c r="AI1178" s="59" t="str">
        <f>IF(SUM(Dati[[#This Row],[Inv. Business]:[Inv. Cryptocurrency]])=0," ",SUM(Dati[[#This Row],[Inv. Business]:[Inv. Cryptocurrency]]))</f>
        <v xml:space="preserve"> </v>
      </c>
      <c r="AJ1178" s="59"/>
      <c r="AK1178" s="59" t="str">
        <f>IF(SUM(Dati[[#This Row],[Inv. Gold]:[Mutuo]])=0," ",SUM(Dati[[#This Row],[Inv. Gold]:[Mutuo]]))</f>
        <v xml:space="preserve"> </v>
      </c>
      <c r="AL1178" s="59"/>
      <c r="AM1178" s="59"/>
    </row>
    <row r="1179" spans="2:39" x14ac:dyDescent="0.35">
      <c r="B1179" s="237">
        <f t="shared" si="63"/>
        <v>1159</v>
      </c>
      <c r="C1179" s="49">
        <f t="shared" ref="C1179" si="68">C1178+1</f>
        <v>45790</v>
      </c>
      <c r="D1179" s="29">
        <f>DAY(Dati[[#This Row],[Data]])</f>
        <v>13</v>
      </c>
      <c r="E1179" s="29" t="str">
        <f>IF(DAY(Data!$C$21:$C$1327)&gt;0,TEXT(Data!$C$21:$C$1327, "mmmm"),"")</f>
        <v>maggio</v>
      </c>
      <c r="F1179" s="29" t="str">
        <f>IF(DAY(Data!$C$21:$C$1327)&gt;0,TEXT(Data!$C$21:$C$1327, "aaaa"),"")</f>
        <v>2025</v>
      </c>
      <c r="I1179" t="str">
        <f>IF(OR(H1179=$B$5,H1179=$B$6,H1179=$B$7,H1179=$B$8,H1179=$B$9,H1179=$B$10,H1179=$B$11,H1179=$B$12,H1179=$B$13,H1179=$B$14),SottocategorieUscite[[#Headers],[Fuori Casa]],IF(OR(H1179=$C$5,H1179=$C$6,H1179=$C$7,H1179=$C$8,H1179=$C$9,H1179=$C$10,H1179=$C$11,H1179=$C$12,H1179=$C$13,H1179=$C$14),SottocategorieUscite[[#Headers],[Varie Uscite]],IF(OR(H1179=$D$5,H1179=$D$6,H1179=$D$7,H1179=$D$8,H1179=$D$9,H1179=$D$10,H1179=$D$11,H1179=$D$12,H1179=$D$13,H1179=$D$14),SottocategorieUscite[[#Headers],[Personali]],IF(OR(H1179=$E$5,H1179=$E$6,H1179=$E$7,H1179=$E$8,H1179=$E$9,H1179=$E$10,H1179=$E$11,H1179=$E$12,H1179=$E$13,H1179=$E$14),SottocategorieUscite[[#Headers],[Lavoro]],IF(OR(H1179=$F$5,H1179=$F$6,H1179=$F$7,H1179=$F$8,H1179=$F$9,H1179=$F$10,H1179=$F$11,H1179=$F$12,H1179=$F$13,H1179=$F$14),SottocategorieUscite[[#Headers],[Casa]],IF(OR(H1179=$G$5,H1179=$G$6,H1179=$G$7,H1179=$G$8,H1179=$G$9,H1179=$G$10,H1179=$G$11,H1179=$G$12,H1179=$G$13,H1179=$G$14),SottocategorieUscite[[#Headers],[Utenze]],IF(OR(H1179=$H$5,H1179=$H$6,H1179=$H$7,H1179=$H$8,H1179=$H$9,H1179=$H$10,H1179=$H$11,H1179=$H$12,H1179=$H$13,H1179=$H$14),SottocategorieUscite[[#Headers],[Business Uscite]],IF(OR(H1179=$I$5,H1179=$I$6,H1179=$I$7,H1179=$I$8,H1179=$I$9,H1179=$I$10,H1179=$I$11,H1179=$I$12,H1179=$I$13,H1179=$I$14),SottocategorieUscite[[#Headers],[Banca]],IF(OR(H1179=K$5,H1179=K$6,H1179=K$7,H1179=K$8,H1179=K$9,H1179=K$10,H1179=K$11,H1179=K$12,H1179=K$13,H1179=K$14),SottocategorieEntrate[[#Headers],[Business Entrate]],IF(OR(H1179=L$5,H1179=L$6,H1179=L$7,H1179=L$8,H1179=L$9,H1179=L$10,H1179=L$11,H1179=L$12,H1179=L$13,H1179=L$14),SottocategorieEntrate[[#Headers],[Varie Entrate]],IF(OR(H1179=M$5,H1179=M$6,H1179=M$7,H1179=M$8,H1179=M$9,H1179=M$10,H1179=M$11,H1179=M$12,H1179=M$13,H1179=M$14),SottocategorieEntrate[[#Headers],[Real Estate]],IF(OR(H1179=N$5,H1179=N$6,H1179=N$7,H1179=N$8,H1179=N$9,H1179=N$10,H1179=N$11,H1179=N$12,H1179=N$13,H1179=N$14),SottocategorieEntrate[[#Headers],[Other]],""))))))))))))</f>
        <v/>
      </c>
      <c r="J1179" t="str">
        <f>IF(OR(Dati[[#This Row],[Categoria]]="Bollette",Dati[[#This Row],[Categoria]]="Conto &amp; Carte BNL",Dati[[#This Row],[Categoria]]="Prelievo",Dati[[#This Row],[Categoria]]="Affitto",Dati[[#This Row],[Categoria]]="BNL(Interessi Creditori)"),"Carta",IF(Dati[[#This Row],[Categoria]]&lt;&gt;0,"Cash",""))</f>
        <v/>
      </c>
      <c r="K1179" s="59" t="str">
        <f>IF(OR(Data!$I1179=SottocategorieUscite[[#Headers],[Fuori Casa]],Data!$I1179=SottocategorieUscite[[#Headers],[Varie Uscite]],Data!$I1179=SottocategorieUscite[[#Headers],[Personali]],Data!$I1179=SottocategorieUscite[[#Headers],[Lavoro]]),"$ -","")</f>
        <v/>
      </c>
      <c r="L1179" s="59" t="str">
        <f>IF(OR(Data!$I1179=SottocategorieUscite[[#Headers],[Casa]],Data!$I1179=SottocategorieUscite[[#Headers],[Utenze]],Data!$I1179=SottocategorieUscite[[#Headers],[Business Uscite]],Data!$I1179=SottocategorieUscite[[#Headers],[Banca]]),"$ -","")</f>
        <v/>
      </c>
      <c r="M1179" s="59" t="str">
        <f>IF(OR($I1179&lt;&gt;SottocategorieUscite[[#Headers],[Fuori Casa]],$I1179&lt;&gt;SottocategorieUscite[[#Headers],[Varie Uscite]],$I1179&lt;&gt;SottocategorieUscite[[#Headers],[Personali]],$I1179&lt;&gt;SottocategorieUscite[[#Headers],[Lavoro]],$I1179&lt;&gt;SottocategorieUscite[[#Headers],[Casa]],$I1179&lt;&gt;SottocategorieUscite[[#Headers],[Utenze]],$I1179&lt;&gt;SottocategorieUscite[[#Headers],[Business Uscite]],$I1179&lt;&gt;SottocategorieUscite[[#Headers],[Banca]]),"","$ -")</f>
        <v/>
      </c>
      <c r="N1179" s="59" t="str">
        <f>IF(OR(Data!$I1179=SottocategorieEntrate[[#Headers],[Business Entrate]],Data!$I1179=SottocategorieEntrate[[#Headers],[Varie Entrate]]),"$ -","")</f>
        <v/>
      </c>
      <c r="O1179" s="59" t="str">
        <f>IF(OR(Data!$I1179=SottocategorieEntrate[[#Headers],[Real Estate]],SottocategorieEntrate[[#Headers],[Other]]),"$ -","")</f>
        <v/>
      </c>
      <c r="P1179" s="59" t="str">
        <f>IF(OR($I1179&lt;&gt;SottocategorieEntrate[[#Headers],[Business Entrate]],$I1179&lt;&gt;SottocategorieEntrate[[#Headers],[Varie Entrate]],$I1179&lt;&gt;SottocategorieEntrate[[#Headers],[Real Estate]],$I1179&lt;&gt;SottocategorieEntrate[[#Headers],[Other]]),"","$ -")</f>
        <v/>
      </c>
      <c r="Q1179" s="59" t="str">
        <f>IF(Dati[[#This Row],[Categoria]]="Prelievo","€ -","")</f>
        <v/>
      </c>
      <c r="R1179" s="244"/>
      <c r="S1179" s="59" t="str">
        <f>IF(Dati[[#This Row],[Categoria]]="Savings",0,"")</f>
        <v/>
      </c>
      <c r="T1179" s="59"/>
      <c r="U1179" s="59"/>
      <c r="V1179" s="59"/>
      <c r="W1179" s="59"/>
      <c r="X1179" s="59"/>
      <c r="Y1179" s="59"/>
      <c r="Z1179" s="59"/>
      <c r="AA1179" s="59"/>
      <c r="AB1179" s="59"/>
      <c r="AC1179" s="59"/>
      <c r="AD1179" s="59"/>
      <c r="AE1179" s="59"/>
      <c r="AF1179" s="59"/>
      <c r="AG1179" s="59"/>
      <c r="AH1179" s="59"/>
      <c r="AI1179" s="59" t="str">
        <f>IF(SUM(Dati[[#This Row],[Inv. Business]:[Inv. Cryptocurrency]])=0," ",SUM(Dati[[#This Row],[Inv. Business]:[Inv. Cryptocurrency]]))</f>
        <v xml:space="preserve"> </v>
      </c>
      <c r="AJ1179" s="59"/>
      <c r="AK1179" s="59" t="str">
        <f>IF(SUM(Dati[[#This Row],[Inv. Gold]:[Mutuo]])=0," ",SUM(Dati[[#This Row],[Inv. Gold]:[Mutuo]]))</f>
        <v xml:space="preserve"> </v>
      </c>
      <c r="AL1179" s="59"/>
      <c r="AM1179" s="59"/>
    </row>
    <row r="1180" spans="2:39" x14ac:dyDescent="0.35">
      <c r="B1180" s="237">
        <f t="shared" si="63"/>
        <v>1160</v>
      </c>
      <c r="C1180" s="49">
        <f t="shared" ref="C1180" si="69">C1179+1</f>
        <v>45791</v>
      </c>
      <c r="D1180" s="29">
        <f>DAY(Dati[[#This Row],[Data]])</f>
        <v>14</v>
      </c>
      <c r="E1180" s="29" t="str">
        <f>IF(DAY(Data!$C$21:$C$1327)&gt;0,TEXT(Data!$C$21:$C$1327, "mmmm"),"")</f>
        <v>maggio</v>
      </c>
      <c r="F1180" s="29" t="str">
        <f>IF(DAY(Data!$C$21:$C$1327)&gt;0,TEXT(Data!$C$21:$C$1327, "aaaa"),"")</f>
        <v>2025</v>
      </c>
      <c r="I1180" t="str">
        <f>IF(OR(H1180=$B$5,H1180=$B$6,H1180=$B$7,H1180=$B$8,H1180=$B$9,H1180=$B$10,H1180=$B$11,H1180=$B$12,H1180=$B$13,H1180=$B$14),SottocategorieUscite[[#Headers],[Fuori Casa]],IF(OR(H1180=$C$5,H1180=$C$6,H1180=$C$7,H1180=$C$8,H1180=$C$9,H1180=$C$10,H1180=$C$11,H1180=$C$12,H1180=$C$13,H1180=$C$14),SottocategorieUscite[[#Headers],[Varie Uscite]],IF(OR(H1180=$D$5,H1180=$D$6,H1180=$D$7,H1180=$D$8,H1180=$D$9,H1180=$D$10,H1180=$D$11,H1180=$D$12,H1180=$D$13,H1180=$D$14),SottocategorieUscite[[#Headers],[Personali]],IF(OR(H1180=$E$5,H1180=$E$6,H1180=$E$7,H1180=$E$8,H1180=$E$9,H1180=$E$10,H1180=$E$11,H1180=$E$12,H1180=$E$13,H1180=$E$14),SottocategorieUscite[[#Headers],[Lavoro]],IF(OR(H1180=$F$5,H1180=$F$6,H1180=$F$7,H1180=$F$8,H1180=$F$9,H1180=$F$10,H1180=$F$11,H1180=$F$12,H1180=$F$13,H1180=$F$14),SottocategorieUscite[[#Headers],[Casa]],IF(OR(H1180=$G$5,H1180=$G$6,H1180=$G$7,H1180=$G$8,H1180=$G$9,H1180=$G$10,H1180=$G$11,H1180=$G$12,H1180=$G$13,H1180=$G$14),SottocategorieUscite[[#Headers],[Utenze]],IF(OR(H1180=$H$5,H1180=$H$6,H1180=$H$7,H1180=$H$8,H1180=$H$9,H1180=$H$10,H1180=$H$11,H1180=$H$12,H1180=$H$13,H1180=$H$14),SottocategorieUscite[[#Headers],[Business Uscite]],IF(OR(H1180=$I$5,H1180=$I$6,H1180=$I$7,H1180=$I$8,H1180=$I$9,H1180=$I$10,H1180=$I$11,H1180=$I$12,H1180=$I$13,H1180=$I$14),SottocategorieUscite[[#Headers],[Banca]],IF(OR(H1180=K$5,H1180=K$6,H1180=K$7,H1180=K$8,H1180=K$9,H1180=K$10,H1180=K$11,H1180=K$12,H1180=K$13,H1180=K$14),SottocategorieEntrate[[#Headers],[Business Entrate]],IF(OR(H1180=L$5,H1180=L$6,H1180=L$7,H1180=L$8,H1180=L$9,H1180=L$10,H1180=L$11,H1180=L$12,H1180=L$13,H1180=L$14),SottocategorieEntrate[[#Headers],[Varie Entrate]],IF(OR(H1180=M$5,H1180=M$6,H1180=M$7,H1180=M$8,H1180=M$9,H1180=M$10,H1180=M$11,H1180=M$12,H1180=M$13,H1180=M$14),SottocategorieEntrate[[#Headers],[Real Estate]],IF(OR(H1180=N$5,H1180=N$6,H1180=N$7,H1180=N$8,H1180=N$9,H1180=N$10,H1180=N$11,H1180=N$12,H1180=N$13,H1180=N$14),SottocategorieEntrate[[#Headers],[Other]],""))))))))))))</f>
        <v/>
      </c>
      <c r="J1180" t="str">
        <f>IF(OR(Dati[[#This Row],[Categoria]]="Bollette",Dati[[#This Row],[Categoria]]="Conto &amp; Carte BNL",Dati[[#This Row],[Categoria]]="Prelievo",Dati[[#This Row],[Categoria]]="Affitto",Dati[[#This Row],[Categoria]]="BNL(Interessi Creditori)"),"Carta",IF(Dati[[#This Row],[Categoria]]&lt;&gt;0,"Cash",""))</f>
        <v/>
      </c>
      <c r="K1180" s="59" t="str">
        <f>IF(OR(Data!$I1180=SottocategorieUscite[[#Headers],[Fuori Casa]],Data!$I1180=SottocategorieUscite[[#Headers],[Varie Uscite]],Data!$I1180=SottocategorieUscite[[#Headers],[Personali]],Data!$I1180=SottocategorieUscite[[#Headers],[Lavoro]]),"$ -","")</f>
        <v/>
      </c>
      <c r="L1180" s="59" t="str">
        <f>IF(OR(Data!$I1180=SottocategorieUscite[[#Headers],[Casa]],Data!$I1180=SottocategorieUscite[[#Headers],[Utenze]],Data!$I1180=SottocategorieUscite[[#Headers],[Business Uscite]],Data!$I1180=SottocategorieUscite[[#Headers],[Banca]]),"$ -","")</f>
        <v/>
      </c>
      <c r="M1180" s="59" t="str">
        <f>IF(OR($I1180&lt;&gt;SottocategorieUscite[[#Headers],[Fuori Casa]],$I1180&lt;&gt;SottocategorieUscite[[#Headers],[Varie Uscite]],$I1180&lt;&gt;SottocategorieUscite[[#Headers],[Personali]],$I1180&lt;&gt;SottocategorieUscite[[#Headers],[Lavoro]],$I1180&lt;&gt;SottocategorieUscite[[#Headers],[Casa]],$I1180&lt;&gt;SottocategorieUscite[[#Headers],[Utenze]],$I1180&lt;&gt;SottocategorieUscite[[#Headers],[Business Uscite]],$I1180&lt;&gt;SottocategorieUscite[[#Headers],[Banca]]),"","$ -")</f>
        <v/>
      </c>
      <c r="N1180" s="59" t="str">
        <f>IF(OR(Data!$I1180=SottocategorieEntrate[[#Headers],[Business Entrate]],Data!$I1180=SottocategorieEntrate[[#Headers],[Varie Entrate]]),"$ -","")</f>
        <v/>
      </c>
      <c r="O1180" s="59" t="str">
        <f>IF(OR(Data!$I1180=SottocategorieEntrate[[#Headers],[Real Estate]],SottocategorieEntrate[[#Headers],[Other]]),"$ -","")</f>
        <v/>
      </c>
      <c r="P1180" s="59" t="str">
        <f>IF(OR($I1180&lt;&gt;SottocategorieEntrate[[#Headers],[Business Entrate]],$I1180&lt;&gt;SottocategorieEntrate[[#Headers],[Varie Entrate]],$I1180&lt;&gt;SottocategorieEntrate[[#Headers],[Real Estate]],$I1180&lt;&gt;SottocategorieEntrate[[#Headers],[Other]]),"","$ -")</f>
        <v/>
      </c>
      <c r="Q1180" s="59" t="str">
        <f>IF(Dati[[#This Row],[Categoria]]="Prelievo","€ -","")</f>
        <v/>
      </c>
      <c r="R1180" s="244"/>
      <c r="S1180" s="59" t="str">
        <f>IF(Dati[[#This Row],[Categoria]]="Savings",0,"")</f>
        <v/>
      </c>
      <c r="T1180" s="59"/>
      <c r="U1180" s="59"/>
      <c r="V1180" s="59"/>
      <c r="W1180" s="59"/>
      <c r="X1180" s="59"/>
      <c r="Y1180" s="59"/>
      <c r="Z1180" s="59"/>
      <c r="AA1180" s="59"/>
      <c r="AB1180" s="59"/>
      <c r="AC1180" s="59"/>
      <c r="AD1180" s="59"/>
      <c r="AE1180" s="59"/>
      <c r="AF1180" s="59"/>
      <c r="AG1180" s="59"/>
      <c r="AH1180" s="59"/>
      <c r="AI1180" s="59" t="str">
        <f>IF(SUM(Dati[[#This Row],[Inv. Business]:[Inv. Cryptocurrency]])=0," ",SUM(Dati[[#This Row],[Inv. Business]:[Inv. Cryptocurrency]]))</f>
        <v xml:space="preserve"> </v>
      </c>
      <c r="AJ1180" s="59"/>
      <c r="AK1180" s="59" t="str">
        <f>IF(SUM(Dati[[#This Row],[Inv. Gold]:[Mutuo]])=0," ",SUM(Dati[[#This Row],[Inv. Gold]:[Mutuo]]))</f>
        <v xml:space="preserve"> </v>
      </c>
      <c r="AL1180" s="59"/>
      <c r="AM1180" s="59"/>
    </row>
    <row r="1181" spans="2:39" x14ac:dyDescent="0.35">
      <c r="B1181" s="237">
        <f>ROW(1160:1160)</f>
        <v>1160</v>
      </c>
      <c r="C1181" s="49">
        <f t="shared" ref="C1181" si="70">C1179+1</f>
        <v>45791</v>
      </c>
      <c r="D1181" s="29">
        <f>DAY(Dati[[#This Row],[Data]])</f>
        <v>14</v>
      </c>
      <c r="E1181" s="29" t="str">
        <f>IF(DAY(Data!$C$21:$C$1327)&gt;0,TEXT(Data!$C$21:$C$1327, "mmmm"),"")</f>
        <v>maggio</v>
      </c>
      <c r="F1181" s="29" t="str">
        <f>IF(DAY(Data!$C$21:$C$1327)&gt;0,TEXT(Data!$C$21:$C$1327, "aaaa"),"")</f>
        <v>2025</v>
      </c>
      <c r="I1181" t="str">
        <f>IF(OR(H1181=$B$5,H1181=$B$6,H1181=$B$7,H1181=$B$8,H1181=$B$9,H1181=$B$10,H1181=$B$11,H1181=$B$12,H1181=$B$13,H1181=$B$14),SottocategorieUscite[[#Headers],[Fuori Casa]],IF(OR(H1181=$C$5,H1181=$C$6,H1181=$C$7,H1181=$C$8,H1181=$C$9,H1181=$C$10,H1181=$C$11,H1181=$C$12,H1181=$C$13,H1181=$C$14),SottocategorieUscite[[#Headers],[Varie Uscite]],IF(OR(H1181=$D$5,H1181=$D$6,H1181=$D$7,H1181=$D$8,H1181=$D$9,H1181=$D$10,H1181=$D$11,H1181=$D$12,H1181=$D$13,H1181=$D$14),SottocategorieUscite[[#Headers],[Personali]],IF(OR(H1181=$E$5,H1181=$E$6,H1181=$E$7,H1181=$E$8,H1181=$E$9,H1181=$E$10,H1181=$E$11,H1181=$E$12,H1181=$E$13,H1181=$E$14),SottocategorieUscite[[#Headers],[Lavoro]],IF(OR(H1181=$F$5,H1181=$F$6,H1181=$F$7,H1181=$F$8,H1181=$F$9,H1181=$F$10,H1181=$F$11,H1181=$F$12,H1181=$F$13,H1181=$F$14),SottocategorieUscite[[#Headers],[Casa]],IF(OR(H1181=$G$5,H1181=$G$6,H1181=$G$7,H1181=$G$8,H1181=$G$9,H1181=$G$10,H1181=$G$11,H1181=$G$12,H1181=$G$13,H1181=$G$14),SottocategorieUscite[[#Headers],[Utenze]],IF(OR(H1181=$H$5,H1181=$H$6,H1181=$H$7,H1181=$H$8,H1181=$H$9,H1181=$H$10,H1181=$H$11,H1181=$H$12,H1181=$H$13,H1181=$H$14),SottocategorieUscite[[#Headers],[Business Uscite]],IF(OR(H1181=$I$5,H1181=$I$6,H1181=$I$7,H1181=$I$8,H1181=$I$9,H1181=$I$10,H1181=$I$11,H1181=$I$12,H1181=$I$13,H1181=$I$14),SottocategorieUscite[[#Headers],[Banca]],IF(OR(H1181=K$5,H1181=K$6,H1181=K$7,H1181=K$8,H1181=K$9,H1181=K$10,H1181=K$11,H1181=K$12,H1181=K$13,H1181=K$14),SottocategorieEntrate[[#Headers],[Business Entrate]],IF(OR(H1181=L$5,H1181=L$6,H1181=L$7,H1181=L$8,H1181=L$9,H1181=L$10,H1181=L$11,H1181=L$12,H1181=L$13,H1181=L$14),SottocategorieEntrate[[#Headers],[Varie Entrate]],IF(OR(H1181=M$5,H1181=M$6,H1181=M$7,H1181=M$8,H1181=M$9,H1181=M$10,H1181=M$11,H1181=M$12,H1181=M$13,H1181=M$14),SottocategorieEntrate[[#Headers],[Real Estate]],IF(OR(H1181=N$5,H1181=N$6,H1181=N$7,H1181=N$8,H1181=N$9,H1181=N$10,H1181=N$11,H1181=N$12,H1181=N$13,H1181=N$14),SottocategorieEntrate[[#Headers],[Other]],""))))))))))))</f>
        <v/>
      </c>
      <c r="J1181" t="str">
        <f>IF(OR(Dati[[#This Row],[Categoria]]="Bollette",Dati[[#This Row],[Categoria]]="Conto &amp; Carte BNL",Dati[[#This Row],[Categoria]]="Prelievo",Dati[[#This Row],[Categoria]]="Affitto",Dati[[#This Row],[Categoria]]="BNL(Interessi Creditori)"),"Carta",IF(Dati[[#This Row],[Categoria]]&lt;&gt;0,"Cash",""))</f>
        <v/>
      </c>
      <c r="K1181" s="59" t="str">
        <f>IF(OR(Data!$I1181=SottocategorieUscite[[#Headers],[Fuori Casa]],Data!$I1181=SottocategorieUscite[[#Headers],[Varie Uscite]],Data!$I1181=SottocategorieUscite[[#Headers],[Personali]],Data!$I1181=SottocategorieUscite[[#Headers],[Lavoro]]),"$ -","")</f>
        <v/>
      </c>
      <c r="L1181" s="59" t="str">
        <f>IF(OR(Data!$I1181=SottocategorieUscite[[#Headers],[Casa]],Data!$I1181=SottocategorieUscite[[#Headers],[Utenze]],Data!$I1181=SottocategorieUscite[[#Headers],[Business Uscite]],Data!$I1181=SottocategorieUscite[[#Headers],[Banca]]),"$ -","")</f>
        <v/>
      </c>
      <c r="M1181" s="59" t="str">
        <f>IF(OR($I1181&lt;&gt;SottocategorieUscite[[#Headers],[Fuori Casa]],$I1181&lt;&gt;SottocategorieUscite[[#Headers],[Varie Uscite]],$I1181&lt;&gt;SottocategorieUscite[[#Headers],[Personali]],$I1181&lt;&gt;SottocategorieUscite[[#Headers],[Lavoro]],$I1181&lt;&gt;SottocategorieUscite[[#Headers],[Casa]],$I1181&lt;&gt;SottocategorieUscite[[#Headers],[Utenze]],$I1181&lt;&gt;SottocategorieUscite[[#Headers],[Business Uscite]],$I1181&lt;&gt;SottocategorieUscite[[#Headers],[Banca]]),"","$ -")</f>
        <v/>
      </c>
      <c r="N1181" s="59" t="str">
        <f>IF(OR(Data!$I1181=SottocategorieEntrate[[#Headers],[Business Entrate]],Data!$I1181=SottocategorieEntrate[[#Headers],[Varie Entrate]]),"$ -","")</f>
        <v/>
      </c>
      <c r="O1181" s="59" t="str">
        <f>IF(OR(Data!$I1181=SottocategorieEntrate[[#Headers],[Real Estate]],SottocategorieEntrate[[#Headers],[Other]]),"$ -","")</f>
        <v/>
      </c>
      <c r="P1181" s="59" t="str">
        <f>IF(OR($I1181&lt;&gt;SottocategorieEntrate[[#Headers],[Business Entrate]],$I1181&lt;&gt;SottocategorieEntrate[[#Headers],[Varie Entrate]],$I1181&lt;&gt;SottocategorieEntrate[[#Headers],[Real Estate]],$I1181&lt;&gt;SottocategorieEntrate[[#Headers],[Other]]),"","$ -")</f>
        <v/>
      </c>
      <c r="Q1181" s="59" t="str">
        <f>IF(Dati[[#This Row],[Categoria]]="Prelievo","€ -","")</f>
        <v/>
      </c>
      <c r="R1181" s="244"/>
      <c r="S1181" s="59" t="str">
        <f>IF(Dati[[#This Row],[Categoria]]="Savings",0,"")</f>
        <v/>
      </c>
      <c r="T1181" s="59"/>
      <c r="U1181" s="59"/>
      <c r="V1181" s="59"/>
      <c r="W1181" s="59"/>
      <c r="X1181" s="59"/>
      <c r="Y1181" s="59"/>
      <c r="Z1181" s="59"/>
      <c r="AA1181" s="59"/>
      <c r="AB1181" s="59"/>
      <c r="AC1181" s="59"/>
      <c r="AD1181" s="59"/>
      <c r="AE1181" s="59"/>
      <c r="AF1181" s="59"/>
      <c r="AG1181" s="59"/>
      <c r="AH1181" s="59"/>
      <c r="AI1181" s="59" t="str">
        <f>IF(SUM(Dati[[#This Row],[Inv. Business]:[Inv. Cryptocurrency]])=0," ",SUM(Dati[[#This Row],[Inv. Business]:[Inv. Cryptocurrency]]))</f>
        <v xml:space="preserve"> </v>
      </c>
      <c r="AJ1181" s="59"/>
      <c r="AK1181" s="59" t="str">
        <f>IF(SUM(Dati[[#This Row],[Inv. Gold]:[Mutuo]])=0," ",SUM(Dati[[#This Row],[Inv. Gold]:[Mutuo]]))</f>
        <v xml:space="preserve"> </v>
      </c>
      <c r="AL1181" s="59"/>
      <c r="AM1181" s="59"/>
    </row>
    <row r="1182" spans="2:39" x14ac:dyDescent="0.35">
      <c r="B1182" s="237">
        <f>ROW(1160:1160)</f>
        <v>1160</v>
      </c>
      <c r="C1182" s="49">
        <f>C1179+1</f>
        <v>45791</v>
      </c>
      <c r="D1182" s="29">
        <f>DAY(Dati[[#This Row],[Data]])</f>
        <v>14</v>
      </c>
      <c r="E1182" s="29" t="str">
        <f>IF(DAY(Data!$C$21:$C$1327)&gt;0,TEXT(Data!$C$21:$C$1327, "mmmm"),"")</f>
        <v>maggio</v>
      </c>
      <c r="F1182" s="29" t="str">
        <f>IF(DAY(Data!$C$21:$C$1327)&gt;0,TEXT(Data!$C$21:$C$1327, "aaaa"),"")</f>
        <v>2025</v>
      </c>
      <c r="I1182" t="str">
        <f>IF(OR(H1182=$B$5,H1182=$B$6,H1182=$B$7,H1182=$B$8,H1182=$B$9,H1182=$B$10,H1182=$B$11,H1182=$B$12,H1182=$B$13,H1182=$B$14),SottocategorieUscite[[#Headers],[Fuori Casa]],IF(OR(H1182=$C$5,H1182=$C$6,H1182=$C$7,H1182=$C$8,H1182=$C$9,H1182=$C$10,H1182=$C$11,H1182=$C$12,H1182=$C$13,H1182=$C$14),SottocategorieUscite[[#Headers],[Varie Uscite]],IF(OR(H1182=$D$5,H1182=$D$6,H1182=$D$7,H1182=$D$8,H1182=$D$9,H1182=$D$10,H1182=$D$11,H1182=$D$12,H1182=$D$13,H1182=$D$14),SottocategorieUscite[[#Headers],[Personali]],IF(OR(H1182=$E$5,H1182=$E$6,H1182=$E$7,H1182=$E$8,H1182=$E$9,H1182=$E$10,H1182=$E$11,H1182=$E$12,H1182=$E$13,H1182=$E$14),SottocategorieUscite[[#Headers],[Lavoro]],IF(OR(H1182=$F$5,H1182=$F$6,H1182=$F$7,H1182=$F$8,H1182=$F$9,H1182=$F$10,H1182=$F$11,H1182=$F$12,H1182=$F$13,H1182=$F$14),SottocategorieUscite[[#Headers],[Casa]],IF(OR(H1182=$G$5,H1182=$G$6,H1182=$G$7,H1182=$G$8,H1182=$G$9,H1182=$G$10,H1182=$G$11,H1182=$G$12,H1182=$G$13,H1182=$G$14),SottocategorieUscite[[#Headers],[Utenze]],IF(OR(H1182=$H$5,H1182=$H$6,H1182=$H$7,H1182=$H$8,H1182=$H$9,H1182=$H$10,H1182=$H$11,H1182=$H$12,H1182=$H$13,H1182=$H$14),SottocategorieUscite[[#Headers],[Business Uscite]],IF(OR(H1182=$I$5,H1182=$I$6,H1182=$I$7,H1182=$I$8,H1182=$I$9,H1182=$I$10,H1182=$I$11,H1182=$I$12,H1182=$I$13,H1182=$I$14),SottocategorieUscite[[#Headers],[Banca]],IF(OR(H1182=K$5,H1182=K$6,H1182=K$7,H1182=K$8,H1182=K$9,H1182=K$10,H1182=K$11,H1182=K$12,H1182=K$13,H1182=K$14),SottocategorieEntrate[[#Headers],[Business Entrate]],IF(OR(H1182=L$5,H1182=L$6,H1182=L$7,H1182=L$8,H1182=L$9,H1182=L$10,H1182=L$11,H1182=L$12,H1182=L$13,H1182=L$14),SottocategorieEntrate[[#Headers],[Varie Entrate]],IF(OR(H1182=M$5,H1182=M$6,H1182=M$7,H1182=M$8,H1182=M$9,H1182=M$10,H1182=M$11,H1182=M$12,H1182=M$13,H1182=M$14),SottocategorieEntrate[[#Headers],[Real Estate]],IF(OR(H1182=N$5,H1182=N$6,H1182=N$7,H1182=N$8,H1182=N$9,H1182=N$10,H1182=N$11,H1182=N$12,H1182=N$13,H1182=N$14),SottocategorieEntrate[[#Headers],[Other]],""))))))))))))</f>
        <v/>
      </c>
      <c r="J1182" t="str">
        <f>IF(OR(Dati[[#This Row],[Categoria]]="Bollette",Dati[[#This Row],[Categoria]]="Conto &amp; Carte BNL",Dati[[#This Row],[Categoria]]="Prelievo",Dati[[#This Row],[Categoria]]="Affitto",Dati[[#This Row],[Categoria]]="BNL(Interessi Creditori)"),"Carta",IF(Dati[[#This Row],[Categoria]]&lt;&gt;0,"Cash",""))</f>
        <v/>
      </c>
      <c r="K1182" s="59" t="str">
        <f>IF(OR(Data!$I1182=SottocategorieUscite[[#Headers],[Fuori Casa]],Data!$I1182=SottocategorieUscite[[#Headers],[Varie Uscite]],Data!$I1182=SottocategorieUscite[[#Headers],[Personali]],Data!$I1182=SottocategorieUscite[[#Headers],[Lavoro]]),"$ -","")</f>
        <v/>
      </c>
      <c r="L1182" s="59" t="str">
        <f>IF(OR(Data!$I1182=SottocategorieUscite[[#Headers],[Casa]],Data!$I1182=SottocategorieUscite[[#Headers],[Utenze]],Data!$I1182=SottocategorieUscite[[#Headers],[Business Uscite]],Data!$I1182=SottocategorieUscite[[#Headers],[Banca]]),"$ -","")</f>
        <v/>
      </c>
      <c r="M1182" s="59" t="str">
        <f>IF(OR($I1182&lt;&gt;SottocategorieUscite[[#Headers],[Fuori Casa]],$I1182&lt;&gt;SottocategorieUscite[[#Headers],[Varie Uscite]],$I1182&lt;&gt;SottocategorieUscite[[#Headers],[Personali]],$I1182&lt;&gt;SottocategorieUscite[[#Headers],[Lavoro]],$I1182&lt;&gt;SottocategorieUscite[[#Headers],[Casa]],$I1182&lt;&gt;SottocategorieUscite[[#Headers],[Utenze]],$I1182&lt;&gt;SottocategorieUscite[[#Headers],[Business Uscite]],$I1182&lt;&gt;SottocategorieUscite[[#Headers],[Banca]]),"","$ -")</f>
        <v/>
      </c>
      <c r="N1182" s="59" t="str">
        <f>IF(OR(Data!$I1182=SottocategorieEntrate[[#Headers],[Business Entrate]],Data!$I1182=SottocategorieEntrate[[#Headers],[Varie Entrate]]),"$ -","")</f>
        <v/>
      </c>
      <c r="O1182" s="59" t="str">
        <f>IF(OR(Data!$I1182=SottocategorieEntrate[[#Headers],[Real Estate]],SottocategorieEntrate[[#Headers],[Other]]),"$ -","")</f>
        <v/>
      </c>
      <c r="P1182" s="59" t="str">
        <f>IF(OR($I1182&lt;&gt;SottocategorieEntrate[[#Headers],[Business Entrate]],$I1182&lt;&gt;SottocategorieEntrate[[#Headers],[Varie Entrate]],$I1182&lt;&gt;SottocategorieEntrate[[#Headers],[Real Estate]],$I1182&lt;&gt;SottocategorieEntrate[[#Headers],[Other]]),"","$ -")</f>
        <v/>
      </c>
      <c r="Q1182" s="59" t="str">
        <f>IF(Dati[[#This Row],[Categoria]]="Prelievo","€ -","")</f>
        <v/>
      </c>
      <c r="R1182" s="244"/>
      <c r="S1182" s="59" t="str">
        <f>IF(Dati[[#This Row],[Categoria]]="Savings",0,"")</f>
        <v/>
      </c>
      <c r="T1182" s="59"/>
      <c r="U1182" s="59"/>
      <c r="V1182" s="59"/>
      <c r="W1182" s="59"/>
      <c r="X1182" s="59"/>
      <c r="Y1182" s="59"/>
      <c r="Z1182" s="59"/>
      <c r="AA1182" s="59"/>
      <c r="AB1182" s="59"/>
      <c r="AC1182" s="59"/>
      <c r="AD1182" s="59"/>
      <c r="AE1182" s="59"/>
      <c r="AF1182" s="59"/>
      <c r="AG1182" s="59"/>
      <c r="AH1182" s="59"/>
      <c r="AI1182" s="59" t="str">
        <f>IF(SUM(Dati[[#This Row],[Inv. Business]:[Inv. Cryptocurrency]])=0," ",SUM(Dati[[#This Row],[Inv. Business]:[Inv. Cryptocurrency]]))</f>
        <v xml:space="preserve"> </v>
      </c>
      <c r="AJ1182" s="59"/>
      <c r="AK1182" s="59" t="str">
        <f>IF(SUM(Dati[[#This Row],[Inv. Gold]:[Mutuo]])=0," ",SUM(Dati[[#This Row],[Inv. Gold]:[Mutuo]]))</f>
        <v xml:space="preserve"> </v>
      </c>
      <c r="AL1182" s="59"/>
      <c r="AM1182" s="59"/>
    </row>
    <row r="1183" spans="2:39" x14ac:dyDescent="0.35">
      <c r="B1183" s="237">
        <f t="shared" ref="B1183:B1184" si="71">ROW(1160:1160)</f>
        <v>1160</v>
      </c>
      <c r="C1183" s="49">
        <f>C1179+1</f>
        <v>45791</v>
      </c>
      <c r="D1183" s="29">
        <f>DAY(Dati[[#This Row],[Data]])</f>
        <v>14</v>
      </c>
      <c r="E1183" s="29" t="str">
        <f>IF(DAY(Data!$C$21:$C$1327)&gt;0,TEXT(Data!$C$21:$C$1327, "mmmm"),"")</f>
        <v>maggio</v>
      </c>
      <c r="F1183" s="29" t="str">
        <f>IF(DAY(Data!$C$21:$C$1327)&gt;0,TEXT(Data!$C$21:$C$1327, "aaaa"),"")</f>
        <v>2025</v>
      </c>
      <c r="I1183" t="str">
        <f>IF(OR(H1183=$B$5,H1183=$B$6,H1183=$B$7,H1183=$B$8,H1183=$B$9,H1183=$B$10,H1183=$B$11,H1183=$B$12,H1183=$B$13,H1183=$B$14),SottocategorieUscite[[#Headers],[Fuori Casa]],IF(OR(H1183=$C$5,H1183=$C$6,H1183=$C$7,H1183=$C$8,H1183=$C$9,H1183=$C$10,H1183=$C$11,H1183=$C$12,H1183=$C$13,H1183=$C$14),SottocategorieUscite[[#Headers],[Varie Uscite]],IF(OR(H1183=$D$5,H1183=$D$6,H1183=$D$7,H1183=$D$8,H1183=$D$9,H1183=$D$10,H1183=$D$11,H1183=$D$12,H1183=$D$13,H1183=$D$14),SottocategorieUscite[[#Headers],[Personali]],IF(OR(H1183=$E$5,H1183=$E$6,H1183=$E$7,H1183=$E$8,H1183=$E$9,H1183=$E$10,H1183=$E$11,H1183=$E$12,H1183=$E$13,H1183=$E$14),SottocategorieUscite[[#Headers],[Lavoro]],IF(OR(H1183=$F$5,H1183=$F$6,H1183=$F$7,H1183=$F$8,H1183=$F$9,H1183=$F$10,H1183=$F$11,H1183=$F$12,H1183=$F$13,H1183=$F$14),SottocategorieUscite[[#Headers],[Casa]],IF(OR(H1183=$G$5,H1183=$G$6,H1183=$G$7,H1183=$G$8,H1183=$G$9,H1183=$G$10,H1183=$G$11,H1183=$G$12,H1183=$G$13,H1183=$G$14),SottocategorieUscite[[#Headers],[Utenze]],IF(OR(H1183=$H$5,H1183=$H$6,H1183=$H$7,H1183=$H$8,H1183=$H$9,H1183=$H$10,H1183=$H$11,H1183=$H$12,H1183=$H$13,H1183=$H$14),SottocategorieUscite[[#Headers],[Business Uscite]],IF(OR(H1183=$I$5,H1183=$I$6,H1183=$I$7,H1183=$I$8,H1183=$I$9,H1183=$I$10,H1183=$I$11,H1183=$I$12,H1183=$I$13,H1183=$I$14),SottocategorieUscite[[#Headers],[Banca]],IF(OR(H1183=K$5,H1183=K$6,H1183=K$7,H1183=K$8,H1183=K$9,H1183=K$10,H1183=K$11,H1183=K$12,H1183=K$13,H1183=K$14),SottocategorieEntrate[[#Headers],[Business Entrate]],IF(OR(H1183=L$5,H1183=L$6,H1183=L$7,H1183=L$8,H1183=L$9,H1183=L$10,H1183=L$11,H1183=L$12,H1183=L$13,H1183=L$14),SottocategorieEntrate[[#Headers],[Varie Entrate]],IF(OR(H1183=M$5,H1183=M$6,H1183=M$7,H1183=M$8,H1183=M$9,H1183=M$10,H1183=M$11,H1183=M$12,H1183=M$13,H1183=M$14),SottocategorieEntrate[[#Headers],[Real Estate]],IF(OR(H1183=N$5,H1183=N$6,H1183=N$7,H1183=N$8,H1183=N$9,H1183=N$10,H1183=N$11,H1183=N$12,H1183=N$13,H1183=N$14),SottocategorieEntrate[[#Headers],[Other]],""))))))))))))</f>
        <v/>
      </c>
      <c r="J1183" t="str">
        <f>IF(OR(Dati[[#This Row],[Categoria]]="Bollette",Dati[[#This Row],[Categoria]]="Conto &amp; Carte BNL",Dati[[#This Row],[Categoria]]="Prelievo",Dati[[#This Row],[Categoria]]="Affitto",Dati[[#This Row],[Categoria]]="BNL(Interessi Creditori)"),"Carta",IF(Dati[[#This Row],[Categoria]]&lt;&gt;0,"Cash",""))</f>
        <v/>
      </c>
      <c r="K1183" s="59" t="str">
        <f>IF(OR(Data!$I1183=SottocategorieUscite[[#Headers],[Fuori Casa]],Data!$I1183=SottocategorieUscite[[#Headers],[Varie Uscite]],Data!$I1183=SottocategorieUscite[[#Headers],[Personali]],Data!$I1183=SottocategorieUscite[[#Headers],[Lavoro]]),"$ -","")</f>
        <v/>
      </c>
      <c r="L1183" s="59" t="str">
        <f>IF(OR(Data!$I1183=SottocategorieUscite[[#Headers],[Casa]],Data!$I1183=SottocategorieUscite[[#Headers],[Utenze]],Data!$I1183=SottocategorieUscite[[#Headers],[Business Uscite]],Data!$I1183=SottocategorieUscite[[#Headers],[Banca]]),"$ -","")</f>
        <v/>
      </c>
      <c r="M1183" s="59" t="str">
        <f>IF(OR($I1183&lt;&gt;SottocategorieUscite[[#Headers],[Fuori Casa]],$I1183&lt;&gt;SottocategorieUscite[[#Headers],[Varie Uscite]],$I1183&lt;&gt;SottocategorieUscite[[#Headers],[Personali]],$I1183&lt;&gt;SottocategorieUscite[[#Headers],[Lavoro]],$I1183&lt;&gt;SottocategorieUscite[[#Headers],[Casa]],$I1183&lt;&gt;SottocategorieUscite[[#Headers],[Utenze]],$I1183&lt;&gt;SottocategorieUscite[[#Headers],[Business Uscite]],$I1183&lt;&gt;SottocategorieUscite[[#Headers],[Banca]]),"","$ -")</f>
        <v/>
      </c>
      <c r="N1183" s="59" t="str">
        <f>IF(OR(Data!$I1183=SottocategorieEntrate[[#Headers],[Business Entrate]],Data!$I1183=SottocategorieEntrate[[#Headers],[Varie Entrate]]),"$ -","")</f>
        <v/>
      </c>
      <c r="O1183" s="59" t="str">
        <f>IF(OR(Data!$I1183=SottocategorieEntrate[[#Headers],[Real Estate]],SottocategorieEntrate[[#Headers],[Other]]),"$ -","")</f>
        <v/>
      </c>
      <c r="P1183" s="59" t="str">
        <f>IF(OR($I1183&lt;&gt;SottocategorieEntrate[[#Headers],[Business Entrate]],$I1183&lt;&gt;SottocategorieEntrate[[#Headers],[Varie Entrate]],$I1183&lt;&gt;SottocategorieEntrate[[#Headers],[Real Estate]],$I1183&lt;&gt;SottocategorieEntrate[[#Headers],[Other]]),"","$ -")</f>
        <v/>
      </c>
      <c r="Q1183" s="59" t="str">
        <f>IF(Dati[[#This Row],[Categoria]]="Prelievo","€ -","")</f>
        <v/>
      </c>
      <c r="R1183" s="244"/>
      <c r="S1183" s="59" t="str">
        <f>IF(Dati[[#This Row],[Categoria]]="Savings",0,"")</f>
        <v/>
      </c>
      <c r="T1183" s="59"/>
      <c r="U1183" s="59"/>
      <c r="V1183" s="59"/>
      <c r="W1183" s="59"/>
      <c r="X1183" s="59"/>
      <c r="Y1183" s="59"/>
      <c r="Z1183" s="59"/>
      <c r="AA1183" s="59"/>
      <c r="AB1183" s="59"/>
      <c r="AC1183" s="59"/>
      <c r="AD1183" s="59"/>
      <c r="AE1183" s="59"/>
      <c r="AF1183" s="59"/>
      <c r="AG1183" s="59"/>
      <c r="AH1183" s="59"/>
      <c r="AI1183" s="59" t="str">
        <f>IF(SUM(Dati[[#This Row],[Inv. Business]:[Inv. Cryptocurrency]])=0," ",SUM(Dati[[#This Row],[Inv. Business]:[Inv. Cryptocurrency]]))</f>
        <v xml:space="preserve"> </v>
      </c>
      <c r="AJ1183" s="59"/>
      <c r="AK1183" s="59" t="str">
        <f>IF(SUM(Dati[[#This Row],[Inv. Gold]:[Mutuo]])=0," ",SUM(Dati[[#This Row],[Inv. Gold]:[Mutuo]]))</f>
        <v xml:space="preserve"> </v>
      </c>
      <c r="AL1183" s="59"/>
      <c r="AM1183" s="59"/>
    </row>
    <row r="1184" spans="2:39" x14ac:dyDescent="0.35">
      <c r="B1184" s="237">
        <f t="shared" si="71"/>
        <v>1161</v>
      </c>
      <c r="C1184" s="49">
        <f>C1180+1</f>
        <v>45792</v>
      </c>
      <c r="D1184" s="29">
        <f>DAY(Dati[[#This Row],[Data]])</f>
        <v>15</v>
      </c>
      <c r="E1184" s="29" t="str">
        <f>IF(DAY(Data!$C$21:$C$1327)&gt;0,TEXT(Data!$C$21:$C$1327, "mmmm"),"")</f>
        <v>maggio</v>
      </c>
      <c r="F1184" s="29" t="str">
        <f>IF(DAY(Data!$C$21:$C$1327)&gt;0,TEXT(Data!$C$21:$C$1327, "aaaa"),"")</f>
        <v>2025</v>
      </c>
      <c r="I1184" t="str">
        <f>IF(OR(H1184=$B$5,H1184=$B$6,H1184=$B$7,H1184=$B$8,H1184=$B$9,H1184=$B$10,H1184=$B$11,H1184=$B$12,H1184=$B$13,H1184=$B$14),SottocategorieUscite[[#Headers],[Fuori Casa]],IF(OR(H1184=$C$5,H1184=$C$6,H1184=$C$7,H1184=$C$8,H1184=$C$9,H1184=$C$10,H1184=$C$11,H1184=$C$12,H1184=$C$13,H1184=$C$14),SottocategorieUscite[[#Headers],[Varie Uscite]],IF(OR(H1184=$D$5,H1184=$D$6,H1184=$D$7,H1184=$D$8,H1184=$D$9,H1184=$D$10,H1184=$D$11,H1184=$D$12,H1184=$D$13,H1184=$D$14),SottocategorieUscite[[#Headers],[Personali]],IF(OR(H1184=$E$5,H1184=$E$6,H1184=$E$7,H1184=$E$8,H1184=$E$9,H1184=$E$10,H1184=$E$11,H1184=$E$12,H1184=$E$13,H1184=$E$14),SottocategorieUscite[[#Headers],[Lavoro]],IF(OR(H1184=$F$5,H1184=$F$6,H1184=$F$7,H1184=$F$8,H1184=$F$9,H1184=$F$10,H1184=$F$11,H1184=$F$12,H1184=$F$13,H1184=$F$14),SottocategorieUscite[[#Headers],[Casa]],IF(OR(H1184=$G$5,H1184=$G$6,H1184=$G$7,H1184=$G$8,H1184=$G$9,H1184=$G$10,H1184=$G$11,H1184=$G$12,H1184=$G$13,H1184=$G$14),SottocategorieUscite[[#Headers],[Utenze]],IF(OR(H1184=$H$5,H1184=$H$6,H1184=$H$7,H1184=$H$8,H1184=$H$9,H1184=$H$10,H1184=$H$11,H1184=$H$12,H1184=$H$13,H1184=$H$14),SottocategorieUscite[[#Headers],[Business Uscite]],IF(OR(H1184=$I$5,H1184=$I$6,H1184=$I$7,H1184=$I$8,H1184=$I$9,H1184=$I$10,H1184=$I$11,H1184=$I$12,H1184=$I$13,H1184=$I$14),SottocategorieUscite[[#Headers],[Banca]],IF(OR(H1184=K$5,H1184=K$6,H1184=K$7,H1184=K$8,H1184=K$9,H1184=K$10,H1184=K$11,H1184=K$12,H1184=K$13,H1184=K$14),SottocategorieEntrate[[#Headers],[Business Entrate]],IF(OR(H1184=L$5,H1184=L$6,H1184=L$7,H1184=L$8,H1184=L$9,H1184=L$10,H1184=L$11,H1184=L$12,H1184=L$13,H1184=L$14),SottocategorieEntrate[[#Headers],[Varie Entrate]],IF(OR(H1184=M$5,H1184=M$6,H1184=M$7,H1184=M$8,H1184=M$9,H1184=M$10,H1184=M$11,H1184=M$12,H1184=M$13,H1184=M$14),SottocategorieEntrate[[#Headers],[Real Estate]],IF(OR(H1184=N$5,H1184=N$6,H1184=N$7,H1184=N$8,H1184=N$9,H1184=N$10,H1184=N$11,H1184=N$12,H1184=N$13,H1184=N$14),SottocategorieEntrate[[#Headers],[Other]],""))))))))))))</f>
        <v/>
      </c>
      <c r="J1184" t="str">
        <f>IF(OR(Dati[[#This Row],[Categoria]]="Bollette",Dati[[#This Row],[Categoria]]="Conto &amp; Carte BNL",Dati[[#This Row],[Categoria]]="Prelievo",Dati[[#This Row],[Categoria]]="Affitto",Dati[[#This Row],[Categoria]]="BNL(Interessi Creditori)"),"Carta",IF(Dati[[#This Row],[Categoria]]&lt;&gt;0,"Cash",""))</f>
        <v/>
      </c>
      <c r="K1184" s="59" t="str">
        <f>IF(OR(Data!$I1184=SottocategorieUscite[[#Headers],[Fuori Casa]],Data!$I1184=SottocategorieUscite[[#Headers],[Varie Uscite]],Data!$I1184=SottocategorieUscite[[#Headers],[Personali]],Data!$I1184=SottocategorieUscite[[#Headers],[Lavoro]]),"$ -","")</f>
        <v/>
      </c>
      <c r="L1184" s="59" t="str">
        <f>IF(OR(Data!$I1184=SottocategorieUscite[[#Headers],[Casa]],Data!$I1184=SottocategorieUscite[[#Headers],[Utenze]],Data!$I1184=SottocategorieUscite[[#Headers],[Business Uscite]],Data!$I1184=SottocategorieUscite[[#Headers],[Banca]]),"$ -","")</f>
        <v/>
      </c>
      <c r="M1184" s="59" t="str">
        <f>IF(OR($I1184&lt;&gt;SottocategorieUscite[[#Headers],[Fuori Casa]],$I1184&lt;&gt;SottocategorieUscite[[#Headers],[Varie Uscite]],$I1184&lt;&gt;SottocategorieUscite[[#Headers],[Personali]],$I1184&lt;&gt;SottocategorieUscite[[#Headers],[Lavoro]],$I1184&lt;&gt;SottocategorieUscite[[#Headers],[Casa]],$I1184&lt;&gt;SottocategorieUscite[[#Headers],[Utenze]],$I1184&lt;&gt;SottocategorieUscite[[#Headers],[Business Uscite]],$I1184&lt;&gt;SottocategorieUscite[[#Headers],[Banca]]),"","$ -")</f>
        <v/>
      </c>
      <c r="N1184" s="59" t="str">
        <f>IF(OR(Data!$I1184=SottocategorieEntrate[[#Headers],[Business Entrate]],Data!$I1184=SottocategorieEntrate[[#Headers],[Varie Entrate]]),"$ -","")</f>
        <v/>
      </c>
      <c r="O1184" s="59" t="str">
        <f>IF(OR(Data!$I1184=SottocategorieEntrate[[#Headers],[Real Estate]],SottocategorieEntrate[[#Headers],[Other]]),"$ -","")</f>
        <v/>
      </c>
      <c r="P1184" s="59" t="str">
        <f>IF(OR($I1184&lt;&gt;SottocategorieEntrate[[#Headers],[Business Entrate]],$I1184&lt;&gt;SottocategorieEntrate[[#Headers],[Varie Entrate]],$I1184&lt;&gt;SottocategorieEntrate[[#Headers],[Real Estate]],$I1184&lt;&gt;SottocategorieEntrate[[#Headers],[Other]]),"","$ -")</f>
        <v/>
      </c>
      <c r="Q1184" s="59" t="str">
        <f>IF(Dati[[#This Row],[Categoria]]="Prelievo","€ -","")</f>
        <v/>
      </c>
      <c r="R1184" s="244"/>
      <c r="S1184" s="59" t="str">
        <f>IF(Dati[[#This Row],[Categoria]]="Savings",0,"")</f>
        <v/>
      </c>
      <c r="T1184" s="59"/>
      <c r="U1184" s="59"/>
      <c r="V1184" s="59"/>
      <c r="W1184" s="59"/>
      <c r="X1184" s="59"/>
      <c r="Y1184" s="59"/>
      <c r="Z1184" s="59"/>
      <c r="AA1184" s="59"/>
      <c r="AB1184" s="59"/>
      <c r="AC1184" s="59"/>
      <c r="AD1184" s="59"/>
      <c r="AE1184" s="59"/>
      <c r="AF1184" s="59"/>
      <c r="AG1184" s="59"/>
      <c r="AH1184" s="59"/>
      <c r="AI1184" s="59" t="str">
        <f>IF(SUM(Dati[[#This Row],[Inv. Business]:[Inv. Cryptocurrency]])=0," ",SUM(Dati[[#This Row],[Inv. Business]:[Inv. Cryptocurrency]]))</f>
        <v xml:space="preserve"> </v>
      </c>
      <c r="AJ1184" s="59"/>
      <c r="AK1184" s="59" t="str">
        <f>IF(SUM(Dati[[#This Row],[Inv. Gold]:[Mutuo]])=0," ",SUM(Dati[[#This Row],[Inv. Gold]:[Mutuo]]))</f>
        <v xml:space="preserve"> </v>
      </c>
      <c r="AL1184" s="59"/>
      <c r="AM1184" s="59"/>
    </row>
    <row r="1185" spans="2:39" x14ac:dyDescent="0.35">
      <c r="B1185" s="237">
        <f>ROW(1161:1161)</f>
        <v>1161</v>
      </c>
      <c r="C1185" s="49">
        <f t="shared" ref="C1185:C1186" si="72">C1183+1</f>
        <v>45792</v>
      </c>
      <c r="D1185" s="29">
        <f>DAY(Dati[[#This Row],[Data]])</f>
        <v>15</v>
      </c>
      <c r="E1185" s="29" t="str">
        <f>IF(DAY(Data!$C$21:$C$1327)&gt;0,TEXT(Data!$C$21:$C$1327, "mmmm"),"")</f>
        <v>maggio</v>
      </c>
      <c r="F1185" s="29" t="str">
        <f>IF(DAY(Data!$C$21:$C$1327)&gt;0,TEXT(Data!$C$21:$C$1327, "aaaa"),"")</f>
        <v>2025</v>
      </c>
      <c r="I1185" t="str">
        <f>IF(OR(H1185=$B$5,H1185=$B$6,H1185=$B$7,H1185=$B$8,H1185=$B$9,H1185=$B$10,H1185=$B$11,H1185=$B$12,H1185=$B$13,H1185=$B$14),SottocategorieUscite[[#Headers],[Fuori Casa]],IF(OR(H1185=$C$5,H1185=$C$6,H1185=$C$7,H1185=$C$8,H1185=$C$9,H1185=$C$10,H1185=$C$11,H1185=$C$12,H1185=$C$13,H1185=$C$14),SottocategorieUscite[[#Headers],[Varie Uscite]],IF(OR(H1185=$D$5,H1185=$D$6,H1185=$D$7,H1185=$D$8,H1185=$D$9,H1185=$D$10,H1185=$D$11,H1185=$D$12,H1185=$D$13,H1185=$D$14),SottocategorieUscite[[#Headers],[Personali]],IF(OR(H1185=$E$5,H1185=$E$6,H1185=$E$7,H1185=$E$8,H1185=$E$9,H1185=$E$10,H1185=$E$11,H1185=$E$12,H1185=$E$13,H1185=$E$14),SottocategorieUscite[[#Headers],[Lavoro]],IF(OR(H1185=$F$5,H1185=$F$6,H1185=$F$7,H1185=$F$8,H1185=$F$9,H1185=$F$10,H1185=$F$11,H1185=$F$12,H1185=$F$13,H1185=$F$14),SottocategorieUscite[[#Headers],[Casa]],IF(OR(H1185=$G$5,H1185=$G$6,H1185=$G$7,H1185=$G$8,H1185=$G$9,H1185=$G$10,H1185=$G$11,H1185=$G$12,H1185=$G$13,H1185=$G$14),SottocategorieUscite[[#Headers],[Utenze]],IF(OR(H1185=$H$5,H1185=$H$6,H1185=$H$7,H1185=$H$8,H1185=$H$9,H1185=$H$10,H1185=$H$11,H1185=$H$12,H1185=$H$13,H1185=$H$14),SottocategorieUscite[[#Headers],[Business Uscite]],IF(OR(H1185=$I$5,H1185=$I$6,H1185=$I$7,H1185=$I$8,H1185=$I$9,H1185=$I$10,H1185=$I$11,H1185=$I$12,H1185=$I$13,H1185=$I$14),SottocategorieUscite[[#Headers],[Banca]],IF(OR(H1185=K$5,H1185=K$6,H1185=K$7,H1185=K$8,H1185=K$9,H1185=K$10,H1185=K$11,H1185=K$12,H1185=K$13,H1185=K$14),SottocategorieEntrate[[#Headers],[Business Entrate]],IF(OR(H1185=L$5,H1185=L$6,H1185=L$7,H1185=L$8,H1185=L$9,H1185=L$10,H1185=L$11,H1185=L$12,H1185=L$13,H1185=L$14),SottocategorieEntrate[[#Headers],[Varie Entrate]],IF(OR(H1185=M$5,H1185=M$6,H1185=M$7,H1185=M$8,H1185=M$9,H1185=M$10,H1185=M$11,H1185=M$12,H1185=M$13,H1185=M$14),SottocategorieEntrate[[#Headers],[Real Estate]],IF(OR(H1185=N$5,H1185=N$6,H1185=N$7,H1185=N$8,H1185=N$9,H1185=N$10,H1185=N$11,H1185=N$12,H1185=N$13,H1185=N$14),SottocategorieEntrate[[#Headers],[Other]],""))))))))))))</f>
        <v/>
      </c>
      <c r="J1185" t="str">
        <f>IF(OR(Dati[[#This Row],[Categoria]]="Bollette",Dati[[#This Row],[Categoria]]="Conto &amp; Carte BNL",Dati[[#This Row],[Categoria]]="Prelievo",Dati[[#This Row],[Categoria]]="Affitto",Dati[[#This Row],[Categoria]]="BNL(Interessi Creditori)"),"Carta",IF(Dati[[#This Row],[Categoria]]&lt;&gt;0,"Cash",""))</f>
        <v/>
      </c>
      <c r="K1185" s="59" t="str">
        <f>IF(OR(Data!$I1185=SottocategorieUscite[[#Headers],[Fuori Casa]],Data!$I1185=SottocategorieUscite[[#Headers],[Varie Uscite]],Data!$I1185=SottocategorieUscite[[#Headers],[Personali]],Data!$I1185=SottocategorieUscite[[#Headers],[Lavoro]]),"$ -","")</f>
        <v/>
      </c>
      <c r="L1185" s="59" t="str">
        <f>IF(OR(Data!$I1185=SottocategorieUscite[[#Headers],[Casa]],Data!$I1185=SottocategorieUscite[[#Headers],[Utenze]],Data!$I1185=SottocategorieUscite[[#Headers],[Business Uscite]],Data!$I1185=SottocategorieUscite[[#Headers],[Banca]]),"$ -","")</f>
        <v/>
      </c>
      <c r="M1185" s="59" t="str">
        <f>IF(OR($I1185&lt;&gt;SottocategorieUscite[[#Headers],[Fuori Casa]],$I1185&lt;&gt;SottocategorieUscite[[#Headers],[Varie Uscite]],$I1185&lt;&gt;SottocategorieUscite[[#Headers],[Personali]],$I1185&lt;&gt;SottocategorieUscite[[#Headers],[Lavoro]],$I1185&lt;&gt;SottocategorieUscite[[#Headers],[Casa]],$I1185&lt;&gt;SottocategorieUscite[[#Headers],[Utenze]],$I1185&lt;&gt;SottocategorieUscite[[#Headers],[Business Uscite]],$I1185&lt;&gt;SottocategorieUscite[[#Headers],[Banca]]),"","$ -")</f>
        <v/>
      </c>
      <c r="N1185" s="59" t="str">
        <f>IF(OR(Data!$I1185=SottocategorieEntrate[[#Headers],[Business Entrate]],Data!$I1185=SottocategorieEntrate[[#Headers],[Varie Entrate]]),"$ -","")</f>
        <v/>
      </c>
      <c r="O1185" s="59" t="str">
        <f>IF(OR(Data!$I1185=SottocategorieEntrate[[#Headers],[Real Estate]],SottocategorieEntrate[[#Headers],[Other]]),"$ -","")</f>
        <v/>
      </c>
      <c r="P1185" s="59" t="str">
        <f>IF(OR($I1185&lt;&gt;SottocategorieEntrate[[#Headers],[Business Entrate]],$I1185&lt;&gt;SottocategorieEntrate[[#Headers],[Varie Entrate]],$I1185&lt;&gt;SottocategorieEntrate[[#Headers],[Real Estate]],$I1185&lt;&gt;SottocategorieEntrate[[#Headers],[Other]]),"","$ -")</f>
        <v/>
      </c>
      <c r="Q1185" s="59" t="str">
        <f>IF(Dati[[#This Row],[Categoria]]="Prelievo","€ -","")</f>
        <v/>
      </c>
      <c r="R1185" s="244"/>
      <c r="S1185" s="59" t="str">
        <f>IF(Dati[[#This Row],[Categoria]]="Savings",0,"")</f>
        <v/>
      </c>
      <c r="T1185" s="59"/>
      <c r="U1185" s="59"/>
      <c r="V1185" s="59"/>
      <c r="W1185" s="59"/>
      <c r="X1185" s="59"/>
      <c r="Y1185" s="59"/>
      <c r="Z1185" s="59"/>
      <c r="AA1185" s="59"/>
      <c r="AB1185" s="59"/>
      <c r="AC1185" s="59"/>
      <c r="AD1185" s="59"/>
      <c r="AE1185" s="59"/>
      <c r="AF1185" s="59"/>
      <c r="AG1185" s="59"/>
      <c r="AH1185" s="59"/>
      <c r="AI1185" s="59" t="str">
        <f>IF(SUM(Dati[[#This Row],[Inv. Business]:[Inv. Cryptocurrency]])=0," ",SUM(Dati[[#This Row],[Inv. Business]:[Inv. Cryptocurrency]]))</f>
        <v xml:space="preserve"> </v>
      </c>
      <c r="AJ1185" s="59"/>
      <c r="AK1185" s="59" t="str">
        <f>IF(SUM(Dati[[#This Row],[Inv. Gold]:[Mutuo]])=0," ",SUM(Dati[[#This Row],[Inv. Gold]:[Mutuo]]))</f>
        <v xml:space="preserve"> </v>
      </c>
      <c r="AL1185" s="59"/>
      <c r="AM1185" s="59"/>
    </row>
    <row r="1186" spans="2:39" x14ac:dyDescent="0.35">
      <c r="B1186" s="237">
        <f>ROW(1162:1162)</f>
        <v>1162</v>
      </c>
      <c r="C1186" s="49">
        <f t="shared" si="72"/>
        <v>45793</v>
      </c>
      <c r="D1186" s="29">
        <f>DAY(Dati[[#This Row],[Data]])</f>
        <v>16</v>
      </c>
      <c r="E1186" s="29" t="str">
        <f>IF(DAY(Data!$C$21:$C$1327)&gt;0,TEXT(Data!$C$21:$C$1327, "mmmm"),"")</f>
        <v>maggio</v>
      </c>
      <c r="F1186" s="29" t="str">
        <f>IF(DAY(Data!$C$21:$C$1327)&gt;0,TEXT(Data!$C$21:$C$1327, "aaaa"),"")</f>
        <v>2025</v>
      </c>
      <c r="I1186" t="str">
        <f>IF(OR(H1186=$B$5,H1186=$B$6,H1186=$B$7,H1186=$B$8,H1186=$B$9,H1186=$B$10,H1186=$B$11,H1186=$B$12,H1186=$B$13,H1186=$B$14),SottocategorieUscite[[#Headers],[Fuori Casa]],IF(OR(H1186=$C$5,H1186=$C$6,H1186=$C$7,H1186=$C$8,H1186=$C$9,H1186=$C$10,H1186=$C$11,H1186=$C$12,H1186=$C$13,H1186=$C$14),SottocategorieUscite[[#Headers],[Varie Uscite]],IF(OR(H1186=$D$5,H1186=$D$6,H1186=$D$7,H1186=$D$8,H1186=$D$9,H1186=$D$10,H1186=$D$11,H1186=$D$12,H1186=$D$13,H1186=$D$14),SottocategorieUscite[[#Headers],[Personali]],IF(OR(H1186=$E$5,H1186=$E$6,H1186=$E$7,H1186=$E$8,H1186=$E$9,H1186=$E$10,H1186=$E$11,H1186=$E$12,H1186=$E$13,H1186=$E$14),SottocategorieUscite[[#Headers],[Lavoro]],IF(OR(H1186=$F$5,H1186=$F$6,H1186=$F$7,H1186=$F$8,H1186=$F$9,H1186=$F$10,H1186=$F$11,H1186=$F$12,H1186=$F$13,H1186=$F$14),SottocategorieUscite[[#Headers],[Casa]],IF(OR(H1186=$G$5,H1186=$G$6,H1186=$G$7,H1186=$G$8,H1186=$G$9,H1186=$G$10,H1186=$G$11,H1186=$G$12,H1186=$G$13,H1186=$G$14),SottocategorieUscite[[#Headers],[Utenze]],IF(OR(H1186=$H$5,H1186=$H$6,H1186=$H$7,H1186=$H$8,H1186=$H$9,H1186=$H$10,H1186=$H$11,H1186=$H$12,H1186=$H$13,H1186=$H$14),SottocategorieUscite[[#Headers],[Business Uscite]],IF(OR(H1186=$I$5,H1186=$I$6,H1186=$I$7,H1186=$I$8,H1186=$I$9,H1186=$I$10,H1186=$I$11,H1186=$I$12,H1186=$I$13,H1186=$I$14),SottocategorieUscite[[#Headers],[Banca]],IF(OR(H1186=K$5,H1186=K$6,H1186=K$7,H1186=K$8,H1186=K$9,H1186=K$10,H1186=K$11,H1186=K$12,H1186=K$13,H1186=K$14),SottocategorieEntrate[[#Headers],[Business Entrate]],IF(OR(H1186=L$5,H1186=L$6,H1186=L$7,H1186=L$8,H1186=L$9,H1186=L$10,H1186=L$11,H1186=L$12,H1186=L$13,H1186=L$14),SottocategorieEntrate[[#Headers],[Varie Entrate]],IF(OR(H1186=M$5,H1186=M$6,H1186=M$7,H1186=M$8,H1186=M$9,H1186=M$10,H1186=M$11,H1186=M$12,H1186=M$13,H1186=M$14),SottocategorieEntrate[[#Headers],[Real Estate]],IF(OR(H1186=N$5,H1186=N$6,H1186=N$7,H1186=N$8,H1186=N$9,H1186=N$10,H1186=N$11,H1186=N$12,H1186=N$13,H1186=N$14),SottocategorieEntrate[[#Headers],[Other]],""))))))))))))</f>
        <v/>
      </c>
      <c r="J1186" t="str">
        <f>IF(OR(Dati[[#This Row],[Categoria]]="Bollette",Dati[[#This Row],[Categoria]]="Conto &amp; Carte BNL",Dati[[#This Row],[Categoria]]="Prelievo",Dati[[#This Row],[Categoria]]="Affitto",Dati[[#This Row],[Categoria]]="BNL(Interessi Creditori)"),"Carta",IF(Dati[[#This Row],[Categoria]]&lt;&gt;0,"Cash",""))</f>
        <v/>
      </c>
      <c r="K1186" s="59" t="str">
        <f>IF(OR(Data!$I1186=SottocategorieUscite[[#Headers],[Fuori Casa]],Data!$I1186=SottocategorieUscite[[#Headers],[Varie Uscite]],Data!$I1186=SottocategorieUscite[[#Headers],[Personali]],Data!$I1186=SottocategorieUscite[[#Headers],[Lavoro]]),"$ -","")</f>
        <v/>
      </c>
      <c r="L1186" s="59" t="str">
        <f>IF(OR(Data!$I1186=SottocategorieUscite[[#Headers],[Casa]],Data!$I1186=SottocategorieUscite[[#Headers],[Utenze]],Data!$I1186=SottocategorieUscite[[#Headers],[Business Uscite]],Data!$I1186=SottocategorieUscite[[#Headers],[Banca]]),"$ -","")</f>
        <v/>
      </c>
      <c r="M1186" s="59" t="str">
        <f>IF(OR($I1186&lt;&gt;SottocategorieUscite[[#Headers],[Fuori Casa]],$I1186&lt;&gt;SottocategorieUscite[[#Headers],[Varie Uscite]],$I1186&lt;&gt;SottocategorieUscite[[#Headers],[Personali]],$I1186&lt;&gt;SottocategorieUscite[[#Headers],[Lavoro]],$I1186&lt;&gt;SottocategorieUscite[[#Headers],[Casa]],$I1186&lt;&gt;SottocategorieUscite[[#Headers],[Utenze]],$I1186&lt;&gt;SottocategorieUscite[[#Headers],[Business Uscite]],$I1186&lt;&gt;SottocategorieUscite[[#Headers],[Banca]]),"","$ -")</f>
        <v/>
      </c>
      <c r="N1186" s="59" t="str">
        <f>IF(OR(Data!$I1186=SottocategorieEntrate[[#Headers],[Business Entrate]],Data!$I1186=SottocategorieEntrate[[#Headers],[Varie Entrate]]),"$ -","")</f>
        <v/>
      </c>
      <c r="O1186" s="59" t="str">
        <f>IF(OR(Data!$I1186=SottocategorieEntrate[[#Headers],[Real Estate]],SottocategorieEntrate[[#Headers],[Other]]),"$ -","")</f>
        <v/>
      </c>
      <c r="P1186" s="59" t="str">
        <f>IF(OR($I1186&lt;&gt;SottocategorieEntrate[[#Headers],[Business Entrate]],$I1186&lt;&gt;SottocategorieEntrate[[#Headers],[Varie Entrate]],$I1186&lt;&gt;SottocategorieEntrate[[#Headers],[Real Estate]],$I1186&lt;&gt;SottocategorieEntrate[[#Headers],[Other]]),"","$ -")</f>
        <v/>
      </c>
      <c r="Q1186" s="59" t="str">
        <f>IF(Dati[[#This Row],[Categoria]]="Prelievo","€ -","")</f>
        <v/>
      </c>
      <c r="R1186" s="244"/>
      <c r="S1186" s="59" t="str">
        <f>IF(Dati[[#This Row],[Categoria]]="Savings",0,"")</f>
        <v/>
      </c>
      <c r="T1186" s="59"/>
      <c r="U1186" s="59"/>
      <c r="V1186" s="59"/>
      <c r="W1186" s="59"/>
      <c r="X1186" s="59"/>
      <c r="Y1186" s="59"/>
      <c r="Z1186" s="59"/>
      <c r="AA1186" s="59"/>
      <c r="AB1186" s="59"/>
      <c r="AC1186" s="59"/>
      <c r="AD1186" s="59"/>
      <c r="AE1186" s="59"/>
      <c r="AF1186" s="59"/>
      <c r="AG1186" s="59"/>
      <c r="AH1186" s="59"/>
      <c r="AI1186" s="59" t="str">
        <f>IF(SUM(Dati[[#This Row],[Inv. Business]:[Inv. Cryptocurrency]])=0," ",SUM(Dati[[#This Row],[Inv. Business]:[Inv. Cryptocurrency]]))</f>
        <v xml:space="preserve"> </v>
      </c>
      <c r="AJ1186" s="59"/>
      <c r="AK1186" s="59" t="str">
        <f>IF(SUM(Dati[[#This Row],[Inv. Gold]:[Mutuo]])=0," ",SUM(Dati[[#This Row],[Inv. Gold]:[Mutuo]]))</f>
        <v xml:space="preserve"> </v>
      </c>
      <c r="AL1186" s="59"/>
      <c r="AM1186" s="59"/>
    </row>
    <row r="1187" spans="2:39" x14ac:dyDescent="0.35">
      <c r="B1187" s="237">
        <f t="shared" ref="B1187:B1188" si="73">ROW(1162:1162)</f>
        <v>1162</v>
      </c>
      <c r="C1187" s="49">
        <f t="shared" ref="C1187:C1188" si="74">C1185+1</f>
        <v>45793</v>
      </c>
      <c r="D1187" s="29">
        <f>DAY(Dati[[#This Row],[Data]])</f>
        <v>16</v>
      </c>
      <c r="E1187" s="29" t="str">
        <f>IF(DAY(Data!$C$21:$C$1327)&gt;0,TEXT(Data!$C$21:$C$1327, "mmmm"),"")</f>
        <v>maggio</v>
      </c>
      <c r="F1187" s="29" t="str">
        <f>IF(DAY(Data!$C$21:$C$1327)&gt;0,TEXT(Data!$C$21:$C$1327, "aaaa"),"")</f>
        <v>2025</v>
      </c>
      <c r="I1187" t="str">
        <f>IF(OR(H1187=$B$5,H1187=$B$6,H1187=$B$7,H1187=$B$8,H1187=$B$9,H1187=$B$10,H1187=$B$11,H1187=$B$12,H1187=$B$13,H1187=$B$14),SottocategorieUscite[[#Headers],[Fuori Casa]],IF(OR(H1187=$C$5,H1187=$C$6,H1187=$C$7,H1187=$C$8,H1187=$C$9,H1187=$C$10,H1187=$C$11,H1187=$C$12,H1187=$C$13,H1187=$C$14),SottocategorieUscite[[#Headers],[Varie Uscite]],IF(OR(H1187=$D$5,H1187=$D$6,H1187=$D$7,H1187=$D$8,H1187=$D$9,H1187=$D$10,H1187=$D$11,H1187=$D$12,H1187=$D$13,H1187=$D$14),SottocategorieUscite[[#Headers],[Personali]],IF(OR(H1187=$E$5,H1187=$E$6,H1187=$E$7,H1187=$E$8,H1187=$E$9,H1187=$E$10,H1187=$E$11,H1187=$E$12,H1187=$E$13,H1187=$E$14),SottocategorieUscite[[#Headers],[Lavoro]],IF(OR(H1187=$F$5,H1187=$F$6,H1187=$F$7,H1187=$F$8,H1187=$F$9,H1187=$F$10,H1187=$F$11,H1187=$F$12,H1187=$F$13,H1187=$F$14),SottocategorieUscite[[#Headers],[Casa]],IF(OR(H1187=$G$5,H1187=$G$6,H1187=$G$7,H1187=$G$8,H1187=$G$9,H1187=$G$10,H1187=$G$11,H1187=$G$12,H1187=$G$13,H1187=$G$14),SottocategorieUscite[[#Headers],[Utenze]],IF(OR(H1187=$H$5,H1187=$H$6,H1187=$H$7,H1187=$H$8,H1187=$H$9,H1187=$H$10,H1187=$H$11,H1187=$H$12,H1187=$H$13,H1187=$H$14),SottocategorieUscite[[#Headers],[Business Uscite]],IF(OR(H1187=$I$5,H1187=$I$6,H1187=$I$7,H1187=$I$8,H1187=$I$9,H1187=$I$10,H1187=$I$11,H1187=$I$12,H1187=$I$13,H1187=$I$14),SottocategorieUscite[[#Headers],[Banca]],IF(OR(H1187=K$5,H1187=K$6,H1187=K$7,H1187=K$8,H1187=K$9,H1187=K$10,H1187=K$11,H1187=K$12,H1187=K$13,H1187=K$14),SottocategorieEntrate[[#Headers],[Business Entrate]],IF(OR(H1187=L$5,H1187=L$6,H1187=L$7,H1187=L$8,H1187=L$9,H1187=L$10,H1187=L$11,H1187=L$12,H1187=L$13,H1187=L$14),SottocategorieEntrate[[#Headers],[Varie Entrate]],IF(OR(H1187=M$5,H1187=M$6,H1187=M$7,H1187=M$8,H1187=M$9,H1187=M$10,H1187=M$11,H1187=M$12,H1187=M$13,H1187=M$14),SottocategorieEntrate[[#Headers],[Real Estate]],IF(OR(H1187=N$5,H1187=N$6,H1187=N$7,H1187=N$8,H1187=N$9,H1187=N$10,H1187=N$11,H1187=N$12,H1187=N$13,H1187=N$14),SottocategorieEntrate[[#Headers],[Other]],""))))))))))))</f>
        <v/>
      </c>
      <c r="J1187" t="str">
        <f>IF(OR(Dati[[#This Row],[Categoria]]="Bollette",Dati[[#This Row],[Categoria]]="Conto &amp; Carte BNL",Dati[[#This Row],[Categoria]]="Prelievo",Dati[[#This Row],[Categoria]]="Affitto",Dati[[#This Row],[Categoria]]="BNL(Interessi Creditori)"),"Carta",IF(Dati[[#This Row],[Categoria]]&lt;&gt;0,"Cash",""))</f>
        <v/>
      </c>
      <c r="K1187" s="59" t="str">
        <f>IF(OR(Data!$I1187=SottocategorieUscite[[#Headers],[Fuori Casa]],Data!$I1187=SottocategorieUscite[[#Headers],[Varie Uscite]],Data!$I1187=SottocategorieUscite[[#Headers],[Personali]],Data!$I1187=SottocategorieUscite[[#Headers],[Lavoro]]),"$ -","")</f>
        <v/>
      </c>
      <c r="L1187" s="59" t="str">
        <f>IF(OR(Data!$I1187=SottocategorieUscite[[#Headers],[Casa]],Data!$I1187=SottocategorieUscite[[#Headers],[Utenze]],Data!$I1187=SottocategorieUscite[[#Headers],[Business Uscite]],Data!$I1187=SottocategorieUscite[[#Headers],[Banca]]),"$ -","")</f>
        <v/>
      </c>
      <c r="M1187" s="59" t="str">
        <f>IF(OR($I1187&lt;&gt;SottocategorieUscite[[#Headers],[Fuori Casa]],$I1187&lt;&gt;SottocategorieUscite[[#Headers],[Varie Uscite]],$I1187&lt;&gt;SottocategorieUscite[[#Headers],[Personali]],$I1187&lt;&gt;SottocategorieUscite[[#Headers],[Lavoro]],$I1187&lt;&gt;SottocategorieUscite[[#Headers],[Casa]],$I1187&lt;&gt;SottocategorieUscite[[#Headers],[Utenze]],$I1187&lt;&gt;SottocategorieUscite[[#Headers],[Business Uscite]],$I1187&lt;&gt;SottocategorieUscite[[#Headers],[Banca]]),"","$ -")</f>
        <v/>
      </c>
      <c r="N1187" s="59" t="str">
        <f>IF(OR(Data!$I1187=SottocategorieEntrate[[#Headers],[Business Entrate]],Data!$I1187=SottocategorieEntrate[[#Headers],[Varie Entrate]]),"$ -","")</f>
        <v/>
      </c>
      <c r="O1187" s="59" t="str">
        <f>IF(OR(Data!$I1187=SottocategorieEntrate[[#Headers],[Real Estate]],SottocategorieEntrate[[#Headers],[Other]]),"$ -","")</f>
        <v/>
      </c>
      <c r="P1187" s="59" t="str">
        <f>IF(OR($I1187&lt;&gt;SottocategorieEntrate[[#Headers],[Business Entrate]],$I1187&lt;&gt;SottocategorieEntrate[[#Headers],[Varie Entrate]],$I1187&lt;&gt;SottocategorieEntrate[[#Headers],[Real Estate]],$I1187&lt;&gt;SottocategorieEntrate[[#Headers],[Other]]),"","$ -")</f>
        <v/>
      </c>
      <c r="Q1187" s="59" t="str">
        <f>IF(Dati[[#This Row],[Categoria]]="Prelievo","€ -","")</f>
        <v/>
      </c>
      <c r="R1187" s="244"/>
      <c r="S1187" s="59" t="str">
        <f>IF(Dati[[#This Row],[Categoria]]="Savings",0,"")</f>
        <v/>
      </c>
      <c r="T1187" s="59"/>
      <c r="U1187" s="59"/>
      <c r="V1187" s="59"/>
      <c r="W1187" s="59"/>
      <c r="X1187" s="59"/>
      <c r="Y1187" s="59"/>
      <c r="Z1187" s="59"/>
      <c r="AA1187" s="59"/>
      <c r="AB1187" s="59"/>
      <c r="AC1187" s="59"/>
      <c r="AD1187" s="59"/>
      <c r="AE1187" s="59"/>
      <c r="AF1187" s="59"/>
      <c r="AG1187" s="59"/>
      <c r="AH1187" s="59"/>
      <c r="AI1187" s="59" t="str">
        <f>IF(SUM(Dati[[#This Row],[Inv. Business]:[Inv. Cryptocurrency]])=0," ",SUM(Dati[[#This Row],[Inv. Business]:[Inv. Cryptocurrency]]))</f>
        <v xml:space="preserve"> </v>
      </c>
      <c r="AJ1187" s="59"/>
      <c r="AK1187" s="59" t="str">
        <f>IF(SUM(Dati[[#This Row],[Inv. Gold]:[Mutuo]])=0," ",SUM(Dati[[#This Row],[Inv. Gold]:[Mutuo]]))</f>
        <v xml:space="preserve"> </v>
      </c>
      <c r="AL1187" s="59"/>
      <c r="AM1187" s="59"/>
    </row>
    <row r="1188" spans="2:39" x14ac:dyDescent="0.35">
      <c r="B1188" s="237">
        <f t="shared" si="73"/>
        <v>1163</v>
      </c>
      <c r="C1188" s="49">
        <f t="shared" si="74"/>
        <v>45794</v>
      </c>
      <c r="D1188" s="29">
        <f>DAY(Dati[[#This Row],[Data]])</f>
        <v>17</v>
      </c>
      <c r="E1188" s="29" t="str">
        <f>IF(DAY(Data!$C$21:$C$1327)&gt;0,TEXT(Data!$C$21:$C$1327, "mmmm"),"")</f>
        <v>maggio</v>
      </c>
      <c r="F1188" s="29" t="str">
        <f>IF(DAY(Data!$C$21:$C$1327)&gt;0,TEXT(Data!$C$21:$C$1327, "aaaa"),"")</f>
        <v>2025</v>
      </c>
      <c r="I1188" t="str">
        <f>IF(OR(H1188=$B$5,H1188=$B$6,H1188=$B$7,H1188=$B$8,H1188=$B$9,H1188=$B$10,H1188=$B$11,H1188=$B$12,H1188=$B$13,H1188=$B$14),SottocategorieUscite[[#Headers],[Fuori Casa]],IF(OR(H1188=$C$5,H1188=$C$6,H1188=$C$7,H1188=$C$8,H1188=$C$9,H1188=$C$10,H1188=$C$11,H1188=$C$12,H1188=$C$13,H1188=$C$14),SottocategorieUscite[[#Headers],[Varie Uscite]],IF(OR(H1188=$D$5,H1188=$D$6,H1188=$D$7,H1188=$D$8,H1188=$D$9,H1188=$D$10,H1188=$D$11,H1188=$D$12,H1188=$D$13,H1188=$D$14),SottocategorieUscite[[#Headers],[Personali]],IF(OR(H1188=$E$5,H1188=$E$6,H1188=$E$7,H1188=$E$8,H1188=$E$9,H1188=$E$10,H1188=$E$11,H1188=$E$12,H1188=$E$13,H1188=$E$14),SottocategorieUscite[[#Headers],[Lavoro]],IF(OR(H1188=$F$5,H1188=$F$6,H1188=$F$7,H1188=$F$8,H1188=$F$9,H1188=$F$10,H1188=$F$11,H1188=$F$12,H1188=$F$13,H1188=$F$14),SottocategorieUscite[[#Headers],[Casa]],IF(OR(H1188=$G$5,H1188=$G$6,H1188=$G$7,H1188=$G$8,H1188=$G$9,H1188=$G$10,H1188=$G$11,H1188=$G$12,H1188=$G$13,H1188=$G$14),SottocategorieUscite[[#Headers],[Utenze]],IF(OR(H1188=$H$5,H1188=$H$6,H1188=$H$7,H1188=$H$8,H1188=$H$9,H1188=$H$10,H1188=$H$11,H1188=$H$12,H1188=$H$13,H1188=$H$14),SottocategorieUscite[[#Headers],[Business Uscite]],IF(OR(H1188=$I$5,H1188=$I$6,H1188=$I$7,H1188=$I$8,H1188=$I$9,H1188=$I$10,H1188=$I$11,H1188=$I$12,H1188=$I$13,H1188=$I$14),SottocategorieUscite[[#Headers],[Banca]],IF(OR(H1188=K$5,H1188=K$6,H1188=K$7,H1188=K$8,H1188=K$9,H1188=K$10,H1188=K$11,H1188=K$12,H1188=K$13,H1188=K$14),SottocategorieEntrate[[#Headers],[Business Entrate]],IF(OR(H1188=L$5,H1188=L$6,H1188=L$7,H1188=L$8,H1188=L$9,H1188=L$10,H1188=L$11,H1188=L$12,H1188=L$13,H1188=L$14),SottocategorieEntrate[[#Headers],[Varie Entrate]],IF(OR(H1188=M$5,H1188=M$6,H1188=M$7,H1188=M$8,H1188=M$9,H1188=M$10,H1188=M$11,H1188=M$12,H1188=M$13,H1188=M$14),SottocategorieEntrate[[#Headers],[Real Estate]],IF(OR(H1188=N$5,H1188=N$6,H1188=N$7,H1188=N$8,H1188=N$9,H1188=N$10,H1188=N$11,H1188=N$12,H1188=N$13,H1188=N$14),SottocategorieEntrate[[#Headers],[Other]],""))))))))))))</f>
        <v/>
      </c>
      <c r="J1188" t="str">
        <f>IF(OR(Dati[[#This Row],[Categoria]]="Bollette",Dati[[#This Row],[Categoria]]="Conto &amp; Carte BNL",Dati[[#This Row],[Categoria]]="Prelievo",Dati[[#This Row],[Categoria]]="Affitto",Dati[[#This Row],[Categoria]]="BNL(Interessi Creditori)"),"Carta",IF(Dati[[#This Row],[Categoria]]&lt;&gt;0,"Cash",""))</f>
        <v/>
      </c>
      <c r="K1188" s="59" t="str">
        <f>IF(OR(Data!$I1188=SottocategorieUscite[[#Headers],[Fuori Casa]],Data!$I1188=SottocategorieUscite[[#Headers],[Varie Uscite]],Data!$I1188=SottocategorieUscite[[#Headers],[Personali]],Data!$I1188=SottocategorieUscite[[#Headers],[Lavoro]]),"$ -","")</f>
        <v/>
      </c>
      <c r="L1188" s="59" t="str">
        <f>IF(OR(Data!$I1188=SottocategorieUscite[[#Headers],[Casa]],Data!$I1188=SottocategorieUscite[[#Headers],[Utenze]],Data!$I1188=SottocategorieUscite[[#Headers],[Business Uscite]],Data!$I1188=SottocategorieUscite[[#Headers],[Banca]]),"$ -","")</f>
        <v/>
      </c>
      <c r="M1188" s="59" t="str">
        <f>IF(OR($I1188&lt;&gt;SottocategorieUscite[[#Headers],[Fuori Casa]],$I1188&lt;&gt;SottocategorieUscite[[#Headers],[Varie Uscite]],$I1188&lt;&gt;SottocategorieUscite[[#Headers],[Personali]],$I1188&lt;&gt;SottocategorieUscite[[#Headers],[Lavoro]],$I1188&lt;&gt;SottocategorieUscite[[#Headers],[Casa]],$I1188&lt;&gt;SottocategorieUscite[[#Headers],[Utenze]],$I1188&lt;&gt;SottocategorieUscite[[#Headers],[Business Uscite]],$I1188&lt;&gt;SottocategorieUscite[[#Headers],[Banca]]),"","$ -")</f>
        <v/>
      </c>
      <c r="N1188" s="59" t="str">
        <f>IF(OR(Data!$I1188=SottocategorieEntrate[[#Headers],[Business Entrate]],Data!$I1188=SottocategorieEntrate[[#Headers],[Varie Entrate]]),"$ -","")</f>
        <v/>
      </c>
      <c r="O1188" s="59" t="str">
        <f>IF(OR(Data!$I1188=SottocategorieEntrate[[#Headers],[Real Estate]],SottocategorieEntrate[[#Headers],[Other]]),"$ -","")</f>
        <v/>
      </c>
      <c r="P1188" s="59" t="str">
        <f>IF(OR($I1188&lt;&gt;SottocategorieEntrate[[#Headers],[Business Entrate]],$I1188&lt;&gt;SottocategorieEntrate[[#Headers],[Varie Entrate]],$I1188&lt;&gt;SottocategorieEntrate[[#Headers],[Real Estate]],$I1188&lt;&gt;SottocategorieEntrate[[#Headers],[Other]]),"","$ -")</f>
        <v/>
      </c>
      <c r="Q1188" s="59" t="str">
        <f>IF(Dati[[#This Row],[Categoria]]="Prelievo","€ -","")</f>
        <v/>
      </c>
      <c r="R1188" s="244"/>
      <c r="S1188" s="59" t="str">
        <f>IF(Dati[[#This Row],[Categoria]]="Savings",0,"")</f>
        <v/>
      </c>
      <c r="T1188" s="59"/>
      <c r="U1188" s="59"/>
      <c r="V1188" s="59"/>
      <c r="W1188" s="59"/>
      <c r="X1188" s="59"/>
      <c r="Y1188" s="59"/>
      <c r="Z1188" s="59"/>
      <c r="AA1188" s="59"/>
      <c r="AB1188" s="59"/>
      <c r="AC1188" s="59"/>
      <c r="AD1188" s="59"/>
      <c r="AE1188" s="59"/>
      <c r="AF1188" s="59"/>
      <c r="AG1188" s="59"/>
      <c r="AH1188" s="59"/>
      <c r="AI1188" s="59" t="str">
        <f>IF(SUM(Dati[[#This Row],[Inv. Business]:[Inv. Cryptocurrency]])=0," ",SUM(Dati[[#This Row],[Inv. Business]:[Inv. Cryptocurrency]]))</f>
        <v xml:space="preserve"> </v>
      </c>
      <c r="AJ1188" s="59"/>
      <c r="AK1188" s="59" t="str">
        <f>IF(SUM(Dati[[#This Row],[Inv. Gold]:[Mutuo]])=0," ",SUM(Dati[[#This Row],[Inv. Gold]:[Mutuo]]))</f>
        <v xml:space="preserve"> </v>
      </c>
      <c r="AL1188" s="59"/>
      <c r="AM1188" s="59"/>
    </row>
    <row r="1189" spans="2:39" x14ac:dyDescent="0.35">
      <c r="B1189" s="237">
        <f t="shared" ref="B1189:B1190" si="75">ROW(1163:1163)</f>
        <v>1163</v>
      </c>
      <c r="C1189" s="49">
        <f t="shared" ref="C1189:C1190" si="76">C1187+1</f>
        <v>45794</v>
      </c>
      <c r="D1189" s="29">
        <f>DAY(Dati[[#This Row],[Data]])</f>
        <v>17</v>
      </c>
      <c r="E1189" s="29" t="str">
        <f>IF(DAY(Data!$C$21:$C$1327)&gt;0,TEXT(Data!$C$21:$C$1327, "mmmm"),"")</f>
        <v>maggio</v>
      </c>
      <c r="F1189" s="29" t="str">
        <f>IF(DAY(Data!$C$21:$C$1327)&gt;0,TEXT(Data!$C$21:$C$1327, "aaaa"),"")</f>
        <v>2025</v>
      </c>
      <c r="I1189" t="str">
        <f>IF(OR(H1189=$B$5,H1189=$B$6,H1189=$B$7,H1189=$B$8,H1189=$B$9,H1189=$B$10,H1189=$B$11,H1189=$B$12,H1189=$B$13,H1189=$B$14),SottocategorieUscite[[#Headers],[Fuori Casa]],IF(OR(H1189=$C$5,H1189=$C$6,H1189=$C$7,H1189=$C$8,H1189=$C$9,H1189=$C$10,H1189=$C$11,H1189=$C$12,H1189=$C$13,H1189=$C$14),SottocategorieUscite[[#Headers],[Varie Uscite]],IF(OR(H1189=$D$5,H1189=$D$6,H1189=$D$7,H1189=$D$8,H1189=$D$9,H1189=$D$10,H1189=$D$11,H1189=$D$12,H1189=$D$13,H1189=$D$14),SottocategorieUscite[[#Headers],[Personali]],IF(OR(H1189=$E$5,H1189=$E$6,H1189=$E$7,H1189=$E$8,H1189=$E$9,H1189=$E$10,H1189=$E$11,H1189=$E$12,H1189=$E$13,H1189=$E$14),SottocategorieUscite[[#Headers],[Lavoro]],IF(OR(H1189=$F$5,H1189=$F$6,H1189=$F$7,H1189=$F$8,H1189=$F$9,H1189=$F$10,H1189=$F$11,H1189=$F$12,H1189=$F$13,H1189=$F$14),SottocategorieUscite[[#Headers],[Casa]],IF(OR(H1189=$G$5,H1189=$G$6,H1189=$G$7,H1189=$G$8,H1189=$G$9,H1189=$G$10,H1189=$G$11,H1189=$G$12,H1189=$G$13,H1189=$G$14),SottocategorieUscite[[#Headers],[Utenze]],IF(OR(H1189=$H$5,H1189=$H$6,H1189=$H$7,H1189=$H$8,H1189=$H$9,H1189=$H$10,H1189=$H$11,H1189=$H$12,H1189=$H$13,H1189=$H$14),SottocategorieUscite[[#Headers],[Business Uscite]],IF(OR(H1189=$I$5,H1189=$I$6,H1189=$I$7,H1189=$I$8,H1189=$I$9,H1189=$I$10,H1189=$I$11,H1189=$I$12,H1189=$I$13,H1189=$I$14),SottocategorieUscite[[#Headers],[Banca]],IF(OR(H1189=K$5,H1189=K$6,H1189=K$7,H1189=K$8,H1189=K$9,H1189=K$10,H1189=K$11,H1189=K$12,H1189=K$13,H1189=K$14),SottocategorieEntrate[[#Headers],[Business Entrate]],IF(OR(H1189=L$5,H1189=L$6,H1189=L$7,H1189=L$8,H1189=L$9,H1189=L$10,H1189=L$11,H1189=L$12,H1189=L$13,H1189=L$14),SottocategorieEntrate[[#Headers],[Varie Entrate]],IF(OR(H1189=M$5,H1189=M$6,H1189=M$7,H1189=M$8,H1189=M$9,H1189=M$10,H1189=M$11,H1189=M$12,H1189=M$13,H1189=M$14),SottocategorieEntrate[[#Headers],[Real Estate]],IF(OR(H1189=N$5,H1189=N$6,H1189=N$7,H1189=N$8,H1189=N$9,H1189=N$10,H1189=N$11,H1189=N$12,H1189=N$13,H1189=N$14),SottocategorieEntrate[[#Headers],[Other]],""))))))))))))</f>
        <v/>
      </c>
      <c r="J1189" t="str">
        <f>IF(OR(Dati[[#This Row],[Categoria]]="Bollette",Dati[[#This Row],[Categoria]]="Conto &amp; Carte BNL",Dati[[#This Row],[Categoria]]="Prelievo",Dati[[#This Row],[Categoria]]="Affitto",Dati[[#This Row],[Categoria]]="BNL(Interessi Creditori)"),"Carta",IF(Dati[[#This Row],[Categoria]]&lt;&gt;0,"Cash",""))</f>
        <v/>
      </c>
      <c r="K1189" s="59" t="str">
        <f>IF(OR(Data!$I1189=SottocategorieUscite[[#Headers],[Fuori Casa]],Data!$I1189=SottocategorieUscite[[#Headers],[Varie Uscite]],Data!$I1189=SottocategorieUscite[[#Headers],[Personali]],Data!$I1189=SottocategorieUscite[[#Headers],[Lavoro]]),"$ -","")</f>
        <v/>
      </c>
      <c r="L1189" s="59" t="str">
        <f>IF(OR(Data!$I1189=SottocategorieUscite[[#Headers],[Casa]],Data!$I1189=SottocategorieUscite[[#Headers],[Utenze]],Data!$I1189=SottocategorieUscite[[#Headers],[Business Uscite]],Data!$I1189=SottocategorieUscite[[#Headers],[Banca]]),"$ -","")</f>
        <v/>
      </c>
      <c r="M1189" s="59" t="str">
        <f>IF(OR($I1189&lt;&gt;SottocategorieUscite[[#Headers],[Fuori Casa]],$I1189&lt;&gt;SottocategorieUscite[[#Headers],[Varie Uscite]],$I1189&lt;&gt;SottocategorieUscite[[#Headers],[Personali]],$I1189&lt;&gt;SottocategorieUscite[[#Headers],[Lavoro]],$I1189&lt;&gt;SottocategorieUscite[[#Headers],[Casa]],$I1189&lt;&gt;SottocategorieUscite[[#Headers],[Utenze]],$I1189&lt;&gt;SottocategorieUscite[[#Headers],[Business Uscite]],$I1189&lt;&gt;SottocategorieUscite[[#Headers],[Banca]]),"","$ -")</f>
        <v/>
      </c>
      <c r="N1189" s="59" t="str">
        <f>IF(OR(Data!$I1189=SottocategorieEntrate[[#Headers],[Business Entrate]],Data!$I1189=SottocategorieEntrate[[#Headers],[Varie Entrate]]),"$ -","")</f>
        <v/>
      </c>
      <c r="O1189" s="59" t="str">
        <f>IF(OR(Data!$I1189=SottocategorieEntrate[[#Headers],[Real Estate]],SottocategorieEntrate[[#Headers],[Other]]),"$ -","")</f>
        <v/>
      </c>
      <c r="P1189" s="59" t="str">
        <f>IF(OR($I1189&lt;&gt;SottocategorieEntrate[[#Headers],[Business Entrate]],$I1189&lt;&gt;SottocategorieEntrate[[#Headers],[Varie Entrate]],$I1189&lt;&gt;SottocategorieEntrate[[#Headers],[Real Estate]],$I1189&lt;&gt;SottocategorieEntrate[[#Headers],[Other]]),"","$ -")</f>
        <v/>
      </c>
      <c r="Q1189" s="59" t="str">
        <f>IF(Dati[[#This Row],[Categoria]]="Prelievo","€ -","")</f>
        <v/>
      </c>
      <c r="R1189" s="244"/>
      <c r="S1189" s="59" t="str">
        <f>IF(Dati[[#This Row],[Categoria]]="Savings",0,"")</f>
        <v/>
      </c>
      <c r="T1189" s="59"/>
      <c r="U1189" s="59"/>
      <c r="V1189" s="59"/>
      <c r="W1189" s="59"/>
      <c r="X1189" s="59"/>
      <c r="Y1189" s="59"/>
      <c r="Z1189" s="59"/>
      <c r="AA1189" s="59"/>
      <c r="AB1189" s="59"/>
      <c r="AC1189" s="59"/>
      <c r="AD1189" s="59"/>
      <c r="AE1189" s="59"/>
      <c r="AF1189" s="59"/>
      <c r="AG1189" s="59"/>
      <c r="AH1189" s="59"/>
      <c r="AI1189" s="59" t="str">
        <f>IF(SUM(Dati[[#This Row],[Inv. Business]:[Inv. Cryptocurrency]])=0," ",SUM(Dati[[#This Row],[Inv. Business]:[Inv. Cryptocurrency]]))</f>
        <v xml:space="preserve"> </v>
      </c>
      <c r="AJ1189" s="59"/>
      <c r="AK1189" s="59" t="str">
        <f>IF(SUM(Dati[[#This Row],[Inv. Gold]:[Mutuo]])=0," ",SUM(Dati[[#This Row],[Inv. Gold]:[Mutuo]]))</f>
        <v xml:space="preserve"> </v>
      </c>
      <c r="AL1189" s="59"/>
      <c r="AM1189" s="59"/>
    </row>
    <row r="1190" spans="2:39" x14ac:dyDescent="0.35">
      <c r="B1190" s="237">
        <f t="shared" si="75"/>
        <v>1164</v>
      </c>
      <c r="C1190" s="49">
        <f t="shared" si="76"/>
        <v>45795</v>
      </c>
      <c r="D1190" s="29">
        <f>DAY(Dati[[#This Row],[Data]])</f>
        <v>18</v>
      </c>
      <c r="E1190" s="29" t="str">
        <f>IF(DAY(Data!$C$21:$C$1327)&gt;0,TEXT(Data!$C$21:$C$1327, "mmmm"),"")</f>
        <v>maggio</v>
      </c>
      <c r="F1190" s="29" t="str">
        <f>IF(DAY(Data!$C$21:$C$1327)&gt;0,TEXT(Data!$C$21:$C$1327, "aaaa"),"")</f>
        <v>2025</v>
      </c>
      <c r="I1190" t="str">
        <f>IF(OR(H1190=$B$5,H1190=$B$6,H1190=$B$7,H1190=$B$8,H1190=$B$9,H1190=$B$10,H1190=$B$11,H1190=$B$12,H1190=$B$13,H1190=$B$14),SottocategorieUscite[[#Headers],[Fuori Casa]],IF(OR(H1190=$C$5,H1190=$C$6,H1190=$C$7,H1190=$C$8,H1190=$C$9,H1190=$C$10,H1190=$C$11,H1190=$C$12,H1190=$C$13,H1190=$C$14),SottocategorieUscite[[#Headers],[Varie Uscite]],IF(OR(H1190=$D$5,H1190=$D$6,H1190=$D$7,H1190=$D$8,H1190=$D$9,H1190=$D$10,H1190=$D$11,H1190=$D$12,H1190=$D$13,H1190=$D$14),SottocategorieUscite[[#Headers],[Personali]],IF(OR(H1190=$E$5,H1190=$E$6,H1190=$E$7,H1190=$E$8,H1190=$E$9,H1190=$E$10,H1190=$E$11,H1190=$E$12,H1190=$E$13,H1190=$E$14),SottocategorieUscite[[#Headers],[Lavoro]],IF(OR(H1190=$F$5,H1190=$F$6,H1190=$F$7,H1190=$F$8,H1190=$F$9,H1190=$F$10,H1190=$F$11,H1190=$F$12,H1190=$F$13,H1190=$F$14),SottocategorieUscite[[#Headers],[Casa]],IF(OR(H1190=$G$5,H1190=$G$6,H1190=$G$7,H1190=$G$8,H1190=$G$9,H1190=$G$10,H1190=$G$11,H1190=$G$12,H1190=$G$13,H1190=$G$14),SottocategorieUscite[[#Headers],[Utenze]],IF(OR(H1190=$H$5,H1190=$H$6,H1190=$H$7,H1190=$H$8,H1190=$H$9,H1190=$H$10,H1190=$H$11,H1190=$H$12,H1190=$H$13,H1190=$H$14),SottocategorieUscite[[#Headers],[Business Uscite]],IF(OR(H1190=$I$5,H1190=$I$6,H1190=$I$7,H1190=$I$8,H1190=$I$9,H1190=$I$10,H1190=$I$11,H1190=$I$12,H1190=$I$13,H1190=$I$14),SottocategorieUscite[[#Headers],[Banca]],IF(OR(H1190=K$5,H1190=K$6,H1190=K$7,H1190=K$8,H1190=K$9,H1190=K$10,H1190=K$11,H1190=K$12,H1190=K$13,H1190=K$14),SottocategorieEntrate[[#Headers],[Business Entrate]],IF(OR(H1190=L$5,H1190=L$6,H1190=L$7,H1190=L$8,H1190=L$9,H1190=L$10,H1190=L$11,H1190=L$12,H1190=L$13,H1190=L$14),SottocategorieEntrate[[#Headers],[Varie Entrate]],IF(OR(H1190=M$5,H1190=M$6,H1190=M$7,H1190=M$8,H1190=M$9,H1190=M$10,H1190=M$11,H1190=M$12,H1190=M$13,H1190=M$14),SottocategorieEntrate[[#Headers],[Real Estate]],IF(OR(H1190=N$5,H1190=N$6,H1190=N$7,H1190=N$8,H1190=N$9,H1190=N$10,H1190=N$11,H1190=N$12,H1190=N$13,H1190=N$14),SottocategorieEntrate[[#Headers],[Other]],""))))))))))))</f>
        <v/>
      </c>
      <c r="J1190" t="str">
        <f>IF(OR(Dati[[#This Row],[Categoria]]="Bollette",Dati[[#This Row],[Categoria]]="Conto &amp; Carte BNL",Dati[[#This Row],[Categoria]]="Prelievo",Dati[[#This Row],[Categoria]]="Affitto",Dati[[#This Row],[Categoria]]="BNL(Interessi Creditori)"),"Carta",IF(Dati[[#This Row],[Categoria]]&lt;&gt;0,"Cash",""))</f>
        <v/>
      </c>
      <c r="K1190" s="59" t="str">
        <f>IF(OR(Data!$I1190=SottocategorieUscite[[#Headers],[Fuori Casa]],Data!$I1190=SottocategorieUscite[[#Headers],[Varie Uscite]],Data!$I1190=SottocategorieUscite[[#Headers],[Personali]],Data!$I1190=SottocategorieUscite[[#Headers],[Lavoro]]),"$ -","")</f>
        <v/>
      </c>
      <c r="L1190" s="59" t="str">
        <f>IF(OR(Data!$I1190=SottocategorieUscite[[#Headers],[Casa]],Data!$I1190=SottocategorieUscite[[#Headers],[Utenze]],Data!$I1190=SottocategorieUscite[[#Headers],[Business Uscite]],Data!$I1190=SottocategorieUscite[[#Headers],[Banca]]),"$ -","")</f>
        <v/>
      </c>
      <c r="M1190" s="59" t="str">
        <f>IF(OR($I1190&lt;&gt;SottocategorieUscite[[#Headers],[Fuori Casa]],$I1190&lt;&gt;SottocategorieUscite[[#Headers],[Varie Uscite]],$I1190&lt;&gt;SottocategorieUscite[[#Headers],[Personali]],$I1190&lt;&gt;SottocategorieUscite[[#Headers],[Lavoro]],$I1190&lt;&gt;SottocategorieUscite[[#Headers],[Casa]],$I1190&lt;&gt;SottocategorieUscite[[#Headers],[Utenze]],$I1190&lt;&gt;SottocategorieUscite[[#Headers],[Business Uscite]],$I1190&lt;&gt;SottocategorieUscite[[#Headers],[Banca]]),"","$ -")</f>
        <v/>
      </c>
      <c r="N1190" s="59" t="str">
        <f>IF(OR(Data!$I1190=SottocategorieEntrate[[#Headers],[Business Entrate]],Data!$I1190=SottocategorieEntrate[[#Headers],[Varie Entrate]]),"$ -","")</f>
        <v/>
      </c>
      <c r="O1190" s="59" t="str">
        <f>IF(OR(Data!$I1190=SottocategorieEntrate[[#Headers],[Real Estate]],SottocategorieEntrate[[#Headers],[Other]]),"$ -","")</f>
        <v/>
      </c>
      <c r="P1190" s="59" t="str">
        <f>IF(OR($I1190&lt;&gt;SottocategorieEntrate[[#Headers],[Business Entrate]],$I1190&lt;&gt;SottocategorieEntrate[[#Headers],[Varie Entrate]],$I1190&lt;&gt;SottocategorieEntrate[[#Headers],[Real Estate]],$I1190&lt;&gt;SottocategorieEntrate[[#Headers],[Other]]),"","$ -")</f>
        <v/>
      </c>
      <c r="Q1190" s="59" t="str">
        <f>IF(Dati[[#This Row],[Categoria]]="Prelievo","€ -","")</f>
        <v/>
      </c>
      <c r="R1190" s="244"/>
      <c r="S1190" s="59" t="str">
        <f>IF(Dati[[#This Row],[Categoria]]="Savings",0,"")</f>
        <v/>
      </c>
      <c r="T1190" s="59"/>
      <c r="U1190" s="59"/>
      <c r="V1190" s="59"/>
      <c r="W1190" s="59"/>
      <c r="X1190" s="59"/>
      <c r="Y1190" s="59"/>
      <c r="Z1190" s="59"/>
      <c r="AA1190" s="59"/>
      <c r="AB1190" s="59"/>
      <c r="AC1190" s="59"/>
      <c r="AD1190" s="59"/>
      <c r="AE1190" s="59"/>
      <c r="AF1190" s="59"/>
      <c r="AG1190" s="59"/>
      <c r="AH1190" s="59"/>
      <c r="AI1190" s="59" t="str">
        <f>IF(SUM(Dati[[#This Row],[Inv. Business]:[Inv. Cryptocurrency]])=0," ",SUM(Dati[[#This Row],[Inv. Business]:[Inv. Cryptocurrency]]))</f>
        <v xml:space="preserve"> </v>
      </c>
      <c r="AJ1190" s="59"/>
      <c r="AK1190" s="59" t="str">
        <f>IF(SUM(Dati[[#This Row],[Inv. Gold]:[Mutuo]])=0," ",SUM(Dati[[#This Row],[Inv. Gold]:[Mutuo]]))</f>
        <v xml:space="preserve"> </v>
      </c>
      <c r="AL1190" s="59"/>
      <c r="AM1190" s="59"/>
    </row>
    <row r="1191" spans="2:39" x14ac:dyDescent="0.35">
      <c r="B1191" s="237">
        <f t="shared" ref="B1191:B1194" si="77">ROW(1164:1164)</f>
        <v>1164</v>
      </c>
      <c r="C1191" s="49">
        <f t="shared" ref="C1191:C1192" si="78">C1189+1</f>
        <v>45795</v>
      </c>
      <c r="D1191" s="29">
        <f>DAY(Dati[[#This Row],[Data]])</f>
        <v>18</v>
      </c>
      <c r="E1191" s="29" t="str">
        <f>IF(DAY(Data!$C$21:$C$1327)&gt;0,TEXT(Data!$C$21:$C$1327, "mmmm"),"")</f>
        <v>maggio</v>
      </c>
      <c r="F1191" s="29" t="str">
        <f>IF(DAY(Data!$C$21:$C$1327)&gt;0,TEXT(Data!$C$21:$C$1327, "aaaa"),"")</f>
        <v>2025</v>
      </c>
      <c r="I1191" t="str">
        <f>IF(OR(H1191=$B$5,H1191=$B$6,H1191=$B$7,H1191=$B$8,H1191=$B$9,H1191=$B$10,H1191=$B$11,H1191=$B$12,H1191=$B$13,H1191=$B$14),SottocategorieUscite[[#Headers],[Fuori Casa]],IF(OR(H1191=$C$5,H1191=$C$6,H1191=$C$7,H1191=$C$8,H1191=$C$9,H1191=$C$10,H1191=$C$11,H1191=$C$12,H1191=$C$13,H1191=$C$14),SottocategorieUscite[[#Headers],[Varie Uscite]],IF(OR(H1191=$D$5,H1191=$D$6,H1191=$D$7,H1191=$D$8,H1191=$D$9,H1191=$D$10,H1191=$D$11,H1191=$D$12,H1191=$D$13,H1191=$D$14),SottocategorieUscite[[#Headers],[Personali]],IF(OR(H1191=$E$5,H1191=$E$6,H1191=$E$7,H1191=$E$8,H1191=$E$9,H1191=$E$10,H1191=$E$11,H1191=$E$12,H1191=$E$13,H1191=$E$14),SottocategorieUscite[[#Headers],[Lavoro]],IF(OR(H1191=$F$5,H1191=$F$6,H1191=$F$7,H1191=$F$8,H1191=$F$9,H1191=$F$10,H1191=$F$11,H1191=$F$12,H1191=$F$13,H1191=$F$14),SottocategorieUscite[[#Headers],[Casa]],IF(OR(H1191=$G$5,H1191=$G$6,H1191=$G$7,H1191=$G$8,H1191=$G$9,H1191=$G$10,H1191=$G$11,H1191=$G$12,H1191=$G$13,H1191=$G$14),SottocategorieUscite[[#Headers],[Utenze]],IF(OR(H1191=$H$5,H1191=$H$6,H1191=$H$7,H1191=$H$8,H1191=$H$9,H1191=$H$10,H1191=$H$11,H1191=$H$12,H1191=$H$13,H1191=$H$14),SottocategorieUscite[[#Headers],[Business Uscite]],IF(OR(H1191=$I$5,H1191=$I$6,H1191=$I$7,H1191=$I$8,H1191=$I$9,H1191=$I$10,H1191=$I$11,H1191=$I$12,H1191=$I$13,H1191=$I$14),SottocategorieUscite[[#Headers],[Banca]],IF(OR(H1191=K$5,H1191=K$6,H1191=K$7,H1191=K$8,H1191=K$9,H1191=K$10,H1191=K$11,H1191=K$12,H1191=K$13,H1191=K$14),SottocategorieEntrate[[#Headers],[Business Entrate]],IF(OR(H1191=L$5,H1191=L$6,H1191=L$7,H1191=L$8,H1191=L$9,H1191=L$10,H1191=L$11,H1191=L$12,H1191=L$13,H1191=L$14),SottocategorieEntrate[[#Headers],[Varie Entrate]],IF(OR(H1191=M$5,H1191=M$6,H1191=M$7,H1191=M$8,H1191=M$9,H1191=M$10,H1191=M$11,H1191=M$12,H1191=M$13,H1191=M$14),SottocategorieEntrate[[#Headers],[Real Estate]],IF(OR(H1191=N$5,H1191=N$6,H1191=N$7,H1191=N$8,H1191=N$9,H1191=N$10,H1191=N$11,H1191=N$12,H1191=N$13,H1191=N$14),SottocategorieEntrate[[#Headers],[Other]],""))))))))))))</f>
        <v/>
      </c>
      <c r="J1191" t="str">
        <f>IF(OR(Dati[[#This Row],[Categoria]]="Bollette",Dati[[#This Row],[Categoria]]="Conto &amp; Carte BNL",Dati[[#This Row],[Categoria]]="Prelievo",Dati[[#This Row],[Categoria]]="Affitto",Dati[[#This Row],[Categoria]]="BNL(Interessi Creditori)"),"Carta",IF(Dati[[#This Row],[Categoria]]&lt;&gt;0,"Cash",""))</f>
        <v/>
      </c>
      <c r="K1191" s="59" t="str">
        <f>IF(OR(Data!$I1191=SottocategorieUscite[[#Headers],[Fuori Casa]],Data!$I1191=SottocategorieUscite[[#Headers],[Varie Uscite]],Data!$I1191=SottocategorieUscite[[#Headers],[Personali]],Data!$I1191=SottocategorieUscite[[#Headers],[Lavoro]]),"$ -","")</f>
        <v/>
      </c>
      <c r="L1191" s="59" t="str">
        <f>IF(OR(Data!$I1191=SottocategorieUscite[[#Headers],[Casa]],Data!$I1191=SottocategorieUscite[[#Headers],[Utenze]],Data!$I1191=SottocategorieUscite[[#Headers],[Business Uscite]],Data!$I1191=SottocategorieUscite[[#Headers],[Banca]]),"$ -","")</f>
        <v/>
      </c>
      <c r="M1191" s="59" t="str">
        <f>IF(OR($I1191&lt;&gt;SottocategorieUscite[[#Headers],[Fuori Casa]],$I1191&lt;&gt;SottocategorieUscite[[#Headers],[Varie Uscite]],$I1191&lt;&gt;SottocategorieUscite[[#Headers],[Personali]],$I1191&lt;&gt;SottocategorieUscite[[#Headers],[Lavoro]],$I1191&lt;&gt;SottocategorieUscite[[#Headers],[Casa]],$I1191&lt;&gt;SottocategorieUscite[[#Headers],[Utenze]],$I1191&lt;&gt;SottocategorieUscite[[#Headers],[Business Uscite]],$I1191&lt;&gt;SottocategorieUscite[[#Headers],[Banca]]),"","$ -")</f>
        <v/>
      </c>
      <c r="N1191" s="59" t="str">
        <f>IF(OR(Data!$I1191=SottocategorieEntrate[[#Headers],[Business Entrate]],Data!$I1191=SottocategorieEntrate[[#Headers],[Varie Entrate]]),"$ -","")</f>
        <v/>
      </c>
      <c r="O1191" s="59" t="str">
        <f>IF(OR(Data!$I1191=SottocategorieEntrate[[#Headers],[Real Estate]],SottocategorieEntrate[[#Headers],[Other]]),"$ -","")</f>
        <v/>
      </c>
      <c r="P1191" s="59" t="str">
        <f>IF(OR($I1191&lt;&gt;SottocategorieEntrate[[#Headers],[Business Entrate]],$I1191&lt;&gt;SottocategorieEntrate[[#Headers],[Varie Entrate]],$I1191&lt;&gt;SottocategorieEntrate[[#Headers],[Real Estate]],$I1191&lt;&gt;SottocategorieEntrate[[#Headers],[Other]]),"","$ -")</f>
        <v/>
      </c>
      <c r="Q1191" s="59" t="str">
        <f>IF(Dati[[#This Row],[Categoria]]="Prelievo","€ -","")</f>
        <v/>
      </c>
      <c r="R1191" s="244"/>
      <c r="S1191" s="59" t="str">
        <f>IF(Dati[[#This Row],[Categoria]]="Savings",0,"")</f>
        <v/>
      </c>
      <c r="T1191" s="59"/>
      <c r="U1191" s="59"/>
      <c r="V1191" s="59"/>
      <c r="W1191" s="59"/>
      <c r="X1191" s="59"/>
      <c r="Y1191" s="59"/>
      <c r="Z1191" s="59"/>
      <c r="AA1191" s="59"/>
      <c r="AB1191" s="59"/>
      <c r="AC1191" s="59"/>
      <c r="AD1191" s="59"/>
      <c r="AE1191" s="59"/>
      <c r="AF1191" s="59"/>
      <c r="AG1191" s="59"/>
      <c r="AH1191" s="59"/>
      <c r="AI1191" s="59" t="str">
        <f>IF(SUM(Dati[[#This Row],[Inv. Business]:[Inv. Cryptocurrency]])=0," ",SUM(Dati[[#This Row],[Inv. Business]:[Inv. Cryptocurrency]]))</f>
        <v xml:space="preserve"> </v>
      </c>
      <c r="AJ1191" s="59"/>
      <c r="AK1191" s="59" t="str">
        <f>IF(SUM(Dati[[#This Row],[Inv. Gold]:[Mutuo]])=0," ",SUM(Dati[[#This Row],[Inv. Gold]:[Mutuo]]))</f>
        <v xml:space="preserve"> </v>
      </c>
      <c r="AL1191" s="59"/>
      <c r="AM1191" s="59"/>
    </row>
    <row r="1192" spans="2:39" x14ac:dyDescent="0.35">
      <c r="B1192" s="237">
        <f t="shared" si="77"/>
        <v>1165</v>
      </c>
      <c r="C1192" s="49">
        <f t="shared" si="78"/>
        <v>45796</v>
      </c>
      <c r="D1192" s="29">
        <f>DAY(Dati[[#This Row],[Data]])</f>
        <v>19</v>
      </c>
      <c r="E1192" s="29" t="str">
        <f>IF(DAY(Data!$C$21:$C$1327)&gt;0,TEXT(Data!$C$21:$C$1327, "mmmm"),"")</f>
        <v>maggio</v>
      </c>
      <c r="F1192" s="29" t="str">
        <f>IF(DAY(Data!$C$21:$C$1327)&gt;0,TEXT(Data!$C$21:$C$1327, "aaaa"),"")</f>
        <v>2025</v>
      </c>
      <c r="I1192" t="str">
        <f>IF(OR(H1192=$B$5,H1192=$B$6,H1192=$B$7,H1192=$B$8,H1192=$B$9,H1192=$B$10,H1192=$B$11,H1192=$B$12,H1192=$B$13,H1192=$B$14),SottocategorieUscite[[#Headers],[Fuori Casa]],IF(OR(H1192=$C$5,H1192=$C$6,H1192=$C$7,H1192=$C$8,H1192=$C$9,H1192=$C$10,H1192=$C$11,H1192=$C$12,H1192=$C$13,H1192=$C$14),SottocategorieUscite[[#Headers],[Varie Uscite]],IF(OR(H1192=$D$5,H1192=$D$6,H1192=$D$7,H1192=$D$8,H1192=$D$9,H1192=$D$10,H1192=$D$11,H1192=$D$12,H1192=$D$13,H1192=$D$14),SottocategorieUscite[[#Headers],[Personali]],IF(OR(H1192=$E$5,H1192=$E$6,H1192=$E$7,H1192=$E$8,H1192=$E$9,H1192=$E$10,H1192=$E$11,H1192=$E$12,H1192=$E$13,H1192=$E$14),SottocategorieUscite[[#Headers],[Lavoro]],IF(OR(H1192=$F$5,H1192=$F$6,H1192=$F$7,H1192=$F$8,H1192=$F$9,H1192=$F$10,H1192=$F$11,H1192=$F$12,H1192=$F$13,H1192=$F$14),SottocategorieUscite[[#Headers],[Casa]],IF(OR(H1192=$G$5,H1192=$G$6,H1192=$G$7,H1192=$G$8,H1192=$G$9,H1192=$G$10,H1192=$G$11,H1192=$G$12,H1192=$G$13,H1192=$G$14),SottocategorieUscite[[#Headers],[Utenze]],IF(OR(H1192=$H$5,H1192=$H$6,H1192=$H$7,H1192=$H$8,H1192=$H$9,H1192=$H$10,H1192=$H$11,H1192=$H$12,H1192=$H$13,H1192=$H$14),SottocategorieUscite[[#Headers],[Business Uscite]],IF(OR(H1192=$I$5,H1192=$I$6,H1192=$I$7,H1192=$I$8,H1192=$I$9,H1192=$I$10,H1192=$I$11,H1192=$I$12,H1192=$I$13,H1192=$I$14),SottocategorieUscite[[#Headers],[Banca]],IF(OR(H1192=K$5,H1192=K$6,H1192=K$7,H1192=K$8,H1192=K$9,H1192=K$10,H1192=K$11,H1192=K$12,H1192=K$13,H1192=K$14),SottocategorieEntrate[[#Headers],[Business Entrate]],IF(OR(H1192=L$5,H1192=L$6,H1192=L$7,H1192=L$8,H1192=L$9,H1192=L$10,H1192=L$11,H1192=L$12,H1192=L$13,H1192=L$14),SottocategorieEntrate[[#Headers],[Varie Entrate]],IF(OR(H1192=M$5,H1192=M$6,H1192=M$7,H1192=M$8,H1192=M$9,H1192=M$10,H1192=M$11,H1192=M$12,H1192=M$13,H1192=M$14),SottocategorieEntrate[[#Headers],[Real Estate]],IF(OR(H1192=N$5,H1192=N$6,H1192=N$7,H1192=N$8,H1192=N$9,H1192=N$10,H1192=N$11,H1192=N$12,H1192=N$13,H1192=N$14),SottocategorieEntrate[[#Headers],[Other]],""))))))))))))</f>
        <v/>
      </c>
      <c r="J1192" t="str">
        <f>IF(OR(Dati[[#This Row],[Categoria]]="Bollette",Dati[[#This Row],[Categoria]]="Conto &amp; Carte BNL",Dati[[#This Row],[Categoria]]="Prelievo",Dati[[#This Row],[Categoria]]="Affitto",Dati[[#This Row],[Categoria]]="BNL(Interessi Creditori)"),"Carta",IF(Dati[[#This Row],[Categoria]]&lt;&gt;0,"Cash",""))</f>
        <v/>
      </c>
      <c r="K1192" s="59" t="str">
        <f>IF(OR(Data!$I1192=SottocategorieUscite[[#Headers],[Fuori Casa]],Data!$I1192=SottocategorieUscite[[#Headers],[Varie Uscite]],Data!$I1192=SottocategorieUscite[[#Headers],[Personali]],Data!$I1192=SottocategorieUscite[[#Headers],[Lavoro]]),"$ -","")</f>
        <v/>
      </c>
      <c r="L1192" s="59" t="str">
        <f>IF(OR(Data!$I1192=SottocategorieUscite[[#Headers],[Casa]],Data!$I1192=SottocategorieUscite[[#Headers],[Utenze]],Data!$I1192=SottocategorieUscite[[#Headers],[Business Uscite]],Data!$I1192=SottocategorieUscite[[#Headers],[Banca]]),"$ -","")</f>
        <v/>
      </c>
      <c r="M1192" s="59" t="str">
        <f>IF(OR($I1192&lt;&gt;SottocategorieUscite[[#Headers],[Fuori Casa]],$I1192&lt;&gt;SottocategorieUscite[[#Headers],[Varie Uscite]],$I1192&lt;&gt;SottocategorieUscite[[#Headers],[Personali]],$I1192&lt;&gt;SottocategorieUscite[[#Headers],[Lavoro]],$I1192&lt;&gt;SottocategorieUscite[[#Headers],[Casa]],$I1192&lt;&gt;SottocategorieUscite[[#Headers],[Utenze]],$I1192&lt;&gt;SottocategorieUscite[[#Headers],[Business Uscite]],$I1192&lt;&gt;SottocategorieUscite[[#Headers],[Banca]]),"","$ -")</f>
        <v/>
      </c>
      <c r="N1192" s="59" t="str">
        <f>IF(OR(Data!$I1192=SottocategorieEntrate[[#Headers],[Business Entrate]],Data!$I1192=SottocategorieEntrate[[#Headers],[Varie Entrate]]),"$ -","")</f>
        <v/>
      </c>
      <c r="O1192" s="59" t="str">
        <f>IF(OR(Data!$I1192=SottocategorieEntrate[[#Headers],[Real Estate]],SottocategorieEntrate[[#Headers],[Other]]),"$ -","")</f>
        <v/>
      </c>
      <c r="P1192" s="59" t="str">
        <f>IF(OR($I1192&lt;&gt;SottocategorieEntrate[[#Headers],[Business Entrate]],$I1192&lt;&gt;SottocategorieEntrate[[#Headers],[Varie Entrate]],$I1192&lt;&gt;SottocategorieEntrate[[#Headers],[Real Estate]],$I1192&lt;&gt;SottocategorieEntrate[[#Headers],[Other]]),"","$ -")</f>
        <v/>
      </c>
      <c r="Q1192" s="59" t="str">
        <f>IF(Dati[[#This Row],[Categoria]]="Prelievo","€ -","")</f>
        <v/>
      </c>
      <c r="R1192" s="244"/>
      <c r="S1192" s="59" t="str">
        <f>IF(Dati[[#This Row],[Categoria]]="Savings",0,"")</f>
        <v/>
      </c>
      <c r="T1192" s="59"/>
      <c r="U1192" s="59"/>
      <c r="V1192" s="59"/>
      <c r="W1192" s="59"/>
      <c r="X1192" s="59"/>
      <c r="Y1192" s="59"/>
      <c r="Z1192" s="59"/>
      <c r="AA1192" s="59"/>
      <c r="AB1192" s="59"/>
      <c r="AC1192" s="59"/>
      <c r="AD1192" s="59"/>
      <c r="AE1192" s="59"/>
      <c r="AF1192" s="59"/>
      <c r="AG1192" s="59"/>
      <c r="AH1192" s="59"/>
      <c r="AI1192" s="59" t="str">
        <f>IF(SUM(Dati[[#This Row],[Inv. Business]:[Inv. Cryptocurrency]])=0," ",SUM(Dati[[#This Row],[Inv. Business]:[Inv. Cryptocurrency]]))</f>
        <v xml:space="preserve"> </v>
      </c>
      <c r="AJ1192" s="59"/>
      <c r="AK1192" s="59" t="str">
        <f>IF(SUM(Dati[[#This Row],[Inv. Gold]:[Mutuo]])=0," ",SUM(Dati[[#This Row],[Inv. Gold]:[Mutuo]]))</f>
        <v xml:space="preserve"> </v>
      </c>
      <c r="AL1192" s="59"/>
      <c r="AM1192" s="59"/>
    </row>
    <row r="1193" spans="2:39" x14ac:dyDescent="0.35">
      <c r="B1193" s="237">
        <f t="shared" si="77"/>
        <v>1166</v>
      </c>
      <c r="C1193" s="49">
        <f t="shared" ref="C1193" si="79">C1192+1</f>
        <v>45797</v>
      </c>
      <c r="D1193" s="29">
        <f>DAY(Dati[[#This Row],[Data]])</f>
        <v>20</v>
      </c>
      <c r="E1193" s="29" t="str">
        <f>IF(DAY(Data!$C$21:$C$1327)&gt;0,TEXT(Data!$C$21:$C$1327, "mmmm"),"")</f>
        <v>maggio</v>
      </c>
      <c r="F1193" s="29" t="str">
        <f>IF(DAY(Data!$C$21:$C$1327)&gt;0,TEXT(Data!$C$21:$C$1327, "aaaa"),"")</f>
        <v>2025</v>
      </c>
      <c r="I1193" t="str">
        <f>IF(OR(H1193=$B$5,H1193=$B$6,H1193=$B$7,H1193=$B$8,H1193=$B$9,H1193=$B$10,H1193=$B$11,H1193=$B$12,H1193=$B$13,H1193=$B$14),SottocategorieUscite[[#Headers],[Fuori Casa]],IF(OR(H1193=$C$5,H1193=$C$6,H1193=$C$7,H1193=$C$8,H1193=$C$9,H1193=$C$10,H1193=$C$11,H1193=$C$12,H1193=$C$13,H1193=$C$14),SottocategorieUscite[[#Headers],[Varie Uscite]],IF(OR(H1193=$D$5,H1193=$D$6,H1193=$D$7,H1193=$D$8,H1193=$D$9,H1193=$D$10,H1193=$D$11,H1193=$D$12,H1193=$D$13,H1193=$D$14),SottocategorieUscite[[#Headers],[Personali]],IF(OR(H1193=$E$5,H1193=$E$6,H1193=$E$7,H1193=$E$8,H1193=$E$9,H1193=$E$10,H1193=$E$11,H1193=$E$12,H1193=$E$13,H1193=$E$14),SottocategorieUscite[[#Headers],[Lavoro]],IF(OR(H1193=$F$5,H1193=$F$6,H1193=$F$7,H1193=$F$8,H1193=$F$9,H1193=$F$10,H1193=$F$11,H1193=$F$12,H1193=$F$13,H1193=$F$14),SottocategorieUscite[[#Headers],[Casa]],IF(OR(H1193=$G$5,H1193=$G$6,H1193=$G$7,H1193=$G$8,H1193=$G$9,H1193=$G$10,H1193=$G$11,H1193=$G$12,H1193=$G$13,H1193=$G$14),SottocategorieUscite[[#Headers],[Utenze]],IF(OR(H1193=$H$5,H1193=$H$6,H1193=$H$7,H1193=$H$8,H1193=$H$9,H1193=$H$10,H1193=$H$11,H1193=$H$12,H1193=$H$13,H1193=$H$14),SottocategorieUscite[[#Headers],[Business Uscite]],IF(OR(H1193=$I$5,H1193=$I$6,H1193=$I$7,H1193=$I$8,H1193=$I$9,H1193=$I$10,H1193=$I$11,H1193=$I$12,H1193=$I$13,H1193=$I$14),SottocategorieUscite[[#Headers],[Banca]],IF(OR(H1193=K$5,H1193=K$6,H1193=K$7,H1193=K$8,H1193=K$9,H1193=K$10,H1193=K$11,H1193=K$12,H1193=K$13,H1193=K$14),SottocategorieEntrate[[#Headers],[Business Entrate]],IF(OR(H1193=L$5,H1193=L$6,H1193=L$7,H1193=L$8,H1193=L$9,H1193=L$10,H1193=L$11,H1193=L$12,H1193=L$13,H1193=L$14),SottocategorieEntrate[[#Headers],[Varie Entrate]],IF(OR(H1193=M$5,H1193=M$6,H1193=M$7,H1193=M$8,H1193=M$9,H1193=M$10,H1193=M$11,H1193=M$12,H1193=M$13,H1193=M$14),SottocategorieEntrate[[#Headers],[Real Estate]],IF(OR(H1193=N$5,H1193=N$6,H1193=N$7,H1193=N$8,H1193=N$9,H1193=N$10,H1193=N$11,H1193=N$12,H1193=N$13,H1193=N$14),SottocategorieEntrate[[#Headers],[Other]],""))))))))))))</f>
        <v/>
      </c>
      <c r="J1193" t="str">
        <f>IF(OR(Dati[[#This Row],[Categoria]]="Bollette",Dati[[#This Row],[Categoria]]="Conto &amp; Carte BNL",Dati[[#This Row],[Categoria]]="Prelievo",Dati[[#This Row],[Categoria]]="Affitto",Dati[[#This Row],[Categoria]]="BNL(Interessi Creditori)"),"Carta",IF(Dati[[#This Row],[Categoria]]&lt;&gt;0,"Cash",""))</f>
        <v/>
      </c>
      <c r="K1193" s="59" t="str">
        <f>IF(OR(Data!$I1193=SottocategorieUscite[[#Headers],[Fuori Casa]],Data!$I1193=SottocategorieUscite[[#Headers],[Varie Uscite]],Data!$I1193=SottocategorieUscite[[#Headers],[Personali]],Data!$I1193=SottocategorieUscite[[#Headers],[Lavoro]]),"$ -","")</f>
        <v/>
      </c>
      <c r="L1193" s="59" t="str">
        <f>IF(OR(Data!$I1193=SottocategorieUscite[[#Headers],[Casa]],Data!$I1193=SottocategorieUscite[[#Headers],[Utenze]],Data!$I1193=SottocategorieUscite[[#Headers],[Business Uscite]],Data!$I1193=SottocategorieUscite[[#Headers],[Banca]]),"$ -","")</f>
        <v/>
      </c>
      <c r="M1193" s="59" t="str">
        <f>IF(OR($I1193&lt;&gt;SottocategorieUscite[[#Headers],[Fuori Casa]],$I1193&lt;&gt;SottocategorieUscite[[#Headers],[Varie Uscite]],$I1193&lt;&gt;SottocategorieUscite[[#Headers],[Personali]],$I1193&lt;&gt;SottocategorieUscite[[#Headers],[Lavoro]],$I1193&lt;&gt;SottocategorieUscite[[#Headers],[Casa]],$I1193&lt;&gt;SottocategorieUscite[[#Headers],[Utenze]],$I1193&lt;&gt;SottocategorieUscite[[#Headers],[Business Uscite]],$I1193&lt;&gt;SottocategorieUscite[[#Headers],[Banca]]),"","$ -")</f>
        <v/>
      </c>
      <c r="N1193" s="59" t="str">
        <f>IF(OR(Data!$I1193=SottocategorieEntrate[[#Headers],[Business Entrate]],Data!$I1193=SottocategorieEntrate[[#Headers],[Varie Entrate]]),"$ -","")</f>
        <v/>
      </c>
      <c r="O1193" s="59" t="str">
        <f>IF(OR(Data!$I1193=SottocategorieEntrate[[#Headers],[Real Estate]],SottocategorieEntrate[[#Headers],[Other]]),"$ -","")</f>
        <v/>
      </c>
      <c r="P1193" s="59" t="str">
        <f>IF(OR($I1193&lt;&gt;SottocategorieEntrate[[#Headers],[Business Entrate]],$I1193&lt;&gt;SottocategorieEntrate[[#Headers],[Varie Entrate]],$I1193&lt;&gt;SottocategorieEntrate[[#Headers],[Real Estate]],$I1193&lt;&gt;SottocategorieEntrate[[#Headers],[Other]]),"","$ -")</f>
        <v/>
      </c>
      <c r="Q1193" s="59" t="str">
        <f>IF(Dati[[#This Row],[Categoria]]="Prelievo","€ -","")</f>
        <v/>
      </c>
      <c r="R1193" s="244"/>
      <c r="S1193" s="59" t="str">
        <f>IF(Dati[[#This Row],[Categoria]]="Savings",0,"")</f>
        <v/>
      </c>
      <c r="T1193" s="59"/>
      <c r="U1193" s="59"/>
      <c r="V1193" s="59"/>
      <c r="W1193" s="59"/>
      <c r="X1193" s="59"/>
      <c r="Y1193" s="59"/>
      <c r="Z1193" s="59"/>
      <c r="AA1193" s="59"/>
      <c r="AB1193" s="59"/>
      <c r="AC1193" s="59"/>
      <c r="AD1193" s="59"/>
      <c r="AE1193" s="59"/>
      <c r="AF1193" s="59"/>
      <c r="AG1193" s="59"/>
      <c r="AH1193" s="59"/>
      <c r="AI1193" s="59" t="str">
        <f>IF(SUM(Dati[[#This Row],[Inv. Business]:[Inv. Cryptocurrency]])=0," ",SUM(Dati[[#This Row],[Inv. Business]:[Inv. Cryptocurrency]]))</f>
        <v xml:space="preserve"> </v>
      </c>
      <c r="AJ1193" s="59"/>
      <c r="AK1193" s="59" t="str">
        <f>IF(SUM(Dati[[#This Row],[Inv. Gold]:[Mutuo]])=0," ",SUM(Dati[[#This Row],[Inv. Gold]:[Mutuo]]))</f>
        <v xml:space="preserve"> </v>
      </c>
      <c r="AL1193" s="59"/>
      <c r="AM1193" s="59"/>
    </row>
    <row r="1194" spans="2:39" x14ac:dyDescent="0.35">
      <c r="B1194" s="237">
        <f t="shared" si="77"/>
        <v>1167</v>
      </c>
      <c r="C1194" s="49">
        <f t="shared" ref="C1194" si="80">C1193+1</f>
        <v>45798</v>
      </c>
      <c r="D1194" s="29">
        <f>DAY(Dati[[#This Row],[Data]])</f>
        <v>21</v>
      </c>
      <c r="E1194" s="29" t="str">
        <f>IF(DAY(Data!$C$21:$C$1327)&gt;0,TEXT(Data!$C$21:$C$1327, "mmmm"),"")</f>
        <v>maggio</v>
      </c>
      <c r="F1194" s="29" t="str">
        <f>IF(DAY(Data!$C$21:$C$1327)&gt;0,TEXT(Data!$C$21:$C$1327, "aaaa"),"")</f>
        <v>2025</v>
      </c>
      <c r="I1194" t="str">
        <f>IF(OR(H1194=$B$5,H1194=$B$6,H1194=$B$7,H1194=$B$8,H1194=$B$9,H1194=$B$10,H1194=$B$11,H1194=$B$12,H1194=$B$13,H1194=$B$14),SottocategorieUscite[[#Headers],[Fuori Casa]],IF(OR(H1194=$C$5,H1194=$C$6,H1194=$C$7,H1194=$C$8,H1194=$C$9,H1194=$C$10,H1194=$C$11,H1194=$C$12,H1194=$C$13,H1194=$C$14),SottocategorieUscite[[#Headers],[Varie Uscite]],IF(OR(H1194=$D$5,H1194=$D$6,H1194=$D$7,H1194=$D$8,H1194=$D$9,H1194=$D$10,H1194=$D$11,H1194=$D$12,H1194=$D$13,H1194=$D$14),SottocategorieUscite[[#Headers],[Personali]],IF(OR(H1194=$E$5,H1194=$E$6,H1194=$E$7,H1194=$E$8,H1194=$E$9,H1194=$E$10,H1194=$E$11,H1194=$E$12,H1194=$E$13,H1194=$E$14),SottocategorieUscite[[#Headers],[Lavoro]],IF(OR(H1194=$F$5,H1194=$F$6,H1194=$F$7,H1194=$F$8,H1194=$F$9,H1194=$F$10,H1194=$F$11,H1194=$F$12,H1194=$F$13,H1194=$F$14),SottocategorieUscite[[#Headers],[Casa]],IF(OR(H1194=$G$5,H1194=$G$6,H1194=$G$7,H1194=$G$8,H1194=$G$9,H1194=$G$10,H1194=$G$11,H1194=$G$12,H1194=$G$13,H1194=$G$14),SottocategorieUscite[[#Headers],[Utenze]],IF(OR(H1194=$H$5,H1194=$H$6,H1194=$H$7,H1194=$H$8,H1194=$H$9,H1194=$H$10,H1194=$H$11,H1194=$H$12,H1194=$H$13,H1194=$H$14),SottocategorieUscite[[#Headers],[Business Uscite]],IF(OR(H1194=$I$5,H1194=$I$6,H1194=$I$7,H1194=$I$8,H1194=$I$9,H1194=$I$10,H1194=$I$11,H1194=$I$12,H1194=$I$13,H1194=$I$14),SottocategorieUscite[[#Headers],[Banca]],IF(OR(H1194=K$5,H1194=K$6,H1194=K$7,H1194=K$8,H1194=K$9,H1194=K$10,H1194=K$11,H1194=K$12,H1194=K$13,H1194=K$14),SottocategorieEntrate[[#Headers],[Business Entrate]],IF(OR(H1194=L$5,H1194=L$6,H1194=L$7,H1194=L$8,H1194=L$9,H1194=L$10,H1194=L$11,H1194=L$12,H1194=L$13,H1194=L$14),SottocategorieEntrate[[#Headers],[Varie Entrate]],IF(OR(H1194=M$5,H1194=M$6,H1194=M$7,H1194=M$8,H1194=M$9,H1194=M$10,H1194=M$11,H1194=M$12,H1194=M$13,H1194=M$14),SottocategorieEntrate[[#Headers],[Real Estate]],IF(OR(H1194=N$5,H1194=N$6,H1194=N$7,H1194=N$8,H1194=N$9,H1194=N$10,H1194=N$11,H1194=N$12,H1194=N$13,H1194=N$14),SottocategorieEntrate[[#Headers],[Other]],""))))))))))))</f>
        <v/>
      </c>
      <c r="J1194" t="str">
        <f>IF(OR(Dati[[#This Row],[Categoria]]="Bollette",Dati[[#This Row],[Categoria]]="Conto &amp; Carte BNL",Dati[[#This Row],[Categoria]]="Prelievo",Dati[[#This Row],[Categoria]]="Affitto",Dati[[#This Row],[Categoria]]="BNL(Interessi Creditori)"),"Carta",IF(Dati[[#This Row],[Categoria]]&lt;&gt;0,"Cash",""))</f>
        <v/>
      </c>
      <c r="K1194" s="59" t="str">
        <f>IF(OR(Data!$I1194=SottocategorieUscite[[#Headers],[Fuori Casa]],Data!$I1194=SottocategorieUscite[[#Headers],[Varie Uscite]],Data!$I1194=SottocategorieUscite[[#Headers],[Personali]],Data!$I1194=SottocategorieUscite[[#Headers],[Lavoro]]),"$ -","")</f>
        <v/>
      </c>
      <c r="L1194" s="59" t="str">
        <f>IF(OR(Data!$I1194=SottocategorieUscite[[#Headers],[Casa]],Data!$I1194=SottocategorieUscite[[#Headers],[Utenze]],Data!$I1194=SottocategorieUscite[[#Headers],[Business Uscite]],Data!$I1194=SottocategorieUscite[[#Headers],[Banca]]),"$ -","")</f>
        <v/>
      </c>
      <c r="M1194" s="59" t="str">
        <f>IF(OR($I1194&lt;&gt;SottocategorieUscite[[#Headers],[Fuori Casa]],$I1194&lt;&gt;SottocategorieUscite[[#Headers],[Varie Uscite]],$I1194&lt;&gt;SottocategorieUscite[[#Headers],[Personali]],$I1194&lt;&gt;SottocategorieUscite[[#Headers],[Lavoro]],$I1194&lt;&gt;SottocategorieUscite[[#Headers],[Casa]],$I1194&lt;&gt;SottocategorieUscite[[#Headers],[Utenze]],$I1194&lt;&gt;SottocategorieUscite[[#Headers],[Business Uscite]],$I1194&lt;&gt;SottocategorieUscite[[#Headers],[Banca]]),"","$ -")</f>
        <v/>
      </c>
      <c r="N1194" s="59" t="str">
        <f>IF(OR(Data!$I1194=SottocategorieEntrate[[#Headers],[Business Entrate]],Data!$I1194=SottocategorieEntrate[[#Headers],[Varie Entrate]]),"$ -","")</f>
        <v/>
      </c>
      <c r="O1194" s="59" t="str">
        <f>IF(OR(Data!$I1194=SottocategorieEntrate[[#Headers],[Real Estate]],SottocategorieEntrate[[#Headers],[Other]]),"$ -","")</f>
        <v/>
      </c>
      <c r="P1194" s="59" t="str">
        <f>IF(OR($I1194&lt;&gt;SottocategorieEntrate[[#Headers],[Business Entrate]],$I1194&lt;&gt;SottocategorieEntrate[[#Headers],[Varie Entrate]],$I1194&lt;&gt;SottocategorieEntrate[[#Headers],[Real Estate]],$I1194&lt;&gt;SottocategorieEntrate[[#Headers],[Other]]),"","$ -")</f>
        <v/>
      </c>
      <c r="Q1194" s="59" t="str">
        <f>IF(Dati[[#This Row],[Categoria]]="Prelievo","€ -","")</f>
        <v/>
      </c>
      <c r="R1194" s="244"/>
      <c r="S1194" s="59" t="str">
        <f>IF(Dati[[#This Row],[Categoria]]="Savings",0,"")</f>
        <v/>
      </c>
      <c r="T1194" s="59"/>
      <c r="U1194" s="59"/>
      <c r="V1194" s="59"/>
      <c r="W1194" s="59"/>
      <c r="X1194" s="59"/>
      <c r="Y1194" s="59"/>
      <c r="Z1194" s="59"/>
      <c r="AA1194" s="59"/>
      <c r="AB1194" s="59"/>
      <c r="AC1194" s="59"/>
      <c r="AD1194" s="59"/>
      <c r="AE1194" s="59"/>
      <c r="AF1194" s="59"/>
      <c r="AG1194" s="59"/>
      <c r="AH1194" s="59"/>
      <c r="AI1194" s="59" t="str">
        <f>IF(SUM(Dati[[#This Row],[Inv. Business]:[Inv. Cryptocurrency]])=0," ",SUM(Dati[[#This Row],[Inv. Business]:[Inv. Cryptocurrency]]))</f>
        <v xml:space="preserve"> </v>
      </c>
      <c r="AJ1194" s="59"/>
      <c r="AK1194" s="59" t="str">
        <f>IF(SUM(Dati[[#This Row],[Inv. Gold]:[Mutuo]])=0," ",SUM(Dati[[#This Row],[Inv. Gold]:[Mutuo]]))</f>
        <v xml:space="preserve"> </v>
      </c>
      <c r="AL1194" s="59"/>
      <c r="AM1194" s="59"/>
    </row>
    <row r="1195" spans="2:39" x14ac:dyDescent="0.35">
      <c r="B1195" s="237">
        <f>ROW(1167:1167)</f>
        <v>1167</v>
      </c>
      <c r="C1195" s="49">
        <f t="shared" ref="C1195" si="81">C1193+1</f>
        <v>45798</v>
      </c>
      <c r="D1195" s="29">
        <f>DAY(Dati[[#This Row],[Data]])</f>
        <v>21</v>
      </c>
      <c r="E1195" s="29" t="str">
        <f>IF(DAY(Data!$C$21:$C$1327)&gt;0,TEXT(Data!$C$21:$C$1327, "mmmm"),"")</f>
        <v>maggio</v>
      </c>
      <c r="F1195" s="29" t="str">
        <f>IF(DAY(Data!$C$21:$C$1327)&gt;0,TEXT(Data!$C$21:$C$1327, "aaaa"),"")</f>
        <v>2025</v>
      </c>
      <c r="I1195" t="str">
        <f>IF(OR(H1195=$B$5,H1195=$B$6,H1195=$B$7,H1195=$B$8,H1195=$B$9,H1195=$B$10,H1195=$B$11,H1195=$B$12,H1195=$B$13,H1195=$B$14),SottocategorieUscite[[#Headers],[Fuori Casa]],IF(OR(H1195=$C$5,H1195=$C$6,H1195=$C$7,H1195=$C$8,H1195=$C$9,H1195=$C$10,H1195=$C$11,H1195=$C$12,H1195=$C$13,H1195=$C$14),SottocategorieUscite[[#Headers],[Varie Uscite]],IF(OR(H1195=$D$5,H1195=$D$6,H1195=$D$7,H1195=$D$8,H1195=$D$9,H1195=$D$10,H1195=$D$11,H1195=$D$12,H1195=$D$13,H1195=$D$14),SottocategorieUscite[[#Headers],[Personali]],IF(OR(H1195=$E$5,H1195=$E$6,H1195=$E$7,H1195=$E$8,H1195=$E$9,H1195=$E$10,H1195=$E$11,H1195=$E$12,H1195=$E$13,H1195=$E$14),SottocategorieUscite[[#Headers],[Lavoro]],IF(OR(H1195=$F$5,H1195=$F$6,H1195=$F$7,H1195=$F$8,H1195=$F$9,H1195=$F$10,H1195=$F$11,H1195=$F$12,H1195=$F$13,H1195=$F$14),SottocategorieUscite[[#Headers],[Casa]],IF(OR(H1195=$G$5,H1195=$G$6,H1195=$G$7,H1195=$G$8,H1195=$G$9,H1195=$G$10,H1195=$G$11,H1195=$G$12,H1195=$G$13,H1195=$G$14),SottocategorieUscite[[#Headers],[Utenze]],IF(OR(H1195=$H$5,H1195=$H$6,H1195=$H$7,H1195=$H$8,H1195=$H$9,H1195=$H$10,H1195=$H$11,H1195=$H$12,H1195=$H$13,H1195=$H$14),SottocategorieUscite[[#Headers],[Business Uscite]],IF(OR(H1195=$I$5,H1195=$I$6,H1195=$I$7,H1195=$I$8,H1195=$I$9,H1195=$I$10,H1195=$I$11,H1195=$I$12,H1195=$I$13,H1195=$I$14),SottocategorieUscite[[#Headers],[Banca]],IF(OR(H1195=K$5,H1195=K$6,H1195=K$7,H1195=K$8,H1195=K$9,H1195=K$10,H1195=K$11,H1195=K$12,H1195=K$13,H1195=K$14),SottocategorieEntrate[[#Headers],[Business Entrate]],IF(OR(H1195=L$5,H1195=L$6,H1195=L$7,H1195=L$8,H1195=L$9,H1195=L$10,H1195=L$11,H1195=L$12,H1195=L$13,H1195=L$14),SottocategorieEntrate[[#Headers],[Varie Entrate]],IF(OR(H1195=M$5,H1195=M$6,H1195=M$7,H1195=M$8,H1195=M$9,H1195=M$10,H1195=M$11,H1195=M$12,H1195=M$13,H1195=M$14),SottocategorieEntrate[[#Headers],[Real Estate]],IF(OR(H1195=N$5,H1195=N$6,H1195=N$7,H1195=N$8,H1195=N$9,H1195=N$10,H1195=N$11,H1195=N$12,H1195=N$13,H1195=N$14),SottocategorieEntrate[[#Headers],[Other]],""))))))))))))</f>
        <v/>
      </c>
      <c r="J1195" t="str">
        <f>IF(OR(Dati[[#This Row],[Categoria]]="Bollette",Dati[[#This Row],[Categoria]]="Conto &amp; Carte BNL",Dati[[#This Row],[Categoria]]="Prelievo",Dati[[#This Row],[Categoria]]="Affitto",Dati[[#This Row],[Categoria]]="BNL(Interessi Creditori)"),"Carta",IF(Dati[[#This Row],[Categoria]]&lt;&gt;0,"Cash",""))</f>
        <v/>
      </c>
      <c r="K1195" s="59" t="str">
        <f>IF(OR(Data!$I1195=SottocategorieUscite[[#Headers],[Fuori Casa]],Data!$I1195=SottocategorieUscite[[#Headers],[Varie Uscite]],Data!$I1195=SottocategorieUscite[[#Headers],[Personali]],Data!$I1195=SottocategorieUscite[[#Headers],[Lavoro]]),"$ -","")</f>
        <v/>
      </c>
      <c r="L1195" s="59" t="str">
        <f>IF(OR(Data!$I1195=SottocategorieUscite[[#Headers],[Casa]],Data!$I1195=SottocategorieUscite[[#Headers],[Utenze]],Data!$I1195=SottocategorieUscite[[#Headers],[Business Uscite]],Data!$I1195=SottocategorieUscite[[#Headers],[Banca]]),"$ -","")</f>
        <v/>
      </c>
      <c r="M1195" s="59" t="str">
        <f>IF(OR($I1195&lt;&gt;SottocategorieUscite[[#Headers],[Fuori Casa]],$I1195&lt;&gt;SottocategorieUscite[[#Headers],[Varie Uscite]],$I1195&lt;&gt;SottocategorieUscite[[#Headers],[Personali]],$I1195&lt;&gt;SottocategorieUscite[[#Headers],[Lavoro]],$I1195&lt;&gt;SottocategorieUscite[[#Headers],[Casa]],$I1195&lt;&gt;SottocategorieUscite[[#Headers],[Utenze]],$I1195&lt;&gt;SottocategorieUscite[[#Headers],[Business Uscite]],$I1195&lt;&gt;SottocategorieUscite[[#Headers],[Banca]]),"","$ -")</f>
        <v/>
      </c>
      <c r="N1195" s="59" t="str">
        <f>IF(OR(Data!$I1195=SottocategorieEntrate[[#Headers],[Business Entrate]],Data!$I1195=SottocategorieEntrate[[#Headers],[Varie Entrate]]),"$ -","")</f>
        <v/>
      </c>
      <c r="O1195" s="59" t="str">
        <f>IF(OR(Data!$I1195=SottocategorieEntrate[[#Headers],[Real Estate]],SottocategorieEntrate[[#Headers],[Other]]),"$ -","")</f>
        <v/>
      </c>
      <c r="P1195" s="59" t="str">
        <f>IF(OR($I1195&lt;&gt;SottocategorieEntrate[[#Headers],[Business Entrate]],$I1195&lt;&gt;SottocategorieEntrate[[#Headers],[Varie Entrate]],$I1195&lt;&gt;SottocategorieEntrate[[#Headers],[Real Estate]],$I1195&lt;&gt;SottocategorieEntrate[[#Headers],[Other]]),"","$ -")</f>
        <v/>
      </c>
      <c r="Q1195" s="59" t="str">
        <f>IF(Dati[[#This Row],[Categoria]]="Prelievo","€ -","")</f>
        <v/>
      </c>
      <c r="R1195" s="244"/>
      <c r="S1195" s="59" t="str">
        <f>IF(Dati[[#This Row],[Categoria]]="Savings",0,"")</f>
        <v/>
      </c>
      <c r="T1195" s="59"/>
      <c r="U1195" s="59"/>
      <c r="V1195" s="59"/>
      <c r="W1195" s="59"/>
      <c r="X1195" s="59"/>
      <c r="Y1195" s="59"/>
      <c r="Z1195" s="59"/>
      <c r="AA1195" s="59"/>
      <c r="AB1195" s="59"/>
      <c r="AC1195" s="59"/>
      <c r="AD1195" s="59"/>
      <c r="AE1195" s="59"/>
      <c r="AF1195" s="59"/>
      <c r="AG1195" s="59"/>
      <c r="AH1195" s="59"/>
      <c r="AI1195" s="59" t="str">
        <f>IF(SUM(Dati[[#This Row],[Inv. Business]:[Inv. Cryptocurrency]])=0," ",SUM(Dati[[#This Row],[Inv. Business]:[Inv. Cryptocurrency]]))</f>
        <v xml:space="preserve"> </v>
      </c>
      <c r="AJ1195" s="59"/>
      <c r="AK1195" s="59" t="str">
        <f>IF(SUM(Dati[[#This Row],[Inv. Gold]:[Mutuo]])=0," ",SUM(Dati[[#This Row],[Inv. Gold]:[Mutuo]]))</f>
        <v xml:space="preserve"> </v>
      </c>
      <c r="AL1195" s="59"/>
      <c r="AM1195" s="59"/>
    </row>
    <row r="1196" spans="2:39" x14ac:dyDescent="0.35">
      <c r="B1196" s="237">
        <f>ROW(1167:1167)</f>
        <v>1167</v>
      </c>
      <c r="C1196" s="49">
        <f>C1193+1</f>
        <v>45798</v>
      </c>
      <c r="D1196" s="29">
        <f>DAY(Dati[[#This Row],[Data]])</f>
        <v>21</v>
      </c>
      <c r="E1196" s="29" t="str">
        <f>IF(DAY(Data!$C$21:$C$1327)&gt;0,TEXT(Data!$C$21:$C$1327, "mmmm"),"")</f>
        <v>maggio</v>
      </c>
      <c r="F1196" s="29" t="str">
        <f>IF(DAY(Data!$C$21:$C$1327)&gt;0,TEXT(Data!$C$21:$C$1327, "aaaa"),"")</f>
        <v>2025</v>
      </c>
      <c r="I1196" t="str">
        <f>IF(OR(H1196=$B$5,H1196=$B$6,H1196=$B$7,H1196=$B$8,H1196=$B$9,H1196=$B$10,H1196=$B$11,H1196=$B$12,H1196=$B$13,H1196=$B$14),SottocategorieUscite[[#Headers],[Fuori Casa]],IF(OR(H1196=$C$5,H1196=$C$6,H1196=$C$7,H1196=$C$8,H1196=$C$9,H1196=$C$10,H1196=$C$11,H1196=$C$12,H1196=$C$13,H1196=$C$14),SottocategorieUscite[[#Headers],[Varie Uscite]],IF(OR(H1196=$D$5,H1196=$D$6,H1196=$D$7,H1196=$D$8,H1196=$D$9,H1196=$D$10,H1196=$D$11,H1196=$D$12,H1196=$D$13,H1196=$D$14),SottocategorieUscite[[#Headers],[Personali]],IF(OR(H1196=$E$5,H1196=$E$6,H1196=$E$7,H1196=$E$8,H1196=$E$9,H1196=$E$10,H1196=$E$11,H1196=$E$12,H1196=$E$13,H1196=$E$14),SottocategorieUscite[[#Headers],[Lavoro]],IF(OR(H1196=$F$5,H1196=$F$6,H1196=$F$7,H1196=$F$8,H1196=$F$9,H1196=$F$10,H1196=$F$11,H1196=$F$12,H1196=$F$13,H1196=$F$14),SottocategorieUscite[[#Headers],[Casa]],IF(OR(H1196=$G$5,H1196=$G$6,H1196=$G$7,H1196=$G$8,H1196=$G$9,H1196=$G$10,H1196=$G$11,H1196=$G$12,H1196=$G$13,H1196=$G$14),SottocategorieUscite[[#Headers],[Utenze]],IF(OR(H1196=$H$5,H1196=$H$6,H1196=$H$7,H1196=$H$8,H1196=$H$9,H1196=$H$10,H1196=$H$11,H1196=$H$12,H1196=$H$13,H1196=$H$14),SottocategorieUscite[[#Headers],[Business Uscite]],IF(OR(H1196=$I$5,H1196=$I$6,H1196=$I$7,H1196=$I$8,H1196=$I$9,H1196=$I$10,H1196=$I$11,H1196=$I$12,H1196=$I$13,H1196=$I$14),SottocategorieUscite[[#Headers],[Banca]],IF(OR(H1196=K$5,H1196=K$6,H1196=K$7,H1196=K$8,H1196=K$9,H1196=K$10,H1196=K$11,H1196=K$12,H1196=K$13,H1196=K$14),SottocategorieEntrate[[#Headers],[Business Entrate]],IF(OR(H1196=L$5,H1196=L$6,H1196=L$7,H1196=L$8,H1196=L$9,H1196=L$10,H1196=L$11,H1196=L$12,H1196=L$13,H1196=L$14),SottocategorieEntrate[[#Headers],[Varie Entrate]],IF(OR(H1196=M$5,H1196=M$6,H1196=M$7,H1196=M$8,H1196=M$9,H1196=M$10,H1196=M$11,H1196=M$12,H1196=M$13,H1196=M$14),SottocategorieEntrate[[#Headers],[Real Estate]],IF(OR(H1196=N$5,H1196=N$6,H1196=N$7,H1196=N$8,H1196=N$9,H1196=N$10,H1196=N$11,H1196=N$12,H1196=N$13,H1196=N$14),SottocategorieEntrate[[#Headers],[Other]],""))))))))))))</f>
        <v/>
      </c>
      <c r="J1196" t="str">
        <f>IF(OR(Dati[[#This Row],[Categoria]]="Bollette",Dati[[#This Row],[Categoria]]="Conto &amp; Carte BNL",Dati[[#This Row],[Categoria]]="Prelievo",Dati[[#This Row],[Categoria]]="Affitto",Dati[[#This Row],[Categoria]]="BNL(Interessi Creditori)"),"Carta",IF(Dati[[#This Row],[Categoria]]&lt;&gt;0,"Cash",""))</f>
        <v/>
      </c>
      <c r="K1196" s="59" t="str">
        <f>IF(OR(Data!$I1196=SottocategorieUscite[[#Headers],[Fuori Casa]],Data!$I1196=SottocategorieUscite[[#Headers],[Varie Uscite]],Data!$I1196=SottocategorieUscite[[#Headers],[Personali]],Data!$I1196=SottocategorieUscite[[#Headers],[Lavoro]]),"$ -","")</f>
        <v/>
      </c>
      <c r="L1196" s="59" t="str">
        <f>IF(OR(Data!$I1196=SottocategorieUscite[[#Headers],[Casa]],Data!$I1196=SottocategorieUscite[[#Headers],[Utenze]],Data!$I1196=SottocategorieUscite[[#Headers],[Business Uscite]],Data!$I1196=SottocategorieUscite[[#Headers],[Banca]]),"$ -","")</f>
        <v/>
      </c>
      <c r="M1196" s="59" t="str">
        <f>IF(OR($I1196&lt;&gt;SottocategorieUscite[[#Headers],[Fuori Casa]],$I1196&lt;&gt;SottocategorieUscite[[#Headers],[Varie Uscite]],$I1196&lt;&gt;SottocategorieUscite[[#Headers],[Personali]],$I1196&lt;&gt;SottocategorieUscite[[#Headers],[Lavoro]],$I1196&lt;&gt;SottocategorieUscite[[#Headers],[Casa]],$I1196&lt;&gt;SottocategorieUscite[[#Headers],[Utenze]],$I1196&lt;&gt;SottocategorieUscite[[#Headers],[Business Uscite]],$I1196&lt;&gt;SottocategorieUscite[[#Headers],[Banca]]),"","$ -")</f>
        <v/>
      </c>
      <c r="N1196" s="59" t="str">
        <f>IF(OR(Data!$I1196=SottocategorieEntrate[[#Headers],[Business Entrate]],Data!$I1196=SottocategorieEntrate[[#Headers],[Varie Entrate]]),"$ -","")</f>
        <v/>
      </c>
      <c r="O1196" s="59" t="str">
        <f>IF(OR(Data!$I1196=SottocategorieEntrate[[#Headers],[Real Estate]],SottocategorieEntrate[[#Headers],[Other]]),"$ -","")</f>
        <v/>
      </c>
      <c r="P1196" s="59" t="str">
        <f>IF(OR($I1196&lt;&gt;SottocategorieEntrate[[#Headers],[Business Entrate]],$I1196&lt;&gt;SottocategorieEntrate[[#Headers],[Varie Entrate]],$I1196&lt;&gt;SottocategorieEntrate[[#Headers],[Real Estate]],$I1196&lt;&gt;SottocategorieEntrate[[#Headers],[Other]]),"","$ -")</f>
        <v/>
      </c>
      <c r="Q1196" s="59" t="str">
        <f>IF(Dati[[#This Row],[Categoria]]="Prelievo","€ -","")</f>
        <v/>
      </c>
      <c r="R1196" s="244"/>
      <c r="S1196" s="59" t="str">
        <f>IF(Dati[[#This Row],[Categoria]]="Savings",0,"")</f>
        <v/>
      </c>
      <c r="T1196" s="59"/>
      <c r="U1196" s="59"/>
      <c r="V1196" s="59"/>
      <c r="W1196" s="59"/>
      <c r="X1196" s="59"/>
      <c r="Y1196" s="59"/>
      <c r="Z1196" s="59"/>
      <c r="AA1196" s="59"/>
      <c r="AB1196" s="59"/>
      <c r="AC1196" s="59"/>
      <c r="AD1196" s="59"/>
      <c r="AE1196" s="59"/>
      <c r="AF1196" s="59"/>
      <c r="AG1196" s="59"/>
      <c r="AH1196" s="59"/>
      <c r="AI1196" s="59" t="str">
        <f>IF(SUM(Dati[[#This Row],[Inv. Business]:[Inv. Cryptocurrency]])=0," ",SUM(Dati[[#This Row],[Inv. Business]:[Inv. Cryptocurrency]]))</f>
        <v xml:space="preserve"> </v>
      </c>
      <c r="AJ1196" s="59"/>
      <c r="AK1196" s="59" t="str">
        <f>IF(SUM(Dati[[#This Row],[Inv. Gold]:[Mutuo]])=0," ",SUM(Dati[[#This Row],[Inv. Gold]:[Mutuo]]))</f>
        <v xml:space="preserve"> </v>
      </c>
      <c r="AL1196" s="59"/>
      <c r="AM1196" s="59"/>
    </row>
    <row r="1197" spans="2:39" x14ac:dyDescent="0.35">
      <c r="B1197" s="237">
        <f t="shared" ref="B1197:B1203" si="82">ROW(1167:1167)</f>
        <v>1167</v>
      </c>
      <c r="C1197" s="49">
        <f>C1193+1</f>
        <v>45798</v>
      </c>
      <c r="D1197" s="29">
        <f>DAY(Dati[[#This Row],[Data]])</f>
        <v>21</v>
      </c>
      <c r="E1197" s="29" t="str">
        <f>IF(DAY(Data!$C$21:$C$1327)&gt;0,TEXT(Data!$C$21:$C$1327, "mmmm"),"")</f>
        <v>maggio</v>
      </c>
      <c r="F1197" s="29" t="str">
        <f>IF(DAY(Data!$C$21:$C$1327)&gt;0,TEXT(Data!$C$21:$C$1327, "aaaa"),"")</f>
        <v>2025</v>
      </c>
      <c r="I1197" t="str">
        <f>IF(OR(H1197=$B$5,H1197=$B$6,H1197=$B$7,H1197=$B$8,H1197=$B$9,H1197=$B$10,H1197=$B$11,H1197=$B$12,H1197=$B$13,H1197=$B$14),SottocategorieUscite[[#Headers],[Fuori Casa]],IF(OR(H1197=$C$5,H1197=$C$6,H1197=$C$7,H1197=$C$8,H1197=$C$9,H1197=$C$10,H1197=$C$11,H1197=$C$12,H1197=$C$13,H1197=$C$14),SottocategorieUscite[[#Headers],[Varie Uscite]],IF(OR(H1197=$D$5,H1197=$D$6,H1197=$D$7,H1197=$D$8,H1197=$D$9,H1197=$D$10,H1197=$D$11,H1197=$D$12,H1197=$D$13,H1197=$D$14),SottocategorieUscite[[#Headers],[Personali]],IF(OR(H1197=$E$5,H1197=$E$6,H1197=$E$7,H1197=$E$8,H1197=$E$9,H1197=$E$10,H1197=$E$11,H1197=$E$12,H1197=$E$13,H1197=$E$14),SottocategorieUscite[[#Headers],[Lavoro]],IF(OR(H1197=$F$5,H1197=$F$6,H1197=$F$7,H1197=$F$8,H1197=$F$9,H1197=$F$10,H1197=$F$11,H1197=$F$12,H1197=$F$13,H1197=$F$14),SottocategorieUscite[[#Headers],[Casa]],IF(OR(H1197=$G$5,H1197=$G$6,H1197=$G$7,H1197=$G$8,H1197=$G$9,H1197=$G$10,H1197=$G$11,H1197=$G$12,H1197=$G$13,H1197=$G$14),SottocategorieUscite[[#Headers],[Utenze]],IF(OR(H1197=$H$5,H1197=$H$6,H1197=$H$7,H1197=$H$8,H1197=$H$9,H1197=$H$10,H1197=$H$11,H1197=$H$12,H1197=$H$13,H1197=$H$14),SottocategorieUscite[[#Headers],[Business Uscite]],IF(OR(H1197=$I$5,H1197=$I$6,H1197=$I$7,H1197=$I$8,H1197=$I$9,H1197=$I$10,H1197=$I$11,H1197=$I$12,H1197=$I$13,H1197=$I$14),SottocategorieUscite[[#Headers],[Banca]],IF(OR(H1197=K$5,H1197=K$6,H1197=K$7,H1197=K$8,H1197=K$9,H1197=K$10,H1197=K$11,H1197=K$12,H1197=K$13,H1197=K$14),SottocategorieEntrate[[#Headers],[Business Entrate]],IF(OR(H1197=L$5,H1197=L$6,H1197=L$7,H1197=L$8,H1197=L$9,H1197=L$10,H1197=L$11,H1197=L$12,H1197=L$13,H1197=L$14),SottocategorieEntrate[[#Headers],[Varie Entrate]],IF(OR(H1197=M$5,H1197=M$6,H1197=M$7,H1197=M$8,H1197=M$9,H1197=M$10,H1197=M$11,H1197=M$12,H1197=M$13,H1197=M$14),SottocategorieEntrate[[#Headers],[Real Estate]],IF(OR(H1197=N$5,H1197=N$6,H1197=N$7,H1197=N$8,H1197=N$9,H1197=N$10,H1197=N$11,H1197=N$12,H1197=N$13,H1197=N$14),SottocategorieEntrate[[#Headers],[Other]],""))))))))))))</f>
        <v/>
      </c>
      <c r="J1197" t="str">
        <f>IF(OR(Dati[[#This Row],[Categoria]]="Bollette",Dati[[#This Row],[Categoria]]="Conto &amp; Carte BNL",Dati[[#This Row],[Categoria]]="Prelievo",Dati[[#This Row],[Categoria]]="Affitto",Dati[[#This Row],[Categoria]]="BNL(Interessi Creditori)"),"Carta",IF(Dati[[#This Row],[Categoria]]&lt;&gt;0,"Cash",""))</f>
        <v/>
      </c>
      <c r="K1197" s="59" t="str">
        <f>IF(OR(Data!$I1197=SottocategorieUscite[[#Headers],[Fuori Casa]],Data!$I1197=SottocategorieUscite[[#Headers],[Varie Uscite]],Data!$I1197=SottocategorieUscite[[#Headers],[Personali]],Data!$I1197=SottocategorieUscite[[#Headers],[Lavoro]]),"$ -","")</f>
        <v/>
      </c>
      <c r="L1197" s="59" t="str">
        <f>IF(OR(Data!$I1197=SottocategorieUscite[[#Headers],[Casa]],Data!$I1197=SottocategorieUscite[[#Headers],[Utenze]],Data!$I1197=SottocategorieUscite[[#Headers],[Business Uscite]],Data!$I1197=SottocategorieUscite[[#Headers],[Banca]]),"$ -","")</f>
        <v/>
      </c>
      <c r="M1197" s="59" t="str">
        <f>IF(OR($I1197&lt;&gt;SottocategorieUscite[[#Headers],[Fuori Casa]],$I1197&lt;&gt;SottocategorieUscite[[#Headers],[Varie Uscite]],$I1197&lt;&gt;SottocategorieUscite[[#Headers],[Personali]],$I1197&lt;&gt;SottocategorieUscite[[#Headers],[Lavoro]],$I1197&lt;&gt;SottocategorieUscite[[#Headers],[Casa]],$I1197&lt;&gt;SottocategorieUscite[[#Headers],[Utenze]],$I1197&lt;&gt;SottocategorieUscite[[#Headers],[Business Uscite]],$I1197&lt;&gt;SottocategorieUscite[[#Headers],[Banca]]),"","$ -")</f>
        <v/>
      </c>
      <c r="N1197" s="59" t="str">
        <f>IF(OR(Data!$I1197=SottocategorieEntrate[[#Headers],[Business Entrate]],Data!$I1197=SottocategorieEntrate[[#Headers],[Varie Entrate]]),"$ -","")</f>
        <v/>
      </c>
      <c r="O1197" s="59" t="str">
        <f>IF(OR(Data!$I1197=SottocategorieEntrate[[#Headers],[Real Estate]],SottocategorieEntrate[[#Headers],[Other]]),"$ -","")</f>
        <v/>
      </c>
      <c r="P1197" s="59" t="str">
        <f>IF(OR($I1197&lt;&gt;SottocategorieEntrate[[#Headers],[Business Entrate]],$I1197&lt;&gt;SottocategorieEntrate[[#Headers],[Varie Entrate]],$I1197&lt;&gt;SottocategorieEntrate[[#Headers],[Real Estate]],$I1197&lt;&gt;SottocategorieEntrate[[#Headers],[Other]]),"","$ -")</f>
        <v/>
      </c>
      <c r="Q1197" s="59" t="str">
        <f>IF(Dati[[#This Row],[Categoria]]="Prelievo","€ -","")</f>
        <v/>
      </c>
      <c r="R1197" s="244"/>
      <c r="S1197" s="59" t="str">
        <f>IF(Dati[[#This Row],[Categoria]]="Savings",0,"")</f>
        <v/>
      </c>
      <c r="T1197" s="59"/>
      <c r="U1197" s="59"/>
      <c r="V1197" s="59"/>
      <c r="W1197" s="59"/>
      <c r="X1197" s="59"/>
      <c r="Y1197" s="59"/>
      <c r="Z1197" s="59"/>
      <c r="AA1197" s="59"/>
      <c r="AB1197" s="59"/>
      <c r="AC1197" s="59"/>
      <c r="AD1197" s="59"/>
      <c r="AE1197" s="59"/>
      <c r="AF1197" s="59"/>
      <c r="AG1197" s="59"/>
      <c r="AH1197" s="59"/>
      <c r="AI1197" s="59" t="str">
        <f>IF(SUM(Dati[[#This Row],[Inv. Business]:[Inv. Cryptocurrency]])=0," ",SUM(Dati[[#This Row],[Inv. Business]:[Inv. Cryptocurrency]]))</f>
        <v xml:space="preserve"> </v>
      </c>
      <c r="AJ1197" s="59"/>
      <c r="AK1197" s="59" t="str">
        <f>IF(SUM(Dati[[#This Row],[Inv. Gold]:[Mutuo]])=0," ",SUM(Dati[[#This Row],[Inv. Gold]:[Mutuo]]))</f>
        <v xml:space="preserve"> </v>
      </c>
      <c r="AL1197" s="59"/>
      <c r="AM1197" s="59"/>
    </row>
    <row r="1198" spans="2:39" x14ac:dyDescent="0.35">
      <c r="B1198" s="237">
        <f t="shared" si="82"/>
        <v>1168</v>
      </c>
      <c r="C1198" s="49">
        <f>C1194+1</f>
        <v>45799</v>
      </c>
      <c r="D1198" s="29">
        <f>DAY(Dati[[#This Row],[Data]])</f>
        <v>22</v>
      </c>
      <c r="E1198" s="29" t="str">
        <f>IF(DAY(Data!$C$21:$C$1327)&gt;0,TEXT(Data!$C$21:$C$1327, "mmmm"),"")</f>
        <v>maggio</v>
      </c>
      <c r="F1198" s="29" t="str">
        <f>IF(DAY(Data!$C$21:$C$1327)&gt;0,TEXT(Data!$C$21:$C$1327, "aaaa"),"")</f>
        <v>2025</v>
      </c>
      <c r="I1198" t="str">
        <f>IF(OR(H1198=$B$5,H1198=$B$6,H1198=$B$7,H1198=$B$8,H1198=$B$9,H1198=$B$10,H1198=$B$11,H1198=$B$12,H1198=$B$13,H1198=$B$14),SottocategorieUscite[[#Headers],[Fuori Casa]],IF(OR(H1198=$C$5,H1198=$C$6,H1198=$C$7,H1198=$C$8,H1198=$C$9,H1198=$C$10,H1198=$C$11,H1198=$C$12,H1198=$C$13,H1198=$C$14),SottocategorieUscite[[#Headers],[Varie Uscite]],IF(OR(H1198=$D$5,H1198=$D$6,H1198=$D$7,H1198=$D$8,H1198=$D$9,H1198=$D$10,H1198=$D$11,H1198=$D$12,H1198=$D$13,H1198=$D$14),SottocategorieUscite[[#Headers],[Personali]],IF(OR(H1198=$E$5,H1198=$E$6,H1198=$E$7,H1198=$E$8,H1198=$E$9,H1198=$E$10,H1198=$E$11,H1198=$E$12,H1198=$E$13,H1198=$E$14),SottocategorieUscite[[#Headers],[Lavoro]],IF(OR(H1198=$F$5,H1198=$F$6,H1198=$F$7,H1198=$F$8,H1198=$F$9,H1198=$F$10,H1198=$F$11,H1198=$F$12,H1198=$F$13,H1198=$F$14),SottocategorieUscite[[#Headers],[Casa]],IF(OR(H1198=$G$5,H1198=$G$6,H1198=$G$7,H1198=$G$8,H1198=$G$9,H1198=$G$10,H1198=$G$11,H1198=$G$12,H1198=$G$13,H1198=$G$14),SottocategorieUscite[[#Headers],[Utenze]],IF(OR(H1198=$H$5,H1198=$H$6,H1198=$H$7,H1198=$H$8,H1198=$H$9,H1198=$H$10,H1198=$H$11,H1198=$H$12,H1198=$H$13,H1198=$H$14),SottocategorieUscite[[#Headers],[Business Uscite]],IF(OR(H1198=$I$5,H1198=$I$6,H1198=$I$7,H1198=$I$8,H1198=$I$9,H1198=$I$10,H1198=$I$11,H1198=$I$12,H1198=$I$13,H1198=$I$14),SottocategorieUscite[[#Headers],[Banca]],IF(OR(H1198=K$5,H1198=K$6,H1198=K$7,H1198=K$8,H1198=K$9,H1198=K$10,H1198=K$11,H1198=K$12,H1198=K$13,H1198=K$14),SottocategorieEntrate[[#Headers],[Business Entrate]],IF(OR(H1198=L$5,H1198=L$6,H1198=L$7,H1198=L$8,H1198=L$9,H1198=L$10,H1198=L$11,H1198=L$12,H1198=L$13,H1198=L$14),SottocategorieEntrate[[#Headers],[Varie Entrate]],IF(OR(H1198=M$5,H1198=M$6,H1198=M$7,H1198=M$8,H1198=M$9,H1198=M$10,H1198=M$11,H1198=M$12,H1198=M$13,H1198=M$14),SottocategorieEntrate[[#Headers],[Real Estate]],IF(OR(H1198=N$5,H1198=N$6,H1198=N$7,H1198=N$8,H1198=N$9,H1198=N$10,H1198=N$11,H1198=N$12,H1198=N$13,H1198=N$14),SottocategorieEntrate[[#Headers],[Other]],""))))))))))))</f>
        <v/>
      </c>
      <c r="J1198" t="str">
        <f>IF(OR(Dati[[#This Row],[Categoria]]="Bollette",Dati[[#This Row],[Categoria]]="Conto &amp; Carte BNL",Dati[[#This Row],[Categoria]]="Prelievo",Dati[[#This Row],[Categoria]]="Affitto",Dati[[#This Row],[Categoria]]="BNL(Interessi Creditori)"),"Carta",IF(Dati[[#This Row],[Categoria]]&lt;&gt;0,"Cash",""))</f>
        <v/>
      </c>
      <c r="K1198" s="59" t="str">
        <f>IF(OR(Data!$I1198=SottocategorieUscite[[#Headers],[Fuori Casa]],Data!$I1198=SottocategorieUscite[[#Headers],[Varie Uscite]],Data!$I1198=SottocategorieUscite[[#Headers],[Personali]],Data!$I1198=SottocategorieUscite[[#Headers],[Lavoro]]),"$ -","")</f>
        <v/>
      </c>
      <c r="L1198" s="59" t="str">
        <f>IF(OR(Data!$I1198=SottocategorieUscite[[#Headers],[Casa]],Data!$I1198=SottocategorieUscite[[#Headers],[Utenze]],Data!$I1198=SottocategorieUscite[[#Headers],[Business Uscite]],Data!$I1198=SottocategorieUscite[[#Headers],[Banca]]),"$ -","")</f>
        <v/>
      </c>
      <c r="M1198" s="59" t="str">
        <f>IF(OR($I1198&lt;&gt;SottocategorieUscite[[#Headers],[Fuori Casa]],$I1198&lt;&gt;SottocategorieUscite[[#Headers],[Varie Uscite]],$I1198&lt;&gt;SottocategorieUscite[[#Headers],[Personali]],$I1198&lt;&gt;SottocategorieUscite[[#Headers],[Lavoro]],$I1198&lt;&gt;SottocategorieUscite[[#Headers],[Casa]],$I1198&lt;&gt;SottocategorieUscite[[#Headers],[Utenze]],$I1198&lt;&gt;SottocategorieUscite[[#Headers],[Business Uscite]],$I1198&lt;&gt;SottocategorieUscite[[#Headers],[Banca]]),"","$ -")</f>
        <v/>
      </c>
      <c r="N1198" s="59" t="str">
        <f>IF(OR(Data!$I1198=SottocategorieEntrate[[#Headers],[Business Entrate]],Data!$I1198=SottocategorieEntrate[[#Headers],[Varie Entrate]]),"$ -","")</f>
        <v/>
      </c>
      <c r="O1198" s="59" t="str">
        <f>IF(OR(Data!$I1198=SottocategorieEntrate[[#Headers],[Real Estate]],SottocategorieEntrate[[#Headers],[Other]]),"$ -","")</f>
        <v/>
      </c>
      <c r="P1198" s="59" t="str">
        <f>IF(OR($I1198&lt;&gt;SottocategorieEntrate[[#Headers],[Business Entrate]],$I1198&lt;&gt;SottocategorieEntrate[[#Headers],[Varie Entrate]],$I1198&lt;&gt;SottocategorieEntrate[[#Headers],[Real Estate]],$I1198&lt;&gt;SottocategorieEntrate[[#Headers],[Other]]),"","$ -")</f>
        <v/>
      </c>
      <c r="Q1198" s="59" t="str">
        <f>IF(Dati[[#This Row],[Categoria]]="Prelievo","€ -","")</f>
        <v/>
      </c>
      <c r="R1198" s="244"/>
      <c r="S1198" s="59" t="str">
        <f>IF(Dati[[#This Row],[Categoria]]="Savings",0,"")</f>
        <v/>
      </c>
      <c r="T1198" s="59"/>
      <c r="U1198" s="59"/>
      <c r="V1198" s="59"/>
      <c r="W1198" s="59"/>
      <c r="X1198" s="59"/>
      <c r="Y1198" s="59"/>
      <c r="Z1198" s="59"/>
      <c r="AA1198" s="59"/>
      <c r="AB1198" s="59"/>
      <c r="AC1198" s="59"/>
      <c r="AD1198" s="59"/>
      <c r="AE1198" s="59"/>
      <c r="AF1198" s="59"/>
      <c r="AG1198" s="59"/>
      <c r="AH1198" s="59"/>
      <c r="AI1198" s="59" t="str">
        <f>IF(SUM(Dati[[#This Row],[Inv. Business]:[Inv. Cryptocurrency]])=0," ",SUM(Dati[[#This Row],[Inv. Business]:[Inv. Cryptocurrency]]))</f>
        <v xml:space="preserve"> </v>
      </c>
      <c r="AJ1198" s="59"/>
      <c r="AK1198" s="59" t="str">
        <f>IF(SUM(Dati[[#This Row],[Inv. Gold]:[Mutuo]])=0," ",SUM(Dati[[#This Row],[Inv. Gold]:[Mutuo]]))</f>
        <v xml:space="preserve"> </v>
      </c>
      <c r="AL1198" s="59"/>
      <c r="AM1198" s="59"/>
    </row>
    <row r="1199" spans="2:39" x14ac:dyDescent="0.35">
      <c r="B1199" s="237">
        <f t="shared" si="82"/>
        <v>1169</v>
      </c>
      <c r="C1199" s="49">
        <f t="shared" ref="C1199" si="83">C1198+1</f>
        <v>45800</v>
      </c>
      <c r="D1199" s="29">
        <f>DAY(Dati[[#This Row],[Data]])</f>
        <v>23</v>
      </c>
      <c r="E1199" s="29" t="str">
        <f>IF(DAY(Data!$C$21:$C$1327)&gt;0,TEXT(Data!$C$21:$C$1327, "mmmm"),"")</f>
        <v>maggio</v>
      </c>
      <c r="F1199" s="29" t="str">
        <f>IF(DAY(Data!$C$21:$C$1327)&gt;0,TEXT(Data!$C$21:$C$1327, "aaaa"),"")</f>
        <v>2025</v>
      </c>
      <c r="I1199" t="str">
        <f>IF(OR(H1199=$B$5,H1199=$B$6,H1199=$B$7,H1199=$B$8,H1199=$B$9,H1199=$B$10,H1199=$B$11,H1199=$B$12,H1199=$B$13,H1199=$B$14),SottocategorieUscite[[#Headers],[Fuori Casa]],IF(OR(H1199=$C$5,H1199=$C$6,H1199=$C$7,H1199=$C$8,H1199=$C$9,H1199=$C$10,H1199=$C$11,H1199=$C$12,H1199=$C$13,H1199=$C$14),SottocategorieUscite[[#Headers],[Varie Uscite]],IF(OR(H1199=$D$5,H1199=$D$6,H1199=$D$7,H1199=$D$8,H1199=$D$9,H1199=$D$10,H1199=$D$11,H1199=$D$12,H1199=$D$13,H1199=$D$14),SottocategorieUscite[[#Headers],[Personali]],IF(OR(H1199=$E$5,H1199=$E$6,H1199=$E$7,H1199=$E$8,H1199=$E$9,H1199=$E$10,H1199=$E$11,H1199=$E$12,H1199=$E$13,H1199=$E$14),SottocategorieUscite[[#Headers],[Lavoro]],IF(OR(H1199=$F$5,H1199=$F$6,H1199=$F$7,H1199=$F$8,H1199=$F$9,H1199=$F$10,H1199=$F$11,H1199=$F$12,H1199=$F$13,H1199=$F$14),SottocategorieUscite[[#Headers],[Casa]],IF(OR(H1199=$G$5,H1199=$G$6,H1199=$G$7,H1199=$G$8,H1199=$G$9,H1199=$G$10,H1199=$G$11,H1199=$G$12,H1199=$G$13,H1199=$G$14),SottocategorieUscite[[#Headers],[Utenze]],IF(OR(H1199=$H$5,H1199=$H$6,H1199=$H$7,H1199=$H$8,H1199=$H$9,H1199=$H$10,H1199=$H$11,H1199=$H$12,H1199=$H$13,H1199=$H$14),SottocategorieUscite[[#Headers],[Business Uscite]],IF(OR(H1199=$I$5,H1199=$I$6,H1199=$I$7,H1199=$I$8,H1199=$I$9,H1199=$I$10,H1199=$I$11,H1199=$I$12,H1199=$I$13,H1199=$I$14),SottocategorieUscite[[#Headers],[Banca]],IF(OR(H1199=K$5,H1199=K$6,H1199=K$7,H1199=K$8,H1199=K$9,H1199=K$10,H1199=K$11,H1199=K$12,H1199=K$13,H1199=K$14),SottocategorieEntrate[[#Headers],[Business Entrate]],IF(OR(H1199=L$5,H1199=L$6,H1199=L$7,H1199=L$8,H1199=L$9,H1199=L$10,H1199=L$11,H1199=L$12,H1199=L$13,H1199=L$14),SottocategorieEntrate[[#Headers],[Varie Entrate]],IF(OR(H1199=M$5,H1199=M$6,H1199=M$7,H1199=M$8,H1199=M$9,H1199=M$10,H1199=M$11,H1199=M$12,H1199=M$13,H1199=M$14),SottocategorieEntrate[[#Headers],[Real Estate]],IF(OR(H1199=N$5,H1199=N$6,H1199=N$7,H1199=N$8,H1199=N$9,H1199=N$10,H1199=N$11,H1199=N$12,H1199=N$13,H1199=N$14),SottocategorieEntrate[[#Headers],[Other]],""))))))))))))</f>
        <v/>
      </c>
      <c r="J1199" t="str">
        <f>IF(OR(Dati[[#This Row],[Categoria]]="Bollette",Dati[[#This Row],[Categoria]]="Conto &amp; Carte BNL",Dati[[#This Row],[Categoria]]="Prelievo",Dati[[#This Row],[Categoria]]="Affitto",Dati[[#This Row],[Categoria]]="BNL(Interessi Creditori)"),"Carta",IF(Dati[[#This Row],[Categoria]]&lt;&gt;0,"Cash",""))</f>
        <v/>
      </c>
      <c r="K1199" s="59" t="str">
        <f>IF(OR(Data!$I1199=SottocategorieUscite[[#Headers],[Fuori Casa]],Data!$I1199=SottocategorieUscite[[#Headers],[Varie Uscite]],Data!$I1199=SottocategorieUscite[[#Headers],[Personali]],Data!$I1199=SottocategorieUscite[[#Headers],[Lavoro]]),"$ -","")</f>
        <v/>
      </c>
      <c r="L1199" s="59" t="str">
        <f>IF(OR(Data!$I1199=SottocategorieUscite[[#Headers],[Casa]],Data!$I1199=SottocategorieUscite[[#Headers],[Utenze]],Data!$I1199=SottocategorieUscite[[#Headers],[Business Uscite]],Data!$I1199=SottocategorieUscite[[#Headers],[Banca]]),"$ -","")</f>
        <v/>
      </c>
      <c r="M1199" s="59" t="str">
        <f>IF(OR($I1199&lt;&gt;SottocategorieUscite[[#Headers],[Fuori Casa]],$I1199&lt;&gt;SottocategorieUscite[[#Headers],[Varie Uscite]],$I1199&lt;&gt;SottocategorieUscite[[#Headers],[Personali]],$I1199&lt;&gt;SottocategorieUscite[[#Headers],[Lavoro]],$I1199&lt;&gt;SottocategorieUscite[[#Headers],[Casa]],$I1199&lt;&gt;SottocategorieUscite[[#Headers],[Utenze]],$I1199&lt;&gt;SottocategorieUscite[[#Headers],[Business Uscite]],$I1199&lt;&gt;SottocategorieUscite[[#Headers],[Banca]]),"","$ -")</f>
        <v/>
      </c>
      <c r="N1199" s="59" t="str">
        <f>IF(OR(Data!$I1199=SottocategorieEntrate[[#Headers],[Business Entrate]],Data!$I1199=SottocategorieEntrate[[#Headers],[Varie Entrate]]),"$ -","")</f>
        <v/>
      </c>
      <c r="O1199" s="59" t="str">
        <f>IF(OR(Data!$I1199=SottocategorieEntrate[[#Headers],[Real Estate]],SottocategorieEntrate[[#Headers],[Other]]),"$ -","")</f>
        <v/>
      </c>
      <c r="P1199" s="59" t="str">
        <f>IF(OR($I1199&lt;&gt;SottocategorieEntrate[[#Headers],[Business Entrate]],$I1199&lt;&gt;SottocategorieEntrate[[#Headers],[Varie Entrate]],$I1199&lt;&gt;SottocategorieEntrate[[#Headers],[Real Estate]],$I1199&lt;&gt;SottocategorieEntrate[[#Headers],[Other]]),"","$ -")</f>
        <v/>
      </c>
      <c r="Q1199" s="59" t="str">
        <f>IF(Dati[[#This Row],[Categoria]]="Prelievo","€ -","")</f>
        <v/>
      </c>
      <c r="R1199" s="244"/>
      <c r="S1199" s="59" t="str">
        <f>IF(Dati[[#This Row],[Categoria]]="Savings",0,"")</f>
        <v/>
      </c>
      <c r="T1199" s="59"/>
      <c r="U1199" s="59"/>
      <c r="V1199" s="59"/>
      <c r="W1199" s="59"/>
      <c r="X1199" s="59"/>
      <c r="Y1199" s="59"/>
      <c r="Z1199" s="59"/>
      <c r="AA1199" s="59"/>
      <c r="AB1199" s="59"/>
      <c r="AC1199" s="59"/>
      <c r="AD1199" s="59"/>
      <c r="AE1199" s="59"/>
      <c r="AF1199" s="59"/>
      <c r="AG1199" s="59"/>
      <c r="AH1199" s="59"/>
      <c r="AI1199" s="59" t="str">
        <f>IF(SUM(Dati[[#This Row],[Inv. Business]:[Inv. Cryptocurrency]])=0," ",SUM(Dati[[#This Row],[Inv. Business]:[Inv. Cryptocurrency]]))</f>
        <v xml:space="preserve"> </v>
      </c>
      <c r="AJ1199" s="59"/>
      <c r="AK1199" s="59" t="str">
        <f>IF(SUM(Dati[[#This Row],[Inv. Gold]:[Mutuo]])=0," ",SUM(Dati[[#This Row],[Inv. Gold]:[Mutuo]]))</f>
        <v xml:space="preserve"> </v>
      </c>
      <c r="AL1199" s="59"/>
      <c r="AM1199" s="59"/>
    </row>
    <row r="1200" spans="2:39" x14ac:dyDescent="0.35">
      <c r="B1200" s="237">
        <f t="shared" si="82"/>
        <v>1170</v>
      </c>
      <c r="C1200" s="49">
        <f t="shared" ref="C1200" si="84">C1199+1</f>
        <v>45801</v>
      </c>
      <c r="D1200" s="29">
        <f>DAY(Dati[[#This Row],[Data]])</f>
        <v>24</v>
      </c>
      <c r="E1200" s="29" t="str">
        <f>IF(DAY(Data!$C$21:$C$1327)&gt;0,TEXT(Data!$C$21:$C$1327, "mmmm"),"")</f>
        <v>maggio</v>
      </c>
      <c r="F1200" s="29" t="str">
        <f>IF(DAY(Data!$C$21:$C$1327)&gt;0,TEXT(Data!$C$21:$C$1327, "aaaa"),"")</f>
        <v>2025</v>
      </c>
      <c r="I1200" t="str">
        <f>IF(OR(H1200=$B$5,H1200=$B$6,H1200=$B$7,H1200=$B$8,H1200=$B$9,H1200=$B$10,H1200=$B$11,H1200=$B$12,H1200=$B$13,H1200=$B$14),SottocategorieUscite[[#Headers],[Fuori Casa]],IF(OR(H1200=$C$5,H1200=$C$6,H1200=$C$7,H1200=$C$8,H1200=$C$9,H1200=$C$10,H1200=$C$11,H1200=$C$12,H1200=$C$13,H1200=$C$14),SottocategorieUscite[[#Headers],[Varie Uscite]],IF(OR(H1200=$D$5,H1200=$D$6,H1200=$D$7,H1200=$D$8,H1200=$D$9,H1200=$D$10,H1200=$D$11,H1200=$D$12,H1200=$D$13,H1200=$D$14),SottocategorieUscite[[#Headers],[Personali]],IF(OR(H1200=$E$5,H1200=$E$6,H1200=$E$7,H1200=$E$8,H1200=$E$9,H1200=$E$10,H1200=$E$11,H1200=$E$12,H1200=$E$13,H1200=$E$14),SottocategorieUscite[[#Headers],[Lavoro]],IF(OR(H1200=$F$5,H1200=$F$6,H1200=$F$7,H1200=$F$8,H1200=$F$9,H1200=$F$10,H1200=$F$11,H1200=$F$12,H1200=$F$13,H1200=$F$14),SottocategorieUscite[[#Headers],[Casa]],IF(OR(H1200=$G$5,H1200=$G$6,H1200=$G$7,H1200=$G$8,H1200=$G$9,H1200=$G$10,H1200=$G$11,H1200=$G$12,H1200=$G$13,H1200=$G$14),SottocategorieUscite[[#Headers],[Utenze]],IF(OR(H1200=$H$5,H1200=$H$6,H1200=$H$7,H1200=$H$8,H1200=$H$9,H1200=$H$10,H1200=$H$11,H1200=$H$12,H1200=$H$13,H1200=$H$14),SottocategorieUscite[[#Headers],[Business Uscite]],IF(OR(H1200=$I$5,H1200=$I$6,H1200=$I$7,H1200=$I$8,H1200=$I$9,H1200=$I$10,H1200=$I$11,H1200=$I$12,H1200=$I$13,H1200=$I$14),SottocategorieUscite[[#Headers],[Banca]],IF(OR(H1200=K$5,H1200=K$6,H1200=K$7,H1200=K$8,H1200=K$9,H1200=K$10,H1200=K$11,H1200=K$12,H1200=K$13,H1200=K$14),SottocategorieEntrate[[#Headers],[Business Entrate]],IF(OR(H1200=L$5,H1200=L$6,H1200=L$7,H1200=L$8,H1200=L$9,H1200=L$10,H1200=L$11,H1200=L$12,H1200=L$13,H1200=L$14),SottocategorieEntrate[[#Headers],[Varie Entrate]],IF(OR(H1200=M$5,H1200=M$6,H1200=M$7,H1200=M$8,H1200=M$9,H1200=M$10,H1200=M$11,H1200=M$12,H1200=M$13,H1200=M$14),SottocategorieEntrate[[#Headers],[Real Estate]],IF(OR(H1200=N$5,H1200=N$6,H1200=N$7,H1200=N$8,H1200=N$9,H1200=N$10,H1200=N$11,H1200=N$12,H1200=N$13,H1200=N$14),SottocategorieEntrate[[#Headers],[Other]],""))))))))))))</f>
        <v/>
      </c>
      <c r="J1200" t="str">
        <f>IF(OR(Dati[[#This Row],[Categoria]]="Bollette",Dati[[#This Row],[Categoria]]="Conto &amp; Carte BNL",Dati[[#This Row],[Categoria]]="Prelievo",Dati[[#This Row],[Categoria]]="Affitto",Dati[[#This Row],[Categoria]]="BNL(Interessi Creditori)"),"Carta",IF(Dati[[#This Row],[Categoria]]&lt;&gt;0,"Cash",""))</f>
        <v/>
      </c>
      <c r="K1200" s="59" t="str">
        <f>IF(OR(Data!$I1200=SottocategorieUscite[[#Headers],[Fuori Casa]],Data!$I1200=SottocategorieUscite[[#Headers],[Varie Uscite]],Data!$I1200=SottocategorieUscite[[#Headers],[Personali]],Data!$I1200=SottocategorieUscite[[#Headers],[Lavoro]]),"$ -","")</f>
        <v/>
      </c>
      <c r="L1200" s="59" t="str">
        <f>IF(OR(Data!$I1200=SottocategorieUscite[[#Headers],[Casa]],Data!$I1200=SottocategorieUscite[[#Headers],[Utenze]],Data!$I1200=SottocategorieUscite[[#Headers],[Business Uscite]],Data!$I1200=SottocategorieUscite[[#Headers],[Banca]]),"$ -","")</f>
        <v/>
      </c>
      <c r="M1200" s="59" t="str">
        <f>IF(OR($I1200&lt;&gt;SottocategorieUscite[[#Headers],[Fuori Casa]],$I1200&lt;&gt;SottocategorieUscite[[#Headers],[Varie Uscite]],$I1200&lt;&gt;SottocategorieUscite[[#Headers],[Personali]],$I1200&lt;&gt;SottocategorieUscite[[#Headers],[Lavoro]],$I1200&lt;&gt;SottocategorieUscite[[#Headers],[Casa]],$I1200&lt;&gt;SottocategorieUscite[[#Headers],[Utenze]],$I1200&lt;&gt;SottocategorieUscite[[#Headers],[Business Uscite]],$I1200&lt;&gt;SottocategorieUscite[[#Headers],[Banca]]),"","$ -")</f>
        <v/>
      </c>
      <c r="N1200" s="59" t="str">
        <f>IF(OR(Data!$I1200=SottocategorieEntrate[[#Headers],[Business Entrate]],Data!$I1200=SottocategorieEntrate[[#Headers],[Varie Entrate]]),"$ -","")</f>
        <v/>
      </c>
      <c r="O1200" s="59" t="str">
        <f>IF(OR(Data!$I1200=SottocategorieEntrate[[#Headers],[Real Estate]],SottocategorieEntrate[[#Headers],[Other]]),"$ -","")</f>
        <v/>
      </c>
      <c r="P1200" s="59" t="str">
        <f>IF(OR($I1200&lt;&gt;SottocategorieEntrate[[#Headers],[Business Entrate]],$I1200&lt;&gt;SottocategorieEntrate[[#Headers],[Varie Entrate]],$I1200&lt;&gt;SottocategorieEntrate[[#Headers],[Real Estate]],$I1200&lt;&gt;SottocategorieEntrate[[#Headers],[Other]]),"","$ -")</f>
        <v/>
      </c>
      <c r="Q1200" s="59" t="str">
        <f>IF(Dati[[#This Row],[Categoria]]="Prelievo","€ -","")</f>
        <v/>
      </c>
      <c r="R1200" s="244"/>
      <c r="S1200" s="59" t="str">
        <f>IF(Dati[[#This Row],[Categoria]]="Savings",0,"")</f>
        <v/>
      </c>
      <c r="T1200" s="59"/>
      <c r="U1200" s="59"/>
      <c r="V1200" s="59"/>
      <c r="W1200" s="59"/>
      <c r="X1200" s="59"/>
      <c r="Y1200" s="59"/>
      <c r="Z1200" s="59"/>
      <c r="AA1200" s="59"/>
      <c r="AB1200" s="59"/>
      <c r="AC1200" s="59"/>
      <c r="AD1200" s="59"/>
      <c r="AE1200" s="59"/>
      <c r="AF1200" s="59"/>
      <c r="AG1200" s="59"/>
      <c r="AH1200" s="59"/>
      <c r="AI1200" s="59" t="str">
        <f>IF(SUM(Dati[[#This Row],[Inv. Business]:[Inv. Cryptocurrency]])=0," ",SUM(Dati[[#This Row],[Inv. Business]:[Inv. Cryptocurrency]]))</f>
        <v xml:space="preserve"> </v>
      </c>
      <c r="AJ1200" s="59"/>
      <c r="AK1200" s="59" t="str">
        <f>IF(SUM(Dati[[#This Row],[Inv. Gold]:[Mutuo]])=0," ",SUM(Dati[[#This Row],[Inv. Gold]:[Mutuo]]))</f>
        <v xml:space="preserve"> </v>
      </c>
      <c r="AL1200" s="59"/>
      <c r="AM1200" s="59"/>
    </row>
    <row r="1201" spans="2:39" x14ac:dyDescent="0.35">
      <c r="B1201" s="237">
        <f t="shared" si="82"/>
        <v>1171</v>
      </c>
      <c r="C1201" s="49">
        <f t="shared" ref="C1201:C1298" si="85">C1200+1</f>
        <v>45802</v>
      </c>
      <c r="D1201" s="29">
        <f>DAY(Dati[[#This Row],[Data]])</f>
        <v>25</v>
      </c>
      <c r="E1201" s="29" t="str">
        <f>IF(DAY(Data!$C$21:$C$1327)&gt;0,TEXT(Data!$C$21:$C$1327, "mmmm"),"")</f>
        <v>maggio</v>
      </c>
      <c r="F1201" s="29" t="str">
        <f>IF(DAY(Data!$C$21:$C$1327)&gt;0,TEXT(Data!$C$21:$C$1327, "aaaa"),"")</f>
        <v>2025</v>
      </c>
      <c r="I1201" t="str">
        <f>IF(OR(H1201=$B$5,H1201=$B$6,H1201=$B$7,H1201=$B$8,H1201=$B$9,H1201=$B$10,H1201=$B$11,H1201=$B$12,H1201=$B$13,H1201=$B$14),SottocategorieUscite[[#Headers],[Fuori Casa]],IF(OR(H1201=$C$5,H1201=$C$6,H1201=$C$7,H1201=$C$8,H1201=$C$9,H1201=$C$10,H1201=$C$11,H1201=$C$12,H1201=$C$13,H1201=$C$14),SottocategorieUscite[[#Headers],[Varie Uscite]],IF(OR(H1201=$D$5,H1201=$D$6,H1201=$D$7,H1201=$D$8,H1201=$D$9,H1201=$D$10,H1201=$D$11,H1201=$D$12,H1201=$D$13,H1201=$D$14),SottocategorieUscite[[#Headers],[Personali]],IF(OR(H1201=$E$5,H1201=$E$6,H1201=$E$7,H1201=$E$8,H1201=$E$9,H1201=$E$10,H1201=$E$11,H1201=$E$12,H1201=$E$13,H1201=$E$14),SottocategorieUscite[[#Headers],[Lavoro]],IF(OR(H1201=$F$5,H1201=$F$6,H1201=$F$7,H1201=$F$8,H1201=$F$9,H1201=$F$10,H1201=$F$11,H1201=$F$12,H1201=$F$13,H1201=$F$14),SottocategorieUscite[[#Headers],[Casa]],IF(OR(H1201=$G$5,H1201=$G$6,H1201=$G$7,H1201=$G$8,H1201=$G$9,H1201=$G$10,H1201=$G$11,H1201=$G$12,H1201=$G$13,H1201=$G$14),SottocategorieUscite[[#Headers],[Utenze]],IF(OR(H1201=$H$5,H1201=$H$6,H1201=$H$7,H1201=$H$8,H1201=$H$9,H1201=$H$10,H1201=$H$11,H1201=$H$12,H1201=$H$13,H1201=$H$14),SottocategorieUscite[[#Headers],[Business Uscite]],IF(OR(H1201=$I$5,H1201=$I$6,H1201=$I$7,H1201=$I$8,H1201=$I$9,H1201=$I$10,H1201=$I$11,H1201=$I$12,H1201=$I$13,H1201=$I$14),SottocategorieUscite[[#Headers],[Banca]],IF(OR(H1201=K$5,H1201=K$6,H1201=K$7,H1201=K$8,H1201=K$9,H1201=K$10,H1201=K$11,H1201=K$12,H1201=K$13,H1201=K$14),SottocategorieEntrate[[#Headers],[Business Entrate]],IF(OR(H1201=L$5,H1201=L$6,H1201=L$7,H1201=L$8,H1201=L$9,H1201=L$10,H1201=L$11,H1201=L$12,H1201=L$13,H1201=L$14),SottocategorieEntrate[[#Headers],[Varie Entrate]],IF(OR(H1201=M$5,H1201=M$6,H1201=M$7,H1201=M$8,H1201=M$9,H1201=M$10,H1201=M$11,H1201=M$12,H1201=M$13,H1201=M$14),SottocategorieEntrate[[#Headers],[Real Estate]],IF(OR(H1201=N$5,H1201=N$6,H1201=N$7,H1201=N$8,H1201=N$9,H1201=N$10,H1201=N$11,H1201=N$12,H1201=N$13,H1201=N$14),SottocategorieEntrate[[#Headers],[Other]],""))))))))))))</f>
        <v/>
      </c>
      <c r="J1201" t="str">
        <f>IF(OR(Dati[[#This Row],[Categoria]]="Bollette",Dati[[#This Row],[Categoria]]="Conto &amp; Carte BNL",Dati[[#This Row],[Categoria]]="Prelievo",Dati[[#This Row],[Categoria]]="Affitto",Dati[[#This Row],[Categoria]]="BNL(Interessi Creditori)"),"Carta",IF(Dati[[#This Row],[Categoria]]&lt;&gt;0,"Cash",""))</f>
        <v/>
      </c>
      <c r="K1201" s="59" t="str">
        <f>IF(OR(Data!$I1201=SottocategorieUscite[[#Headers],[Fuori Casa]],Data!$I1201=SottocategorieUscite[[#Headers],[Varie Uscite]],Data!$I1201=SottocategorieUscite[[#Headers],[Personali]],Data!$I1201=SottocategorieUscite[[#Headers],[Lavoro]]),"$ -","")</f>
        <v/>
      </c>
      <c r="L1201" s="59" t="str">
        <f>IF(OR(Data!$I1201=SottocategorieUscite[[#Headers],[Casa]],Data!$I1201=SottocategorieUscite[[#Headers],[Utenze]],Data!$I1201=SottocategorieUscite[[#Headers],[Business Uscite]],Data!$I1201=SottocategorieUscite[[#Headers],[Banca]]),"$ -","")</f>
        <v/>
      </c>
      <c r="M1201" s="59" t="str">
        <f>IF(OR($I1201&lt;&gt;SottocategorieUscite[[#Headers],[Fuori Casa]],$I1201&lt;&gt;SottocategorieUscite[[#Headers],[Varie Uscite]],$I1201&lt;&gt;SottocategorieUscite[[#Headers],[Personali]],$I1201&lt;&gt;SottocategorieUscite[[#Headers],[Lavoro]],$I1201&lt;&gt;SottocategorieUscite[[#Headers],[Casa]],$I1201&lt;&gt;SottocategorieUscite[[#Headers],[Utenze]],$I1201&lt;&gt;SottocategorieUscite[[#Headers],[Business Uscite]],$I1201&lt;&gt;SottocategorieUscite[[#Headers],[Banca]]),"","$ -")</f>
        <v/>
      </c>
      <c r="N1201" s="59" t="str">
        <f>IF(OR(Data!$I1201=SottocategorieEntrate[[#Headers],[Business Entrate]],Data!$I1201=SottocategorieEntrate[[#Headers],[Varie Entrate]]),"$ -","")</f>
        <v/>
      </c>
      <c r="O1201" s="59" t="str">
        <f>IF(OR(Data!$I1201=SottocategorieEntrate[[#Headers],[Real Estate]],SottocategorieEntrate[[#Headers],[Other]]),"$ -","")</f>
        <v/>
      </c>
      <c r="P1201" s="59" t="str">
        <f>IF(OR($I1201&lt;&gt;SottocategorieEntrate[[#Headers],[Business Entrate]],$I1201&lt;&gt;SottocategorieEntrate[[#Headers],[Varie Entrate]],$I1201&lt;&gt;SottocategorieEntrate[[#Headers],[Real Estate]],$I1201&lt;&gt;SottocategorieEntrate[[#Headers],[Other]]),"","$ -")</f>
        <v/>
      </c>
      <c r="Q1201" s="59" t="str">
        <f>IF(Dati[[#This Row],[Categoria]]="Prelievo","€ -","")</f>
        <v/>
      </c>
      <c r="R1201" s="244"/>
      <c r="S1201" s="59" t="str">
        <f>IF(Dati[[#This Row],[Categoria]]="Savings",0,"")</f>
        <v/>
      </c>
      <c r="T1201" s="59"/>
      <c r="U1201" s="59"/>
      <c r="V1201" s="59"/>
      <c r="W1201" s="59"/>
      <c r="X1201" s="59"/>
      <c r="Y1201" s="59"/>
      <c r="Z1201" s="59"/>
      <c r="AA1201" s="59"/>
      <c r="AB1201" s="59"/>
      <c r="AC1201" s="59"/>
      <c r="AD1201" s="59"/>
      <c r="AE1201" s="59"/>
      <c r="AF1201" s="59"/>
      <c r="AG1201" s="59"/>
      <c r="AH1201" s="59"/>
      <c r="AI1201" s="59" t="str">
        <f>IF(SUM(Dati[[#This Row],[Inv. Business]:[Inv. Cryptocurrency]])=0," ",SUM(Dati[[#This Row],[Inv. Business]:[Inv. Cryptocurrency]]))</f>
        <v xml:space="preserve"> </v>
      </c>
      <c r="AJ1201" s="59"/>
      <c r="AK1201" s="59" t="str">
        <f>IF(SUM(Dati[[#This Row],[Inv. Gold]:[Mutuo]])=0," ",SUM(Dati[[#This Row],[Inv. Gold]:[Mutuo]]))</f>
        <v xml:space="preserve"> </v>
      </c>
      <c r="AL1201" s="59"/>
      <c r="AM1201" s="59"/>
    </row>
    <row r="1202" spans="2:39" x14ac:dyDescent="0.35">
      <c r="B1202" s="237">
        <f t="shared" si="82"/>
        <v>1172</v>
      </c>
      <c r="C1202" s="49">
        <f t="shared" si="85"/>
        <v>45803</v>
      </c>
      <c r="D1202" s="29">
        <f>DAY(Dati[[#This Row],[Data]])</f>
        <v>26</v>
      </c>
      <c r="E1202" s="29" t="str">
        <f>IF(DAY(Data!$C$21:$C$1327)&gt;0,TEXT(Data!$C$21:$C$1327, "mmmm"),"")</f>
        <v>maggio</v>
      </c>
      <c r="F1202" s="29" t="str">
        <f>IF(DAY(Data!$C$21:$C$1327)&gt;0,TEXT(Data!$C$21:$C$1327, "aaaa"),"")</f>
        <v>2025</v>
      </c>
      <c r="I1202" t="str">
        <f>IF(OR(H1202=$B$5,H1202=$B$6,H1202=$B$7,H1202=$B$8,H1202=$B$9,H1202=$B$10,H1202=$B$11,H1202=$B$12,H1202=$B$13,H1202=$B$14),SottocategorieUscite[[#Headers],[Fuori Casa]],IF(OR(H1202=$C$5,H1202=$C$6,H1202=$C$7,H1202=$C$8,H1202=$C$9,H1202=$C$10,H1202=$C$11,H1202=$C$12,H1202=$C$13,H1202=$C$14),SottocategorieUscite[[#Headers],[Varie Uscite]],IF(OR(H1202=$D$5,H1202=$D$6,H1202=$D$7,H1202=$D$8,H1202=$D$9,H1202=$D$10,H1202=$D$11,H1202=$D$12,H1202=$D$13,H1202=$D$14),SottocategorieUscite[[#Headers],[Personali]],IF(OR(H1202=$E$5,H1202=$E$6,H1202=$E$7,H1202=$E$8,H1202=$E$9,H1202=$E$10,H1202=$E$11,H1202=$E$12,H1202=$E$13,H1202=$E$14),SottocategorieUscite[[#Headers],[Lavoro]],IF(OR(H1202=$F$5,H1202=$F$6,H1202=$F$7,H1202=$F$8,H1202=$F$9,H1202=$F$10,H1202=$F$11,H1202=$F$12,H1202=$F$13,H1202=$F$14),SottocategorieUscite[[#Headers],[Casa]],IF(OR(H1202=$G$5,H1202=$G$6,H1202=$G$7,H1202=$G$8,H1202=$G$9,H1202=$G$10,H1202=$G$11,H1202=$G$12,H1202=$G$13,H1202=$G$14),SottocategorieUscite[[#Headers],[Utenze]],IF(OR(H1202=$H$5,H1202=$H$6,H1202=$H$7,H1202=$H$8,H1202=$H$9,H1202=$H$10,H1202=$H$11,H1202=$H$12,H1202=$H$13,H1202=$H$14),SottocategorieUscite[[#Headers],[Business Uscite]],IF(OR(H1202=$I$5,H1202=$I$6,H1202=$I$7,H1202=$I$8,H1202=$I$9,H1202=$I$10,H1202=$I$11,H1202=$I$12,H1202=$I$13,H1202=$I$14),SottocategorieUscite[[#Headers],[Banca]],IF(OR(H1202=K$5,H1202=K$6,H1202=K$7,H1202=K$8,H1202=K$9,H1202=K$10,H1202=K$11,H1202=K$12,H1202=K$13,H1202=K$14),SottocategorieEntrate[[#Headers],[Business Entrate]],IF(OR(H1202=L$5,H1202=L$6,H1202=L$7,H1202=L$8,H1202=L$9,H1202=L$10,H1202=L$11,H1202=L$12,H1202=L$13,H1202=L$14),SottocategorieEntrate[[#Headers],[Varie Entrate]],IF(OR(H1202=M$5,H1202=M$6,H1202=M$7,H1202=M$8,H1202=M$9,H1202=M$10,H1202=M$11,H1202=M$12,H1202=M$13,H1202=M$14),SottocategorieEntrate[[#Headers],[Real Estate]],IF(OR(H1202=N$5,H1202=N$6,H1202=N$7,H1202=N$8,H1202=N$9,H1202=N$10,H1202=N$11,H1202=N$12,H1202=N$13,H1202=N$14),SottocategorieEntrate[[#Headers],[Other]],""))))))))))))</f>
        <v/>
      </c>
      <c r="J1202" t="str">
        <f>IF(OR(Dati[[#This Row],[Categoria]]="Bollette",Dati[[#This Row],[Categoria]]="Conto &amp; Carte BNL",Dati[[#This Row],[Categoria]]="Prelievo",Dati[[#This Row],[Categoria]]="Affitto",Dati[[#This Row],[Categoria]]="BNL(Interessi Creditori)"),"Carta",IF(Dati[[#This Row],[Categoria]]&lt;&gt;0,"Cash",""))</f>
        <v/>
      </c>
      <c r="K1202" s="59" t="str">
        <f>IF(OR(Data!$I1202=SottocategorieUscite[[#Headers],[Fuori Casa]],Data!$I1202=SottocategorieUscite[[#Headers],[Varie Uscite]],Data!$I1202=SottocategorieUscite[[#Headers],[Personali]],Data!$I1202=SottocategorieUscite[[#Headers],[Lavoro]]),"$ -","")</f>
        <v/>
      </c>
      <c r="L1202" s="59" t="str">
        <f>IF(OR(Data!$I1202=SottocategorieUscite[[#Headers],[Casa]],Data!$I1202=SottocategorieUscite[[#Headers],[Utenze]],Data!$I1202=SottocategorieUscite[[#Headers],[Business Uscite]],Data!$I1202=SottocategorieUscite[[#Headers],[Banca]]),"$ -","")</f>
        <v/>
      </c>
      <c r="M1202" s="59" t="str">
        <f>IF(OR($I1202&lt;&gt;SottocategorieUscite[[#Headers],[Fuori Casa]],$I1202&lt;&gt;SottocategorieUscite[[#Headers],[Varie Uscite]],$I1202&lt;&gt;SottocategorieUscite[[#Headers],[Personali]],$I1202&lt;&gt;SottocategorieUscite[[#Headers],[Lavoro]],$I1202&lt;&gt;SottocategorieUscite[[#Headers],[Casa]],$I1202&lt;&gt;SottocategorieUscite[[#Headers],[Utenze]],$I1202&lt;&gt;SottocategorieUscite[[#Headers],[Business Uscite]],$I1202&lt;&gt;SottocategorieUscite[[#Headers],[Banca]]),"","$ -")</f>
        <v/>
      </c>
      <c r="N1202" s="59" t="str">
        <f>IF(OR(Data!$I1202=SottocategorieEntrate[[#Headers],[Business Entrate]],Data!$I1202=SottocategorieEntrate[[#Headers],[Varie Entrate]]),"$ -","")</f>
        <v/>
      </c>
      <c r="O1202" s="59" t="str">
        <f>IF(OR(Data!$I1202=SottocategorieEntrate[[#Headers],[Real Estate]],SottocategorieEntrate[[#Headers],[Other]]),"$ -","")</f>
        <v/>
      </c>
      <c r="P1202" s="59" t="str">
        <f>IF(OR($I1202&lt;&gt;SottocategorieEntrate[[#Headers],[Business Entrate]],$I1202&lt;&gt;SottocategorieEntrate[[#Headers],[Varie Entrate]],$I1202&lt;&gt;SottocategorieEntrate[[#Headers],[Real Estate]],$I1202&lt;&gt;SottocategorieEntrate[[#Headers],[Other]]),"","$ -")</f>
        <v/>
      </c>
      <c r="Q1202" s="59" t="str">
        <f>IF(Dati[[#This Row],[Categoria]]="Prelievo","€ -","")</f>
        <v/>
      </c>
      <c r="R1202" s="244"/>
      <c r="S1202" s="59" t="str">
        <f>IF(Dati[[#This Row],[Categoria]]="Savings",0,"")</f>
        <v/>
      </c>
      <c r="T1202" s="59"/>
      <c r="U1202" s="59"/>
      <c r="V1202" s="59"/>
      <c r="W1202" s="59"/>
      <c r="X1202" s="59"/>
      <c r="Y1202" s="59"/>
      <c r="Z1202" s="59"/>
      <c r="AA1202" s="59"/>
      <c r="AB1202" s="59"/>
      <c r="AC1202" s="59"/>
      <c r="AD1202" s="59"/>
      <c r="AE1202" s="59"/>
      <c r="AF1202" s="59"/>
      <c r="AG1202" s="59"/>
      <c r="AH1202" s="59"/>
      <c r="AI1202" s="59" t="str">
        <f>IF(SUM(Dati[[#This Row],[Inv. Business]:[Inv. Cryptocurrency]])=0," ",SUM(Dati[[#This Row],[Inv. Business]:[Inv. Cryptocurrency]]))</f>
        <v xml:space="preserve"> </v>
      </c>
      <c r="AJ1202" s="59"/>
      <c r="AK1202" s="59" t="str">
        <f>IF(SUM(Dati[[#This Row],[Inv. Gold]:[Mutuo]])=0," ",SUM(Dati[[#This Row],[Inv. Gold]:[Mutuo]]))</f>
        <v xml:space="preserve"> </v>
      </c>
      <c r="AL1202" s="59"/>
      <c r="AM1202" s="59"/>
    </row>
    <row r="1203" spans="2:39" x14ac:dyDescent="0.35">
      <c r="B1203" s="237">
        <f t="shared" si="82"/>
        <v>1173</v>
      </c>
      <c r="C1203" s="49">
        <f t="shared" si="85"/>
        <v>45804</v>
      </c>
      <c r="D1203" s="29">
        <f>DAY(Dati[[#This Row],[Data]])</f>
        <v>27</v>
      </c>
      <c r="E1203" s="29" t="str">
        <f>IF(DAY(Data!$C$21:$C$1327)&gt;0,TEXT(Data!$C$21:$C$1327, "mmmm"),"")</f>
        <v>maggio</v>
      </c>
      <c r="F1203" s="29" t="str">
        <f>IF(DAY(Data!$C$21:$C$1327)&gt;0,TEXT(Data!$C$21:$C$1327, "aaaa"),"")</f>
        <v>2025</v>
      </c>
      <c r="I1203" t="str">
        <f>IF(OR(H1203=$B$5,H1203=$B$6,H1203=$B$7,H1203=$B$8,H1203=$B$9,H1203=$B$10,H1203=$B$11,H1203=$B$12,H1203=$B$13,H1203=$B$14),SottocategorieUscite[[#Headers],[Fuori Casa]],IF(OR(H1203=$C$5,H1203=$C$6,H1203=$C$7,H1203=$C$8,H1203=$C$9,H1203=$C$10,H1203=$C$11,H1203=$C$12,H1203=$C$13,H1203=$C$14),SottocategorieUscite[[#Headers],[Varie Uscite]],IF(OR(H1203=$D$5,H1203=$D$6,H1203=$D$7,H1203=$D$8,H1203=$D$9,H1203=$D$10,H1203=$D$11,H1203=$D$12,H1203=$D$13,H1203=$D$14),SottocategorieUscite[[#Headers],[Personali]],IF(OR(H1203=$E$5,H1203=$E$6,H1203=$E$7,H1203=$E$8,H1203=$E$9,H1203=$E$10,H1203=$E$11,H1203=$E$12,H1203=$E$13,H1203=$E$14),SottocategorieUscite[[#Headers],[Lavoro]],IF(OR(H1203=$F$5,H1203=$F$6,H1203=$F$7,H1203=$F$8,H1203=$F$9,H1203=$F$10,H1203=$F$11,H1203=$F$12,H1203=$F$13,H1203=$F$14),SottocategorieUscite[[#Headers],[Casa]],IF(OR(H1203=$G$5,H1203=$G$6,H1203=$G$7,H1203=$G$8,H1203=$G$9,H1203=$G$10,H1203=$G$11,H1203=$G$12,H1203=$G$13,H1203=$G$14),SottocategorieUscite[[#Headers],[Utenze]],IF(OR(H1203=$H$5,H1203=$H$6,H1203=$H$7,H1203=$H$8,H1203=$H$9,H1203=$H$10,H1203=$H$11,H1203=$H$12,H1203=$H$13,H1203=$H$14),SottocategorieUscite[[#Headers],[Business Uscite]],IF(OR(H1203=$I$5,H1203=$I$6,H1203=$I$7,H1203=$I$8,H1203=$I$9,H1203=$I$10,H1203=$I$11,H1203=$I$12,H1203=$I$13,H1203=$I$14),SottocategorieUscite[[#Headers],[Banca]],IF(OR(H1203=K$5,H1203=K$6,H1203=K$7,H1203=K$8,H1203=K$9,H1203=K$10,H1203=K$11,H1203=K$12,H1203=K$13,H1203=K$14),SottocategorieEntrate[[#Headers],[Business Entrate]],IF(OR(H1203=L$5,H1203=L$6,H1203=L$7,H1203=L$8,H1203=L$9,H1203=L$10,H1203=L$11,H1203=L$12,H1203=L$13,H1203=L$14),SottocategorieEntrate[[#Headers],[Varie Entrate]],IF(OR(H1203=M$5,H1203=M$6,H1203=M$7,H1203=M$8,H1203=M$9,H1203=M$10,H1203=M$11,H1203=M$12,H1203=M$13,H1203=M$14),SottocategorieEntrate[[#Headers],[Real Estate]],IF(OR(H1203=N$5,H1203=N$6,H1203=N$7,H1203=N$8,H1203=N$9,H1203=N$10,H1203=N$11,H1203=N$12,H1203=N$13,H1203=N$14),SottocategorieEntrate[[#Headers],[Other]],""))))))))))))</f>
        <v/>
      </c>
      <c r="J1203" t="str">
        <f>IF(OR(Dati[[#This Row],[Categoria]]="Bollette",Dati[[#This Row],[Categoria]]="Conto &amp; Carte BNL",Dati[[#This Row],[Categoria]]="Prelievo",Dati[[#This Row],[Categoria]]="Affitto",Dati[[#This Row],[Categoria]]="BNL(Interessi Creditori)"),"Carta",IF(Dati[[#This Row],[Categoria]]&lt;&gt;0,"Cash",""))</f>
        <v/>
      </c>
      <c r="K1203" s="59" t="str">
        <f>IF(OR(Data!$I1203=SottocategorieUscite[[#Headers],[Fuori Casa]],Data!$I1203=SottocategorieUscite[[#Headers],[Varie Uscite]],Data!$I1203=SottocategorieUscite[[#Headers],[Personali]],Data!$I1203=SottocategorieUscite[[#Headers],[Lavoro]]),"$ -","")</f>
        <v/>
      </c>
      <c r="L1203" s="59" t="str">
        <f>IF(OR(Data!$I1203=SottocategorieUscite[[#Headers],[Casa]],Data!$I1203=SottocategorieUscite[[#Headers],[Utenze]],Data!$I1203=SottocategorieUscite[[#Headers],[Business Uscite]],Data!$I1203=SottocategorieUscite[[#Headers],[Banca]]),"$ -","")</f>
        <v/>
      </c>
      <c r="M1203" s="59" t="str">
        <f>IF(OR($I1203&lt;&gt;SottocategorieUscite[[#Headers],[Fuori Casa]],$I1203&lt;&gt;SottocategorieUscite[[#Headers],[Varie Uscite]],$I1203&lt;&gt;SottocategorieUscite[[#Headers],[Personali]],$I1203&lt;&gt;SottocategorieUscite[[#Headers],[Lavoro]],$I1203&lt;&gt;SottocategorieUscite[[#Headers],[Casa]],$I1203&lt;&gt;SottocategorieUscite[[#Headers],[Utenze]],$I1203&lt;&gt;SottocategorieUscite[[#Headers],[Business Uscite]],$I1203&lt;&gt;SottocategorieUscite[[#Headers],[Banca]]),"","$ -")</f>
        <v/>
      </c>
      <c r="N1203" s="59" t="str">
        <f>IF(OR(Data!$I1203=SottocategorieEntrate[[#Headers],[Business Entrate]],Data!$I1203=SottocategorieEntrate[[#Headers],[Varie Entrate]]),"$ -","")</f>
        <v/>
      </c>
      <c r="O1203" s="59" t="str">
        <f>IF(OR(Data!$I1203=SottocategorieEntrate[[#Headers],[Real Estate]],SottocategorieEntrate[[#Headers],[Other]]),"$ -","")</f>
        <v/>
      </c>
      <c r="P1203" s="59" t="str">
        <f>IF(OR($I1203&lt;&gt;SottocategorieEntrate[[#Headers],[Business Entrate]],$I1203&lt;&gt;SottocategorieEntrate[[#Headers],[Varie Entrate]],$I1203&lt;&gt;SottocategorieEntrate[[#Headers],[Real Estate]],$I1203&lt;&gt;SottocategorieEntrate[[#Headers],[Other]]),"","$ -")</f>
        <v/>
      </c>
      <c r="Q1203" s="59" t="str">
        <f>IF(Dati[[#This Row],[Categoria]]="Prelievo","€ -","")</f>
        <v/>
      </c>
      <c r="R1203" s="244"/>
      <c r="S1203" s="59" t="str">
        <f>IF(Dati[[#This Row],[Categoria]]="Savings",0,"")</f>
        <v/>
      </c>
      <c r="T1203" s="59"/>
      <c r="U1203" s="59"/>
      <c r="V1203" s="59"/>
      <c r="W1203" s="59"/>
      <c r="X1203" s="59"/>
      <c r="Y1203" s="59"/>
      <c r="Z1203" s="59"/>
      <c r="AA1203" s="59"/>
      <c r="AB1203" s="59"/>
      <c r="AC1203" s="59"/>
      <c r="AD1203" s="59"/>
      <c r="AE1203" s="59"/>
      <c r="AF1203" s="59"/>
      <c r="AG1203" s="59"/>
      <c r="AH1203" s="59"/>
      <c r="AI1203" s="59" t="str">
        <f>IF(SUM(Dati[[#This Row],[Inv. Business]:[Inv. Cryptocurrency]])=0," ",SUM(Dati[[#This Row],[Inv. Business]:[Inv. Cryptocurrency]]))</f>
        <v xml:space="preserve"> </v>
      </c>
      <c r="AJ1203" s="59"/>
      <c r="AK1203" s="59" t="str">
        <f>IF(SUM(Dati[[#This Row],[Inv. Gold]:[Mutuo]])=0," ",SUM(Dati[[#This Row],[Inv. Gold]:[Mutuo]]))</f>
        <v xml:space="preserve"> </v>
      </c>
      <c r="AL1203" s="59"/>
      <c r="AM1203" s="59"/>
    </row>
    <row r="1204" spans="2:39" x14ac:dyDescent="0.35">
      <c r="B1204" s="237">
        <f t="shared" ref="B1204:B1209" si="86">ROW(1173:1173)</f>
        <v>1173</v>
      </c>
      <c r="C1204" s="49">
        <f>C1202+1</f>
        <v>45804</v>
      </c>
      <c r="D1204" s="29">
        <f>DAY(Dati[[#This Row],[Data]])</f>
        <v>27</v>
      </c>
      <c r="E1204" s="29" t="str">
        <f>IF(DAY(Data!$C$21:$C$1327)&gt;0,TEXT(Data!$C$21:$C$1327, "mmmm"),"")</f>
        <v>maggio</v>
      </c>
      <c r="F1204" s="29" t="str">
        <f>IF(DAY(Data!$C$21:$C$1327)&gt;0,TEXT(Data!$C$21:$C$1327, "aaaa"),"")</f>
        <v>2025</v>
      </c>
      <c r="I1204" t="str">
        <f>IF(OR(H1204=$B$5,H1204=$B$6,H1204=$B$7,H1204=$B$8,H1204=$B$9,H1204=$B$10,H1204=$B$11,H1204=$B$12,H1204=$B$13,H1204=$B$14),SottocategorieUscite[[#Headers],[Fuori Casa]],IF(OR(H1204=$C$5,H1204=$C$6,H1204=$C$7,H1204=$C$8,H1204=$C$9,H1204=$C$10,H1204=$C$11,H1204=$C$12,H1204=$C$13,H1204=$C$14),SottocategorieUscite[[#Headers],[Varie Uscite]],IF(OR(H1204=$D$5,H1204=$D$6,H1204=$D$7,H1204=$D$8,H1204=$D$9,H1204=$D$10,H1204=$D$11,H1204=$D$12,H1204=$D$13,H1204=$D$14),SottocategorieUscite[[#Headers],[Personali]],IF(OR(H1204=$E$5,H1204=$E$6,H1204=$E$7,H1204=$E$8,H1204=$E$9,H1204=$E$10,H1204=$E$11,H1204=$E$12,H1204=$E$13,H1204=$E$14),SottocategorieUscite[[#Headers],[Lavoro]],IF(OR(H1204=$F$5,H1204=$F$6,H1204=$F$7,H1204=$F$8,H1204=$F$9,H1204=$F$10,H1204=$F$11,H1204=$F$12,H1204=$F$13,H1204=$F$14),SottocategorieUscite[[#Headers],[Casa]],IF(OR(H1204=$G$5,H1204=$G$6,H1204=$G$7,H1204=$G$8,H1204=$G$9,H1204=$G$10,H1204=$G$11,H1204=$G$12,H1204=$G$13,H1204=$G$14),SottocategorieUscite[[#Headers],[Utenze]],IF(OR(H1204=$H$5,H1204=$H$6,H1204=$H$7,H1204=$H$8,H1204=$H$9,H1204=$H$10,H1204=$H$11,H1204=$H$12,H1204=$H$13,H1204=$H$14),SottocategorieUscite[[#Headers],[Business Uscite]],IF(OR(H1204=$I$5,H1204=$I$6,H1204=$I$7,H1204=$I$8,H1204=$I$9,H1204=$I$10,H1204=$I$11,H1204=$I$12,H1204=$I$13,H1204=$I$14),SottocategorieUscite[[#Headers],[Banca]],IF(OR(H1204=K$5,H1204=K$6,H1204=K$7,H1204=K$8,H1204=K$9,H1204=K$10,H1204=K$11,H1204=K$12,H1204=K$13,H1204=K$14),SottocategorieEntrate[[#Headers],[Business Entrate]],IF(OR(H1204=L$5,H1204=L$6,H1204=L$7,H1204=L$8,H1204=L$9,H1204=L$10,H1204=L$11,H1204=L$12,H1204=L$13,H1204=L$14),SottocategorieEntrate[[#Headers],[Varie Entrate]],IF(OR(H1204=M$5,H1204=M$6,H1204=M$7,H1204=M$8,H1204=M$9,H1204=M$10,H1204=M$11,H1204=M$12,H1204=M$13,H1204=M$14),SottocategorieEntrate[[#Headers],[Real Estate]],IF(OR(H1204=N$5,H1204=N$6,H1204=N$7,H1204=N$8,H1204=N$9,H1204=N$10,H1204=N$11,H1204=N$12,H1204=N$13,H1204=N$14),SottocategorieEntrate[[#Headers],[Other]],""))))))))))))</f>
        <v/>
      </c>
      <c r="J1204" t="str">
        <f>IF(OR(Dati[[#This Row],[Categoria]]="Bollette",Dati[[#This Row],[Categoria]]="Conto &amp; Carte BNL",Dati[[#This Row],[Categoria]]="Prelievo",Dati[[#This Row],[Categoria]]="Affitto",Dati[[#This Row],[Categoria]]="BNL(Interessi Creditori)"),"Carta",IF(Dati[[#This Row],[Categoria]]&lt;&gt;0,"Cash",""))</f>
        <v/>
      </c>
      <c r="K1204" s="59" t="str">
        <f>IF(OR(Data!$I1204=SottocategorieUscite[[#Headers],[Fuori Casa]],Data!$I1204=SottocategorieUscite[[#Headers],[Varie Uscite]],Data!$I1204=SottocategorieUscite[[#Headers],[Personali]],Data!$I1204=SottocategorieUscite[[#Headers],[Lavoro]]),"$ -","")</f>
        <v/>
      </c>
      <c r="L1204" s="59" t="str">
        <f>IF(OR(Data!$I1204=SottocategorieUscite[[#Headers],[Casa]],Data!$I1204=SottocategorieUscite[[#Headers],[Utenze]],Data!$I1204=SottocategorieUscite[[#Headers],[Business Uscite]],Data!$I1204=SottocategorieUscite[[#Headers],[Banca]]),"$ -","")</f>
        <v/>
      </c>
      <c r="M1204" s="59" t="str">
        <f>IF(OR($I1204&lt;&gt;SottocategorieUscite[[#Headers],[Fuori Casa]],$I1204&lt;&gt;SottocategorieUscite[[#Headers],[Varie Uscite]],$I1204&lt;&gt;SottocategorieUscite[[#Headers],[Personali]],$I1204&lt;&gt;SottocategorieUscite[[#Headers],[Lavoro]],$I1204&lt;&gt;SottocategorieUscite[[#Headers],[Casa]],$I1204&lt;&gt;SottocategorieUscite[[#Headers],[Utenze]],$I1204&lt;&gt;SottocategorieUscite[[#Headers],[Business Uscite]],$I1204&lt;&gt;SottocategorieUscite[[#Headers],[Banca]]),"","$ -")</f>
        <v/>
      </c>
      <c r="N1204" s="59" t="str">
        <f>IF(OR(Data!$I1204=SottocategorieEntrate[[#Headers],[Business Entrate]],Data!$I1204=SottocategorieEntrate[[#Headers],[Varie Entrate]]),"$ -","")</f>
        <v/>
      </c>
      <c r="O1204" s="59" t="str">
        <f>IF(OR(Data!$I1204=SottocategorieEntrate[[#Headers],[Real Estate]],SottocategorieEntrate[[#Headers],[Other]]),"$ -","")</f>
        <v/>
      </c>
      <c r="P1204" s="59" t="str">
        <f>IF(OR($I1204&lt;&gt;SottocategorieEntrate[[#Headers],[Business Entrate]],$I1204&lt;&gt;SottocategorieEntrate[[#Headers],[Varie Entrate]],$I1204&lt;&gt;SottocategorieEntrate[[#Headers],[Real Estate]],$I1204&lt;&gt;SottocategorieEntrate[[#Headers],[Other]]),"","$ -")</f>
        <v/>
      </c>
      <c r="Q1204" s="59" t="str">
        <f>IF(Dati[[#This Row],[Categoria]]="Prelievo","€ -","")</f>
        <v/>
      </c>
      <c r="R1204" s="244"/>
      <c r="S1204" s="59" t="str">
        <f>IF(Dati[[#This Row],[Categoria]]="Savings",0,"")</f>
        <v/>
      </c>
      <c r="T1204" s="59"/>
      <c r="U1204" s="59"/>
      <c r="V1204" s="59"/>
      <c r="W1204" s="59"/>
      <c r="X1204" s="59"/>
      <c r="Y1204" s="59"/>
      <c r="Z1204" s="59"/>
      <c r="AA1204" s="59"/>
      <c r="AB1204" s="59"/>
      <c r="AC1204" s="59"/>
      <c r="AD1204" s="59"/>
      <c r="AE1204" s="59"/>
      <c r="AF1204" s="59"/>
      <c r="AG1204" s="59"/>
      <c r="AH1204" s="59"/>
      <c r="AI1204" s="59" t="str">
        <f>IF(SUM(Dati[[#This Row],[Inv. Business]:[Inv. Cryptocurrency]])=0," ",SUM(Dati[[#This Row],[Inv. Business]:[Inv. Cryptocurrency]]))</f>
        <v xml:space="preserve"> </v>
      </c>
      <c r="AJ1204" s="59"/>
      <c r="AK1204" s="59" t="str">
        <f>IF(SUM(Dati[[#This Row],[Inv. Gold]:[Mutuo]])=0," ",SUM(Dati[[#This Row],[Inv. Gold]:[Mutuo]]))</f>
        <v xml:space="preserve"> </v>
      </c>
      <c r="AL1204" s="59"/>
      <c r="AM1204" s="59"/>
    </row>
    <row r="1205" spans="2:39" x14ac:dyDescent="0.35">
      <c r="B1205" s="237">
        <f t="shared" si="86"/>
        <v>1174</v>
      </c>
      <c r="C1205" s="49">
        <f>C1203+1</f>
        <v>45805</v>
      </c>
      <c r="D1205" s="29">
        <f>DAY(Dati[[#This Row],[Data]])</f>
        <v>28</v>
      </c>
      <c r="E1205" s="29" t="str">
        <f>IF(DAY(Data!$C$21:$C$1327)&gt;0,TEXT(Data!$C$21:$C$1327, "mmmm"),"")</f>
        <v>maggio</v>
      </c>
      <c r="F1205" s="29" t="str">
        <f>IF(DAY(Data!$C$21:$C$1327)&gt;0,TEXT(Data!$C$21:$C$1327, "aaaa"),"")</f>
        <v>2025</v>
      </c>
      <c r="I1205" t="str">
        <f>IF(OR(H1205=$B$5,H1205=$B$6,H1205=$B$7,H1205=$B$8,H1205=$B$9,H1205=$B$10,H1205=$B$11,H1205=$B$12,H1205=$B$13,H1205=$B$14),SottocategorieUscite[[#Headers],[Fuori Casa]],IF(OR(H1205=$C$5,H1205=$C$6,H1205=$C$7,H1205=$C$8,H1205=$C$9,H1205=$C$10,H1205=$C$11,H1205=$C$12,H1205=$C$13,H1205=$C$14),SottocategorieUscite[[#Headers],[Varie Uscite]],IF(OR(H1205=$D$5,H1205=$D$6,H1205=$D$7,H1205=$D$8,H1205=$D$9,H1205=$D$10,H1205=$D$11,H1205=$D$12,H1205=$D$13,H1205=$D$14),SottocategorieUscite[[#Headers],[Personali]],IF(OR(H1205=$E$5,H1205=$E$6,H1205=$E$7,H1205=$E$8,H1205=$E$9,H1205=$E$10,H1205=$E$11,H1205=$E$12,H1205=$E$13,H1205=$E$14),SottocategorieUscite[[#Headers],[Lavoro]],IF(OR(H1205=$F$5,H1205=$F$6,H1205=$F$7,H1205=$F$8,H1205=$F$9,H1205=$F$10,H1205=$F$11,H1205=$F$12,H1205=$F$13,H1205=$F$14),SottocategorieUscite[[#Headers],[Casa]],IF(OR(H1205=$G$5,H1205=$G$6,H1205=$G$7,H1205=$G$8,H1205=$G$9,H1205=$G$10,H1205=$G$11,H1205=$G$12,H1205=$G$13,H1205=$G$14),SottocategorieUscite[[#Headers],[Utenze]],IF(OR(H1205=$H$5,H1205=$H$6,H1205=$H$7,H1205=$H$8,H1205=$H$9,H1205=$H$10,H1205=$H$11,H1205=$H$12,H1205=$H$13,H1205=$H$14),SottocategorieUscite[[#Headers],[Business Uscite]],IF(OR(H1205=$I$5,H1205=$I$6,H1205=$I$7,H1205=$I$8,H1205=$I$9,H1205=$I$10,H1205=$I$11,H1205=$I$12,H1205=$I$13,H1205=$I$14),SottocategorieUscite[[#Headers],[Banca]],IF(OR(H1205=K$5,H1205=K$6,H1205=K$7,H1205=K$8,H1205=K$9,H1205=K$10,H1205=K$11,H1205=K$12,H1205=K$13,H1205=K$14),SottocategorieEntrate[[#Headers],[Business Entrate]],IF(OR(H1205=L$5,H1205=L$6,H1205=L$7,H1205=L$8,H1205=L$9,H1205=L$10,H1205=L$11,H1205=L$12,H1205=L$13,H1205=L$14),SottocategorieEntrate[[#Headers],[Varie Entrate]],IF(OR(H1205=M$5,H1205=M$6,H1205=M$7,H1205=M$8,H1205=M$9,H1205=M$10,H1205=M$11,H1205=M$12,H1205=M$13,H1205=M$14),SottocategorieEntrate[[#Headers],[Real Estate]],IF(OR(H1205=N$5,H1205=N$6,H1205=N$7,H1205=N$8,H1205=N$9,H1205=N$10,H1205=N$11,H1205=N$12,H1205=N$13,H1205=N$14),SottocategorieEntrate[[#Headers],[Other]],""))))))))))))</f>
        <v/>
      </c>
      <c r="J1205" t="str">
        <f>IF(OR(Dati[[#This Row],[Categoria]]="Bollette",Dati[[#This Row],[Categoria]]="Conto &amp; Carte BNL",Dati[[#This Row],[Categoria]]="Prelievo",Dati[[#This Row],[Categoria]]="Affitto",Dati[[#This Row],[Categoria]]="BNL(Interessi Creditori)"),"Carta",IF(Dati[[#This Row],[Categoria]]&lt;&gt;0,"Cash",""))</f>
        <v/>
      </c>
      <c r="K1205" s="59" t="str">
        <f>IF(OR(Data!$I1205=SottocategorieUscite[[#Headers],[Fuori Casa]],Data!$I1205=SottocategorieUscite[[#Headers],[Varie Uscite]],Data!$I1205=SottocategorieUscite[[#Headers],[Personali]],Data!$I1205=SottocategorieUscite[[#Headers],[Lavoro]]),"$ -","")</f>
        <v/>
      </c>
      <c r="L1205" s="59" t="str">
        <f>IF(OR(Data!$I1205=SottocategorieUscite[[#Headers],[Casa]],Data!$I1205=SottocategorieUscite[[#Headers],[Utenze]],Data!$I1205=SottocategorieUscite[[#Headers],[Business Uscite]],Data!$I1205=SottocategorieUscite[[#Headers],[Banca]]),"$ -","")</f>
        <v/>
      </c>
      <c r="M1205" s="59" t="str">
        <f>IF(OR($I1205&lt;&gt;SottocategorieUscite[[#Headers],[Fuori Casa]],$I1205&lt;&gt;SottocategorieUscite[[#Headers],[Varie Uscite]],$I1205&lt;&gt;SottocategorieUscite[[#Headers],[Personali]],$I1205&lt;&gt;SottocategorieUscite[[#Headers],[Lavoro]],$I1205&lt;&gt;SottocategorieUscite[[#Headers],[Casa]],$I1205&lt;&gt;SottocategorieUscite[[#Headers],[Utenze]],$I1205&lt;&gt;SottocategorieUscite[[#Headers],[Business Uscite]],$I1205&lt;&gt;SottocategorieUscite[[#Headers],[Banca]]),"","$ -")</f>
        <v/>
      </c>
      <c r="N1205" s="59" t="str">
        <f>IF(OR(Data!$I1205=SottocategorieEntrate[[#Headers],[Business Entrate]],Data!$I1205=SottocategorieEntrate[[#Headers],[Varie Entrate]]),"$ -","")</f>
        <v/>
      </c>
      <c r="O1205" s="59" t="str">
        <f>IF(OR(Data!$I1205=SottocategorieEntrate[[#Headers],[Real Estate]],SottocategorieEntrate[[#Headers],[Other]]),"$ -","")</f>
        <v/>
      </c>
      <c r="P1205" s="59" t="str">
        <f>IF(OR($I1205&lt;&gt;SottocategorieEntrate[[#Headers],[Business Entrate]],$I1205&lt;&gt;SottocategorieEntrate[[#Headers],[Varie Entrate]],$I1205&lt;&gt;SottocategorieEntrate[[#Headers],[Real Estate]],$I1205&lt;&gt;SottocategorieEntrate[[#Headers],[Other]]),"","$ -")</f>
        <v/>
      </c>
      <c r="Q1205" s="59" t="str">
        <f>IF(Dati[[#This Row],[Categoria]]="Prelievo","€ -","")</f>
        <v/>
      </c>
      <c r="R1205" s="244"/>
      <c r="S1205" s="59" t="str">
        <f>IF(Dati[[#This Row],[Categoria]]="Savings",0,"")</f>
        <v/>
      </c>
      <c r="T1205" s="59"/>
      <c r="U1205" s="59"/>
      <c r="V1205" s="59"/>
      <c r="W1205" s="59"/>
      <c r="X1205" s="59"/>
      <c r="Y1205" s="59"/>
      <c r="Z1205" s="59"/>
      <c r="AA1205" s="59"/>
      <c r="AB1205" s="59"/>
      <c r="AC1205" s="59"/>
      <c r="AD1205" s="59"/>
      <c r="AE1205" s="59"/>
      <c r="AF1205" s="59"/>
      <c r="AG1205" s="59"/>
      <c r="AH1205" s="59"/>
      <c r="AI1205" s="59" t="str">
        <f>IF(SUM(Dati[[#This Row],[Inv. Business]:[Inv. Cryptocurrency]])=0," ",SUM(Dati[[#This Row],[Inv. Business]:[Inv. Cryptocurrency]]))</f>
        <v xml:space="preserve"> </v>
      </c>
      <c r="AJ1205" s="59"/>
      <c r="AK1205" s="59" t="str">
        <f>IF(SUM(Dati[[#This Row],[Inv. Gold]:[Mutuo]])=0," ",SUM(Dati[[#This Row],[Inv. Gold]:[Mutuo]]))</f>
        <v xml:space="preserve"> </v>
      </c>
      <c r="AL1205" s="59"/>
      <c r="AM1205" s="59"/>
    </row>
    <row r="1206" spans="2:39" x14ac:dyDescent="0.35">
      <c r="B1206" s="237">
        <f t="shared" si="86"/>
        <v>1175</v>
      </c>
      <c r="C1206" s="49">
        <f t="shared" si="85"/>
        <v>45806</v>
      </c>
      <c r="D1206" s="29">
        <f>DAY(Dati[[#This Row],[Data]])</f>
        <v>29</v>
      </c>
      <c r="E1206" s="29" t="str">
        <f>IF(DAY(Data!$C$21:$C$1327)&gt;0,TEXT(Data!$C$21:$C$1327, "mmmm"),"")</f>
        <v>maggio</v>
      </c>
      <c r="F1206" s="29" t="str">
        <f>IF(DAY(Data!$C$21:$C$1327)&gt;0,TEXT(Data!$C$21:$C$1327, "aaaa"),"")</f>
        <v>2025</v>
      </c>
      <c r="I1206" t="str">
        <f>IF(OR(H1206=$B$5,H1206=$B$6,H1206=$B$7,H1206=$B$8,H1206=$B$9,H1206=$B$10,H1206=$B$11,H1206=$B$12,H1206=$B$13,H1206=$B$14),SottocategorieUscite[[#Headers],[Fuori Casa]],IF(OR(H1206=$C$5,H1206=$C$6,H1206=$C$7,H1206=$C$8,H1206=$C$9,H1206=$C$10,H1206=$C$11,H1206=$C$12,H1206=$C$13,H1206=$C$14),SottocategorieUscite[[#Headers],[Varie Uscite]],IF(OR(H1206=$D$5,H1206=$D$6,H1206=$D$7,H1206=$D$8,H1206=$D$9,H1206=$D$10,H1206=$D$11,H1206=$D$12,H1206=$D$13,H1206=$D$14),SottocategorieUscite[[#Headers],[Personali]],IF(OR(H1206=$E$5,H1206=$E$6,H1206=$E$7,H1206=$E$8,H1206=$E$9,H1206=$E$10,H1206=$E$11,H1206=$E$12,H1206=$E$13,H1206=$E$14),SottocategorieUscite[[#Headers],[Lavoro]],IF(OR(H1206=$F$5,H1206=$F$6,H1206=$F$7,H1206=$F$8,H1206=$F$9,H1206=$F$10,H1206=$F$11,H1206=$F$12,H1206=$F$13,H1206=$F$14),SottocategorieUscite[[#Headers],[Casa]],IF(OR(H1206=$G$5,H1206=$G$6,H1206=$G$7,H1206=$G$8,H1206=$G$9,H1206=$G$10,H1206=$G$11,H1206=$G$12,H1206=$G$13,H1206=$G$14),SottocategorieUscite[[#Headers],[Utenze]],IF(OR(H1206=$H$5,H1206=$H$6,H1206=$H$7,H1206=$H$8,H1206=$H$9,H1206=$H$10,H1206=$H$11,H1206=$H$12,H1206=$H$13,H1206=$H$14),SottocategorieUscite[[#Headers],[Business Uscite]],IF(OR(H1206=$I$5,H1206=$I$6,H1206=$I$7,H1206=$I$8,H1206=$I$9,H1206=$I$10,H1206=$I$11,H1206=$I$12,H1206=$I$13,H1206=$I$14),SottocategorieUscite[[#Headers],[Banca]],IF(OR(H1206=K$5,H1206=K$6,H1206=K$7,H1206=K$8,H1206=K$9,H1206=K$10,H1206=K$11,H1206=K$12,H1206=K$13,H1206=K$14),SottocategorieEntrate[[#Headers],[Business Entrate]],IF(OR(H1206=L$5,H1206=L$6,H1206=L$7,H1206=L$8,H1206=L$9,H1206=L$10,H1206=L$11,H1206=L$12,H1206=L$13,H1206=L$14),SottocategorieEntrate[[#Headers],[Varie Entrate]],IF(OR(H1206=M$5,H1206=M$6,H1206=M$7,H1206=M$8,H1206=M$9,H1206=M$10,H1206=M$11,H1206=M$12,H1206=M$13,H1206=M$14),SottocategorieEntrate[[#Headers],[Real Estate]],IF(OR(H1206=N$5,H1206=N$6,H1206=N$7,H1206=N$8,H1206=N$9,H1206=N$10,H1206=N$11,H1206=N$12,H1206=N$13,H1206=N$14),SottocategorieEntrate[[#Headers],[Other]],""))))))))))))</f>
        <v/>
      </c>
      <c r="J1206" t="str">
        <f>IF(OR(Dati[[#This Row],[Categoria]]="Bollette",Dati[[#This Row],[Categoria]]="Conto &amp; Carte BNL",Dati[[#This Row],[Categoria]]="Prelievo",Dati[[#This Row],[Categoria]]="Affitto",Dati[[#This Row],[Categoria]]="BNL(Interessi Creditori)"),"Carta",IF(Dati[[#This Row],[Categoria]]&lt;&gt;0,"Cash",""))</f>
        <v/>
      </c>
      <c r="K1206" s="59" t="str">
        <f>IF(OR(Data!$I1206=SottocategorieUscite[[#Headers],[Fuori Casa]],Data!$I1206=SottocategorieUscite[[#Headers],[Varie Uscite]],Data!$I1206=SottocategorieUscite[[#Headers],[Personali]],Data!$I1206=SottocategorieUscite[[#Headers],[Lavoro]]),"$ -","")</f>
        <v/>
      </c>
      <c r="L1206" s="59" t="str">
        <f>IF(OR(Data!$I1206=SottocategorieUscite[[#Headers],[Casa]],Data!$I1206=SottocategorieUscite[[#Headers],[Utenze]],Data!$I1206=SottocategorieUscite[[#Headers],[Business Uscite]],Data!$I1206=SottocategorieUscite[[#Headers],[Banca]]),"$ -","")</f>
        <v/>
      </c>
      <c r="M1206" s="59" t="str">
        <f>IF(OR($I1206&lt;&gt;SottocategorieUscite[[#Headers],[Fuori Casa]],$I1206&lt;&gt;SottocategorieUscite[[#Headers],[Varie Uscite]],$I1206&lt;&gt;SottocategorieUscite[[#Headers],[Personali]],$I1206&lt;&gt;SottocategorieUscite[[#Headers],[Lavoro]],$I1206&lt;&gt;SottocategorieUscite[[#Headers],[Casa]],$I1206&lt;&gt;SottocategorieUscite[[#Headers],[Utenze]],$I1206&lt;&gt;SottocategorieUscite[[#Headers],[Business Uscite]],$I1206&lt;&gt;SottocategorieUscite[[#Headers],[Banca]]),"","$ -")</f>
        <v/>
      </c>
      <c r="N1206" s="59" t="str">
        <f>IF(OR(Data!$I1206=SottocategorieEntrate[[#Headers],[Business Entrate]],Data!$I1206=SottocategorieEntrate[[#Headers],[Varie Entrate]]),"$ -","")</f>
        <v/>
      </c>
      <c r="O1206" s="59" t="str">
        <f>IF(OR(Data!$I1206=SottocategorieEntrate[[#Headers],[Real Estate]],SottocategorieEntrate[[#Headers],[Other]]),"$ -","")</f>
        <v/>
      </c>
      <c r="P1206" s="59" t="str">
        <f>IF(OR($I1206&lt;&gt;SottocategorieEntrate[[#Headers],[Business Entrate]],$I1206&lt;&gt;SottocategorieEntrate[[#Headers],[Varie Entrate]],$I1206&lt;&gt;SottocategorieEntrate[[#Headers],[Real Estate]],$I1206&lt;&gt;SottocategorieEntrate[[#Headers],[Other]]),"","$ -")</f>
        <v/>
      </c>
      <c r="Q1206" s="59" t="str">
        <f>IF(Dati[[#This Row],[Categoria]]="Prelievo","€ -","")</f>
        <v/>
      </c>
      <c r="R1206" s="244"/>
      <c r="S1206" s="59" t="str">
        <f>IF(Dati[[#This Row],[Categoria]]="Savings",0,"")</f>
        <v/>
      </c>
      <c r="T1206" s="59"/>
      <c r="U1206" s="59"/>
      <c r="V1206" s="59"/>
      <c r="W1206" s="59"/>
      <c r="X1206" s="59"/>
      <c r="Y1206" s="59"/>
      <c r="Z1206" s="59"/>
      <c r="AA1206" s="59"/>
      <c r="AB1206" s="59"/>
      <c r="AC1206" s="59"/>
      <c r="AD1206" s="59"/>
      <c r="AE1206" s="59"/>
      <c r="AF1206" s="59"/>
      <c r="AG1206" s="59"/>
      <c r="AH1206" s="59"/>
      <c r="AI1206" s="59" t="str">
        <f>IF(SUM(Dati[[#This Row],[Inv. Business]:[Inv. Cryptocurrency]])=0," ",SUM(Dati[[#This Row],[Inv. Business]:[Inv. Cryptocurrency]]))</f>
        <v xml:space="preserve"> </v>
      </c>
      <c r="AJ1206" s="59"/>
      <c r="AK1206" s="59" t="str">
        <f>IF(SUM(Dati[[#This Row],[Inv. Gold]:[Mutuo]])=0," ",SUM(Dati[[#This Row],[Inv. Gold]:[Mutuo]]))</f>
        <v xml:space="preserve"> </v>
      </c>
      <c r="AL1206" s="59"/>
      <c r="AM1206" s="59"/>
    </row>
    <row r="1207" spans="2:39" x14ac:dyDescent="0.35">
      <c r="B1207" s="237">
        <f t="shared" si="86"/>
        <v>1176</v>
      </c>
      <c r="C1207" s="49">
        <f t="shared" si="85"/>
        <v>45807</v>
      </c>
      <c r="D1207" s="29">
        <f>DAY(Dati[[#This Row],[Data]])</f>
        <v>30</v>
      </c>
      <c r="E1207" s="29" t="str">
        <f>IF(DAY(Data!$C$21:$C$1327)&gt;0,TEXT(Data!$C$21:$C$1327, "mmmm"),"")</f>
        <v>maggio</v>
      </c>
      <c r="F1207" s="29" t="str">
        <f>IF(DAY(Data!$C$21:$C$1327)&gt;0,TEXT(Data!$C$21:$C$1327, "aaaa"),"")</f>
        <v>2025</v>
      </c>
      <c r="I1207" t="str">
        <f>IF(OR(H1207=$B$5,H1207=$B$6,H1207=$B$7,H1207=$B$8,H1207=$B$9,H1207=$B$10,H1207=$B$11,H1207=$B$12,H1207=$B$13,H1207=$B$14),SottocategorieUscite[[#Headers],[Fuori Casa]],IF(OR(H1207=$C$5,H1207=$C$6,H1207=$C$7,H1207=$C$8,H1207=$C$9,H1207=$C$10,H1207=$C$11,H1207=$C$12,H1207=$C$13,H1207=$C$14),SottocategorieUscite[[#Headers],[Varie Uscite]],IF(OR(H1207=$D$5,H1207=$D$6,H1207=$D$7,H1207=$D$8,H1207=$D$9,H1207=$D$10,H1207=$D$11,H1207=$D$12,H1207=$D$13,H1207=$D$14),SottocategorieUscite[[#Headers],[Personali]],IF(OR(H1207=$E$5,H1207=$E$6,H1207=$E$7,H1207=$E$8,H1207=$E$9,H1207=$E$10,H1207=$E$11,H1207=$E$12,H1207=$E$13,H1207=$E$14),SottocategorieUscite[[#Headers],[Lavoro]],IF(OR(H1207=$F$5,H1207=$F$6,H1207=$F$7,H1207=$F$8,H1207=$F$9,H1207=$F$10,H1207=$F$11,H1207=$F$12,H1207=$F$13,H1207=$F$14),SottocategorieUscite[[#Headers],[Casa]],IF(OR(H1207=$G$5,H1207=$G$6,H1207=$G$7,H1207=$G$8,H1207=$G$9,H1207=$G$10,H1207=$G$11,H1207=$G$12,H1207=$G$13,H1207=$G$14),SottocategorieUscite[[#Headers],[Utenze]],IF(OR(H1207=$H$5,H1207=$H$6,H1207=$H$7,H1207=$H$8,H1207=$H$9,H1207=$H$10,H1207=$H$11,H1207=$H$12,H1207=$H$13,H1207=$H$14),SottocategorieUscite[[#Headers],[Business Uscite]],IF(OR(H1207=$I$5,H1207=$I$6,H1207=$I$7,H1207=$I$8,H1207=$I$9,H1207=$I$10,H1207=$I$11,H1207=$I$12,H1207=$I$13,H1207=$I$14),SottocategorieUscite[[#Headers],[Banca]],IF(OR(H1207=K$5,H1207=K$6,H1207=K$7,H1207=K$8,H1207=K$9,H1207=K$10,H1207=K$11,H1207=K$12,H1207=K$13,H1207=K$14),SottocategorieEntrate[[#Headers],[Business Entrate]],IF(OR(H1207=L$5,H1207=L$6,H1207=L$7,H1207=L$8,H1207=L$9,H1207=L$10,H1207=L$11,H1207=L$12,H1207=L$13,H1207=L$14),SottocategorieEntrate[[#Headers],[Varie Entrate]],IF(OR(H1207=M$5,H1207=M$6,H1207=M$7,H1207=M$8,H1207=M$9,H1207=M$10,H1207=M$11,H1207=M$12,H1207=M$13,H1207=M$14),SottocategorieEntrate[[#Headers],[Real Estate]],IF(OR(H1207=N$5,H1207=N$6,H1207=N$7,H1207=N$8,H1207=N$9,H1207=N$10,H1207=N$11,H1207=N$12,H1207=N$13,H1207=N$14),SottocategorieEntrate[[#Headers],[Other]],""))))))))))))</f>
        <v/>
      </c>
      <c r="J1207" t="str">
        <f>IF(OR(Dati[[#This Row],[Categoria]]="Bollette",Dati[[#This Row],[Categoria]]="Conto &amp; Carte BNL",Dati[[#This Row],[Categoria]]="Prelievo",Dati[[#This Row],[Categoria]]="Affitto",Dati[[#This Row],[Categoria]]="BNL(Interessi Creditori)"),"Carta",IF(Dati[[#This Row],[Categoria]]&lt;&gt;0,"Cash",""))</f>
        <v/>
      </c>
      <c r="K1207" s="59" t="str">
        <f>IF(OR(Data!$I1207=SottocategorieUscite[[#Headers],[Fuori Casa]],Data!$I1207=SottocategorieUscite[[#Headers],[Varie Uscite]],Data!$I1207=SottocategorieUscite[[#Headers],[Personali]],Data!$I1207=SottocategorieUscite[[#Headers],[Lavoro]]),"$ -","")</f>
        <v/>
      </c>
      <c r="L1207" s="59" t="str">
        <f>IF(OR(Data!$I1207=SottocategorieUscite[[#Headers],[Casa]],Data!$I1207=SottocategorieUscite[[#Headers],[Utenze]],Data!$I1207=SottocategorieUscite[[#Headers],[Business Uscite]],Data!$I1207=SottocategorieUscite[[#Headers],[Banca]]),"$ -","")</f>
        <v/>
      </c>
      <c r="M1207" s="59" t="str">
        <f>IF(OR($I1207&lt;&gt;SottocategorieUscite[[#Headers],[Fuori Casa]],$I1207&lt;&gt;SottocategorieUscite[[#Headers],[Varie Uscite]],$I1207&lt;&gt;SottocategorieUscite[[#Headers],[Personali]],$I1207&lt;&gt;SottocategorieUscite[[#Headers],[Lavoro]],$I1207&lt;&gt;SottocategorieUscite[[#Headers],[Casa]],$I1207&lt;&gt;SottocategorieUscite[[#Headers],[Utenze]],$I1207&lt;&gt;SottocategorieUscite[[#Headers],[Business Uscite]],$I1207&lt;&gt;SottocategorieUscite[[#Headers],[Banca]]),"","$ -")</f>
        <v/>
      </c>
      <c r="N1207" s="59" t="str">
        <f>IF(OR(Data!$I1207=SottocategorieEntrate[[#Headers],[Business Entrate]],Data!$I1207=SottocategorieEntrate[[#Headers],[Varie Entrate]]),"$ -","")</f>
        <v/>
      </c>
      <c r="O1207" s="59" t="str">
        <f>IF(OR(Data!$I1207=SottocategorieEntrate[[#Headers],[Real Estate]],SottocategorieEntrate[[#Headers],[Other]]),"$ -","")</f>
        <v/>
      </c>
      <c r="P1207" s="59" t="str">
        <f>IF(OR($I1207&lt;&gt;SottocategorieEntrate[[#Headers],[Business Entrate]],$I1207&lt;&gt;SottocategorieEntrate[[#Headers],[Varie Entrate]],$I1207&lt;&gt;SottocategorieEntrate[[#Headers],[Real Estate]],$I1207&lt;&gt;SottocategorieEntrate[[#Headers],[Other]]),"","$ -")</f>
        <v/>
      </c>
      <c r="Q1207" s="59" t="str">
        <f>IF(Dati[[#This Row],[Categoria]]="Prelievo","€ -","")</f>
        <v/>
      </c>
      <c r="R1207" s="244"/>
      <c r="S1207" s="59" t="str">
        <f>IF(Dati[[#This Row],[Categoria]]="Savings",0,"")</f>
        <v/>
      </c>
      <c r="T1207" s="59"/>
      <c r="U1207" s="59"/>
      <c r="V1207" s="59"/>
      <c r="W1207" s="59"/>
      <c r="X1207" s="59"/>
      <c r="Y1207" s="59"/>
      <c r="Z1207" s="59"/>
      <c r="AA1207" s="59"/>
      <c r="AB1207" s="59"/>
      <c r="AC1207" s="59"/>
      <c r="AD1207" s="59"/>
      <c r="AE1207" s="59"/>
      <c r="AF1207" s="59"/>
      <c r="AG1207" s="59"/>
      <c r="AH1207" s="59"/>
      <c r="AI1207" s="59" t="str">
        <f>IF(SUM(Dati[[#This Row],[Inv. Business]:[Inv. Cryptocurrency]])=0," ",SUM(Dati[[#This Row],[Inv. Business]:[Inv. Cryptocurrency]]))</f>
        <v xml:space="preserve"> </v>
      </c>
      <c r="AJ1207" s="59"/>
      <c r="AK1207" s="59" t="str">
        <f>IF(SUM(Dati[[#This Row],[Inv. Gold]:[Mutuo]])=0," ",SUM(Dati[[#This Row],[Inv. Gold]:[Mutuo]]))</f>
        <v xml:space="preserve"> </v>
      </c>
      <c r="AL1207" s="59"/>
      <c r="AM1207" s="59"/>
    </row>
    <row r="1208" spans="2:39" x14ac:dyDescent="0.35">
      <c r="B1208" s="237">
        <f t="shared" si="86"/>
        <v>1177</v>
      </c>
      <c r="C1208" s="49">
        <f t="shared" si="85"/>
        <v>45808</v>
      </c>
      <c r="D1208" s="29">
        <f>DAY(Dati[[#This Row],[Data]])</f>
        <v>31</v>
      </c>
      <c r="E1208" s="29" t="str">
        <f>IF(DAY(Data!$C$21:$C$1327)&gt;0,TEXT(Data!$C$21:$C$1327, "mmmm"),"")</f>
        <v>maggio</v>
      </c>
      <c r="F1208" s="29" t="str">
        <f>IF(DAY(Data!$C$21:$C$1327)&gt;0,TEXT(Data!$C$21:$C$1327, "aaaa"),"")</f>
        <v>2025</v>
      </c>
      <c r="I1208" t="str">
        <f>IF(OR(H1208=$B$5,H1208=$B$6,H1208=$B$7,H1208=$B$8,H1208=$B$9,H1208=$B$10,H1208=$B$11,H1208=$B$12,H1208=$B$13,H1208=$B$14),SottocategorieUscite[[#Headers],[Fuori Casa]],IF(OR(H1208=$C$5,H1208=$C$6,H1208=$C$7,H1208=$C$8,H1208=$C$9,H1208=$C$10,H1208=$C$11,H1208=$C$12,H1208=$C$13,H1208=$C$14),SottocategorieUscite[[#Headers],[Varie Uscite]],IF(OR(H1208=$D$5,H1208=$D$6,H1208=$D$7,H1208=$D$8,H1208=$D$9,H1208=$D$10,H1208=$D$11,H1208=$D$12,H1208=$D$13,H1208=$D$14),SottocategorieUscite[[#Headers],[Personali]],IF(OR(H1208=$E$5,H1208=$E$6,H1208=$E$7,H1208=$E$8,H1208=$E$9,H1208=$E$10,H1208=$E$11,H1208=$E$12,H1208=$E$13,H1208=$E$14),SottocategorieUscite[[#Headers],[Lavoro]],IF(OR(H1208=$F$5,H1208=$F$6,H1208=$F$7,H1208=$F$8,H1208=$F$9,H1208=$F$10,H1208=$F$11,H1208=$F$12,H1208=$F$13,H1208=$F$14),SottocategorieUscite[[#Headers],[Casa]],IF(OR(H1208=$G$5,H1208=$G$6,H1208=$G$7,H1208=$G$8,H1208=$G$9,H1208=$G$10,H1208=$G$11,H1208=$G$12,H1208=$G$13,H1208=$G$14),SottocategorieUscite[[#Headers],[Utenze]],IF(OR(H1208=$H$5,H1208=$H$6,H1208=$H$7,H1208=$H$8,H1208=$H$9,H1208=$H$10,H1208=$H$11,H1208=$H$12,H1208=$H$13,H1208=$H$14),SottocategorieUscite[[#Headers],[Business Uscite]],IF(OR(H1208=$I$5,H1208=$I$6,H1208=$I$7,H1208=$I$8,H1208=$I$9,H1208=$I$10,H1208=$I$11,H1208=$I$12,H1208=$I$13,H1208=$I$14),SottocategorieUscite[[#Headers],[Banca]],IF(OR(H1208=K$5,H1208=K$6,H1208=K$7,H1208=K$8,H1208=K$9,H1208=K$10,H1208=K$11,H1208=K$12,H1208=K$13,H1208=K$14),SottocategorieEntrate[[#Headers],[Business Entrate]],IF(OR(H1208=L$5,H1208=L$6,H1208=L$7,H1208=L$8,H1208=L$9,H1208=L$10,H1208=L$11,H1208=L$12,H1208=L$13,H1208=L$14),SottocategorieEntrate[[#Headers],[Varie Entrate]],IF(OR(H1208=M$5,H1208=M$6,H1208=M$7,H1208=M$8,H1208=M$9,H1208=M$10,H1208=M$11,H1208=M$12,H1208=M$13,H1208=M$14),SottocategorieEntrate[[#Headers],[Real Estate]],IF(OR(H1208=N$5,H1208=N$6,H1208=N$7,H1208=N$8,H1208=N$9,H1208=N$10,H1208=N$11,H1208=N$12,H1208=N$13,H1208=N$14),SottocategorieEntrate[[#Headers],[Other]],""))))))))))))</f>
        <v/>
      </c>
      <c r="J1208" t="str">
        <f>IF(OR(Dati[[#This Row],[Categoria]]="Bollette",Dati[[#This Row],[Categoria]]="Conto &amp; Carte BNL",Dati[[#This Row],[Categoria]]="Prelievo",Dati[[#This Row],[Categoria]]="Affitto",Dati[[#This Row],[Categoria]]="BNL(Interessi Creditori)"),"Carta",IF(Dati[[#This Row],[Categoria]]&lt;&gt;0,"Cash",""))</f>
        <v/>
      </c>
      <c r="K1208" s="59" t="str">
        <f>IF(OR(Data!$I1208=SottocategorieUscite[[#Headers],[Fuori Casa]],Data!$I1208=SottocategorieUscite[[#Headers],[Varie Uscite]],Data!$I1208=SottocategorieUscite[[#Headers],[Personali]],Data!$I1208=SottocategorieUscite[[#Headers],[Lavoro]]),"$ -","")</f>
        <v/>
      </c>
      <c r="L1208" s="59" t="str">
        <f>IF(OR(Data!$I1208=SottocategorieUscite[[#Headers],[Casa]],Data!$I1208=SottocategorieUscite[[#Headers],[Utenze]],Data!$I1208=SottocategorieUscite[[#Headers],[Business Uscite]],Data!$I1208=SottocategorieUscite[[#Headers],[Banca]]),"$ -","")</f>
        <v/>
      </c>
      <c r="M1208" s="59" t="str">
        <f>IF(OR($I1208&lt;&gt;SottocategorieUscite[[#Headers],[Fuori Casa]],$I1208&lt;&gt;SottocategorieUscite[[#Headers],[Varie Uscite]],$I1208&lt;&gt;SottocategorieUscite[[#Headers],[Personali]],$I1208&lt;&gt;SottocategorieUscite[[#Headers],[Lavoro]],$I1208&lt;&gt;SottocategorieUscite[[#Headers],[Casa]],$I1208&lt;&gt;SottocategorieUscite[[#Headers],[Utenze]],$I1208&lt;&gt;SottocategorieUscite[[#Headers],[Business Uscite]],$I1208&lt;&gt;SottocategorieUscite[[#Headers],[Banca]]),"","$ -")</f>
        <v/>
      </c>
      <c r="N1208" s="59" t="str">
        <f>IF(OR(Data!$I1208=SottocategorieEntrate[[#Headers],[Business Entrate]],Data!$I1208=SottocategorieEntrate[[#Headers],[Varie Entrate]]),"$ -","")</f>
        <v/>
      </c>
      <c r="O1208" s="59" t="str">
        <f>IF(OR(Data!$I1208=SottocategorieEntrate[[#Headers],[Real Estate]],SottocategorieEntrate[[#Headers],[Other]]),"$ -","")</f>
        <v/>
      </c>
      <c r="P1208" s="59" t="str">
        <f>IF(OR($I1208&lt;&gt;SottocategorieEntrate[[#Headers],[Business Entrate]],$I1208&lt;&gt;SottocategorieEntrate[[#Headers],[Varie Entrate]],$I1208&lt;&gt;SottocategorieEntrate[[#Headers],[Real Estate]],$I1208&lt;&gt;SottocategorieEntrate[[#Headers],[Other]]),"","$ -")</f>
        <v/>
      </c>
      <c r="Q1208" s="59" t="str">
        <f>IF(Dati[[#This Row],[Categoria]]="Prelievo","€ -","")</f>
        <v/>
      </c>
      <c r="R1208" s="244"/>
      <c r="S1208" s="59" t="str">
        <f>IF(Dati[[#This Row],[Categoria]]="Savings",0,"")</f>
        <v/>
      </c>
      <c r="T1208" s="59"/>
      <c r="U1208" s="59"/>
      <c r="V1208" s="59"/>
      <c r="W1208" s="59"/>
      <c r="X1208" s="59"/>
      <c r="Y1208" s="59"/>
      <c r="Z1208" s="59"/>
      <c r="AA1208" s="59"/>
      <c r="AB1208" s="59"/>
      <c r="AC1208" s="59"/>
      <c r="AD1208" s="59"/>
      <c r="AE1208" s="59"/>
      <c r="AF1208" s="59"/>
      <c r="AG1208" s="59"/>
      <c r="AH1208" s="59"/>
      <c r="AI1208" s="59" t="str">
        <f>IF(SUM(Dati[[#This Row],[Inv. Business]:[Inv. Cryptocurrency]])=0," ",SUM(Dati[[#This Row],[Inv. Business]:[Inv. Cryptocurrency]]))</f>
        <v xml:space="preserve"> </v>
      </c>
      <c r="AJ1208" s="59"/>
      <c r="AK1208" s="59" t="str">
        <f>IF(SUM(Dati[[#This Row],[Inv. Gold]:[Mutuo]])=0," ",SUM(Dati[[#This Row],[Inv. Gold]:[Mutuo]]))</f>
        <v xml:space="preserve"> </v>
      </c>
      <c r="AL1208" s="59"/>
      <c r="AM1208" s="59"/>
    </row>
    <row r="1209" spans="2:39" x14ac:dyDescent="0.35">
      <c r="B1209" s="237">
        <f t="shared" si="86"/>
        <v>1178</v>
      </c>
      <c r="C1209" s="49">
        <f t="shared" si="85"/>
        <v>45809</v>
      </c>
      <c r="D1209" s="29">
        <f>DAY(Dati[[#This Row],[Data]])</f>
        <v>1</v>
      </c>
      <c r="E1209" s="29" t="str">
        <f>IF(DAY(Data!$C$21:$C$1327)&gt;0,TEXT(Data!$C$21:$C$1327, "mmmm"),"")</f>
        <v>giugno</v>
      </c>
      <c r="F1209" s="29" t="str">
        <f>IF(DAY(Data!$C$21:$C$1327)&gt;0,TEXT(Data!$C$21:$C$1327, "aaaa"),"")</f>
        <v>2025</v>
      </c>
      <c r="I1209" t="str">
        <f>IF(OR(H1209=$B$5,H1209=$B$6,H1209=$B$7,H1209=$B$8,H1209=$B$9,H1209=$B$10,H1209=$B$11,H1209=$B$12,H1209=$B$13,H1209=$B$14),SottocategorieUscite[[#Headers],[Fuori Casa]],IF(OR(H1209=$C$5,H1209=$C$6,H1209=$C$7,H1209=$C$8,H1209=$C$9,H1209=$C$10,H1209=$C$11,H1209=$C$12,H1209=$C$13,H1209=$C$14),SottocategorieUscite[[#Headers],[Varie Uscite]],IF(OR(H1209=$D$5,H1209=$D$6,H1209=$D$7,H1209=$D$8,H1209=$D$9,H1209=$D$10,H1209=$D$11,H1209=$D$12,H1209=$D$13,H1209=$D$14),SottocategorieUscite[[#Headers],[Personali]],IF(OR(H1209=$E$5,H1209=$E$6,H1209=$E$7,H1209=$E$8,H1209=$E$9,H1209=$E$10,H1209=$E$11,H1209=$E$12,H1209=$E$13,H1209=$E$14),SottocategorieUscite[[#Headers],[Lavoro]],IF(OR(H1209=$F$5,H1209=$F$6,H1209=$F$7,H1209=$F$8,H1209=$F$9,H1209=$F$10,H1209=$F$11,H1209=$F$12,H1209=$F$13,H1209=$F$14),SottocategorieUscite[[#Headers],[Casa]],IF(OR(H1209=$G$5,H1209=$G$6,H1209=$G$7,H1209=$G$8,H1209=$G$9,H1209=$G$10,H1209=$G$11,H1209=$G$12,H1209=$G$13,H1209=$G$14),SottocategorieUscite[[#Headers],[Utenze]],IF(OR(H1209=$H$5,H1209=$H$6,H1209=$H$7,H1209=$H$8,H1209=$H$9,H1209=$H$10,H1209=$H$11,H1209=$H$12,H1209=$H$13,H1209=$H$14),SottocategorieUscite[[#Headers],[Business Uscite]],IF(OR(H1209=$I$5,H1209=$I$6,H1209=$I$7,H1209=$I$8,H1209=$I$9,H1209=$I$10,H1209=$I$11,H1209=$I$12,H1209=$I$13,H1209=$I$14),SottocategorieUscite[[#Headers],[Banca]],IF(OR(H1209=K$5,H1209=K$6,H1209=K$7,H1209=K$8,H1209=K$9,H1209=K$10,H1209=K$11,H1209=K$12,H1209=K$13,H1209=K$14),SottocategorieEntrate[[#Headers],[Business Entrate]],IF(OR(H1209=L$5,H1209=L$6,H1209=L$7,H1209=L$8,H1209=L$9,H1209=L$10,H1209=L$11,H1209=L$12,H1209=L$13,H1209=L$14),SottocategorieEntrate[[#Headers],[Varie Entrate]],IF(OR(H1209=M$5,H1209=M$6,H1209=M$7,H1209=M$8,H1209=M$9,H1209=M$10,H1209=M$11,H1209=M$12,H1209=M$13,H1209=M$14),SottocategorieEntrate[[#Headers],[Real Estate]],IF(OR(H1209=N$5,H1209=N$6,H1209=N$7,H1209=N$8,H1209=N$9,H1209=N$10,H1209=N$11,H1209=N$12,H1209=N$13,H1209=N$14),SottocategorieEntrate[[#Headers],[Other]],""))))))))))))</f>
        <v/>
      </c>
      <c r="J1209" t="str">
        <f>IF(OR(Dati[[#This Row],[Categoria]]="Bollette",Dati[[#This Row],[Categoria]]="Conto &amp; Carte BNL",Dati[[#This Row],[Categoria]]="Prelievo",Dati[[#This Row],[Categoria]]="Affitto",Dati[[#This Row],[Categoria]]="BNL(Interessi Creditori)"),"Carta",IF(Dati[[#This Row],[Categoria]]&lt;&gt;0,"Cash",""))</f>
        <v/>
      </c>
      <c r="K1209" s="59" t="str">
        <f>IF(OR(Data!$I1209=SottocategorieUscite[[#Headers],[Fuori Casa]],Data!$I1209=SottocategorieUscite[[#Headers],[Varie Uscite]],Data!$I1209=SottocategorieUscite[[#Headers],[Personali]],Data!$I1209=SottocategorieUscite[[#Headers],[Lavoro]]),"$ -","")</f>
        <v/>
      </c>
      <c r="L1209" s="59" t="str">
        <f>IF(OR(Data!$I1209=SottocategorieUscite[[#Headers],[Casa]],Data!$I1209=SottocategorieUscite[[#Headers],[Utenze]],Data!$I1209=SottocategorieUscite[[#Headers],[Business Uscite]],Data!$I1209=SottocategorieUscite[[#Headers],[Banca]]),"$ -","")</f>
        <v/>
      </c>
      <c r="M1209" s="59" t="str">
        <f>IF(OR($I1209&lt;&gt;SottocategorieUscite[[#Headers],[Fuori Casa]],$I1209&lt;&gt;SottocategorieUscite[[#Headers],[Varie Uscite]],$I1209&lt;&gt;SottocategorieUscite[[#Headers],[Personali]],$I1209&lt;&gt;SottocategorieUscite[[#Headers],[Lavoro]],$I1209&lt;&gt;SottocategorieUscite[[#Headers],[Casa]],$I1209&lt;&gt;SottocategorieUscite[[#Headers],[Utenze]],$I1209&lt;&gt;SottocategorieUscite[[#Headers],[Business Uscite]],$I1209&lt;&gt;SottocategorieUscite[[#Headers],[Banca]]),"","$ -")</f>
        <v/>
      </c>
      <c r="N1209" s="59" t="str">
        <f>IF(OR(Data!$I1209=SottocategorieEntrate[[#Headers],[Business Entrate]],Data!$I1209=SottocategorieEntrate[[#Headers],[Varie Entrate]]),"$ -","")</f>
        <v/>
      </c>
      <c r="O1209" s="59" t="str">
        <f>IF(OR(Data!$I1209=SottocategorieEntrate[[#Headers],[Real Estate]],SottocategorieEntrate[[#Headers],[Other]]),"$ -","")</f>
        <v/>
      </c>
      <c r="P1209" s="59" t="str">
        <f>IF(OR($I1209&lt;&gt;SottocategorieEntrate[[#Headers],[Business Entrate]],$I1209&lt;&gt;SottocategorieEntrate[[#Headers],[Varie Entrate]],$I1209&lt;&gt;SottocategorieEntrate[[#Headers],[Real Estate]],$I1209&lt;&gt;SottocategorieEntrate[[#Headers],[Other]]),"","$ -")</f>
        <v/>
      </c>
      <c r="Q1209" s="59" t="str">
        <f>IF(Dati[[#This Row],[Categoria]]="Prelievo","€ -","")</f>
        <v/>
      </c>
      <c r="R1209" s="244"/>
      <c r="S1209" s="59" t="str">
        <f>IF(Dati[[#This Row],[Categoria]]="Savings",0,"")</f>
        <v/>
      </c>
      <c r="T1209" s="59"/>
      <c r="U1209" s="59"/>
      <c r="V1209" s="59"/>
      <c r="W1209" s="59"/>
      <c r="X1209" s="59"/>
      <c r="Y1209" s="59"/>
      <c r="Z1209" s="59"/>
      <c r="AA1209" s="59"/>
      <c r="AB1209" s="59"/>
      <c r="AC1209" s="59"/>
      <c r="AD1209" s="59"/>
      <c r="AE1209" s="59"/>
      <c r="AF1209" s="59"/>
      <c r="AG1209" s="59"/>
      <c r="AH1209" s="59"/>
      <c r="AI1209" s="59" t="str">
        <f>IF(SUM(Dati[[#This Row],[Inv. Business]:[Inv. Cryptocurrency]])=0," ",SUM(Dati[[#This Row],[Inv. Business]:[Inv. Cryptocurrency]]))</f>
        <v xml:space="preserve"> </v>
      </c>
      <c r="AJ1209" s="59"/>
      <c r="AK1209" s="59" t="str">
        <f>IF(SUM(Dati[[#This Row],[Inv. Gold]:[Mutuo]])=0," ",SUM(Dati[[#This Row],[Inv. Gold]:[Mutuo]]))</f>
        <v xml:space="preserve"> </v>
      </c>
      <c r="AL1209" s="59"/>
      <c r="AM1209" s="59"/>
    </row>
    <row r="1210" spans="2:39" x14ac:dyDescent="0.35">
      <c r="B1210" s="237">
        <f>ROW(1178:1178)</f>
        <v>1178</v>
      </c>
      <c r="C1210" s="49">
        <f>C1208+1</f>
        <v>45809</v>
      </c>
      <c r="D1210" s="29">
        <f>DAY(Dati[[#This Row],[Data]])</f>
        <v>1</v>
      </c>
      <c r="E1210" s="29" t="str">
        <f>IF(DAY(Data!$C$21:$C$1327)&gt;0,TEXT(Data!$C$21:$C$1327, "mmmm"),"")</f>
        <v>giugno</v>
      </c>
      <c r="F1210" s="29" t="str">
        <f>IF(DAY(Data!$C$21:$C$1327)&gt;0,TEXT(Data!$C$21:$C$1327, "aaaa"),"")</f>
        <v>2025</v>
      </c>
      <c r="I1210" t="str">
        <f>IF(OR(H1210=$B$5,H1210=$B$6,H1210=$B$7,H1210=$B$8,H1210=$B$9,H1210=$B$10,H1210=$B$11,H1210=$B$12,H1210=$B$13,H1210=$B$14),SottocategorieUscite[[#Headers],[Fuori Casa]],IF(OR(H1210=$C$5,H1210=$C$6,H1210=$C$7,H1210=$C$8,H1210=$C$9,H1210=$C$10,H1210=$C$11,H1210=$C$12,H1210=$C$13,H1210=$C$14),SottocategorieUscite[[#Headers],[Varie Uscite]],IF(OR(H1210=$D$5,H1210=$D$6,H1210=$D$7,H1210=$D$8,H1210=$D$9,H1210=$D$10,H1210=$D$11,H1210=$D$12,H1210=$D$13,H1210=$D$14),SottocategorieUscite[[#Headers],[Personali]],IF(OR(H1210=$E$5,H1210=$E$6,H1210=$E$7,H1210=$E$8,H1210=$E$9,H1210=$E$10,H1210=$E$11,H1210=$E$12,H1210=$E$13,H1210=$E$14),SottocategorieUscite[[#Headers],[Lavoro]],IF(OR(H1210=$F$5,H1210=$F$6,H1210=$F$7,H1210=$F$8,H1210=$F$9,H1210=$F$10,H1210=$F$11,H1210=$F$12,H1210=$F$13,H1210=$F$14),SottocategorieUscite[[#Headers],[Casa]],IF(OR(H1210=$G$5,H1210=$G$6,H1210=$G$7,H1210=$G$8,H1210=$G$9,H1210=$G$10,H1210=$G$11,H1210=$G$12,H1210=$G$13,H1210=$G$14),SottocategorieUscite[[#Headers],[Utenze]],IF(OR(H1210=$H$5,H1210=$H$6,H1210=$H$7,H1210=$H$8,H1210=$H$9,H1210=$H$10,H1210=$H$11,H1210=$H$12,H1210=$H$13,H1210=$H$14),SottocategorieUscite[[#Headers],[Business Uscite]],IF(OR(H1210=$I$5,H1210=$I$6,H1210=$I$7,H1210=$I$8,H1210=$I$9,H1210=$I$10,H1210=$I$11,H1210=$I$12,H1210=$I$13,H1210=$I$14),SottocategorieUscite[[#Headers],[Banca]],IF(OR(H1210=K$5,H1210=K$6,H1210=K$7,H1210=K$8,H1210=K$9,H1210=K$10,H1210=K$11,H1210=K$12,H1210=K$13,H1210=K$14),SottocategorieEntrate[[#Headers],[Business Entrate]],IF(OR(H1210=L$5,H1210=L$6,H1210=L$7,H1210=L$8,H1210=L$9,H1210=L$10,H1210=L$11,H1210=L$12,H1210=L$13,H1210=L$14),SottocategorieEntrate[[#Headers],[Varie Entrate]],IF(OR(H1210=M$5,H1210=M$6,H1210=M$7,H1210=M$8,H1210=M$9,H1210=M$10,H1210=M$11,H1210=M$12,H1210=M$13,H1210=M$14),SottocategorieEntrate[[#Headers],[Real Estate]],IF(OR(H1210=N$5,H1210=N$6,H1210=N$7,H1210=N$8,H1210=N$9,H1210=N$10,H1210=N$11,H1210=N$12,H1210=N$13,H1210=N$14),SottocategorieEntrate[[#Headers],[Other]],""))))))))))))</f>
        <v/>
      </c>
      <c r="J1210" t="str">
        <f>IF(OR(Dati[[#This Row],[Categoria]]="Bollette",Dati[[#This Row],[Categoria]]="Conto &amp; Carte BNL",Dati[[#This Row],[Categoria]]="Prelievo",Dati[[#This Row],[Categoria]]="Affitto",Dati[[#This Row],[Categoria]]="BNL(Interessi Creditori)"),"Carta",IF(Dati[[#This Row],[Categoria]]&lt;&gt;0,"Cash",""))</f>
        <v/>
      </c>
      <c r="K1210" s="59" t="str">
        <f>IF(OR(Data!$I1210=SottocategorieUscite[[#Headers],[Fuori Casa]],Data!$I1210=SottocategorieUscite[[#Headers],[Varie Uscite]],Data!$I1210=SottocategorieUscite[[#Headers],[Personali]],Data!$I1210=SottocategorieUscite[[#Headers],[Lavoro]]),"$ -","")</f>
        <v/>
      </c>
      <c r="L1210" s="59" t="str">
        <f>IF(OR(Data!$I1210=SottocategorieUscite[[#Headers],[Casa]],Data!$I1210=SottocategorieUscite[[#Headers],[Utenze]],Data!$I1210=SottocategorieUscite[[#Headers],[Business Uscite]],Data!$I1210=SottocategorieUscite[[#Headers],[Banca]]),"$ -","")</f>
        <v/>
      </c>
      <c r="M1210" s="59" t="str">
        <f>IF(OR($I1210&lt;&gt;SottocategorieUscite[[#Headers],[Fuori Casa]],$I1210&lt;&gt;SottocategorieUscite[[#Headers],[Varie Uscite]],$I1210&lt;&gt;SottocategorieUscite[[#Headers],[Personali]],$I1210&lt;&gt;SottocategorieUscite[[#Headers],[Lavoro]],$I1210&lt;&gt;SottocategorieUscite[[#Headers],[Casa]],$I1210&lt;&gt;SottocategorieUscite[[#Headers],[Utenze]],$I1210&lt;&gt;SottocategorieUscite[[#Headers],[Business Uscite]],$I1210&lt;&gt;SottocategorieUscite[[#Headers],[Banca]]),"","$ -")</f>
        <v/>
      </c>
      <c r="N1210" s="59" t="str">
        <f>IF(OR(Data!$I1210=SottocategorieEntrate[[#Headers],[Business Entrate]],Data!$I1210=SottocategorieEntrate[[#Headers],[Varie Entrate]]),"$ -","")</f>
        <v/>
      </c>
      <c r="O1210" s="59" t="str">
        <f>IF(OR(Data!$I1210=SottocategorieEntrate[[#Headers],[Real Estate]],SottocategorieEntrate[[#Headers],[Other]]),"$ -","")</f>
        <v/>
      </c>
      <c r="P1210" s="59" t="str">
        <f>IF(OR($I1210&lt;&gt;SottocategorieEntrate[[#Headers],[Business Entrate]],$I1210&lt;&gt;SottocategorieEntrate[[#Headers],[Varie Entrate]],$I1210&lt;&gt;SottocategorieEntrate[[#Headers],[Real Estate]],$I1210&lt;&gt;SottocategorieEntrate[[#Headers],[Other]]),"","$ -")</f>
        <v/>
      </c>
      <c r="Q1210" s="59" t="str">
        <f>IF(Dati[[#This Row],[Categoria]]="Prelievo","€ -","")</f>
        <v/>
      </c>
      <c r="R1210" s="244"/>
      <c r="S1210" s="59" t="str">
        <f>IF(Dati[[#This Row],[Categoria]]="Savings",0,"")</f>
        <v/>
      </c>
      <c r="T1210" s="59"/>
      <c r="U1210" s="59"/>
      <c r="V1210" s="59"/>
      <c r="W1210" s="59"/>
      <c r="X1210" s="59"/>
      <c r="Y1210" s="59"/>
      <c r="Z1210" s="59"/>
      <c r="AA1210" s="59"/>
      <c r="AB1210" s="59"/>
      <c r="AC1210" s="59"/>
      <c r="AD1210" s="59"/>
      <c r="AE1210" s="59"/>
      <c r="AF1210" s="59"/>
      <c r="AG1210" s="59"/>
      <c r="AH1210" s="59"/>
      <c r="AI1210" s="59" t="str">
        <f>IF(SUM(Dati[[#This Row],[Inv. Business]:[Inv. Cryptocurrency]])=0," ",SUM(Dati[[#This Row],[Inv. Business]:[Inv. Cryptocurrency]]))</f>
        <v xml:space="preserve"> </v>
      </c>
      <c r="AJ1210" s="59"/>
      <c r="AK1210" s="59" t="str">
        <f>IF(SUM(Dati[[#This Row],[Inv. Gold]:[Mutuo]])=0," ",SUM(Dati[[#This Row],[Inv. Gold]:[Mutuo]]))</f>
        <v xml:space="preserve"> </v>
      </c>
      <c r="AL1210" s="59"/>
      <c r="AM1210" s="59"/>
    </row>
    <row r="1211" spans="2:39" x14ac:dyDescent="0.35">
      <c r="B1211" s="237">
        <f>ROW(1179:1179)</f>
        <v>1179</v>
      </c>
      <c r="C1211" s="49">
        <f>C1209+1</f>
        <v>45810</v>
      </c>
      <c r="D1211" s="29">
        <f>DAY(Dati[[#This Row],[Data]])</f>
        <v>2</v>
      </c>
      <c r="E1211" s="29" t="str">
        <f>IF(DAY(Data!$C$21:$C$1327)&gt;0,TEXT(Data!$C$21:$C$1327, "mmmm"),"")</f>
        <v>giugno</v>
      </c>
      <c r="F1211" s="29" t="str">
        <f>IF(DAY(Data!$C$21:$C$1327)&gt;0,TEXT(Data!$C$21:$C$1327, "aaaa"),"")</f>
        <v>2025</v>
      </c>
      <c r="I1211" t="str">
        <f>IF(OR(H1211=$B$5,H1211=$B$6,H1211=$B$7,H1211=$B$8,H1211=$B$9,H1211=$B$10,H1211=$B$11,H1211=$B$12,H1211=$B$13,H1211=$B$14),SottocategorieUscite[[#Headers],[Fuori Casa]],IF(OR(H1211=$C$5,H1211=$C$6,H1211=$C$7,H1211=$C$8,H1211=$C$9,H1211=$C$10,H1211=$C$11,H1211=$C$12,H1211=$C$13,H1211=$C$14),SottocategorieUscite[[#Headers],[Varie Uscite]],IF(OR(H1211=$D$5,H1211=$D$6,H1211=$D$7,H1211=$D$8,H1211=$D$9,H1211=$D$10,H1211=$D$11,H1211=$D$12,H1211=$D$13,H1211=$D$14),SottocategorieUscite[[#Headers],[Personali]],IF(OR(H1211=$E$5,H1211=$E$6,H1211=$E$7,H1211=$E$8,H1211=$E$9,H1211=$E$10,H1211=$E$11,H1211=$E$12,H1211=$E$13,H1211=$E$14),SottocategorieUscite[[#Headers],[Lavoro]],IF(OR(H1211=$F$5,H1211=$F$6,H1211=$F$7,H1211=$F$8,H1211=$F$9,H1211=$F$10,H1211=$F$11,H1211=$F$12,H1211=$F$13,H1211=$F$14),SottocategorieUscite[[#Headers],[Casa]],IF(OR(H1211=$G$5,H1211=$G$6,H1211=$G$7,H1211=$G$8,H1211=$G$9,H1211=$G$10,H1211=$G$11,H1211=$G$12,H1211=$G$13,H1211=$G$14),SottocategorieUscite[[#Headers],[Utenze]],IF(OR(H1211=$H$5,H1211=$H$6,H1211=$H$7,H1211=$H$8,H1211=$H$9,H1211=$H$10,H1211=$H$11,H1211=$H$12,H1211=$H$13,H1211=$H$14),SottocategorieUscite[[#Headers],[Business Uscite]],IF(OR(H1211=$I$5,H1211=$I$6,H1211=$I$7,H1211=$I$8,H1211=$I$9,H1211=$I$10,H1211=$I$11,H1211=$I$12,H1211=$I$13,H1211=$I$14),SottocategorieUscite[[#Headers],[Banca]],IF(OR(H1211=K$5,H1211=K$6,H1211=K$7,H1211=K$8,H1211=K$9,H1211=K$10,H1211=K$11,H1211=K$12,H1211=K$13,H1211=K$14),SottocategorieEntrate[[#Headers],[Business Entrate]],IF(OR(H1211=L$5,H1211=L$6,H1211=L$7,H1211=L$8,H1211=L$9,H1211=L$10,H1211=L$11,H1211=L$12,H1211=L$13,H1211=L$14),SottocategorieEntrate[[#Headers],[Varie Entrate]],IF(OR(H1211=M$5,H1211=M$6,H1211=M$7,H1211=M$8,H1211=M$9,H1211=M$10,H1211=M$11,H1211=M$12,H1211=M$13,H1211=M$14),SottocategorieEntrate[[#Headers],[Real Estate]],IF(OR(H1211=N$5,H1211=N$6,H1211=N$7,H1211=N$8,H1211=N$9,H1211=N$10,H1211=N$11,H1211=N$12,H1211=N$13,H1211=N$14),SottocategorieEntrate[[#Headers],[Other]],""))))))))))))</f>
        <v/>
      </c>
      <c r="J1211" t="str">
        <f>IF(OR(Dati[[#This Row],[Categoria]]="Bollette",Dati[[#This Row],[Categoria]]="Conto &amp; Carte BNL",Dati[[#This Row],[Categoria]]="Prelievo",Dati[[#This Row],[Categoria]]="Affitto",Dati[[#This Row],[Categoria]]="BNL(Interessi Creditori)"),"Carta",IF(Dati[[#This Row],[Categoria]]&lt;&gt;0,"Cash",""))</f>
        <v/>
      </c>
      <c r="K1211" s="59" t="str">
        <f>IF(OR(Data!$I1211=SottocategorieUscite[[#Headers],[Fuori Casa]],Data!$I1211=SottocategorieUscite[[#Headers],[Varie Uscite]],Data!$I1211=SottocategorieUscite[[#Headers],[Personali]],Data!$I1211=SottocategorieUscite[[#Headers],[Lavoro]]),"$ -","")</f>
        <v/>
      </c>
      <c r="L1211" s="59" t="str">
        <f>IF(OR(Data!$I1211=SottocategorieUscite[[#Headers],[Casa]],Data!$I1211=SottocategorieUscite[[#Headers],[Utenze]],Data!$I1211=SottocategorieUscite[[#Headers],[Business Uscite]],Data!$I1211=SottocategorieUscite[[#Headers],[Banca]]),"$ -","")</f>
        <v/>
      </c>
      <c r="M1211" s="59" t="str">
        <f>IF(OR($I1211&lt;&gt;SottocategorieUscite[[#Headers],[Fuori Casa]],$I1211&lt;&gt;SottocategorieUscite[[#Headers],[Varie Uscite]],$I1211&lt;&gt;SottocategorieUscite[[#Headers],[Personali]],$I1211&lt;&gt;SottocategorieUscite[[#Headers],[Lavoro]],$I1211&lt;&gt;SottocategorieUscite[[#Headers],[Casa]],$I1211&lt;&gt;SottocategorieUscite[[#Headers],[Utenze]],$I1211&lt;&gt;SottocategorieUscite[[#Headers],[Business Uscite]],$I1211&lt;&gt;SottocategorieUscite[[#Headers],[Banca]]),"","$ -")</f>
        <v/>
      </c>
      <c r="N1211" s="59" t="str">
        <f>IF(OR(Data!$I1211=SottocategorieEntrate[[#Headers],[Business Entrate]],Data!$I1211=SottocategorieEntrate[[#Headers],[Varie Entrate]]),"$ -","")</f>
        <v/>
      </c>
      <c r="O1211" s="59" t="str">
        <f>IF(OR(Data!$I1211=SottocategorieEntrate[[#Headers],[Real Estate]],SottocategorieEntrate[[#Headers],[Other]]),"$ -","")</f>
        <v/>
      </c>
      <c r="P1211" s="59" t="str">
        <f>IF(OR($I1211&lt;&gt;SottocategorieEntrate[[#Headers],[Business Entrate]],$I1211&lt;&gt;SottocategorieEntrate[[#Headers],[Varie Entrate]],$I1211&lt;&gt;SottocategorieEntrate[[#Headers],[Real Estate]],$I1211&lt;&gt;SottocategorieEntrate[[#Headers],[Other]]),"","$ -")</f>
        <v/>
      </c>
      <c r="Q1211" s="59" t="str">
        <f>IF(Dati[[#This Row],[Categoria]]="Prelievo","€ -","")</f>
        <v/>
      </c>
      <c r="R1211" s="244"/>
      <c r="S1211" s="59" t="str">
        <f>IF(Dati[[#This Row],[Categoria]]="Savings",0,"")</f>
        <v/>
      </c>
      <c r="T1211" s="59"/>
      <c r="U1211" s="59"/>
      <c r="V1211" s="59"/>
      <c r="W1211" s="59"/>
      <c r="X1211" s="59"/>
      <c r="Y1211" s="59"/>
      <c r="Z1211" s="59"/>
      <c r="AA1211" s="59"/>
      <c r="AB1211" s="59"/>
      <c r="AC1211" s="59"/>
      <c r="AD1211" s="59"/>
      <c r="AE1211" s="59"/>
      <c r="AF1211" s="59"/>
      <c r="AG1211" s="59"/>
      <c r="AH1211" s="59"/>
      <c r="AI1211" s="59" t="str">
        <f>IF(SUM(Dati[[#This Row],[Inv. Business]:[Inv. Cryptocurrency]])=0," ",SUM(Dati[[#This Row],[Inv. Business]:[Inv. Cryptocurrency]]))</f>
        <v xml:space="preserve"> </v>
      </c>
      <c r="AJ1211" s="59"/>
      <c r="AK1211" s="59" t="str">
        <f>IF(SUM(Dati[[#This Row],[Inv. Gold]:[Mutuo]])=0," ",SUM(Dati[[#This Row],[Inv. Gold]:[Mutuo]]))</f>
        <v xml:space="preserve"> </v>
      </c>
      <c r="AL1211" s="59"/>
      <c r="AM1211" s="59"/>
    </row>
    <row r="1212" spans="2:39" x14ac:dyDescent="0.35">
      <c r="B1212" s="237">
        <f>ROW(1180:1180)</f>
        <v>1180</v>
      </c>
      <c r="C1212" s="49">
        <f t="shared" si="85"/>
        <v>45811</v>
      </c>
      <c r="D1212" s="29">
        <f>DAY(Dati[[#This Row],[Data]])</f>
        <v>3</v>
      </c>
      <c r="E1212" s="29" t="str">
        <f>IF(DAY(Data!$C$21:$C$1327)&gt;0,TEXT(Data!$C$21:$C$1327, "mmmm"),"")</f>
        <v>giugno</v>
      </c>
      <c r="F1212" s="29" t="str">
        <f>IF(DAY(Data!$C$21:$C$1327)&gt;0,TEXT(Data!$C$21:$C$1327, "aaaa"),"")</f>
        <v>2025</v>
      </c>
      <c r="I1212" t="str">
        <f>IF(OR(H1212=$B$5,H1212=$B$6,H1212=$B$7,H1212=$B$8,H1212=$B$9,H1212=$B$10,H1212=$B$11,H1212=$B$12,H1212=$B$13,H1212=$B$14),SottocategorieUscite[[#Headers],[Fuori Casa]],IF(OR(H1212=$C$5,H1212=$C$6,H1212=$C$7,H1212=$C$8,H1212=$C$9,H1212=$C$10,H1212=$C$11,H1212=$C$12,H1212=$C$13,H1212=$C$14),SottocategorieUscite[[#Headers],[Varie Uscite]],IF(OR(H1212=$D$5,H1212=$D$6,H1212=$D$7,H1212=$D$8,H1212=$D$9,H1212=$D$10,H1212=$D$11,H1212=$D$12,H1212=$D$13,H1212=$D$14),SottocategorieUscite[[#Headers],[Personali]],IF(OR(H1212=$E$5,H1212=$E$6,H1212=$E$7,H1212=$E$8,H1212=$E$9,H1212=$E$10,H1212=$E$11,H1212=$E$12,H1212=$E$13,H1212=$E$14),SottocategorieUscite[[#Headers],[Lavoro]],IF(OR(H1212=$F$5,H1212=$F$6,H1212=$F$7,H1212=$F$8,H1212=$F$9,H1212=$F$10,H1212=$F$11,H1212=$F$12,H1212=$F$13,H1212=$F$14),SottocategorieUscite[[#Headers],[Casa]],IF(OR(H1212=$G$5,H1212=$G$6,H1212=$G$7,H1212=$G$8,H1212=$G$9,H1212=$G$10,H1212=$G$11,H1212=$G$12,H1212=$G$13,H1212=$G$14),SottocategorieUscite[[#Headers],[Utenze]],IF(OR(H1212=$H$5,H1212=$H$6,H1212=$H$7,H1212=$H$8,H1212=$H$9,H1212=$H$10,H1212=$H$11,H1212=$H$12,H1212=$H$13,H1212=$H$14),SottocategorieUscite[[#Headers],[Business Uscite]],IF(OR(H1212=$I$5,H1212=$I$6,H1212=$I$7,H1212=$I$8,H1212=$I$9,H1212=$I$10,H1212=$I$11,H1212=$I$12,H1212=$I$13,H1212=$I$14),SottocategorieUscite[[#Headers],[Banca]],IF(OR(H1212=K$5,H1212=K$6,H1212=K$7,H1212=K$8,H1212=K$9,H1212=K$10,H1212=K$11,H1212=K$12,H1212=K$13,H1212=K$14),SottocategorieEntrate[[#Headers],[Business Entrate]],IF(OR(H1212=L$5,H1212=L$6,H1212=L$7,H1212=L$8,H1212=L$9,H1212=L$10,H1212=L$11,H1212=L$12,H1212=L$13,H1212=L$14),SottocategorieEntrate[[#Headers],[Varie Entrate]],IF(OR(H1212=M$5,H1212=M$6,H1212=M$7,H1212=M$8,H1212=M$9,H1212=M$10,H1212=M$11,H1212=M$12,H1212=M$13,H1212=M$14),SottocategorieEntrate[[#Headers],[Real Estate]],IF(OR(H1212=N$5,H1212=N$6,H1212=N$7,H1212=N$8,H1212=N$9,H1212=N$10,H1212=N$11,H1212=N$12,H1212=N$13,H1212=N$14),SottocategorieEntrate[[#Headers],[Other]],""))))))))))))</f>
        <v/>
      </c>
      <c r="J1212" t="str">
        <f>IF(OR(Dati[[#This Row],[Categoria]]="Bollette",Dati[[#This Row],[Categoria]]="Conto &amp; Carte BNL",Dati[[#This Row],[Categoria]]="Prelievo",Dati[[#This Row],[Categoria]]="Affitto",Dati[[#This Row],[Categoria]]="BNL(Interessi Creditori)"),"Carta",IF(Dati[[#This Row],[Categoria]]&lt;&gt;0,"Cash",""))</f>
        <v/>
      </c>
      <c r="K1212" s="59" t="str">
        <f>IF(OR(Data!$I1212=SottocategorieUscite[[#Headers],[Fuori Casa]],Data!$I1212=SottocategorieUscite[[#Headers],[Varie Uscite]],Data!$I1212=SottocategorieUscite[[#Headers],[Personali]],Data!$I1212=SottocategorieUscite[[#Headers],[Lavoro]]),"$ -","")</f>
        <v/>
      </c>
      <c r="L1212" s="59" t="str">
        <f>IF(OR(Data!$I1212=SottocategorieUscite[[#Headers],[Casa]],Data!$I1212=SottocategorieUscite[[#Headers],[Utenze]],Data!$I1212=SottocategorieUscite[[#Headers],[Business Uscite]],Data!$I1212=SottocategorieUscite[[#Headers],[Banca]]),"$ -","")</f>
        <v/>
      </c>
      <c r="M1212" s="59" t="str">
        <f>IF(OR($I1212&lt;&gt;SottocategorieUscite[[#Headers],[Fuori Casa]],$I1212&lt;&gt;SottocategorieUscite[[#Headers],[Varie Uscite]],$I1212&lt;&gt;SottocategorieUscite[[#Headers],[Personali]],$I1212&lt;&gt;SottocategorieUscite[[#Headers],[Lavoro]],$I1212&lt;&gt;SottocategorieUscite[[#Headers],[Casa]],$I1212&lt;&gt;SottocategorieUscite[[#Headers],[Utenze]],$I1212&lt;&gt;SottocategorieUscite[[#Headers],[Business Uscite]],$I1212&lt;&gt;SottocategorieUscite[[#Headers],[Banca]]),"","$ -")</f>
        <v/>
      </c>
      <c r="N1212" s="59" t="str">
        <f>IF(OR(Data!$I1212=SottocategorieEntrate[[#Headers],[Business Entrate]],Data!$I1212=SottocategorieEntrate[[#Headers],[Varie Entrate]]),"$ -","")</f>
        <v/>
      </c>
      <c r="O1212" s="59" t="str">
        <f>IF(OR(Data!$I1212=SottocategorieEntrate[[#Headers],[Real Estate]],SottocategorieEntrate[[#Headers],[Other]]),"$ -","")</f>
        <v/>
      </c>
      <c r="P1212" s="59" t="str">
        <f>IF(OR($I1212&lt;&gt;SottocategorieEntrate[[#Headers],[Business Entrate]],$I1212&lt;&gt;SottocategorieEntrate[[#Headers],[Varie Entrate]],$I1212&lt;&gt;SottocategorieEntrate[[#Headers],[Real Estate]],$I1212&lt;&gt;SottocategorieEntrate[[#Headers],[Other]]),"","$ -")</f>
        <v/>
      </c>
      <c r="Q1212" s="59" t="str">
        <f>IF(Dati[[#This Row],[Categoria]]="Prelievo","€ -","")</f>
        <v/>
      </c>
      <c r="R1212" s="244"/>
      <c r="S1212" s="59" t="str">
        <f>IF(Dati[[#This Row],[Categoria]]="Savings",0,"")</f>
        <v/>
      </c>
      <c r="T1212" s="59"/>
      <c r="U1212" s="59"/>
      <c r="V1212" s="59"/>
      <c r="W1212" s="59"/>
      <c r="X1212" s="59"/>
      <c r="Y1212" s="59"/>
      <c r="Z1212" s="59"/>
      <c r="AA1212" s="59"/>
      <c r="AB1212" s="59"/>
      <c r="AC1212" s="59"/>
      <c r="AD1212" s="59"/>
      <c r="AE1212" s="59"/>
      <c r="AF1212" s="59"/>
      <c r="AG1212" s="59"/>
      <c r="AH1212" s="59"/>
      <c r="AI1212" s="59" t="str">
        <f>IF(SUM(Dati[[#This Row],[Inv. Business]:[Inv. Cryptocurrency]])=0," ",SUM(Dati[[#This Row],[Inv. Business]:[Inv. Cryptocurrency]]))</f>
        <v xml:space="preserve"> </v>
      </c>
      <c r="AJ1212" s="59"/>
      <c r="AK1212" s="59" t="str">
        <f>IF(SUM(Dati[[#This Row],[Inv. Gold]:[Mutuo]])=0," ",SUM(Dati[[#This Row],[Inv. Gold]:[Mutuo]]))</f>
        <v xml:space="preserve"> </v>
      </c>
      <c r="AL1212" s="59"/>
      <c r="AM1212" s="59"/>
    </row>
    <row r="1213" spans="2:39" x14ac:dyDescent="0.35">
      <c r="B1213" s="237">
        <f>ROW(1184:1184)</f>
        <v>1184</v>
      </c>
      <c r="C1213" s="49">
        <f t="shared" si="85"/>
        <v>45812</v>
      </c>
      <c r="D1213" s="29">
        <f>DAY(Dati[[#This Row],[Data]])</f>
        <v>4</v>
      </c>
      <c r="E1213" s="29" t="str">
        <f>IF(DAY(Data!$C$21:$C$1327)&gt;0,TEXT(Data!$C$21:$C$1327, "mmmm"),"")</f>
        <v>giugno</v>
      </c>
      <c r="F1213" s="29" t="str">
        <f>IF(DAY(Data!$C$21:$C$1327)&gt;0,TEXT(Data!$C$21:$C$1327, "aaaa"),"")</f>
        <v>2025</v>
      </c>
      <c r="I1213" t="str">
        <f>IF(OR(H1213=$B$5,H1213=$B$6,H1213=$B$7,H1213=$B$8,H1213=$B$9,H1213=$B$10,H1213=$B$11,H1213=$B$12,H1213=$B$13,H1213=$B$14),SottocategorieUscite[[#Headers],[Fuori Casa]],IF(OR(H1213=$C$5,H1213=$C$6,H1213=$C$7,H1213=$C$8,H1213=$C$9,H1213=$C$10,H1213=$C$11,H1213=$C$12,H1213=$C$13,H1213=$C$14),SottocategorieUscite[[#Headers],[Varie Uscite]],IF(OR(H1213=$D$5,H1213=$D$6,H1213=$D$7,H1213=$D$8,H1213=$D$9,H1213=$D$10,H1213=$D$11,H1213=$D$12,H1213=$D$13,H1213=$D$14),SottocategorieUscite[[#Headers],[Personali]],IF(OR(H1213=$E$5,H1213=$E$6,H1213=$E$7,H1213=$E$8,H1213=$E$9,H1213=$E$10,H1213=$E$11,H1213=$E$12,H1213=$E$13,H1213=$E$14),SottocategorieUscite[[#Headers],[Lavoro]],IF(OR(H1213=$F$5,H1213=$F$6,H1213=$F$7,H1213=$F$8,H1213=$F$9,H1213=$F$10,H1213=$F$11,H1213=$F$12,H1213=$F$13,H1213=$F$14),SottocategorieUscite[[#Headers],[Casa]],IF(OR(H1213=$G$5,H1213=$G$6,H1213=$G$7,H1213=$G$8,H1213=$G$9,H1213=$G$10,H1213=$G$11,H1213=$G$12,H1213=$G$13,H1213=$G$14),SottocategorieUscite[[#Headers],[Utenze]],IF(OR(H1213=$H$5,H1213=$H$6,H1213=$H$7,H1213=$H$8,H1213=$H$9,H1213=$H$10,H1213=$H$11,H1213=$H$12,H1213=$H$13,H1213=$H$14),SottocategorieUscite[[#Headers],[Business Uscite]],IF(OR(H1213=$I$5,H1213=$I$6,H1213=$I$7,H1213=$I$8,H1213=$I$9,H1213=$I$10,H1213=$I$11,H1213=$I$12,H1213=$I$13,H1213=$I$14),SottocategorieUscite[[#Headers],[Banca]],IF(OR(H1213=K$5,H1213=K$6,H1213=K$7,H1213=K$8,H1213=K$9,H1213=K$10,H1213=K$11,H1213=K$12,H1213=K$13,H1213=K$14),SottocategorieEntrate[[#Headers],[Business Entrate]],IF(OR(H1213=L$5,H1213=L$6,H1213=L$7,H1213=L$8,H1213=L$9,H1213=L$10,H1213=L$11,H1213=L$12,H1213=L$13,H1213=L$14),SottocategorieEntrate[[#Headers],[Varie Entrate]],IF(OR(H1213=M$5,H1213=M$6,H1213=M$7,H1213=M$8,H1213=M$9,H1213=M$10,H1213=M$11,H1213=M$12,H1213=M$13,H1213=M$14),SottocategorieEntrate[[#Headers],[Real Estate]],IF(OR(H1213=N$5,H1213=N$6,H1213=N$7,H1213=N$8,H1213=N$9,H1213=N$10,H1213=N$11,H1213=N$12,H1213=N$13,H1213=N$14),SottocategorieEntrate[[#Headers],[Other]],""))))))))))))</f>
        <v/>
      </c>
      <c r="J1213" t="str">
        <f>IF(OR(Dati[[#This Row],[Categoria]]="Bollette",Dati[[#This Row],[Categoria]]="Conto &amp; Carte BNL",Dati[[#This Row],[Categoria]]="Prelievo",Dati[[#This Row],[Categoria]]="Affitto",Dati[[#This Row],[Categoria]]="BNL(Interessi Creditori)"),"Carta",IF(Dati[[#This Row],[Categoria]]&lt;&gt;0,"Cash",""))</f>
        <v/>
      </c>
      <c r="K1213" s="59" t="str">
        <f>IF(OR(Data!$I1213=SottocategorieUscite[[#Headers],[Fuori Casa]],Data!$I1213=SottocategorieUscite[[#Headers],[Varie Uscite]],Data!$I1213=SottocategorieUscite[[#Headers],[Personali]],Data!$I1213=SottocategorieUscite[[#Headers],[Lavoro]]),"$ -","")</f>
        <v/>
      </c>
      <c r="L1213" s="59" t="str">
        <f>IF(OR(Data!$I1213=SottocategorieUscite[[#Headers],[Casa]],Data!$I1213=SottocategorieUscite[[#Headers],[Utenze]],Data!$I1213=SottocategorieUscite[[#Headers],[Business Uscite]],Data!$I1213=SottocategorieUscite[[#Headers],[Banca]]),"$ -","")</f>
        <v/>
      </c>
      <c r="M1213" s="59" t="str">
        <f>IF(OR($I1213&lt;&gt;SottocategorieUscite[[#Headers],[Fuori Casa]],$I1213&lt;&gt;SottocategorieUscite[[#Headers],[Varie Uscite]],$I1213&lt;&gt;SottocategorieUscite[[#Headers],[Personali]],$I1213&lt;&gt;SottocategorieUscite[[#Headers],[Lavoro]],$I1213&lt;&gt;SottocategorieUscite[[#Headers],[Casa]],$I1213&lt;&gt;SottocategorieUscite[[#Headers],[Utenze]],$I1213&lt;&gt;SottocategorieUscite[[#Headers],[Business Uscite]],$I1213&lt;&gt;SottocategorieUscite[[#Headers],[Banca]]),"","$ -")</f>
        <v/>
      </c>
      <c r="N1213" s="59" t="str">
        <f>IF(OR(Data!$I1213=SottocategorieEntrate[[#Headers],[Business Entrate]],Data!$I1213=SottocategorieEntrate[[#Headers],[Varie Entrate]]),"$ -","")</f>
        <v/>
      </c>
      <c r="O1213" s="59" t="str">
        <f>IF(OR(Data!$I1213=SottocategorieEntrate[[#Headers],[Real Estate]],SottocategorieEntrate[[#Headers],[Other]]),"$ -","")</f>
        <v/>
      </c>
      <c r="P1213" s="59" t="str">
        <f>IF(OR($I1213&lt;&gt;SottocategorieEntrate[[#Headers],[Business Entrate]],$I1213&lt;&gt;SottocategorieEntrate[[#Headers],[Varie Entrate]],$I1213&lt;&gt;SottocategorieEntrate[[#Headers],[Real Estate]],$I1213&lt;&gt;SottocategorieEntrate[[#Headers],[Other]]),"","$ -")</f>
        <v/>
      </c>
      <c r="Q1213" s="59" t="str">
        <f>IF(Dati[[#This Row],[Categoria]]="Prelievo","€ -","")</f>
        <v/>
      </c>
      <c r="R1213" s="244"/>
      <c r="S1213" s="59" t="str">
        <f>IF(Dati[[#This Row],[Categoria]]="Savings",0,"")</f>
        <v/>
      </c>
      <c r="T1213" s="59"/>
      <c r="U1213" s="59"/>
      <c r="V1213" s="59"/>
      <c r="W1213" s="59"/>
      <c r="X1213" s="59"/>
      <c r="Y1213" s="59"/>
      <c r="Z1213" s="59"/>
      <c r="AA1213" s="59"/>
      <c r="AB1213" s="59"/>
      <c r="AC1213" s="59"/>
      <c r="AD1213" s="59"/>
      <c r="AE1213" s="59"/>
      <c r="AF1213" s="59"/>
      <c r="AG1213" s="59"/>
      <c r="AH1213" s="59"/>
      <c r="AI1213" s="59" t="str">
        <f>IF(SUM(Dati[[#This Row],[Inv. Business]:[Inv. Cryptocurrency]])=0," ",SUM(Dati[[#This Row],[Inv. Business]:[Inv. Cryptocurrency]]))</f>
        <v xml:space="preserve"> </v>
      </c>
      <c r="AJ1213" s="59"/>
      <c r="AK1213" s="59" t="str">
        <f>IF(SUM(Dati[[#This Row],[Inv. Gold]:[Mutuo]])=0," ",SUM(Dati[[#This Row],[Inv. Gold]:[Mutuo]]))</f>
        <v xml:space="preserve"> </v>
      </c>
      <c r="AL1213" s="59"/>
      <c r="AM1213" s="59"/>
    </row>
    <row r="1214" spans="2:39" x14ac:dyDescent="0.35">
      <c r="B1214" s="237">
        <f>ROW(1186:1186)</f>
        <v>1186</v>
      </c>
      <c r="C1214" s="49">
        <f t="shared" si="85"/>
        <v>45813</v>
      </c>
      <c r="D1214" s="29">
        <f>DAY(Dati[[#This Row],[Data]])</f>
        <v>5</v>
      </c>
      <c r="E1214" s="29" t="str">
        <f>IF(DAY(Data!$C$21:$C$1327)&gt;0,TEXT(Data!$C$21:$C$1327, "mmmm"),"")</f>
        <v>giugno</v>
      </c>
      <c r="F1214" s="29" t="str">
        <f>IF(DAY(Data!$C$21:$C$1327)&gt;0,TEXT(Data!$C$21:$C$1327, "aaaa"),"")</f>
        <v>2025</v>
      </c>
      <c r="I1214" t="str">
        <f>IF(OR(H1214=$B$5,H1214=$B$6,H1214=$B$7,H1214=$B$8,H1214=$B$9,H1214=$B$10,H1214=$B$11,H1214=$B$12,H1214=$B$13,H1214=$B$14),SottocategorieUscite[[#Headers],[Fuori Casa]],IF(OR(H1214=$C$5,H1214=$C$6,H1214=$C$7,H1214=$C$8,H1214=$C$9,H1214=$C$10,H1214=$C$11,H1214=$C$12,H1214=$C$13,H1214=$C$14),SottocategorieUscite[[#Headers],[Varie Uscite]],IF(OR(H1214=$D$5,H1214=$D$6,H1214=$D$7,H1214=$D$8,H1214=$D$9,H1214=$D$10,H1214=$D$11,H1214=$D$12,H1214=$D$13,H1214=$D$14),SottocategorieUscite[[#Headers],[Personali]],IF(OR(H1214=$E$5,H1214=$E$6,H1214=$E$7,H1214=$E$8,H1214=$E$9,H1214=$E$10,H1214=$E$11,H1214=$E$12,H1214=$E$13,H1214=$E$14),SottocategorieUscite[[#Headers],[Lavoro]],IF(OR(H1214=$F$5,H1214=$F$6,H1214=$F$7,H1214=$F$8,H1214=$F$9,H1214=$F$10,H1214=$F$11,H1214=$F$12,H1214=$F$13,H1214=$F$14),SottocategorieUscite[[#Headers],[Casa]],IF(OR(H1214=$G$5,H1214=$G$6,H1214=$G$7,H1214=$G$8,H1214=$G$9,H1214=$G$10,H1214=$G$11,H1214=$G$12,H1214=$G$13,H1214=$G$14),SottocategorieUscite[[#Headers],[Utenze]],IF(OR(H1214=$H$5,H1214=$H$6,H1214=$H$7,H1214=$H$8,H1214=$H$9,H1214=$H$10,H1214=$H$11,H1214=$H$12,H1214=$H$13,H1214=$H$14),SottocategorieUscite[[#Headers],[Business Uscite]],IF(OR(H1214=$I$5,H1214=$I$6,H1214=$I$7,H1214=$I$8,H1214=$I$9,H1214=$I$10,H1214=$I$11,H1214=$I$12,H1214=$I$13,H1214=$I$14),SottocategorieUscite[[#Headers],[Banca]],IF(OR(H1214=K$5,H1214=K$6,H1214=K$7,H1214=K$8,H1214=K$9,H1214=K$10,H1214=K$11,H1214=K$12,H1214=K$13,H1214=K$14),SottocategorieEntrate[[#Headers],[Business Entrate]],IF(OR(H1214=L$5,H1214=L$6,H1214=L$7,H1214=L$8,H1214=L$9,H1214=L$10,H1214=L$11,H1214=L$12,H1214=L$13,H1214=L$14),SottocategorieEntrate[[#Headers],[Varie Entrate]],IF(OR(H1214=M$5,H1214=M$6,H1214=M$7,H1214=M$8,H1214=M$9,H1214=M$10,H1214=M$11,H1214=M$12,H1214=M$13,H1214=M$14),SottocategorieEntrate[[#Headers],[Real Estate]],IF(OR(H1214=N$5,H1214=N$6,H1214=N$7,H1214=N$8,H1214=N$9,H1214=N$10,H1214=N$11,H1214=N$12,H1214=N$13,H1214=N$14),SottocategorieEntrate[[#Headers],[Other]],""))))))))))))</f>
        <v/>
      </c>
      <c r="J1214" t="str">
        <f>IF(OR(Dati[[#This Row],[Categoria]]="Bollette",Dati[[#This Row],[Categoria]]="Conto &amp; Carte BNL",Dati[[#This Row],[Categoria]]="Prelievo",Dati[[#This Row],[Categoria]]="Affitto",Dati[[#This Row],[Categoria]]="BNL(Interessi Creditori)"),"Carta",IF(Dati[[#This Row],[Categoria]]&lt;&gt;0,"Cash",""))</f>
        <v/>
      </c>
      <c r="K1214" s="59" t="str">
        <f>IF(OR(Data!$I1214=SottocategorieUscite[[#Headers],[Fuori Casa]],Data!$I1214=SottocategorieUscite[[#Headers],[Varie Uscite]],Data!$I1214=SottocategorieUscite[[#Headers],[Personali]],Data!$I1214=SottocategorieUscite[[#Headers],[Lavoro]]),"$ -","")</f>
        <v/>
      </c>
      <c r="L1214" s="59" t="str">
        <f>IF(OR(Data!$I1214=SottocategorieUscite[[#Headers],[Casa]],Data!$I1214=SottocategorieUscite[[#Headers],[Utenze]],Data!$I1214=SottocategorieUscite[[#Headers],[Business Uscite]],Data!$I1214=SottocategorieUscite[[#Headers],[Banca]]),"$ -","")</f>
        <v/>
      </c>
      <c r="M1214" s="59" t="str">
        <f>IF(OR($I1214&lt;&gt;SottocategorieUscite[[#Headers],[Fuori Casa]],$I1214&lt;&gt;SottocategorieUscite[[#Headers],[Varie Uscite]],$I1214&lt;&gt;SottocategorieUscite[[#Headers],[Personali]],$I1214&lt;&gt;SottocategorieUscite[[#Headers],[Lavoro]],$I1214&lt;&gt;SottocategorieUscite[[#Headers],[Casa]],$I1214&lt;&gt;SottocategorieUscite[[#Headers],[Utenze]],$I1214&lt;&gt;SottocategorieUscite[[#Headers],[Business Uscite]],$I1214&lt;&gt;SottocategorieUscite[[#Headers],[Banca]]),"","$ -")</f>
        <v/>
      </c>
      <c r="N1214" s="59" t="str">
        <f>IF(OR(Data!$I1214=SottocategorieEntrate[[#Headers],[Business Entrate]],Data!$I1214=SottocategorieEntrate[[#Headers],[Varie Entrate]]),"$ -","")</f>
        <v/>
      </c>
      <c r="O1214" s="59" t="str">
        <f>IF(OR(Data!$I1214=SottocategorieEntrate[[#Headers],[Real Estate]],SottocategorieEntrate[[#Headers],[Other]]),"$ -","")</f>
        <v/>
      </c>
      <c r="P1214" s="59" t="str">
        <f>IF(OR($I1214&lt;&gt;SottocategorieEntrate[[#Headers],[Business Entrate]],$I1214&lt;&gt;SottocategorieEntrate[[#Headers],[Varie Entrate]],$I1214&lt;&gt;SottocategorieEntrate[[#Headers],[Real Estate]],$I1214&lt;&gt;SottocategorieEntrate[[#Headers],[Other]]),"","$ -")</f>
        <v/>
      </c>
      <c r="Q1214" s="59" t="str">
        <f>IF(Dati[[#This Row],[Categoria]]="Prelievo","€ -","")</f>
        <v/>
      </c>
      <c r="R1214" s="244"/>
      <c r="S1214" s="59" t="str">
        <f>IF(Dati[[#This Row],[Categoria]]="Savings",0,"")</f>
        <v/>
      </c>
      <c r="T1214" s="59"/>
      <c r="U1214" s="59"/>
      <c r="V1214" s="59"/>
      <c r="W1214" s="59"/>
      <c r="X1214" s="59"/>
      <c r="Y1214" s="59"/>
      <c r="Z1214" s="59"/>
      <c r="AA1214" s="59"/>
      <c r="AB1214" s="59"/>
      <c r="AC1214" s="59"/>
      <c r="AD1214" s="59"/>
      <c r="AE1214" s="59"/>
      <c r="AF1214" s="59"/>
      <c r="AG1214" s="59"/>
      <c r="AH1214" s="59"/>
      <c r="AI1214" s="59" t="str">
        <f>IF(SUM(Dati[[#This Row],[Inv. Business]:[Inv. Cryptocurrency]])=0," ",SUM(Dati[[#This Row],[Inv. Business]:[Inv. Cryptocurrency]]))</f>
        <v xml:space="preserve"> </v>
      </c>
      <c r="AJ1214" s="59"/>
      <c r="AK1214" s="59" t="str">
        <f>IF(SUM(Dati[[#This Row],[Inv. Gold]:[Mutuo]])=0," ",SUM(Dati[[#This Row],[Inv. Gold]:[Mutuo]]))</f>
        <v xml:space="preserve"> </v>
      </c>
      <c r="AL1214" s="59"/>
      <c r="AM1214" s="59"/>
    </row>
    <row r="1215" spans="2:39" x14ac:dyDescent="0.35">
      <c r="B1215" s="237">
        <f>ROW(1188:1188)</f>
        <v>1188</v>
      </c>
      <c r="C1215" s="49">
        <f t="shared" si="85"/>
        <v>45814</v>
      </c>
      <c r="D1215" s="29">
        <f>DAY(Dati[[#This Row],[Data]])</f>
        <v>6</v>
      </c>
      <c r="E1215" s="29" t="str">
        <f>IF(DAY(Data!$C$21:$C$1327)&gt;0,TEXT(Data!$C$21:$C$1327, "mmmm"),"")</f>
        <v>giugno</v>
      </c>
      <c r="F1215" s="29" t="str">
        <f>IF(DAY(Data!$C$21:$C$1327)&gt;0,TEXT(Data!$C$21:$C$1327, "aaaa"),"")</f>
        <v>2025</v>
      </c>
      <c r="I1215" t="str">
        <f>IF(OR(H1215=$B$5,H1215=$B$6,H1215=$B$7,H1215=$B$8,H1215=$B$9,H1215=$B$10,H1215=$B$11,H1215=$B$12,H1215=$B$13,H1215=$B$14),SottocategorieUscite[[#Headers],[Fuori Casa]],IF(OR(H1215=$C$5,H1215=$C$6,H1215=$C$7,H1215=$C$8,H1215=$C$9,H1215=$C$10,H1215=$C$11,H1215=$C$12,H1215=$C$13,H1215=$C$14),SottocategorieUscite[[#Headers],[Varie Uscite]],IF(OR(H1215=$D$5,H1215=$D$6,H1215=$D$7,H1215=$D$8,H1215=$D$9,H1215=$D$10,H1215=$D$11,H1215=$D$12,H1215=$D$13,H1215=$D$14),SottocategorieUscite[[#Headers],[Personali]],IF(OR(H1215=$E$5,H1215=$E$6,H1215=$E$7,H1215=$E$8,H1215=$E$9,H1215=$E$10,H1215=$E$11,H1215=$E$12,H1215=$E$13,H1215=$E$14),SottocategorieUscite[[#Headers],[Lavoro]],IF(OR(H1215=$F$5,H1215=$F$6,H1215=$F$7,H1215=$F$8,H1215=$F$9,H1215=$F$10,H1215=$F$11,H1215=$F$12,H1215=$F$13,H1215=$F$14),SottocategorieUscite[[#Headers],[Casa]],IF(OR(H1215=$G$5,H1215=$G$6,H1215=$G$7,H1215=$G$8,H1215=$G$9,H1215=$G$10,H1215=$G$11,H1215=$G$12,H1215=$G$13,H1215=$G$14),SottocategorieUscite[[#Headers],[Utenze]],IF(OR(H1215=$H$5,H1215=$H$6,H1215=$H$7,H1215=$H$8,H1215=$H$9,H1215=$H$10,H1215=$H$11,H1215=$H$12,H1215=$H$13,H1215=$H$14),SottocategorieUscite[[#Headers],[Business Uscite]],IF(OR(H1215=$I$5,H1215=$I$6,H1215=$I$7,H1215=$I$8,H1215=$I$9,H1215=$I$10,H1215=$I$11,H1215=$I$12,H1215=$I$13,H1215=$I$14),SottocategorieUscite[[#Headers],[Banca]],IF(OR(H1215=K$5,H1215=K$6,H1215=K$7,H1215=K$8,H1215=K$9,H1215=K$10,H1215=K$11,H1215=K$12,H1215=K$13,H1215=K$14),SottocategorieEntrate[[#Headers],[Business Entrate]],IF(OR(H1215=L$5,H1215=L$6,H1215=L$7,H1215=L$8,H1215=L$9,H1215=L$10,H1215=L$11,H1215=L$12,H1215=L$13,H1215=L$14),SottocategorieEntrate[[#Headers],[Varie Entrate]],IF(OR(H1215=M$5,H1215=M$6,H1215=M$7,H1215=M$8,H1215=M$9,H1215=M$10,H1215=M$11,H1215=M$12,H1215=M$13,H1215=M$14),SottocategorieEntrate[[#Headers],[Real Estate]],IF(OR(H1215=N$5,H1215=N$6,H1215=N$7,H1215=N$8,H1215=N$9,H1215=N$10,H1215=N$11,H1215=N$12,H1215=N$13,H1215=N$14),SottocategorieEntrate[[#Headers],[Other]],""))))))))))))</f>
        <v/>
      </c>
      <c r="J1215" t="str">
        <f>IF(OR(Dati[[#This Row],[Categoria]]="Bollette",Dati[[#This Row],[Categoria]]="Conto &amp; Carte BNL",Dati[[#This Row],[Categoria]]="Prelievo",Dati[[#This Row],[Categoria]]="Affitto",Dati[[#This Row],[Categoria]]="BNL(Interessi Creditori)"),"Carta",IF(Dati[[#This Row],[Categoria]]&lt;&gt;0,"Cash",""))</f>
        <v/>
      </c>
      <c r="K1215" s="59" t="str">
        <f>IF(OR(Data!$I1215=SottocategorieUscite[[#Headers],[Fuori Casa]],Data!$I1215=SottocategorieUscite[[#Headers],[Varie Uscite]],Data!$I1215=SottocategorieUscite[[#Headers],[Personali]],Data!$I1215=SottocategorieUscite[[#Headers],[Lavoro]]),"$ -","")</f>
        <v/>
      </c>
      <c r="L1215" s="59" t="str">
        <f>IF(OR(Data!$I1215=SottocategorieUscite[[#Headers],[Casa]],Data!$I1215=SottocategorieUscite[[#Headers],[Utenze]],Data!$I1215=SottocategorieUscite[[#Headers],[Business Uscite]],Data!$I1215=SottocategorieUscite[[#Headers],[Banca]]),"$ -","")</f>
        <v/>
      </c>
      <c r="M1215" s="59" t="str">
        <f>IF(OR($I1215&lt;&gt;SottocategorieUscite[[#Headers],[Fuori Casa]],$I1215&lt;&gt;SottocategorieUscite[[#Headers],[Varie Uscite]],$I1215&lt;&gt;SottocategorieUscite[[#Headers],[Personali]],$I1215&lt;&gt;SottocategorieUscite[[#Headers],[Lavoro]],$I1215&lt;&gt;SottocategorieUscite[[#Headers],[Casa]],$I1215&lt;&gt;SottocategorieUscite[[#Headers],[Utenze]],$I1215&lt;&gt;SottocategorieUscite[[#Headers],[Business Uscite]],$I1215&lt;&gt;SottocategorieUscite[[#Headers],[Banca]]),"","$ -")</f>
        <v/>
      </c>
      <c r="N1215" s="59" t="str">
        <f>IF(OR(Data!$I1215=SottocategorieEntrate[[#Headers],[Business Entrate]],Data!$I1215=SottocategorieEntrate[[#Headers],[Varie Entrate]]),"$ -","")</f>
        <v/>
      </c>
      <c r="O1215" s="59" t="str">
        <f>IF(OR(Data!$I1215=SottocategorieEntrate[[#Headers],[Real Estate]],SottocategorieEntrate[[#Headers],[Other]]),"$ -","")</f>
        <v/>
      </c>
      <c r="P1215" s="59" t="str">
        <f>IF(OR($I1215&lt;&gt;SottocategorieEntrate[[#Headers],[Business Entrate]],$I1215&lt;&gt;SottocategorieEntrate[[#Headers],[Varie Entrate]],$I1215&lt;&gt;SottocategorieEntrate[[#Headers],[Real Estate]],$I1215&lt;&gt;SottocategorieEntrate[[#Headers],[Other]]),"","$ -")</f>
        <v/>
      </c>
      <c r="Q1215" s="59" t="str">
        <f>IF(Dati[[#This Row],[Categoria]]="Prelievo","€ -","")</f>
        <v/>
      </c>
      <c r="R1215" s="244"/>
      <c r="S1215" s="59" t="str">
        <f>IF(Dati[[#This Row],[Categoria]]="Savings",0,"")</f>
        <v/>
      </c>
      <c r="T1215" s="59"/>
      <c r="U1215" s="59"/>
      <c r="V1215" s="59"/>
      <c r="W1215" s="59"/>
      <c r="X1215" s="59"/>
      <c r="Y1215" s="59"/>
      <c r="Z1215" s="59"/>
      <c r="AA1215" s="59"/>
      <c r="AB1215" s="59"/>
      <c r="AC1215" s="59"/>
      <c r="AD1215" s="59"/>
      <c r="AE1215" s="59"/>
      <c r="AF1215" s="59"/>
      <c r="AG1215" s="59"/>
      <c r="AH1215" s="59"/>
      <c r="AI1215" s="59" t="str">
        <f>IF(SUM(Dati[[#This Row],[Inv. Business]:[Inv. Cryptocurrency]])=0," ",SUM(Dati[[#This Row],[Inv. Business]:[Inv. Cryptocurrency]]))</f>
        <v xml:space="preserve"> </v>
      </c>
      <c r="AJ1215" s="59"/>
      <c r="AK1215" s="59" t="str">
        <f>IF(SUM(Dati[[#This Row],[Inv. Gold]:[Mutuo]])=0," ",SUM(Dati[[#This Row],[Inv. Gold]:[Mutuo]]))</f>
        <v xml:space="preserve"> </v>
      </c>
      <c r="AL1215" s="59"/>
      <c r="AM1215" s="59"/>
    </row>
    <row r="1216" spans="2:39" x14ac:dyDescent="0.35">
      <c r="B1216" s="237">
        <f>ROW(1190:1190)</f>
        <v>1190</v>
      </c>
      <c r="C1216" s="49">
        <f t="shared" si="85"/>
        <v>45815</v>
      </c>
      <c r="D1216" s="29">
        <f>DAY(Dati[[#This Row],[Data]])</f>
        <v>7</v>
      </c>
      <c r="E1216" s="29" t="str">
        <f>IF(DAY(Data!$C$21:$C$1327)&gt;0,TEXT(Data!$C$21:$C$1327, "mmmm"),"")</f>
        <v>giugno</v>
      </c>
      <c r="F1216" s="29" t="str">
        <f>IF(DAY(Data!$C$21:$C$1327)&gt;0,TEXT(Data!$C$21:$C$1327, "aaaa"),"")</f>
        <v>2025</v>
      </c>
      <c r="I1216" t="str">
        <f>IF(OR(H1216=$B$5,H1216=$B$6,H1216=$B$7,H1216=$B$8,H1216=$B$9,H1216=$B$10,H1216=$B$11,H1216=$B$12,H1216=$B$13,H1216=$B$14),SottocategorieUscite[[#Headers],[Fuori Casa]],IF(OR(H1216=$C$5,H1216=$C$6,H1216=$C$7,H1216=$C$8,H1216=$C$9,H1216=$C$10,H1216=$C$11,H1216=$C$12,H1216=$C$13,H1216=$C$14),SottocategorieUscite[[#Headers],[Varie Uscite]],IF(OR(H1216=$D$5,H1216=$D$6,H1216=$D$7,H1216=$D$8,H1216=$D$9,H1216=$D$10,H1216=$D$11,H1216=$D$12,H1216=$D$13,H1216=$D$14),SottocategorieUscite[[#Headers],[Personali]],IF(OR(H1216=$E$5,H1216=$E$6,H1216=$E$7,H1216=$E$8,H1216=$E$9,H1216=$E$10,H1216=$E$11,H1216=$E$12,H1216=$E$13,H1216=$E$14),SottocategorieUscite[[#Headers],[Lavoro]],IF(OR(H1216=$F$5,H1216=$F$6,H1216=$F$7,H1216=$F$8,H1216=$F$9,H1216=$F$10,H1216=$F$11,H1216=$F$12,H1216=$F$13,H1216=$F$14),SottocategorieUscite[[#Headers],[Casa]],IF(OR(H1216=$G$5,H1216=$G$6,H1216=$G$7,H1216=$G$8,H1216=$G$9,H1216=$G$10,H1216=$G$11,H1216=$G$12,H1216=$G$13,H1216=$G$14),SottocategorieUscite[[#Headers],[Utenze]],IF(OR(H1216=$H$5,H1216=$H$6,H1216=$H$7,H1216=$H$8,H1216=$H$9,H1216=$H$10,H1216=$H$11,H1216=$H$12,H1216=$H$13,H1216=$H$14),SottocategorieUscite[[#Headers],[Business Uscite]],IF(OR(H1216=$I$5,H1216=$I$6,H1216=$I$7,H1216=$I$8,H1216=$I$9,H1216=$I$10,H1216=$I$11,H1216=$I$12,H1216=$I$13,H1216=$I$14),SottocategorieUscite[[#Headers],[Banca]],IF(OR(H1216=K$5,H1216=K$6,H1216=K$7,H1216=K$8,H1216=K$9,H1216=K$10,H1216=K$11,H1216=K$12,H1216=K$13,H1216=K$14),SottocategorieEntrate[[#Headers],[Business Entrate]],IF(OR(H1216=L$5,H1216=L$6,H1216=L$7,H1216=L$8,H1216=L$9,H1216=L$10,H1216=L$11,H1216=L$12,H1216=L$13,H1216=L$14),SottocategorieEntrate[[#Headers],[Varie Entrate]],IF(OR(H1216=M$5,H1216=M$6,H1216=M$7,H1216=M$8,H1216=M$9,H1216=M$10,H1216=M$11,H1216=M$12,H1216=M$13,H1216=M$14),SottocategorieEntrate[[#Headers],[Real Estate]],IF(OR(H1216=N$5,H1216=N$6,H1216=N$7,H1216=N$8,H1216=N$9,H1216=N$10,H1216=N$11,H1216=N$12,H1216=N$13,H1216=N$14),SottocategorieEntrate[[#Headers],[Other]],""))))))))))))</f>
        <v/>
      </c>
      <c r="J1216" t="str">
        <f>IF(OR(Dati[[#This Row],[Categoria]]="Bollette",Dati[[#This Row],[Categoria]]="Conto &amp; Carte BNL",Dati[[#This Row],[Categoria]]="Prelievo",Dati[[#This Row],[Categoria]]="Affitto",Dati[[#This Row],[Categoria]]="BNL(Interessi Creditori)"),"Carta",IF(Dati[[#This Row],[Categoria]]&lt;&gt;0,"Cash",""))</f>
        <v/>
      </c>
      <c r="K1216" s="59" t="str">
        <f>IF(OR(Data!$I1216=SottocategorieUscite[[#Headers],[Fuori Casa]],Data!$I1216=SottocategorieUscite[[#Headers],[Varie Uscite]],Data!$I1216=SottocategorieUscite[[#Headers],[Personali]],Data!$I1216=SottocategorieUscite[[#Headers],[Lavoro]]),"$ -","")</f>
        <v/>
      </c>
      <c r="L1216" s="59" t="str">
        <f>IF(OR(Data!$I1216=SottocategorieUscite[[#Headers],[Casa]],Data!$I1216=SottocategorieUscite[[#Headers],[Utenze]],Data!$I1216=SottocategorieUscite[[#Headers],[Business Uscite]],Data!$I1216=SottocategorieUscite[[#Headers],[Banca]]),"$ -","")</f>
        <v/>
      </c>
      <c r="M1216" s="59" t="str">
        <f>IF(OR($I1216&lt;&gt;SottocategorieUscite[[#Headers],[Fuori Casa]],$I1216&lt;&gt;SottocategorieUscite[[#Headers],[Varie Uscite]],$I1216&lt;&gt;SottocategorieUscite[[#Headers],[Personali]],$I1216&lt;&gt;SottocategorieUscite[[#Headers],[Lavoro]],$I1216&lt;&gt;SottocategorieUscite[[#Headers],[Casa]],$I1216&lt;&gt;SottocategorieUscite[[#Headers],[Utenze]],$I1216&lt;&gt;SottocategorieUscite[[#Headers],[Business Uscite]],$I1216&lt;&gt;SottocategorieUscite[[#Headers],[Banca]]),"","$ -")</f>
        <v/>
      </c>
      <c r="N1216" s="59" t="str">
        <f>IF(OR(Data!$I1216=SottocategorieEntrate[[#Headers],[Business Entrate]],Data!$I1216=SottocategorieEntrate[[#Headers],[Varie Entrate]]),"$ -","")</f>
        <v/>
      </c>
      <c r="O1216" s="59" t="str">
        <f>IF(OR(Data!$I1216=SottocategorieEntrate[[#Headers],[Real Estate]],SottocategorieEntrate[[#Headers],[Other]]),"$ -","")</f>
        <v/>
      </c>
      <c r="P1216" s="59" t="str">
        <f>IF(OR($I1216&lt;&gt;SottocategorieEntrate[[#Headers],[Business Entrate]],$I1216&lt;&gt;SottocategorieEntrate[[#Headers],[Varie Entrate]],$I1216&lt;&gt;SottocategorieEntrate[[#Headers],[Real Estate]],$I1216&lt;&gt;SottocategorieEntrate[[#Headers],[Other]]),"","$ -")</f>
        <v/>
      </c>
      <c r="Q1216" s="59" t="str">
        <f>IF(Dati[[#This Row],[Categoria]]="Prelievo","€ -","")</f>
        <v/>
      </c>
      <c r="R1216" s="244"/>
      <c r="S1216" s="59" t="str">
        <f>IF(Dati[[#This Row],[Categoria]]="Savings",0,"")</f>
        <v/>
      </c>
      <c r="T1216" s="59"/>
      <c r="U1216" s="59"/>
      <c r="V1216" s="59"/>
      <c r="W1216" s="59"/>
      <c r="X1216" s="59"/>
      <c r="Y1216" s="59"/>
      <c r="Z1216" s="59"/>
      <c r="AA1216" s="59"/>
      <c r="AB1216" s="59"/>
      <c r="AC1216" s="59"/>
      <c r="AD1216" s="59"/>
      <c r="AE1216" s="59"/>
      <c r="AF1216" s="59"/>
      <c r="AG1216" s="59"/>
      <c r="AH1216" s="59"/>
      <c r="AI1216" s="59" t="str">
        <f>IF(SUM(Dati[[#This Row],[Inv. Business]:[Inv. Cryptocurrency]])=0," ",SUM(Dati[[#This Row],[Inv. Business]:[Inv. Cryptocurrency]]))</f>
        <v xml:space="preserve"> </v>
      </c>
      <c r="AJ1216" s="59"/>
      <c r="AK1216" s="59" t="str">
        <f>IF(SUM(Dati[[#This Row],[Inv. Gold]:[Mutuo]])=0," ",SUM(Dati[[#This Row],[Inv. Gold]:[Mutuo]]))</f>
        <v xml:space="preserve"> </v>
      </c>
      <c r="AL1216" s="59"/>
      <c r="AM1216" s="59"/>
    </row>
    <row r="1217" spans="2:39" x14ac:dyDescent="0.35">
      <c r="B1217" s="237">
        <f>ROW(1192:1192)</f>
        <v>1192</v>
      </c>
      <c r="C1217" s="49">
        <f t="shared" si="85"/>
        <v>45816</v>
      </c>
      <c r="D1217" s="29">
        <f>DAY(Dati[[#This Row],[Data]])</f>
        <v>8</v>
      </c>
      <c r="E1217" s="29" t="str">
        <f>IF(DAY(Data!$C$21:$C$1327)&gt;0,TEXT(Data!$C$21:$C$1327, "mmmm"),"")</f>
        <v>giugno</v>
      </c>
      <c r="F1217" s="29" t="str">
        <f>IF(DAY(Data!$C$21:$C$1327)&gt;0,TEXT(Data!$C$21:$C$1327, "aaaa"),"")</f>
        <v>2025</v>
      </c>
      <c r="I1217" t="str">
        <f>IF(OR(H1217=$B$5,H1217=$B$6,H1217=$B$7,H1217=$B$8,H1217=$B$9,H1217=$B$10,H1217=$B$11,H1217=$B$12,H1217=$B$13,H1217=$B$14),SottocategorieUscite[[#Headers],[Fuori Casa]],IF(OR(H1217=$C$5,H1217=$C$6,H1217=$C$7,H1217=$C$8,H1217=$C$9,H1217=$C$10,H1217=$C$11,H1217=$C$12,H1217=$C$13,H1217=$C$14),SottocategorieUscite[[#Headers],[Varie Uscite]],IF(OR(H1217=$D$5,H1217=$D$6,H1217=$D$7,H1217=$D$8,H1217=$D$9,H1217=$D$10,H1217=$D$11,H1217=$D$12,H1217=$D$13,H1217=$D$14),SottocategorieUscite[[#Headers],[Personali]],IF(OR(H1217=$E$5,H1217=$E$6,H1217=$E$7,H1217=$E$8,H1217=$E$9,H1217=$E$10,H1217=$E$11,H1217=$E$12,H1217=$E$13,H1217=$E$14),SottocategorieUscite[[#Headers],[Lavoro]],IF(OR(H1217=$F$5,H1217=$F$6,H1217=$F$7,H1217=$F$8,H1217=$F$9,H1217=$F$10,H1217=$F$11,H1217=$F$12,H1217=$F$13,H1217=$F$14),SottocategorieUscite[[#Headers],[Casa]],IF(OR(H1217=$G$5,H1217=$G$6,H1217=$G$7,H1217=$G$8,H1217=$G$9,H1217=$G$10,H1217=$G$11,H1217=$G$12,H1217=$G$13,H1217=$G$14),SottocategorieUscite[[#Headers],[Utenze]],IF(OR(H1217=$H$5,H1217=$H$6,H1217=$H$7,H1217=$H$8,H1217=$H$9,H1217=$H$10,H1217=$H$11,H1217=$H$12,H1217=$H$13,H1217=$H$14),SottocategorieUscite[[#Headers],[Business Uscite]],IF(OR(H1217=$I$5,H1217=$I$6,H1217=$I$7,H1217=$I$8,H1217=$I$9,H1217=$I$10,H1217=$I$11,H1217=$I$12,H1217=$I$13,H1217=$I$14),SottocategorieUscite[[#Headers],[Banca]],IF(OR(H1217=K$5,H1217=K$6,H1217=K$7,H1217=K$8,H1217=K$9,H1217=K$10,H1217=K$11,H1217=K$12,H1217=K$13,H1217=K$14),SottocategorieEntrate[[#Headers],[Business Entrate]],IF(OR(H1217=L$5,H1217=L$6,H1217=L$7,H1217=L$8,H1217=L$9,H1217=L$10,H1217=L$11,H1217=L$12,H1217=L$13,H1217=L$14),SottocategorieEntrate[[#Headers],[Varie Entrate]],IF(OR(H1217=M$5,H1217=M$6,H1217=M$7,H1217=M$8,H1217=M$9,H1217=M$10,H1217=M$11,H1217=M$12,H1217=M$13,H1217=M$14),SottocategorieEntrate[[#Headers],[Real Estate]],IF(OR(H1217=N$5,H1217=N$6,H1217=N$7,H1217=N$8,H1217=N$9,H1217=N$10,H1217=N$11,H1217=N$12,H1217=N$13,H1217=N$14),SottocategorieEntrate[[#Headers],[Other]],""))))))))))))</f>
        <v/>
      </c>
      <c r="J1217" t="str">
        <f>IF(OR(Dati[[#This Row],[Categoria]]="Bollette",Dati[[#This Row],[Categoria]]="Conto &amp; Carte BNL",Dati[[#This Row],[Categoria]]="Prelievo",Dati[[#This Row],[Categoria]]="Affitto",Dati[[#This Row],[Categoria]]="BNL(Interessi Creditori)"),"Carta",IF(Dati[[#This Row],[Categoria]]&lt;&gt;0,"Cash",""))</f>
        <v/>
      </c>
      <c r="K1217" s="59" t="str">
        <f>IF(OR(Data!$I1217=SottocategorieUscite[[#Headers],[Fuori Casa]],Data!$I1217=SottocategorieUscite[[#Headers],[Varie Uscite]],Data!$I1217=SottocategorieUscite[[#Headers],[Personali]],Data!$I1217=SottocategorieUscite[[#Headers],[Lavoro]]),"$ -","")</f>
        <v/>
      </c>
      <c r="L1217" s="59" t="str">
        <f>IF(OR(Data!$I1217=SottocategorieUscite[[#Headers],[Casa]],Data!$I1217=SottocategorieUscite[[#Headers],[Utenze]],Data!$I1217=SottocategorieUscite[[#Headers],[Business Uscite]],Data!$I1217=SottocategorieUscite[[#Headers],[Banca]]),"$ -","")</f>
        <v/>
      </c>
      <c r="M1217" s="59" t="str">
        <f>IF(OR($I1217&lt;&gt;SottocategorieUscite[[#Headers],[Fuori Casa]],$I1217&lt;&gt;SottocategorieUscite[[#Headers],[Varie Uscite]],$I1217&lt;&gt;SottocategorieUscite[[#Headers],[Personali]],$I1217&lt;&gt;SottocategorieUscite[[#Headers],[Lavoro]],$I1217&lt;&gt;SottocategorieUscite[[#Headers],[Casa]],$I1217&lt;&gt;SottocategorieUscite[[#Headers],[Utenze]],$I1217&lt;&gt;SottocategorieUscite[[#Headers],[Business Uscite]],$I1217&lt;&gt;SottocategorieUscite[[#Headers],[Banca]]),"","$ -")</f>
        <v/>
      </c>
      <c r="N1217" s="59" t="str">
        <f>IF(OR(Data!$I1217=SottocategorieEntrate[[#Headers],[Business Entrate]],Data!$I1217=SottocategorieEntrate[[#Headers],[Varie Entrate]]),"$ -","")</f>
        <v/>
      </c>
      <c r="O1217" s="59" t="str">
        <f>IF(OR(Data!$I1217=SottocategorieEntrate[[#Headers],[Real Estate]],SottocategorieEntrate[[#Headers],[Other]]),"$ -","")</f>
        <v/>
      </c>
      <c r="P1217" s="59" t="str">
        <f>IF(OR($I1217&lt;&gt;SottocategorieEntrate[[#Headers],[Business Entrate]],$I1217&lt;&gt;SottocategorieEntrate[[#Headers],[Varie Entrate]],$I1217&lt;&gt;SottocategorieEntrate[[#Headers],[Real Estate]],$I1217&lt;&gt;SottocategorieEntrate[[#Headers],[Other]]),"","$ -")</f>
        <v/>
      </c>
      <c r="Q1217" s="59" t="str">
        <f>IF(Dati[[#This Row],[Categoria]]="Prelievo","€ -","")</f>
        <v/>
      </c>
      <c r="R1217" s="244"/>
      <c r="S1217" s="59" t="str">
        <f>IF(Dati[[#This Row],[Categoria]]="Savings",0,"")</f>
        <v/>
      </c>
      <c r="T1217" s="59"/>
      <c r="U1217" s="59"/>
      <c r="V1217" s="59"/>
      <c r="W1217" s="59"/>
      <c r="X1217" s="59"/>
      <c r="Y1217" s="59"/>
      <c r="Z1217" s="59"/>
      <c r="AA1217" s="59"/>
      <c r="AB1217" s="59"/>
      <c r="AC1217" s="59"/>
      <c r="AD1217" s="59"/>
      <c r="AE1217" s="59"/>
      <c r="AF1217" s="59"/>
      <c r="AG1217" s="59"/>
      <c r="AH1217" s="59"/>
      <c r="AI1217" s="59" t="str">
        <f>IF(SUM(Dati[[#This Row],[Inv. Business]:[Inv. Cryptocurrency]])=0," ",SUM(Dati[[#This Row],[Inv. Business]:[Inv. Cryptocurrency]]))</f>
        <v xml:space="preserve"> </v>
      </c>
      <c r="AJ1217" s="59"/>
      <c r="AK1217" s="59" t="str">
        <f>IF(SUM(Dati[[#This Row],[Inv. Gold]:[Mutuo]])=0," ",SUM(Dati[[#This Row],[Inv. Gold]:[Mutuo]]))</f>
        <v xml:space="preserve"> </v>
      </c>
      <c r="AL1217" s="59"/>
      <c r="AM1217" s="59"/>
    </row>
    <row r="1218" spans="2:39" x14ac:dyDescent="0.35">
      <c r="B1218" s="237">
        <f>ROW(1193:1193)</f>
        <v>1193</v>
      </c>
      <c r="C1218" s="49">
        <f t="shared" si="85"/>
        <v>45817</v>
      </c>
      <c r="D1218" s="29">
        <f>DAY(Dati[[#This Row],[Data]])</f>
        <v>9</v>
      </c>
      <c r="E1218" s="29" t="str">
        <f>IF(DAY(Data!$C$21:$C$1327)&gt;0,TEXT(Data!$C$21:$C$1327, "mmmm"),"")</f>
        <v>giugno</v>
      </c>
      <c r="F1218" s="29" t="str">
        <f>IF(DAY(Data!$C$21:$C$1327)&gt;0,TEXT(Data!$C$21:$C$1327, "aaaa"),"")</f>
        <v>2025</v>
      </c>
      <c r="I1218" t="str">
        <f>IF(OR(H1218=$B$5,H1218=$B$6,H1218=$B$7,H1218=$B$8,H1218=$B$9,H1218=$B$10,H1218=$B$11,H1218=$B$12,H1218=$B$13,H1218=$B$14),SottocategorieUscite[[#Headers],[Fuori Casa]],IF(OR(H1218=$C$5,H1218=$C$6,H1218=$C$7,H1218=$C$8,H1218=$C$9,H1218=$C$10,H1218=$C$11,H1218=$C$12,H1218=$C$13,H1218=$C$14),SottocategorieUscite[[#Headers],[Varie Uscite]],IF(OR(H1218=$D$5,H1218=$D$6,H1218=$D$7,H1218=$D$8,H1218=$D$9,H1218=$D$10,H1218=$D$11,H1218=$D$12,H1218=$D$13,H1218=$D$14),SottocategorieUscite[[#Headers],[Personali]],IF(OR(H1218=$E$5,H1218=$E$6,H1218=$E$7,H1218=$E$8,H1218=$E$9,H1218=$E$10,H1218=$E$11,H1218=$E$12,H1218=$E$13,H1218=$E$14),SottocategorieUscite[[#Headers],[Lavoro]],IF(OR(H1218=$F$5,H1218=$F$6,H1218=$F$7,H1218=$F$8,H1218=$F$9,H1218=$F$10,H1218=$F$11,H1218=$F$12,H1218=$F$13,H1218=$F$14),SottocategorieUscite[[#Headers],[Casa]],IF(OR(H1218=$G$5,H1218=$G$6,H1218=$G$7,H1218=$G$8,H1218=$G$9,H1218=$G$10,H1218=$G$11,H1218=$G$12,H1218=$G$13,H1218=$G$14),SottocategorieUscite[[#Headers],[Utenze]],IF(OR(H1218=$H$5,H1218=$H$6,H1218=$H$7,H1218=$H$8,H1218=$H$9,H1218=$H$10,H1218=$H$11,H1218=$H$12,H1218=$H$13,H1218=$H$14),SottocategorieUscite[[#Headers],[Business Uscite]],IF(OR(H1218=$I$5,H1218=$I$6,H1218=$I$7,H1218=$I$8,H1218=$I$9,H1218=$I$10,H1218=$I$11,H1218=$I$12,H1218=$I$13,H1218=$I$14),SottocategorieUscite[[#Headers],[Banca]],IF(OR(H1218=K$5,H1218=K$6,H1218=K$7,H1218=K$8,H1218=K$9,H1218=K$10,H1218=K$11,H1218=K$12,H1218=K$13,H1218=K$14),SottocategorieEntrate[[#Headers],[Business Entrate]],IF(OR(H1218=L$5,H1218=L$6,H1218=L$7,H1218=L$8,H1218=L$9,H1218=L$10,H1218=L$11,H1218=L$12,H1218=L$13,H1218=L$14),SottocategorieEntrate[[#Headers],[Varie Entrate]],IF(OR(H1218=M$5,H1218=M$6,H1218=M$7,H1218=M$8,H1218=M$9,H1218=M$10,H1218=M$11,H1218=M$12,H1218=M$13,H1218=M$14),SottocategorieEntrate[[#Headers],[Real Estate]],IF(OR(H1218=N$5,H1218=N$6,H1218=N$7,H1218=N$8,H1218=N$9,H1218=N$10,H1218=N$11,H1218=N$12,H1218=N$13,H1218=N$14),SottocategorieEntrate[[#Headers],[Other]],""))))))))))))</f>
        <v/>
      </c>
      <c r="J1218" t="str">
        <f>IF(OR(Dati[[#This Row],[Categoria]]="Bollette",Dati[[#This Row],[Categoria]]="Conto &amp; Carte BNL",Dati[[#This Row],[Categoria]]="Prelievo",Dati[[#This Row],[Categoria]]="Affitto",Dati[[#This Row],[Categoria]]="BNL(Interessi Creditori)"),"Carta",IF(Dati[[#This Row],[Categoria]]&lt;&gt;0,"Cash",""))</f>
        <v/>
      </c>
      <c r="K1218" s="59" t="str">
        <f>IF(OR(Data!$I1218=SottocategorieUscite[[#Headers],[Fuori Casa]],Data!$I1218=SottocategorieUscite[[#Headers],[Varie Uscite]],Data!$I1218=SottocategorieUscite[[#Headers],[Personali]],Data!$I1218=SottocategorieUscite[[#Headers],[Lavoro]]),"$ -","")</f>
        <v/>
      </c>
      <c r="L1218" s="59" t="str">
        <f>IF(OR(Data!$I1218=SottocategorieUscite[[#Headers],[Casa]],Data!$I1218=SottocategorieUscite[[#Headers],[Utenze]],Data!$I1218=SottocategorieUscite[[#Headers],[Business Uscite]],Data!$I1218=SottocategorieUscite[[#Headers],[Banca]]),"$ -","")</f>
        <v/>
      </c>
      <c r="M1218" s="59" t="str">
        <f>IF(OR($I1218&lt;&gt;SottocategorieUscite[[#Headers],[Fuori Casa]],$I1218&lt;&gt;SottocategorieUscite[[#Headers],[Varie Uscite]],$I1218&lt;&gt;SottocategorieUscite[[#Headers],[Personali]],$I1218&lt;&gt;SottocategorieUscite[[#Headers],[Lavoro]],$I1218&lt;&gt;SottocategorieUscite[[#Headers],[Casa]],$I1218&lt;&gt;SottocategorieUscite[[#Headers],[Utenze]],$I1218&lt;&gt;SottocategorieUscite[[#Headers],[Business Uscite]],$I1218&lt;&gt;SottocategorieUscite[[#Headers],[Banca]]),"","$ -")</f>
        <v/>
      </c>
      <c r="N1218" s="59" t="str">
        <f>IF(OR(Data!$I1218=SottocategorieEntrate[[#Headers],[Business Entrate]],Data!$I1218=SottocategorieEntrate[[#Headers],[Varie Entrate]]),"$ -","")</f>
        <v/>
      </c>
      <c r="O1218" s="59" t="str">
        <f>IF(OR(Data!$I1218=SottocategorieEntrate[[#Headers],[Real Estate]],SottocategorieEntrate[[#Headers],[Other]]),"$ -","")</f>
        <v/>
      </c>
      <c r="P1218" s="59" t="str">
        <f>IF(OR($I1218&lt;&gt;SottocategorieEntrate[[#Headers],[Business Entrate]],$I1218&lt;&gt;SottocategorieEntrate[[#Headers],[Varie Entrate]],$I1218&lt;&gt;SottocategorieEntrate[[#Headers],[Real Estate]],$I1218&lt;&gt;SottocategorieEntrate[[#Headers],[Other]]),"","$ -")</f>
        <v/>
      </c>
      <c r="Q1218" s="59" t="str">
        <f>IF(Dati[[#This Row],[Categoria]]="Prelievo","€ -","")</f>
        <v/>
      </c>
      <c r="R1218" s="244"/>
      <c r="S1218" s="59" t="str">
        <f>IF(Dati[[#This Row],[Categoria]]="Savings",0,"")</f>
        <v/>
      </c>
      <c r="T1218" s="59"/>
      <c r="U1218" s="59"/>
      <c r="V1218" s="59"/>
      <c r="W1218" s="59"/>
      <c r="X1218" s="59"/>
      <c r="Y1218" s="59"/>
      <c r="Z1218" s="59"/>
      <c r="AA1218" s="59"/>
      <c r="AB1218" s="59"/>
      <c r="AC1218" s="59"/>
      <c r="AD1218" s="59"/>
      <c r="AE1218" s="59"/>
      <c r="AF1218" s="59"/>
      <c r="AG1218" s="59"/>
      <c r="AH1218" s="59"/>
      <c r="AI1218" s="59" t="str">
        <f>IF(SUM(Dati[[#This Row],[Inv. Business]:[Inv. Cryptocurrency]])=0," ",SUM(Dati[[#This Row],[Inv. Business]:[Inv. Cryptocurrency]]))</f>
        <v xml:space="preserve"> </v>
      </c>
      <c r="AJ1218" s="59"/>
      <c r="AK1218" s="59" t="str">
        <f>IF(SUM(Dati[[#This Row],[Inv. Gold]:[Mutuo]])=0," ",SUM(Dati[[#This Row],[Inv. Gold]:[Mutuo]]))</f>
        <v xml:space="preserve"> </v>
      </c>
      <c r="AL1218" s="59"/>
      <c r="AM1218" s="59"/>
    </row>
    <row r="1219" spans="2:39" x14ac:dyDescent="0.35">
      <c r="B1219" s="237">
        <f>ROW(1194:1194)</f>
        <v>1194</v>
      </c>
      <c r="C1219" s="49">
        <f t="shared" si="85"/>
        <v>45818</v>
      </c>
      <c r="D1219" s="29">
        <f>DAY(Dati[[#This Row],[Data]])</f>
        <v>10</v>
      </c>
      <c r="E1219" s="29" t="str">
        <f>IF(DAY(Data!$C$21:$C$1327)&gt;0,TEXT(Data!$C$21:$C$1327, "mmmm"),"")</f>
        <v>giugno</v>
      </c>
      <c r="F1219" s="29" t="str">
        <f>IF(DAY(Data!$C$21:$C$1327)&gt;0,TEXT(Data!$C$21:$C$1327, "aaaa"),"")</f>
        <v>2025</v>
      </c>
      <c r="I1219" t="str">
        <f>IF(OR(H1219=$B$5,H1219=$B$6,H1219=$B$7,H1219=$B$8,H1219=$B$9,H1219=$B$10,H1219=$B$11,H1219=$B$12,H1219=$B$13,H1219=$B$14),SottocategorieUscite[[#Headers],[Fuori Casa]],IF(OR(H1219=$C$5,H1219=$C$6,H1219=$C$7,H1219=$C$8,H1219=$C$9,H1219=$C$10,H1219=$C$11,H1219=$C$12,H1219=$C$13,H1219=$C$14),SottocategorieUscite[[#Headers],[Varie Uscite]],IF(OR(H1219=$D$5,H1219=$D$6,H1219=$D$7,H1219=$D$8,H1219=$D$9,H1219=$D$10,H1219=$D$11,H1219=$D$12,H1219=$D$13,H1219=$D$14),SottocategorieUscite[[#Headers],[Personali]],IF(OR(H1219=$E$5,H1219=$E$6,H1219=$E$7,H1219=$E$8,H1219=$E$9,H1219=$E$10,H1219=$E$11,H1219=$E$12,H1219=$E$13,H1219=$E$14),SottocategorieUscite[[#Headers],[Lavoro]],IF(OR(H1219=$F$5,H1219=$F$6,H1219=$F$7,H1219=$F$8,H1219=$F$9,H1219=$F$10,H1219=$F$11,H1219=$F$12,H1219=$F$13,H1219=$F$14),SottocategorieUscite[[#Headers],[Casa]],IF(OR(H1219=$G$5,H1219=$G$6,H1219=$G$7,H1219=$G$8,H1219=$G$9,H1219=$G$10,H1219=$G$11,H1219=$G$12,H1219=$G$13,H1219=$G$14),SottocategorieUscite[[#Headers],[Utenze]],IF(OR(H1219=$H$5,H1219=$H$6,H1219=$H$7,H1219=$H$8,H1219=$H$9,H1219=$H$10,H1219=$H$11,H1219=$H$12,H1219=$H$13,H1219=$H$14),SottocategorieUscite[[#Headers],[Business Uscite]],IF(OR(H1219=$I$5,H1219=$I$6,H1219=$I$7,H1219=$I$8,H1219=$I$9,H1219=$I$10,H1219=$I$11,H1219=$I$12,H1219=$I$13,H1219=$I$14),SottocategorieUscite[[#Headers],[Banca]],IF(OR(H1219=K$5,H1219=K$6,H1219=K$7,H1219=K$8,H1219=K$9,H1219=K$10,H1219=K$11,H1219=K$12,H1219=K$13,H1219=K$14),SottocategorieEntrate[[#Headers],[Business Entrate]],IF(OR(H1219=L$5,H1219=L$6,H1219=L$7,H1219=L$8,H1219=L$9,H1219=L$10,H1219=L$11,H1219=L$12,H1219=L$13,H1219=L$14),SottocategorieEntrate[[#Headers],[Varie Entrate]],IF(OR(H1219=M$5,H1219=M$6,H1219=M$7,H1219=M$8,H1219=M$9,H1219=M$10,H1219=M$11,H1219=M$12,H1219=M$13,H1219=M$14),SottocategorieEntrate[[#Headers],[Real Estate]],IF(OR(H1219=N$5,H1219=N$6,H1219=N$7,H1219=N$8,H1219=N$9,H1219=N$10,H1219=N$11,H1219=N$12,H1219=N$13,H1219=N$14),SottocategorieEntrate[[#Headers],[Other]],""))))))))))))</f>
        <v/>
      </c>
      <c r="J1219" t="str">
        <f>IF(OR(Dati[[#This Row],[Categoria]]="Bollette",Dati[[#This Row],[Categoria]]="Conto &amp; Carte BNL",Dati[[#This Row],[Categoria]]="Prelievo",Dati[[#This Row],[Categoria]]="Affitto",Dati[[#This Row],[Categoria]]="BNL(Interessi Creditori)"),"Carta",IF(Dati[[#This Row],[Categoria]]&lt;&gt;0,"Cash",""))</f>
        <v/>
      </c>
      <c r="K1219" s="59" t="str">
        <f>IF(OR(Data!$I1219=SottocategorieUscite[[#Headers],[Fuori Casa]],Data!$I1219=SottocategorieUscite[[#Headers],[Varie Uscite]],Data!$I1219=SottocategorieUscite[[#Headers],[Personali]],Data!$I1219=SottocategorieUscite[[#Headers],[Lavoro]]),"$ -","")</f>
        <v/>
      </c>
      <c r="L1219" s="59" t="str">
        <f>IF(OR(Data!$I1219=SottocategorieUscite[[#Headers],[Casa]],Data!$I1219=SottocategorieUscite[[#Headers],[Utenze]],Data!$I1219=SottocategorieUscite[[#Headers],[Business Uscite]],Data!$I1219=SottocategorieUscite[[#Headers],[Banca]]),"$ -","")</f>
        <v/>
      </c>
      <c r="M1219" s="59" t="str">
        <f>IF(OR($I1219&lt;&gt;SottocategorieUscite[[#Headers],[Fuori Casa]],$I1219&lt;&gt;SottocategorieUscite[[#Headers],[Varie Uscite]],$I1219&lt;&gt;SottocategorieUscite[[#Headers],[Personali]],$I1219&lt;&gt;SottocategorieUscite[[#Headers],[Lavoro]],$I1219&lt;&gt;SottocategorieUscite[[#Headers],[Casa]],$I1219&lt;&gt;SottocategorieUscite[[#Headers],[Utenze]],$I1219&lt;&gt;SottocategorieUscite[[#Headers],[Business Uscite]],$I1219&lt;&gt;SottocategorieUscite[[#Headers],[Banca]]),"","$ -")</f>
        <v/>
      </c>
      <c r="N1219" s="59" t="str">
        <f>IF(OR(Data!$I1219=SottocategorieEntrate[[#Headers],[Business Entrate]],Data!$I1219=SottocategorieEntrate[[#Headers],[Varie Entrate]]),"$ -","")</f>
        <v/>
      </c>
      <c r="O1219" s="59" t="str">
        <f>IF(OR(Data!$I1219=SottocategorieEntrate[[#Headers],[Real Estate]],SottocategorieEntrate[[#Headers],[Other]]),"$ -","")</f>
        <v/>
      </c>
      <c r="P1219" s="59" t="str">
        <f>IF(OR($I1219&lt;&gt;SottocategorieEntrate[[#Headers],[Business Entrate]],$I1219&lt;&gt;SottocategorieEntrate[[#Headers],[Varie Entrate]],$I1219&lt;&gt;SottocategorieEntrate[[#Headers],[Real Estate]],$I1219&lt;&gt;SottocategorieEntrate[[#Headers],[Other]]),"","$ -")</f>
        <v/>
      </c>
      <c r="Q1219" s="59" t="str">
        <f>IF(Dati[[#This Row],[Categoria]]="Prelievo","€ -","")</f>
        <v/>
      </c>
      <c r="R1219" s="244"/>
      <c r="S1219" s="59" t="str">
        <f>IF(Dati[[#This Row],[Categoria]]="Savings",0,"")</f>
        <v/>
      </c>
      <c r="T1219" s="59"/>
      <c r="U1219" s="59"/>
      <c r="V1219" s="59"/>
      <c r="W1219" s="59"/>
      <c r="X1219" s="59"/>
      <c r="Y1219" s="59"/>
      <c r="Z1219" s="59"/>
      <c r="AA1219" s="59"/>
      <c r="AB1219" s="59"/>
      <c r="AC1219" s="59"/>
      <c r="AD1219" s="59"/>
      <c r="AE1219" s="59"/>
      <c r="AF1219" s="59"/>
      <c r="AG1219" s="59"/>
      <c r="AH1219" s="59"/>
      <c r="AI1219" s="59" t="str">
        <f>IF(SUM(Dati[[#This Row],[Inv. Business]:[Inv. Cryptocurrency]])=0," ",SUM(Dati[[#This Row],[Inv. Business]:[Inv. Cryptocurrency]]))</f>
        <v xml:space="preserve"> </v>
      </c>
      <c r="AJ1219" s="59"/>
      <c r="AK1219" s="59" t="str">
        <f>IF(SUM(Dati[[#This Row],[Inv. Gold]:[Mutuo]])=0," ",SUM(Dati[[#This Row],[Inv. Gold]:[Mutuo]]))</f>
        <v xml:space="preserve"> </v>
      </c>
      <c r="AL1219" s="59"/>
      <c r="AM1219" s="59"/>
    </row>
    <row r="1220" spans="2:39" x14ac:dyDescent="0.35">
      <c r="B1220" s="237">
        <f>ROW(1197:1197)</f>
        <v>1197</v>
      </c>
      <c r="C1220" s="49">
        <f>C1218+1</f>
        <v>45818</v>
      </c>
      <c r="D1220" s="29">
        <f>DAY(Dati[[#This Row],[Data]])</f>
        <v>10</v>
      </c>
      <c r="E1220" s="29" t="str">
        <f>IF(DAY(Data!$C$21:$C$1327)&gt;0,TEXT(Data!$C$21:$C$1327, "mmmm"),"")</f>
        <v>giugno</v>
      </c>
      <c r="F1220" s="29" t="str">
        <f>IF(DAY(Data!$C$21:$C$1327)&gt;0,TEXT(Data!$C$21:$C$1327, "aaaa"),"")</f>
        <v>2025</v>
      </c>
      <c r="I1220" t="str">
        <f>IF(OR(H1220=$B$5,H1220=$B$6,H1220=$B$7,H1220=$B$8,H1220=$B$9,H1220=$B$10,H1220=$B$11,H1220=$B$12,H1220=$B$13,H1220=$B$14),SottocategorieUscite[[#Headers],[Fuori Casa]],IF(OR(H1220=$C$5,H1220=$C$6,H1220=$C$7,H1220=$C$8,H1220=$C$9,H1220=$C$10,H1220=$C$11,H1220=$C$12,H1220=$C$13,H1220=$C$14),SottocategorieUscite[[#Headers],[Varie Uscite]],IF(OR(H1220=$D$5,H1220=$D$6,H1220=$D$7,H1220=$D$8,H1220=$D$9,H1220=$D$10,H1220=$D$11,H1220=$D$12,H1220=$D$13,H1220=$D$14),SottocategorieUscite[[#Headers],[Personali]],IF(OR(H1220=$E$5,H1220=$E$6,H1220=$E$7,H1220=$E$8,H1220=$E$9,H1220=$E$10,H1220=$E$11,H1220=$E$12,H1220=$E$13,H1220=$E$14),SottocategorieUscite[[#Headers],[Lavoro]],IF(OR(H1220=$F$5,H1220=$F$6,H1220=$F$7,H1220=$F$8,H1220=$F$9,H1220=$F$10,H1220=$F$11,H1220=$F$12,H1220=$F$13,H1220=$F$14),SottocategorieUscite[[#Headers],[Casa]],IF(OR(H1220=$G$5,H1220=$G$6,H1220=$G$7,H1220=$G$8,H1220=$G$9,H1220=$G$10,H1220=$G$11,H1220=$G$12,H1220=$G$13,H1220=$G$14),SottocategorieUscite[[#Headers],[Utenze]],IF(OR(H1220=$H$5,H1220=$H$6,H1220=$H$7,H1220=$H$8,H1220=$H$9,H1220=$H$10,H1220=$H$11,H1220=$H$12,H1220=$H$13,H1220=$H$14),SottocategorieUscite[[#Headers],[Business Uscite]],IF(OR(H1220=$I$5,H1220=$I$6,H1220=$I$7,H1220=$I$8,H1220=$I$9,H1220=$I$10,H1220=$I$11,H1220=$I$12,H1220=$I$13,H1220=$I$14),SottocategorieUscite[[#Headers],[Banca]],IF(OR(H1220=K$5,H1220=K$6,H1220=K$7,H1220=K$8,H1220=K$9,H1220=K$10,H1220=K$11,H1220=K$12,H1220=K$13,H1220=K$14),SottocategorieEntrate[[#Headers],[Business Entrate]],IF(OR(H1220=L$5,H1220=L$6,H1220=L$7,H1220=L$8,H1220=L$9,H1220=L$10,H1220=L$11,H1220=L$12,H1220=L$13,H1220=L$14),SottocategorieEntrate[[#Headers],[Varie Entrate]],IF(OR(H1220=M$5,H1220=M$6,H1220=M$7,H1220=M$8,H1220=M$9,H1220=M$10,H1220=M$11,H1220=M$12,H1220=M$13,H1220=M$14),SottocategorieEntrate[[#Headers],[Real Estate]],IF(OR(H1220=N$5,H1220=N$6,H1220=N$7,H1220=N$8,H1220=N$9,H1220=N$10,H1220=N$11,H1220=N$12,H1220=N$13,H1220=N$14),SottocategorieEntrate[[#Headers],[Other]],""))))))))))))</f>
        <v/>
      </c>
      <c r="J1220" t="str">
        <f>IF(OR(Dati[[#This Row],[Categoria]]="Bollette",Dati[[#This Row],[Categoria]]="Conto &amp; Carte BNL",Dati[[#This Row],[Categoria]]="Prelievo",Dati[[#This Row],[Categoria]]="Affitto",Dati[[#This Row],[Categoria]]="BNL(Interessi Creditori)"),"Carta",IF(Dati[[#This Row],[Categoria]]&lt;&gt;0,"Cash",""))</f>
        <v/>
      </c>
      <c r="K1220" s="59" t="str">
        <f>IF(OR(Data!$I1220=SottocategorieUscite[[#Headers],[Fuori Casa]],Data!$I1220=SottocategorieUscite[[#Headers],[Varie Uscite]],Data!$I1220=SottocategorieUscite[[#Headers],[Personali]],Data!$I1220=SottocategorieUscite[[#Headers],[Lavoro]]),"$ -","")</f>
        <v/>
      </c>
      <c r="L1220" s="59" t="str">
        <f>IF(OR(Data!$I1220=SottocategorieUscite[[#Headers],[Casa]],Data!$I1220=SottocategorieUscite[[#Headers],[Utenze]],Data!$I1220=SottocategorieUscite[[#Headers],[Business Uscite]],Data!$I1220=SottocategorieUscite[[#Headers],[Banca]]),"$ -","")</f>
        <v/>
      </c>
      <c r="M1220" s="59" t="str">
        <f>IF(OR($I1220&lt;&gt;SottocategorieUscite[[#Headers],[Fuori Casa]],$I1220&lt;&gt;SottocategorieUscite[[#Headers],[Varie Uscite]],$I1220&lt;&gt;SottocategorieUscite[[#Headers],[Personali]],$I1220&lt;&gt;SottocategorieUscite[[#Headers],[Lavoro]],$I1220&lt;&gt;SottocategorieUscite[[#Headers],[Casa]],$I1220&lt;&gt;SottocategorieUscite[[#Headers],[Utenze]],$I1220&lt;&gt;SottocategorieUscite[[#Headers],[Business Uscite]],$I1220&lt;&gt;SottocategorieUscite[[#Headers],[Banca]]),"","$ -")</f>
        <v/>
      </c>
      <c r="N1220" s="59" t="str">
        <f>IF(OR(Data!$I1220=SottocategorieEntrate[[#Headers],[Business Entrate]],Data!$I1220=SottocategorieEntrate[[#Headers],[Varie Entrate]]),"$ -","")</f>
        <v/>
      </c>
      <c r="O1220" s="59" t="str">
        <f>IF(OR(Data!$I1220=SottocategorieEntrate[[#Headers],[Real Estate]],SottocategorieEntrate[[#Headers],[Other]]),"$ -","")</f>
        <v/>
      </c>
      <c r="P1220" s="59" t="str">
        <f>IF(OR($I1220&lt;&gt;SottocategorieEntrate[[#Headers],[Business Entrate]],$I1220&lt;&gt;SottocategorieEntrate[[#Headers],[Varie Entrate]],$I1220&lt;&gt;SottocategorieEntrate[[#Headers],[Real Estate]],$I1220&lt;&gt;SottocategorieEntrate[[#Headers],[Other]]),"","$ -")</f>
        <v/>
      </c>
      <c r="Q1220" s="59" t="str">
        <f>IF(Dati[[#This Row],[Categoria]]="Prelievo","€ -","")</f>
        <v/>
      </c>
      <c r="R1220" s="244"/>
      <c r="S1220" s="59" t="str">
        <f>IF(Dati[[#This Row],[Categoria]]="Savings",0,"")</f>
        <v/>
      </c>
      <c r="T1220" s="59"/>
      <c r="U1220" s="59"/>
      <c r="V1220" s="59"/>
      <c r="W1220" s="59"/>
      <c r="X1220" s="59"/>
      <c r="Y1220" s="59"/>
      <c r="Z1220" s="59"/>
      <c r="AA1220" s="59"/>
      <c r="AB1220" s="59"/>
      <c r="AC1220" s="59"/>
      <c r="AD1220" s="59"/>
      <c r="AE1220" s="59"/>
      <c r="AF1220" s="59"/>
      <c r="AG1220" s="59"/>
      <c r="AH1220" s="59"/>
      <c r="AI1220" s="59" t="str">
        <f>IF(SUM(Dati[[#This Row],[Inv. Business]:[Inv. Cryptocurrency]])=0," ",SUM(Dati[[#This Row],[Inv. Business]:[Inv. Cryptocurrency]]))</f>
        <v xml:space="preserve"> </v>
      </c>
      <c r="AJ1220" s="59"/>
      <c r="AK1220" s="59" t="str">
        <f>IF(SUM(Dati[[#This Row],[Inv. Gold]:[Mutuo]])=0," ",SUM(Dati[[#This Row],[Inv. Gold]:[Mutuo]]))</f>
        <v xml:space="preserve"> </v>
      </c>
      <c r="AL1220" s="59"/>
      <c r="AM1220" s="59"/>
    </row>
    <row r="1221" spans="2:39" x14ac:dyDescent="0.35">
      <c r="B1221" s="237">
        <f>ROW(1197:1197)</f>
        <v>1197</v>
      </c>
      <c r="C1221" s="49">
        <f>C1218+1</f>
        <v>45818</v>
      </c>
      <c r="D1221" s="29">
        <f>DAY(Dati[[#This Row],[Data]])</f>
        <v>10</v>
      </c>
      <c r="E1221" s="29" t="str">
        <f>IF(DAY(Data!$C$21:$C$1327)&gt;0,TEXT(Data!$C$21:$C$1327, "mmmm"),"")</f>
        <v>giugno</v>
      </c>
      <c r="F1221" s="29" t="str">
        <f>IF(DAY(Data!$C$21:$C$1327)&gt;0,TEXT(Data!$C$21:$C$1327, "aaaa"),"")</f>
        <v>2025</v>
      </c>
      <c r="I1221" t="str">
        <f>IF(OR(H1221=$B$5,H1221=$B$6,H1221=$B$7,H1221=$B$8,H1221=$B$9,H1221=$B$10,H1221=$B$11,H1221=$B$12,H1221=$B$13,H1221=$B$14),SottocategorieUscite[[#Headers],[Fuori Casa]],IF(OR(H1221=$C$5,H1221=$C$6,H1221=$C$7,H1221=$C$8,H1221=$C$9,H1221=$C$10,H1221=$C$11,H1221=$C$12,H1221=$C$13,H1221=$C$14),SottocategorieUscite[[#Headers],[Varie Uscite]],IF(OR(H1221=$D$5,H1221=$D$6,H1221=$D$7,H1221=$D$8,H1221=$D$9,H1221=$D$10,H1221=$D$11,H1221=$D$12,H1221=$D$13,H1221=$D$14),SottocategorieUscite[[#Headers],[Personali]],IF(OR(H1221=$E$5,H1221=$E$6,H1221=$E$7,H1221=$E$8,H1221=$E$9,H1221=$E$10,H1221=$E$11,H1221=$E$12,H1221=$E$13,H1221=$E$14),SottocategorieUscite[[#Headers],[Lavoro]],IF(OR(H1221=$F$5,H1221=$F$6,H1221=$F$7,H1221=$F$8,H1221=$F$9,H1221=$F$10,H1221=$F$11,H1221=$F$12,H1221=$F$13,H1221=$F$14),SottocategorieUscite[[#Headers],[Casa]],IF(OR(H1221=$G$5,H1221=$G$6,H1221=$G$7,H1221=$G$8,H1221=$G$9,H1221=$G$10,H1221=$G$11,H1221=$G$12,H1221=$G$13,H1221=$G$14),SottocategorieUscite[[#Headers],[Utenze]],IF(OR(H1221=$H$5,H1221=$H$6,H1221=$H$7,H1221=$H$8,H1221=$H$9,H1221=$H$10,H1221=$H$11,H1221=$H$12,H1221=$H$13,H1221=$H$14),SottocategorieUscite[[#Headers],[Business Uscite]],IF(OR(H1221=$I$5,H1221=$I$6,H1221=$I$7,H1221=$I$8,H1221=$I$9,H1221=$I$10,H1221=$I$11,H1221=$I$12,H1221=$I$13,H1221=$I$14),SottocategorieUscite[[#Headers],[Banca]],IF(OR(H1221=K$5,H1221=K$6,H1221=K$7,H1221=K$8,H1221=K$9,H1221=K$10,H1221=K$11,H1221=K$12,H1221=K$13,H1221=K$14),SottocategorieEntrate[[#Headers],[Business Entrate]],IF(OR(H1221=L$5,H1221=L$6,H1221=L$7,H1221=L$8,H1221=L$9,H1221=L$10,H1221=L$11,H1221=L$12,H1221=L$13,H1221=L$14),SottocategorieEntrate[[#Headers],[Varie Entrate]],IF(OR(H1221=M$5,H1221=M$6,H1221=M$7,H1221=M$8,H1221=M$9,H1221=M$10,H1221=M$11,H1221=M$12,H1221=M$13,H1221=M$14),SottocategorieEntrate[[#Headers],[Real Estate]],IF(OR(H1221=N$5,H1221=N$6,H1221=N$7,H1221=N$8,H1221=N$9,H1221=N$10,H1221=N$11,H1221=N$12,H1221=N$13,H1221=N$14),SottocategorieEntrate[[#Headers],[Other]],""))))))))))))</f>
        <v/>
      </c>
      <c r="J1221" t="str">
        <f>IF(OR(Dati[[#This Row],[Categoria]]="Bollette",Dati[[#This Row],[Categoria]]="Conto &amp; Carte BNL",Dati[[#This Row],[Categoria]]="Prelievo",Dati[[#This Row],[Categoria]]="Affitto",Dati[[#This Row],[Categoria]]="BNL(Interessi Creditori)"),"Carta",IF(Dati[[#This Row],[Categoria]]&lt;&gt;0,"Cash",""))</f>
        <v/>
      </c>
      <c r="K1221" s="59" t="str">
        <f>IF(OR(Data!$I1221=SottocategorieUscite[[#Headers],[Fuori Casa]],Data!$I1221=SottocategorieUscite[[#Headers],[Varie Uscite]],Data!$I1221=SottocategorieUscite[[#Headers],[Personali]],Data!$I1221=SottocategorieUscite[[#Headers],[Lavoro]]),"$ -","")</f>
        <v/>
      </c>
      <c r="L1221" s="59" t="str">
        <f>IF(OR(Data!$I1221=SottocategorieUscite[[#Headers],[Casa]],Data!$I1221=SottocategorieUscite[[#Headers],[Utenze]],Data!$I1221=SottocategorieUscite[[#Headers],[Business Uscite]],Data!$I1221=SottocategorieUscite[[#Headers],[Banca]]),"$ -","")</f>
        <v/>
      </c>
      <c r="M1221" s="59" t="str">
        <f>IF(OR($I1221&lt;&gt;SottocategorieUscite[[#Headers],[Fuori Casa]],$I1221&lt;&gt;SottocategorieUscite[[#Headers],[Varie Uscite]],$I1221&lt;&gt;SottocategorieUscite[[#Headers],[Personali]],$I1221&lt;&gt;SottocategorieUscite[[#Headers],[Lavoro]],$I1221&lt;&gt;SottocategorieUscite[[#Headers],[Casa]],$I1221&lt;&gt;SottocategorieUscite[[#Headers],[Utenze]],$I1221&lt;&gt;SottocategorieUscite[[#Headers],[Business Uscite]],$I1221&lt;&gt;SottocategorieUscite[[#Headers],[Banca]]),"","$ -")</f>
        <v/>
      </c>
      <c r="N1221" s="59" t="str">
        <f>IF(OR(Data!$I1221=SottocategorieEntrate[[#Headers],[Business Entrate]],Data!$I1221=SottocategorieEntrate[[#Headers],[Varie Entrate]]),"$ -","")</f>
        <v/>
      </c>
      <c r="O1221" s="59" t="str">
        <f>IF(OR(Data!$I1221=SottocategorieEntrate[[#Headers],[Real Estate]],SottocategorieEntrate[[#Headers],[Other]]),"$ -","")</f>
        <v/>
      </c>
      <c r="P1221" s="59" t="str">
        <f>IF(OR($I1221&lt;&gt;SottocategorieEntrate[[#Headers],[Business Entrate]],$I1221&lt;&gt;SottocategorieEntrate[[#Headers],[Varie Entrate]],$I1221&lt;&gt;SottocategorieEntrate[[#Headers],[Real Estate]],$I1221&lt;&gt;SottocategorieEntrate[[#Headers],[Other]]),"","$ -")</f>
        <v/>
      </c>
      <c r="Q1221" s="59" t="str">
        <f>IF(Dati[[#This Row],[Categoria]]="Prelievo","€ -","")</f>
        <v/>
      </c>
      <c r="R1221" s="244"/>
      <c r="S1221" s="59" t="str">
        <f>IF(Dati[[#This Row],[Categoria]]="Savings",0,"")</f>
        <v/>
      </c>
      <c r="T1221" s="59"/>
      <c r="U1221" s="59"/>
      <c r="V1221" s="59"/>
      <c r="W1221" s="59"/>
      <c r="X1221" s="59"/>
      <c r="Y1221" s="59"/>
      <c r="Z1221" s="59"/>
      <c r="AA1221" s="59"/>
      <c r="AB1221" s="59"/>
      <c r="AC1221" s="59"/>
      <c r="AD1221" s="59"/>
      <c r="AE1221" s="59"/>
      <c r="AF1221" s="59"/>
      <c r="AG1221" s="59"/>
      <c r="AH1221" s="59"/>
      <c r="AI1221" s="59" t="str">
        <f>IF(SUM(Dati[[#This Row],[Inv. Business]:[Inv. Cryptocurrency]])=0," ",SUM(Dati[[#This Row],[Inv. Business]:[Inv. Cryptocurrency]]))</f>
        <v xml:space="preserve"> </v>
      </c>
      <c r="AJ1221" s="59"/>
      <c r="AK1221" s="59" t="str">
        <f>IF(SUM(Dati[[#This Row],[Inv. Gold]:[Mutuo]])=0," ",SUM(Dati[[#This Row],[Inv. Gold]:[Mutuo]]))</f>
        <v xml:space="preserve"> </v>
      </c>
      <c r="AL1221" s="59"/>
      <c r="AM1221" s="59"/>
    </row>
    <row r="1222" spans="2:39" x14ac:dyDescent="0.35">
      <c r="B1222" s="237">
        <f t="shared" ref="B1222:B1225" si="87">ROW(1197:1197)</f>
        <v>1197</v>
      </c>
      <c r="C1222" s="49">
        <f>C1218+1</f>
        <v>45818</v>
      </c>
      <c r="D1222" s="29">
        <f>DAY(Dati[[#This Row],[Data]])</f>
        <v>10</v>
      </c>
      <c r="E1222" s="29" t="str">
        <f>IF(DAY(Data!$C$21:$C$1327)&gt;0,TEXT(Data!$C$21:$C$1327, "mmmm"),"")</f>
        <v>giugno</v>
      </c>
      <c r="F1222" s="29" t="str">
        <f>IF(DAY(Data!$C$21:$C$1327)&gt;0,TEXT(Data!$C$21:$C$1327, "aaaa"),"")</f>
        <v>2025</v>
      </c>
      <c r="I1222" t="str">
        <f>IF(OR(H1222=$B$5,H1222=$B$6,H1222=$B$7,H1222=$B$8,H1222=$B$9,H1222=$B$10,H1222=$B$11,H1222=$B$12,H1222=$B$13,H1222=$B$14),SottocategorieUscite[[#Headers],[Fuori Casa]],IF(OR(H1222=$C$5,H1222=$C$6,H1222=$C$7,H1222=$C$8,H1222=$C$9,H1222=$C$10,H1222=$C$11,H1222=$C$12,H1222=$C$13,H1222=$C$14),SottocategorieUscite[[#Headers],[Varie Uscite]],IF(OR(H1222=$D$5,H1222=$D$6,H1222=$D$7,H1222=$D$8,H1222=$D$9,H1222=$D$10,H1222=$D$11,H1222=$D$12,H1222=$D$13,H1222=$D$14),SottocategorieUscite[[#Headers],[Personali]],IF(OR(H1222=$E$5,H1222=$E$6,H1222=$E$7,H1222=$E$8,H1222=$E$9,H1222=$E$10,H1222=$E$11,H1222=$E$12,H1222=$E$13,H1222=$E$14),SottocategorieUscite[[#Headers],[Lavoro]],IF(OR(H1222=$F$5,H1222=$F$6,H1222=$F$7,H1222=$F$8,H1222=$F$9,H1222=$F$10,H1222=$F$11,H1222=$F$12,H1222=$F$13,H1222=$F$14),SottocategorieUscite[[#Headers],[Casa]],IF(OR(H1222=$G$5,H1222=$G$6,H1222=$G$7,H1222=$G$8,H1222=$G$9,H1222=$G$10,H1222=$G$11,H1222=$G$12,H1222=$G$13,H1222=$G$14),SottocategorieUscite[[#Headers],[Utenze]],IF(OR(H1222=$H$5,H1222=$H$6,H1222=$H$7,H1222=$H$8,H1222=$H$9,H1222=$H$10,H1222=$H$11,H1222=$H$12,H1222=$H$13,H1222=$H$14),SottocategorieUscite[[#Headers],[Business Uscite]],IF(OR(H1222=$I$5,H1222=$I$6,H1222=$I$7,H1222=$I$8,H1222=$I$9,H1222=$I$10,H1222=$I$11,H1222=$I$12,H1222=$I$13,H1222=$I$14),SottocategorieUscite[[#Headers],[Banca]],IF(OR(H1222=K$5,H1222=K$6,H1222=K$7,H1222=K$8,H1222=K$9,H1222=K$10,H1222=K$11,H1222=K$12,H1222=K$13,H1222=K$14),SottocategorieEntrate[[#Headers],[Business Entrate]],IF(OR(H1222=L$5,H1222=L$6,H1222=L$7,H1222=L$8,H1222=L$9,H1222=L$10,H1222=L$11,H1222=L$12,H1222=L$13,H1222=L$14),SottocategorieEntrate[[#Headers],[Varie Entrate]],IF(OR(H1222=M$5,H1222=M$6,H1222=M$7,H1222=M$8,H1222=M$9,H1222=M$10,H1222=M$11,H1222=M$12,H1222=M$13,H1222=M$14),SottocategorieEntrate[[#Headers],[Real Estate]],IF(OR(H1222=N$5,H1222=N$6,H1222=N$7,H1222=N$8,H1222=N$9,H1222=N$10,H1222=N$11,H1222=N$12,H1222=N$13,H1222=N$14),SottocategorieEntrate[[#Headers],[Other]],""))))))))))))</f>
        <v/>
      </c>
      <c r="J1222" t="str">
        <f>IF(OR(Dati[[#This Row],[Categoria]]="Bollette",Dati[[#This Row],[Categoria]]="Conto &amp; Carte BNL",Dati[[#This Row],[Categoria]]="Prelievo",Dati[[#This Row],[Categoria]]="Affitto",Dati[[#This Row],[Categoria]]="BNL(Interessi Creditori)"),"Carta",IF(Dati[[#This Row],[Categoria]]&lt;&gt;0,"Cash",""))</f>
        <v/>
      </c>
      <c r="K1222" s="59" t="str">
        <f>IF(OR(Data!$I1222=SottocategorieUscite[[#Headers],[Fuori Casa]],Data!$I1222=SottocategorieUscite[[#Headers],[Varie Uscite]],Data!$I1222=SottocategorieUscite[[#Headers],[Personali]],Data!$I1222=SottocategorieUscite[[#Headers],[Lavoro]]),"$ -","")</f>
        <v/>
      </c>
      <c r="L1222" s="59" t="str">
        <f>IF(OR(Data!$I1222=SottocategorieUscite[[#Headers],[Casa]],Data!$I1222=SottocategorieUscite[[#Headers],[Utenze]],Data!$I1222=SottocategorieUscite[[#Headers],[Business Uscite]],Data!$I1222=SottocategorieUscite[[#Headers],[Banca]]),"$ -","")</f>
        <v/>
      </c>
      <c r="M1222" s="59" t="str">
        <f>IF(OR($I1222&lt;&gt;SottocategorieUscite[[#Headers],[Fuori Casa]],$I1222&lt;&gt;SottocategorieUscite[[#Headers],[Varie Uscite]],$I1222&lt;&gt;SottocategorieUscite[[#Headers],[Personali]],$I1222&lt;&gt;SottocategorieUscite[[#Headers],[Lavoro]],$I1222&lt;&gt;SottocategorieUscite[[#Headers],[Casa]],$I1222&lt;&gt;SottocategorieUscite[[#Headers],[Utenze]],$I1222&lt;&gt;SottocategorieUscite[[#Headers],[Business Uscite]],$I1222&lt;&gt;SottocategorieUscite[[#Headers],[Banca]]),"","$ -")</f>
        <v/>
      </c>
      <c r="N1222" s="59" t="str">
        <f>IF(OR(Data!$I1222=SottocategorieEntrate[[#Headers],[Business Entrate]],Data!$I1222=SottocategorieEntrate[[#Headers],[Varie Entrate]]),"$ -","")</f>
        <v/>
      </c>
      <c r="O1222" s="59" t="str">
        <f>IF(OR(Data!$I1222=SottocategorieEntrate[[#Headers],[Real Estate]],SottocategorieEntrate[[#Headers],[Other]]),"$ -","")</f>
        <v/>
      </c>
      <c r="P1222" s="59" t="str">
        <f>IF(OR($I1222&lt;&gt;SottocategorieEntrate[[#Headers],[Business Entrate]],$I1222&lt;&gt;SottocategorieEntrate[[#Headers],[Varie Entrate]],$I1222&lt;&gt;SottocategorieEntrate[[#Headers],[Real Estate]],$I1222&lt;&gt;SottocategorieEntrate[[#Headers],[Other]]),"","$ -")</f>
        <v/>
      </c>
      <c r="Q1222" s="59" t="str">
        <f>IF(Dati[[#This Row],[Categoria]]="Prelievo","€ -","")</f>
        <v/>
      </c>
      <c r="R1222" s="244"/>
      <c r="S1222" s="59" t="str">
        <f>IF(Dati[[#This Row],[Categoria]]="Savings",0,"")</f>
        <v/>
      </c>
      <c r="T1222" s="59"/>
      <c r="U1222" s="59"/>
      <c r="V1222" s="59"/>
      <c r="W1222" s="59"/>
      <c r="X1222" s="59"/>
      <c r="Y1222" s="59"/>
      <c r="Z1222" s="59"/>
      <c r="AA1222" s="59"/>
      <c r="AB1222" s="59"/>
      <c r="AC1222" s="59"/>
      <c r="AD1222" s="59"/>
      <c r="AE1222" s="59"/>
      <c r="AF1222" s="59"/>
      <c r="AG1222" s="59"/>
      <c r="AH1222" s="59"/>
      <c r="AI1222" s="59" t="str">
        <f>IF(SUM(Dati[[#This Row],[Inv. Business]:[Inv. Cryptocurrency]])=0," ",SUM(Dati[[#This Row],[Inv. Business]:[Inv. Cryptocurrency]]))</f>
        <v xml:space="preserve"> </v>
      </c>
      <c r="AJ1222" s="59"/>
      <c r="AK1222" s="59" t="str">
        <f>IF(SUM(Dati[[#This Row],[Inv. Gold]:[Mutuo]])=0," ",SUM(Dati[[#This Row],[Inv. Gold]:[Mutuo]]))</f>
        <v xml:space="preserve"> </v>
      </c>
      <c r="AL1222" s="59"/>
      <c r="AM1222" s="59"/>
    </row>
    <row r="1223" spans="2:39" x14ac:dyDescent="0.35">
      <c r="B1223" s="237">
        <f t="shared" si="87"/>
        <v>1198</v>
      </c>
      <c r="C1223" s="49">
        <f>C1219+1</f>
        <v>45819</v>
      </c>
      <c r="D1223" s="29">
        <f>DAY(Dati[[#This Row],[Data]])</f>
        <v>11</v>
      </c>
      <c r="E1223" s="29" t="str">
        <f>IF(DAY(Data!$C$21:$C$1327)&gt;0,TEXT(Data!$C$21:$C$1327, "mmmm"),"")</f>
        <v>giugno</v>
      </c>
      <c r="F1223" s="29" t="str">
        <f>IF(DAY(Data!$C$21:$C$1327)&gt;0,TEXT(Data!$C$21:$C$1327, "aaaa"),"")</f>
        <v>2025</v>
      </c>
      <c r="I1223" t="str">
        <f>IF(OR(H1223=$B$5,H1223=$B$6,H1223=$B$7,H1223=$B$8,H1223=$B$9,H1223=$B$10,H1223=$B$11,H1223=$B$12,H1223=$B$13,H1223=$B$14),SottocategorieUscite[[#Headers],[Fuori Casa]],IF(OR(H1223=$C$5,H1223=$C$6,H1223=$C$7,H1223=$C$8,H1223=$C$9,H1223=$C$10,H1223=$C$11,H1223=$C$12,H1223=$C$13,H1223=$C$14),SottocategorieUscite[[#Headers],[Varie Uscite]],IF(OR(H1223=$D$5,H1223=$D$6,H1223=$D$7,H1223=$D$8,H1223=$D$9,H1223=$D$10,H1223=$D$11,H1223=$D$12,H1223=$D$13,H1223=$D$14),SottocategorieUscite[[#Headers],[Personali]],IF(OR(H1223=$E$5,H1223=$E$6,H1223=$E$7,H1223=$E$8,H1223=$E$9,H1223=$E$10,H1223=$E$11,H1223=$E$12,H1223=$E$13,H1223=$E$14),SottocategorieUscite[[#Headers],[Lavoro]],IF(OR(H1223=$F$5,H1223=$F$6,H1223=$F$7,H1223=$F$8,H1223=$F$9,H1223=$F$10,H1223=$F$11,H1223=$F$12,H1223=$F$13,H1223=$F$14),SottocategorieUscite[[#Headers],[Casa]],IF(OR(H1223=$G$5,H1223=$G$6,H1223=$G$7,H1223=$G$8,H1223=$G$9,H1223=$G$10,H1223=$G$11,H1223=$G$12,H1223=$G$13,H1223=$G$14),SottocategorieUscite[[#Headers],[Utenze]],IF(OR(H1223=$H$5,H1223=$H$6,H1223=$H$7,H1223=$H$8,H1223=$H$9,H1223=$H$10,H1223=$H$11,H1223=$H$12,H1223=$H$13,H1223=$H$14),SottocategorieUscite[[#Headers],[Business Uscite]],IF(OR(H1223=$I$5,H1223=$I$6,H1223=$I$7,H1223=$I$8,H1223=$I$9,H1223=$I$10,H1223=$I$11,H1223=$I$12,H1223=$I$13,H1223=$I$14),SottocategorieUscite[[#Headers],[Banca]],IF(OR(H1223=K$5,H1223=K$6,H1223=K$7,H1223=K$8,H1223=K$9,H1223=K$10,H1223=K$11,H1223=K$12,H1223=K$13,H1223=K$14),SottocategorieEntrate[[#Headers],[Business Entrate]],IF(OR(H1223=L$5,H1223=L$6,H1223=L$7,H1223=L$8,H1223=L$9,H1223=L$10,H1223=L$11,H1223=L$12,H1223=L$13,H1223=L$14),SottocategorieEntrate[[#Headers],[Varie Entrate]],IF(OR(H1223=M$5,H1223=M$6,H1223=M$7,H1223=M$8,H1223=M$9,H1223=M$10,H1223=M$11,H1223=M$12,H1223=M$13,H1223=M$14),SottocategorieEntrate[[#Headers],[Real Estate]],IF(OR(H1223=N$5,H1223=N$6,H1223=N$7,H1223=N$8,H1223=N$9,H1223=N$10,H1223=N$11,H1223=N$12,H1223=N$13,H1223=N$14),SottocategorieEntrate[[#Headers],[Other]],""))))))))))))</f>
        <v/>
      </c>
      <c r="J1223" t="str">
        <f>IF(OR(Dati[[#This Row],[Categoria]]="Bollette",Dati[[#This Row],[Categoria]]="Conto &amp; Carte BNL",Dati[[#This Row],[Categoria]]="Prelievo",Dati[[#This Row],[Categoria]]="Affitto",Dati[[#This Row],[Categoria]]="BNL(Interessi Creditori)"),"Carta",IF(Dati[[#This Row],[Categoria]]&lt;&gt;0,"Cash",""))</f>
        <v/>
      </c>
      <c r="K1223" s="59" t="str">
        <f>IF(OR(Data!$I1223=SottocategorieUscite[[#Headers],[Fuori Casa]],Data!$I1223=SottocategorieUscite[[#Headers],[Varie Uscite]],Data!$I1223=SottocategorieUscite[[#Headers],[Personali]],Data!$I1223=SottocategorieUscite[[#Headers],[Lavoro]]),"$ -","")</f>
        <v/>
      </c>
      <c r="L1223" s="59" t="str">
        <f>IF(OR(Data!$I1223=SottocategorieUscite[[#Headers],[Casa]],Data!$I1223=SottocategorieUscite[[#Headers],[Utenze]],Data!$I1223=SottocategorieUscite[[#Headers],[Business Uscite]],Data!$I1223=SottocategorieUscite[[#Headers],[Banca]]),"$ -","")</f>
        <v/>
      </c>
      <c r="M1223" s="59" t="str">
        <f>IF(OR($I1223&lt;&gt;SottocategorieUscite[[#Headers],[Fuori Casa]],$I1223&lt;&gt;SottocategorieUscite[[#Headers],[Varie Uscite]],$I1223&lt;&gt;SottocategorieUscite[[#Headers],[Personali]],$I1223&lt;&gt;SottocategorieUscite[[#Headers],[Lavoro]],$I1223&lt;&gt;SottocategorieUscite[[#Headers],[Casa]],$I1223&lt;&gt;SottocategorieUscite[[#Headers],[Utenze]],$I1223&lt;&gt;SottocategorieUscite[[#Headers],[Business Uscite]],$I1223&lt;&gt;SottocategorieUscite[[#Headers],[Banca]]),"","$ -")</f>
        <v/>
      </c>
      <c r="N1223" s="59" t="str">
        <f>IF(OR(Data!$I1223=SottocategorieEntrate[[#Headers],[Business Entrate]],Data!$I1223=SottocategorieEntrate[[#Headers],[Varie Entrate]]),"$ -","")</f>
        <v/>
      </c>
      <c r="O1223" s="59" t="str">
        <f>IF(OR(Data!$I1223=SottocategorieEntrate[[#Headers],[Real Estate]],SottocategorieEntrate[[#Headers],[Other]]),"$ -","")</f>
        <v/>
      </c>
      <c r="P1223" s="59" t="str">
        <f>IF(OR($I1223&lt;&gt;SottocategorieEntrate[[#Headers],[Business Entrate]],$I1223&lt;&gt;SottocategorieEntrate[[#Headers],[Varie Entrate]],$I1223&lt;&gt;SottocategorieEntrate[[#Headers],[Real Estate]],$I1223&lt;&gt;SottocategorieEntrate[[#Headers],[Other]]),"","$ -")</f>
        <v/>
      </c>
      <c r="Q1223" s="59" t="str">
        <f>IF(Dati[[#This Row],[Categoria]]="Prelievo","€ -","")</f>
        <v/>
      </c>
      <c r="R1223" s="244"/>
      <c r="S1223" s="59" t="str">
        <f>IF(Dati[[#This Row],[Categoria]]="Savings",0,"")</f>
        <v/>
      </c>
      <c r="T1223" s="59"/>
      <c r="U1223" s="59"/>
      <c r="V1223" s="59"/>
      <c r="W1223" s="59"/>
      <c r="X1223" s="59"/>
      <c r="Y1223" s="59"/>
      <c r="Z1223" s="59"/>
      <c r="AA1223" s="59"/>
      <c r="AB1223" s="59"/>
      <c r="AC1223" s="59"/>
      <c r="AD1223" s="59"/>
      <c r="AE1223" s="59"/>
      <c r="AF1223" s="59"/>
      <c r="AG1223" s="59"/>
      <c r="AH1223" s="59"/>
      <c r="AI1223" s="59" t="str">
        <f>IF(SUM(Dati[[#This Row],[Inv. Business]:[Inv. Cryptocurrency]])=0," ",SUM(Dati[[#This Row],[Inv. Business]:[Inv. Cryptocurrency]]))</f>
        <v xml:space="preserve"> </v>
      </c>
      <c r="AJ1223" s="59"/>
      <c r="AK1223" s="59" t="str">
        <f>IF(SUM(Dati[[#This Row],[Inv. Gold]:[Mutuo]])=0," ",SUM(Dati[[#This Row],[Inv. Gold]:[Mutuo]]))</f>
        <v xml:space="preserve"> </v>
      </c>
      <c r="AL1223" s="59"/>
      <c r="AM1223" s="59"/>
    </row>
    <row r="1224" spans="2:39" x14ac:dyDescent="0.35">
      <c r="B1224" s="237">
        <f t="shared" si="87"/>
        <v>1199</v>
      </c>
      <c r="C1224" s="49">
        <f t="shared" si="85"/>
        <v>45820</v>
      </c>
      <c r="D1224" s="29">
        <f>DAY(Dati[[#This Row],[Data]])</f>
        <v>12</v>
      </c>
      <c r="E1224" s="29" t="str">
        <f>IF(DAY(Data!$C$21:$C$1327)&gt;0,TEXT(Data!$C$21:$C$1327, "mmmm"),"")</f>
        <v>giugno</v>
      </c>
      <c r="F1224" s="29" t="str">
        <f>IF(DAY(Data!$C$21:$C$1327)&gt;0,TEXT(Data!$C$21:$C$1327, "aaaa"),"")</f>
        <v>2025</v>
      </c>
      <c r="I1224" t="str">
        <f>IF(OR(H1224=$B$5,H1224=$B$6,H1224=$B$7,H1224=$B$8,H1224=$B$9,H1224=$B$10,H1224=$B$11,H1224=$B$12,H1224=$B$13,H1224=$B$14),SottocategorieUscite[[#Headers],[Fuori Casa]],IF(OR(H1224=$C$5,H1224=$C$6,H1224=$C$7,H1224=$C$8,H1224=$C$9,H1224=$C$10,H1224=$C$11,H1224=$C$12,H1224=$C$13,H1224=$C$14),SottocategorieUscite[[#Headers],[Varie Uscite]],IF(OR(H1224=$D$5,H1224=$D$6,H1224=$D$7,H1224=$D$8,H1224=$D$9,H1224=$D$10,H1224=$D$11,H1224=$D$12,H1224=$D$13,H1224=$D$14),SottocategorieUscite[[#Headers],[Personali]],IF(OR(H1224=$E$5,H1224=$E$6,H1224=$E$7,H1224=$E$8,H1224=$E$9,H1224=$E$10,H1224=$E$11,H1224=$E$12,H1224=$E$13,H1224=$E$14),SottocategorieUscite[[#Headers],[Lavoro]],IF(OR(H1224=$F$5,H1224=$F$6,H1224=$F$7,H1224=$F$8,H1224=$F$9,H1224=$F$10,H1224=$F$11,H1224=$F$12,H1224=$F$13,H1224=$F$14),SottocategorieUscite[[#Headers],[Casa]],IF(OR(H1224=$G$5,H1224=$G$6,H1224=$G$7,H1224=$G$8,H1224=$G$9,H1224=$G$10,H1224=$G$11,H1224=$G$12,H1224=$G$13,H1224=$G$14),SottocategorieUscite[[#Headers],[Utenze]],IF(OR(H1224=$H$5,H1224=$H$6,H1224=$H$7,H1224=$H$8,H1224=$H$9,H1224=$H$10,H1224=$H$11,H1224=$H$12,H1224=$H$13,H1224=$H$14),SottocategorieUscite[[#Headers],[Business Uscite]],IF(OR(H1224=$I$5,H1224=$I$6,H1224=$I$7,H1224=$I$8,H1224=$I$9,H1224=$I$10,H1224=$I$11,H1224=$I$12,H1224=$I$13,H1224=$I$14),SottocategorieUscite[[#Headers],[Banca]],IF(OR(H1224=K$5,H1224=K$6,H1224=K$7,H1224=K$8,H1224=K$9,H1224=K$10,H1224=K$11,H1224=K$12,H1224=K$13,H1224=K$14),SottocategorieEntrate[[#Headers],[Business Entrate]],IF(OR(H1224=L$5,H1224=L$6,H1224=L$7,H1224=L$8,H1224=L$9,H1224=L$10,H1224=L$11,H1224=L$12,H1224=L$13,H1224=L$14),SottocategorieEntrate[[#Headers],[Varie Entrate]],IF(OR(H1224=M$5,H1224=M$6,H1224=M$7,H1224=M$8,H1224=M$9,H1224=M$10,H1224=M$11,H1224=M$12,H1224=M$13,H1224=M$14),SottocategorieEntrate[[#Headers],[Real Estate]],IF(OR(H1224=N$5,H1224=N$6,H1224=N$7,H1224=N$8,H1224=N$9,H1224=N$10,H1224=N$11,H1224=N$12,H1224=N$13,H1224=N$14),SottocategorieEntrate[[#Headers],[Other]],""))))))))))))</f>
        <v/>
      </c>
      <c r="J1224" t="str">
        <f>IF(OR(Dati[[#This Row],[Categoria]]="Bollette",Dati[[#This Row],[Categoria]]="Conto &amp; Carte BNL",Dati[[#This Row],[Categoria]]="Prelievo",Dati[[#This Row],[Categoria]]="Affitto",Dati[[#This Row],[Categoria]]="BNL(Interessi Creditori)"),"Carta",IF(Dati[[#This Row],[Categoria]]&lt;&gt;0,"Cash",""))</f>
        <v/>
      </c>
      <c r="K1224" s="59" t="str">
        <f>IF(OR(Data!$I1224=SottocategorieUscite[[#Headers],[Fuori Casa]],Data!$I1224=SottocategorieUscite[[#Headers],[Varie Uscite]],Data!$I1224=SottocategorieUscite[[#Headers],[Personali]],Data!$I1224=SottocategorieUscite[[#Headers],[Lavoro]]),"$ -","")</f>
        <v/>
      </c>
      <c r="L1224" s="59" t="str">
        <f>IF(OR(Data!$I1224=SottocategorieUscite[[#Headers],[Casa]],Data!$I1224=SottocategorieUscite[[#Headers],[Utenze]],Data!$I1224=SottocategorieUscite[[#Headers],[Business Uscite]],Data!$I1224=SottocategorieUscite[[#Headers],[Banca]]),"$ -","")</f>
        <v/>
      </c>
      <c r="M1224" s="59" t="str">
        <f>IF(OR($I1224&lt;&gt;SottocategorieUscite[[#Headers],[Fuori Casa]],$I1224&lt;&gt;SottocategorieUscite[[#Headers],[Varie Uscite]],$I1224&lt;&gt;SottocategorieUscite[[#Headers],[Personali]],$I1224&lt;&gt;SottocategorieUscite[[#Headers],[Lavoro]],$I1224&lt;&gt;SottocategorieUscite[[#Headers],[Casa]],$I1224&lt;&gt;SottocategorieUscite[[#Headers],[Utenze]],$I1224&lt;&gt;SottocategorieUscite[[#Headers],[Business Uscite]],$I1224&lt;&gt;SottocategorieUscite[[#Headers],[Banca]]),"","$ -")</f>
        <v/>
      </c>
      <c r="N1224" s="59" t="str">
        <f>IF(OR(Data!$I1224=SottocategorieEntrate[[#Headers],[Business Entrate]],Data!$I1224=SottocategorieEntrate[[#Headers],[Varie Entrate]]),"$ -","")</f>
        <v/>
      </c>
      <c r="O1224" s="59" t="str">
        <f>IF(OR(Data!$I1224=SottocategorieEntrate[[#Headers],[Real Estate]],SottocategorieEntrate[[#Headers],[Other]]),"$ -","")</f>
        <v/>
      </c>
      <c r="P1224" s="59" t="str">
        <f>IF(OR($I1224&lt;&gt;SottocategorieEntrate[[#Headers],[Business Entrate]],$I1224&lt;&gt;SottocategorieEntrate[[#Headers],[Varie Entrate]],$I1224&lt;&gt;SottocategorieEntrate[[#Headers],[Real Estate]],$I1224&lt;&gt;SottocategorieEntrate[[#Headers],[Other]]),"","$ -")</f>
        <v/>
      </c>
      <c r="Q1224" s="59" t="str">
        <f>IF(Dati[[#This Row],[Categoria]]="Prelievo","€ -","")</f>
        <v/>
      </c>
      <c r="R1224" s="244"/>
      <c r="S1224" s="59" t="str">
        <f>IF(Dati[[#This Row],[Categoria]]="Savings",0,"")</f>
        <v/>
      </c>
      <c r="T1224" s="59"/>
      <c r="U1224" s="59"/>
      <c r="V1224" s="59"/>
      <c r="W1224" s="59"/>
      <c r="X1224" s="59"/>
      <c r="Y1224" s="59"/>
      <c r="Z1224" s="59"/>
      <c r="AA1224" s="59"/>
      <c r="AB1224" s="59"/>
      <c r="AC1224" s="59"/>
      <c r="AD1224" s="59"/>
      <c r="AE1224" s="59"/>
      <c r="AF1224" s="59"/>
      <c r="AG1224" s="59"/>
      <c r="AH1224" s="59"/>
      <c r="AI1224" s="59" t="str">
        <f>IF(SUM(Dati[[#This Row],[Inv. Business]:[Inv. Cryptocurrency]])=0," ",SUM(Dati[[#This Row],[Inv. Business]:[Inv. Cryptocurrency]]))</f>
        <v xml:space="preserve"> </v>
      </c>
      <c r="AJ1224" s="59"/>
      <c r="AK1224" s="59" t="str">
        <f>IF(SUM(Dati[[#This Row],[Inv. Gold]:[Mutuo]])=0," ",SUM(Dati[[#This Row],[Inv. Gold]:[Mutuo]]))</f>
        <v xml:space="preserve"> </v>
      </c>
      <c r="AL1224" s="59"/>
      <c r="AM1224" s="59"/>
    </row>
    <row r="1225" spans="2:39" x14ac:dyDescent="0.35">
      <c r="B1225" s="237">
        <f t="shared" si="87"/>
        <v>1200</v>
      </c>
      <c r="C1225" s="49">
        <f t="shared" si="85"/>
        <v>45821</v>
      </c>
      <c r="D1225" s="29">
        <f>DAY(Dati[[#This Row],[Data]])</f>
        <v>13</v>
      </c>
      <c r="E1225" s="29" t="str">
        <f>IF(DAY(Data!$C$21:$C$1327)&gt;0,TEXT(Data!$C$21:$C$1327, "mmmm"),"")</f>
        <v>giugno</v>
      </c>
      <c r="F1225" s="29" t="str">
        <f>IF(DAY(Data!$C$21:$C$1327)&gt;0,TEXT(Data!$C$21:$C$1327, "aaaa"),"")</f>
        <v>2025</v>
      </c>
      <c r="I1225" t="str">
        <f>IF(OR(H1225=$B$5,H1225=$B$6,H1225=$B$7,H1225=$B$8,H1225=$B$9,H1225=$B$10,H1225=$B$11,H1225=$B$12,H1225=$B$13,H1225=$B$14),SottocategorieUscite[[#Headers],[Fuori Casa]],IF(OR(H1225=$C$5,H1225=$C$6,H1225=$C$7,H1225=$C$8,H1225=$C$9,H1225=$C$10,H1225=$C$11,H1225=$C$12,H1225=$C$13,H1225=$C$14),SottocategorieUscite[[#Headers],[Varie Uscite]],IF(OR(H1225=$D$5,H1225=$D$6,H1225=$D$7,H1225=$D$8,H1225=$D$9,H1225=$D$10,H1225=$D$11,H1225=$D$12,H1225=$D$13,H1225=$D$14),SottocategorieUscite[[#Headers],[Personali]],IF(OR(H1225=$E$5,H1225=$E$6,H1225=$E$7,H1225=$E$8,H1225=$E$9,H1225=$E$10,H1225=$E$11,H1225=$E$12,H1225=$E$13,H1225=$E$14),SottocategorieUscite[[#Headers],[Lavoro]],IF(OR(H1225=$F$5,H1225=$F$6,H1225=$F$7,H1225=$F$8,H1225=$F$9,H1225=$F$10,H1225=$F$11,H1225=$F$12,H1225=$F$13,H1225=$F$14),SottocategorieUscite[[#Headers],[Casa]],IF(OR(H1225=$G$5,H1225=$G$6,H1225=$G$7,H1225=$G$8,H1225=$G$9,H1225=$G$10,H1225=$G$11,H1225=$G$12,H1225=$G$13,H1225=$G$14),SottocategorieUscite[[#Headers],[Utenze]],IF(OR(H1225=$H$5,H1225=$H$6,H1225=$H$7,H1225=$H$8,H1225=$H$9,H1225=$H$10,H1225=$H$11,H1225=$H$12,H1225=$H$13,H1225=$H$14),SottocategorieUscite[[#Headers],[Business Uscite]],IF(OR(H1225=$I$5,H1225=$I$6,H1225=$I$7,H1225=$I$8,H1225=$I$9,H1225=$I$10,H1225=$I$11,H1225=$I$12,H1225=$I$13,H1225=$I$14),SottocategorieUscite[[#Headers],[Banca]],IF(OR(H1225=K$5,H1225=K$6,H1225=K$7,H1225=K$8,H1225=K$9,H1225=K$10,H1225=K$11,H1225=K$12,H1225=K$13,H1225=K$14),SottocategorieEntrate[[#Headers],[Business Entrate]],IF(OR(H1225=L$5,H1225=L$6,H1225=L$7,H1225=L$8,H1225=L$9,H1225=L$10,H1225=L$11,H1225=L$12,H1225=L$13,H1225=L$14),SottocategorieEntrate[[#Headers],[Varie Entrate]],IF(OR(H1225=M$5,H1225=M$6,H1225=M$7,H1225=M$8,H1225=M$9,H1225=M$10,H1225=M$11,H1225=M$12,H1225=M$13,H1225=M$14),SottocategorieEntrate[[#Headers],[Real Estate]],IF(OR(H1225=N$5,H1225=N$6,H1225=N$7,H1225=N$8,H1225=N$9,H1225=N$10,H1225=N$11,H1225=N$12,H1225=N$13,H1225=N$14),SottocategorieEntrate[[#Headers],[Other]],""))))))))))))</f>
        <v/>
      </c>
      <c r="J1225" t="str">
        <f>IF(OR(Dati[[#This Row],[Categoria]]="Bollette",Dati[[#This Row],[Categoria]]="Conto &amp; Carte BNL",Dati[[#This Row],[Categoria]]="Prelievo",Dati[[#This Row],[Categoria]]="Affitto",Dati[[#This Row],[Categoria]]="BNL(Interessi Creditori)"),"Carta",IF(Dati[[#This Row],[Categoria]]&lt;&gt;0,"Cash",""))</f>
        <v/>
      </c>
      <c r="K1225" s="59" t="str">
        <f>IF(OR(Data!$I1225=SottocategorieUscite[[#Headers],[Fuori Casa]],Data!$I1225=SottocategorieUscite[[#Headers],[Varie Uscite]],Data!$I1225=SottocategorieUscite[[#Headers],[Personali]],Data!$I1225=SottocategorieUscite[[#Headers],[Lavoro]]),"$ -","")</f>
        <v/>
      </c>
      <c r="L1225" s="59" t="str">
        <f>IF(OR(Data!$I1225=SottocategorieUscite[[#Headers],[Casa]],Data!$I1225=SottocategorieUscite[[#Headers],[Utenze]],Data!$I1225=SottocategorieUscite[[#Headers],[Business Uscite]],Data!$I1225=SottocategorieUscite[[#Headers],[Banca]]),"$ -","")</f>
        <v/>
      </c>
      <c r="M1225" s="59" t="str">
        <f>IF(OR($I1225&lt;&gt;SottocategorieUscite[[#Headers],[Fuori Casa]],$I1225&lt;&gt;SottocategorieUscite[[#Headers],[Varie Uscite]],$I1225&lt;&gt;SottocategorieUscite[[#Headers],[Personali]],$I1225&lt;&gt;SottocategorieUscite[[#Headers],[Lavoro]],$I1225&lt;&gt;SottocategorieUscite[[#Headers],[Casa]],$I1225&lt;&gt;SottocategorieUscite[[#Headers],[Utenze]],$I1225&lt;&gt;SottocategorieUscite[[#Headers],[Business Uscite]],$I1225&lt;&gt;SottocategorieUscite[[#Headers],[Banca]]),"","$ -")</f>
        <v/>
      </c>
      <c r="N1225" s="59" t="str">
        <f>IF(OR(Data!$I1225=SottocategorieEntrate[[#Headers],[Business Entrate]],Data!$I1225=SottocategorieEntrate[[#Headers],[Varie Entrate]]),"$ -","")</f>
        <v/>
      </c>
      <c r="O1225" s="59" t="str">
        <f>IF(OR(Data!$I1225=SottocategorieEntrate[[#Headers],[Real Estate]],SottocategorieEntrate[[#Headers],[Other]]),"$ -","")</f>
        <v/>
      </c>
      <c r="P1225" s="59" t="str">
        <f>IF(OR($I1225&lt;&gt;SottocategorieEntrate[[#Headers],[Business Entrate]],$I1225&lt;&gt;SottocategorieEntrate[[#Headers],[Varie Entrate]],$I1225&lt;&gt;SottocategorieEntrate[[#Headers],[Real Estate]],$I1225&lt;&gt;SottocategorieEntrate[[#Headers],[Other]]),"","$ -")</f>
        <v/>
      </c>
      <c r="Q1225" s="59" t="str">
        <f>IF(Dati[[#This Row],[Categoria]]="Prelievo","€ -","")</f>
        <v/>
      </c>
      <c r="R1225" s="244"/>
      <c r="S1225" s="59" t="str">
        <f>IF(Dati[[#This Row],[Categoria]]="Savings",0,"")</f>
        <v/>
      </c>
      <c r="T1225" s="59"/>
      <c r="U1225" s="59"/>
      <c r="V1225" s="59"/>
      <c r="W1225" s="59"/>
      <c r="X1225" s="59"/>
      <c r="Y1225" s="59"/>
      <c r="Z1225" s="59"/>
      <c r="AA1225" s="59"/>
      <c r="AB1225" s="59"/>
      <c r="AC1225" s="59"/>
      <c r="AD1225" s="59"/>
      <c r="AE1225" s="59"/>
      <c r="AF1225" s="59"/>
      <c r="AG1225" s="59"/>
      <c r="AH1225" s="59"/>
      <c r="AI1225" s="59" t="str">
        <f>IF(SUM(Dati[[#This Row],[Inv. Business]:[Inv. Cryptocurrency]])=0," ",SUM(Dati[[#This Row],[Inv. Business]:[Inv. Cryptocurrency]]))</f>
        <v xml:space="preserve"> </v>
      </c>
      <c r="AJ1225" s="59"/>
      <c r="AK1225" s="59" t="str">
        <f>IF(SUM(Dati[[#This Row],[Inv. Gold]:[Mutuo]])=0," ",SUM(Dati[[#This Row],[Inv. Gold]:[Mutuo]]))</f>
        <v xml:space="preserve"> </v>
      </c>
      <c r="AL1225" s="59"/>
      <c r="AM1225" s="59"/>
    </row>
    <row r="1226" spans="2:39" x14ac:dyDescent="0.35">
      <c r="B1226" s="237">
        <f>ROW(1200:1200)</f>
        <v>1200</v>
      </c>
      <c r="C1226" s="49">
        <f>C1224+1</f>
        <v>45821</v>
      </c>
      <c r="D1226" s="29">
        <f>DAY(Dati[[#This Row],[Data]])</f>
        <v>13</v>
      </c>
      <c r="E1226" s="29" t="str">
        <f>IF(DAY(Data!$C$21:$C$1327)&gt;0,TEXT(Data!$C$21:$C$1327, "mmmm"),"")</f>
        <v>giugno</v>
      </c>
      <c r="F1226" s="29" t="str">
        <f>IF(DAY(Data!$C$21:$C$1327)&gt;0,TEXT(Data!$C$21:$C$1327, "aaaa"),"")</f>
        <v>2025</v>
      </c>
      <c r="I1226" t="str">
        <f>IF(OR(H1226=$B$5,H1226=$B$6,H1226=$B$7,H1226=$B$8,H1226=$B$9,H1226=$B$10,H1226=$B$11,H1226=$B$12,H1226=$B$13,H1226=$B$14),SottocategorieUscite[[#Headers],[Fuori Casa]],IF(OR(H1226=$C$5,H1226=$C$6,H1226=$C$7,H1226=$C$8,H1226=$C$9,H1226=$C$10,H1226=$C$11,H1226=$C$12,H1226=$C$13,H1226=$C$14),SottocategorieUscite[[#Headers],[Varie Uscite]],IF(OR(H1226=$D$5,H1226=$D$6,H1226=$D$7,H1226=$D$8,H1226=$D$9,H1226=$D$10,H1226=$D$11,H1226=$D$12,H1226=$D$13,H1226=$D$14),SottocategorieUscite[[#Headers],[Personali]],IF(OR(H1226=$E$5,H1226=$E$6,H1226=$E$7,H1226=$E$8,H1226=$E$9,H1226=$E$10,H1226=$E$11,H1226=$E$12,H1226=$E$13,H1226=$E$14),SottocategorieUscite[[#Headers],[Lavoro]],IF(OR(H1226=$F$5,H1226=$F$6,H1226=$F$7,H1226=$F$8,H1226=$F$9,H1226=$F$10,H1226=$F$11,H1226=$F$12,H1226=$F$13,H1226=$F$14),SottocategorieUscite[[#Headers],[Casa]],IF(OR(H1226=$G$5,H1226=$G$6,H1226=$G$7,H1226=$G$8,H1226=$G$9,H1226=$G$10,H1226=$G$11,H1226=$G$12,H1226=$G$13,H1226=$G$14),SottocategorieUscite[[#Headers],[Utenze]],IF(OR(H1226=$H$5,H1226=$H$6,H1226=$H$7,H1226=$H$8,H1226=$H$9,H1226=$H$10,H1226=$H$11,H1226=$H$12,H1226=$H$13,H1226=$H$14),SottocategorieUscite[[#Headers],[Business Uscite]],IF(OR(H1226=$I$5,H1226=$I$6,H1226=$I$7,H1226=$I$8,H1226=$I$9,H1226=$I$10,H1226=$I$11,H1226=$I$12,H1226=$I$13,H1226=$I$14),SottocategorieUscite[[#Headers],[Banca]],IF(OR(H1226=K$5,H1226=K$6,H1226=K$7,H1226=K$8,H1226=K$9,H1226=K$10,H1226=K$11,H1226=K$12,H1226=K$13,H1226=K$14),SottocategorieEntrate[[#Headers],[Business Entrate]],IF(OR(H1226=L$5,H1226=L$6,H1226=L$7,H1226=L$8,H1226=L$9,H1226=L$10,H1226=L$11,H1226=L$12,H1226=L$13,H1226=L$14),SottocategorieEntrate[[#Headers],[Varie Entrate]],IF(OR(H1226=M$5,H1226=M$6,H1226=M$7,H1226=M$8,H1226=M$9,H1226=M$10,H1226=M$11,H1226=M$12,H1226=M$13,H1226=M$14),SottocategorieEntrate[[#Headers],[Real Estate]],IF(OR(H1226=N$5,H1226=N$6,H1226=N$7,H1226=N$8,H1226=N$9,H1226=N$10,H1226=N$11,H1226=N$12,H1226=N$13,H1226=N$14),SottocategorieEntrate[[#Headers],[Other]],""))))))))))))</f>
        <v/>
      </c>
      <c r="J1226" t="str">
        <f>IF(OR(Dati[[#This Row],[Categoria]]="Bollette",Dati[[#This Row],[Categoria]]="Conto &amp; Carte BNL",Dati[[#This Row],[Categoria]]="Prelievo",Dati[[#This Row],[Categoria]]="Affitto",Dati[[#This Row],[Categoria]]="BNL(Interessi Creditori)"),"Carta",IF(Dati[[#This Row],[Categoria]]&lt;&gt;0,"Cash",""))</f>
        <v/>
      </c>
      <c r="K1226" s="59" t="str">
        <f>IF(OR(Data!$I1226=SottocategorieUscite[[#Headers],[Fuori Casa]],Data!$I1226=SottocategorieUscite[[#Headers],[Varie Uscite]],Data!$I1226=SottocategorieUscite[[#Headers],[Personali]],Data!$I1226=SottocategorieUscite[[#Headers],[Lavoro]]),"$ -","")</f>
        <v/>
      </c>
      <c r="L1226" s="59" t="str">
        <f>IF(OR(Data!$I1226=SottocategorieUscite[[#Headers],[Casa]],Data!$I1226=SottocategorieUscite[[#Headers],[Utenze]],Data!$I1226=SottocategorieUscite[[#Headers],[Business Uscite]],Data!$I1226=SottocategorieUscite[[#Headers],[Banca]]),"$ -","")</f>
        <v/>
      </c>
      <c r="M1226" s="59" t="str">
        <f>IF(OR($I1226&lt;&gt;SottocategorieUscite[[#Headers],[Fuori Casa]],$I1226&lt;&gt;SottocategorieUscite[[#Headers],[Varie Uscite]],$I1226&lt;&gt;SottocategorieUscite[[#Headers],[Personali]],$I1226&lt;&gt;SottocategorieUscite[[#Headers],[Lavoro]],$I1226&lt;&gt;SottocategorieUscite[[#Headers],[Casa]],$I1226&lt;&gt;SottocategorieUscite[[#Headers],[Utenze]],$I1226&lt;&gt;SottocategorieUscite[[#Headers],[Business Uscite]],$I1226&lt;&gt;SottocategorieUscite[[#Headers],[Banca]]),"","$ -")</f>
        <v/>
      </c>
      <c r="N1226" s="59" t="str">
        <f>IF(OR(Data!$I1226=SottocategorieEntrate[[#Headers],[Business Entrate]],Data!$I1226=SottocategorieEntrate[[#Headers],[Varie Entrate]]),"$ -","")</f>
        <v/>
      </c>
      <c r="O1226" s="59" t="str">
        <f>IF(OR(Data!$I1226=SottocategorieEntrate[[#Headers],[Real Estate]],SottocategorieEntrate[[#Headers],[Other]]),"$ -","")</f>
        <v/>
      </c>
      <c r="P1226" s="59" t="str">
        <f>IF(OR($I1226&lt;&gt;SottocategorieEntrate[[#Headers],[Business Entrate]],$I1226&lt;&gt;SottocategorieEntrate[[#Headers],[Varie Entrate]],$I1226&lt;&gt;SottocategorieEntrate[[#Headers],[Real Estate]],$I1226&lt;&gt;SottocategorieEntrate[[#Headers],[Other]]),"","$ -")</f>
        <v/>
      </c>
      <c r="Q1226" s="59" t="str">
        <f>IF(Dati[[#This Row],[Categoria]]="Prelievo","€ -","")</f>
        <v/>
      </c>
      <c r="R1226" s="244"/>
      <c r="S1226" s="59" t="str">
        <f>IF(Dati[[#This Row],[Categoria]]="Savings",0,"")</f>
        <v/>
      </c>
      <c r="T1226" s="59"/>
      <c r="U1226" s="59"/>
      <c r="V1226" s="59"/>
      <c r="W1226" s="59"/>
      <c r="X1226" s="59"/>
      <c r="Y1226" s="59"/>
      <c r="Z1226" s="59"/>
      <c r="AA1226" s="59"/>
      <c r="AB1226" s="59"/>
      <c r="AC1226" s="59"/>
      <c r="AD1226" s="59"/>
      <c r="AE1226" s="59"/>
      <c r="AF1226" s="59"/>
      <c r="AG1226" s="59"/>
      <c r="AH1226" s="59"/>
      <c r="AI1226" s="59" t="str">
        <f>IF(SUM(Dati[[#This Row],[Inv. Business]:[Inv. Cryptocurrency]])=0," ",SUM(Dati[[#This Row],[Inv. Business]:[Inv. Cryptocurrency]]))</f>
        <v xml:space="preserve"> </v>
      </c>
      <c r="AJ1226" s="59"/>
      <c r="AK1226" s="59" t="str">
        <f>IF(SUM(Dati[[#This Row],[Inv. Gold]:[Mutuo]])=0," ",SUM(Dati[[#This Row],[Inv. Gold]:[Mutuo]]))</f>
        <v xml:space="preserve"> </v>
      </c>
      <c r="AL1226" s="59"/>
      <c r="AM1226" s="59"/>
    </row>
    <row r="1227" spans="2:39" x14ac:dyDescent="0.35">
      <c r="B1227" s="237">
        <f>ROW(1200:1200)</f>
        <v>1200</v>
      </c>
      <c r="C1227" s="49">
        <f>C1224+1</f>
        <v>45821</v>
      </c>
      <c r="D1227" s="29">
        <f>DAY(Dati[[#This Row],[Data]])</f>
        <v>13</v>
      </c>
      <c r="E1227" s="29" t="str">
        <f>IF(DAY(Data!$C$21:$C$1327)&gt;0,TEXT(Data!$C$21:$C$1327, "mmmm"),"")</f>
        <v>giugno</v>
      </c>
      <c r="F1227" s="29" t="str">
        <f>IF(DAY(Data!$C$21:$C$1327)&gt;0,TEXT(Data!$C$21:$C$1327, "aaaa"),"")</f>
        <v>2025</v>
      </c>
      <c r="I1227" t="str">
        <f>IF(OR(H1227=$B$5,H1227=$B$6,H1227=$B$7,H1227=$B$8,H1227=$B$9,H1227=$B$10,H1227=$B$11,H1227=$B$12,H1227=$B$13,H1227=$B$14),SottocategorieUscite[[#Headers],[Fuori Casa]],IF(OR(H1227=$C$5,H1227=$C$6,H1227=$C$7,H1227=$C$8,H1227=$C$9,H1227=$C$10,H1227=$C$11,H1227=$C$12,H1227=$C$13,H1227=$C$14),SottocategorieUscite[[#Headers],[Varie Uscite]],IF(OR(H1227=$D$5,H1227=$D$6,H1227=$D$7,H1227=$D$8,H1227=$D$9,H1227=$D$10,H1227=$D$11,H1227=$D$12,H1227=$D$13,H1227=$D$14),SottocategorieUscite[[#Headers],[Personali]],IF(OR(H1227=$E$5,H1227=$E$6,H1227=$E$7,H1227=$E$8,H1227=$E$9,H1227=$E$10,H1227=$E$11,H1227=$E$12,H1227=$E$13,H1227=$E$14),SottocategorieUscite[[#Headers],[Lavoro]],IF(OR(H1227=$F$5,H1227=$F$6,H1227=$F$7,H1227=$F$8,H1227=$F$9,H1227=$F$10,H1227=$F$11,H1227=$F$12,H1227=$F$13,H1227=$F$14),SottocategorieUscite[[#Headers],[Casa]],IF(OR(H1227=$G$5,H1227=$G$6,H1227=$G$7,H1227=$G$8,H1227=$G$9,H1227=$G$10,H1227=$G$11,H1227=$G$12,H1227=$G$13,H1227=$G$14),SottocategorieUscite[[#Headers],[Utenze]],IF(OR(H1227=$H$5,H1227=$H$6,H1227=$H$7,H1227=$H$8,H1227=$H$9,H1227=$H$10,H1227=$H$11,H1227=$H$12,H1227=$H$13,H1227=$H$14),SottocategorieUscite[[#Headers],[Business Uscite]],IF(OR(H1227=$I$5,H1227=$I$6,H1227=$I$7,H1227=$I$8,H1227=$I$9,H1227=$I$10,H1227=$I$11,H1227=$I$12,H1227=$I$13,H1227=$I$14),SottocategorieUscite[[#Headers],[Banca]],IF(OR(H1227=K$5,H1227=K$6,H1227=K$7,H1227=K$8,H1227=K$9,H1227=K$10,H1227=K$11,H1227=K$12,H1227=K$13,H1227=K$14),SottocategorieEntrate[[#Headers],[Business Entrate]],IF(OR(H1227=L$5,H1227=L$6,H1227=L$7,H1227=L$8,H1227=L$9,H1227=L$10,H1227=L$11,H1227=L$12,H1227=L$13,H1227=L$14),SottocategorieEntrate[[#Headers],[Varie Entrate]],IF(OR(H1227=M$5,H1227=M$6,H1227=M$7,H1227=M$8,H1227=M$9,H1227=M$10,H1227=M$11,H1227=M$12,H1227=M$13,H1227=M$14),SottocategorieEntrate[[#Headers],[Real Estate]],IF(OR(H1227=N$5,H1227=N$6,H1227=N$7,H1227=N$8,H1227=N$9,H1227=N$10,H1227=N$11,H1227=N$12,H1227=N$13,H1227=N$14),SottocategorieEntrate[[#Headers],[Other]],""))))))))))))</f>
        <v/>
      </c>
      <c r="J1227" t="str">
        <f>IF(OR(Dati[[#This Row],[Categoria]]="Bollette",Dati[[#This Row],[Categoria]]="Conto &amp; Carte BNL",Dati[[#This Row],[Categoria]]="Prelievo",Dati[[#This Row],[Categoria]]="Affitto",Dati[[#This Row],[Categoria]]="BNL(Interessi Creditori)"),"Carta",IF(Dati[[#This Row],[Categoria]]&lt;&gt;0,"Cash",""))</f>
        <v/>
      </c>
      <c r="K1227" s="59" t="str">
        <f>IF(OR(Data!$I1227=SottocategorieUscite[[#Headers],[Fuori Casa]],Data!$I1227=SottocategorieUscite[[#Headers],[Varie Uscite]],Data!$I1227=SottocategorieUscite[[#Headers],[Personali]],Data!$I1227=SottocategorieUscite[[#Headers],[Lavoro]]),"$ -","")</f>
        <v/>
      </c>
      <c r="L1227" s="59" t="str">
        <f>IF(OR(Data!$I1227=SottocategorieUscite[[#Headers],[Casa]],Data!$I1227=SottocategorieUscite[[#Headers],[Utenze]],Data!$I1227=SottocategorieUscite[[#Headers],[Business Uscite]],Data!$I1227=SottocategorieUscite[[#Headers],[Banca]]),"$ -","")</f>
        <v/>
      </c>
      <c r="M1227" s="59" t="str">
        <f>IF(OR($I1227&lt;&gt;SottocategorieUscite[[#Headers],[Fuori Casa]],$I1227&lt;&gt;SottocategorieUscite[[#Headers],[Varie Uscite]],$I1227&lt;&gt;SottocategorieUscite[[#Headers],[Personali]],$I1227&lt;&gt;SottocategorieUscite[[#Headers],[Lavoro]],$I1227&lt;&gt;SottocategorieUscite[[#Headers],[Casa]],$I1227&lt;&gt;SottocategorieUscite[[#Headers],[Utenze]],$I1227&lt;&gt;SottocategorieUscite[[#Headers],[Business Uscite]],$I1227&lt;&gt;SottocategorieUscite[[#Headers],[Banca]]),"","$ -")</f>
        <v/>
      </c>
      <c r="N1227" s="59" t="str">
        <f>IF(OR(Data!$I1227=SottocategorieEntrate[[#Headers],[Business Entrate]],Data!$I1227=SottocategorieEntrate[[#Headers],[Varie Entrate]]),"$ -","")</f>
        <v/>
      </c>
      <c r="O1227" s="59" t="str">
        <f>IF(OR(Data!$I1227=SottocategorieEntrate[[#Headers],[Real Estate]],SottocategorieEntrate[[#Headers],[Other]]),"$ -","")</f>
        <v/>
      </c>
      <c r="P1227" s="59" t="str">
        <f>IF(OR($I1227&lt;&gt;SottocategorieEntrate[[#Headers],[Business Entrate]],$I1227&lt;&gt;SottocategorieEntrate[[#Headers],[Varie Entrate]],$I1227&lt;&gt;SottocategorieEntrate[[#Headers],[Real Estate]],$I1227&lt;&gt;SottocategorieEntrate[[#Headers],[Other]]),"","$ -")</f>
        <v/>
      </c>
      <c r="Q1227" s="59" t="str">
        <f>IF(Dati[[#This Row],[Categoria]]="Prelievo","€ -","")</f>
        <v/>
      </c>
      <c r="R1227" s="244"/>
      <c r="S1227" s="59" t="str">
        <f>IF(Dati[[#This Row],[Categoria]]="Savings",0,"")</f>
        <v/>
      </c>
      <c r="T1227" s="59"/>
      <c r="U1227" s="59"/>
      <c r="V1227" s="59"/>
      <c r="W1227" s="59"/>
      <c r="X1227" s="59"/>
      <c r="Y1227" s="59"/>
      <c r="Z1227" s="59"/>
      <c r="AA1227" s="59"/>
      <c r="AB1227" s="59"/>
      <c r="AC1227" s="59"/>
      <c r="AD1227" s="59"/>
      <c r="AE1227" s="59"/>
      <c r="AF1227" s="59"/>
      <c r="AG1227" s="59"/>
      <c r="AH1227" s="59"/>
      <c r="AI1227" s="59" t="str">
        <f>IF(SUM(Dati[[#This Row],[Inv. Business]:[Inv. Cryptocurrency]])=0," ",SUM(Dati[[#This Row],[Inv. Business]:[Inv. Cryptocurrency]]))</f>
        <v xml:space="preserve"> </v>
      </c>
      <c r="AJ1227" s="59"/>
      <c r="AK1227" s="59" t="str">
        <f>IF(SUM(Dati[[#This Row],[Inv. Gold]:[Mutuo]])=0," ",SUM(Dati[[#This Row],[Inv. Gold]:[Mutuo]]))</f>
        <v xml:space="preserve"> </v>
      </c>
      <c r="AL1227" s="59"/>
      <c r="AM1227" s="59"/>
    </row>
    <row r="1228" spans="2:39" x14ac:dyDescent="0.35">
      <c r="B1228" s="237">
        <f>ROW(1201:1201)</f>
        <v>1201</v>
      </c>
      <c r="C1228" s="49">
        <f>C1225+1</f>
        <v>45822</v>
      </c>
      <c r="D1228" s="29">
        <f>DAY(Dati[[#This Row],[Data]])</f>
        <v>14</v>
      </c>
      <c r="E1228" s="29" t="str">
        <f>IF(DAY(Data!$C$21:$C$1327)&gt;0,TEXT(Data!$C$21:$C$1327, "mmmm"),"")</f>
        <v>giugno</v>
      </c>
      <c r="F1228" s="29" t="str">
        <f>IF(DAY(Data!$C$21:$C$1327)&gt;0,TEXT(Data!$C$21:$C$1327, "aaaa"),"")</f>
        <v>2025</v>
      </c>
      <c r="I1228" t="str">
        <f>IF(OR(H1228=$B$5,H1228=$B$6,H1228=$B$7,H1228=$B$8,H1228=$B$9,H1228=$B$10,H1228=$B$11,H1228=$B$12,H1228=$B$13,H1228=$B$14),SottocategorieUscite[[#Headers],[Fuori Casa]],IF(OR(H1228=$C$5,H1228=$C$6,H1228=$C$7,H1228=$C$8,H1228=$C$9,H1228=$C$10,H1228=$C$11,H1228=$C$12,H1228=$C$13,H1228=$C$14),SottocategorieUscite[[#Headers],[Varie Uscite]],IF(OR(H1228=$D$5,H1228=$D$6,H1228=$D$7,H1228=$D$8,H1228=$D$9,H1228=$D$10,H1228=$D$11,H1228=$D$12,H1228=$D$13,H1228=$D$14),SottocategorieUscite[[#Headers],[Personali]],IF(OR(H1228=$E$5,H1228=$E$6,H1228=$E$7,H1228=$E$8,H1228=$E$9,H1228=$E$10,H1228=$E$11,H1228=$E$12,H1228=$E$13,H1228=$E$14),SottocategorieUscite[[#Headers],[Lavoro]],IF(OR(H1228=$F$5,H1228=$F$6,H1228=$F$7,H1228=$F$8,H1228=$F$9,H1228=$F$10,H1228=$F$11,H1228=$F$12,H1228=$F$13,H1228=$F$14),SottocategorieUscite[[#Headers],[Casa]],IF(OR(H1228=$G$5,H1228=$G$6,H1228=$G$7,H1228=$G$8,H1228=$G$9,H1228=$G$10,H1228=$G$11,H1228=$G$12,H1228=$G$13,H1228=$G$14),SottocategorieUscite[[#Headers],[Utenze]],IF(OR(H1228=$H$5,H1228=$H$6,H1228=$H$7,H1228=$H$8,H1228=$H$9,H1228=$H$10,H1228=$H$11,H1228=$H$12,H1228=$H$13,H1228=$H$14),SottocategorieUscite[[#Headers],[Business Uscite]],IF(OR(H1228=$I$5,H1228=$I$6,H1228=$I$7,H1228=$I$8,H1228=$I$9,H1228=$I$10,H1228=$I$11,H1228=$I$12,H1228=$I$13,H1228=$I$14),SottocategorieUscite[[#Headers],[Banca]],IF(OR(H1228=K$5,H1228=K$6,H1228=K$7,H1228=K$8,H1228=K$9,H1228=K$10,H1228=K$11,H1228=K$12,H1228=K$13,H1228=K$14),SottocategorieEntrate[[#Headers],[Business Entrate]],IF(OR(H1228=L$5,H1228=L$6,H1228=L$7,H1228=L$8,H1228=L$9,H1228=L$10,H1228=L$11,H1228=L$12,H1228=L$13,H1228=L$14),SottocategorieEntrate[[#Headers],[Varie Entrate]],IF(OR(H1228=M$5,H1228=M$6,H1228=M$7,H1228=M$8,H1228=M$9,H1228=M$10,H1228=M$11,H1228=M$12,H1228=M$13,H1228=M$14),SottocategorieEntrate[[#Headers],[Real Estate]],IF(OR(H1228=N$5,H1228=N$6,H1228=N$7,H1228=N$8,H1228=N$9,H1228=N$10,H1228=N$11,H1228=N$12,H1228=N$13,H1228=N$14),SottocategorieEntrate[[#Headers],[Other]],""))))))))))))</f>
        <v/>
      </c>
      <c r="J1228" t="str">
        <f>IF(OR(Dati[[#This Row],[Categoria]]="Bollette",Dati[[#This Row],[Categoria]]="Conto &amp; Carte BNL",Dati[[#This Row],[Categoria]]="Prelievo",Dati[[#This Row],[Categoria]]="Affitto",Dati[[#This Row],[Categoria]]="BNL(Interessi Creditori)"),"Carta",IF(Dati[[#This Row],[Categoria]]&lt;&gt;0,"Cash",""))</f>
        <v/>
      </c>
      <c r="K1228" s="59" t="str">
        <f>IF(OR(Data!$I1228=SottocategorieUscite[[#Headers],[Fuori Casa]],Data!$I1228=SottocategorieUscite[[#Headers],[Varie Uscite]],Data!$I1228=SottocategorieUscite[[#Headers],[Personali]],Data!$I1228=SottocategorieUscite[[#Headers],[Lavoro]]),"$ -","")</f>
        <v/>
      </c>
      <c r="L1228" s="59" t="str">
        <f>IF(OR(Data!$I1228=SottocategorieUscite[[#Headers],[Casa]],Data!$I1228=SottocategorieUscite[[#Headers],[Utenze]],Data!$I1228=SottocategorieUscite[[#Headers],[Business Uscite]],Data!$I1228=SottocategorieUscite[[#Headers],[Banca]]),"$ -","")</f>
        <v/>
      </c>
      <c r="M1228" s="59" t="str">
        <f>IF(OR($I1228&lt;&gt;SottocategorieUscite[[#Headers],[Fuori Casa]],$I1228&lt;&gt;SottocategorieUscite[[#Headers],[Varie Uscite]],$I1228&lt;&gt;SottocategorieUscite[[#Headers],[Personali]],$I1228&lt;&gt;SottocategorieUscite[[#Headers],[Lavoro]],$I1228&lt;&gt;SottocategorieUscite[[#Headers],[Casa]],$I1228&lt;&gt;SottocategorieUscite[[#Headers],[Utenze]],$I1228&lt;&gt;SottocategorieUscite[[#Headers],[Business Uscite]],$I1228&lt;&gt;SottocategorieUscite[[#Headers],[Banca]]),"","$ -")</f>
        <v/>
      </c>
      <c r="N1228" s="59" t="str">
        <f>IF(OR(Data!$I1228=SottocategorieEntrate[[#Headers],[Business Entrate]],Data!$I1228=SottocategorieEntrate[[#Headers],[Varie Entrate]]),"$ -","")</f>
        <v/>
      </c>
      <c r="O1228" s="59" t="str">
        <f>IF(OR(Data!$I1228=SottocategorieEntrate[[#Headers],[Real Estate]],SottocategorieEntrate[[#Headers],[Other]]),"$ -","")</f>
        <v/>
      </c>
      <c r="P1228" s="59" t="str">
        <f>IF(OR($I1228&lt;&gt;SottocategorieEntrate[[#Headers],[Business Entrate]],$I1228&lt;&gt;SottocategorieEntrate[[#Headers],[Varie Entrate]],$I1228&lt;&gt;SottocategorieEntrate[[#Headers],[Real Estate]],$I1228&lt;&gt;SottocategorieEntrate[[#Headers],[Other]]),"","$ -")</f>
        <v/>
      </c>
      <c r="Q1228" s="59" t="str">
        <f>IF(Dati[[#This Row],[Categoria]]="Prelievo","€ -","")</f>
        <v/>
      </c>
      <c r="R1228" s="244"/>
      <c r="S1228" s="59" t="str">
        <f>IF(Dati[[#This Row],[Categoria]]="Savings",0,"")</f>
        <v/>
      </c>
      <c r="T1228" s="59"/>
      <c r="U1228" s="59"/>
      <c r="V1228" s="59"/>
      <c r="W1228" s="59"/>
      <c r="X1228" s="59"/>
      <c r="Y1228" s="59"/>
      <c r="Z1228" s="59"/>
      <c r="AA1228" s="59"/>
      <c r="AB1228" s="59"/>
      <c r="AC1228" s="59"/>
      <c r="AD1228" s="59"/>
      <c r="AE1228" s="59"/>
      <c r="AF1228" s="59"/>
      <c r="AG1228" s="59"/>
      <c r="AH1228" s="59"/>
      <c r="AI1228" s="59" t="str">
        <f>IF(SUM(Dati[[#This Row],[Inv. Business]:[Inv. Cryptocurrency]])=0," ",SUM(Dati[[#This Row],[Inv. Business]:[Inv. Cryptocurrency]]))</f>
        <v xml:space="preserve"> </v>
      </c>
      <c r="AJ1228" s="59"/>
      <c r="AK1228" s="59" t="str">
        <f>IF(SUM(Dati[[#This Row],[Inv. Gold]:[Mutuo]])=0," ",SUM(Dati[[#This Row],[Inv. Gold]:[Mutuo]]))</f>
        <v xml:space="preserve"> </v>
      </c>
      <c r="AL1228" s="59"/>
      <c r="AM1228" s="59"/>
    </row>
    <row r="1229" spans="2:39" x14ac:dyDescent="0.35">
      <c r="B1229" s="237">
        <f>ROW(1201:1201)</f>
        <v>1201</v>
      </c>
      <c r="C1229" s="49">
        <f>C1227+1</f>
        <v>45822</v>
      </c>
      <c r="D1229" s="29">
        <f>DAY(Dati[[#This Row],[Data]])</f>
        <v>14</v>
      </c>
      <c r="E1229" s="29" t="str">
        <f>IF(DAY(Data!$C$21:$C$1327)&gt;0,TEXT(Data!$C$21:$C$1327, "mmmm"),"")</f>
        <v>giugno</v>
      </c>
      <c r="F1229" s="29" t="str">
        <f>IF(DAY(Data!$C$21:$C$1327)&gt;0,TEXT(Data!$C$21:$C$1327, "aaaa"),"")</f>
        <v>2025</v>
      </c>
      <c r="I1229" t="str">
        <f>IF(OR(H1229=$B$5,H1229=$B$6,H1229=$B$7,H1229=$B$8,H1229=$B$9,H1229=$B$10,H1229=$B$11,H1229=$B$12,H1229=$B$13,H1229=$B$14),SottocategorieUscite[[#Headers],[Fuori Casa]],IF(OR(H1229=$C$5,H1229=$C$6,H1229=$C$7,H1229=$C$8,H1229=$C$9,H1229=$C$10,H1229=$C$11,H1229=$C$12,H1229=$C$13,H1229=$C$14),SottocategorieUscite[[#Headers],[Varie Uscite]],IF(OR(H1229=$D$5,H1229=$D$6,H1229=$D$7,H1229=$D$8,H1229=$D$9,H1229=$D$10,H1229=$D$11,H1229=$D$12,H1229=$D$13,H1229=$D$14),SottocategorieUscite[[#Headers],[Personali]],IF(OR(H1229=$E$5,H1229=$E$6,H1229=$E$7,H1229=$E$8,H1229=$E$9,H1229=$E$10,H1229=$E$11,H1229=$E$12,H1229=$E$13,H1229=$E$14),SottocategorieUscite[[#Headers],[Lavoro]],IF(OR(H1229=$F$5,H1229=$F$6,H1229=$F$7,H1229=$F$8,H1229=$F$9,H1229=$F$10,H1229=$F$11,H1229=$F$12,H1229=$F$13,H1229=$F$14),SottocategorieUscite[[#Headers],[Casa]],IF(OR(H1229=$G$5,H1229=$G$6,H1229=$G$7,H1229=$G$8,H1229=$G$9,H1229=$G$10,H1229=$G$11,H1229=$G$12,H1229=$G$13,H1229=$G$14),SottocategorieUscite[[#Headers],[Utenze]],IF(OR(H1229=$H$5,H1229=$H$6,H1229=$H$7,H1229=$H$8,H1229=$H$9,H1229=$H$10,H1229=$H$11,H1229=$H$12,H1229=$H$13,H1229=$H$14),SottocategorieUscite[[#Headers],[Business Uscite]],IF(OR(H1229=$I$5,H1229=$I$6,H1229=$I$7,H1229=$I$8,H1229=$I$9,H1229=$I$10,H1229=$I$11,H1229=$I$12,H1229=$I$13,H1229=$I$14),SottocategorieUscite[[#Headers],[Banca]],IF(OR(H1229=K$5,H1229=K$6,H1229=K$7,H1229=K$8,H1229=K$9,H1229=K$10,H1229=K$11,H1229=K$12,H1229=K$13,H1229=K$14),SottocategorieEntrate[[#Headers],[Business Entrate]],IF(OR(H1229=L$5,H1229=L$6,H1229=L$7,H1229=L$8,H1229=L$9,H1229=L$10,H1229=L$11,H1229=L$12,H1229=L$13,H1229=L$14),SottocategorieEntrate[[#Headers],[Varie Entrate]],IF(OR(H1229=M$5,H1229=M$6,H1229=M$7,H1229=M$8,H1229=M$9,H1229=M$10,H1229=M$11,H1229=M$12,H1229=M$13,H1229=M$14),SottocategorieEntrate[[#Headers],[Real Estate]],IF(OR(H1229=N$5,H1229=N$6,H1229=N$7,H1229=N$8,H1229=N$9,H1229=N$10,H1229=N$11,H1229=N$12,H1229=N$13,H1229=N$14),SottocategorieEntrate[[#Headers],[Other]],""))))))))))))</f>
        <v/>
      </c>
      <c r="J1229" t="str">
        <f>IF(OR(Dati[[#This Row],[Categoria]]="Bollette",Dati[[#This Row],[Categoria]]="Conto &amp; Carte BNL",Dati[[#This Row],[Categoria]]="Prelievo",Dati[[#This Row],[Categoria]]="Affitto",Dati[[#This Row],[Categoria]]="BNL(Interessi Creditori)"),"Carta",IF(Dati[[#This Row],[Categoria]]&lt;&gt;0,"Cash",""))</f>
        <v/>
      </c>
      <c r="K1229" s="59" t="str">
        <f>IF(OR(Data!$I1229=SottocategorieUscite[[#Headers],[Fuori Casa]],Data!$I1229=SottocategorieUscite[[#Headers],[Varie Uscite]],Data!$I1229=SottocategorieUscite[[#Headers],[Personali]],Data!$I1229=SottocategorieUscite[[#Headers],[Lavoro]]),"$ -","")</f>
        <v/>
      </c>
      <c r="L1229" s="59" t="str">
        <f>IF(OR(Data!$I1229=SottocategorieUscite[[#Headers],[Casa]],Data!$I1229=SottocategorieUscite[[#Headers],[Utenze]],Data!$I1229=SottocategorieUscite[[#Headers],[Business Uscite]],Data!$I1229=SottocategorieUscite[[#Headers],[Banca]]),"$ -","")</f>
        <v/>
      </c>
      <c r="M1229" s="59" t="str">
        <f>IF(OR($I1229&lt;&gt;SottocategorieUscite[[#Headers],[Fuori Casa]],$I1229&lt;&gt;SottocategorieUscite[[#Headers],[Varie Uscite]],$I1229&lt;&gt;SottocategorieUscite[[#Headers],[Personali]],$I1229&lt;&gt;SottocategorieUscite[[#Headers],[Lavoro]],$I1229&lt;&gt;SottocategorieUscite[[#Headers],[Casa]],$I1229&lt;&gt;SottocategorieUscite[[#Headers],[Utenze]],$I1229&lt;&gt;SottocategorieUscite[[#Headers],[Business Uscite]],$I1229&lt;&gt;SottocategorieUscite[[#Headers],[Banca]]),"","$ -")</f>
        <v/>
      </c>
      <c r="N1229" s="59" t="str">
        <f>IF(OR(Data!$I1229=SottocategorieEntrate[[#Headers],[Business Entrate]],Data!$I1229=SottocategorieEntrate[[#Headers],[Varie Entrate]]),"$ -","")</f>
        <v/>
      </c>
      <c r="O1229" s="59" t="str">
        <f>IF(OR(Data!$I1229=SottocategorieEntrate[[#Headers],[Real Estate]],SottocategorieEntrate[[#Headers],[Other]]),"$ -","")</f>
        <v/>
      </c>
      <c r="P1229" s="59" t="str">
        <f>IF(OR($I1229&lt;&gt;SottocategorieEntrate[[#Headers],[Business Entrate]],$I1229&lt;&gt;SottocategorieEntrate[[#Headers],[Varie Entrate]],$I1229&lt;&gt;SottocategorieEntrate[[#Headers],[Real Estate]],$I1229&lt;&gt;SottocategorieEntrate[[#Headers],[Other]]),"","$ -")</f>
        <v/>
      </c>
      <c r="Q1229" s="59" t="str">
        <f>IF(Dati[[#This Row],[Categoria]]="Prelievo","€ -","")</f>
        <v/>
      </c>
      <c r="R1229" s="244"/>
      <c r="S1229" s="59" t="str">
        <f>IF(Dati[[#This Row],[Categoria]]="Savings",0,"")</f>
        <v/>
      </c>
      <c r="T1229" s="59"/>
      <c r="U1229" s="59"/>
      <c r="V1229" s="59"/>
      <c r="W1229" s="59"/>
      <c r="X1229" s="59"/>
      <c r="Y1229" s="59"/>
      <c r="Z1229" s="59"/>
      <c r="AA1229" s="59"/>
      <c r="AB1229" s="59"/>
      <c r="AC1229" s="59"/>
      <c r="AD1229" s="59"/>
      <c r="AE1229" s="59"/>
      <c r="AF1229" s="59"/>
      <c r="AG1229" s="59"/>
      <c r="AH1229" s="59"/>
      <c r="AI1229" s="59" t="str">
        <f>IF(SUM(Dati[[#This Row],[Inv. Business]:[Inv. Cryptocurrency]])=0," ",SUM(Dati[[#This Row],[Inv. Business]:[Inv. Cryptocurrency]]))</f>
        <v xml:space="preserve"> </v>
      </c>
      <c r="AJ1229" s="59"/>
      <c r="AK1229" s="59" t="str">
        <f>IF(SUM(Dati[[#This Row],[Inv. Gold]:[Mutuo]])=0," ",SUM(Dati[[#This Row],[Inv. Gold]:[Mutuo]]))</f>
        <v xml:space="preserve"> </v>
      </c>
      <c r="AL1229" s="59"/>
      <c r="AM1229" s="59"/>
    </row>
    <row r="1230" spans="2:39" x14ac:dyDescent="0.35">
      <c r="B1230" s="237">
        <f>ROW(1202:1202)</f>
        <v>1202</v>
      </c>
      <c r="C1230" s="49">
        <f>C1228+1</f>
        <v>45823</v>
      </c>
      <c r="D1230" s="29">
        <f>DAY(Dati[[#This Row],[Data]])</f>
        <v>15</v>
      </c>
      <c r="E1230" s="29" t="str">
        <f>IF(DAY(Data!$C$21:$C$1327)&gt;0,TEXT(Data!$C$21:$C$1327, "mmmm"),"")</f>
        <v>giugno</v>
      </c>
      <c r="F1230" s="29" t="str">
        <f>IF(DAY(Data!$C$21:$C$1327)&gt;0,TEXT(Data!$C$21:$C$1327, "aaaa"),"")</f>
        <v>2025</v>
      </c>
      <c r="I1230" t="str">
        <f>IF(OR(H1230=$B$5,H1230=$B$6,H1230=$B$7,H1230=$B$8,H1230=$B$9,H1230=$B$10,H1230=$B$11,H1230=$B$12,H1230=$B$13,H1230=$B$14),SottocategorieUscite[[#Headers],[Fuori Casa]],IF(OR(H1230=$C$5,H1230=$C$6,H1230=$C$7,H1230=$C$8,H1230=$C$9,H1230=$C$10,H1230=$C$11,H1230=$C$12,H1230=$C$13,H1230=$C$14),SottocategorieUscite[[#Headers],[Varie Uscite]],IF(OR(H1230=$D$5,H1230=$D$6,H1230=$D$7,H1230=$D$8,H1230=$D$9,H1230=$D$10,H1230=$D$11,H1230=$D$12,H1230=$D$13,H1230=$D$14),SottocategorieUscite[[#Headers],[Personali]],IF(OR(H1230=$E$5,H1230=$E$6,H1230=$E$7,H1230=$E$8,H1230=$E$9,H1230=$E$10,H1230=$E$11,H1230=$E$12,H1230=$E$13,H1230=$E$14),SottocategorieUscite[[#Headers],[Lavoro]],IF(OR(H1230=$F$5,H1230=$F$6,H1230=$F$7,H1230=$F$8,H1230=$F$9,H1230=$F$10,H1230=$F$11,H1230=$F$12,H1230=$F$13,H1230=$F$14),SottocategorieUscite[[#Headers],[Casa]],IF(OR(H1230=$G$5,H1230=$G$6,H1230=$G$7,H1230=$G$8,H1230=$G$9,H1230=$G$10,H1230=$G$11,H1230=$G$12,H1230=$G$13,H1230=$G$14),SottocategorieUscite[[#Headers],[Utenze]],IF(OR(H1230=$H$5,H1230=$H$6,H1230=$H$7,H1230=$H$8,H1230=$H$9,H1230=$H$10,H1230=$H$11,H1230=$H$12,H1230=$H$13,H1230=$H$14),SottocategorieUscite[[#Headers],[Business Uscite]],IF(OR(H1230=$I$5,H1230=$I$6,H1230=$I$7,H1230=$I$8,H1230=$I$9,H1230=$I$10,H1230=$I$11,H1230=$I$12,H1230=$I$13,H1230=$I$14),SottocategorieUscite[[#Headers],[Banca]],IF(OR(H1230=K$5,H1230=K$6,H1230=K$7,H1230=K$8,H1230=K$9,H1230=K$10,H1230=K$11,H1230=K$12,H1230=K$13,H1230=K$14),SottocategorieEntrate[[#Headers],[Business Entrate]],IF(OR(H1230=L$5,H1230=L$6,H1230=L$7,H1230=L$8,H1230=L$9,H1230=L$10,H1230=L$11,H1230=L$12,H1230=L$13,H1230=L$14),SottocategorieEntrate[[#Headers],[Varie Entrate]],IF(OR(H1230=M$5,H1230=M$6,H1230=M$7,H1230=M$8,H1230=M$9,H1230=M$10,H1230=M$11,H1230=M$12,H1230=M$13,H1230=M$14),SottocategorieEntrate[[#Headers],[Real Estate]],IF(OR(H1230=N$5,H1230=N$6,H1230=N$7,H1230=N$8,H1230=N$9,H1230=N$10,H1230=N$11,H1230=N$12,H1230=N$13,H1230=N$14),SottocategorieEntrate[[#Headers],[Other]],""))))))))))))</f>
        <v/>
      </c>
      <c r="J1230" t="str">
        <f>IF(OR(Dati[[#This Row],[Categoria]]="Bollette",Dati[[#This Row],[Categoria]]="Conto &amp; Carte BNL",Dati[[#This Row],[Categoria]]="Prelievo",Dati[[#This Row],[Categoria]]="Affitto",Dati[[#This Row],[Categoria]]="BNL(Interessi Creditori)"),"Carta",IF(Dati[[#This Row],[Categoria]]&lt;&gt;0,"Cash",""))</f>
        <v/>
      </c>
      <c r="K1230" s="59" t="str">
        <f>IF(OR(Data!$I1230=SottocategorieUscite[[#Headers],[Fuori Casa]],Data!$I1230=SottocategorieUscite[[#Headers],[Varie Uscite]],Data!$I1230=SottocategorieUscite[[#Headers],[Personali]],Data!$I1230=SottocategorieUscite[[#Headers],[Lavoro]]),"$ -","")</f>
        <v/>
      </c>
      <c r="L1230" s="59" t="str">
        <f>IF(OR(Data!$I1230=SottocategorieUscite[[#Headers],[Casa]],Data!$I1230=SottocategorieUscite[[#Headers],[Utenze]],Data!$I1230=SottocategorieUscite[[#Headers],[Business Uscite]],Data!$I1230=SottocategorieUscite[[#Headers],[Banca]]),"$ -","")</f>
        <v/>
      </c>
      <c r="M1230" s="59" t="str">
        <f>IF(OR($I1230&lt;&gt;SottocategorieUscite[[#Headers],[Fuori Casa]],$I1230&lt;&gt;SottocategorieUscite[[#Headers],[Varie Uscite]],$I1230&lt;&gt;SottocategorieUscite[[#Headers],[Personali]],$I1230&lt;&gt;SottocategorieUscite[[#Headers],[Lavoro]],$I1230&lt;&gt;SottocategorieUscite[[#Headers],[Casa]],$I1230&lt;&gt;SottocategorieUscite[[#Headers],[Utenze]],$I1230&lt;&gt;SottocategorieUscite[[#Headers],[Business Uscite]],$I1230&lt;&gt;SottocategorieUscite[[#Headers],[Banca]]),"","$ -")</f>
        <v/>
      </c>
      <c r="N1230" s="59" t="str">
        <f>IF(OR(Data!$I1230=SottocategorieEntrate[[#Headers],[Business Entrate]],Data!$I1230=SottocategorieEntrate[[#Headers],[Varie Entrate]]),"$ -","")</f>
        <v/>
      </c>
      <c r="O1230" s="59" t="str">
        <f>IF(OR(Data!$I1230=SottocategorieEntrate[[#Headers],[Real Estate]],SottocategorieEntrate[[#Headers],[Other]]),"$ -","")</f>
        <v/>
      </c>
      <c r="P1230" s="59" t="str">
        <f>IF(OR($I1230&lt;&gt;SottocategorieEntrate[[#Headers],[Business Entrate]],$I1230&lt;&gt;SottocategorieEntrate[[#Headers],[Varie Entrate]],$I1230&lt;&gt;SottocategorieEntrate[[#Headers],[Real Estate]],$I1230&lt;&gt;SottocategorieEntrate[[#Headers],[Other]]),"","$ -")</f>
        <v/>
      </c>
      <c r="Q1230" s="59" t="str">
        <f>IF(Dati[[#This Row],[Categoria]]="Prelievo","€ -","")</f>
        <v/>
      </c>
      <c r="R1230" s="244"/>
      <c r="S1230" s="59" t="str">
        <f>IF(Dati[[#This Row],[Categoria]]="Savings",0,"")</f>
        <v/>
      </c>
      <c r="T1230" s="59"/>
      <c r="U1230" s="59"/>
      <c r="V1230" s="59"/>
      <c r="W1230" s="59"/>
      <c r="X1230" s="59"/>
      <c r="Y1230" s="59"/>
      <c r="Z1230" s="59"/>
      <c r="AA1230" s="59"/>
      <c r="AB1230" s="59"/>
      <c r="AC1230" s="59"/>
      <c r="AD1230" s="59"/>
      <c r="AE1230" s="59"/>
      <c r="AF1230" s="59"/>
      <c r="AG1230" s="59"/>
      <c r="AH1230" s="59"/>
      <c r="AI1230" s="59" t="str">
        <f>IF(SUM(Dati[[#This Row],[Inv. Business]:[Inv. Cryptocurrency]])=0," ",SUM(Dati[[#This Row],[Inv. Business]:[Inv. Cryptocurrency]]))</f>
        <v xml:space="preserve"> </v>
      </c>
      <c r="AJ1230" s="59"/>
      <c r="AK1230" s="59" t="str">
        <f>IF(SUM(Dati[[#This Row],[Inv. Gold]:[Mutuo]])=0," ",SUM(Dati[[#This Row],[Inv. Gold]:[Mutuo]]))</f>
        <v xml:space="preserve"> </v>
      </c>
      <c r="AL1230" s="59"/>
      <c r="AM1230" s="59"/>
    </row>
    <row r="1231" spans="2:39" x14ac:dyDescent="0.35">
      <c r="B1231" s="237">
        <f>ROW(1202:1202)</f>
        <v>1202</v>
      </c>
      <c r="C1231" s="49">
        <f>C1229+1</f>
        <v>45823</v>
      </c>
      <c r="D1231" s="29">
        <f>DAY(Dati[[#This Row],[Data]])</f>
        <v>15</v>
      </c>
      <c r="E1231" s="29" t="str">
        <f>IF(DAY(Data!$C$21:$C$1327)&gt;0,TEXT(Data!$C$21:$C$1327, "mmmm"),"")</f>
        <v>giugno</v>
      </c>
      <c r="F1231" s="29" t="str">
        <f>IF(DAY(Data!$C$21:$C$1327)&gt;0,TEXT(Data!$C$21:$C$1327, "aaaa"),"")</f>
        <v>2025</v>
      </c>
      <c r="I1231" t="str">
        <f>IF(OR(H1231=$B$5,H1231=$B$6,H1231=$B$7,H1231=$B$8,H1231=$B$9,H1231=$B$10,H1231=$B$11,H1231=$B$12,H1231=$B$13,H1231=$B$14),SottocategorieUscite[[#Headers],[Fuori Casa]],IF(OR(H1231=$C$5,H1231=$C$6,H1231=$C$7,H1231=$C$8,H1231=$C$9,H1231=$C$10,H1231=$C$11,H1231=$C$12,H1231=$C$13,H1231=$C$14),SottocategorieUscite[[#Headers],[Varie Uscite]],IF(OR(H1231=$D$5,H1231=$D$6,H1231=$D$7,H1231=$D$8,H1231=$D$9,H1231=$D$10,H1231=$D$11,H1231=$D$12,H1231=$D$13,H1231=$D$14),SottocategorieUscite[[#Headers],[Personali]],IF(OR(H1231=$E$5,H1231=$E$6,H1231=$E$7,H1231=$E$8,H1231=$E$9,H1231=$E$10,H1231=$E$11,H1231=$E$12,H1231=$E$13,H1231=$E$14),SottocategorieUscite[[#Headers],[Lavoro]],IF(OR(H1231=$F$5,H1231=$F$6,H1231=$F$7,H1231=$F$8,H1231=$F$9,H1231=$F$10,H1231=$F$11,H1231=$F$12,H1231=$F$13,H1231=$F$14),SottocategorieUscite[[#Headers],[Casa]],IF(OR(H1231=$G$5,H1231=$G$6,H1231=$G$7,H1231=$G$8,H1231=$G$9,H1231=$G$10,H1231=$G$11,H1231=$G$12,H1231=$G$13,H1231=$G$14),SottocategorieUscite[[#Headers],[Utenze]],IF(OR(H1231=$H$5,H1231=$H$6,H1231=$H$7,H1231=$H$8,H1231=$H$9,H1231=$H$10,H1231=$H$11,H1231=$H$12,H1231=$H$13,H1231=$H$14),SottocategorieUscite[[#Headers],[Business Uscite]],IF(OR(H1231=$I$5,H1231=$I$6,H1231=$I$7,H1231=$I$8,H1231=$I$9,H1231=$I$10,H1231=$I$11,H1231=$I$12,H1231=$I$13,H1231=$I$14),SottocategorieUscite[[#Headers],[Banca]],IF(OR(H1231=K$5,H1231=K$6,H1231=K$7,H1231=K$8,H1231=K$9,H1231=K$10,H1231=K$11,H1231=K$12,H1231=K$13,H1231=K$14),SottocategorieEntrate[[#Headers],[Business Entrate]],IF(OR(H1231=L$5,H1231=L$6,H1231=L$7,H1231=L$8,H1231=L$9,H1231=L$10,H1231=L$11,H1231=L$12,H1231=L$13,H1231=L$14),SottocategorieEntrate[[#Headers],[Varie Entrate]],IF(OR(H1231=M$5,H1231=M$6,H1231=M$7,H1231=M$8,H1231=M$9,H1231=M$10,H1231=M$11,H1231=M$12,H1231=M$13,H1231=M$14),SottocategorieEntrate[[#Headers],[Real Estate]],IF(OR(H1231=N$5,H1231=N$6,H1231=N$7,H1231=N$8,H1231=N$9,H1231=N$10,H1231=N$11,H1231=N$12,H1231=N$13,H1231=N$14),SottocategorieEntrate[[#Headers],[Other]],""))))))))))))</f>
        <v/>
      </c>
      <c r="J1231" t="str">
        <f>IF(OR(Dati[[#This Row],[Categoria]]="Bollette",Dati[[#This Row],[Categoria]]="Conto &amp; Carte BNL",Dati[[#This Row],[Categoria]]="Prelievo",Dati[[#This Row],[Categoria]]="Affitto",Dati[[#This Row],[Categoria]]="BNL(Interessi Creditori)"),"Carta",IF(Dati[[#This Row],[Categoria]]&lt;&gt;0,"Cash",""))</f>
        <v/>
      </c>
      <c r="K1231" s="59" t="str">
        <f>IF(OR(Data!$I1231=SottocategorieUscite[[#Headers],[Fuori Casa]],Data!$I1231=SottocategorieUscite[[#Headers],[Varie Uscite]],Data!$I1231=SottocategorieUscite[[#Headers],[Personali]],Data!$I1231=SottocategorieUscite[[#Headers],[Lavoro]]),"$ -","")</f>
        <v/>
      </c>
      <c r="L1231" s="59" t="str">
        <f>IF(OR(Data!$I1231=SottocategorieUscite[[#Headers],[Casa]],Data!$I1231=SottocategorieUscite[[#Headers],[Utenze]],Data!$I1231=SottocategorieUscite[[#Headers],[Business Uscite]],Data!$I1231=SottocategorieUscite[[#Headers],[Banca]]),"$ -","")</f>
        <v/>
      </c>
      <c r="M1231" s="59" t="str">
        <f>IF(OR($I1231&lt;&gt;SottocategorieUscite[[#Headers],[Fuori Casa]],$I1231&lt;&gt;SottocategorieUscite[[#Headers],[Varie Uscite]],$I1231&lt;&gt;SottocategorieUscite[[#Headers],[Personali]],$I1231&lt;&gt;SottocategorieUscite[[#Headers],[Lavoro]],$I1231&lt;&gt;SottocategorieUscite[[#Headers],[Casa]],$I1231&lt;&gt;SottocategorieUscite[[#Headers],[Utenze]],$I1231&lt;&gt;SottocategorieUscite[[#Headers],[Business Uscite]],$I1231&lt;&gt;SottocategorieUscite[[#Headers],[Banca]]),"","$ -")</f>
        <v/>
      </c>
      <c r="N1231" s="59" t="str">
        <f>IF(OR(Data!$I1231=SottocategorieEntrate[[#Headers],[Business Entrate]],Data!$I1231=SottocategorieEntrate[[#Headers],[Varie Entrate]]),"$ -","")</f>
        <v/>
      </c>
      <c r="O1231" s="59" t="str">
        <f>IF(OR(Data!$I1231=SottocategorieEntrate[[#Headers],[Real Estate]],SottocategorieEntrate[[#Headers],[Other]]),"$ -","")</f>
        <v/>
      </c>
      <c r="P1231" s="59" t="str">
        <f>IF(OR($I1231&lt;&gt;SottocategorieEntrate[[#Headers],[Business Entrate]],$I1231&lt;&gt;SottocategorieEntrate[[#Headers],[Varie Entrate]],$I1231&lt;&gt;SottocategorieEntrate[[#Headers],[Real Estate]],$I1231&lt;&gt;SottocategorieEntrate[[#Headers],[Other]]),"","$ -")</f>
        <v/>
      </c>
      <c r="Q1231" s="59" t="str">
        <f>IF(Dati[[#This Row],[Categoria]]="Prelievo","€ -","")</f>
        <v/>
      </c>
      <c r="R1231" s="244"/>
      <c r="S1231" s="59" t="str">
        <f>IF(Dati[[#This Row],[Categoria]]="Savings",0,"")</f>
        <v/>
      </c>
      <c r="T1231" s="59"/>
      <c r="U1231" s="59"/>
      <c r="V1231" s="59"/>
      <c r="W1231" s="59"/>
      <c r="X1231" s="59"/>
      <c r="Y1231" s="59"/>
      <c r="Z1231" s="59"/>
      <c r="AA1231" s="59"/>
      <c r="AB1231" s="59"/>
      <c r="AC1231" s="59"/>
      <c r="AD1231" s="59"/>
      <c r="AE1231" s="59"/>
      <c r="AF1231" s="59"/>
      <c r="AG1231" s="59"/>
      <c r="AH1231" s="59"/>
      <c r="AI1231" s="59" t="str">
        <f>IF(SUM(Dati[[#This Row],[Inv. Business]:[Inv. Cryptocurrency]])=0," ",SUM(Dati[[#This Row],[Inv. Business]:[Inv. Cryptocurrency]]))</f>
        <v xml:space="preserve"> </v>
      </c>
      <c r="AJ1231" s="59"/>
      <c r="AK1231" s="59" t="str">
        <f>IF(SUM(Dati[[#This Row],[Inv. Gold]:[Mutuo]])=0," ",SUM(Dati[[#This Row],[Inv. Gold]:[Mutuo]]))</f>
        <v xml:space="preserve"> </v>
      </c>
      <c r="AL1231" s="59"/>
      <c r="AM1231" s="59"/>
    </row>
    <row r="1232" spans="2:39" x14ac:dyDescent="0.35">
      <c r="B1232" s="237">
        <f>ROW(1203:1203)</f>
        <v>1203</v>
      </c>
      <c r="C1232" s="49">
        <f>C1230+1</f>
        <v>45824</v>
      </c>
      <c r="D1232" s="29">
        <f>DAY(Dati[[#This Row],[Data]])</f>
        <v>16</v>
      </c>
      <c r="E1232" s="29" t="str">
        <f>IF(DAY(Data!$C$21:$C$1327)&gt;0,TEXT(Data!$C$21:$C$1327, "mmmm"),"")</f>
        <v>giugno</v>
      </c>
      <c r="F1232" s="29" t="str">
        <f>IF(DAY(Data!$C$21:$C$1327)&gt;0,TEXT(Data!$C$21:$C$1327, "aaaa"),"")</f>
        <v>2025</v>
      </c>
      <c r="I1232" t="str">
        <f>IF(OR(H1232=$B$5,H1232=$B$6,H1232=$B$7,H1232=$B$8,H1232=$B$9,H1232=$B$10,H1232=$B$11,H1232=$B$12,H1232=$B$13,H1232=$B$14),SottocategorieUscite[[#Headers],[Fuori Casa]],IF(OR(H1232=$C$5,H1232=$C$6,H1232=$C$7,H1232=$C$8,H1232=$C$9,H1232=$C$10,H1232=$C$11,H1232=$C$12,H1232=$C$13,H1232=$C$14),SottocategorieUscite[[#Headers],[Varie Uscite]],IF(OR(H1232=$D$5,H1232=$D$6,H1232=$D$7,H1232=$D$8,H1232=$D$9,H1232=$D$10,H1232=$D$11,H1232=$D$12,H1232=$D$13,H1232=$D$14),SottocategorieUscite[[#Headers],[Personali]],IF(OR(H1232=$E$5,H1232=$E$6,H1232=$E$7,H1232=$E$8,H1232=$E$9,H1232=$E$10,H1232=$E$11,H1232=$E$12,H1232=$E$13,H1232=$E$14),SottocategorieUscite[[#Headers],[Lavoro]],IF(OR(H1232=$F$5,H1232=$F$6,H1232=$F$7,H1232=$F$8,H1232=$F$9,H1232=$F$10,H1232=$F$11,H1232=$F$12,H1232=$F$13,H1232=$F$14),SottocategorieUscite[[#Headers],[Casa]],IF(OR(H1232=$G$5,H1232=$G$6,H1232=$G$7,H1232=$G$8,H1232=$G$9,H1232=$G$10,H1232=$G$11,H1232=$G$12,H1232=$G$13,H1232=$G$14),SottocategorieUscite[[#Headers],[Utenze]],IF(OR(H1232=$H$5,H1232=$H$6,H1232=$H$7,H1232=$H$8,H1232=$H$9,H1232=$H$10,H1232=$H$11,H1232=$H$12,H1232=$H$13,H1232=$H$14),SottocategorieUscite[[#Headers],[Business Uscite]],IF(OR(H1232=$I$5,H1232=$I$6,H1232=$I$7,H1232=$I$8,H1232=$I$9,H1232=$I$10,H1232=$I$11,H1232=$I$12,H1232=$I$13,H1232=$I$14),SottocategorieUscite[[#Headers],[Banca]],IF(OR(H1232=K$5,H1232=K$6,H1232=K$7,H1232=K$8,H1232=K$9,H1232=K$10,H1232=K$11,H1232=K$12,H1232=K$13,H1232=K$14),SottocategorieEntrate[[#Headers],[Business Entrate]],IF(OR(H1232=L$5,H1232=L$6,H1232=L$7,H1232=L$8,H1232=L$9,H1232=L$10,H1232=L$11,H1232=L$12,H1232=L$13,H1232=L$14),SottocategorieEntrate[[#Headers],[Varie Entrate]],IF(OR(H1232=M$5,H1232=M$6,H1232=M$7,H1232=M$8,H1232=M$9,H1232=M$10,H1232=M$11,H1232=M$12,H1232=M$13,H1232=M$14),SottocategorieEntrate[[#Headers],[Real Estate]],IF(OR(H1232=N$5,H1232=N$6,H1232=N$7,H1232=N$8,H1232=N$9,H1232=N$10,H1232=N$11,H1232=N$12,H1232=N$13,H1232=N$14),SottocategorieEntrate[[#Headers],[Other]],""))))))))))))</f>
        <v/>
      </c>
      <c r="J1232" t="str">
        <f>IF(OR(Dati[[#This Row],[Categoria]]="Bollette",Dati[[#This Row],[Categoria]]="Conto &amp; Carte BNL",Dati[[#This Row],[Categoria]]="Prelievo",Dati[[#This Row],[Categoria]]="Affitto",Dati[[#This Row],[Categoria]]="BNL(Interessi Creditori)"),"Carta",IF(Dati[[#This Row],[Categoria]]&lt;&gt;0,"Cash",""))</f>
        <v/>
      </c>
      <c r="K1232" s="59" t="str">
        <f>IF(OR(Data!$I1232=SottocategorieUscite[[#Headers],[Fuori Casa]],Data!$I1232=SottocategorieUscite[[#Headers],[Varie Uscite]],Data!$I1232=SottocategorieUscite[[#Headers],[Personali]],Data!$I1232=SottocategorieUscite[[#Headers],[Lavoro]]),"$ -","")</f>
        <v/>
      </c>
      <c r="L1232" s="59" t="str">
        <f>IF(OR(Data!$I1232=SottocategorieUscite[[#Headers],[Casa]],Data!$I1232=SottocategorieUscite[[#Headers],[Utenze]],Data!$I1232=SottocategorieUscite[[#Headers],[Business Uscite]],Data!$I1232=SottocategorieUscite[[#Headers],[Banca]]),"$ -","")</f>
        <v/>
      </c>
      <c r="M1232" s="59" t="str">
        <f>IF(OR($I1232&lt;&gt;SottocategorieUscite[[#Headers],[Fuori Casa]],$I1232&lt;&gt;SottocategorieUscite[[#Headers],[Varie Uscite]],$I1232&lt;&gt;SottocategorieUscite[[#Headers],[Personali]],$I1232&lt;&gt;SottocategorieUscite[[#Headers],[Lavoro]],$I1232&lt;&gt;SottocategorieUscite[[#Headers],[Casa]],$I1232&lt;&gt;SottocategorieUscite[[#Headers],[Utenze]],$I1232&lt;&gt;SottocategorieUscite[[#Headers],[Business Uscite]],$I1232&lt;&gt;SottocategorieUscite[[#Headers],[Banca]]),"","$ -")</f>
        <v/>
      </c>
      <c r="N1232" s="59" t="str">
        <f>IF(OR(Data!$I1232=SottocategorieEntrate[[#Headers],[Business Entrate]],Data!$I1232=SottocategorieEntrate[[#Headers],[Varie Entrate]]),"$ -","")</f>
        <v/>
      </c>
      <c r="O1232" s="59" t="str">
        <f>IF(OR(Data!$I1232=SottocategorieEntrate[[#Headers],[Real Estate]],SottocategorieEntrate[[#Headers],[Other]]),"$ -","")</f>
        <v/>
      </c>
      <c r="P1232" s="59" t="str">
        <f>IF(OR($I1232&lt;&gt;SottocategorieEntrate[[#Headers],[Business Entrate]],$I1232&lt;&gt;SottocategorieEntrate[[#Headers],[Varie Entrate]],$I1232&lt;&gt;SottocategorieEntrate[[#Headers],[Real Estate]],$I1232&lt;&gt;SottocategorieEntrate[[#Headers],[Other]]),"","$ -")</f>
        <v/>
      </c>
      <c r="Q1232" s="59" t="str">
        <f>IF(Dati[[#This Row],[Categoria]]="Prelievo","€ -","")</f>
        <v/>
      </c>
      <c r="R1232" s="244"/>
      <c r="S1232" s="59" t="str">
        <f>IF(Dati[[#This Row],[Categoria]]="Savings",0,"")</f>
        <v/>
      </c>
      <c r="T1232" s="59"/>
      <c r="U1232" s="59"/>
      <c r="V1232" s="59"/>
      <c r="W1232" s="59"/>
      <c r="X1232" s="59"/>
      <c r="Y1232" s="59"/>
      <c r="Z1232" s="59"/>
      <c r="AA1232" s="59"/>
      <c r="AB1232" s="59"/>
      <c r="AC1232" s="59"/>
      <c r="AD1232" s="59"/>
      <c r="AE1232" s="59"/>
      <c r="AF1232" s="59"/>
      <c r="AG1232" s="59"/>
      <c r="AH1232" s="59"/>
      <c r="AI1232" s="59" t="str">
        <f>IF(SUM(Dati[[#This Row],[Inv. Business]:[Inv. Cryptocurrency]])=0," ",SUM(Dati[[#This Row],[Inv. Business]:[Inv. Cryptocurrency]]))</f>
        <v xml:space="preserve"> </v>
      </c>
      <c r="AJ1232" s="59"/>
      <c r="AK1232" s="59" t="str">
        <f>IF(SUM(Dati[[#This Row],[Inv. Gold]:[Mutuo]])=0," ",SUM(Dati[[#This Row],[Inv. Gold]:[Mutuo]]))</f>
        <v xml:space="preserve"> </v>
      </c>
      <c r="AL1232" s="59"/>
      <c r="AM1232" s="59"/>
    </row>
    <row r="1233" spans="2:39" x14ac:dyDescent="0.35">
      <c r="B1233" s="237">
        <f>ROW(1205:1205)</f>
        <v>1205</v>
      </c>
      <c r="C1233" s="49">
        <f t="shared" si="85"/>
        <v>45825</v>
      </c>
      <c r="D1233" s="29">
        <f>DAY(Dati[[#This Row],[Data]])</f>
        <v>17</v>
      </c>
      <c r="E1233" s="29" t="str">
        <f>IF(DAY(Data!$C$21:$C$1327)&gt;0,TEXT(Data!$C$21:$C$1327, "mmmm"),"")</f>
        <v>giugno</v>
      </c>
      <c r="F1233" s="29" t="str">
        <f>IF(DAY(Data!$C$21:$C$1327)&gt;0,TEXT(Data!$C$21:$C$1327, "aaaa"),"")</f>
        <v>2025</v>
      </c>
      <c r="I1233" t="str">
        <f>IF(OR(H1233=$B$5,H1233=$B$6,H1233=$B$7,H1233=$B$8,H1233=$B$9,H1233=$B$10,H1233=$B$11,H1233=$B$12,H1233=$B$13,H1233=$B$14),SottocategorieUscite[[#Headers],[Fuori Casa]],IF(OR(H1233=$C$5,H1233=$C$6,H1233=$C$7,H1233=$C$8,H1233=$C$9,H1233=$C$10,H1233=$C$11,H1233=$C$12,H1233=$C$13,H1233=$C$14),SottocategorieUscite[[#Headers],[Varie Uscite]],IF(OR(H1233=$D$5,H1233=$D$6,H1233=$D$7,H1233=$D$8,H1233=$D$9,H1233=$D$10,H1233=$D$11,H1233=$D$12,H1233=$D$13,H1233=$D$14),SottocategorieUscite[[#Headers],[Personali]],IF(OR(H1233=$E$5,H1233=$E$6,H1233=$E$7,H1233=$E$8,H1233=$E$9,H1233=$E$10,H1233=$E$11,H1233=$E$12,H1233=$E$13,H1233=$E$14),SottocategorieUscite[[#Headers],[Lavoro]],IF(OR(H1233=$F$5,H1233=$F$6,H1233=$F$7,H1233=$F$8,H1233=$F$9,H1233=$F$10,H1233=$F$11,H1233=$F$12,H1233=$F$13,H1233=$F$14),SottocategorieUscite[[#Headers],[Casa]],IF(OR(H1233=$G$5,H1233=$G$6,H1233=$G$7,H1233=$G$8,H1233=$G$9,H1233=$G$10,H1233=$G$11,H1233=$G$12,H1233=$G$13,H1233=$G$14),SottocategorieUscite[[#Headers],[Utenze]],IF(OR(H1233=$H$5,H1233=$H$6,H1233=$H$7,H1233=$H$8,H1233=$H$9,H1233=$H$10,H1233=$H$11,H1233=$H$12,H1233=$H$13,H1233=$H$14),SottocategorieUscite[[#Headers],[Business Uscite]],IF(OR(H1233=$I$5,H1233=$I$6,H1233=$I$7,H1233=$I$8,H1233=$I$9,H1233=$I$10,H1233=$I$11,H1233=$I$12,H1233=$I$13,H1233=$I$14),SottocategorieUscite[[#Headers],[Banca]],IF(OR(H1233=K$5,H1233=K$6,H1233=K$7,H1233=K$8,H1233=K$9,H1233=K$10,H1233=K$11,H1233=K$12,H1233=K$13,H1233=K$14),SottocategorieEntrate[[#Headers],[Business Entrate]],IF(OR(H1233=L$5,H1233=L$6,H1233=L$7,H1233=L$8,H1233=L$9,H1233=L$10,H1233=L$11,H1233=L$12,H1233=L$13,H1233=L$14),SottocategorieEntrate[[#Headers],[Varie Entrate]],IF(OR(H1233=M$5,H1233=M$6,H1233=M$7,H1233=M$8,H1233=M$9,H1233=M$10,H1233=M$11,H1233=M$12,H1233=M$13,H1233=M$14),SottocategorieEntrate[[#Headers],[Real Estate]],IF(OR(H1233=N$5,H1233=N$6,H1233=N$7,H1233=N$8,H1233=N$9,H1233=N$10,H1233=N$11,H1233=N$12,H1233=N$13,H1233=N$14),SottocategorieEntrate[[#Headers],[Other]],""))))))))))))</f>
        <v/>
      </c>
      <c r="J1233" t="str">
        <f>IF(OR(Dati[[#This Row],[Categoria]]="Bollette",Dati[[#This Row],[Categoria]]="Conto &amp; Carte BNL",Dati[[#This Row],[Categoria]]="Prelievo",Dati[[#This Row],[Categoria]]="Affitto",Dati[[#This Row],[Categoria]]="BNL(Interessi Creditori)"),"Carta",IF(Dati[[#This Row],[Categoria]]&lt;&gt;0,"Cash",""))</f>
        <v/>
      </c>
      <c r="K1233" s="59" t="str">
        <f>IF(OR(Data!$I1233=SottocategorieUscite[[#Headers],[Fuori Casa]],Data!$I1233=SottocategorieUscite[[#Headers],[Varie Uscite]],Data!$I1233=SottocategorieUscite[[#Headers],[Personali]],Data!$I1233=SottocategorieUscite[[#Headers],[Lavoro]]),"$ -","")</f>
        <v/>
      </c>
      <c r="L1233" s="59" t="str">
        <f>IF(OR(Data!$I1233=SottocategorieUscite[[#Headers],[Casa]],Data!$I1233=SottocategorieUscite[[#Headers],[Utenze]],Data!$I1233=SottocategorieUscite[[#Headers],[Business Uscite]],Data!$I1233=SottocategorieUscite[[#Headers],[Banca]]),"$ -","")</f>
        <v/>
      </c>
      <c r="M1233" s="59" t="str">
        <f>IF(OR($I1233&lt;&gt;SottocategorieUscite[[#Headers],[Fuori Casa]],$I1233&lt;&gt;SottocategorieUscite[[#Headers],[Varie Uscite]],$I1233&lt;&gt;SottocategorieUscite[[#Headers],[Personali]],$I1233&lt;&gt;SottocategorieUscite[[#Headers],[Lavoro]],$I1233&lt;&gt;SottocategorieUscite[[#Headers],[Casa]],$I1233&lt;&gt;SottocategorieUscite[[#Headers],[Utenze]],$I1233&lt;&gt;SottocategorieUscite[[#Headers],[Business Uscite]],$I1233&lt;&gt;SottocategorieUscite[[#Headers],[Banca]]),"","$ -")</f>
        <v/>
      </c>
      <c r="N1233" s="59" t="str">
        <f>IF(OR(Data!$I1233=SottocategorieEntrate[[#Headers],[Business Entrate]],Data!$I1233=SottocategorieEntrate[[#Headers],[Varie Entrate]]),"$ -","")</f>
        <v/>
      </c>
      <c r="O1233" s="59" t="str">
        <f>IF(OR(Data!$I1233=SottocategorieEntrate[[#Headers],[Real Estate]],SottocategorieEntrate[[#Headers],[Other]]),"$ -","")</f>
        <v/>
      </c>
      <c r="P1233" s="59" t="str">
        <f>IF(OR($I1233&lt;&gt;SottocategorieEntrate[[#Headers],[Business Entrate]],$I1233&lt;&gt;SottocategorieEntrate[[#Headers],[Varie Entrate]],$I1233&lt;&gt;SottocategorieEntrate[[#Headers],[Real Estate]],$I1233&lt;&gt;SottocategorieEntrate[[#Headers],[Other]]),"","$ -")</f>
        <v/>
      </c>
      <c r="Q1233" s="59" t="str">
        <f>IF(Dati[[#This Row],[Categoria]]="Prelievo","€ -","")</f>
        <v/>
      </c>
      <c r="R1233" s="244"/>
      <c r="S1233" s="59" t="str">
        <f>IF(Dati[[#This Row],[Categoria]]="Savings",0,"")</f>
        <v/>
      </c>
      <c r="T1233" s="59"/>
      <c r="U1233" s="59"/>
      <c r="V1233" s="59"/>
      <c r="W1233" s="59"/>
      <c r="X1233" s="59"/>
      <c r="Y1233" s="59"/>
      <c r="Z1233" s="59"/>
      <c r="AA1233" s="59"/>
      <c r="AB1233" s="59"/>
      <c r="AC1233" s="59"/>
      <c r="AD1233" s="59"/>
      <c r="AE1233" s="59"/>
      <c r="AF1233" s="59"/>
      <c r="AG1233" s="59"/>
      <c r="AH1233" s="59"/>
      <c r="AI1233" s="59" t="str">
        <f>IF(SUM(Dati[[#This Row],[Inv. Business]:[Inv. Cryptocurrency]])=0," ",SUM(Dati[[#This Row],[Inv. Business]:[Inv. Cryptocurrency]]))</f>
        <v xml:space="preserve"> </v>
      </c>
      <c r="AJ1233" s="59"/>
      <c r="AK1233" s="59" t="str">
        <f>IF(SUM(Dati[[#This Row],[Inv. Gold]:[Mutuo]])=0," ",SUM(Dati[[#This Row],[Inv. Gold]:[Mutuo]]))</f>
        <v xml:space="preserve"> </v>
      </c>
      <c r="AL1233" s="59"/>
      <c r="AM1233" s="59"/>
    </row>
    <row r="1234" spans="2:39" x14ac:dyDescent="0.35">
      <c r="B1234" s="237">
        <f>ROW(1206:1206)</f>
        <v>1206</v>
      </c>
      <c r="C1234" s="49">
        <f t="shared" si="85"/>
        <v>45826</v>
      </c>
      <c r="D1234" s="29">
        <f>DAY(Dati[[#This Row],[Data]])</f>
        <v>18</v>
      </c>
      <c r="E1234" s="29" t="str">
        <f>IF(DAY(Data!$C$21:$C$1327)&gt;0,TEXT(Data!$C$21:$C$1327, "mmmm"),"")</f>
        <v>giugno</v>
      </c>
      <c r="F1234" s="29" t="str">
        <f>IF(DAY(Data!$C$21:$C$1327)&gt;0,TEXT(Data!$C$21:$C$1327, "aaaa"),"")</f>
        <v>2025</v>
      </c>
      <c r="I1234" t="str">
        <f>IF(OR(H1234=$B$5,H1234=$B$6,H1234=$B$7,H1234=$B$8,H1234=$B$9,H1234=$B$10,H1234=$B$11,H1234=$B$12,H1234=$B$13,H1234=$B$14),SottocategorieUscite[[#Headers],[Fuori Casa]],IF(OR(H1234=$C$5,H1234=$C$6,H1234=$C$7,H1234=$C$8,H1234=$C$9,H1234=$C$10,H1234=$C$11,H1234=$C$12,H1234=$C$13,H1234=$C$14),SottocategorieUscite[[#Headers],[Varie Uscite]],IF(OR(H1234=$D$5,H1234=$D$6,H1234=$D$7,H1234=$D$8,H1234=$D$9,H1234=$D$10,H1234=$D$11,H1234=$D$12,H1234=$D$13,H1234=$D$14),SottocategorieUscite[[#Headers],[Personali]],IF(OR(H1234=$E$5,H1234=$E$6,H1234=$E$7,H1234=$E$8,H1234=$E$9,H1234=$E$10,H1234=$E$11,H1234=$E$12,H1234=$E$13,H1234=$E$14),SottocategorieUscite[[#Headers],[Lavoro]],IF(OR(H1234=$F$5,H1234=$F$6,H1234=$F$7,H1234=$F$8,H1234=$F$9,H1234=$F$10,H1234=$F$11,H1234=$F$12,H1234=$F$13,H1234=$F$14),SottocategorieUscite[[#Headers],[Casa]],IF(OR(H1234=$G$5,H1234=$G$6,H1234=$G$7,H1234=$G$8,H1234=$G$9,H1234=$G$10,H1234=$G$11,H1234=$G$12,H1234=$G$13,H1234=$G$14),SottocategorieUscite[[#Headers],[Utenze]],IF(OR(H1234=$H$5,H1234=$H$6,H1234=$H$7,H1234=$H$8,H1234=$H$9,H1234=$H$10,H1234=$H$11,H1234=$H$12,H1234=$H$13,H1234=$H$14),SottocategorieUscite[[#Headers],[Business Uscite]],IF(OR(H1234=$I$5,H1234=$I$6,H1234=$I$7,H1234=$I$8,H1234=$I$9,H1234=$I$10,H1234=$I$11,H1234=$I$12,H1234=$I$13,H1234=$I$14),SottocategorieUscite[[#Headers],[Banca]],IF(OR(H1234=K$5,H1234=K$6,H1234=K$7,H1234=K$8,H1234=K$9,H1234=K$10,H1234=K$11,H1234=K$12,H1234=K$13,H1234=K$14),SottocategorieEntrate[[#Headers],[Business Entrate]],IF(OR(H1234=L$5,H1234=L$6,H1234=L$7,H1234=L$8,H1234=L$9,H1234=L$10,H1234=L$11,H1234=L$12,H1234=L$13,H1234=L$14),SottocategorieEntrate[[#Headers],[Varie Entrate]],IF(OR(H1234=M$5,H1234=M$6,H1234=M$7,H1234=M$8,H1234=M$9,H1234=M$10,H1234=M$11,H1234=M$12,H1234=M$13,H1234=M$14),SottocategorieEntrate[[#Headers],[Real Estate]],IF(OR(H1234=N$5,H1234=N$6,H1234=N$7,H1234=N$8,H1234=N$9,H1234=N$10,H1234=N$11,H1234=N$12,H1234=N$13,H1234=N$14),SottocategorieEntrate[[#Headers],[Other]],""))))))))))))</f>
        <v/>
      </c>
      <c r="J1234" t="str">
        <f>IF(OR(Dati[[#This Row],[Categoria]]="Bollette",Dati[[#This Row],[Categoria]]="Conto &amp; Carte BNL",Dati[[#This Row],[Categoria]]="Prelievo",Dati[[#This Row],[Categoria]]="Affitto",Dati[[#This Row],[Categoria]]="BNL(Interessi Creditori)"),"Carta",IF(Dati[[#This Row],[Categoria]]&lt;&gt;0,"Cash",""))</f>
        <v/>
      </c>
      <c r="K1234" s="59" t="str">
        <f>IF(OR(Data!$I1234=SottocategorieUscite[[#Headers],[Fuori Casa]],Data!$I1234=SottocategorieUscite[[#Headers],[Varie Uscite]],Data!$I1234=SottocategorieUscite[[#Headers],[Personali]],Data!$I1234=SottocategorieUscite[[#Headers],[Lavoro]]),"$ -","")</f>
        <v/>
      </c>
      <c r="L1234" s="59" t="str">
        <f>IF(OR(Data!$I1234=SottocategorieUscite[[#Headers],[Casa]],Data!$I1234=SottocategorieUscite[[#Headers],[Utenze]],Data!$I1234=SottocategorieUscite[[#Headers],[Business Uscite]],Data!$I1234=SottocategorieUscite[[#Headers],[Banca]]),"$ -","")</f>
        <v/>
      </c>
      <c r="M1234" s="59" t="str">
        <f>IF(OR($I1234&lt;&gt;SottocategorieUscite[[#Headers],[Fuori Casa]],$I1234&lt;&gt;SottocategorieUscite[[#Headers],[Varie Uscite]],$I1234&lt;&gt;SottocategorieUscite[[#Headers],[Personali]],$I1234&lt;&gt;SottocategorieUscite[[#Headers],[Lavoro]],$I1234&lt;&gt;SottocategorieUscite[[#Headers],[Casa]],$I1234&lt;&gt;SottocategorieUscite[[#Headers],[Utenze]],$I1234&lt;&gt;SottocategorieUscite[[#Headers],[Business Uscite]],$I1234&lt;&gt;SottocategorieUscite[[#Headers],[Banca]]),"","$ -")</f>
        <v/>
      </c>
      <c r="N1234" s="59" t="str">
        <f>IF(OR(Data!$I1234=SottocategorieEntrate[[#Headers],[Business Entrate]],Data!$I1234=SottocategorieEntrate[[#Headers],[Varie Entrate]]),"$ -","")</f>
        <v/>
      </c>
      <c r="O1234" s="59" t="str">
        <f>IF(OR(Data!$I1234=SottocategorieEntrate[[#Headers],[Real Estate]],SottocategorieEntrate[[#Headers],[Other]]),"$ -","")</f>
        <v/>
      </c>
      <c r="P1234" s="59" t="str">
        <f>IF(OR($I1234&lt;&gt;SottocategorieEntrate[[#Headers],[Business Entrate]],$I1234&lt;&gt;SottocategorieEntrate[[#Headers],[Varie Entrate]],$I1234&lt;&gt;SottocategorieEntrate[[#Headers],[Real Estate]],$I1234&lt;&gt;SottocategorieEntrate[[#Headers],[Other]]),"","$ -")</f>
        <v/>
      </c>
      <c r="Q1234" s="59" t="str">
        <f>IF(Dati[[#This Row],[Categoria]]="Prelievo","€ -","")</f>
        <v/>
      </c>
      <c r="R1234" s="244"/>
      <c r="S1234" s="59" t="str">
        <f>IF(Dati[[#This Row],[Categoria]]="Savings",0,"")</f>
        <v/>
      </c>
      <c r="T1234" s="59"/>
      <c r="U1234" s="59"/>
      <c r="V1234" s="59"/>
      <c r="W1234" s="59"/>
      <c r="X1234" s="59"/>
      <c r="Y1234" s="59"/>
      <c r="Z1234" s="59"/>
      <c r="AA1234" s="59"/>
      <c r="AB1234" s="59"/>
      <c r="AC1234" s="59"/>
      <c r="AD1234" s="59"/>
      <c r="AE1234" s="59"/>
      <c r="AF1234" s="59"/>
      <c r="AG1234" s="59"/>
      <c r="AH1234" s="59"/>
      <c r="AI1234" s="59" t="str">
        <f>IF(SUM(Dati[[#This Row],[Inv. Business]:[Inv. Cryptocurrency]])=0," ",SUM(Dati[[#This Row],[Inv. Business]:[Inv. Cryptocurrency]]))</f>
        <v xml:space="preserve"> </v>
      </c>
      <c r="AJ1234" s="59"/>
      <c r="AK1234" s="59" t="str">
        <f>IF(SUM(Dati[[#This Row],[Inv. Gold]:[Mutuo]])=0," ",SUM(Dati[[#This Row],[Inv. Gold]:[Mutuo]]))</f>
        <v xml:space="preserve"> </v>
      </c>
      <c r="AL1234" s="59"/>
      <c r="AM1234" s="59"/>
    </row>
    <row r="1235" spans="2:39" x14ac:dyDescent="0.35">
      <c r="B1235" s="237">
        <f>ROW(1207:1207)</f>
        <v>1207</v>
      </c>
      <c r="C1235" s="49">
        <f t="shared" si="85"/>
        <v>45827</v>
      </c>
      <c r="D1235" s="29">
        <f>DAY(Dati[[#This Row],[Data]])</f>
        <v>19</v>
      </c>
      <c r="E1235" s="29" t="str">
        <f>IF(DAY(Data!$C$21:$C$1327)&gt;0,TEXT(Data!$C$21:$C$1327, "mmmm"),"")</f>
        <v>giugno</v>
      </c>
      <c r="F1235" s="29" t="str">
        <f>IF(DAY(Data!$C$21:$C$1327)&gt;0,TEXT(Data!$C$21:$C$1327, "aaaa"),"")</f>
        <v>2025</v>
      </c>
      <c r="I1235" t="str">
        <f>IF(OR(H1235=$B$5,H1235=$B$6,H1235=$B$7,H1235=$B$8,H1235=$B$9,H1235=$B$10,H1235=$B$11,H1235=$B$12,H1235=$B$13,H1235=$B$14),SottocategorieUscite[[#Headers],[Fuori Casa]],IF(OR(H1235=$C$5,H1235=$C$6,H1235=$C$7,H1235=$C$8,H1235=$C$9,H1235=$C$10,H1235=$C$11,H1235=$C$12,H1235=$C$13,H1235=$C$14),SottocategorieUscite[[#Headers],[Varie Uscite]],IF(OR(H1235=$D$5,H1235=$D$6,H1235=$D$7,H1235=$D$8,H1235=$D$9,H1235=$D$10,H1235=$D$11,H1235=$D$12,H1235=$D$13,H1235=$D$14),SottocategorieUscite[[#Headers],[Personali]],IF(OR(H1235=$E$5,H1235=$E$6,H1235=$E$7,H1235=$E$8,H1235=$E$9,H1235=$E$10,H1235=$E$11,H1235=$E$12,H1235=$E$13,H1235=$E$14),SottocategorieUscite[[#Headers],[Lavoro]],IF(OR(H1235=$F$5,H1235=$F$6,H1235=$F$7,H1235=$F$8,H1235=$F$9,H1235=$F$10,H1235=$F$11,H1235=$F$12,H1235=$F$13,H1235=$F$14),SottocategorieUscite[[#Headers],[Casa]],IF(OR(H1235=$G$5,H1235=$G$6,H1235=$G$7,H1235=$G$8,H1235=$G$9,H1235=$G$10,H1235=$G$11,H1235=$G$12,H1235=$G$13,H1235=$G$14),SottocategorieUscite[[#Headers],[Utenze]],IF(OR(H1235=$H$5,H1235=$H$6,H1235=$H$7,H1235=$H$8,H1235=$H$9,H1235=$H$10,H1235=$H$11,H1235=$H$12,H1235=$H$13,H1235=$H$14),SottocategorieUscite[[#Headers],[Business Uscite]],IF(OR(H1235=$I$5,H1235=$I$6,H1235=$I$7,H1235=$I$8,H1235=$I$9,H1235=$I$10,H1235=$I$11,H1235=$I$12,H1235=$I$13,H1235=$I$14),SottocategorieUscite[[#Headers],[Banca]],IF(OR(H1235=K$5,H1235=K$6,H1235=K$7,H1235=K$8,H1235=K$9,H1235=K$10,H1235=K$11,H1235=K$12,H1235=K$13,H1235=K$14),SottocategorieEntrate[[#Headers],[Business Entrate]],IF(OR(H1235=L$5,H1235=L$6,H1235=L$7,H1235=L$8,H1235=L$9,H1235=L$10,H1235=L$11,H1235=L$12,H1235=L$13,H1235=L$14),SottocategorieEntrate[[#Headers],[Varie Entrate]],IF(OR(H1235=M$5,H1235=M$6,H1235=M$7,H1235=M$8,H1235=M$9,H1235=M$10,H1235=M$11,H1235=M$12,H1235=M$13,H1235=M$14),SottocategorieEntrate[[#Headers],[Real Estate]],IF(OR(H1235=N$5,H1235=N$6,H1235=N$7,H1235=N$8,H1235=N$9,H1235=N$10,H1235=N$11,H1235=N$12,H1235=N$13,H1235=N$14),SottocategorieEntrate[[#Headers],[Other]],""))))))))))))</f>
        <v/>
      </c>
      <c r="J1235" t="str">
        <f>IF(OR(Dati[[#This Row],[Categoria]]="Bollette",Dati[[#This Row],[Categoria]]="Conto &amp; Carte BNL",Dati[[#This Row],[Categoria]]="Prelievo",Dati[[#This Row],[Categoria]]="Affitto",Dati[[#This Row],[Categoria]]="BNL(Interessi Creditori)"),"Carta",IF(Dati[[#This Row],[Categoria]]&lt;&gt;0,"Cash",""))</f>
        <v/>
      </c>
      <c r="K1235" s="59" t="str">
        <f>IF(OR(Data!$I1235=SottocategorieUscite[[#Headers],[Fuori Casa]],Data!$I1235=SottocategorieUscite[[#Headers],[Varie Uscite]],Data!$I1235=SottocategorieUscite[[#Headers],[Personali]],Data!$I1235=SottocategorieUscite[[#Headers],[Lavoro]]),"$ -","")</f>
        <v/>
      </c>
      <c r="L1235" s="59" t="str">
        <f>IF(OR(Data!$I1235=SottocategorieUscite[[#Headers],[Casa]],Data!$I1235=SottocategorieUscite[[#Headers],[Utenze]],Data!$I1235=SottocategorieUscite[[#Headers],[Business Uscite]],Data!$I1235=SottocategorieUscite[[#Headers],[Banca]]),"$ -","")</f>
        <v/>
      </c>
      <c r="M1235" s="59" t="str">
        <f>IF(OR($I1235&lt;&gt;SottocategorieUscite[[#Headers],[Fuori Casa]],$I1235&lt;&gt;SottocategorieUscite[[#Headers],[Varie Uscite]],$I1235&lt;&gt;SottocategorieUscite[[#Headers],[Personali]],$I1235&lt;&gt;SottocategorieUscite[[#Headers],[Lavoro]],$I1235&lt;&gt;SottocategorieUscite[[#Headers],[Casa]],$I1235&lt;&gt;SottocategorieUscite[[#Headers],[Utenze]],$I1235&lt;&gt;SottocategorieUscite[[#Headers],[Business Uscite]],$I1235&lt;&gt;SottocategorieUscite[[#Headers],[Banca]]),"","$ -")</f>
        <v/>
      </c>
      <c r="N1235" s="59" t="str">
        <f>IF(OR(Data!$I1235=SottocategorieEntrate[[#Headers],[Business Entrate]],Data!$I1235=SottocategorieEntrate[[#Headers],[Varie Entrate]]),"$ -","")</f>
        <v/>
      </c>
      <c r="O1235" s="59" t="str">
        <f>IF(OR(Data!$I1235=SottocategorieEntrate[[#Headers],[Real Estate]],SottocategorieEntrate[[#Headers],[Other]]),"$ -","")</f>
        <v/>
      </c>
      <c r="P1235" s="59" t="str">
        <f>IF(OR($I1235&lt;&gt;SottocategorieEntrate[[#Headers],[Business Entrate]],$I1235&lt;&gt;SottocategorieEntrate[[#Headers],[Varie Entrate]],$I1235&lt;&gt;SottocategorieEntrate[[#Headers],[Real Estate]],$I1235&lt;&gt;SottocategorieEntrate[[#Headers],[Other]]),"","$ -")</f>
        <v/>
      </c>
      <c r="Q1235" s="59" t="str">
        <f>IF(Dati[[#This Row],[Categoria]]="Prelievo","€ -","")</f>
        <v/>
      </c>
      <c r="R1235" s="244"/>
      <c r="S1235" s="59" t="str">
        <f>IF(Dati[[#This Row],[Categoria]]="Savings",0,"")</f>
        <v/>
      </c>
      <c r="T1235" s="59"/>
      <c r="U1235" s="59"/>
      <c r="V1235" s="59"/>
      <c r="W1235" s="59"/>
      <c r="X1235" s="59"/>
      <c r="Y1235" s="59"/>
      <c r="Z1235" s="59"/>
      <c r="AA1235" s="59"/>
      <c r="AB1235" s="59"/>
      <c r="AC1235" s="59"/>
      <c r="AD1235" s="59"/>
      <c r="AE1235" s="59"/>
      <c r="AF1235" s="59"/>
      <c r="AG1235" s="59"/>
      <c r="AH1235" s="59"/>
      <c r="AI1235" s="59" t="str">
        <f>IF(SUM(Dati[[#This Row],[Inv. Business]:[Inv. Cryptocurrency]])=0," ",SUM(Dati[[#This Row],[Inv. Business]:[Inv. Cryptocurrency]]))</f>
        <v xml:space="preserve"> </v>
      </c>
      <c r="AJ1235" s="59"/>
      <c r="AK1235" s="59" t="str">
        <f>IF(SUM(Dati[[#This Row],[Inv. Gold]:[Mutuo]])=0," ",SUM(Dati[[#This Row],[Inv. Gold]:[Mutuo]]))</f>
        <v xml:space="preserve"> </v>
      </c>
      <c r="AL1235" s="59"/>
      <c r="AM1235" s="59"/>
    </row>
    <row r="1236" spans="2:39" x14ac:dyDescent="0.35">
      <c r="B1236" s="237">
        <f>ROW(1207:1207)</f>
        <v>1207</v>
      </c>
      <c r="C1236" s="49">
        <f>C1234+1</f>
        <v>45827</v>
      </c>
      <c r="D1236" s="29">
        <f>DAY(Dati[[#This Row],[Data]])</f>
        <v>19</v>
      </c>
      <c r="E1236" s="29" t="str">
        <f>IF(DAY(Data!$C$21:$C$1327)&gt;0,TEXT(Data!$C$21:$C$1327, "mmmm"),"")</f>
        <v>giugno</v>
      </c>
      <c r="F1236" s="29" t="str">
        <f>IF(DAY(Data!$C$21:$C$1327)&gt;0,TEXT(Data!$C$21:$C$1327, "aaaa"),"")</f>
        <v>2025</v>
      </c>
      <c r="I1236" t="str">
        <f>IF(OR(H1236=$B$5,H1236=$B$6,H1236=$B$7,H1236=$B$8,H1236=$B$9,H1236=$B$10,H1236=$B$11,H1236=$B$12,H1236=$B$13,H1236=$B$14),SottocategorieUscite[[#Headers],[Fuori Casa]],IF(OR(H1236=$C$5,H1236=$C$6,H1236=$C$7,H1236=$C$8,H1236=$C$9,H1236=$C$10,H1236=$C$11,H1236=$C$12,H1236=$C$13,H1236=$C$14),SottocategorieUscite[[#Headers],[Varie Uscite]],IF(OR(H1236=$D$5,H1236=$D$6,H1236=$D$7,H1236=$D$8,H1236=$D$9,H1236=$D$10,H1236=$D$11,H1236=$D$12,H1236=$D$13,H1236=$D$14),SottocategorieUscite[[#Headers],[Personali]],IF(OR(H1236=$E$5,H1236=$E$6,H1236=$E$7,H1236=$E$8,H1236=$E$9,H1236=$E$10,H1236=$E$11,H1236=$E$12,H1236=$E$13,H1236=$E$14),SottocategorieUscite[[#Headers],[Lavoro]],IF(OR(H1236=$F$5,H1236=$F$6,H1236=$F$7,H1236=$F$8,H1236=$F$9,H1236=$F$10,H1236=$F$11,H1236=$F$12,H1236=$F$13,H1236=$F$14),SottocategorieUscite[[#Headers],[Casa]],IF(OR(H1236=$G$5,H1236=$G$6,H1236=$G$7,H1236=$G$8,H1236=$G$9,H1236=$G$10,H1236=$G$11,H1236=$G$12,H1236=$G$13,H1236=$G$14),SottocategorieUscite[[#Headers],[Utenze]],IF(OR(H1236=$H$5,H1236=$H$6,H1236=$H$7,H1236=$H$8,H1236=$H$9,H1236=$H$10,H1236=$H$11,H1236=$H$12,H1236=$H$13,H1236=$H$14),SottocategorieUscite[[#Headers],[Business Uscite]],IF(OR(H1236=$I$5,H1236=$I$6,H1236=$I$7,H1236=$I$8,H1236=$I$9,H1236=$I$10,H1236=$I$11,H1236=$I$12,H1236=$I$13,H1236=$I$14),SottocategorieUscite[[#Headers],[Banca]],IF(OR(H1236=K$5,H1236=K$6,H1236=K$7,H1236=K$8,H1236=K$9,H1236=K$10,H1236=K$11,H1236=K$12,H1236=K$13,H1236=K$14),SottocategorieEntrate[[#Headers],[Business Entrate]],IF(OR(H1236=L$5,H1236=L$6,H1236=L$7,H1236=L$8,H1236=L$9,H1236=L$10,H1236=L$11,H1236=L$12,H1236=L$13,H1236=L$14),SottocategorieEntrate[[#Headers],[Varie Entrate]],IF(OR(H1236=M$5,H1236=M$6,H1236=M$7,H1236=M$8,H1236=M$9,H1236=M$10,H1236=M$11,H1236=M$12,H1236=M$13,H1236=M$14),SottocategorieEntrate[[#Headers],[Real Estate]],IF(OR(H1236=N$5,H1236=N$6,H1236=N$7,H1236=N$8,H1236=N$9,H1236=N$10,H1236=N$11,H1236=N$12,H1236=N$13,H1236=N$14),SottocategorieEntrate[[#Headers],[Other]],""))))))))))))</f>
        <v/>
      </c>
      <c r="J1236" t="str">
        <f>IF(OR(Dati[[#This Row],[Categoria]]="Bollette",Dati[[#This Row],[Categoria]]="Conto &amp; Carte BNL",Dati[[#This Row],[Categoria]]="Prelievo",Dati[[#This Row],[Categoria]]="Affitto",Dati[[#This Row],[Categoria]]="BNL(Interessi Creditori)"),"Carta",IF(Dati[[#This Row],[Categoria]]&lt;&gt;0,"Cash",""))</f>
        <v/>
      </c>
      <c r="K1236" s="59" t="str">
        <f>IF(OR(Data!$I1236=SottocategorieUscite[[#Headers],[Fuori Casa]],Data!$I1236=SottocategorieUscite[[#Headers],[Varie Uscite]],Data!$I1236=SottocategorieUscite[[#Headers],[Personali]],Data!$I1236=SottocategorieUscite[[#Headers],[Lavoro]]),"$ -","")</f>
        <v/>
      </c>
      <c r="L1236" s="59" t="str">
        <f>IF(OR(Data!$I1236=SottocategorieUscite[[#Headers],[Casa]],Data!$I1236=SottocategorieUscite[[#Headers],[Utenze]],Data!$I1236=SottocategorieUscite[[#Headers],[Business Uscite]],Data!$I1236=SottocategorieUscite[[#Headers],[Banca]]),"$ -","")</f>
        <v/>
      </c>
      <c r="M1236" s="59" t="str">
        <f>IF(OR($I1236&lt;&gt;SottocategorieUscite[[#Headers],[Fuori Casa]],$I1236&lt;&gt;SottocategorieUscite[[#Headers],[Varie Uscite]],$I1236&lt;&gt;SottocategorieUscite[[#Headers],[Personali]],$I1236&lt;&gt;SottocategorieUscite[[#Headers],[Lavoro]],$I1236&lt;&gt;SottocategorieUscite[[#Headers],[Casa]],$I1236&lt;&gt;SottocategorieUscite[[#Headers],[Utenze]],$I1236&lt;&gt;SottocategorieUscite[[#Headers],[Business Uscite]],$I1236&lt;&gt;SottocategorieUscite[[#Headers],[Banca]]),"","$ -")</f>
        <v/>
      </c>
      <c r="N1236" s="59" t="str">
        <f>IF(OR(Data!$I1236=SottocategorieEntrate[[#Headers],[Business Entrate]],Data!$I1236=SottocategorieEntrate[[#Headers],[Varie Entrate]]),"$ -","")</f>
        <v/>
      </c>
      <c r="O1236" s="59" t="str">
        <f>IF(OR(Data!$I1236=SottocategorieEntrate[[#Headers],[Real Estate]],SottocategorieEntrate[[#Headers],[Other]]),"$ -","")</f>
        <v/>
      </c>
      <c r="P1236" s="59" t="str">
        <f>IF(OR($I1236&lt;&gt;SottocategorieEntrate[[#Headers],[Business Entrate]],$I1236&lt;&gt;SottocategorieEntrate[[#Headers],[Varie Entrate]],$I1236&lt;&gt;SottocategorieEntrate[[#Headers],[Real Estate]],$I1236&lt;&gt;SottocategorieEntrate[[#Headers],[Other]]),"","$ -")</f>
        <v/>
      </c>
      <c r="Q1236" s="59" t="str">
        <f>IF(Dati[[#This Row],[Categoria]]="Prelievo","€ -","")</f>
        <v/>
      </c>
      <c r="R1236" s="244"/>
      <c r="S1236" s="59" t="str">
        <f>IF(Dati[[#This Row],[Categoria]]="Savings",0,"")</f>
        <v/>
      </c>
      <c r="T1236" s="59"/>
      <c r="U1236" s="59"/>
      <c r="V1236" s="59"/>
      <c r="W1236" s="59"/>
      <c r="X1236" s="59"/>
      <c r="Y1236" s="59"/>
      <c r="Z1236" s="59"/>
      <c r="AA1236" s="59"/>
      <c r="AB1236" s="59"/>
      <c r="AC1236" s="59"/>
      <c r="AD1236" s="59"/>
      <c r="AE1236" s="59"/>
      <c r="AF1236" s="59"/>
      <c r="AG1236" s="59"/>
      <c r="AH1236" s="59"/>
      <c r="AI1236" s="59" t="str">
        <f>IF(SUM(Dati[[#This Row],[Inv. Business]:[Inv. Cryptocurrency]])=0," ",SUM(Dati[[#This Row],[Inv. Business]:[Inv. Cryptocurrency]]))</f>
        <v xml:space="preserve"> </v>
      </c>
      <c r="AJ1236" s="59"/>
      <c r="AK1236" s="59" t="str">
        <f>IF(SUM(Dati[[#This Row],[Inv. Gold]:[Mutuo]])=0," ",SUM(Dati[[#This Row],[Inv. Gold]:[Mutuo]]))</f>
        <v xml:space="preserve"> </v>
      </c>
      <c r="AL1236" s="59"/>
      <c r="AM1236" s="59"/>
    </row>
    <row r="1237" spans="2:39" x14ac:dyDescent="0.35">
      <c r="B1237" s="237">
        <f>ROW(1207:1207)</f>
        <v>1207</v>
      </c>
      <c r="C1237" s="49">
        <f>C1234+1</f>
        <v>45827</v>
      </c>
      <c r="D1237" s="29">
        <f>DAY(Dati[[#This Row],[Data]])</f>
        <v>19</v>
      </c>
      <c r="E1237" s="29" t="str">
        <f>IF(DAY(Data!$C$21:$C$1327)&gt;0,TEXT(Data!$C$21:$C$1327, "mmmm"),"")</f>
        <v>giugno</v>
      </c>
      <c r="F1237" s="29" t="str">
        <f>IF(DAY(Data!$C$21:$C$1327)&gt;0,TEXT(Data!$C$21:$C$1327, "aaaa"),"")</f>
        <v>2025</v>
      </c>
      <c r="I1237" t="str">
        <f>IF(OR(H1237=$B$5,H1237=$B$6,H1237=$B$7,H1237=$B$8,H1237=$B$9,H1237=$B$10,H1237=$B$11,H1237=$B$12,H1237=$B$13,H1237=$B$14),SottocategorieUscite[[#Headers],[Fuori Casa]],IF(OR(H1237=$C$5,H1237=$C$6,H1237=$C$7,H1237=$C$8,H1237=$C$9,H1237=$C$10,H1237=$C$11,H1237=$C$12,H1237=$C$13,H1237=$C$14),SottocategorieUscite[[#Headers],[Varie Uscite]],IF(OR(H1237=$D$5,H1237=$D$6,H1237=$D$7,H1237=$D$8,H1237=$D$9,H1237=$D$10,H1237=$D$11,H1237=$D$12,H1237=$D$13,H1237=$D$14),SottocategorieUscite[[#Headers],[Personali]],IF(OR(H1237=$E$5,H1237=$E$6,H1237=$E$7,H1237=$E$8,H1237=$E$9,H1237=$E$10,H1237=$E$11,H1237=$E$12,H1237=$E$13,H1237=$E$14),SottocategorieUscite[[#Headers],[Lavoro]],IF(OR(H1237=$F$5,H1237=$F$6,H1237=$F$7,H1237=$F$8,H1237=$F$9,H1237=$F$10,H1237=$F$11,H1237=$F$12,H1237=$F$13,H1237=$F$14),SottocategorieUscite[[#Headers],[Casa]],IF(OR(H1237=$G$5,H1237=$G$6,H1237=$G$7,H1237=$G$8,H1237=$G$9,H1237=$G$10,H1237=$G$11,H1237=$G$12,H1237=$G$13,H1237=$G$14),SottocategorieUscite[[#Headers],[Utenze]],IF(OR(H1237=$H$5,H1237=$H$6,H1237=$H$7,H1237=$H$8,H1237=$H$9,H1237=$H$10,H1237=$H$11,H1237=$H$12,H1237=$H$13,H1237=$H$14),SottocategorieUscite[[#Headers],[Business Uscite]],IF(OR(H1237=$I$5,H1237=$I$6,H1237=$I$7,H1237=$I$8,H1237=$I$9,H1237=$I$10,H1237=$I$11,H1237=$I$12,H1237=$I$13,H1237=$I$14),SottocategorieUscite[[#Headers],[Banca]],IF(OR(H1237=K$5,H1237=K$6,H1237=K$7,H1237=K$8,H1237=K$9,H1237=K$10,H1237=K$11,H1237=K$12,H1237=K$13,H1237=K$14),SottocategorieEntrate[[#Headers],[Business Entrate]],IF(OR(H1237=L$5,H1237=L$6,H1237=L$7,H1237=L$8,H1237=L$9,H1237=L$10,H1237=L$11,H1237=L$12,H1237=L$13,H1237=L$14),SottocategorieEntrate[[#Headers],[Varie Entrate]],IF(OR(H1237=M$5,H1237=M$6,H1237=M$7,H1237=M$8,H1237=M$9,H1237=M$10,H1237=M$11,H1237=M$12,H1237=M$13,H1237=M$14),SottocategorieEntrate[[#Headers],[Real Estate]],IF(OR(H1237=N$5,H1237=N$6,H1237=N$7,H1237=N$8,H1237=N$9,H1237=N$10,H1237=N$11,H1237=N$12,H1237=N$13,H1237=N$14),SottocategorieEntrate[[#Headers],[Other]],""))))))))))))</f>
        <v/>
      </c>
      <c r="J1237" t="str">
        <f>IF(OR(Dati[[#This Row],[Categoria]]="Bollette",Dati[[#This Row],[Categoria]]="Conto &amp; Carte BNL",Dati[[#This Row],[Categoria]]="Prelievo",Dati[[#This Row],[Categoria]]="Affitto",Dati[[#This Row],[Categoria]]="BNL(Interessi Creditori)"),"Carta",IF(Dati[[#This Row],[Categoria]]&lt;&gt;0,"Cash",""))</f>
        <v/>
      </c>
      <c r="K1237" s="59" t="str">
        <f>IF(OR(Data!$I1237=SottocategorieUscite[[#Headers],[Fuori Casa]],Data!$I1237=SottocategorieUscite[[#Headers],[Varie Uscite]],Data!$I1237=SottocategorieUscite[[#Headers],[Personali]],Data!$I1237=SottocategorieUscite[[#Headers],[Lavoro]]),"$ -","")</f>
        <v/>
      </c>
      <c r="L1237" s="59" t="str">
        <f>IF(OR(Data!$I1237=SottocategorieUscite[[#Headers],[Casa]],Data!$I1237=SottocategorieUscite[[#Headers],[Utenze]],Data!$I1237=SottocategorieUscite[[#Headers],[Business Uscite]],Data!$I1237=SottocategorieUscite[[#Headers],[Banca]]),"$ -","")</f>
        <v/>
      </c>
      <c r="M1237" s="59" t="str">
        <f>IF(OR($I1237&lt;&gt;SottocategorieUscite[[#Headers],[Fuori Casa]],$I1237&lt;&gt;SottocategorieUscite[[#Headers],[Varie Uscite]],$I1237&lt;&gt;SottocategorieUscite[[#Headers],[Personali]],$I1237&lt;&gt;SottocategorieUscite[[#Headers],[Lavoro]],$I1237&lt;&gt;SottocategorieUscite[[#Headers],[Casa]],$I1237&lt;&gt;SottocategorieUscite[[#Headers],[Utenze]],$I1237&lt;&gt;SottocategorieUscite[[#Headers],[Business Uscite]],$I1237&lt;&gt;SottocategorieUscite[[#Headers],[Banca]]),"","$ -")</f>
        <v/>
      </c>
      <c r="N1237" s="59" t="str">
        <f>IF(OR(Data!$I1237=SottocategorieEntrate[[#Headers],[Business Entrate]],Data!$I1237=SottocategorieEntrate[[#Headers],[Varie Entrate]]),"$ -","")</f>
        <v/>
      </c>
      <c r="O1237" s="59" t="str">
        <f>IF(OR(Data!$I1237=SottocategorieEntrate[[#Headers],[Real Estate]],SottocategorieEntrate[[#Headers],[Other]]),"$ -","")</f>
        <v/>
      </c>
      <c r="P1237" s="59" t="str">
        <f>IF(OR($I1237&lt;&gt;SottocategorieEntrate[[#Headers],[Business Entrate]],$I1237&lt;&gt;SottocategorieEntrate[[#Headers],[Varie Entrate]],$I1237&lt;&gt;SottocategorieEntrate[[#Headers],[Real Estate]],$I1237&lt;&gt;SottocategorieEntrate[[#Headers],[Other]]),"","$ -")</f>
        <v/>
      </c>
      <c r="Q1237" s="59" t="str">
        <f>IF(Dati[[#This Row],[Categoria]]="Prelievo","€ -","")</f>
        <v/>
      </c>
      <c r="R1237" s="244"/>
      <c r="S1237" s="59" t="str">
        <f>IF(Dati[[#This Row],[Categoria]]="Savings",0,"")</f>
        <v/>
      </c>
      <c r="T1237" s="59"/>
      <c r="U1237" s="59"/>
      <c r="V1237" s="59"/>
      <c r="W1237" s="59"/>
      <c r="X1237" s="59"/>
      <c r="Y1237" s="59"/>
      <c r="Z1237" s="59"/>
      <c r="AA1237" s="59"/>
      <c r="AB1237" s="59"/>
      <c r="AC1237" s="59"/>
      <c r="AD1237" s="59"/>
      <c r="AE1237" s="59"/>
      <c r="AF1237" s="59"/>
      <c r="AG1237" s="59"/>
      <c r="AH1237" s="59"/>
      <c r="AI1237" s="59" t="str">
        <f>IF(SUM(Dati[[#This Row],[Inv. Business]:[Inv. Cryptocurrency]])=0," ",SUM(Dati[[#This Row],[Inv. Business]:[Inv. Cryptocurrency]]))</f>
        <v xml:space="preserve"> </v>
      </c>
      <c r="AJ1237" s="59"/>
      <c r="AK1237" s="59" t="str">
        <f>IF(SUM(Dati[[#This Row],[Inv. Gold]:[Mutuo]])=0," ",SUM(Dati[[#This Row],[Inv. Gold]:[Mutuo]]))</f>
        <v xml:space="preserve"> </v>
      </c>
      <c r="AL1237" s="59"/>
      <c r="AM1237" s="59"/>
    </row>
    <row r="1238" spans="2:39" x14ac:dyDescent="0.35">
      <c r="B1238" s="237">
        <f>ROW(1207:1207)</f>
        <v>1207</v>
      </c>
      <c r="C1238" s="49">
        <f>C1234+1</f>
        <v>45827</v>
      </c>
      <c r="D1238" s="29">
        <f>DAY(Dati[[#This Row],[Data]])</f>
        <v>19</v>
      </c>
      <c r="E1238" s="29" t="str">
        <f>IF(DAY(Data!$C$21:$C$1327)&gt;0,TEXT(Data!$C$21:$C$1327, "mmmm"),"")</f>
        <v>giugno</v>
      </c>
      <c r="F1238" s="29" t="str">
        <f>IF(DAY(Data!$C$21:$C$1327)&gt;0,TEXT(Data!$C$21:$C$1327, "aaaa"),"")</f>
        <v>2025</v>
      </c>
      <c r="I1238" t="str">
        <f>IF(OR(H1238=$B$5,H1238=$B$6,H1238=$B$7,H1238=$B$8,H1238=$B$9,H1238=$B$10,H1238=$B$11,H1238=$B$12,H1238=$B$13,H1238=$B$14),SottocategorieUscite[[#Headers],[Fuori Casa]],IF(OR(H1238=$C$5,H1238=$C$6,H1238=$C$7,H1238=$C$8,H1238=$C$9,H1238=$C$10,H1238=$C$11,H1238=$C$12,H1238=$C$13,H1238=$C$14),SottocategorieUscite[[#Headers],[Varie Uscite]],IF(OR(H1238=$D$5,H1238=$D$6,H1238=$D$7,H1238=$D$8,H1238=$D$9,H1238=$D$10,H1238=$D$11,H1238=$D$12,H1238=$D$13,H1238=$D$14),SottocategorieUscite[[#Headers],[Personali]],IF(OR(H1238=$E$5,H1238=$E$6,H1238=$E$7,H1238=$E$8,H1238=$E$9,H1238=$E$10,H1238=$E$11,H1238=$E$12,H1238=$E$13,H1238=$E$14),SottocategorieUscite[[#Headers],[Lavoro]],IF(OR(H1238=$F$5,H1238=$F$6,H1238=$F$7,H1238=$F$8,H1238=$F$9,H1238=$F$10,H1238=$F$11,H1238=$F$12,H1238=$F$13,H1238=$F$14),SottocategorieUscite[[#Headers],[Casa]],IF(OR(H1238=$G$5,H1238=$G$6,H1238=$G$7,H1238=$G$8,H1238=$G$9,H1238=$G$10,H1238=$G$11,H1238=$G$12,H1238=$G$13,H1238=$G$14),SottocategorieUscite[[#Headers],[Utenze]],IF(OR(H1238=$H$5,H1238=$H$6,H1238=$H$7,H1238=$H$8,H1238=$H$9,H1238=$H$10,H1238=$H$11,H1238=$H$12,H1238=$H$13,H1238=$H$14),SottocategorieUscite[[#Headers],[Business Uscite]],IF(OR(H1238=$I$5,H1238=$I$6,H1238=$I$7,H1238=$I$8,H1238=$I$9,H1238=$I$10,H1238=$I$11,H1238=$I$12,H1238=$I$13,H1238=$I$14),SottocategorieUscite[[#Headers],[Banca]],IF(OR(H1238=K$5,H1238=K$6,H1238=K$7,H1238=K$8,H1238=K$9,H1238=K$10,H1238=K$11,H1238=K$12,H1238=K$13,H1238=K$14),SottocategorieEntrate[[#Headers],[Business Entrate]],IF(OR(H1238=L$5,H1238=L$6,H1238=L$7,H1238=L$8,H1238=L$9,H1238=L$10,H1238=L$11,H1238=L$12,H1238=L$13,H1238=L$14),SottocategorieEntrate[[#Headers],[Varie Entrate]],IF(OR(H1238=M$5,H1238=M$6,H1238=M$7,H1238=M$8,H1238=M$9,H1238=M$10,H1238=M$11,H1238=M$12,H1238=M$13,H1238=M$14),SottocategorieEntrate[[#Headers],[Real Estate]],IF(OR(H1238=N$5,H1238=N$6,H1238=N$7,H1238=N$8,H1238=N$9,H1238=N$10,H1238=N$11,H1238=N$12,H1238=N$13,H1238=N$14),SottocategorieEntrate[[#Headers],[Other]],""))))))))))))</f>
        <v/>
      </c>
      <c r="J1238" t="str">
        <f>IF(OR(Dati[[#This Row],[Categoria]]="Bollette",Dati[[#This Row],[Categoria]]="Conto &amp; Carte BNL",Dati[[#This Row],[Categoria]]="Prelievo",Dati[[#This Row],[Categoria]]="Affitto",Dati[[#This Row],[Categoria]]="BNL(Interessi Creditori)"),"Carta",IF(Dati[[#This Row],[Categoria]]&lt;&gt;0,"Cash",""))</f>
        <v/>
      </c>
      <c r="K1238" s="59" t="str">
        <f>IF(OR(Data!$I1238=SottocategorieUscite[[#Headers],[Fuori Casa]],Data!$I1238=SottocategorieUscite[[#Headers],[Varie Uscite]],Data!$I1238=SottocategorieUscite[[#Headers],[Personali]],Data!$I1238=SottocategorieUscite[[#Headers],[Lavoro]]),"$ -","")</f>
        <v/>
      </c>
      <c r="L1238" s="59" t="str">
        <f>IF(OR(Data!$I1238=SottocategorieUscite[[#Headers],[Casa]],Data!$I1238=SottocategorieUscite[[#Headers],[Utenze]],Data!$I1238=SottocategorieUscite[[#Headers],[Business Uscite]],Data!$I1238=SottocategorieUscite[[#Headers],[Banca]]),"$ -","")</f>
        <v/>
      </c>
      <c r="M1238" s="59" t="str">
        <f>IF(OR($I1238&lt;&gt;SottocategorieUscite[[#Headers],[Fuori Casa]],$I1238&lt;&gt;SottocategorieUscite[[#Headers],[Varie Uscite]],$I1238&lt;&gt;SottocategorieUscite[[#Headers],[Personali]],$I1238&lt;&gt;SottocategorieUscite[[#Headers],[Lavoro]],$I1238&lt;&gt;SottocategorieUscite[[#Headers],[Casa]],$I1238&lt;&gt;SottocategorieUscite[[#Headers],[Utenze]],$I1238&lt;&gt;SottocategorieUscite[[#Headers],[Business Uscite]],$I1238&lt;&gt;SottocategorieUscite[[#Headers],[Banca]]),"","$ -")</f>
        <v/>
      </c>
      <c r="N1238" s="59" t="str">
        <f>IF(OR(Data!$I1238=SottocategorieEntrate[[#Headers],[Business Entrate]],Data!$I1238=SottocategorieEntrate[[#Headers],[Varie Entrate]]),"$ -","")</f>
        <v/>
      </c>
      <c r="O1238" s="59" t="str">
        <f>IF(OR(Data!$I1238=SottocategorieEntrate[[#Headers],[Real Estate]],SottocategorieEntrate[[#Headers],[Other]]),"$ -","")</f>
        <v/>
      </c>
      <c r="P1238" s="59" t="str">
        <f>IF(OR($I1238&lt;&gt;SottocategorieEntrate[[#Headers],[Business Entrate]],$I1238&lt;&gt;SottocategorieEntrate[[#Headers],[Varie Entrate]],$I1238&lt;&gt;SottocategorieEntrate[[#Headers],[Real Estate]],$I1238&lt;&gt;SottocategorieEntrate[[#Headers],[Other]]),"","$ -")</f>
        <v/>
      </c>
      <c r="Q1238" s="59" t="str">
        <f>IF(Dati[[#This Row],[Categoria]]="Prelievo","€ -","")</f>
        <v/>
      </c>
      <c r="R1238" s="244"/>
      <c r="S1238" s="59" t="str">
        <f>IF(Dati[[#This Row],[Categoria]]="Savings",0,"")</f>
        <v/>
      </c>
      <c r="T1238" s="59"/>
      <c r="U1238" s="59"/>
      <c r="V1238" s="59"/>
      <c r="W1238" s="59"/>
      <c r="X1238" s="59"/>
      <c r="Y1238" s="59"/>
      <c r="Z1238" s="59"/>
      <c r="AA1238" s="59"/>
      <c r="AB1238" s="59"/>
      <c r="AC1238" s="59"/>
      <c r="AD1238" s="59"/>
      <c r="AE1238" s="59"/>
      <c r="AF1238" s="59"/>
      <c r="AG1238" s="59"/>
      <c r="AH1238" s="59"/>
      <c r="AI1238" s="59" t="str">
        <f>IF(SUM(Dati[[#This Row],[Inv. Business]:[Inv. Cryptocurrency]])=0," ",SUM(Dati[[#This Row],[Inv. Business]:[Inv. Cryptocurrency]]))</f>
        <v xml:space="preserve"> </v>
      </c>
      <c r="AJ1238" s="59"/>
      <c r="AK1238" s="59" t="str">
        <f>IF(SUM(Dati[[#This Row],[Inv. Gold]:[Mutuo]])=0," ",SUM(Dati[[#This Row],[Inv. Gold]:[Mutuo]]))</f>
        <v xml:space="preserve"> </v>
      </c>
      <c r="AL1238" s="59"/>
      <c r="AM1238" s="59"/>
    </row>
    <row r="1239" spans="2:39" x14ac:dyDescent="0.35">
      <c r="B1239" s="237">
        <f>ROW(1207:1207)</f>
        <v>1207</v>
      </c>
      <c r="C1239" s="49">
        <f>C1234+1</f>
        <v>45827</v>
      </c>
      <c r="D1239" s="29">
        <f>DAY(Dati[[#This Row],[Data]])</f>
        <v>19</v>
      </c>
      <c r="E1239" s="29" t="str">
        <f>IF(DAY(Data!$C$21:$C$1327)&gt;0,TEXT(Data!$C$21:$C$1327, "mmmm"),"")</f>
        <v>giugno</v>
      </c>
      <c r="F1239" s="29" t="str">
        <f>IF(DAY(Data!$C$21:$C$1327)&gt;0,TEXT(Data!$C$21:$C$1327, "aaaa"),"")</f>
        <v>2025</v>
      </c>
      <c r="I1239" t="str">
        <f>IF(OR(H1239=$B$5,H1239=$B$6,H1239=$B$7,H1239=$B$8,H1239=$B$9,H1239=$B$10,H1239=$B$11,H1239=$B$12,H1239=$B$13,H1239=$B$14),SottocategorieUscite[[#Headers],[Fuori Casa]],IF(OR(H1239=$C$5,H1239=$C$6,H1239=$C$7,H1239=$C$8,H1239=$C$9,H1239=$C$10,H1239=$C$11,H1239=$C$12,H1239=$C$13,H1239=$C$14),SottocategorieUscite[[#Headers],[Varie Uscite]],IF(OR(H1239=$D$5,H1239=$D$6,H1239=$D$7,H1239=$D$8,H1239=$D$9,H1239=$D$10,H1239=$D$11,H1239=$D$12,H1239=$D$13,H1239=$D$14),SottocategorieUscite[[#Headers],[Personali]],IF(OR(H1239=$E$5,H1239=$E$6,H1239=$E$7,H1239=$E$8,H1239=$E$9,H1239=$E$10,H1239=$E$11,H1239=$E$12,H1239=$E$13,H1239=$E$14),SottocategorieUscite[[#Headers],[Lavoro]],IF(OR(H1239=$F$5,H1239=$F$6,H1239=$F$7,H1239=$F$8,H1239=$F$9,H1239=$F$10,H1239=$F$11,H1239=$F$12,H1239=$F$13,H1239=$F$14),SottocategorieUscite[[#Headers],[Casa]],IF(OR(H1239=$G$5,H1239=$G$6,H1239=$G$7,H1239=$G$8,H1239=$G$9,H1239=$G$10,H1239=$G$11,H1239=$G$12,H1239=$G$13,H1239=$G$14),SottocategorieUscite[[#Headers],[Utenze]],IF(OR(H1239=$H$5,H1239=$H$6,H1239=$H$7,H1239=$H$8,H1239=$H$9,H1239=$H$10,H1239=$H$11,H1239=$H$12,H1239=$H$13,H1239=$H$14),SottocategorieUscite[[#Headers],[Business Uscite]],IF(OR(H1239=$I$5,H1239=$I$6,H1239=$I$7,H1239=$I$8,H1239=$I$9,H1239=$I$10,H1239=$I$11,H1239=$I$12,H1239=$I$13,H1239=$I$14),SottocategorieUscite[[#Headers],[Banca]],IF(OR(H1239=K$5,H1239=K$6,H1239=K$7,H1239=K$8,H1239=K$9,H1239=K$10,H1239=K$11,H1239=K$12,H1239=K$13,H1239=K$14),SottocategorieEntrate[[#Headers],[Business Entrate]],IF(OR(H1239=L$5,H1239=L$6,H1239=L$7,H1239=L$8,H1239=L$9,H1239=L$10,H1239=L$11,H1239=L$12,H1239=L$13,H1239=L$14),SottocategorieEntrate[[#Headers],[Varie Entrate]],IF(OR(H1239=M$5,H1239=M$6,H1239=M$7,H1239=M$8,H1239=M$9,H1239=M$10,H1239=M$11,H1239=M$12,H1239=M$13,H1239=M$14),SottocategorieEntrate[[#Headers],[Real Estate]],IF(OR(H1239=N$5,H1239=N$6,H1239=N$7,H1239=N$8,H1239=N$9,H1239=N$10,H1239=N$11,H1239=N$12,H1239=N$13,H1239=N$14),SottocategorieEntrate[[#Headers],[Other]],""))))))))))))</f>
        <v/>
      </c>
      <c r="J1239" t="str">
        <f>IF(OR(Dati[[#This Row],[Categoria]]="Bollette",Dati[[#This Row],[Categoria]]="Conto &amp; Carte BNL",Dati[[#This Row],[Categoria]]="Prelievo",Dati[[#This Row],[Categoria]]="Affitto",Dati[[#This Row],[Categoria]]="BNL(Interessi Creditori)"),"Carta",IF(Dati[[#This Row],[Categoria]]&lt;&gt;0,"Cash",""))</f>
        <v/>
      </c>
      <c r="K1239" s="59" t="str">
        <f>IF(OR(Data!$I1239=SottocategorieUscite[[#Headers],[Fuori Casa]],Data!$I1239=SottocategorieUscite[[#Headers],[Varie Uscite]],Data!$I1239=SottocategorieUscite[[#Headers],[Personali]],Data!$I1239=SottocategorieUscite[[#Headers],[Lavoro]]),"$ -","")</f>
        <v/>
      </c>
      <c r="L1239" s="59" t="str">
        <f>IF(OR(Data!$I1239=SottocategorieUscite[[#Headers],[Casa]],Data!$I1239=SottocategorieUscite[[#Headers],[Utenze]],Data!$I1239=SottocategorieUscite[[#Headers],[Business Uscite]],Data!$I1239=SottocategorieUscite[[#Headers],[Banca]]),"$ -","")</f>
        <v/>
      </c>
      <c r="M1239" s="59" t="str">
        <f>IF(OR($I1239&lt;&gt;SottocategorieUscite[[#Headers],[Fuori Casa]],$I1239&lt;&gt;SottocategorieUscite[[#Headers],[Varie Uscite]],$I1239&lt;&gt;SottocategorieUscite[[#Headers],[Personali]],$I1239&lt;&gt;SottocategorieUscite[[#Headers],[Lavoro]],$I1239&lt;&gt;SottocategorieUscite[[#Headers],[Casa]],$I1239&lt;&gt;SottocategorieUscite[[#Headers],[Utenze]],$I1239&lt;&gt;SottocategorieUscite[[#Headers],[Business Uscite]],$I1239&lt;&gt;SottocategorieUscite[[#Headers],[Banca]]),"","$ -")</f>
        <v/>
      </c>
      <c r="N1239" s="59" t="str">
        <f>IF(OR(Data!$I1239=SottocategorieEntrate[[#Headers],[Business Entrate]],Data!$I1239=SottocategorieEntrate[[#Headers],[Varie Entrate]]),"$ -","")</f>
        <v/>
      </c>
      <c r="O1239" s="59" t="str">
        <f>IF(OR(Data!$I1239=SottocategorieEntrate[[#Headers],[Real Estate]],SottocategorieEntrate[[#Headers],[Other]]),"$ -","")</f>
        <v/>
      </c>
      <c r="P1239" s="59" t="str">
        <f>IF(OR($I1239&lt;&gt;SottocategorieEntrate[[#Headers],[Business Entrate]],$I1239&lt;&gt;SottocategorieEntrate[[#Headers],[Varie Entrate]],$I1239&lt;&gt;SottocategorieEntrate[[#Headers],[Real Estate]],$I1239&lt;&gt;SottocategorieEntrate[[#Headers],[Other]]),"","$ -")</f>
        <v/>
      </c>
      <c r="Q1239" s="59" t="str">
        <f>IF(Dati[[#This Row],[Categoria]]="Prelievo","€ -","")</f>
        <v/>
      </c>
      <c r="R1239" s="244"/>
      <c r="S1239" s="59" t="str">
        <f>IF(Dati[[#This Row],[Categoria]]="Savings",0,"")</f>
        <v/>
      </c>
      <c r="T1239" s="59"/>
      <c r="U1239" s="59"/>
      <c r="V1239" s="59"/>
      <c r="W1239" s="59"/>
      <c r="X1239" s="59"/>
      <c r="Y1239" s="59"/>
      <c r="Z1239" s="59"/>
      <c r="AA1239" s="59"/>
      <c r="AB1239" s="59"/>
      <c r="AC1239" s="59"/>
      <c r="AD1239" s="59"/>
      <c r="AE1239" s="59"/>
      <c r="AF1239" s="59"/>
      <c r="AG1239" s="59"/>
      <c r="AH1239" s="59"/>
      <c r="AI1239" s="59" t="str">
        <f>IF(SUM(Dati[[#This Row],[Inv. Business]:[Inv. Cryptocurrency]])=0," ",SUM(Dati[[#This Row],[Inv. Business]:[Inv. Cryptocurrency]]))</f>
        <v xml:space="preserve"> </v>
      </c>
      <c r="AJ1239" s="59"/>
      <c r="AK1239" s="59" t="str">
        <f>IF(SUM(Dati[[#This Row],[Inv. Gold]:[Mutuo]])=0," ",SUM(Dati[[#This Row],[Inv. Gold]:[Mutuo]]))</f>
        <v xml:space="preserve"> </v>
      </c>
      <c r="AL1239" s="59"/>
      <c r="AM1239" s="59"/>
    </row>
    <row r="1240" spans="2:39" x14ac:dyDescent="0.35">
      <c r="B1240" s="237">
        <f>ROW(1208:1208)</f>
        <v>1208</v>
      </c>
      <c r="C1240" s="49">
        <f>C1235+1</f>
        <v>45828</v>
      </c>
      <c r="D1240" s="29">
        <f>DAY(Dati[[#This Row],[Data]])</f>
        <v>20</v>
      </c>
      <c r="E1240" s="29" t="str">
        <f>IF(DAY(Data!$C$21:$C$1327)&gt;0,TEXT(Data!$C$21:$C$1327, "mmmm"),"")</f>
        <v>giugno</v>
      </c>
      <c r="F1240" s="29" t="str">
        <f>IF(DAY(Data!$C$21:$C$1327)&gt;0,TEXT(Data!$C$21:$C$1327, "aaaa"),"")</f>
        <v>2025</v>
      </c>
      <c r="I1240" t="str">
        <f>IF(OR(H1240=$B$5,H1240=$B$6,H1240=$B$7,H1240=$B$8,H1240=$B$9,H1240=$B$10,H1240=$B$11,H1240=$B$12,H1240=$B$13,H1240=$B$14),SottocategorieUscite[[#Headers],[Fuori Casa]],IF(OR(H1240=$C$5,H1240=$C$6,H1240=$C$7,H1240=$C$8,H1240=$C$9,H1240=$C$10,H1240=$C$11,H1240=$C$12,H1240=$C$13,H1240=$C$14),SottocategorieUscite[[#Headers],[Varie Uscite]],IF(OR(H1240=$D$5,H1240=$D$6,H1240=$D$7,H1240=$D$8,H1240=$D$9,H1240=$D$10,H1240=$D$11,H1240=$D$12,H1240=$D$13,H1240=$D$14),SottocategorieUscite[[#Headers],[Personali]],IF(OR(H1240=$E$5,H1240=$E$6,H1240=$E$7,H1240=$E$8,H1240=$E$9,H1240=$E$10,H1240=$E$11,H1240=$E$12,H1240=$E$13,H1240=$E$14),SottocategorieUscite[[#Headers],[Lavoro]],IF(OR(H1240=$F$5,H1240=$F$6,H1240=$F$7,H1240=$F$8,H1240=$F$9,H1240=$F$10,H1240=$F$11,H1240=$F$12,H1240=$F$13,H1240=$F$14),SottocategorieUscite[[#Headers],[Casa]],IF(OR(H1240=$G$5,H1240=$G$6,H1240=$G$7,H1240=$G$8,H1240=$G$9,H1240=$G$10,H1240=$G$11,H1240=$G$12,H1240=$G$13,H1240=$G$14),SottocategorieUscite[[#Headers],[Utenze]],IF(OR(H1240=$H$5,H1240=$H$6,H1240=$H$7,H1240=$H$8,H1240=$H$9,H1240=$H$10,H1240=$H$11,H1240=$H$12,H1240=$H$13,H1240=$H$14),SottocategorieUscite[[#Headers],[Business Uscite]],IF(OR(H1240=$I$5,H1240=$I$6,H1240=$I$7,H1240=$I$8,H1240=$I$9,H1240=$I$10,H1240=$I$11,H1240=$I$12,H1240=$I$13,H1240=$I$14),SottocategorieUscite[[#Headers],[Banca]],IF(OR(H1240=K$5,H1240=K$6,H1240=K$7,H1240=K$8,H1240=K$9,H1240=K$10,H1240=K$11,H1240=K$12,H1240=K$13,H1240=K$14),SottocategorieEntrate[[#Headers],[Business Entrate]],IF(OR(H1240=L$5,H1240=L$6,H1240=L$7,H1240=L$8,H1240=L$9,H1240=L$10,H1240=L$11,H1240=L$12,H1240=L$13,H1240=L$14),SottocategorieEntrate[[#Headers],[Varie Entrate]],IF(OR(H1240=M$5,H1240=M$6,H1240=M$7,H1240=M$8,H1240=M$9,H1240=M$10,H1240=M$11,H1240=M$12,H1240=M$13,H1240=M$14),SottocategorieEntrate[[#Headers],[Real Estate]],IF(OR(H1240=N$5,H1240=N$6,H1240=N$7,H1240=N$8,H1240=N$9,H1240=N$10,H1240=N$11,H1240=N$12,H1240=N$13,H1240=N$14),SottocategorieEntrate[[#Headers],[Other]],""))))))))))))</f>
        <v/>
      </c>
      <c r="J1240" t="str">
        <f>IF(OR(Dati[[#This Row],[Categoria]]="Bollette",Dati[[#This Row],[Categoria]]="Conto &amp; Carte BNL",Dati[[#This Row],[Categoria]]="Prelievo",Dati[[#This Row],[Categoria]]="Affitto",Dati[[#This Row],[Categoria]]="BNL(Interessi Creditori)"),"Carta",IF(Dati[[#This Row],[Categoria]]&lt;&gt;0,"Cash",""))</f>
        <v/>
      </c>
      <c r="K1240" s="59" t="str">
        <f>IF(OR(Data!$I1240=SottocategorieUscite[[#Headers],[Fuori Casa]],Data!$I1240=SottocategorieUscite[[#Headers],[Varie Uscite]],Data!$I1240=SottocategorieUscite[[#Headers],[Personali]],Data!$I1240=SottocategorieUscite[[#Headers],[Lavoro]]),"$ -","")</f>
        <v/>
      </c>
      <c r="L1240" s="59" t="str">
        <f>IF(OR(Data!$I1240=SottocategorieUscite[[#Headers],[Casa]],Data!$I1240=SottocategorieUscite[[#Headers],[Utenze]],Data!$I1240=SottocategorieUscite[[#Headers],[Business Uscite]],Data!$I1240=SottocategorieUscite[[#Headers],[Banca]]),"$ -","")</f>
        <v/>
      </c>
      <c r="M1240" s="59" t="str">
        <f>IF(OR($I1240&lt;&gt;SottocategorieUscite[[#Headers],[Fuori Casa]],$I1240&lt;&gt;SottocategorieUscite[[#Headers],[Varie Uscite]],$I1240&lt;&gt;SottocategorieUscite[[#Headers],[Personali]],$I1240&lt;&gt;SottocategorieUscite[[#Headers],[Lavoro]],$I1240&lt;&gt;SottocategorieUscite[[#Headers],[Casa]],$I1240&lt;&gt;SottocategorieUscite[[#Headers],[Utenze]],$I1240&lt;&gt;SottocategorieUscite[[#Headers],[Business Uscite]],$I1240&lt;&gt;SottocategorieUscite[[#Headers],[Banca]]),"","$ -")</f>
        <v/>
      </c>
      <c r="N1240" s="59" t="str">
        <f>IF(OR(Data!$I1240=SottocategorieEntrate[[#Headers],[Business Entrate]],Data!$I1240=SottocategorieEntrate[[#Headers],[Varie Entrate]]),"$ -","")</f>
        <v/>
      </c>
      <c r="O1240" s="59" t="str">
        <f>IF(OR(Data!$I1240=SottocategorieEntrate[[#Headers],[Real Estate]],SottocategorieEntrate[[#Headers],[Other]]),"$ -","")</f>
        <v/>
      </c>
      <c r="P1240" s="59" t="str">
        <f>IF(OR($I1240&lt;&gt;SottocategorieEntrate[[#Headers],[Business Entrate]],$I1240&lt;&gt;SottocategorieEntrate[[#Headers],[Varie Entrate]],$I1240&lt;&gt;SottocategorieEntrate[[#Headers],[Real Estate]],$I1240&lt;&gt;SottocategorieEntrate[[#Headers],[Other]]),"","$ -")</f>
        <v/>
      </c>
      <c r="Q1240" s="59" t="str">
        <f>IF(Dati[[#This Row],[Categoria]]="Prelievo","€ -","")</f>
        <v/>
      </c>
      <c r="R1240" s="244"/>
      <c r="S1240" s="59" t="str">
        <f>IF(Dati[[#This Row],[Categoria]]="Savings",0,"")</f>
        <v/>
      </c>
      <c r="T1240" s="59"/>
      <c r="U1240" s="59"/>
      <c r="V1240" s="59"/>
      <c r="W1240" s="59"/>
      <c r="X1240" s="59"/>
      <c r="Y1240" s="59"/>
      <c r="Z1240" s="59"/>
      <c r="AA1240" s="59"/>
      <c r="AB1240" s="59"/>
      <c r="AC1240" s="59"/>
      <c r="AD1240" s="59"/>
      <c r="AE1240" s="59"/>
      <c r="AF1240" s="59"/>
      <c r="AG1240" s="59"/>
      <c r="AH1240" s="59"/>
      <c r="AI1240" s="59" t="str">
        <f>IF(SUM(Dati[[#This Row],[Inv. Business]:[Inv. Cryptocurrency]])=0," ",SUM(Dati[[#This Row],[Inv. Business]:[Inv. Cryptocurrency]]))</f>
        <v xml:space="preserve"> </v>
      </c>
      <c r="AJ1240" s="59"/>
      <c r="AK1240" s="59" t="str">
        <f>IF(SUM(Dati[[#This Row],[Inv. Gold]:[Mutuo]])=0," ",SUM(Dati[[#This Row],[Inv. Gold]:[Mutuo]]))</f>
        <v xml:space="preserve"> </v>
      </c>
      <c r="AL1240" s="59"/>
      <c r="AM1240" s="59"/>
    </row>
    <row r="1241" spans="2:39" x14ac:dyDescent="0.35">
      <c r="B1241" s="237">
        <f>ROW(1209:1209)</f>
        <v>1209</v>
      </c>
      <c r="C1241" s="49">
        <f t="shared" si="85"/>
        <v>45829</v>
      </c>
      <c r="D1241" s="29">
        <f>DAY(Dati[[#This Row],[Data]])</f>
        <v>21</v>
      </c>
      <c r="E1241" s="29" t="str">
        <f>IF(DAY(Data!$C$21:$C$1327)&gt;0,TEXT(Data!$C$21:$C$1327, "mmmm"),"")</f>
        <v>giugno</v>
      </c>
      <c r="F1241" s="29" t="str">
        <f>IF(DAY(Data!$C$21:$C$1327)&gt;0,TEXT(Data!$C$21:$C$1327, "aaaa"),"")</f>
        <v>2025</v>
      </c>
      <c r="I1241" t="str">
        <f>IF(OR(H1241=$B$5,H1241=$B$6,H1241=$B$7,H1241=$B$8,H1241=$B$9,H1241=$B$10,H1241=$B$11,H1241=$B$12,H1241=$B$13,H1241=$B$14),SottocategorieUscite[[#Headers],[Fuori Casa]],IF(OR(H1241=$C$5,H1241=$C$6,H1241=$C$7,H1241=$C$8,H1241=$C$9,H1241=$C$10,H1241=$C$11,H1241=$C$12,H1241=$C$13,H1241=$C$14),SottocategorieUscite[[#Headers],[Varie Uscite]],IF(OR(H1241=$D$5,H1241=$D$6,H1241=$D$7,H1241=$D$8,H1241=$D$9,H1241=$D$10,H1241=$D$11,H1241=$D$12,H1241=$D$13,H1241=$D$14),SottocategorieUscite[[#Headers],[Personali]],IF(OR(H1241=$E$5,H1241=$E$6,H1241=$E$7,H1241=$E$8,H1241=$E$9,H1241=$E$10,H1241=$E$11,H1241=$E$12,H1241=$E$13,H1241=$E$14),SottocategorieUscite[[#Headers],[Lavoro]],IF(OR(H1241=$F$5,H1241=$F$6,H1241=$F$7,H1241=$F$8,H1241=$F$9,H1241=$F$10,H1241=$F$11,H1241=$F$12,H1241=$F$13,H1241=$F$14),SottocategorieUscite[[#Headers],[Casa]],IF(OR(H1241=$G$5,H1241=$G$6,H1241=$G$7,H1241=$G$8,H1241=$G$9,H1241=$G$10,H1241=$G$11,H1241=$G$12,H1241=$G$13,H1241=$G$14),SottocategorieUscite[[#Headers],[Utenze]],IF(OR(H1241=$H$5,H1241=$H$6,H1241=$H$7,H1241=$H$8,H1241=$H$9,H1241=$H$10,H1241=$H$11,H1241=$H$12,H1241=$H$13,H1241=$H$14),SottocategorieUscite[[#Headers],[Business Uscite]],IF(OR(H1241=$I$5,H1241=$I$6,H1241=$I$7,H1241=$I$8,H1241=$I$9,H1241=$I$10,H1241=$I$11,H1241=$I$12,H1241=$I$13,H1241=$I$14),SottocategorieUscite[[#Headers],[Banca]],IF(OR(H1241=K$5,H1241=K$6,H1241=K$7,H1241=K$8,H1241=K$9,H1241=K$10,H1241=K$11,H1241=K$12,H1241=K$13,H1241=K$14),SottocategorieEntrate[[#Headers],[Business Entrate]],IF(OR(H1241=L$5,H1241=L$6,H1241=L$7,H1241=L$8,H1241=L$9,H1241=L$10,H1241=L$11,H1241=L$12,H1241=L$13,H1241=L$14),SottocategorieEntrate[[#Headers],[Varie Entrate]],IF(OR(H1241=M$5,H1241=M$6,H1241=M$7,H1241=M$8,H1241=M$9,H1241=M$10,H1241=M$11,H1241=M$12,H1241=M$13,H1241=M$14),SottocategorieEntrate[[#Headers],[Real Estate]],IF(OR(H1241=N$5,H1241=N$6,H1241=N$7,H1241=N$8,H1241=N$9,H1241=N$10,H1241=N$11,H1241=N$12,H1241=N$13,H1241=N$14),SottocategorieEntrate[[#Headers],[Other]],""))))))))))))</f>
        <v/>
      </c>
      <c r="J1241" t="str">
        <f>IF(OR(Dati[[#This Row],[Categoria]]="Bollette",Dati[[#This Row],[Categoria]]="Conto &amp; Carte BNL",Dati[[#This Row],[Categoria]]="Prelievo",Dati[[#This Row],[Categoria]]="Affitto",Dati[[#This Row],[Categoria]]="BNL(Interessi Creditori)"),"Carta",IF(Dati[[#This Row],[Categoria]]&lt;&gt;0,"Cash",""))</f>
        <v/>
      </c>
      <c r="K1241" s="59" t="str">
        <f>IF(OR(Data!$I1241=SottocategorieUscite[[#Headers],[Fuori Casa]],Data!$I1241=SottocategorieUscite[[#Headers],[Varie Uscite]],Data!$I1241=SottocategorieUscite[[#Headers],[Personali]],Data!$I1241=SottocategorieUscite[[#Headers],[Lavoro]]),"$ -","")</f>
        <v/>
      </c>
      <c r="L1241" s="59" t="str">
        <f>IF(OR(Data!$I1241=SottocategorieUscite[[#Headers],[Casa]],Data!$I1241=SottocategorieUscite[[#Headers],[Utenze]],Data!$I1241=SottocategorieUscite[[#Headers],[Business Uscite]],Data!$I1241=SottocategorieUscite[[#Headers],[Banca]]),"$ -","")</f>
        <v/>
      </c>
      <c r="M1241" s="59" t="str">
        <f>IF(OR($I1241&lt;&gt;SottocategorieUscite[[#Headers],[Fuori Casa]],$I1241&lt;&gt;SottocategorieUscite[[#Headers],[Varie Uscite]],$I1241&lt;&gt;SottocategorieUscite[[#Headers],[Personali]],$I1241&lt;&gt;SottocategorieUscite[[#Headers],[Lavoro]],$I1241&lt;&gt;SottocategorieUscite[[#Headers],[Casa]],$I1241&lt;&gt;SottocategorieUscite[[#Headers],[Utenze]],$I1241&lt;&gt;SottocategorieUscite[[#Headers],[Business Uscite]],$I1241&lt;&gt;SottocategorieUscite[[#Headers],[Banca]]),"","$ -")</f>
        <v/>
      </c>
      <c r="N1241" s="59" t="str">
        <f>IF(OR(Data!$I1241=SottocategorieEntrate[[#Headers],[Business Entrate]],Data!$I1241=SottocategorieEntrate[[#Headers],[Varie Entrate]]),"$ -","")</f>
        <v/>
      </c>
      <c r="O1241" s="59" t="str">
        <f>IF(OR(Data!$I1241=SottocategorieEntrate[[#Headers],[Real Estate]],SottocategorieEntrate[[#Headers],[Other]]),"$ -","")</f>
        <v/>
      </c>
      <c r="P1241" s="59" t="str">
        <f>IF(OR($I1241&lt;&gt;SottocategorieEntrate[[#Headers],[Business Entrate]],$I1241&lt;&gt;SottocategorieEntrate[[#Headers],[Varie Entrate]],$I1241&lt;&gt;SottocategorieEntrate[[#Headers],[Real Estate]],$I1241&lt;&gt;SottocategorieEntrate[[#Headers],[Other]]),"","$ -")</f>
        <v/>
      </c>
      <c r="Q1241" s="59" t="str">
        <f>IF(Dati[[#This Row],[Categoria]]="Prelievo","€ -","")</f>
        <v/>
      </c>
      <c r="R1241" s="244"/>
      <c r="S1241" s="59" t="str">
        <f>IF(Dati[[#This Row],[Categoria]]="Savings",0,"")</f>
        <v/>
      </c>
      <c r="T1241" s="59"/>
      <c r="U1241" s="59"/>
      <c r="V1241" s="59"/>
      <c r="W1241" s="59"/>
      <c r="X1241" s="59"/>
      <c r="Y1241" s="59"/>
      <c r="Z1241" s="59"/>
      <c r="AA1241" s="59"/>
      <c r="AB1241" s="59"/>
      <c r="AC1241" s="59"/>
      <c r="AD1241" s="59"/>
      <c r="AE1241" s="59"/>
      <c r="AF1241" s="59"/>
      <c r="AG1241" s="59"/>
      <c r="AH1241" s="59"/>
      <c r="AI1241" s="59" t="str">
        <f>IF(SUM(Dati[[#This Row],[Inv. Business]:[Inv. Cryptocurrency]])=0," ",SUM(Dati[[#This Row],[Inv. Business]:[Inv. Cryptocurrency]]))</f>
        <v xml:space="preserve"> </v>
      </c>
      <c r="AJ1241" s="59"/>
      <c r="AK1241" s="59" t="str">
        <f>IF(SUM(Dati[[#This Row],[Inv. Gold]:[Mutuo]])=0," ",SUM(Dati[[#This Row],[Inv. Gold]:[Mutuo]]))</f>
        <v xml:space="preserve"> </v>
      </c>
      <c r="AL1241" s="59"/>
      <c r="AM1241" s="59"/>
    </row>
    <row r="1242" spans="2:39" x14ac:dyDescent="0.35">
      <c r="B1242" s="237">
        <f t="shared" ref="B1242:B1246" si="88">ROW(1211:1211)</f>
        <v>1211</v>
      </c>
      <c r="C1242" s="49">
        <f t="shared" si="85"/>
        <v>45830</v>
      </c>
      <c r="D1242" s="29">
        <f>DAY(Dati[[#This Row],[Data]])</f>
        <v>22</v>
      </c>
      <c r="E1242" s="29" t="str">
        <f>IF(DAY(Data!$C$21:$C$1327)&gt;0,TEXT(Data!$C$21:$C$1327, "mmmm"),"")</f>
        <v>giugno</v>
      </c>
      <c r="F1242" s="29" t="str">
        <f>IF(DAY(Data!$C$21:$C$1327)&gt;0,TEXT(Data!$C$21:$C$1327, "aaaa"),"")</f>
        <v>2025</v>
      </c>
      <c r="I1242" t="str">
        <f>IF(OR(H1242=$B$5,H1242=$B$6,H1242=$B$7,H1242=$B$8,H1242=$B$9,H1242=$B$10,H1242=$B$11,H1242=$B$12,H1242=$B$13,H1242=$B$14),SottocategorieUscite[[#Headers],[Fuori Casa]],IF(OR(H1242=$C$5,H1242=$C$6,H1242=$C$7,H1242=$C$8,H1242=$C$9,H1242=$C$10,H1242=$C$11,H1242=$C$12,H1242=$C$13,H1242=$C$14),SottocategorieUscite[[#Headers],[Varie Uscite]],IF(OR(H1242=$D$5,H1242=$D$6,H1242=$D$7,H1242=$D$8,H1242=$D$9,H1242=$D$10,H1242=$D$11,H1242=$D$12,H1242=$D$13,H1242=$D$14),SottocategorieUscite[[#Headers],[Personali]],IF(OR(H1242=$E$5,H1242=$E$6,H1242=$E$7,H1242=$E$8,H1242=$E$9,H1242=$E$10,H1242=$E$11,H1242=$E$12,H1242=$E$13,H1242=$E$14),SottocategorieUscite[[#Headers],[Lavoro]],IF(OR(H1242=$F$5,H1242=$F$6,H1242=$F$7,H1242=$F$8,H1242=$F$9,H1242=$F$10,H1242=$F$11,H1242=$F$12,H1242=$F$13,H1242=$F$14),SottocategorieUscite[[#Headers],[Casa]],IF(OR(H1242=$G$5,H1242=$G$6,H1242=$G$7,H1242=$G$8,H1242=$G$9,H1242=$G$10,H1242=$G$11,H1242=$G$12,H1242=$G$13,H1242=$G$14),SottocategorieUscite[[#Headers],[Utenze]],IF(OR(H1242=$H$5,H1242=$H$6,H1242=$H$7,H1242=$H$8,H1242=$H$9,H1242=$H$10,H1242=$H$11,H1242=$H$12,H1242=$H$13,H1242=$H$14),SottocategorieUscite[[#Headers],[Business Uscite]],IF(OR(H1242=$I$5,H1242=$I$6,H1242=$I$7,H1242=$I$8,H1242=$I$9,H1242=$I$10,H1242=$I$11,H1242=$I$12,H1242=$I$13,H1242=$I$14),SottocategorieUscite[[#Headers],[Banca]],IF(OR(H1242=K$5,H1242=K$6,H1242=K$7,H1242=K$8,H1242=K$9,H1242=K$10,H1242=K$11,H1242=K$12,H1242=K$13,H1242=K$14),SottocategorieEntrate[[#Headers],[Business Entrate]],IF(OR(H1242=L$5,H1242=L$6,H1242=L$7,H1242=L$8,H1242=L$9,H1242=L$10,H1242=L$11,H1242=L$12,H1242=L$13,H1242=L$14),SottocategorieEntrate[[#Headers],[Varie Entrate]],IF(OR(H1242=M$5,H1242=M$6,H1242=M$7,H1242=M$8,H1242=M$9,H1242=M$10,H1242=M$11,H1242=M$12,H1242=M$13,H1242=M$14),SottocategorieEntrate[[#Headers],[Real Estate]],IF(OR(H1242=N$5,H1242=N$6,H1242=N$7,H1242=N$8,H1242=N$9,H1242=N$10,H1242=N$11,H1242=N$12,H1242=N$13,H1242=N$14),SottocategorieEntrate[[#Headers],[Other]],""))))))))))))</f>
        <v/>
      </c>
      <c r="J1242" t="str">
        <f>IF(OR(Dati[[#This Row],[Categoria]]="Bollette",Dati[[#This Row],[Categoria]]="Conto &amp; Carte BNL",Dati[[#This Row],[Categoria]]="Prelievo",Dati[[#This Row],[Categoria]]="Affitto",Dati[[#This Row],[Categoria]]="BNL(Interessi Creditori)"),"Carta",IF(Dati[[#This Row],[Categoria]]&lt;&gt;0,"Cash",""))</f>
        <v/>
      </c>
      <c r="K1242" s="59" t="str">
        <f>IF(OR(Data!$I1242=SottocategorieUscite[[#Headers],[Fuori Casa]],Data!$I1242=SottocategorieUscite[[#Headers],[Varie Uscite]],Data!$I1242=SottocategorieUscite[[#Headers],[Personali]],Data!$I1242=SottocategorieUscite[[#Headers],[Lavoro]]),"$ -","")</f>
        <v/>
      </c>
      <c r="L1242" s="59" t="str">
        <f>IF(OR(Data!$I1242=SottocategorieUscite[[#Headers],[Casa]],Data!$I1242=SottocategorieUscite[[#Headers],[Utenze]],Data!$I1242=SottocategorieUscite[[#Headers],[Business Uscite]],Data!$I1242=SottocategorieUscite[[#Headers],[Banca]]),"$ -","")</f>
        <v/>
      </c>
      <c r="M1242" s="59" t="str">
        <f>IF(OR($I1242&lt;&gt;SottocategorieUscite[[#Headers],[Fuori Casa]],$I1242&lt;&gt;SottocategorieUscite[[#Headers],[Varie Uscite]],$I1242&lt;&gt;SottocategorieUscite[[#Headers],[Personali]],$I1242&lt;&gt;SottocategorieUscite[[#Headers],[Lavoro]],$I1242&lt;&gt;SottocategorieUscite[[#Headers],[Casa]],$I1242&lt;&gt;SottocategorieUscite[[#Headers],[Utenze]],$I1242&lt;&gt;SottocategorieUscite[[#Headers],[Business Uscite]],$I1242&lt;&gt;SottocategorieUscite[[#Headers],[Banca]]),"","$ -")</f>
        <v/>
      </c>
      <c r="N1242" s="59" t="str">
        <f>IF(OR(Data!$I1242=SottocategorieEntrate[[#Headers],[Business Entrate]],Data!$I1242=SottocategorieEntrate[[#Headers],[Varie Entrate]]),"$ -","")</f>
        <v/>
      </c>
      <c r="O1242" s="59" t="str">
        <f>IF(OR(Data!$I1242=SottocategorieEntrate[[#Headers],[Real Estate]],SottocategorieEntrate[[#Headers],[Other]]),"$ -","")</f>
        <v/>
      </c>
      <c r="P1242" s="59" t="str">
        <f>IF(OR($I1242&lt;&gt;SottocategorieEntrate[[#Headers],[Business Entrate]],$I1242&lt;&gt;SottocategorieEntrate[[#Headers],[Varie Entrate]],$I1242&lt;&gt;SottocategorieEntrate[[#Headers],[Real Estate]],$I1242&lt;&gt;SottocategorieEntrate[[#Headers],[Other]]),"","$ -")</f>
        <v/>
      </c>
      <c r="Q1242" s="59" t="str">
        <f>IF(Dati[[#This Row],[Categoria]]="Prelievo","€ -","")</f>
        <v/>
      </c>
      <c r="R1242" s="244"/>
      <c r="S1242" s="59" t="str">
        <f>IF(Dati[[#This Row],[Categoria]]="Savings",0,"")</f>
        <v/>
      </c>
      <c r="T1242" s="59"/>
      <c r="U1242" s="59"/>
      <c r="V1242" s="59"/>
      <c r="W1242" s="59"/>
      <c r="X1242" s="59"/>
      <c r="Y1242" s="59"/>
      <c r="Z1242" s="59"/>
      <c r="AA1242" s="59"/>
      <c r="AB1242" s="59"/>
      <c r="AC1242" s="59"/>
      <c r="AD1242" s="59"/>
      <c r="AE1242" s="59"/>
      <c r="AF1242" s="59"/>
      <c r="AG1242" s="59"/>
      <c r="AH1242" s="59"/>
      <c r="AI1242" s="59" t="str">
        <f>IF(SUM(Dati[[#This Row],[Inv. Business]:[Inv. Cryptocurrency]])=0," ",SUM(Dati[[#This Row],[Inv. Business]:[Inv. Cryptocurrency]]))</f>
        <v xml:space="preserve"> </v>
      </c>
      <c r="AJ1242" s="59"/>
      <c r="AK1242" s="59" t="str">
        <f>IF(SUM(Dati[[#This Row],[Inv. Gold]:[Mutuo]])=0," ",SUM(Dati[[#This Row],[Inv. Gold]:[Mutuo]]))</f>
        <v xml:space="preserve"> </v>
      </c>
      <c r="AL1242" s="59"/>
      <c r="AM1242" s="59"/>
    </row>
    <row r="1243" spans="2:39" x14ac:dyDescent="0.35">
      <c r="B1243" s="237">
        <f t="shared" si="88"/>
        <v>1212</v>
      </c>
      <c r="C1243" s="49">
        <f t="shared" si="85"/>
        <v>45831</v>
      </c>
      <c r="D1243" s="29">
        <f>DAY(Dati[[#This Row],[Data]])</f>
        <v>23</v>
      </c>
      <c r="E1243" s="29" t="str">
        <f>IF(DAY(Data!$C$21:$C$1327)&gt;0,TEXT(Data!$C$21:$C$1327, "mmmm"),"")</f>
        <v>giugno</v>
      </c>
      <c r="F1243" s="29" t="str">
        <f>IF(DAY(Data!$C$21:$C$1327)&gt;0,TEXT(Data!$C$21:$C$1327, "aaaa"),"")</f>
        <v>2025</v>
      </c>
      <c r="I1243" t="str">
        <f>IF(OR(H1243=$B$5,H1243=$B$6,H1243=$B$7,H1243=$B$8,H1243=$B$9,H1243=$B$10,H1243=$B$11,H1243=$B$12,H1243=$B$13,H1243=$B$14),SottocategorieUscite[[#Headers],[Fuori Casa]],IF(OR(H1243=$C$5,H1243=$C$6,H1243=$C$7,H1243=$C$8,H1243=$C$9,H1243=$C$10,H1243=$C$11,H1243=$C$12,H1243=$C$13,H1243=$C$14),SottocategorieUscite[[#Headers],[Varie Uscite]],IF(OR(H1243=$D$5,H1243=$D$6,H1243=$D$7,H1243=$D$8,H1243=$D$9,H1243=$D$10,H1243=$D$11,H1243=$D$12,H1243=$D$13,H1243=$D$14),SottocategorieUscite[[#Headers],[Personali]],IF(OR(H1243=$E$5,H1243=$E$6,H1243=$E$7,H1243=$E$8,H1243=$E$9,H1243=$E$10,H1243=$E$11,H1243=$E$12,H1243=$E$13,H1243=$E$14),SottocategorieUscite[[#Headers],[Lavoro]],IF(OR(H1243=$F$5,H1243=$F$6,H1243=$F$7,H1243=$F$8,H1243=$F$9,H1243=$F$10,H1243=$F$11,H1243=$F$12,H1243=$F$13,H1243=$F$14),SottocategorieUscite[[#Headers],[Casa]],IF(OR(H1243=$G$5,H1243=$G$6,H1243=$G$7,H1243=$G$8,H1243=$G$9,H1243=$G$10,H1243=$G$11,H1243=$G$12,H1243=$G$13,H1243=$G$14),SottocategorieUscite[[#Headers],[Utenze]],IF(OR(H1243=$H$5,H1243=$H$6,H1243=$H$7,H1243=$H$8,H1243=$H$9,H1243=$H$10,H1243=$H$11,H1243=$H$12,H1243=$H$13,H1243=$H$14),SottocategorieUscite[[#Headers],[Business Uscite]],IF(OR(H1243=$I$5,H1243=$I$6,H1243=$I$7,H1243=$I$8,H1243=$I$9,H1243=$I$10,H1243=$I$11,H1243=$I$12,H1243=$I$13,H1243=$I$14),SottocategorieUscite[[#Headers],[Banca]],IF(OR(H1243=K$5,H1243=K$6,H1243=K$7,H1243=K$8,H1243=K$9,H1243=K$10,H1243=K$11,H1243=K$12,H1243=K$13,H1243=K$14),SottocategorieEntrate[[#Headers],[Business Entrate]],IF(OR(H1243=L$5,H1243=L$6,H1243=L$7,H1243=L$8,H1243=L$9,H1243=L$10,H1243=L$11,H1243=L$12,H1243=L$13,H1243=L$14),SottocategorieEntrate[[#Headers],[Varie Entrate]],IF(OR(H1243=M$5,H1243=M$6,H1243=M$7,H1243=M$8,H1243=M$9,H1243=M$10,H1243=M$11,H1243=M$12,H1243=M$13,H1243=M$14),SottocategorieEntrate[[#Headers],[Real Estate]],IF(OR(H1243=N$5,H1243=N$6,H1243=N$7,H1243=N$8,H1243=N$9,H1243=N$10,H1243=N$11,H1243=N$12,H1243=N$13,H1243=N$14),SottocategorieEntrate[[#Headers],[Other]],""))))))))))))</f>
        <v/>
      </c>
      <c r="J1243" t="str">
        <f>IF(OR(Dati[[#This Row],[Categoria]]="Bollette",Dati[[#This Row],[Categoria]]="Conto &amp; Carte BNL",Dati[[#This Row],[Categoria]]="Prelievo",Dati[[#This Row],[Categoria]]="Affitto",Dati[[#This Row],[Categoria]]="BNL(Interessi Creditori)"),"Carta",IF(Dati[[#This Row],[Categoria]]&lt;&gt;0,"Cash",""))</f>
        <v/>
      </c>
      <c r="K1243" s="59" t="str">
        <f>IF(OR(Data!$I1243=SottocategorieUscite[[#Headers],[Fuori Casa]],Data!$I1243=SottocategorieUscite[[#Headers],[Varie Uscite]],Data!$I1243=SottocategorieUscite[[#Headers],[Personali]],Data!$I1243=SottocategorieUscite[[#Headers],[Lavoro]]),"$ -","")</f>
        <v/>
      </c>
      <c r="L1243" s="59" t="str">
        <f>IF(OR(Data!$I1243=SottocategorieUscite[[#Headers],[Casa]],Data!$I1243=SottocategorieUscite[[#Headers],[Utenze]],Data!$I1243=SottocategorieUscite[[#Headers],[Business Uscite]],Data!$I1243=SottocategorieUscite[[#Headers],[Banca]]),"$ -","")</f>
        <v/>
      </c>
      <c r="M1243" s="59" t="str">
        <f>IF(OR($I1243&lt;&gt;SottocategorieUscite[[#Headers],[Fuori Casa]],$I1243&lt;&gt;SottocategorieUscite[[#Headers],[Varie Uscite]],$I1243&lt;&gt;SottocategorieUscite[[#Headers],[Personali]],$I1243&lt;&gt;SottocategorieUscite[[#Headers],[Lavoro]],$I1243&lt;&gt;SottocategorieUscite[[#Headers],[Casa]],$I1243&lt;&gt;SottocategorieUscite[[#Headers],[Utenze]],$I1243&lt;&gt;SottocategorieUscite[[#Headers],[Business Uscite]],$I1243&lt;&gt;SottocategorieUscite[[#Headers],[Banca]]),"","$ -")</f>
        <v/>
      </c>
      <c r="N1243" s="59" t="str">
        <f>IF(OR(Data!$I1243=SottocategorieEntrate[[#Headers],[Business Entrate]],Data!$I1243=SottocategorieEntrate[[#Headers],[Varie Entrate]]),"$ -","")</f>
        <v/>
      </c>
      <c r="O1243" s="59" t="str">
        <f>IF(OR(Data!$I1243=SottocategorieEntrate[[#Headers],[Real Estate]],SottocategorieEntrate[[#Headers],[Other]]),"$ -","")</f>
        <v/>
      </c>
      <c r="P1243" s="59" t="str">
        <f>IF(OR($I1243&lt;&gt;SottocategorieEntrate[[#Headers],[Business Entrate]],$I1243&lt;&gt;SottocategorieEntrate[[#Headers],[Varie Entrate]],$I1243&lt;&gt;SottocategorieEntrate[[#Headers],[Real Estate]],$I1243&lt;&gt;SottocategorieEntrate[[#Headers],[Other]]),"","$ -")</f>
        <v/>
      </c>
      <c r="Q1243" s="59" t="str">
        <f>IF(Dati[[#This Row],[Categoria]]="Prelievo","€ -","")</f>
        <v/>
      </c>
      <c r="R1243" s="244"/>
      <c r="S1243" s="59" t="str">
        <f>IF(Dati[[#This Row],[Categoria]]="Savings",0,"")</f>
        <v/>
      </c>
      <c r="T1243" s="59"/>
      <c r="U1243" s="59"/>
      <c r="V1243" s="59"/>
      <c r="W1243" s="59"/>
      <c r="X1243" s="59"/>
      <c r="Y1243" s="59"/>
      <c r="Z1243" s="59"/>
      <c r="AA1243" s="59"/>
      <c r="AB1243" s="59"/>
      <c r="AC1243" s="59"/>
      <c r="AD1243" s="59"/>
      <c r="AE1243" s="59"/>
      <c r="AF1243" s="59"/>
      <c r="AG1243" s="59"/>
      <c r="AH1243" s="59"/>
      <c r="AI1243" s="59" t="str">
        <f>IF(SUM(Dati[[#This Row],[Inv. Business]:[Inv. Cryptocurrency]])=0," ",SUM(Dati[[#This Row],[Inv. Business]:[Inv. Cryptocurrency]]))</f>
        <v xml:space="preserve"> </v>
      </c>
      <c r="AJ1243" s="59"/>
      <c r="AK1243" s="59" t="str">
        <f>IF(SUM(Dati[[#This Row],[Inv. Gold]:[Mutuo]])=0," ",SUM(Dati[[#This Row],[Inv. Gold]:[Mutuo]]))</f>
        <v xml:space="preserve"> </v>
      </c>
      <c r="AL1243" s="59"/>
      <c r="AM1243" s="59"/>
    </row>
    <row r="1244" spans="2:39" x14ac:dyDescent="0.35">
      <c r="B1244" s="237">
        <f t="shared" si="88"/>
        <v>1213</v>
      </c>
      <c r="C1244" s="49">
        <f t="shared" si="85"/>
        <v>45832</v>
      </c>
      <c r="D1244" s="29">
        <f>DAY(Dati[[#This Row],[Data]])</f>
        <v>24</v>
      </c>
      <c r="E1244" s="29" t="str">
        <f>IF(DAY(Data!$C$21:$C$1327)&gt;0,TEXT(Data!$C$21:$C$1327, "mmmm"),"")</f>
        <v>giugno</v>
      </c>
      <c r="F1244" s="29" t="str">
        <f>IF(DAY(Data!$C$21:$C$1327)&gt;0,TEXT(Data!$C$21:$C$1327, "aaaa"),"")</f>
        <v>2025</v>
      </c>
      <c r="I1244" t="str">
        <f>IF(OR(H1244=$B$5,H1244=$B$6,H1244=$B$7,H1244=$B$8,H1244=$B$9,H1244=$B$10,H1244=$B$11,H1244=$B$12,H1244=$B$13,H1244=$B$14),SottocategorieUscite[[#Headers],[Fuori Casa]],IF(OR(H1244=$C$5,H1244=$C$6,H1244=$C$7,H1244=$C$8,H1244=$C$9,H1244=$C$10,H1244=$C$11,H1244=$C$12,H1244=$C$13,H1244=$C$14),SottocategorieUscite[[#Headers],[Varie Uscite]],IF(OR(H1244=$D$5,H1244=$D$6,H1244=$D$7,H1244=$D$8,H1244=$D$9,H1244=$D$10,H1244=$D$11,H1244=$D$12,H1244=$D$13,H1244=$D$14),SottocategorieUscite[[#Headers],[Personali]],IF(OR(H1244=$E$5,H1244=$E$6,H1244=$E$7,H1244=$E$8,H1244=$E$9,H1244=$E$10,H1244=$E$11,H1244=$E$12,H1244=$E$13,H1244=$E$14),SottocategorieUscite[[#Headers],[Lavoro]],IF(OR(H1244=$F$5,H1244=$F$6,H1244=$F$7,H1244=$F$8,H1244=$F$9,H1244=$F$10,H1244=$F$11,H1244=$F$12,H1244=$F$13,H1244=$F$14),SottocategorieUscite[[#Headers],[Casa]],IF(OR(H1244=$G$5,H1244=$G$6,H1244=$G$7,H1244=$G$8,H1244=$G$9,H1244=$G$10,H1244=$G$11,H1244=$G$12,H1244=$G$13,H1244=$G$14),SottocategorieUscite[[#Headers],[Utenze]],IF(OR(H1244=$H$5,H1244=$H$6,H1244=$H$7,H1244=$H$8,H1244=$H$9,H1244=$H$10,H1244=$H$11,H1244=$H$12,H1244=$H$13,H1244=$H$14),SottocategorieUscite[[#Headers],[Business Uscite]],IF(OR(H1244=$I$5,H1244=$I$6,H1244=$I$7,H1244=$I$8,H1244=$I$9,H1244=$I$10,H1244=$I$11,H1244=$I$12,H1244=$I$13,H1244=$I$14),SottocategorieUscite[[#Headers],[Banca]],IF(OR(H1244=K$5,H1244=K$6,H1244=K$7,H1244=K$8,H1244=K$9,H1244=K$10,H1244=K$11,H1244=K$12,H1244=K$13,H1244=K$14),SottocategorieEntrate[[#Headers],[Business Entrate]],IF(OR(H1244=L$5,H1244=L$6,H1244=L$7,H1244=L$8,H1244=L$9,H1244=L$10,H1244=L$11,H1244=L$12,H1244=L$13,H1244=L$14),SottocategorieEntrate[[#Headers],[Varie Entrate]],IF(OR(H1244=M$5,H1244=M$6,H1244=M$7,H1244=M$8,H1244=M$9,H1244=M$10,H1244=M$11,H1244=M$12,H1244=M$13,H1244=M$14),SottocategorieEntrate[[#Headers],[Real Estate]],IF(OR(H1244=N$5,H1244=N$6,H1244=N$7,H1244=N$8,H1244=N$9,H1244=N$10,H1244=N$11,H1244=N$12,H1244=N$13,H1244=N$14),SottocategorieEntrate[[#Headers],[Other]],""))))))))))))</f>
        <v/>
      </c>
      <c r="J1244" t="str">
        <f>IF(OR(Dati[[#This Row],[Categoria]]="Bollette",Dati[[#This Row],[Categoria]]="Conto &amp; Carte BNL",Dati[[#This Row],[Categoria]]="Prelievo",Dati[[#This Row],[Categoria]]="Affitto",Dati[[#This Row],[Categoria]]="BNL(Interessi Creditori)"),"Carta",IF(Dati[[#This Row],[Categoria]]&lt;&gt;0,"Cash",""))</f>
        <v/>
      </c>
      <c r="K1244" s="59" t="str">
        <f>IF(OR(Data!$I1244=SottocategorieUscite[[#Headers],[Fuori Casa]],Data!$I1244=SottocategorieUscite[[#Headers],[Varie Uscite]],Data!$I1244=SottocategorieUscite[[#Headers],[Personali]],Data!$I1244=SottocategorieUscite[[#Headers],[Lavoro]]),"$ -","")</f>
        <v/>
      </c>
      <c r="L1244" s="59" t="str">
        <f>IF(OR(Data!$I1244=SottocategorieUscite[[#Headers],[Casa]],Data!$I1244=SottocategorieUscite[[#Headers],[Utenze]],Data!$I1244=SottocategorieUscite[[#Headers],[Business Uscite]],Data!$I1244=SottocategorieUscite[[#Headers],[Banca]]),"$ -","")</f>
        <v/>
      </c>
      <c r="M1244" s="59" t="str">
        <f>IF(OR($I1244&lt;&gt;SottocategorieUscite[[#Headers],[Fuori Casa]],$I1244&lt;&gt;SottocategorieUscite[[#Headers],[Varie Uscite]],$I1244&lt;&gt;SottocategorieUscite[[#Headers],[Personali]],$I1244&lt;&gt;SottocategorieUscite[[#Headers],[Lavoro]],$I1244&lt;&gt;SottocategorieUscite[[#Headers],[Casa]],$I1244&lt;&gt;SottocategorieUscite[[#Headers],[Utenze]],$I1244&lt;&gt;SottocategorieUscite[[#Headers],[Business Uscite]],$I1244&lt;&gt;SottocategorieUscite[[#Headers],[Banca]]),"","$ -")</f>
        <v/>
      </c>
      <c r="N1244" s="59" t="str">
        <f>IF(OR(Data!$I1244=SottocategorieEntrate[[#Headers],[Business Entrate]],Data!$I1244=SottocategorieEntrate[[#Headers],[Varie Entrate]]),"$ -","")</f>
        <v/>
      </c>
      <c r="O1244" s="59" t="str">
        <f>IF(OR(Data!$I1244=SottocategorieEntrate[[#Headers],[Real Estate]],SottocategorieEntrate[[#Headers],[Other]]),"$ -","")</f>
        <v/>
      </c>
      <c r="P1244" s="59" t="str">
        <f>IF(OR($I1244&lt;&gt;SottocategorieEntrate[[#Headers],[Business Entrate]],$I1244&lt;&gt;SottocategorieEntrate[[#Headers],[Varie Entrate]],$I1244&lt;&gt;SottocategorieEntrate[[#Headers],[Real Estate]],$I1244&lt;&gt;SottocategorieEntrate[[#Headers],[Other]]),"","$ -")</f>
        <v/>
      </c>
      <c r="Q1244" s="59" t="str">
        <f>IF(Dati[[#This Row],[Categoria]]="Prelievo","€ -","")</f>
        <v/>
      </c>
      <c r="R1244" s="244"/>
      <c r="S1244" s="59" t="str">
        <f>IF(Dati[[#This Row],[Categoria]]="Savings",0,"")</f>
        <v/>
      </c>
      <c r="T1244" s="59"/>
      <c r="U1244" s="59"/>
      <c r="V1244" s="59"/>
      <c r="W1244" s="59"/>
      <c r="X1244" s="59"/>
      <c r="Y1244" s="59"/>
      <c r="Z1244" s="59"/>
      <c r="AA1244" s="59"/>
      <c r="AB1244" s="59"/>
      <c r="AC1244" s="59"/>
      <c r="AD1244" s="59"/>
      <c r="AE1244" s="59"/>
      <c r="AF1244" s="59"/>
      <c r="AG1244" s="59"/>
      <c r="AH1244" s="59"/>
      <c r="AI1244" s="59" t="str">
        <f>IF(SUM(Dati[[#This Row],[Inv. Business]:[Inv. Cryptocurrency]])=0," ",SUM(Dati[[#This Row],[Inv. Business]:[Inv. Cryptocurrency]]))</f>
        <v xml:space="preserve"> </v>
      </c>
      <c r="AJ1244" s="59"/>
      <c r="AK1244" s="59" t="str">
        <f>IF(SUM(Dati[[#This Row],[Inv. Gold]:[Mutuo]])=0," ",SUM(Dati[[#This Row],[Inv. Gold]:[Mutuo]]))</f>
        <v xml:space="preserve"> </v>
      </c>
      <c r="AL1244" s="59"/>
      <c r="AM1244" s="59"/>
    </row>
    <row r="1245" spans="2:39" x14ac:dyDescent="0.35">
      <c r="B1245" s="237">
        <f t="shared" si="88"/>
        <v>1214</v>
      </c>
      <c r="C1245" s="49">
        <f t="shared" si="85"/>
        <v>45833</v>
      </c>
      <c r="D1245" s="29">
        <f>DAY(Dati[[#This Row],[Data]])</f>
        <v>25</v>
      </c>
      <c r="E1245" s="29" t="str">
        <f>IF(DAY(Data!$C$21:$C$1327)&gt;0,TEXT(Data!$C$21:$C$1327, "mmmm"),"")</f>
        <v>giugno</v>
      </c>
      <c r="F1245" s="29" t="str">
        <f>IF(DAY(Data!$C$21:$C$1327)&gt;0,TEXT(Data!$C$21:$C$1327, "aaaa"),"")</f>
        <v>2025</v>
      </c>
      <c r="I1245" t="str">
        <f>IF(OR(H1245=$B$5,H1245=$B$6,H1245=$B$7,H1245=$B$8,H1245=$B$9,H1245=$B$10,H1245=$B$11,H1245=$B$12,H1245=$B$13,H1245=$B$14),SottocategorieUscite[[#Headers],[Fuori Casa]],IF(OR(H1245=$C$5,H1245=$C$6,H1245=$C$7,H1245=$C$8,H1245=$C$9,H1245=$C$10,H1245=$C$11,H1245=$C$12,H1245=$C$13,H1245=$C$14),SottocategorieUscite[[#Headers],[Varie Uscite]],IF(OR(H1245=$D$5,H1245=$D$6,H1245=$D$7,H1245=$D$8,H1245=$D$9,H1245=$D$10,H1245=$D$11,H1245=$D$12,H1245=$D$13,H1245=$D$14),SottocategorieUscite[[#Headers],[Personali]],IF(OR(H1245=$E$5,H1245=$E$6,H1245=$E$7,H1245=$E$8,H1245=$E$9,H1245=$E$10,H1245=$E$11,H1245=$E$12,H1245=$E$13,H1245=$E$14),SottocategorieUscite[[#Headers],[Lavoro]],IF(OR(H1245=$F$5,H1245=$F$6,H1245=$F$7,H1245=$F$8,H1245=$F$9,H1245=$F$10,H1245=$F$11,H1245=$F$12,H1245=$F$13,H1245=$F$14),SottocategorieUscite[[#Headers],[Casa]],IF(OR(H1245=$G$5,H1245=$G$6,H1245=$G$7,H1245=$G$8,H1245=$G$9,H1245=$G$10,H1245=$G$11,H1245=$G$12,H1245=$G$13,H1245=$G$14),SottocategorieUscite[[#Headers],[Utenze]],IF(OR(H1245=$H$5,H1245=$H$6,H1245=$H$7,H1245=$H$8,H1245=$H$9,H1245=$H$10,H1245=$H$11,H1245=$H$12,H1245=$H$13,H1245=$H$14),SottocategorieUscite[[#Headers],[Business Uscite]],IF(OR(H1245=$I$5,H1245=$I$6,H1245=$I$7,H1245=$I$8,H1245=$I$9,H1245=$I$10,H1245=$I$11,H1245=$I$12,H1245=$I$13,H1245=$I$14),SottocategorieUscite[[#Headers],[Banca]],IF(OR(H1245=K$5,H1245=K$6,H1245=K$7,H1245=K$8,H1245=K$9,H1245=K$10,H1245=K$11,H1245=K$12,H1245=K$13,H1245=K$14),SottocategorieEntrate[[#Headers],[Business Entrate]],IF(OR(H1245=L$5,H1245=L$6,H1245=L$7,H1245=L$8,H1245=L$9,H1245=L$10,H1245=L$11,H1245=L$12,H1245=L$13,H1245=L$14),SottocategorieEntrate[[#Headers],[Varie Entrate]],IF(OR(H1245=M$5,H1245=M$6,H1245=M$7,H1245=M$8,H1245=M$9,H1245=M$10,H1245=M$11,H1245=M$12,H1245=M$13,H1245=M$14),SottocategorieEntrate[[#Headers],[Real Estate]],IF(OR(H1245=N$5,H1245=N$6,H1245=N$7,H1245=N$8,H1245=N$9,H1245=N$10,H1245=N$11,H1245=N$12,H1245=N$13,H1245=N$14),SottocategorieEntrate[[#Headers],[Other]],""))))))))))))</f>
        <v/>
      </c>
      <c r="J1245" t="str">
        <f>IF(OR(Dati[[#This Row],[Categoria]]="Bollette",Dati[[#This Row],[Categoria]]="Conto &amp; Carte BNL",Dati[[#This Row],[Categoria]]="Prelievo",Dati[[#This Row],[Categoria]]="Affitto",Dati[[#This Row],[Categoria]]="BNL(Interessi Creditori)"),"Carta",IF(Dati[[#This Row],[Categoria]]&lt;&gt;0,"Cash",""))</f>
        <v/>
      </c>
      <c r="K1245" s="59" t="str">
        <f>IF(OR(Data!$I1245=SottocategorieUscite[[#Headers],[Fuori Casa]],Data!$I1245=SottocategorieUscite[[#Headers],[Varie Uscite]],Data!$I1245=SottocategorieUscite[[#Headers],[Personali]],Data!$I1245=SottocategorieUscite[[#Headers],[Lavoro]]),"$ -","")</f>
        <v/>
      </c>
      <c r="L1245" s="59" t="str">
        <f>IF(OR(Data!$I1245=SottocategorieUscite[[#Headers],[Casa]],Data!$I1245=SottocategorieUscite[[#Headers],[Utenze]],Data!$I1245=SottocategorieUscite[[#Headers],[Business Uscite]],Data!$I1245=SottocategorieUscite[[#Headers],[Banca]]),"$ -","")</f>
        <v/>
      </c>
      <c r="M1245" s="59" t="str">
        <f>IF(OR($I1245&lt;&gt;SottocategorieUscite[[#Headers],[Fuori Casa]],$I1245&lt;&gt;SottocategorieUscite[[#Headers],[Varie Uscite]],$I1245&lt;&gt;SottocategorieUscite[[#Headers],[Personali]],$I1245&lt;&gt;SottocategorieUscite[[#Headers],[Lavoro]],$I1245&lt;&gt;SottocategorieUscite[[#Headers],[Casa]],$I1245&lt;&gt;SottocategorieUscite[[#Headers],[Utenze]],$I1245&lt;&gt;SottocategorieUscite[[#Headers],[Business Uscite]],$I1245&lt;&gt;SottocategorieUscite[[#Headers],[Banca]]),"","$ -")</f>
        <v/>
      </c>
      <c r="N1245" s="59" t="str">
        <f>IF(OR(Data!$I1245=SottocategorieEntrate[[#Headers],[Business Entrate]],Data!$I1245=SottocategorieEntrate[[#Headers],[Varie Entrate]]),"$ -","")</f>
        <v/>
      </c>
      <c r="O1245" s="59" t="str">
        <f>IF(OR(Data!$I1245=SottocategorieEntrate[[#Headers],[Real Estate]],SottocategorieEntrate[[#Headers],[Other]]),"$ -","")</f>
        <v/>
      </c>
      <c r="P1245" s="59" t="str">
        <f>IF(OR($I1245&lt;&gt;SottocategorieEntrate[[#Headers],[Business Entrate]],$I1245&lt;&gt;SottocategorieEntrate[[#Headers],[Varie Entrate]],$I1245&lt;&gt;SottocategorieEntrate[[#Headers],[Real Estate]],$I1245&lt;&gt;SottocategorieEntrate[[#Headers],[Other]]),"","$ -")</f>
        <v/>
      </c>
      <c r="Q1245" s="59" t="str">
        <f>IF(Dati[[#This Row],[Categoria]]="Prelievo","€ -","")</f>
        <v/>
      </c>
      <c r="R1245" s="244"/>
      <c r="S1245" s="59" t="str">
        <f>IF(Dati[[#This Row],[Categoria]]="Savings",0,"")</f>
        <v/>
      </c>
      <c r="T1245" s="59"/>
      <c r="U1245" s="59"/>
      <c r="V1245" s="59"/>
      <c r="W1245" s="59"/>
      <c r="X1245" s="59"/>
      <c r="Y1245" s="59"/>
      <c r="Z1245" s="59"/>
      <c r="AA1245" s="59"/>
      <c r="AB1245" s="59"/>
      <c r="AC1245" s="59"/>
      <c r="AD1245" s="59"/>
      <c r="AE1245" s="59"/>
      <c r="AF1245" s="59"/>
      <c r="AG1245" s="59"/>
      <c r="AH1245" s="59"/>
      <c r="AI1245" s="59" t="str">
        <f>IF(SUM(Dati[[#This Row],[Inv. Business]:[Inv. Cryptocurrency]])=0," ",SUM(Dati[[#This Row],[Inv. Business]:[Inv. Cryptocurrency]]))</f>
        <v xml:space="preserve"> </v>
      </c>
      <c r="AJ1245" s="59"/>
      <c r="AK1245" s="59" t="str">
        <f>IF(SUM(Dati[[#This Row],[Inv. Gold]:[Mutuo]])=0," ",SUM(Dati[[#This Row],[Inv. Gold]:[Mutuo]]))</f>
        <v xml:space="preserve"> </v>
      </c>
      <c r="AL1245" s="59"/>
      <c r="AM1245" s="59"/>
    </row>
    <row r="1246" spans="2:39" x14ac:dyDescent="0.35">
      <c r="B1246" s="237">
        <f t="shared" si="88"/>
        <v>1215</v>
      </c>
      <c r="C1246" s="49">
        <f t="shared" si="85"/>
        <v>45834</v>
      </c>
      <c r="D1246" s="29">
        <f>DAY(Dati[[#This Row],[Data]])</f>
        <v>26</v>
      </c>
      <c r="E1246" s="29" t="str">
        <f>IF(DAY(Data!$C$21:$C$1327)&gt;0,TEXT(Data!$C$21:$C$1327, "mmmm"),"")</f>
        <v>giugno</v>
      </c>
      <c r="F1246" s="29" t="str">
        <f>IF(DAY(Data!$C$21:$C$1327)&gt;0,TEXT(Data!$C$21:$C$1327, "aaaa"),"")</f>
        <v>2025</v>
      </c>
      <c r="I1246" t="str">
        <f>IF(OR(H1246=$B$5,H1246=$B$6,H1246=$B$7,H1246=$B$8,H1246=$B$9,H1246=$B$10,H1246=$B$11,H1246=$B$12,H1246=$B$13,H1246=$B$14),SottocategorieUscite[[#Headers],[Fuori Casa]],IF(OR(H1246=$C$5,H1246=$C$6,H1246=$C$7,H1246=$C$8,H1246=$C$9,H1246=$C$10,H1246=$C$11,H1246=$C$12,H1246=$C$13,H1246=$C$14),SottocategorieUscite[[#Headers],[Varie Uscite]],IF(OR(H1246=$D$5,H1246=$D$6,H1246=$D$7,H1246=$D$8,H1246=$D$9,H1246=$D$10,H1246=$D$11,H1246=$D$12,H1246=$D$13,H1246=$D$14),SottocategorieUscite[[#Headers],[Personali]],IF(OR(H1246=$E$5,H1246=$E$6,H1246=$E$7,H1246=$E$8,H1246=$E$9,H1246=$E$10,H1246=$E$11,H1246=$E$12,H1246=$E$13,H1246=$E$14),SottocategorieUscite[[#Headers],[Lavoro]],IF(OR(H1246=$F$5,H1246=$F$6,H1246=$F$7,H1246=$F$8,H1246=$F$9,H1246=$F$10,H1246=$F$11,H1246=$F$12,H1246=$F$13,H1246=$F$14),SottocategorieUscite[[#Headers],[Casa]],IF(OR(H1246=$G$5,H1246=$G$6,H1246=$G$7,H1246=$G$8,H1246=$G$9,H1246=$G$10,H1246=$G$11,H1246=$G$12,H1246=$G$13,H1246=$G$14),SottocategorieUscite[[#Headers],[Utenze]],IF(OR(H1246=$H$5,H1246=$H$6,H1246=$H$7,H1246=$H$8,H1246=$H$9,H1246=$H$10,H1246=$H$11,H1246=$H$12,H1246=$H$13,H1246=$H$14),SottocategorieUscite[[#Headers],[Business Uscite]],IF(OR(H1246=$I$5,H1246=$I$6,H1246=$I$7,H1246=$I$8,H1246=$I$9,H1246=$I$10,H1246=$I$11,H1246=$I$12,H1246=$I$13,H1246=$I$14),SottocategorieUscite[[#Headers],[Banca]],IF(OR(H1246=K$5,H1246=K$6,H1246=K$7,H1246=K$8,H1246=K$9,H1246=K$10,H1246=K$11,H1246=K$12,H1246=K$13,H1246=K$14),SottocategorieEntrate[[#Headers],[Business Entrate]],IF(OR(H1246=L$5,H1246=L$6,H1246=L$7,H1246=L$8,H1246=L$9,H1246=L$10,H1246=L$11,H1246=L$12,H1246=L$13,H1246=L$14),SottocategorieEntrate[[#Headers],[Varie Entrate]],IF(OR(H1246=M$5,H1246=M$6,H1246=M$7,H1246=M$8,H1246=M$9,H1246=M$10,H1246=M$11,H1246=M$12,H1246=M$13,H1246=M$14),SottocategorieEntrate[[#Headers],[Real Estate]],IF(OR(H1246=N$5,H1246=N$6,H1246=N$7,H1246=N$8,H1246=N$9,H1246=N$10,H1246=N$11,H1246=N$12,H1246=N$13,H1246=N$14),SottocategorieEntrate[[#Headers],[Other]],""))))))))))))</f>
        <v/>
      </c>
      <c r="J1246" t="str">
        <f>IF(OR(Dati[[#This Row],[Categoria]]="Bollette",Dati[[#This Row],[Categoria]]="Conto &amp; Carte BNL",Dati[[#This Row],[Categoria]]="Prelievo",Dati[[#This Row],[Categoria]]="Affitto",Dati[[#This Row],[Categoria]]="BNL(Interessi Creditori)"),"Carta",IF(Dati[[#This Row],[Categoria]]&lt;&gt;0,"Cash",""))</f>
        <v/>
      </c>
      <c r="K1246" s="59" t="str">
        <f>IF(OR(Data!$I1246=SottocategorieUscite[[#Headers],[Fuori Casa]],Data!$I1246=SottocategorieUscite[[#Headers],[Varie Uscite]],Data!$I1246=SottocategorieUscite[[#Headers],[Personali]],Data!$I1246=SottocategorieUscite[[#Headers],[Lavoro]]),"$ -","")</f>
        <v/>
      </c>
      <c r="L1246" s="59" t="str">
        <f>IF(OR(Data!$I1246=SottocategorieUscite[[#Headers],[Casa]],Data!$I1246=SottocategorieUscite[[#Headers],[Utenze]],Data!$I1246=SottocategorieUscite[[#Headers],[Business Uscite]],Data!$I1246=SottocategorieUscite[[#Headers],[Banca]]),"$ -","")</f>
        <v/>
      </c>
      <c r="M1246" s="59" t="str">
        <f>IF(OR($I1246&lt;&gt;SottocategorieUscite[[#Headers],[Fuori Casa]],$I1246&lt;&gt;SottocategorieUscite[[#Headers],[Varie Uscite]],$I1246&lt;&gt;SottocategorieUscite[[#Headers],[Personali]],$I1246&lt;&gt;SottocategorieUscite[[#Headers],[Lavoro]],$I1246&lt;&gt;SottocategorieUscite[[#Headers],[Casa]],$I1246&lt;&gt;SottocategorieUscite[[#Headers],[Utenze]],$I1246&lt;&gt;SottocategorieUscite[[#Headers],[Business Uscite]],$I1246&lt;&gt;SottocategorieUscite[[#Headers],[Banca]]),"","$ -")</f>
        <v/>
      </c>
      <c r="N1246" s="59" t="str">
        <f>IF(OR(Data!$I1246=SottocategorieEntrate[[#Headers],[Business Entrate]],Data!$I1246=SottocategorieEntrate[[#Headers],[Varie Entrate]]),"$ -","")</f>
        <v/>
      </c>
      <c r="O1246" s="59" t="str">
        <f>IF(OR(Data!$I1246=SottocategorieEntrate[[#Headers],[Real Estate]],SottocategorieEntrate[[#Headers],[Other]]),"$ -","")</f>
        <v/>
      </c>
      <c r="P1246" s="59" t="str">
        <f>IF(OR($I1246&lt;&gt;SottocategorieEntrate[[#Headers],[Business Entrate]],$I1246&lt;&gt;SottocategorieEntrate[[#Headers],[Varie Entrate]],$I1246&lt;&gt;SottocategorieEntrate[[#Headers],[Real Estate]],$I1246&lt;&gt;SottocategorieEntrate[[#Headers],[Other]]),"","$ -")</f>
        <v/>
      </c>
      <c r="Q1246" s="59" t="str">
        <f>IF(Dati[[#This Row],[Categoria]]="Prelievo","€ -","")</f>
        <v/>
      </c>
      <c r="R1246" s="244"/>
      <c r="S1246" s="59" t="str">
        <f>IF(Dati[[#This Row],[Categoria]]="Savings",0,"")</f>
        <v/>
      </c>
      <c r="T1246" s="59"/>
      <c r="U1246" s="59"/>
      <c r="V1246" s="59"/>
      <c r="W1246" s="59"/>
      <c r="X1246" s="59"/>
      <c r="Y1246" s="59"/>
      <c r="Z1246" s="59"/>
      <c r="AA1246" s="59"/>
      <c r="AB1246" s="59"/>
      <c r="AC1246" s="59"/>
      <c r="AD1246" s="59"/>
      <c r="AE1246" s="59"/>
      <c r="AF1246" s="59"/>
      <c r="AG1246" s="59"/>
      <c r="AH1246" s="59"/>
      <c r="AI1246" s="59" t="str">
        <f>IF(SUM(Dati[[#This Row],[Inv. Business]:[Inv. Cryptocurrency]])=0," ",SUM(Dati[[#This Row],[Inv. Business]:[Inv. Cryptocurrency]]))</f>
        <v xml:space="preserve"> </v>
      </c>
      <c r="AJ1246" s="59"/>
      <c r="AK1246" s="59" t="str">
        <f>IF(SUM(Dati[[#This Row],[Inv. Gold]:[Mutuo]])=0," ",SUM(Dati[[#This Row],[Inv. Gold]:[Mutuo]]))</f>
        <v xml:space="preserve"> </v>
      </c>
      <c r="AL1246" s="59"/>
      <c r="AM1246" s="59"/>
    </row>
    <row r="1247" spans="2:39" x14ac:dyDescent="0.35">
      <c r="B1247" s="237">
        <f>ROW(1215:1215)</f>
        <v>1215</v>
      </c>
      <c r="C1247" s="49">
        <f>C1245+1</f>
        <v>45834</v>
      </c>
      <c r="D1247" s="29">
        <f>DAY(Dati[[#This Row],[Data]])</f>
        <v>26</v>
      </c>
      <c r="E1247" s="29" t="str">
        <f>IF(DAY(Data!$C$21:$C$1327)&gt;0,TEXT(Data!$C$21:$C$1327, "mmmm"),"")</f>
        <v>giugno</v>
      </c>
      <c r="F1247" s="29" t="str">
        <f>IF(DAY(Data!$C$21:$C$1327)&gt;0,TEXT(Data!$C$21:$C$1327, "aaaa"),"")</f>
        <v>2025</v>
      </c>
      <c r="I1247" t="str">
        <f>IF(OR(H1247=$B$5,H1247=$B$6,H1247=$B$7,H1247=$B$8,H1247=$B$9,H1247=$B$10,H1247=$B$11,H1247=$B$12,H1247=$B$13,H1247=$B$14),SottocategorieUscite[[#Headers],[Fuori Casa]],IF(OR(H1247=$C$5,H1247=$C$6,H1247=$C$7,H1247=$C$8,H1247=$C$9,H1247=$C$10,H1247=$C$11,H1247=$C$12,H1247=$C$13,H1247=$C$14),SottocategorieUscite[[#Headers],[Varie Uscite]],IF(OR(H1247=$D$5,H1247=$D$6,H1247=$D$7,H1247=$D$8,H1247=$D$9,H1247=$D$10,H1247=$D$11,H1247=$D$12,H1247=$D$13,H1247=$D$14),SottocategorieUscite[[#Headers],[Personali]],IF(OR(H1247=$E$5,H1247=$E$6,H1247=$E$7,H1247=$E$8,H1247=$E$9,H1247=$E$10,H1247=$E$11,H1247=$E$12,H1247=$E$13,H1247=$E$14),SottocategorieUscite[[#Headers],[Lavoro]],IF(OR(H1247=$F$5,H1247=$F$6,H1247=$F$7,H1247=$F$8,H1247=$F$9,H1247=$F$10,H1247=$F$11,H1247=$F$12,H1247=$F$13,H1247=$F$14),SottocategorieUscite[[#Headers],[Casa]],IF(OR(H1247=$G$5,H1247=$G$6,H1247=$G$7,H1247=$G$8,H1247=$G$9,H1247=$G$10,H1247=$G$11,H1247=$G$12,H1247=$G$13,H1247=$G$14),SottocategorieUscite[[#Headers],[Utenze]],IF(OR(H1247=$H$5,H1247=$H$6,H1247=$H$7,H1247=$H$8,H1247=$H$9,H1247=$H$10,H1247=$H$11,H1247=$H$12,H1247=$H$13,H1247=$H$14),SottocategorieUscite[[#Headers],[Business Uscite]],IF(OR(H1247=$I$5,H1247=$I$6,H1247=$I$7,H1247=$I$8,H1247=$I$9,H1247=$I$10,H1247=$I$11,H1247=$I$12,H1247=$I$13,H1247=$I$14),SottocategorieUscite[[#Headers],[Banca]],IF(OR(H1247=K$5,H1247=K$6,H1247=K$7,H1247=K$8,H1247=K$9,H1247=K$10,H1247=K$11,H1247=K$12,H1247=K$13,H1247=K$14),SottocategorieEntrate[[#Headers],[Business Entrate]],IF(OR(H1247=L$5,H1247=L$6,H1247=L$7,H1247=L$8,H1247=L$9,H1247=L$10,H1247=L$11,H1247=L$12,H1247=L$13,H1247=L$14),SottocategorieEntrate[[#Headers],[Varie Entrate]],IF(OR(H1247=M$5,H1247=M$6,H1247=M$7,H1247=M$8,H1247=M$9,H1247=M$10,H1247=M$11,H1247=M$12,H1247=M$13,H1247=M$14),SottocategorieEntrate[[#Headers],[Real Estate]],IF(OR(H1247=N$5,H1247=N$6,H1247=N$7,H1247=N$8,H1247=N$9,H1247=N$10,H1247=N$11,H1247=N$12,H1247=N$13,H1247=N$14),SottocategorieEntrate[[#Headers],[Other]],""))))))))))))</f>
        <v/>
      </c>
      <c r="J1247" t="str">
        <f>IF(OR(Dati[[#This Row],[Categoria]]="Bollette",Dati[[#This Row],[Categoria]]="Conto &amp; Carte BNL",Dati[[#This Row],[Categoria]]="Prelievo",Dati[[#This Row],[Categoria]]="Affitto",Dati[[#This Row],[Categoria]]="BNL(Interessi Creditori)"),"Carta",IF(Dati[[#This Row],[Categoria]]&lt;&gt;0,"Cash",""))</f>
        <v/>
      </c>
      <c r="K1247" s="59" t="str">
        <f>IF(OR(Data!$I1247=SottocategorieUscite[[#Headers],[Fuori Casa]],Data!$I1247=SottocategorieUscite[[#Headers],[Varie Uscite]],Data!$I1247=SottocategorieUscite[[#Headers],[Personali]],Data!$I1247=SottocategorieUscite[[#Headers],[Lavoro]]),"$ -","")</f>
        <v/>
      </c>
      <c r="L1247" s="59" t="str">
        <f>IF(OR(Data!$I1247=SottocategorieUscite[[#Headers],[Casa]],Data!$I1247=SottocategorieUscite[[#Headers],[Utenze]],Data!$I1247=SottocategorieUscite[[#Headers],[Business Uscite]],Data!$I1247=SottocategorieUscite[[#Headers],[Banca]]),"$ -","")</f>
        <v/>
      </c>
      <c r="M1247" s="59" t="str">
        <f>IF(OR($I1247&lt;&gt;SottocategorieUscite[[#Headers],[Fuori Casa]],$I1247&lt;&gt;SottocategorieUscite[[#Headers],[Varie Uscite]],$I1247&lt;&gt;SottocategorieUscite[[#Headers],[Personali]],$I1247&lt;&gt;SottocategorieUscite[[#Headers],[Lavoro]],$I1247&lt;&gt;SottocategorieUscite[[#Headers],[Casa]],$I1247&lt;&gt;SottocategorieUscite[[#Headers],[Utenze]],$I1247&lt;&gt;SottocategorieUscite[[#Headers],[Business Uscite]],$I1247&lt;&gt;SottocategorieUscite[[#Headers],[Banca]]),"","$ -")</f>
        <v/>
      </c>
      <c r="N1247" s="59" t="str">
        <f>IF(OR(Data!$I1247=SottocategorieEntrate[[#Headers],[Business Entrate]],Data!$I1247=SottocategorieEntrate[[#Headers],[Varie Entrate]]),"$ -","")</f>
        <v/>
      </c>
      <c r="O1247" s="59" t="str">
        <f>IF(OR(Data!$I1247=SottocategorieEntrate[[#Headers],[Real Estate]],SottocategorieEntrate[[#Headers],[Other]]),"$ -","")</f>
        <v/>
      </c>
      <c r="P1247" s="59" t="str">
        <f>IF(OR($I1247&lt;&gt;SottocategorieEntrate[[#Headers],[Business Entrate]],$I1247&lt;&gt;SottocategorieEntrate[[#Headers],[Varie Entrate]],$I1247&lt;&gt;SottocategorieEntrate[[#Headers],[Real Estate]],$I1247&lt;&gt;SottocategorieEntrate[[#Headers],[Other]]),"","$ -")</f>
        <v/>
      </c>
      <c r="Q1247" s="59" t="str">
        <f>IF(Dati[[#This Row],[Categoria]]="Prelievo","€ -","")</f>
        <v/>
      </c>
      <c r="R1247" s="244"/>
      <c r="S1247" s="59" t="str">
        <f>IF(Dati[[#This Row],[Categoria]]="Savings",0,"")</f>
        <v/>
      </c>
      <c r="T1247" s="59"/>
      <c r="U1247" s="59"/>
      <c r="V1247" s="59"/>
      <c r="W1247" s="59"/>
      <c r="X1247" s="59"/>
      <c r="Y1247" s="59"/>
      <c r="Z1247" s="59"/>
      <c r="AA1247" s="59"/>
      <c r="AB1247" s="59"/>
      <c r="AC1247" s="59"/>
      <c r="AD1247" s="59"/>
      <c r="AE1247" s="59"/>
      <c r="AF1247" s="59"/>
      <c r="AG1247" s="59"/>
      <c r="AH1247" s="59"/>
      <c r="AI1247" s="59" t="str">
        <f>IF(SUM(Dati[[#This Row],[Inv. Business]:[Inv. Cryptocurrency]])=0," ",SUM(Dati[[#This Row],[Inv. Business]:[Inv. Cryptocurrency]]))</f>
        <v xml:space="preserve"> </v>
      </c>
      <c r="AJ1247" s="59"/>
      <c r="AK1247" s="59" t="str">
        <f>IF(SUM(Dati[[#This Row],[Inv. Gold]:[Mutuo]])=0," ",SUM(Dati[[#This Row],[Inv. Gold]:[Mutuo]]))</f>
        <v xml:space="preserve"> </v>
      </c>
      <c r="AL1247" s="59"/>
      <c r="AM1247" s="59"/>
    </row>
    <row r="1248" spans="2:39" x14ac:dyDescent="0.35">
      <c r="B1248" s="237">
        <f>ROW(1215:1215)</f>
        <v>1215</v>
      </c>
      <c r="C1248" s="49">
        <f>C1245+1</f>
        <v>45834</v>
      </c>
      <c r="D1248" s="29">
        <f>DAY(Dati[[#This Row],[Data]])</f>
        <v>26</v>
      </c>
      <c r="E1248" s="29" t="str">
        <f>IF(DAY(Data!$C$21:$C$1327)&gt;0,TEXT(Data!$C$21:$C$1327, "mmmm"),"")</f>
        <v>giugno</v>
      </c>
      <c r="F1248" s="29" t="str">
        <f>IF(DAY(Data!$C$21:$C$1327)&gt;0,TEXT(Data!$C$21:$C$1327, "aaaa"),"")</f>
        <v>2025</v>
      </c>
      <c r="I1248" t="str">
        <f>IF(OR(H1248=$B$5,H1248=$B$6,H1248=$B$7,H1248=$B$8,H1248=$B$9,H1248=$B$10,H1248=$B$11,H1248=$B$12,H1248=$B$13,H1248=$B$14),SottocategorieUscite[[#Headers],[Fuori Casa]],IF(OR(H1248=$C$5,H1248=$C$6,H1248=$C$7,H1248=$C$8,H1248=$C$9,H1248=$C$10,H1248=$C$11,H1248=$C$12,H1248=$C$13,H1248=$C$14),SottocategorieUscite[[#Headers],[Varie Uscite]],IF(OR(H1248=$D$5,H1248=$D$6,H1248=$D$7,H1248=$D$8,H1248=$D$9,H1248=$D$10,H1248=$D$11,H1248=$D$12,H1248=$D$13,H1248=$D$14),SottocategorieUscite[[#Headers],[Personali]],IF(OR(H1248=$E$5,H1248=$E$6,H1248=$E$7,H1248=$E$8,H1248=$E$9,H1248=$E$10,H1248=$E$11,H1248=$E$12,H1248=$E$13,H1248=$E$14),SottocategorieUscite[[#Headers],[Lavoro]],IF(OR(H1248=$F$5,H1248=$F$6,H1248=$F$7,H1248=$F$8,H1248=$F$9,H1248=$F$10,H1248=$F$11,H1248=$F$12,H1248=$F$13,H1248=$F$14),SottocategorieUscite[[#Headers],[Casa]],IF(OR(H1248=$G$5,H1248=$G$6,H1248=$G$7,H1248=$G$8,H1248=$G$9,H1248=$G$10,H1248=$G$11,H1248=$G$12,H1248=$G$13,H1248=$G$14),SottocategorieUscite[[#Headers],[Utenze]],IF(OR(H1248=$H$5,H1248=$H$6,H1248=$H$7,H1248=$H$8,H1248=$H$9,H1248=$H$10,H1248=$H$11,H1248=$H$12,H1248=$H$13,H1248=$H$14),SottocategorieUscite[[#Headers],[Business Uscite]],IF(OR(H1248=$I$5,H1248=$I$6,H1248=$I$7,H1248=$I$8,H1248=$I$9,H1248=$I$10,H1248=$I$11,H1248=$I$12,H1248=$I$13,H1248=$I$14),SottocategorieUscite[[#Headers],[Banca]],IF(OR(H1248=K$5,H1248=K$6,H1248=K$7,H1248=K$8,H1248=K$9,H1248=K$10,H1248=K$11,H1248=K$12,H1248=K$13,H1248=K$14),SottocategorieEntrate[[#Headers],[Business Entrate]],IF(OR(H1248=L$5,H1248=L$6,H1248=L$7,H1248=L$8,H1248=L$9,H1248=L$10,H1248=L$11,H1248=L$12,H1248=L$13,H1248=L$14),SottocategorieEntrate[[#Headers],[Varie Entrate]],IF(OR(H1248=M$5,H1248=M$6,H1248=M$7,H1248=M$8,H1248=M$9,H1248=M$10,H1248=M$11,H1248=M$12,H1248=M$13,H1248=M$14),SottocategorieEntrate[[#Headers],[Real Estate]],IF(OR(H1248=N$5,H1248=N$6,H1248=N$7,H1248=N$8,H1248=N$9,H1248=N$10,H1248=N$11,H1248=N$12,H1248=N$13,H1248=N$14),SottocategorieEntrate[[#Headers],[Other]],""))))))))))))</f>
        <v/>
      </c>
      <c r="J1248" t="str">
        <f>IF(OR(Dati[[#This Row],[Categoria]]="Bollette",Dati[[#This Row],[Categoria]]="Conto &amp; Carte BNL",Dati[[#This Row],[Categoria]]="Prelievo",Dati[[#This Row],[Categoria]]="Affitto",Dati[[#This Row],[Categoria]]="BNL(Interessi Creditori)"),"Carta",IF(Dati[[#This Row],[Categoria]]&lt;&gt;0,"Cash",""))</f>
        <v/>
      </c>
      <c r="K1248" s="59" t="str">
        <f>IF(OR(Data!$I1248=SottocategorieUscite[[#Headers],[Fuori Casa]],Data!$I1248=SottocategorieUscite[[#Headers],[Varie Uscite]],Data!$I1248=SottocategorieUscite[[#Headers],[Personali]],Data!$I1248=SottocategorieUscite[[#Headers],[Lavoro]]),"$ -","")</f>
        <v/>
      </c>
      <c r="L1248" s="59" t="str">
        <f>IF(OR(Data!$I1248=SottocategorieUscite[[#Headers],[Casa]],Data!$I1248=SottocategorieUscite[[#Headers],[Utenze]],Data!$I1248=SottocategorieUscite[[#Headers],[Business Uscite]],Data!$I1248=SottocategorieUscite[[#Headers],[Banca]]),"$ -","")</f>
        <v/>
      </c>
      <c r="M1248" s="59" t="str">
        <f>IF(OR($I1248&lt;&gt;SottocategorieUscite[[#Headers],[Fuori Casa]],$I1248&lt;&gt;SottocategorieUscite[[#Headers],[Varie Uscite]],$I1248&lt;&gt;SottocategorieUscite[[#Headers],[Personali]],$I1248&lt;&gt;SottocategorieUscite[[#Headers],[Lavoro]],$I1248&lt;&gt;SottocategorieUscite[[#Headers],[Casa]],$I1248&lt;&gt;SottocategorieUscite[[#Headers],[Utenze]],$I1248&lt;&gt;SottocategorieUscite[[#Headers],[Business Uscite]],$I1248&lt;&gt;SottocategorieUscite[[#Headers],[Banca]]),"","$ -")</f>
        <v/>
      </c>
      <c r="N1248" s="59" t="str">
        <f>IF(OR(Data!$I1248=SottocategorieEntrate[[#Headers],[Business Entrate]],Data!$I1248=SottocategorieEntrate[[#Headers],[Varie Entrate]]),"$ -","")</f>
        <v/>
      </c>
      <c r="O1248" s="59" t="str">
        <f>IF(OR(Data!$I1248=SottocategorieEntrate[[#Headers],[Real Estate]],SottocategorieEntrate[[#Headers],[Other]]),"$ -","")</f>
        <v/>
      </c>
      <c r="P1248" s="59" t="str">
        <f>IF(OR($I1248&lt;&gt;SottocategorieEntrate[[#Headers],[Business Entrate]],$I1248&lt;&gt;SottocategorieEntrate[[#Headers],[Varie Entrate]],$I1248&lt;&gt;SottocategorieEntrate[[#Headers],[Real Estate]],$I1248&lt;&gt;SottocategorieEntrate[[#Headers],[Other]]),"","$ -")</f>
        <v/>
      </c>
      <c r="Q1248" s="59" t="str">
        <f>IF(Dati[[#This Row],[Categoria]]="Prelievo","€ -","")</f>
        <v/>
      </c>
      <c r="R1248" s="244"/>
      <c r="S1248" s="59" t="str">
        <f>IF(Dati[[#This Row],[Categoria]]="Savings",0,"")</f>
        <v/>
      </c>
      <c r="T1248" s="59"/>
      <c r="U1248" s="59"/>
      <c r="V1248" s="59"/>
      <c r="W1248" s="59"/>
      <c r="X1248" s="59"/>
      <c r="Y1248" s="59"/>
      <c r="Z1248" s="59"/>
      <c r="AA1248" s="59"/>
      <c r="AB1248" s="59"/>
      <c r="AC1248" s="59"/>
      <c r="AD1248" s="59"/>
      <c r="AE1248" s="59"/>
      <c r="AF1248" s="59"/>
      <c r="AG1248" s="59"/>
      <c r="AH1248" s="59"/>
      <c r="AI1248" s="59" t="str">
        <f>IF(SUM(Dati[[#This Row],[Inv. Business]:[Inv. Cryptocurrency]])=0," ",SUM(Dati[[#This Row],[Inv. Business]:[Inv. Cryptocurrency]]))</f>
        <v xml:space="preserve"> </v>
      </c>
      <c r="AJ1248" s="59"/>
      <c r="AK1248" s="59" t="str">
        <f>IF(SUM(Dati[[#This Row],[Inv. Gold]:[Mutuo]])=0," ",SUM(Dati[[#This Row],[Inv. Gold]:[Mutuo]]))</f>
        <v xml:space="preserve"> </v>
      </c>
      <c r="AL1248" s="59"/>
      <c r="AM1248" s="59"/>
    </row>
    <row r="1249" spans="2:39" x14ac:dyDescent="0.35">
      <c r="B1249" s="237">
        <f>ROW(1215:1215)</f>
        <v>1215</v>
      </c>
      <c r="C1249" s="49">
        <f>C1245+1</f>
        <v>45834</v>
      </c>
      <c r="D1249" s="29">
        <f>DAY(Dati[[#This Row],[Data]])</f>
        <v>26</v>
      </c>
      <c r="E1249" s="29" t="str">
        <f>IF(DAY(Data!$C$21:$C$1327)&gt;0,TEXT(Data!$C$21:$C$1327, "mmmm"),"")</f>
        <v>giugno</v>
      </c>
      <c r="F1249" s="29" t="str">
        <f>IF(DAY(Data!$C$21:$C$1327)&gt;0,TEXT(Data!$C$21:$C$1327, "aaaa"),"")</f>
        <v>2025</v>
      </c>
      <c r="I1249" t="str">
        <f>IF(OR(H1249=$B$5,H1249=$B$6,H1249=$B$7,H1249=$B$8,H1249=$B$9,H1249=$B$10,H1249=$B$11,H1249=$B$12,H1249=$B$13,H1249=$B$14),SottocategorieUscite[[#Headers],[Fuori Casa]],IF(OR(H1249=$C$5,H1249=$C$6,H1249=$C$7,H1249=$C$8,H1249=$C$9,H1249=$C$10,H1249=$C$11,H1249=$C$12,H1249=$C$13,H1249=$C$14),SottocategorieUscite[[#Headers],[Varie Uscite]],IF(OR(H1249=$D$5,H1249=$D$6,H1249=$D$7,H1249=$D$8,H1249=$D$9,H1249=$D$10,H1249=$D$11,H1249=$D$12,H1249=$D$13,H1249=$D$14),SottocategorieUscite[[#Headers],[Personali]],IF(OR(H1249=$E$5,H1249=$E$6,H1249=$E$7,H1249=$E$8,H1249=$E$9,H1249=$E$10,H1249=$E$11,H1249=$E$12,H1249=$E$13,H1249=$E$14),SottocategorieUscite[[#Headers],[Lavoro]],IF(OR(H1249=$F$5,H1249=$F$6,H1249=$F$7,H1249=$F$8,H1249=$F$9,H1249=$F$10,H1249=$F$11,H1249=$F$12,H1249=$F$13,H1249=$F$14),SottocategorieUscite[[#Headers],[Casa]],IF(OR(H1249=$G$5,H1249=$G$6,H1249=$G$7,H1249=$G$8,H1249=$G$9,H1249=$G$10,H1249=$G$11,H1249=$G$12,H1249=$G$13,H1249=$G$14),SottocategorieUscite[[#Headers],[Utenze]],IF(OR(H1249=$H$5,H1249=$H$6,H1249=$H$7,H1249=$H$8,H1249=$H$9,H1249=$H$10,H1249=$H$11,H1249=$H$12,H1249=$H$13,H1249=$H$14),SottocategorieUscite[[#Headers],[Business Uscite]],IF(OR(H1249=$I$5,H1249=$I$6,H1249=$I$7,H1249=$I$8,H1249=$I$9,H1249=$I$10,H1249=$I$11,H1249=$I$12,H1249=$I$13,H1249=$I$14),SottocategorieUscite[[#Headers],[Banca]],IF(OR(H1249=K$5,H1249=K$6,H1249=K$7,H1249=K$8,H1249=K$9,H1249=K$10,H1249=K$11,H1249=K$12,H1249=K$13,H1249=K$14),SottocategorieEntrate[[#Headers],[Business Entrate]],IF(OR(H1249=L$5,H1249=L$6,H1249=L$7,H1249=L$8,H1249=L$9,H1249=L$10,H1249=L$11,H1249=L$12,H1249=L$13,H1249=L$14),SottocategorieEntrate[[#Headers],[Varie Entrate]],IF(OR(H1249=M$5,H1249=M$6,H1249=M$7,H1249=M$8,H1249=M$9,H1249=M$10,H1249=M$11,H1249=M$12,H1249=M$13,H1249=M$14),SottocategorieEntrate[[#Headers],[Real Estate]],IF(OR(H1249=N$5,H1249=N$6,H1249=N$7,H1249=N$8,H1249=N$9,H1249=N$10,H1249=N$11,H1249=N$12,H1249=N$13,H1249=N$14),SottocategorieEntrate[[#Headers],[Other]],""))))))))))))</f>
        <v/>
      </c>
      <c r="J1249" t="str">
        <f>IF(OR(Dati[[#This Row],[Categoria]]="Bollette",Dati[[#This Row],[Categoria]]="Conto &amp; Carte BNL",Dati[[#This Row],[Categoria]]="Prelievo",Dati[[#This Row],[Categoria]]="Affitto",Dati[[#This Row],[Categoria]]="BNL(Interessi Creditori)"),"Carta",IF(Dati[[#This Row],[Categoria]]&lt;&gt;0,"Cash",""))</f>
        <v/>
      </c>
      <c r="K1249" s="59" t="str">
        <f>IF(OR(Data!$I1249=SottocategorieUscite[[#Headers],[Fuori Casa]],Data!$I1249=SottocategorieUscite[[#Headers],[Varie Uscite]],Data!$I1249=SottocategorieUscite[[#Headers],[Personali]],Data!$I1249=SottocategorieUscite[[#Headers],[Lavoro]]),"$ -","")</f>
        <v/>
      </c>
      <c r="L1249" s="59" t="str">
        <f>IF(OR(Data!$I1249=SottocategorieUscite[[#Headers],[Casa]],Data!$I1249=SottocategorieUscite[[#Headers],[Utenze]],Data!$I1249=SottocategorieUscite[[#Headers],[Business Uscite]],Data!$I1249=SottocategorieUscite[[#Headers],[Banca]]),"$ -","")</f>
        <v/>
      </c>
      <c r="M1249" s="59" t="str">
        <f>IF(OR($I1249&lt;&gt;SottocategorieUscite[[#Headers],[Fuori Casa]],$I1249&lt;&gt;SottocategorieUscite[[#Headers],[Varie Uscite]],$I1249&lt;&gt;SottocategorieUscite[[#Headers],[Personali]],$I1249&lt;&gt;SottocategorieUscite[[#Headers],[Lavoro]],$I1249&lt;&gt;SottocategorieUscite[[#Headers],[Casa]],$I1249&lt;&gt;SottocategorieUscite[[#Headers],[Utenze]],$I1249&lt;&gt;SottocategorieUscite[[#Headers],[Business Uscite]],$I1249&lt;&gt;SottocategorieUscite[[#Headers],[Banca]]),"","$ -")</f>
        <v/>
      </c>
      <c r="N1249" s="59" t="str">
        <f>IF(OR(Data!$I1249=SottocategorieEntrate[[#Headers],[Business Entrate]],Data!$I1249=SottocategorieEntrate[[#Headers],[Varie Entrate]]),"$ -","")</f>
        <v/>
      </c>
      <c r="O1249" s="59" t="str">
        <f>IF(OR(Data!$I1249=SottocategorieEntrate[[#Headers],[Real Estate]],SottocategorieEntrate[[#Headers],[Other]]),"$ -","")</f>
        <v/>
      </c>
      <c r="P1249" s="59" t="str">
        <f>IF(OR($I1249&lt;&gt;SottocategorieEntrate[[#Headers],[Business Entrate]],$I1249&lt;&gt;SottocategorieEntrate[[#Headers],[Varie Entrate]],$I1249&lt;&gt;SottocategorieEntrate[[#Headers],[Real Estate]],$I1249&lt;&gt;SottocategorieEntrate[[#Headers],[Other]]),"","$ -")</f>
        <v/>
      </c>
      <c r="Q1249" s="59" t="str">
        <f>IF(Dati[[#This Row],[Categoria]]="Prelievo","€ -","")</f>
        <v/>
      </c>
      <c r="R1249" s="244"/>
      <c r="S1249" s="59" t="str">
        <f>IF(Dati[[#This Row],[Categoria]]="Savings",0,"")</f>
        <v/>
      </c>
      <c r="T1249" s="59"/>
      <c r="U1249" s="59"/>
      <c r="V1249" s="59"/>
      <c r="W1249" s="59"/>
      <c r="X1249" s="59"/>
      <c r="Y1249" s="59"/>
      <c r="Z1249" s="59"/>
      <c r="AA1249" s="59"/>
      <c r="AB1249" s="59"/>
      <c r="AC1249" s="59"/>
      <c r="AD1249" s="59"/>
      <c r="AE1249" s="59"/>
      <c r="AF1249" s="59"/>
      <c r="AG1249" s="59"/>
      <c r="AH1249" s="59"/>
      <c r="AI1249" s="59" t="str">
        <f>IF(SUM(Dati[[#This Row],[Inv. Business]:[Inv. Cryptocurrency]])=0," ",SUM(Dati[[#This Row],[Inv. Business]:[Inv. Cryptocurrency]]))</f>
        <v xml:space="preserve"> </v>
      </c>
      <c r="AJ1249" s="59"/>
      <c r="AK1249" s="59" t="str">
        <f>IF(SUM(Dati[[#This Row],[Inv. Gold]:[Mutuo]])=0," ",SUM(Dati[[#This Row],[Inv. Gold]:[Mutuo]]))</f>
        <v xml:space="preserve"> </v>
      </c>
      <c r="AL1249" s="59"/>
      <c r="AM1249" s="59"/>
    </row>
    <row r="1250" spans="2:39" x14ac:dyDescent="0.35">
      <c r="B1250" s="237">
        <f>ROW(1216:1216)</f>
        <v>1216</v>
      </c>
      <c r="C1250" s="49">
        <f>C1246+1</f>
        <v>45835</v>
      </c>
      <c r="D1250" s="29">
        <f>DAY(Dati[[#This Row],[Data]])</f>
        <v>27</v>
      </c>
      <c r="E1250" s="29" t="str">
        <f>IF(DAY(Data!$C$21:$C$1327)&gt;0,TEXT(Data!$C$21:$C$1327, "mmmm"),"")</f>
        <v>giugno</v>
      </c>
      <c r="F1250" s="29" t="str">
        <f>IF(DAY(Data!$C$21:$C$1327)&gt;0,TEXT(Data!$C$21:$C$1327, "aaaa"),"")</f>
        <v>2025</v>
      </c>
      <c r="I1250" t="str">
        <f>IF(OR(H1250=$B$5,H1250=$B$6,H1250=$B$7,H1250=$B$8,H1250=$B$9,H1250=$B$10,H1250=$B$11,H1250=$B$12,H1250=$B$13,H1250=$B$14),SottocategorieUscite[[#Headers],[Fuori Casa]],IF(OR(H1250=$C$5,H1250=$C$6,H1250=$C$7,H1250=$C$8,H1250=$C$9,H1250=$C$10,H1250=$C$11,H1250=$C$12,H1250=$C$13,H1250=$C$14),SottocategorieUscite[[#Headers],[Varie Uscite]],IF(OR(H1250=$D$5,H1250=$D$6,H1250=$D$7,H1250=$D$8,H1250=$D$9,H1250=$D$10,H1250=$D$11,H1250=$D$12,H1250=$D$13,H1250=$D$14),SottocategorieUscite[[#Headers],[Personali]],IF(OR(H1250=$E$5,H1250=$E$6,H1250=$E$7,H1250=$E$8,H1250=$E$9,H1250=$E$10,H1250=$E$11,H1250=$E$12,H1250=$E$13,H1250=$E$14),SottocategorieUscite[[#Headers],[Lavoro]],IF(OR(H1250=$F$5,H1250=$F$6,H1250=$F$7,H1250=$F$8,H1250=$F$9,H1250=$F$10,H1250=$F$11,H1250=$F$12,H1250=$F$13,H1250=$F$14),SottocategorieUscite[[#Headers],[Casa]],IF(OR(H1250=$G$5,H1250=$G$6,H1250=$G$7,H1250=$G$8,H1250=$G$9,H1250=$G$10,H1250=$G$11,H1250=$G$12,H1250=$G$13,H1250=$G$14),SottocategorieUscite[[#Headers],[Utenze]],IF(OR(H1250=$H$5,H1250=$H$6,H1250=$H$7,H1250=$H$8,H1250=$H$9,H1250=$H$10,H1250=$H$11,H1250=$H$12,H1250=$H$13,H1250=$H$14),SottocategorieUscite[[#Headers],[Business Uscite]],IF(OR(H1250=$I$5,H1250=$I$6,H1250=$I$7,H1250=$I$8,H1250=$I$9,H1250=$I$10,H1250=$I$11,H1250=$I$12,H1250=$I$13,H1250=$I$14),SottocategorieUscite[[#Headers],[Banca]],IF(OR(H1250=K$5,H1250=K$6,H1250=K$7,H1250=K$8,H1250=K$9,H1250=K$10,H1250=K$11,H1250=K$12,H1250=K$13,H1250=K$14),SottocategorieEntrate[[#Headers],[Business Entrate]],IF(OR(H1250=L$5,H1250=L$6,H1250=L$7,H1250=L$8,H1250=L$9,H1250=L$10,H1250=L$11,H1250=L$12,H1250=L$13,H1250=L$14),SottocategorieEntrate[[#Headers],[Varie Entrate]],IF(OR(H1250=M$5,H1250=M$6,H1250=M$7,H1250=M$8,H1250=M$9,H1250=M$10,H1250=M$11,H1250=M$12,H1250=M$13,H1250=M$14),SottocategorieEntrate[[#Headers],[Real Estate]],IF(OR(H1250=N$5,H1250=N$6,H1250=N$7,H1250=N$8,H1250=N$9,H1250=N$10,H1250=N$11,H1250=N$12,H1250=N$13,H1250=N$14),SottocategorieEntrate[[#Headers],[Other]],""))))))))))))</f>
        <v/>
      </c>
      <c r="J1250" t="str">
        <f>IF(OR(Dati[[#This Row],[Categoria]]="Bollette",Dati[[#This Row],[Categoria]]="Conto &amp; Carte BNL",Dati[[#This Row],[Categoria]]="Prelievo",Dati[[#This Row],[Categoria]]="Affitto",Dati[[#This Row],[Categoria]]="BNL(Interessi Creditori)"),"Carta",IF(Dati[[#This Row],[Categoria]]&lt;&gt;0,"Cash",""))</f>
        <v/>
      </c>
      <c r="K1250" s="59" t="str">
        <f>IF(OR(Data!$I1250=SottocategorieUscite[[#Headers],[Fuori Casa]],Data!$I1250=SottocategorieUscite[[#Headers],[Varie Uscite]],Data!$I1250=SottocategorieUscite[[#Headers],[Personali]],Data!$I1250=SottocategorieUscite[[#Headers],[Lavoro]]),"$ -","")</f>
        <v/>
      </c>
      <c r="L1250" s="59" t="str">
        <f>IF(OR(Data!$I1250=SottocategorieUscite[[#Headers],[Casa]],Data!$I1250=SottocategorieUscite[[#Headers],[Utenze]],Data!$I1250=SottocategorieUscite[[#Headers],[Business Uscite]],Data!$I1250=SottocategorieUscite[[#Headers],[Banca]]),"$ -","")</f>
        <v/>
      </c>
      <c r="M1250" s="59" t="str">
        <f>IF(OR($I1250&lt;&gt;SottocategorieUscite[[#Headers],[Fuori Casa]],$I1250&lt;&gt;SottocategorieUscite[[#Headers],[Varie Uscite]],$I1250&lt;&gt;SottocategorieUscite[[#Headers],[Personali]],$I1250&lt;&gt;SottocategorieUscite[[#Headers],[Lavoro]],$I1250&lt;&gt;SottocategorieUscite[[#Headers],[Casa]],$I1250&lt;&gt;SottocategorieUscite[[#Headers],[Utenze]],$I1250&lt;&gt;SottocategorieUscite[[#Headers],[Business Uscite]],$I1250&lt;&gt;SottocategorieUscite[[#Headers],[Banca]]),"","$ -")</f>
        <v/>
      </c>
      <c r="N1250" s="59" t="str">
        <f>IF(OR(Data!$I1250=SottocategorieEntrate[[#Headers],[Business Entrate]],Data!$I1250=SottocategorieEntrate[[#Headers],[Varie Entrate]]),"$ -","")</f>
        <v/>
      </c>
      <c r="O1250" s="59" t="str">
        <f>IF(OR(Data!$I1250=SottocategorieEntrate[[#Headers],[Real Estate]],SottocategorieEntrate[[#Headers],[Other]]),"$ -","")</f>
        <v/>
      </c>
      <c r="P1250" s="59" t="str">
        <f>IF(OR($I1250&lt;&gt;SottocategorieEntrate[[#Headers],[Business Entrate]],$I1250&lt;&gt;SottocategorieEntrate[[#Headers],[Varie Entrate]],$I1250&lt;&gt;SottocategorieEntrate[[#Headers],[Real Estate]],$I1250&lt;&gt;SottocategorieEntrate[[#Headers],[Other]]),"","$ -")</f>
        <v/>
      </c>
      <c r="Q1250" s="59" t="str">
        <f>IF(Dati[[#This Row],[Categoria]]="Prelievo","€ -","")</f>
        <v/>
      </c>
      <c r="R1250" s="244"/>
      <c r="S1250" s="59" t="str">
        <f>IF(Dati[[#This Row],[Categoria]]="Savings",0,"")</f>
        <v/>
      </c>
      <c r="T1250" s="59"/>
      <c r="U1250" s="59"/>
      <c r="V1250" s="59"/>
      <c r="W1250" s="59"/>
      <c r="X1250" s="59"/>
      <c r="Y1250" s="59"/>
      <c r="Z1250" s="59"/>
      <c r="AA1250" s="59"/>
      <c r="AB1250" s="59"/>
      <c r="AC1250" s="59"/>
      <c r="AD1250" s="59"/>
      <c r="AE1250" s="59"/>
      <c r="AF1250" s="59"/>
      <c r="AG1250" s="59"/>
      <c r="AH1250" s="59"/>
      <c r="AI1250" s="59" t="str">
        <f>IF(SUM(Dati[[#This Row],[Inv. Business]:[Inv. Cryptocurrency]])=0," ",SUM(Dati[[#This Row],[Inv. Business]:[Inv. Cryptocurrency]]))</f>
        <v xml:space="preserve"> </v>
      </c>
      <c r="AJ1250" s="59"/>
      <c r="AK1250" s="59" t="str">
        <f>IF(SUM(Dati[[#This Row],[Inv. Gold]:[Mutuo]])=0," ",SUM(Dati[[#This Row],[Inv. Gold]:[Mutuo]]))</f>
        <v xml:space="preserve"> </v>
      </c>
      <c r="AL1250" s="59"/>
      <c r="AM1250" s="59"/>
    </row>
    <row r="1251" spans="2:39" x14ac:dyDescent="0.35">
      <c r="B1251" s="237">
        <f>ROW(1216:1216)</f>
        <v>1216</v>
      </c>
      <c r="C1251" s="49">
        <f t="shared" ref="C1251:C1252" si="89">C1249+1</f>
        <v>45835</v>
      </c>
      <c r="D1251" s="29">
        <f>DAY(Dati[[#This Row],[Data]])</f>
        <v>27</v>
      </c>
      <c r="E1251" s="29" t="str">
        <f>IF(DAY(Data!$C$21:$C$1327)&gt;0,TEXT(Data!$C$21:$C$1327, "mmmm"),"")</f>
        <v>giugno</v>
      </c>
      <c r="F1251" s="29" t="str">
        <f>IF(DAY(Data!$C$21:$C$1327)&gt;0,TEXT(Data!$C$21:$C$1327, "aaaa"),"")</f>
        <v>2025</v>
      </c>
      <c r="I1251" t="str">
        <f>IF(OR(H1251=$B$5,H1251=$B$6,H1251=$B$7,H1251=$B$8,H1251=$B$9,H1251=$B$10,H1251=$B$11,H1251=$B$12,H1251=$B$13,H1251=$B$14),SottocategorieUscite[[#Headers],[Fuori Casa]],IF(OR(H1251=$C$5,H1251=$C$6,H1251=$C$7,H1251=$C$8,H1251=$C$9,H1251=$C$10,H1251=$C$11,H1251=$C$12,H1251=$C$13,H1251=$C$14),SottocategorieUscite[[#Headers],[Varie Uscite]],IF(OR(H1251=$D$5,H1251=$D$6,H1251=$D$7,H1251=$D$8,H1251=$D$9,H1251=$D$10,H1251=$D$11,H1251=$D$12,H1251=$D$13,H1251=$D$14),SottocategorieUscite[[#Headers],[Personali]],IF(OR(H1251=$E$5,H1251=$E$6,H1251=$E$7,H1251=$E$8,H1251=$E$9,H1251=$E$10,H1251=$E$11,H1251=$E$12,H1251=$E$13,H1251=$E$14),SottocategorieUscite[[#Headers],[Lavoro]],IF(OR(H1251=$F$5,H1251=$F$6,H1251=$F$7,H1251=$F$8,H1251=$F$9,H1251=$F$10,H1251=$F$11,H1251=$F$12,H1251=$F$13,H1251=$F$14),SottocategorieUscite[[#Headers],[Casa]],IF(OR(H1251=$G$5,H1251=$G$6,H1251=$G$7,H1251=$G$8,H1251=$G$9,H1251=$G$10,H1251=$G$11,H1251=$G$12,H1251=$G$13,H1251=$G$14),SottocategorieUscite[[#Headers],[Utenze]],IF(OR(H1251=$H$5,H1251=$H$6,H1251=$H$7,H1251=$H$8,H1251=$H$9,H1251=$H$10,H1251=$H$11,H1251=$H$12,H1251=$H$13,H1251=$H$14),SottocategorieUscite[[#Headers],[Business Uscite]],IF(OR(H1251=$I$5,H1251=$I$6,H1251=$I$7,H1251=$I$8,H1251=$I$9,H1251=$I$10,H1251=$I$11,H1251=$I$12,H1251=$I$13,H1251=$I$14),SottocategorieUscite[[#Headers],[Banca]],IF(OR(H1251=K$5,H1251=K$6,H1251=K$7,H1251=K$8,H1251=K$9,H1251=K$10,H1251=K$11,H1251=K$12,H1251=K$13,H1251=K$14),SottocategorieEntrate[[#Headers],[Business Entrate]],IF(OR(H1251=L$5,H1251=L$6,H1251=L$7,H1251=L$8,H1251=L$9,H1251=L$10,H1251=L$11,H1251=L$12,H1251=L$13,H1251=L$14),SottocategorieEntrate[[#Headers],[Varie Entrate]],IF(OR(H1251=M$5,H1251=M$6,H1251=M$7,H1251=M$8,H1251=M$9,H1251=M$10,H1251=M$11,H1251=M$12,H1251=M$13,H1251=M$14),SottocategorieEntrate[[#Headers],[Real Estate]],IF(OR(H1251=N$5,H1251=N$6,H1251=N$7,H1251=N$8,H1251=N$9,H1251=N$10,H1251=N$11,H1251=N$12,H1251=N$13,H1251=N$14),SottocategorieEntrate[[#Headers],[Other]],""))))))))))))</f>
        <v/>
      </c>
      <c r="J1251" t="str">
        <f>IF(OR(Dati[[#This Row],[Categoria]]="Bollette",Dati[[#This Row],[Categoria]]="Conto &amp; Carte BNL",Dati[[#This Row],[Categoria]]="Prelievo",Dati[[#This Row],[Categoria]]="Affitto",Dati[[#This Row],[Categoria]]="BNL(Interessi Creditori)"),"Carta",IF(Dati[[#This Row],[Categoria]]&lt;&gt;0,"Cash",""))</f>
        <v/>
      </c>
      <c r="K1251" s="59" t="str">
        <f>IF(OR(Data!$I1251=SottocategorieUscite[[#Headers],[Fuori Casa]],Data!$I1251=SottocategorieUscite[[#Headers],[Varie Uscite]],Data!$I1251=SottocategorieUscite[[#Headers],[Personali]],Data!$I1251=SottocategorieUscite[[#Headers],[Lavoro]]),"$ -","")</f>
        <v/>
      </c>
      <c r="L1251" s="59" t="str">
        <f>IF(OR(Data!$I1251=SottocategorieUscite[[#Headers],[Casa]],Data!$I1251=SottocategorieUscite[[#Headers],[Utenze]],Data!$I1251=SottocategorieUscite[[#Headers],[Business Uscite]],Data!$I1251=SottocategorieUscite[[#Headers],[Banca]]),"$ -","")</f>
        <v/>
      </c>
      <c r="M1251" s="59" t="str">
        <f>IF(OR($I1251&lt;&gt;SottocategorieUscite[[#Headers],[Fuori Casa]],$I1251&lt;&gt;SottocategorieUscite[[#Headers],[Varie Uscite]],$I1251&lt;&gt;SottocategorieUscite[[#Headers],[Personali]],$I1251&lt;&gt;SottocategorieUscite[[#Headers],[Lavoro]],$I1251&lt;&gt;SottocategorieUscite[[#Headers],[Casa]],$I1251&lt;&gt;SottocategorieUscite[[#Headers],[Utenze]],$I1251&lt;&gt;SottocategorieUscite[[#Headers],[Business Uscite]],$I1251&lt;&gt;SottocategorieUscite[[#Headers],[Banca]]),"","$ -")</f>
        <v/>
      </c>
      <c r="N1251" s="59" t="str">
        <f>IF(OR(Data!$I1251=SottocategorieEntrate[[#Headers],[Business Entrate]],Data!$I1251=SottocategorieEntrate[[#Headers],[Varie Entrate]]),"$ -","")</f>
        <v/>
      </c>
      <c r="O1251" s="59" t="str">
        <f>IF(OR(Data!$I1251=SottocategorieEntrate[[#Headers],[Real Estate]],SottocategorieEntrate[[#Headers],[Other]]),"$ -","")</f>
        <v/>
      </c>
      <c r="P1251" s="59" t="str">
        <f>IF(OR($I1251&lt;&gt;SottocategorieEntrate[[#Headers],[Business Entrate]],$I1251&lt;&gt;SottocategorieEntrate[[#Headers],[Varie Entrate]],$I1251&lt;&gt;SottocategorieEntrate[[#Headers],[Real Estate]],$I1251&lt;&gt;SottocategorieEntrate[[#Headers],[Other]]),"","$ -")</f>
        <v/>
      </c>
      <c r="Q1251" s="59" t="str">
        <f>IF(Dati[[#This Row],[Categoria]]="Prelievo","€ -","")</f>
        <v/>
      </c>
      <c r="R1251" s="244"/>
      <c r="S1251" s="59" t="str">
        <f>IF(Dati[[#This Row],[Categoria]]="Savings",0,"")</f>
        <v/>
      </c>
      <c r="T1251" s="59"/>
      <c r="U1251" s="59"/>
      <c r="V1251" s="59"/>
      <c r="W1251" s="59"/>
      <c r="X1251" s="59"/>
      <c r="Y1251" s="59"/>
      <c r="Z1251" s="59"/>
      <c r="AA1251" s="59"/>
      <c r="AB1251" s="59"/>
      <c r="AC1251" s="59"/>
      <c r="AD1251" s="59"/>
      <c r="AE1251" s="59"/>
      <c r="AF1251" s="59"/>
      <c r="AG1251" s="59"/>
      <c r="AH1251" s="59"/>
      <c r="AI1251" s="59" t="str">
        <f>IF(SUM(Dati[[#This Row],[Inv. Business]:[Inv. Cryptocurrency]])=0," ",SUM(Dati[[#This Row],[Inv. Business]:[Inv. Cryptocurrency]]))</f>
        <v xml:space="preserve"> </v>
      </c>
      <c r="AJ1251" s="59"/>
      <c r="AK1251" s="59" t="str">
        <f>IF(SUM(Dati[[#This Row],[Inv. Gold]:[Mutuo]])=0," ",SUM(Dati[[#This Row],[Inv. Gold]:[Mutuo]]))</f>
        <v xml:space="preserve"> </v>
      </c>
      <c r="AL1251" s="59"/>
      <c r="AM1251" s="59"/>
    </row>
    <row r="1252" spans="2:39" x14ac:dyDescent="0.35">
      <c r="B1252" s="237">
        <f>ROW(1217:1217)</f>
        <v>1217</v>
      </c>
      <c r="C1252" s="49">
        <f t="shared" si="89"/>
        <v>45836</v>
      </c>
      <c r="D1252" s="29">
        <f>DAY(Dati[[#This Row],[Data]])</f>
        <v>28</v>
      </c>
      <c r="E1252" s="29" t="str">
        <f>IF(DAY(Data!$C$21:$C$1327)&gt;0,TEXT(Data!$C$21:$C$1327, "mmmm"),"")</f>
        <v>giugno</v>
      </c>
      <c r="F1252" s="29" t="str">
        <f>IF(DAY(Data!$C$21:$C$1327)&gt;0,TEXT(Data!$C$21:$C$1327, "aaaa"),"")</f>
        <v>2025</v>
      </c>
      <c r="I1252" t="str">
        <f>IF(OR(H1252=$B$5,H1252=$B$6,H1252=$B$7,H1252=$B$8,H1252=$B$9,H1252=$B$10,H1252=$B$11,H1252=$B$12,H1252=$B$13,H1252=$B$14),SottocategorieUscite[[#Headers],[Fuori Casa]],IF(OR(H1252=$C$5,H1252=$C$6,H1252=$C$7,H1252=$C$8,H1252=$C$9,H1252=$C$10,H1252=$C$11,H1252=$C$12,H1252=$C$13,H1252=$C$14),SottocategorieUscite[[#Headers],[Varie Uscite]],IF(OR(H1252=$D$5,H1252=$D$6,H1252=$D$7,H1252=$D$8,H1252=$D$9,H1252=$D$10,H1252=$D$11,H1252=$D$12,H1252=$D$13,H1252=$D$14),SottocategorieUscite[[#Headers],[Personali]],IF(OR(H1252=$E$5,H1252=$E$6,H1252=$E$7,H1252=$E$8,H1252=$E$9,H1252=$E$10,H1252=$E$11,H1252=$E$12,H1252=$E$13,H1252=$E$14),SottocategorieUscite[[#Headers],[Lavoro]],IF(OR(H1252=$F$5,H1252=$F$6,H1252=$F$7,H1252=$F$8,H1252=$F$9,H1252=$F$10,H1252=$F$11,H1252=$F$12,H1252=$F$13,H1252=$F$14),SottocategorieUscite[[#Headers],[Casa]],IF(OR(H1252=$G$5,H1252=$G$6,H1252=$G$7,H1252=$G$8,H1252=$G$9,H1252=$G$10,H1252=$G$11,H1252=$G$12,H1252=$G$13,H1252=$G$14),SottocategorieUscite[[#Headers],[Utenze]],IF(OR(H1252=$H$5,H1252=$H$6,H1252=$H$7,H1252=$H$8,H1252=$H$9,H1252=$H$10,H1252=$H$11,H1252=$H$12,H1252=$H$13,H1252=$H$14),SottocategorieUscite[[#Headers],[Business Uscite]],IF(OR(H1252=$I$5,H1252=$I$6,H1252=$I$7,H1252=$I$8,H1252=$I$9,H1252=$I$10,H1252=$I$11,H1252=$I$12,H1252=$I$13,H1252=$I$14),SottocategorieUscite[[#Headers],[Banca]],IF(OR(H1252=K$5,H1252=K$6,H1252=K$7,H1252=K$8,H1252=K$9,H1252=K$10,H1252=K$11,H1252=K$12,H1252=K$13,H1252=K$14),SottocategorieEntrate[[#Headers],[Business Entrate]],IF(OR(H1252=L$5,H1252=L$6,H1252=L$7,H1252=L$8,H1252=L$9,H1252=L$10,H1252=L$11,H1252=L$12,H1252=L$13,H1252=L$14),SottocategorieEntrate[[#Headers],[Varie Entrate]],IF(OR(H1252=M$5,H1252=M$6,H1252=M$7,H1252=M$8,H1252=M$9,H1252=M$10,H1252=M$11,H1252=M$12,H1252=M$13,H1252=M$14),SottocategorieEntrate[[#Headers],[Real Estate]],IF(OR(H1252=N$5,H1252=N$6,H1252=N$7,H1252=N$8,H1252=N$9,H1252=N$10,H1252=N$11,H1252=N$12,H1252=N$13,H1252=N$14),SottocategorieEntrate[[#Headers],[Other]],""))))))))))))</f>
        <v/>
      </c>
      <c r="J1252" t="str">
        <f>IF(OR(Dati[[#This Row],[Categoria]]="Bollette",Dati[[#This Row],[Categoria]]="Conto &amp; Carte BNL",Dati[[#This Row],[Categoria]]="Prelievo",Dati[[#This Row],[Categoria]]="Affitto",Dati[[#This Row],[Categoria]]="BNL(Interessi Creditori)"),"Carta",IF(Dati[[#This Row],[Categoria]]&lt;&gt;0,"Cash",""))</f>
        <v/>
      </c>
      <c r="K1252" s="59" t="str">
        <f>IF(OR(Data!$I1252=SottocategorieUscite[[#Headers],[Fuori Casa]],Data!$I1252=SottocategorieUscite[[#Headers],[Varie Uscite]],Data!$I1252=SottocategorieUscite[[#Headers],[Personali]],Data!$I1252=SottocategorieUscite[[#Headers],[Lavoro]]),"$ -","")</f>
        <v/>
      </c>
      <c r="L1252" s="59" t="str">
        <f>IF(OR(Data!$I1252=SottocategorieUscite[[#Headers],[Casa]],Data!$I1252=SottocategorieUscite[[#Headers],[Utenze]],Data!$I1252=SottocategorieUscite[[#Headers],[Business Uscite]],Data!$I1252=SottocategorieUscite[[#Headers],[Banca]]),"$ -","")</f>
        <v/>
      </c>
      <c r="M1252" s="59" t="str">
        <f>IF(OR($I1252&lt;&gt;SottocategorieUscite[[#Headers],[Fuori Casa]],$I1252&lt;&gt;SottocategorieUscite[[#Headers],[Varie Uscite]],$I1252&lt;&gt;SottocategorieUscite[[#Headers],[Personali]],$I1252&lt;&gt;SottocategorieUscite[[#Headers],[Lavoro]],$I1252&lt;&gt;SottocategorieUscite[[#Headers],[Casa]],$I1252&lt;&gt;SottocategorieUscite[[#Headers],[Utenze]],$I1252&lt;&gt;SottocategorieUscite[[#Headers],[Business Uscite]],$I1252&lt;&gt;SottocategorieUscite[[#Headers],[Banca]]),"","$ -")</f>
        <v/>
      </c>
      <c r="N1252" s="59" t="str">
        <f>IF(OR(Data!$I1252=SottocategorieEntrate[[#Headers],[Business Entrate]],Data!$I1252=SottocategorieEntrate[[#Headers],[Varie Entrate]]),"$ -","")</f>
        <v/>
      </c>
      <c r="O1252" s="59" t="str">
        <f>IF(OR(Data!$I1252=SottocategorieEntrate[[#Headers],[Real Estate]],SottocategorieEntrate[[#Headers],[Other]]),"$ -","")</f>
        <v/>
      </c>
      <c r="P1252" s="59" t="str">
        <f>IF(OR($I1252&lt;&gt;SottocategorieEntrate[[#Headers],[Business Entrate]],$I1252&lt;&gt;SottocategorieEntrate[[#Headers],[Varie Entrate]],$I1252&lt;&gt;SottocategorieEntrate[[#Headers],[Real Estate]],$I1252&lt;&gt;SottocategorieEntrate[[#Headers],[Other]]),"","$ -")</f>
        <v/>
      </c>
      <c r="Q1252" s="59" t="str">
        <f>IF(Dati[[#This Row],[Categoria]]="Prelievo","€ -","")</f>
        <v/>
      </c>
      <c r="R1252" s="244"/>
      <c r="S1252" s="59" t="str">
        <f>IF(Dati[[#This Row],[Categoria]]="Savings",0,"")</f>
        <v/>
      </c>
      <c r="T1252" s="59"/>
      <c r="U1252" s="59"/>
      <c r="V1252" s="59"/>
      <c r="W1252" s="59"/>
      <c r="X1252" s="59"/>
      <c r="Y1252" s="59"/>
      <c r="Z1252" s="59"/>
      <c r="AA1252" s="59"/>
      <c r="AB1252" s="59"/>
      <c r="AC1252" s="59"/>
      <c r="AD1252" s="59"/>
      <c r="AE1252" s="59"/>
      <c r="AF1252" s="59"/>
      <c r="AG1252" s="59"/>
      <c r="AH1252" s="59"/>
      <c r="AI1252" s="59" t="str">
        <f>IF(SUM(Dati[[#This Row],[Inv. Business]:[Inv. Cryptocurrency]])=0," ",SUM(Dati[[#This Row],[Inv. Business]:[Inv. Cryptocurrency]]))</f>
        <v xml:space="preserve"> </v>
      </c>
      <c r="AJ1252" s="59"/>
      <c r="AK1252" s="59" t="str">
        <f>IF(SUM(Dati[[#This Row],[Inv. Gold]:[Mutuo]])=0," ",SUM(Dati[[#This Row],[Inv. Gold]:[Mutuo]]))</f>
        <v xml:space="preserve"> </v>
      </c>
      <c r="AL1252" s="59"/>
      <c r="AM1252" s="59"/>
    </row>
    <row r="1253" spans="2:39" x14ac:dyDescent="0.35">
      <c r="B1253" s="237">
        <f>ROW(1217:1217)</f>
        <v>1217</v>
      </c>
      <c r="C1253" s="49">
        <f>C1250+1</f>
        <v>45836</v>
      </c>
      <c r="D1253" s="29">
        <f>DAY(Dati[[#This Row],[Data]])</f>
        <v>28</v>
      </c>
      <c r="E1253" s="29" t="str">
        <f>IF(DAY(Data!$C$21:$C$1327)&gt;0,TEXT(Data!$C$21:$C$1327, "mmmm"),"")</f>
        <v>giugno</v>
      </c>
      <c r="F1253" s="29" t="str">
        <f>IF(DAY(Data!$C$21:$C$1327)&gt;0,TEXT(Data!$C$21:$C$1327, "aaaa"),"")</f>
        <v>2025</v>
      </c>
      <c r="I1253" t="str">
        <f>IF(OR(H1253=$B$5,H1253=$B$6,H1253=$B$7,H1253=$B$8,H1253=$B$9,H1253=$B$10,H1253=$B$11,H1253=$B$12,H1253=$B$13,H1253=$B$14),SottocategorieUscite[[#Headers],[Fuori Casa]],IF(OR(H1253=$C$5,H1253=$C$6,H1253=$C$7,H1253=$C$8,H1253=$C$9,H1253=$C$10,H1253=$C$11,H1253=$C$12,H1253=$C$13,H1253=$C$14),SottocategorieUscite[[#Headers],[Varie Uscite]],IF(OR(H1253=$D$5,H1253=$D$6,H1253=$D$7,H1253=$D$8,H1253=$D$9,H1253=$D$10,H1253=$D$11,H1253=$D$12,H1253=$D$13,H1253=$D$14),SottocategorieUscite[[#Headers],[Personali]],IF(OR(H1253=$E$5,H1253=$E$6,H1253=$E$7,H1253=$E$8,H1253=$E$9,H1253=$E$10,H1253=$E$11,H1253=$E$12,H1253=$E$13,H1253=$E$14),SottocategorieUscite[[#Headers],[Lavoro]],IF(OR(H1253=$F$5,H1253=$F$6,H1253=$F$7,H1253=$F$8,H1253=$F$9,H1253=$F$10,H1253=$F$11,H1253=$F$12,H1253=$F$13,H1253=$F$14),SottocategorieUscite[[#Headers],[Casa]],IF(OR(H1253=$G$5,H1253=$G$6,H1253=$G$7,H1253=$G$8,H1253=$G$9,H1253=$G$10,H1253=$G$11,H1253=$G$12,H1253=$G$13,H1253=$G$14),SottocategorieUscite[[#Headers],[Utenze]],IF(OR(H1253=$H$5,H1253=$H$6,H1253=$H$7,H1253=$H$8,H1253=$H$9,H1253=$H$10,H1253=$H$11,H1253=$H$12,H1253=$H$13,H1253=$H$14),SottocategorieUscite[[#Headers],[Business Uscite]],IF(OR(H1253=$I$5,H1253=$I$6,H1253=$I$7,H1253=$I$8,H1253=$I$9,H1253=$I$10,H1253=$I$11,H1253=$I$12,H1253=$I$13,H1253=$I$14),SottocategorieUscite[[#Headers],[Banca]],IF(OR(H1253=K$5,H1253=K$6,H1253=K$7,H1253=K$8,H1253=K$9,H1253=K$10,H1253=K$11,H1253=K$12,H1253=K$13,H1253=K$14),SottocategorieEntrate[[#Headers],[Business Entrate]],IF(OR(H1253=L$5,H1253=L$6,H1253=L$7,H1253=L$8,H1253=L$9,H1253=L$10,H1253=L$11,H1253=L$12,H1253=L$13,H1253=L$14),SottocategorieEntrate[[#Headers],[Varie Entrate]],IF(OR(H1253=M$5,H1253=M$6,H1253=M$7,H1253=M$8,H1253=M$9,H1253=M$10,H1253=M$11,H1253=M$12,H1253=M$13,H1253=M$14),SottocategorieEntrate[[#Headers],[Real Estate]],IF(OR(H1253=N$5,H1253=N$6,H1253=N$7,H1253=N$8,H1253=N$9,H1253=N$10,H1253=N$11,H1253=N$12,H1253=N$13,H1253=N$14),SottocategorieEntrate[[#Headers],[Other]],""))))))))))))</f>
        <v/>
      </c>
      <c r="J1253" t="str">
        <f>IF(OR(Dati[[#This Row],[Categoria]]="Bollette",Dati[[#This Row],[Categoria]]="Conto &amp; Carte BNL",Dati[[#This Row],[Categoria]]="Prelievo",Dati[[#This Row],[Categoria]]="Affitto",Dati[[#This Row],[Categoria]]="BNL(Interessi Creditori)"),"Carta",IF(Dati[[#This Row],[Categoria]]&lt;&gt;0,"Cash",""))</f>
        <v/>
      </c>
      <c r="K1253" s="59" t="str">
        <f>IF(OR(Data!$I1253=SottocategorieUscite[[#Headers],[Fuori Casa]],Data!$I1253=SottocategorieUscite[[#Headers],[Varie Uscite]],Data!$I1253=SottocategorieUscite[[#Headers],[Personali]],Data!$I1253=SottocategorieUscite[[#Headers],[Lavoro]]),"$ -","")</f>
        <v/>
      </c>
      <c r="L1253" s="59" t="str">
        <f>IF(OR(Data!$I1253=SottocategorieUscite[[#Headers],[Casa]],Data!$I1253=SottocategorieUscite[[#Headers],[Utenze]],Data!$I1253=SottocategorieUscite[[#Headers],[Business Uscite]],Data!$I1253=SottocategorieUscite[[#Headers],[Banca]]),"$ -","")</f>
        <v/>
      </c>
      <c r="M1253" s="59" t="str">
        <f>IF(OR($I1253&lt;&gt;SottocategorieUscite[[#Headers],[Fuori Casa]],$I1253&lt;&gt;SottocategorieUscite[[#Headers],[Varie Uscite]],$I1253&lt;&gt;SottocategorieUscite[[#Headers],[Personali]],$I1253&lt;&gt;SottocategorieUscite[[#Headers],[Lavoro]],$I1253&lt;&gt;SottocategorieUscite[[#Headers],[Casa]],$I1253&lt;&gt;SottocategorieUscite[[#Headers],[Utenze]],$I1253&lt;&gt;SottocategorieUscite[[#Headers],[Business Uscite]],$I1253&lt;&gt;SottocategorieUscite[[#Headers],[Banca]]),"","$ -")</f>
        <v/>
      </c>
      <c r="N1253" s="59" t="str">
        <f>IF(OR(Data!$I1253=SottocategorieEntrate[[#Headers],[Business Entrate]],Data!$I1253=SottocategorieEntrate[[#Headers],[Varie Entrate]]),"$ -","")</f>
        <v/>
      </c>
      <c r="O1253" s="59" t="str">
        <f>IF(OR(Data!$I1253=SottocategorieEntrate[[#Headers],[Real Estate]],SottocategorieEntrate[[#Headers],[Other]]),"$ -","")</f>
        <v/>
      </c>
      <c r="P1253" s="59" t="str">
        <f>IF(OR($I1253&lt;&gt;SottocategorieEntrate[[#Headers],[Business Entrate]],$I1253&lt;&gt;SottocategorieEntrate[[#Headers],[Varie Entrate]],$I1253&lt;&gt;SottocategorieEntrate[[#Headers],[Real Estate]],$I1253&lt;&gt;SottocategorieEntrate[[#Headers],[Other]]),"","$ -")</f>
        <v/>
      </c>
      <c r="Q1253" s="59" t="str">
        <f>IF(Dati[[#This Row],[Categoria]]="Prelievo","€ -","")</f>
        <v/>
      </c>
      <c r="R1253" s="244"/>
      <c r="S1253" s="59" t="str">
        <f>IF(Dati[[#This Row],[Categoria]]="Savings",0,"")</f>
        <v/>
      </c>
      <c r="T1253" s="59"/>
      <c r="U1253" s="59"/>
      <c r="V1253" s="59"/>
      <c r="W1253" s="59"/>
      <c r="X1253" s="59"/>
      <c r="Y1253" s="59"/>
      <c r="Z1253" s="59"/>
      <c r="AA1253" s="59"/>
      <c r="AB1253" s="59"/>
      <c r="AC1253" s="59"/>
      <c r="AD1253" s="59"/>
      <c r="AE1253" s="59"/>
      <c r="AF1253" s="59"/>
      <c r="AG1253" s="59"/>
      <c r="AH1253" s="59"/>
      <c r="AI1253" s="59" t="str">
        <f>IF(SUM(Dati[[#This Row],[Inv. Business]:[Inv. Cryptocurrency]])=0," ",SUM(Dati[[#This Row],[Inv. Business]:[Inv. Cryptocurrency]]))</f>
        <v xml:space="preserve"> </v>
      </c>
      <c r="AJ1253" s="59"/>
      <c r="AK1253" s="59" t="str">
        <f>IF(SUM(Dati[[#This Row],[Inv. Gold]:[Mutuo]])=0," ",SUM(Dati[[#This Row],[Inv. Gold]:[Mutuo]]))</f>
        <v xml:space="preserve"> </v>
      </c>
      <c r="AL1253" s="59"/>
      <c r="AM1253" s="59"/>
    </row>
    <row r="1254" spans="2:39" x14ac:dyDescent="0.35">
      <c r="B1254" s="237">
        <f>ROW(1218:1218)</f>
        <v>1218</v>
      </c>
      <c r="C1254" s="49">
        <f>C1252+1</f>
        <v>45837</v>
      </c>
      <c r="D1254" s="29">
        <f>DAY(Dati[[#This Row],[Data]])</f>
        <v>29</v>
      </c>
      <c r="E1254" s="29" t="str">
        <f>IF(DAY(Data!$C$21:$C$1327)&gt;0,TEXT(Data!$C$21:$C$1327, "mmmm"),"")</f>
        <v>giugno</v>
      </c>
      <c r="F1254" s="29" t="str">
        <f>IF(DAY(Data!$C$21:$C$1327)&gt;0,TEXT(Data!$C$21:$C$1327, "aaaa"),"")</f>
        <v>2025</v>
      </c>
      <c r="I1254" t="str">
        <f>IF(OR(H1254=$B$5,H1254=$B$6,H1254=$B$7,H1254=$B$8,H1254=$B$9,H1254=$B$10,H1254=$B$11,H1254=$B$12,H1254=$B$13,H1254=$B$14),SottocategorieUscite[[#Headers],[Fuori Casa]],IF(OR(H1254=$C$5,H1254=$C$6,H1254=$C$7,H1254=$C$8,H1254=$C$9,H1254=$C$10,H1254=$C$11,H1254=$C$12,H1254=$C$13,H1254=$C$14),SottocategorieUscite[[#Headers],[Varie Uscite]],IF(OR(H1254=$D$5,H1254=$D$6,H1254=$D$7,H1254=$D$8,H1254=$D$9,H1254=$D$10,H1254=$D$11,H1254=$D$12,H1254=$D$13,H1254=$D$14),SottocategorieUscite[[#Headers],[Personali]],IF(OR(H1254=$E$5,H1254=$E$6,H1254=$E$7,H1254=$E$8,H1254=$E$9,H1254=$E$10,H1254=$E$11,H1254=$E$12,H1254=$E$13,H1254=$E$14),SottocategorieUscite[[#Headers],[Lavoro]],IF(OR(H1254=$F$5,H1254=$F$6,H1254=$F$7,H1254=$F$8,H1254=$F$9,H1254=$F$10,H1254=$F$11,H1254=$F$12,H1254=$F$13,H1254=$F$14),SottocategorieUscite[[#Headers],[Casa]],IF(OR(H1254=$G$5,H1254=$G$6,H1254=$G$7,H1254=$G$8,H1254=$G$9,H1254=$G$10,H1254=$G$11,H1254=$G$12,H1254=$G$13,H1254=$G$14),SottocategorieUscite[[#Headers],[Utenze]],IF(OR(H1254=$H$5,H1254=$H$6,H1254=$H$7,H1254=$H$8,H1254=$H$9,H1254=$H$10,H1254=$H$11,H1254=$H$12,H1254=$H$13,H1254=$H$14),SottocategorieUscite[[#Headers],[Business Uscite]],IF(OR(H1254=$I$5,H1254=$I$6,H1254=$I$7,H1254=$I$8,H1254=$I$9,H1254=$I$10,H1254=$I$11,H1254=$I$12,H1254=$I$13,H1254=$I$14),SottocategorieUscite[[#Headers],[Banca]],IF(OR(H1254=K$5,H1254=K$6,H1254=K$7,H1254=K$8,H1254=K$9,H1254=K$10,H1254=K$11,H1254=K$12,H1254=K$13,H1254=K$14),SottocategorieEntrate[[#Headers],[Business Entrate]],IF(OR(H1254=L$5,H1254=L$6,H1254=L$7,H1254=L$8,H1254=L$9,H1254=L$10,H1254=L$11,H1254=L$12,H1254=L$13,H1254=L$14),SottocategorieEntrate[[#Headers],[Varie Entrate]],IF(OR(H1254=M$5,H1254=M$6,H1254=M$7,H1254=M$8,H1254=M$9,H1254=M$10,H1254=M$11,H1254=M$12,H1254=M$13,H1254=M$14),SottocategorieEntrate[[#Headers],[Real Estate]],IF(OR(H1254=N$5,H1254=N$6,H1254=N$7,H1254=N$8,H1254=N$9,H1254=N$10,H1254=N$11,H1254=N$12,H1254=N$13,H1254=N$14),SottocategorieEntrate[[#Headers],[Other]],""))))))))))))</f>
        <v/>
      </c>
      <c r="J1254" t="str">
        <f>IF(OR(Dati[[#This Row],[Categoria]]="Bollette",Dati[[#This Row],[Categoria]]="Conto &amp; Carte BNL",Dati[[#This Row],[Categoria]]="Prelievo",Dati[[#This Row],[Categoria]]="Affitto",Dati[[#This Row],[Categoria]]="BNL(Interessi Creditori)"),"Carta",IF(Dati[[#This Row],[Categoria]]&lt;&gt;0,"Cash",""))</f>
        <v/>
      </c>
      <c r="K1254" s="59" t="str">
        <f>IF(OR(Data!$I1254=SottocategorieUscite[[#Headers],[Fuori Casa]],Data!$I1254=SottocategorieUscite[[#Headers],[Varie Uscite]],Data!$I1254=SottocategorieUscite[[#Headers],[Personali]],Data!$I1254=SottocategorieUscite[[#Headers],[Lavoro]]),"$ -","")</f>
        <v/>
      </c>
      <c r="L1254" s="59" t="str">
        <f>IF(OR(Data!$I1254=SottocategorieUscite[[#Headers],[Casa]],Data!$I1254=SottocategorieUscite[[#Headers],[Utenze]],Data!$I1254=SottocategorieUscite[[#Headers],[Business Uscite]],Data!$I1254=SottocategorieUscite[[#Headers],[Banca]]),"$ -","")</f>
        <v/>
      </c>
      <c r="M1254" s="59" t="str">
        <f>IF(OR($I1254&lt;&gt;SottocategorieUscite[[#Headers],[Fuori Casa]],$I1254&lt;&gt;SottocategorieUscite[[#Headers],[Varie Uscite]],$I1254&lt;&gt;SottocategorieUscite[[#Headers],[Personali]],$I1254&lt;&gt;SottocategorieUscite[[#Headers],[Lavoro]],$I1254&lt;&gt;SottocategorieUscite[[#Headers],[Casa]],$I1254&lt;&gt;SottocategorieUscite[[#Headers],[Utenze]],$I1254&lt;&gt;SottocategorieUscite[[#Headers],[Business Uscite]],$I1254&lt;&gt;SottocategorieUscite[[#Headers],[Banca]]),"","$ -")</f>
        <v/>
      </c>
      <c r="N1254" s="59" t="str">
        <f>IF(OR(Data!$I1254=SottocategorieEntrate[[#Headers],[Business Entrate]],Data!$I1254=SottocategorieEntrate[[#Headers],[Varie Entrate]]),"$ -","")</f>
        <v/>
      </c>
      <c r="O1254" s="59" t="str">
        <f>IF(OR(Data!$I1254=SottocategorieEntrate[[#Headers],[Real Estate]],SottocategorieEntrate[[#Headers],[Other]]),"$ -","")</f>
        <v/>
      </c>
      <c r="P1254" s="59" t="str">
        <f>IF(OR($I1254&lt;&gt;SottocategorieEntrate[[#Headers],[Business Entrate]],$I1254&lt;&gt;SottocategorieEntrate[[#Headers],[Varie Entrate]],$I1254&lt;&gt;SottocategorieEntrate[[#Headers],[Real Estate]],$I1254&lt;&gt;SottocategorieEntrate[[#Headers],[Other]]),"","$ -")</f>
        <v/>
      </c>
      <c r="Q1254" s="59" t="str">
        <f>IF(Dati[[#This Row],[Categoria]]="Prelievo","€ -","")</f>
        <v/>
      </c>
      <c r="R1254" s="244"/>
      <c r="S1254" s="59" t="str">
        <f>IF(Dati[[#This Row],[Categoria]]="Savings",0,"")</f>
        <v/>
      </c>
      <c r="T1254" s="59"/>
      <c r="U1254" s="59"/>
      <c r="V1254" s="59"/>
      <c r="W1254" s="59"/>
      <c r="X1254" s="59"/>
      <c r="Y1254" s="59"/>
      <c r="Z1254" s="59"/>
      <c r="AA1254" s="59"/>
      <c r="AB1254" s="59"/>
      <c r="AC1254" s="59"/>
      <c r="AD1254" s="59"/>
      <c r="AE1254" s="59"/>
      <c r="AF1254" s="59"/>
      <c r="AG1254" s="59"/>
      <c r="AH1254" s="59"/>
      <c r="AI1254" s="59" t="str">
        <f>IF(SUM(Dati[[#This Row],[Inv. Business]:[Inv. Cryptocurrency]])=0," ",SUM(Dati[[#This Row],[Inv. Business]:[Inv. Cryptocurrency]]))</f>
        <v xml:space="preserve"> </v>
      </c>
      <c r="AJ1254" s="59"/>
      <c r="AK1254" s="59" t="str">
        <f>IF(SUM(Dati[[#This Row],[Inv. Gold]:[Mutuo]])=0," ",SUM(Dati[[#This Row],[Inv. Gold]:[Mutuo]]))</f>
        <v xml:space="preserve"> </v>
      </c>
      <c r="AL1254" s="59"/>
      <c r="AM1254" s="59"/>
    </row>
    <row r="1255" spans="2:39" x14ac:dyDescent="0.35">
      <c r="B1255" s="237">
        <f>ROW(1219:1219)</f>
        <v>1219</v>
      </c>
      <c r="C1255" s="49">
        <f t="shared" si="85"/>
        <v>45838</v>
      </c>
      <c r="D1255" s="29">
        <f>DAY(Dati[[#This Row],[Data]])</f>
        <v>30</v>
      </c>
      <c r="E1255" s="29" t="str">
        <f>IF(DAY(Data!$C$21:$C$1327)&gt;0,TEXT(Data!$C$21:$C$1327, "mmmm"),"")</f>
        <v>giugno</v>
      </c>
      <c r="F1255" s="29" t="str">
        <f>IF(DAY(Data!$C$21:$C$1327)&gt;0,TEXT(Data!$C$21:$C$1327, "aaaa"),"")</f>
        <v>2025</v>
      </c>
      <c r="I1255" t="str">
        <f>IF(OR(H1255=$B$5,H1255=$B$6,H1255=$B$7,H1255=$B$8,H1255=$B$9,H1255=$B$10,H1255=$B$11,H1255=$B$12,H1255=$B$13,H1255=$B$14),SottocategorieUscite[[#Headers],[Fuori Casa]],IF(OR(H1255=$C$5,H1255=$C$6,H1255=$C$7,H1255=$C$8,H1255=$C$9,H1255=$C$10,H1255=$C$11,H1255=$C$12,H1255=$C$13,H1255=$C$14),SottocategorieUscite[[#Headers],[Varie Uscite]],IF(OR(H1255=$D$5,H1255=$D$6,H1255=$D$7,H1255=$D$8,H1255=$D$9,H1255=$D$10,H1255=$D$11,H1255=$D$12,H1255=$D$13,H1255=$D$14),SottocategorieUscite[[#Headers],[Personali]],IF(OR(H1255=$E$5,H1255=$E$6,H1255=$E$7,H1255=$E$8,H1255=$E$9,H1255=$E$10,H1255=$E$11,H1255=$E$12,H1255=$E$13,H1255=$E$14),SottocategorieUscite[[#Headers],[Lavoro]],IF(OR(H1255=$F$5,H1255=$F$6,H1255=$F$7,H1255=$F$8,H1255=$F$9,H1255=$F$10,H1255=$F$11,H1255=$F$12,H1255=$F$13,H1255=$F$14),SottocategorieUscite[[#Headers],[Casa]],IF(OR(H1255=$G$5,H1255=$G$6,H1255=$G$7,H1255=$G$8,H1255=$G$9,H1255=$G$10,H1255=$G$11,H1255=$G$12,H1255=$G$13,H1255=$G$14),SottocategorieUscite[[#Headers],[Utenze]],IF(OR(H1255=$H$5,H1255=$H$6,H1255=$H$7,H1255=$H$8,H1255=$H$9,H1255=$H$10,H1255=$H$11,H1255=$H$12,H1255=$H$13,H1255=$H$14),SottocategorieUscite[[#Headers],[Business Uscite]],IF(OR(H1255=$I$5,H1255=$I$6,H1255=$I$7,H1255=$I$8,H1255=$I$9,H1255=$I$10,H1255=$I$11,H1255=$I$12,H1255=$I$13,H1255=$I$14),SottocategorieUscite[[#Headers],[Banca]],IF(OR(H1255=K$5,H1255=K$6,H1255=K$7,H1255=K$8,H1255=K$9,H1255=K$10,H1255=K$11,H1255=K$12,H1255=K$13,H1255=K$14),SottocategorieEntrate[[#Headers],[Business Entrate]],IF(OR(H1255=L$5,H1255=L$6,H1255=L$7,H1255=L$8,H1255=L$9,H1255=L$10,H1255=L$11,H1255=L$12,H1255=L$13,H1255=L$14),SottocategorieEntrate[[#Headers],[Varie Entrate]],IF(OR(H1255=M$5,H1255=M$6,H1255=M$7,H1255=M$8,H1255=M$9,H1255=M$10,H1255=M$11,H1255=M$12,H1255=M$13,H1255=M$14),SottocategorieEntrate[[#Headers],[Real Estate]],IF(OR(H1255=N$5,H1255=N$6,H1255=N$7,H1255=N$8,H1255=N$9,H1255=N$10,H1255=N$11,H1255=N$12,H1255=N$13,H1255=N$14),SottocategorieEntrate[[#Headers],[Other]],""))))))))))))</f>
        <v/>
      </c>
      <c r="J1255" t="str">
        <f>IF(OR(Dati[[#This Row],[Categoria]]="Bollette",Dati[[#This Row],[Categoria]]="Conto &amp; Carte BNL",Dati[[#This Row],[Categoria]]="Prelievo",Dati[[#This Row],[Categoria]]="Affitto",Dati[[#This Row],[Categoria]]="BNL(Interessi Creditori)"),"Carta",IF(Dati[[#This Row],[Categoria]]&lt;&gt;0,"Cash",""))</f>
        <v/>
      </c>
      <c r="K1255" s="59" t="str">
        <f>IF(OR(Data!$I1255=SottocategorieUscite[[#Headers],[Fuori Casa]],Data!$I1255=SottocategorieUscite[[#Headers],[Varie Uscite]],Data!$I1255=SottocategorieUscite[[#Headers],[Personali]],Data!$I1255=SottocategorieUscite[[#Headers],[Lavoro]]),"$ -","")</f>
        <v/>
      </c>
      <c r="L1255" s="59" t="str">
        <f>IF(OR(Data!$I1255=SottocategorieUscite[[#Headers],[Casa]],Data!$I1255=SottocategorieUscite[[#Headers],[Utenze]],Data!$I1255=SottocategorieUscite[[#Headers],[Business Uscite]],Data!$I1255=SottocategorieUscite[[#Headers],[Banca]]),"$ -","")</f>
        <v/>
      </c>
      <c r="M1255" s="59" t="str">
        <f>IF(OR($I1255&lt;&gt;SottocategorieUscite[[#Headers],[Fuori Casa]],$I1255&lt;&gt;SottocategorieUscite[[#Headers],[Varie Uscite]],$I1255&lt;&gt;SottocategorieUscite[[#Headers],[Personali]],$I1255&lt;&gt;SottocategorieUscite[[#Headers],[Lavoro]],$I1255&lt;&gt;SottocategorieUscite[[#Headers],[Casa]],$I1255&lt;&gt;SottocategorieUscite[[#Headers],[Utenze]],$I1255&lt;&gt;SottocategorieUscite[[#Headers],[Business Uscite]],$I1255&lt;&gt;SottocategorieUscite[[#Headers],[Banca]]),"","$ -")</f>
        <v/>
      </c>
      <c r="N1255" s="59" t="str">
        <f>IF(OR(Data!$I1255=SottocategorieEntrate[[#Headers],[Business Entrate]],Data!$I1255=SottocategorieEntrate[[#Headers],[Varie Entrate]]),"$ -","")</f>
        <v/>
      </c>
      <c r="O1255" s="59" t="str">
        <f>IF(OR(Data!$I1255=SottocategorieEntrate[[#Headers],[Real Estate]],SottocategorieEntrate[[#Headers],[Other]]),"$ -","")</f>
        <v/>
      </c>
      <c r="P1255" s="59" t="str">
        <f>IF(OR($I1255&lt;&gt;SottocategorieEntrate[[#Headers],[Business Entrate]],$I1255&lt;&gt;SottocategorieEntrate[[#Headers],[Varie Entrate]],$I1255&lt;&gt;SottocategorieEntrate[[#Headers],[Real Estate]],$I1255&lt;&gt;SottocategorieEntrate[[#Headers],[Other]]),"","$ -")</f>
        <v/>
      </c>
      <c r="Q1255" s="59" t="str">
        <f>IF(Dati[[#This Row],[Categoria]]="Prelievo","€ -","")</f>
        <v/>
      </c>
      <c r="R1255" s="244"/>
      <c r="S1255" s="59" t="str">
        <f>IF(Dati[[#This Row],[Categoria]]="Savings",0,"")</f>
        <v/>
      </c>
      <c r="T1255" s="59"/>
      <c r="U1255" s="59"/>
      <c r="V1255" s="59"/>
      <c r="W1255" s="59"/>
      <c r="X1255" s="59"/>
      <c r="Y1255" s="59"/>
      <c r="Z1255" s="59"/>
      <c r="AA1255" s="59"/>
      <c r="AB1255" s="59"/>
      <c r="AC1255" s="59"/>
      <c r="AD1255" s="59"/>
      <c r="AE1255" s="59"/>
      <c r="AF1255" s="59"/>
      <c r="AG1255" s="59"/>
      <c r="AH1255" s="59"/>
      <c r="AI1255" s="59" t="str">
        <f>IF(SUM(Dati[[#This Row],[Inv. Business]:[Inv. Cryptocurrency]])=0," ",SUM(Dati[[#This Row],[Inv. Business]:[Inv. Cryptocurrency]]))</f>
        <v xml:space="preserve"> </v>
      </c>
      <c r="AJ1255" s="59"/>
      <c r="AK1255" s="59" t="str">
        <f>IF(SUM(Dati[[#This Row],[Inv. Gold]:[Mutuo]])=0," ",SUM(Dati[[#This Row],[Inv. Gold]:[Mutuo]]))</f>
        <v xml:space="preserve"> </v>
      </c>
      <c r="AL1255" s="59"/>
      <c r="AM1255" s="59"/>
    </row>
    <row r="1256" spans="2:39" x14ac:dyDescent="0.35">
      <c r="B1256" s="237">
        <f>ROW(1222:1222)</f>
        <v>1222</v>
      </c>
      <c r="C1256" s="49">
        <f>C1254+1</f>
        <v>45838</v>
      </c>
      <c r="D1256" s="29">
        <f>DAY(Dati[[#This Row],[Data]])</f>
        <v>30</v>
      </c>
      <c r="E1256" s="29" t="str">
        <f>IF(DAY(Data!$C$21:$C$1327)&gt;0,TEXT(Data!$C$21:$C$1327, "mmmm"),"")</f>
        <v>giugno</v>
      </c>
      <c r="F1256" s="29" t="str">
        <f>IF(DAY(Data!$C$21:$C$1327)&gt;0,TEXT(Data!$C$21:$C$1327, "aaaa"),"")</f>
        <v>2025</v>
      </c>
      <c r="I1256" t="str">
        <f>IF(OR(H1256=$B$5,H1256=$B$6,H1256=$B$7,H1256=$B$8,H1256=$B$9,H1256=$B$10,H1256=$B$11,H1256=$B$12,H1256=$B$13,H1256=$B$14),SottocategorieUscite[[#Headers],[Fuori Casa]],IF(OR(H1256=$C$5,H1256=$C$6,H1256=$C$7,H1256=$C$8,H1256=$C$9,H1256=$C$10,H1256=$C$11,H1256=$C$12,H1256=$C$13,H1256=$C$14),SottocategorieUscite[[#Headers],[Varie Uscite]],IF(OR(H1256=$D$5,H1256=$D$6,H1256=$D$7,H1256=$D$8,H1256=$D$9,H1256=$D$10,H1256=$D$11,H1256=$D$12,H1256=$D$13,H1256=$D$14),SottocategorieUscite[[#Headers],[Personali]],IF(OR(H1256=$E$5,H1256=$E$6,H1256=$E$7,H1256=$E$8,H1256=$E$9,H1256=$E$10,H1256=$E$11,H1256=$E$12,H1256=$E$13,H1256=$E$14),SottocategorieUscite[[#Headers],[Lavoro]],IF(OR(H1256=$F$5,H1256=$F$6,H1256=$F$7,H1256=$F$8,H1256=$F$9,H1256=$F$10,H1256=$F$11,H1256=$F$12,H1256=$F$13,H1256=$F$14),SottocategorieUscite[[#Headers],[Casa]],IF(OR(H1256=$G$5,H1256=$G$6,H1256=$G$7,H1256=$G$8,H1256=$G$9,H1256=$G$10,H1256=$G$11,H1256=$G$12,H1256=$G$13,H1256=$G$14),SottocategorieUscite[[#Headers],[Utenze]],IF(OR(H1256=$H$5,H1256=$H$6,H1256=$H$7,H1256=$H$8,H1256=$H$9,H1256=$H$10,H1256=$H$11,H1256=$H$12,H1256=$H$13,H1256=$H$14),SottocategorieUscite[[#Headers],[Business Uscite]],IF(OR(H1256=$I$5,H1256=$I$6,H1256=$I$7,H1256=$I$8,H1256=$I$9,H1256=$I$10,H1256=$I$11,H1256=$I$12,H1256=$I$13,H1256=$I$14),SottocategorieUscite[[#Headers],[Banca]],IF(OR(H1256=K$5,H1256=K$6,H1256=K$7,H1256=K$8,H1256=K$9,H1256=K$10,H1256=K$11,H1256=K$12,H1256=K$13,H1256=K$14),SottocategorieEntrate[[#Headers],[Business Entrate]],IF(OR(H1256=L$5,H1256=L$6,H1256=L$7,H1256=L$8,H1256=L$9,H1256=L$10,H1256=L$11,H1256=L$12,H1256=L$13,H1256=L$14),SottocategorieEntrate[[#Headers],[Varie Entrate]],IF(OR(H1256=M$5,H1256=M$6,H1256=M$7,H1256=M$8,H1256=M$9,H1256=M$10,H1256=M$11,H1256=M$12,H1256=M$13,H1256=M$14),SottocategorieEntrate[[#Headers],[Real Estate]],IF(OR(H1256=N$5,H1256=N$6,H1256=N$7,H1256=N$8,H1256=N$9,H1256=N$10,H1256=N$11,H1256=N$12,H1256=N$13,H1256=N$14),SottocategorieEntrate[[#Headers],[Other]],""))))))))))))</f>
        <v/>
      </c>
      <c r="J1256" t="str">
        <f>IF(OR(Dati[[#This Row],[Categoria]]="Bollette",Dati[[#This Row],[Categoria]]="Conto &amp; Carte BNL",Dati[[#This Row],[Categoria]]="Prelievo",Dati[[#This Row],[Categoria]]="Affitto",Dati[[#This Row],[Categoria]]="BNL(Interessi Creditori)"),"Carta",IF(Dati[[#This Row],[Categoria]]&lt;&gt;0,"Cash",""))</f>
        <v/>
      </c>
      <c r="K1256" s="59" t="str">
        <f>IF(OR(Data!$I1256=SottocategorieUscite[[#Headers],[Fuori Casa]],Data!$I1256=SottocategorieUscite[[#Headers],[Varie Uscite]],Data!$I1256=SottocategorieUscite[[#Headers],[Personali]],Data!$I1256=SottocategorieUscite[[#Headers],[Lavoro]]),"$ -","")</f>
        <v/>
      </c>
      <c r="L1256" s="59" t="str">
        <f>IF(OR(Data!$I1256=SottocategorieUscite[[#Headers],[Casa]],Data!$I1256=SottocategorieUscite[[#Headers],[Utenze]],Data!$I1256=SottocategorieUscite[[#Headers],[Business Uscite]],Data!$I1256=SottocategorieUscite[[#Headers],[Banca]]),"$ -","")</f>
        <v/>
      </c>
      <c r="M1256" s="59" t="str">
        <f>IF(OR($I1256&lt;&gt;SottocategorieUscite[[#Headers],[Fuori Casa]],$I1256&lt;&gt;SottocategorieUscite[[#Headers],[Varie Uscite]],$I1256&lt;&gt;SottocategorieUscite[[#Headers],[Personali]],$I1256&lt;&gt;SottocategorieUscite[[#Headers],[Lavoro]],$I1256&lt;&gt;SottocategorieUscite[[#Headers],[Casa]],$I1256&lt;&gt;SottocategorieUscite[[#Headers],[Utenze]],$I1256&lt;&gt;SottocategorieUscite[[#Headers],[Business Uscite]],$I1256&lt;&gt;SottocategorieUscite[[#Headers],[Banca]]),"","$ -")</f>
        <v/>
      </c>
      <c r="N1256" s="59" t="str">
        <f>IF(OR(Data!$I1256=SottocategorieEntrate[[#Headers],[Business Entrate]],Data!$I1256=SottocategorieEntrate[[#Headers],[Varie Entrate]]),"$ -","")</f>
        <v/>
      </c>
      <c r="O1256" s="59" t="str">
        <f>IF(OR(Data!$I1256=SottocategorieEntrate[[#Headers],[Real Estate]],SottocategorieEntrate[[#Headers],[Other]]),"$ -","")</f>
        <v/>
      </c>
      <c r="P1256" s="59" t="str">
        <f>IF(OR($I1256&lt;&gt;SottocategorieEntrate[[#Headers],[Business Entrate]],$I1256&lt;&gt;SottocategorieEntrate[[#Headers],[Varie Entrate]],$I1256&lt;&gt;SottocategorieEntrate[[#Headers],[Real Estate]],$I1256&lt;&gt;SottocategorieEntrate[[#Headers],[Other]]),"","$ -")</f>
        <v/>
      </c>
      <c r="Q1256" s="59" t="str">
        <f>IF(Dati[[#This Row],[Categoria]]="Prelievo","€ -","")</f>
        <v/>
      </c>
      <c r="R1256" s="244"/>
      <c r="S1256" s="59" t="str">
        <f>IF(Dati[[#This Row],[Categoria]]="Savings",0,"")</f>
        <v/>
      </c>
      <c r="T1256" s="59"/>
      <c r="U1256" s="59"/>
      <c r="V1256" s="59"/>
      <c r="W1256" s="59"/>
      <c r="X1256" s="59"/>
      <c r="Y1256" s="59"/>
      <c r="Z1256" s="59"/>
      <c r="AA1256" s="59"/>
      <c r="AB1256" s="59"/>
      <c r="AC1256" s="59"/>
      <c r="AD1256" s="59"/>
      <c r="AE1256" s="59"/>
      <c r="AF1256" s="59"/>
      <c r="AG1256" s="59"/>
      <c r="AH1256" s="59"/>
      <c r="AI1256" s="59" t="str">
        <f>IF(SUM(Dati[[#This Row],[Inv. Business]:[Inv. Cryptocurrency]])=0," ",SUM(Dati[[#This Row],[Inv. Business]:[Inv. Cryptocurrency]]))</f>
        <v xml:space="preserve"> </v>
      </c>
      <c r="AJ1256" s="59"/>
      <c r="AK1256" s="59" t="str">
        <f>IF(SUM(Dati[[#This Row],[Inv. Gold]:[Mutuo]])=0," ",SUM(Dati[[#This Row],[Inv. Gold]:[Mutuo]]))</f>
        <v xml:space="preserve"> </v>
      </c>
      <c r="AL1256" s="59"/>
      <c r="AM1256" s="59"/>
    </row>
    <row r="1257" spans="2:39" x14ac:dyDescent="0.35">
      <c r="B1257" s="237">
        <f>ROW(1222:1222)</f>
        <v>1222</v>
      </c>
      <c r="C1257" s="49">
        <f>C1254+1</f>
        <v>45838</v>
      </c>
      <c r="D1257" s="29">
        <f>DAY(Dati[[#This Row],[Data]])</f>
        <v>30</v>
      </c>
      <c r="E1257" s="29" t="str">
        <f>IF(DAY(Data!$C$21:$C$1327)&gt;0,TEXT(Data!$C$21:$C$1327, "mmmm"),"")</f>
        <v>giugno</v>
      </c>
      <c r="F1257" s="29" t="str">
        <f>IF(DAY(Data!$C$21:$C$1327)&gt;0,TEXT(Data!$C$21:$C$1327, "aaaa"),"")</f>
        <v>2025</v>
      </c>
      <c r="I1257" t="str">
        <f>IF(OR(H1257=$B$5,H1257=$B$6,H1257=$B$7,H1257=$B$8,H1257=$B$9,H1257=$B$10,H1257=$B$11,H1257=$B$12,H1257=$B$13,H1257=$B$14),SottocategorieUscite[[#Headers],[Fuori Casa]],IF(OR(H1257=$C$5,H1257=$C$6,H1257=$C$7,H1257=$C$8,H1257=$C$9,H1257=$C$10,H1257=$C$11,H1257=$C$12,H1257=$C$13,H1257=$C$14),SottocategorieUscite[[#Headers],[Varie Uscite]],IF(OR(H1257=$D$5,H1257=$D$6,H1257=$D$7,H1257=$D$8,H1257=$D$9,H1257=$D$10,H1257=$D$11,H1257=$D$12,H1257=$D$13,H1257=$D$14),SottocategorieUscite[[#Headers],[Personali]],IF(OR(H1257=$E$5,H1257=$E$6,H1257=$E$7,H1257=$E$8,H1257=$E$9,H1257=$E$10,H1257=$E$11,H1257=$E$12,H1257=$E$13,H1257=$E$14),SottocategorieUscite[[#Headers],[Lavoro]],IF(OR(H1257=$F$5,H1257=$F$6,H1257=$F$7,H1257=$F$8,H1257=$F$9,H1257=$F$10,H1257=$F$11,H1257=$F$12,H1257=$F$13,H1257=$F$14),SottocategorieUscite[[#Headers],[Casa]],IF(OR(H1257=$G$5,H1257=$G$6,H1257=$G$7,H1257=$G$8,H1257=$G$9,H1257=$G$10,H1257=$G$11,H1257=$G$12,H1257=$G$13,H1257=$G$14),SottocategorieUscite[[#Headers],[Utenze]],IF(OR(H1257=$H$5,H1257=$H$6,H1257=$H$7,H1257=$H$8,H1257=$H$9,H1257=$H$10,H1257=$H$11,H1257=$H$12,H1257=$H$13,H1257=$H$14),SottocategorieUscite[[#Headers],[Business Uscite]],IF(OR(H1257=$I$5,H1257=$I$6,H1257=$I$7,H1257=$I$8,H1257=$I$9,H1257=$I$10,H1257=$I$11,H1257=$I$12,H1257=$I$13,H1257=$I$14),SottocategorieUscite[[#Headers],[Banca]],IF(OR(H1257=K$5,H1257=K$6,H1257=K$7,H1257=K$8,H1257=K$9,H1257=K$10,H1257=K$11,H1257=K$12,H1257=K$13,H1257=K$14),SottocategorieEntrate[[#Headers],[Business Entrate]],IF(OR(H1257=L$5,H1257=L$6,H1257=L$7,H1257=L$8,H1257=L$9,H1257=L$10,H1257=L$11,H1257=L$12,H1257=L$13,H1257=L$14),SottocategorieEntrate[[#Headers],[Varie Entrate]],IF(OR(H1257=M$5,H1257=M$6,H1257=M$7,H1257=M$8,H1257=M$9,H1257=M$10,H1257=M$11,H1257=M$12,H1257=M$13,H1257=M$14),SottocategorieEntrate[[#Headers],[Real Estate]],IF(OR(H1257=N$5,H1257=N$6,H1257=N$7,H1257=N$8,H1257=N$9,H1257=N$10,H1257=N$11,H1257=N$12,H1257=N$13,H1257=N$14),SottocategorieEntrate[[#Headers],[Other]],""))))))))))))</f>
        <v/>
      </c>
      <c r="J1257" t="str">
        <f>IF(OR(Dati[[#This Row],[Categoria]]="Bollette",Dati[[#This Row],[Categoria]]="Conto &amp; Carte BNL",Dati[[#This Row],[Categoria]]="Prelievo",Dati[[#This Row],[Categoria]]="Affitto",Dati[[#This Row],[Categoria]]="BNL(Interessi Creditori)"),"Carta",IF(Dati[[#This Row],[Categoria]]&lt;&gt;0,"Cash",""))</f>
        <v/>
      </c>
      <c r="K1257" s="59" t="str">
        <f>IF(OR(Data!$I1257=SottocategorieUscite[[#Headers],[Fuori Casa]],Data!$I1257=SottocategorieUscite[[#Headers],[Varie Uscite]],Data!$I1257=SottocategorieUscite[[#Headers],[Personali]],Data!$I1257=SottocategorieUscite[[#Headers],[Lavoro]]),"$ -","")</f>
        <v/>
      </c>
      <c r="L1257" s="59" t="str">
        <f>IF(OR(Data!$I1257=SottocategorieUscite[[#Headers],[Casa]],Data!$I1257=SottocategorieUscite[[#Headers],[Utenze]],Data!$I1257=SottocategorieUscite[[#Headers],[Business Uscite]],Data!$I1257=SottocategorieUscite[[#Headers],[Banca]]),"$ -","")</f>
        <v/>
      </c>
      <c r="M1257" s="59" t="str">
        <f>IF(OR($I1257&lt;&gt;SottocategorieUscite[[#Headers],[Fuori Casa]],$I1257&lt;&gt;SottocategorieUscite[[#Headers],[Varie Uscite]],$I1257&lt;&gt;SottocategorieUscite[[#Headers],[Personali]],$I1257&lt;&gt;SottocategorieUscite[[#Headers],[Lavoro]],$I1257&lt;&gt;SottocategorieUscite[[#Headers],[Casa]],$I1257&lt;&gt;SottocategorieUscite[[#Headers],[Utenze]],$I1257&lt;&gt;SottocategorieUscite[[#Headers],[Business Uscite]],$I1257&lt;&gt;SottocategorieUscite[[#Headers],[Banca]]),"","$ -")</f>
        <v/>
      </c>
      <c r="N1257" s="59" t="str">
        <f>IF(OR(Data!$I1257=SottocategorieEntrate[[#Headers],[Business Entrate]],Data!$I1257=SottocategorieEntrate[[#Headers],[Varie Entrate]]),"$ -","")</f>
        <v/>
      </c>
      <c r="O1257" s="59" t="str">
        <f>IF(OR(Data!$I1257=SottocategorieEntrate[[#Headers],[Real Estate]],SottocategorieEntrate[[#Headers],[Other]]),"$ -","")</f>
        <v/>
      </c>
      <c r="P1257" s="59" t="str">
        <f>IF(OR($I1257&lt;&gt;SottocategorieEntrate[[#Headers],[Business Entrate]],$I1257&lt;&gt;SottocategorieEntrate[[#Headers],[Varie Entrate]],$I1257&lt;&gt;SottocategorieEntrate[[#Headers],[Real Estate]],$I1257&lt;&gt;SottocategorieEntrate[[#Headers],[Other]]),"","$ -")</f>
        <v/>
      </c>
      <c r="Q1257" s="59" t="str">
        <f>IF(Dati[[#This Row],[Categoria]]="Prelievo","€ -","")</f>
        <v/>
      </c>
      <c r="R1257" s="244"/>
      <c r="S1257" s="59" t="str">
        <f>IF(Dati[[#This Row],[Categoria]]="Savings",0,"")</f>
        <v/>
      </c>
      <c r="T1257" s="59"/>
      <c r="U1257" s="59"/>
      <c r="V1257" s="59"/>
      <c r="W1257" s="59"/>
      <c r="X1257" s="59"/>
      <c r="Y1257" s="59"/>
      <c r="Z1257" s="59"/>
      <c r="AA1257" s="59"/>
      <c r="AB1257" s="59"/>
      <c r="AC1257" s="59"/>
      <c r="AD1257" s="59"/>
      <c r="AE1257" s="59"/>
      <c r="AF1257" s="59"/>
      <c r="AG1257" s="59"/>
      <c r="AH1257" s="59"/>
      <c r="AI1257" s="59" t="str">
        <f>IF(SUM(Dati[[#This Row],[Inv. Business]:[Inv. Cryptocurrency]])=0," ",SUM(Dati[[#This Row],[Inv. Business]:[Inv. Cryptocurrency]]))</f>
        <v xml:space="preserve"> </v>
      </c>
      <c r="AJ1257" s="59"/>
      <c r="AK1257" s="59" t="str">
        <f>IF(SUM(Dati[[#This Row],[Inv. Gold]:[Mutuo]])=0," ",SUM(Dati[[#This Row],[Inv. Gold]:[Mutuo]]))</f>
        <v xml:space="preserve"> </v>
      </c>
      <c r="AL1257" s="59"/>
      <c r="AM1257" s="59"/>
    </row>
    <row r="1258" spans="2:39" x14ac:dyDescent="0.35">
      <c r="B1258" s="237">
        <f>ROW(1222:1222)</f>
        <v>1222</v>
      </c>
      <c r="C1258" s="49">
        <f>C1254+1</f>
        <v>45838</v>
      </c>
      <c r="D1258" s="29">
        <f>DAY(Dati[[#This Row],[Data]])</f>
        <v>30</v>
      </c>
      <c r="E1258" s="29" t="str">
        <f>IF(DAY(Data!$C$21:$C$1327)&gt;0,TEXT(Data!$C$21:$C$1327, "mmmm"),"")</f>
        <v>giugno</v>
      </c>
      <c r="F1258" s="29" t="str">
        <f>IF(DAY(Data!$C$21:$C$1327)&gt;0,TEXT(Data!$C$21:$C$1327, "aaaa"),"")</f>
        <v>2025</v>
      </c>
      <c r="I1258" t="str">
        <f>IF(OR(H1258=$B$5,H1258=$B$6,H1258=$B$7,H1258=$B$8,H1258=$B$9,H1258=$B$10,H1258=$B$11,H1258=$B$12,H1258=$B$13,H1258=$B$14),SottocategorieUscite[[#Headers],[Fuori Casa]],IF(OR(H1258=$C$5,H1258=$C$6,H1258=$C$7,H1258=$C$8,H1258=$C$9,H1258=$C$10,H1258=$C$11,H1258=$C$12,H1258=$C$13,H1258=$C$14),SottocategorieUscite[[#Headers],[Varie Uscite]],IF(OR(H1258=$D$5,H1258=$D$6,H1258=$D$7,H1258=$D$8,H1258=$D$9,H1258=$D$10,H1258=$D$11,H1258=$D$12,H1258=$D$13,H1258=$D$14),SottocategorieUscite[[#Headers],[Personali]],IF(OR(H1258=$E$5,H1258=$E$6,H1258=$E$7,H1258=$E$8,H1258=$E$9,H1258=$E$10,H1258=$E$11,H1258=$E$12,H1258=$E$13,H1258=$E$14),SottocategorieUscite[[#Headers],[Lavoro]],IF(OR(H1258=$F$5,H1258=$F$6,H1258=$F$7,H1258=$F$8,H1258=$F$9,H1258=$F$10,H1258=$F$11,H1258=$F$12,H1258=$F$13,H1258=$F$14),SottocategorieUscite[[#Headers],[Casa]],IF(OR(H1258=$G$5,H1258=$G$6,H1258=$G$7,H1258=$G$8,H1258=$G$9,H1258=$G$10,H1258=$G$11,H1258=$G$12,H1258=$G$13,H1258=$G$14),SottocategorieUscite[[#Headers],[Utenze]],IF(OR(H1258=$H$5,H1258=$H$6,H1258=$H$7,H1258=$H$8,H1258=$H$9,H1258=$H$10,H1258=$H$11,H1258=$H$12,H1258=$H$13,H1258=$H$14),SottocategorieUscite[[#Headers],[Business Uscite]],IF(OR(H1258=$I$5,H1258=$I$6,H1258=$I$7,H1258=$I$8,H1258=$I$9,H1258=$I$10,H1258=$I$11,H1258=$I$12,H1258=$I$13,H1258=$I$14),SottocategorieUscite[[#Headers],[Banca]],IF(OR(H1258=K$5,H1258=K$6,H1258=K$7,H1258=K$8,H1258=K$9,H1258=K$10,H1258=K$11,H1258=K$12,H1258=K$13,H1258=K$14),SottocategorieEntrate[[#Headers],[Business Entrate]],IF(OR(H1258=L$5,H1258=L$6,H1258=L$7,H1258=L$8,H1258=L$9,H1258=L$10,H1258=L$11,H1258=L$12,H1258=L$13,H1258=L$14),SottocategorieEntrate[[#Headers],[Varie Entrate]],IF(OR(H1258=M$5,H1258=M$6,H1258=M$7,H1258=M$8,H1258=M$9,H1258=M$10,H1258=M$11,H1258=M$12,H1258=M$13,H1258=M$14),SottocategorieEntrate[[#Headers],[Real Estate]],IF(OR(H1258=N$5,H1258=N$6,H1258=N$7,H1258=N$8,H1258=N$9,H1258=N$10,H1258=N$11,H1258=N$12,H1258=N$13,H1258=N$14),SottocategorieEntrate[[#Headers],[Other]],""))))))))))))</f>
        <v/>
      </c>
      <c r="J1258" t="str">
        <f>IF(OR(Dati[[#This Row],[Categoria]]="Bollette",Dati[[#This Row],[Categoria]]="Conto &amp; Carte BNL",Dati[[#This Row],[Categoria]]="Prelievo",Dati[[#This Row],[Categoria]]="Affitto",Dati[[#This Row],[Categoria]]="BNL(Interessi Creditori)"),"Carta",IF(Dati[[#This Row],[Categoria]]&lt;&gt;0,"Cash",""))</f>
        <v/>
      </c>
      <c r="K1258" s="59" t="str">
        <f>IF(OR(Data!$I1258=SottocategorieUscite[[#Headers],[Fuori Casa]],Data!$I1258=SottocategorieUscite[[#Headers],[Varie Uscite]],Data!$I1258=SottocategorieUscite[[#Headers],[Personali]],Data!$I1258=SottocategorieUscite[[#Headers],[Lavoro]]),"$ -","")</f>
        <v/>
      </c>
      <c r="L1258" s="59" t="str">
        <f>IF(OR(Data!$I1258=SottocategorieUscite[[#Headers],[Casa]],Data!$I1258=SottocategorieUscite[[#Headers],[Utenze]],Data!$I1258=SottocategorieUscite[[#Headers],[Business Uscite]],Data!$I1258=SottocategorieUscite[[#Headers],[Banca]]),"$ -","")</f>
        <v/>
      </c>
      <c r="M1258" s="59" t="str">
        <f>IF(OR($I1258&lt;&gt;SottocategorieUscite[[#Headers],[Fuori Casa]],$I1258&lt;&gt;SottocategorieUscite[[#Headers],[Varie Uscite]],$I1258&lt;&gt;SottocategorieUscite[[#Headers],[Personali]],$I1258&lt;&gt;SottocategorieUscite[[#Headers],[Lavoro]],$I1258&lt;&gt;SottocategorieUscite[[#Headers],[Casa]],$I1258&lt;&gt;SottocategorieUscite[[#Headers],[Utenze]],$I1258&lt;&gt;SottocategorieUscite[[#Headers],[Business Uscite]],$I1258&lt;&gt;SottocategorieUscite[[#Headers],[Banca]]),"","$ -")</f>
        <v/>
      </c>
      <c r="N1258" s="59" t="str">
        <f>IF(OR(Data!$I1258=SottocategorieEntrate[[#Headers],[Business Entrate]],Data!$I1258=SottocategorieEntrate[[#Headers],[Varie Entrate]]),"$ -","")</f>
        <v/>
      </c>
      <c r="O1258" s="59" t="str">
        <f>IF(OR(Data!$I1258=SottocategorieEntrate[[#Headers],[Real Estate]],SottocategorieEntrate[[#Headers],[Other]]),"$ -","")</f>
        <v/>
      </c>
      <c r="P1258" s="59" t="str">
        <f>IF(OR($I1258&lt;&gt;SottocategorieEntrate[[#Headers],[Business Entrate]],$I1258&lt;&gt;SottocategorieEntrate[[#Headers],[Varie Entrate]],$I1258&lt;&gt;SottocategorieEntrate[[#Headers],[Real Estate]],$I1258&lt;&gt;SottocategorieEntrate[[#Headers],[Other]]),"","$ -")</f>
        <v/>
      </c>
      <c r="Q1258" s="59" t="str">
        <f>IF(Dati[[#This Row],[Categoria]]="Prelievo","€ -","")</f>
        <v/>
      </c>
      <c r="R1258" s="244"/>
      <c r="S1258" s="59" t="str">
        <f>IF(Dati[[#This Row],[Categoria]]="Savings",0,"")</f>
        <v/>
      </c>
      <c r="T1258" s="59"/>
      <c r="U1258" s="59"/>
      <c r="V1258" s="59"/>
      <c r="W1258" s="59"/>
      <c r="X1258" s="59"/>
      <c r="Y1258" s="59"/>
      <c r="Z1258" s="59"/>
      <c r="AA1258" s="59"/>
      <c r="AB1258" s="59"/>
      <c r="AC1258" s="59"/>
      <c r="AD1258" s="59"/>
      <c r="AE1258" s="59"/>
      <c r="AF1258" s="59"/>
      <c r="AG1258" s="59"/>
      <c r="AH1258" s="59"/>
      <c r="AI1258" s="59" t="str">
        <f>IF(SUM(Dati[[#This Row],[Inv. Business]:[Inv. Cryptocurrency]])=0," ",SUM(Dati[[#This Row],[Inv. Business]:[Inv. Cryptocurrency]]))</f>
        <v xml:space="preserve"> </v>
      </c>
      <c r="AJ1258" s="59"/>
      <c r="AK1258" s="59" t="str">
        <f>IF(SUM(Dati[[#This Row],[Inv. Gold]:[Mutuo]])=0," ",SUM(Dati[[#This Row],[Inv. Gold]:[Mutuo]]))</f>
        <v xml:space="preserve"> </v>
      </c>
      <c r="AL1258" s="59"/>
      <c r="AM1258" s="59"/>
    </row>
    <row r="1259" spans="2:39" x14ac:dyDescent="0.35">
      <c r="B1259" s="237">
        <f>ROW(1222:1222)</f>
        <v>1222</v>
      </c>
      <c r="C1259" s="49">
        <f>C1254+1</f>
        <v>45838</v>
      </c>
      <c r="D1259" s="29">
        <f>DAY(Dati[[#This Row],[Data]])</f>
        <v>30</v>
      </c>
      <c r="E1259" s="29" t="str">
        <f>IF(DAY(Data!$C$21:$C$1327)&gt;0,TEXT(Data!$C$21:$C$1327, "mmmm"),"")</f>
        <v>giugno</v>
      </c>
      <c r="F1259" s="29" t="str">
        <f>IF(DAY(Data!$C$21:$C$1327)&gt;0,TEXT(Data!$C$21:$C$1327, "aaaa"),"")</f>
        <v>2025</v>
      </c>
      <c r="I1259" t="str">
        <f>IF(OR(H1259=$B$5,H1259=$B$6,H1259=$B$7,H1259=$B$8,H1259=$B$9,H1259=$B$10,H1259=$B$11,H1259=$B$12,H1259=$B$13,H1259=$B$14),SottocategorieUscite[[#Headers],[Fuori Casa]],IF(OR(H1259=$C$5,H1259=$C$6,H1259=$C$7,H1259=$C$8,H1259=$C$9,H1259=$C$10,H1259=$C$11,H1259=$C$12,H1259=$C$13,H1259=$C$14),SottocategorieUscite[[#Headers],[Varie Uscite]],IF(OR(H1259=$D$5,H1259=$D$6,H1259=$D$7,H1259=$D$8,H1259=$D$9,H1259=$D$10,H1259=$D$11,H1259=$D$12,H1259=$D$13,H1259=$D$14),SottocategorieUscite[[#Headers],[Personali]],IF(OR(H1259=$E$5,H1259=$E$6,H1259=$E$7,H1259=$E$8,H1259=$E$9,H1259=$E$10,H1259=$E$11,H1259=$E$12,H1259=$E$13,H1259=$E$14),SottocategorieUscite[[#Headers],[Lavoro]],IF(OR(H1259=$F$5,H1259=$F$6,H1259=$F$7,H1259=$F$8,H1259=$F$9,H1259=$F$10,H1259=$F$11,H1259=$F$12,H1259=$F$13,H1259=$F$14),SottocategorieUscite[[#Headers],[Casa]],IF(OR(H1259=$G$5,H1259=$G$6,H1259=$G$7,H1259=$G$8,H1259=$G$9,H1259=$G$10,H1259=$G$11,H1259=$G$12,H1259=$G$13,H1259=$G$14),SottocategorieUscite[[#Headers],[Utenze]],IF(OR(H1259=$H$5,H1259=$H$6,H1259=$H$7,H1259=$H$8,H1259=$H$9,H1259=$H$10,H1259=$H$11,H1259=$H$12,H1259=$H$13,H1259=$H$14),SottocategorieUscite[[#Headers],[Business Uscite]],IF(OR(H1259=$I$5,H1259=$I$6,H1259=$I$7,H1259=$I$8,H1259=$I$9,H1259=$I$10,H1259=$I$11,H1259=$I$12,H1259=$I$13,H1259=$I$14),SottocategorieUscite[[#Headers],[Banca]],IF(OR(H1259=K$5,H1259=K$6,H1259=K$7,H1259=K$8,H1259=K$9,H1259=K$10,H1259=K$11,H1259=K$12,H1259=K$13,H1259=K$14),SottocategorieEntrate[[#Headers],[Business Entrate]],IF(OR(H1259=L$5,H1259=L$6,H1259=L$7,H1259=L$8,H1259=L$9,H1259=L$10,H1259=L$11,H1259=L$12,H1259=L$13,H1259=L$14),SottocategorieEntrate[[#Headers],[Varie Entrate]],IF(OR(H1259=M$5,H1259=M$6,H1259=M$7,H1259=M$8,H1259=M$9,H1259=M$10,H1259=M$11,H1259=M$12,H1259=M$13,H1259=M$14),SottocategorieEntrate[[#Headers],[Real Estate]],IF(OR(H1259=N$5,H1259=N$6,H1259=N$7,H1259=N$8,H1259=N$9,H1259=N$10,H1259=N$11,H1259=N$12,H1259=N$13,H1259=N$14),SottocategorieEntrate[[#Headers],[Other]],""))))))))))))</f>
        <v/>
      </c>
      <c r="J1259" t="str">
        <f>IF(OR(Dati[[#This Row],[Categoria]]="Bollette",Dati[[#This Row],[Categoria]]="Conto &amp; Carte BNL",Dati[[#This Row],[Categoria]]="Prelievo",Dati[[#This Row],[Categoria]]="Affitto",Dati[[#This Row],[Categoria]]="BNL(Interessi Creditori)"),"Carta",IF(Dati[[#This Row],[Categoria]]&lt;&gt;0,"Cash",""))</f>
        <v/>
      </c>
      <c r="K1259" s="59" t="str">
        <f>IF(OR(Data!$I1259=SottocategorieUscite[[#Headers],[Fuori Casa]],Data!$I1259=SottocategorieUscite[[#Headers],[Varie Uscite]],Data!$I1259=SottocategorieUscite[[#Headers],[Personali]],Data!$I1259=SottocategorieUscite[[#Headers],[Lavoro]]),"$ -","")</f>
        <v/>
      </c>
      <c r="L1259" s="59" t="str">
        <f>IF(OR(Data!$I1259=SottocategorieUscite[[#Headers],[Casa]],Data!$I1259=SottocategorieUscite[[#Headers],[Utenze]],Data!$I1259=SottocategorieUscite[[#Headers],[Business Uscite]],Data!$I1259=SottocategorieUscite[[#Headers],[Banca]]),"$ -","")</f>
        <v/>
      </c>
      <c r="M1259" s="59" t="str">
        <f>IF(OR($I1259&lt;&gt;SottocategorieUscite[[#Headers],[Fuori Casa]],$I1259&lt;&gt;SottocategorieUscite[[#Headers],[Varie Uscite]],$I1259&lt;&gt;SottocategorieUscite[[#Headers],[Personali]],$I1259&lt;&gt;SottocategorieUscite[[#Headers],[Lavoro]],$I1259&lt;&gt;SottocategorieUscite[[#Headers],[Casa]],$I1259&lt;&gt;SottocategorieUscite[[#Headers],[Utenze]],$I1259&lt;&gt;SottocategorieUscite[[#Headers],[Business Uscite]],$I1259&lt;&gt;SottocategorieUscite[[#Headers],[Banca]]),"","$ -")</f>
        <v/>
      </c>
      <c r="N1259" s="59" t="str">
        <f>IF(OR(Data!$I1259=SottocategorieEntrate[[#Headers],[Business Entrate]],Data!$I1259=SottocategorieEntrate[[#Headers],[Varie Entrate]]),"$ -","")</f>
        <v/>
      </c>
      <c r="O1259" s="59" t="str">
        <f>IF(OR(Data!$I1259=SottocategorieEntrate[[#Headers],[Real Estate]],SottocategorieEntrate[[#Headers],[Other]]),"$ -","")</f>
        <v/>
      </c>
      <c r="P1259" s="59" t="str">
        <f>IF(OR($I1259&lt;&gt;SottocategorieEntrate[[#Headers],[Business Entrate]],$I1259&lt;&gt;SottocategorieEntrate[[#Headers],[Varie Entrate]],$I1259&lt;&gt;SottocategorieEntrate[[#Headers],[Real Estate]],$I1259&lt;&gt;SottocategorieEntrate[[#Headers],[Other]]),"","$ -")</f>
        <v/>
      </c>
      <c r="Q1259" s="59" t="str">
        <f>IF(Dati[[#This Row],[Categoria]]="Prelievo","€ -","")</f>
        <v/>
      </c>
      <c r="R1259" s="244"/>
      <c r="S1259" s="59" t="str">
        <f>IF(Dati[[#This Row],[Categoria]]="Savings",0,"")</f>
        <v/>
      </c>
      <c r="T1259" s="59"/>
      <c r="U1259" s="59"/>
      <c r="V1259" s="59"/>
      <c r="W1259" s="59"/>
      <c r="X1259" s="59"/>
      <c r="Y1259" s="59"/>
      <c r="Z1259" s="59"/>
      <c r="AA1259" s="59"/>
      <c r="AB1259" s="59"/>
      <c r="AC1259" s="59"/>
      <c r="AD1259" s="59"/>
      <c r="AE1259" s="59"/>
      <c r="AF1259" s="59"/>
      <c r="AG1259" s="59"/>
      <c r="AH1259" s="59"/>
      <c r="AI1259" s="59" t="str">
        <f>IF(SUM(Dati[[#This Row],[Inv. Business]:[Inv. Cryptocurrency]])=0," ",SUM(Dati[[#This Row],[Inv. Business]:[Inv. Cryptocurrency]]))</f>
        <v xml:space="preserve"> </v>
      </c>
      <c r="AJ1259" s="59"/>
      <c r="AK1259" s="59" t="str">
        <f>IF(SUM(Dati[[#This Row],[Inv. Gold]:[Mutuo]])=0," ",SUM(Dati[[#This Row],[Inv. Gold]:[Mutuo]]))</f>
        <v xml:space="preserve"> </v>
      </c>
      <c r="AL1259" s="59"/>
      <c r="AM1259" s="59"/>
    </row>
    <row r="1260" spans="2:39" x14ac:dyDescent="0.35">
      <c r="B1260" s="237">
        <f>ROW(1222:1222)</f>
        <v>1222</v>
      </c>
      <c r="C1260" s="49">
        <f>C1254+1</f>
        <v>45838</v>
      </c>
      <c r="D1260" s="29">
        <f>DAY(Dati[[#This Row],[Data]])</f>
        <v>30</v>
      </c>
      <c r="E1260" s="29" t="str">
        <f>IF(DAY(Data!$C$21:$C$1327)&gt;0,TEXT(Data!$C$21:$C$1327, "mmmm"),"")</f>
        <v>giugno</v>
      </c>
      <c r="F1260" s="29" t="str">
        <f>IF(DAY(Data!$C$21:$C$1327)&gt;0,TEXT(Data!$C$21:$C$1327, "aaaa"),"")</f>
        <v>2025</v>
      </c>
      <c r="I1260" t="str">
        <f>IF(OR(H1260=$B$5,H1260=$B$6,H1260=$B$7,H1260=$B$8,H1260=$B$9,H1260=$B$10,H1260=$B$11,H1260=$B$12,H1260=$B$13,H1260=$B$14),SottocategorieUscite[[#Headers],[Fuori Casa]],IF(OR(H1260=$C$5,H1260=$C$6,H1260=$C$7,H1260=$C$8,H1260=$C$9,H1260=$C$10,H1260=$C$11,H1260=$C$12,H1260=$C$13,H1260=$C$14),SottocategorieUscite[[#Headers],[Varie Uscite]],IF(OR(H1260=$D$5,H1260=$D$6,H1260=$D$7,H1260=$D$8,H1260=$D$9,H1260=$D$10,H1260=$D$11,H1260=$D$12,H1260=$D$13,H1260=$D$14),SottocategorieUscite[[#Headers],[Personali]],IF(OR(H1260=$E$5,H1260=$E$6,H1260=$E$7,H1260=$E$8,H1260=$E$9,H1260=$E$10,H1260=$E$11,H1260=$E$12,H1260=$E$13,H1260=$E$14),SottocategorieUscite[[#Headers],[Lavoro]],IF(OR(H1260=$F$5,H1260=$F$6,H1260=$F$7,H1260=$F$8,H1260=$F$9,H1260=$F$10,H1260=$F$11,H1260=$F$12,H1260=$F$13,H1260=$F$14),SottocategorieUscite[[#Headers],[Casa]],IF(OR(H1260=$G$5,H1260=$G$6,H1260=$G$7,H1260=$G$8,H1260=$G$9,H1260=$G$10,H1260=$G$11,H1260=$G$12,H1260=$G$13,H1260=$G$14),SottocategorieUscite[[#Headers],[Utenze]],IF(OR(H1260=$H$5,H1260=$H$6,H1260=$H$7,H1260=$H$8,H1260=$H$9,H1260=$H$10,H1260=$H$11,H1260=$H$12,H1260=$H$13,H1260=$H$14),SottocategorieUscite[[#Headers],[Business Uscite]],IF(OR(H1260=$I$5,H1260=$I$6,H1260=$I$7,H1260=$I$8,H1260=$I$9,H1260=$I$10,H1260=$I$11,H1260=$I$12,H1260=$I$13,H1260=$I$14),SottocategorieUscite[[#Headers],[Banca]],IF(OR(H1260=K$5,H1260=K$6,H1260=K$7,H1260=K$8,H1260=K$9,H1260=K$10,H1260=K$11,H1260=K$12,H1260=K$13,H1260=K$14),SottocategorieEntrate[[#Headers],[Business Entrate]],IF(OR(H1260=L$5,H1260=L$6,H1260=L$7,H1260=L$8,H1260=L$9,H1260=L$10,H1260=L$11,H1260=L$12,H1260=L$13,H1260=L$14),SottocategorieEntrate[[#Headers],[Varie Entrate]],IF(OR(H1260=M$5,H1260=M$6,H1260=M$7,H1260=M$8,H1260=M$9,H1260=M$10,H1260=M$11,H1260=M$12,H1260=M$13,H1260=M$14),SottocategorieEntrate[[#Headers],[Real Estate]],IF(OR(H1260=N$5,H1260=N$6,H1260=N$7,H1260=N$8,H1260=N$9,H1260=N$10,H1260=N$11,H1260=N$12,H1260=N$13,H1260=N$14),SottocategorieEntrate[[#Headers],[Other]],""))))))))))))</f>
        <v/>
      </c>
      <c r="J1260" t="str">
        <f>IF(OR(Dati[[#This Row],[Categoria]]="Bollette",Dati[[#This Row],[Categoria]]="Conto &amp; Carte BNL",Dati[[#This Row],[Categoria]]="Prelievo",Dati[[#This Row],[Categoria]]="Affitto",Dati[[#This Row],[Categoria]]="BNL(Interessi Creditori)"),"Carta",IF(Dati[[#This Row],[Categoria]]&lt;&gt;0,"Cash",""))</f>
        <v/>
      </c>
      <c r="K1260" s="59" t="str">
        <f>IF(OR(Data!$I1260=SottocategorieUscite[[#Headers],[Fuori Casa]],Data!$I1260=SottocategorieUscite[[#Headers],[Varie Uscite]],Data!$I1260=SottocategorieUscite[[#Headers],[Personali]],Data!$I1260=SottocategorieUscite[[#Headers],[Lavoro]]),"$ -","")</f>
        <v/>
      </c>
      <c r="L1260" s="59" t="str">
        <f>IF(OR(Data!$I1260=SottocategorieUscite[[#Headers],[Casa]],Data!$I1260=SottocategorieUscite[[#Headers],[Utenze]],Data!$I1260=SottocategorieUscite[[#Headers],[Business Uscite]],Data!$I1260=SottocategorieUscite[[#Headers],[Banca]]),"$ -","")</f>
        <v/>
      </c>
      <c r="M1260" s="59" t="str">
        <f>IF(OR($I1260&lt;&gt;SottocategorieUscite[[#Headers],[Fuori Casa]],$I1260&lt;&gt;SottocategorieUscite[[#Headers],[Varie Uscite]],$I1260&lt;&gt;SottocategorieUscite[[#Headers],[Personali]],$I1260&lt;&gt;SottocategorieUscite[[#Headers],[Lavoro]],$I1260&lt;&gt;SottocategorieUscite[[#Headers],[Casa]],$I1260&lt;&gt;SottocategorieUscite[[#Headers],[Utenze]],$I1260&lt;&gt;SottocategorieUscite[[#Headers],[Business Uscite]],$I1260&lt;&gt;SottocategorieUscite[[#Headers],[Banca]]),"","$ -")</f>
        <v/>
      </c>
      <c r="N1260" s="59" t="str">
        <f>IF(OR(Data!$I1260=SottocategorieEntrate[[#Headers],[Business Entrate]],Data!$I1260=SottocategorieEntrate[[#Headers],[Varie Entrate]]),"$ -","")</f>
        <v/>
      </c>
      <c r="O1260" s="59" t="str">
        <f>IF(OR(Data!$I1260=SottocategorieEntrate[[#Headers],[Real Estate]],SottocategorieEntrate[[#Headers],[Other]]),"$ -","")</f>
        <v/>
      </c>
      <c r="P1260" s="59" t="str">
        <f>IF(OR($I1260&lt;&gt;SottocategorieEntrate[[#Headers],[Business Entrate]],$I1260&lt;&gt;SottocategorieEntrate[[#Headers],[Varie Entrate]],$I1260&lt;&gt;SottocategorieEntrate[[#Headers],[Real Estate]],$I1260&lt;&gt;SottocategorieEntrate[[#Headers],[Other]]),"","$ -")</f>
        <v/>
      </c>
      <c r="Q1260" s="59" t="str">
        <f>IF(Dati[[#This Row],[Categoria]]="Prelievo","€ -","")</f>
        <v/>
      </c>
      <c r="R1260" s="244"/>
      <c r="S1260" s="59" t="str">
        <f>IF(Dati[[#This Row],[Categoria]]="Savings",0,"")</f>
        <v/>
      </c>
      <c r="T1260" s="59"/>
      <c r="U1260" s="59"/>
      <c r="V1260" s="59"/>
      <c r="W1260" s="59"/>
      <c r="X1260" s="59"/>
      <c r="Y1260" s="59"/>
      <c r="Z1260" s="59"/>
      <c r="AA1260" s="59"/>
      <c r="AB1260" s="59"/>
      <c r="AC1260" s="59"/>
      <c r="AD1260" s="59"/>
      <c r="AE1260" s="59"/>
      <c r="AF1260" s="59"/>
      <c r="AG1260" s="59"/>
      <c r="AH1260" s="59"/>
      <c r="AI1260" s="59" t="str">
        <f>IF(SUM(Dati[[#This Row],[Inv. Business]:[Inv. Cryptocurrency]])=0," ",SUM(Dati[[#This Row],[Inv. Business]:[Inv. Cryptocurrency]]))</f>
        <v xml:space="preserve"> </v>
      </c>
      <c r="AJ1260" s="59"/>
      <c r="AK1260" s="59" t="str">
        <f>IF(SUM(Dati[[#This Row],[Inv. Gold]:[Mutuo]])=0," ",SUM(Dati[[#This Row],[Inv. Gold]:[Mutuo]]))</f>
        <v xml:space="preserve"> </v>
      </c>
      <c r="AL1260" s="59"/>
      <c r="AM1260" s="59"/>
    </row>
    <row r="1261" spans="2:39" x14ac:dyDescent="0.35">
      <c r="B1261" s="237">
        <f>ROW(1222:1222)</f>
        <v>1222</v>
      </c>
      <c r="C1261" s="49">
        <f>C1254+1</f>
        <v>45838</v>
      </c>
      <c r="D1261" s="29">
        <f>DAY(Dati[[#This Row],[Data]])</f>
        <v>30</v>
      </c>
      <c r="E1261" s="29" t="str">
        <f>IF(DAY(Data!$C$21:$C$1327)&gt;0,TEXT(Data!$C$21:$C$1327, "mmmm"),"")</f>
        <v>giugno</v>
      </c>
      <c r="F1261" s="29" t="str">
        <f>IF(DAY(Data!$C$21:$C$1327)&gt;0,TEXT(Data!$C$21:$C$1327, "aaaa"),"")</f>
        <v>2025</v>
      </c>
      <c r="I1261" t="str">
        <f>IF(OR(H1261=$B$5,H1261=$B$6,H1261=$B$7,H1261=$B$8,H1261=$B$9,H1261=$B$10,H1261=$B$11,H1261=$B$12,H1261=$B$13,H1261=$B$14),SottocategorieUscite[[#Headers],[Fuori Casa]],IF(OR(H1261=$C$5,H1261=$C$6,H1261=$C$7,H1261=$C$8,H1261=$C$9,H1261=$C$10,H1261=$C$11,H1261=$C$12,H1261=$C$13,H1261=$C$14),SottocategorieUscite[[#Headers],[Varie Uscite]],IF(OR(H1261=$D$5,H1261=$D$6,H1261=$D$7,H1261=$D$8,H1261=$D$9,H1261=$D$10,H1261=$D$11,H1261=$D$12,H1261=$D$13,H1261=$D$14),SottocategorieUscite[[#Headers],[Personali]],IF(OR(H1261=$E$5,H1261=$E$6,H1261=$E$7,H1261=$E$8,H1261=$E$9,H1261=$E$10,H1261=$E$11,H1261=$E$12,H1261=$E$13,H1261=$E$14),SottocategorieUscite[[#Headers],[Lavoro]],IF(OR(H1261=$F$5,H1261=$F$6,H1261=$F$7,H1261=$F$8,H1261=$F$9,H1261=$F$10,H1261=$F$11,H1261=$F$12,H1261=$F$13,H1261=$F$14),SottocategorieUscite[[#Headers],[Casa]],IF(OR(H1261=$G$5,H1261=$G$6,H1261=$G$7,H1261=$G$8,H1261=$G$9,H1261=$G$10,H1261=$G$11,H1261=$G$12,H1261=$G$13,H1261=$G$14),SottocategorieUscite[[#Headers],[Utenze]],IF(OR(H1261=$H$5,H1261=$H$6,H1261=$H$7,H1261=$H$8,H1261=$H$9,H1261=$H$10,H1261=$H$11,H1261=$H$12,H1261=$H$13,H1261=$H$14),SottocategorieUscite[[#Headers],[Business Uscite]],IF(OR(H1261=$I$5,H1261=$I$6,H1261=$I$7,H1261=$I$8,H1261=$I$9,H1261=$I$10,H1261=$I$11,H1261=$I$12,H1261=$I$13,H1261=$I$14),SottocategorieUscite[[#Headers],[Banca]],IF(OR(H1261=K$5,H1261=K$6,H1261=K$7,H1261=K$8,H1261=K$9,H1261=K$10,H1261=K$11,H1261=K$12,H1261=K$13,H1261=K$14),SottocategorieEntrate[[#Headers],[Business Entrate]],IF(OR(H1261=L$5,H1261=L$6,H1261=L$7,H1261=L$8,H1261=L$9,H1261=L$10,H1261=L$11,H1261=L$12,H1261=L$13,H1261=L$14),SottocategorieEntrate[[#Headers],[Varie Entrate]],IF(OR(H1261=M$5,H1261=M$6,H1261=M$7,H1261=M$8,H1261=M$9,H1261=M$10,H1261=M$11,H1261=M$12,H1261=M$13,H1261=M$14),SottocategorieEntrate[[#Headers],[Real Estate]],IF(OR(H1261=N$5,H1261=N$6,H1261=N$7,H1261=N$8,H1261=N$9,H1261=N$10,H1261=N$11,H1261=N$12,H1261=N$13,H1261=N$14),SottocategorieEntrate[[#Headers],[Other]],""))))))))))))</f>
        <v/>
      </c>
      <c r="J1261" t="str">
        <f>IF(OR(Dati[[#This Row],[Categoria]]="Bollette",Dati[[#This Row],[Categoria]]="Conto &amp; Carte BNL",Dati[[#This Row],[Categoria]]="Prelievo",Dati[[#This Row],[Categoria]]="Affitto",Dati[[#This Row],[Categoria]]="BNL(Interessi Creditori)"),"Carta",IF(Dati[[#This Row],[Categoria]]&lt;&gt;0,"Cash",""))</f>
        <v/>
      </c>
      <c r="K1261" s="59" t="str">
        <f>IF(OR(Data!$I1261=SottocategorieUscite[[#Headers],[Fuori Casa]],Data!$I1261=SottocategorieUscite[[#Headers],[Varie Uscite]],Data!$I1261=SottocategorieUscite[[#Headers],[Personali]],Data!$I1261=SottocategorieUscite[[#Headers],[Lavoro]]),"$ -","")</f>
        <v/>
      </c>
      <c r="L1261" s="59" t="str">
        <f>IF(OR(Data!$I1261=SottocategorieUscite[[#Headers],[Casa]],Data!$I1261=SottocategorieUscite[[#Headers],[Utenze]],Data!$I1261=SottocategorieUscite[[#Headers],[Business Uscite]],Data!$I1261=SottocategorieUscite[[#Headers],[Banca]]),"$ -","")</f>
        <v/>
      </c>
      <c r="M1261" s="59" t="str">
        <f>IF(OR($I1261&lt;&gt;SottocategorieUscite[[#Headers],[Fuori Casa]],$I1261&lt;&gt;SottocategorieUscite[[#Headers],[Varie Uscite]],$I1261&lt;&gt;SottocategorieUscite[[#Headers],[Personali]],$I1261&lt;&gt;SottocategorieUscite[[#Headers],[Lavoro]],$I1261&lt;&gt;SottocategorieUscite[[#Headers],[Casa]],$I1261&lt;&gt;SottocategorieUscite[[#Headers],[Utenze]],$I1261&lt;&gt;SottocategorieUscite[[#Headers],[Business Uscite]],$I1261&lt;&gt;SottocategorieUscite[[#Headers],[Banca]]),"","$ -")</f>
        <v/>
      </c>
      <c r="N1261" s="59" t="str">
        <f>IF(OR(Data!$I1261=SottocategorieEntrate[[#Headers],[Business Entrate]],Data!$I1261=SottocategorieEntrate[[#Headers],[Varie Entrate]]),"$ -","")</f>
        <v/>
      </c>
      <c r="O1261" s="59" t="str">
        <f>IF(OR(Data!$I1261=SottocategorieEntrate[[#Headers],[Real Estate]],SottocategorieEntrate[[#Headers],[Other]]),"$ -","")</f>
        <v/>
      </c>
      <c r="P1261" s="59" t="str">
        <f>IF(OR($I1261&lt;&gt;SottocategorieEntrate[[#Headers],[Business Entrate]],$I1261&lt;&gt;SottocategorieEntrate[[#Headers],[Varie Entrate]],$I1261&lt;&gt;SottocategorieEntrate[[#Headers],[Real Estate]],$I1261&lt;&gt;SottocategorieEntrate[[#Headers],[Other]]),"","$ -")</f>
        <v/>
      </c>
      <c r="Q1261" s="59" t="str">
        <f>IF(Dati[[#This Row],[Categoria]]="Prelievo","€ -","")</f>
        <v/>
      </c>
      <c r="R1261" s="244"/>
      <c r="S1261" s="59" t="str">
        <f>IF(Dati[[#This Row],[Categoria]]="Savings",0,"")</f>
        <v/>
      </c>
      <c r="T1261" s="59"/>
      <c r="U1261" s="59"/>
      <c r="V1261" s="59"/>
      <c r="W1261" s="59"/>
      <c r="X1261" s="59"/>
      <c r="Y1261" s="59"/>
      <c r="Z1261" s="59"/>
      <c r="AA1261" s="59"/>
      <c r="AB1261" s="59"/>
      <c r="AC1261" s="59"/>
      <c r="AD1261" s="59"/>
      <c r="AE1261" s="59"/>
      <c r="AF1261" s="59"/>
      <c r="AG1261" s="59"/>
      <c r="AH1261" s="59"/>
      <c r="AI1261" s="59" t="str">
        <f>IF(SUM(Dati[[#This Row],[Inv. Business]:[Inv. Cryptocurrency]])=0," ",SUM(Dati[[#This Row],[Inv. Business]:[Inv. Cryptocurrency]]))</f>
        <v xml:space="preserve"> </v>
      </c>
      <c r="AJ1261" s="59"/>
      <c r="AK1261" s="59" t="str">
        <f>IF(SUM(Dati[[#This Row],[Inv. Gold]:[Mutuo]])=0," ",SUM(Dati[[#This Row],[Inv. Gold]:[Mutuo]]))</f>
        <v xml:space="preserve"> </v>
      </c>
      <c r="AL1261" s="59"/>
      <c r="AM1261" s="59"/>
    </row>
    <row r="1262" spans="2:39" x14ac:dyDescent="0.35">
      <c r="B1262" s="237">
        <f>ROW(1223:1223)</f>
        <v>1223</v>
      </c>
      <c r="C1262" s="49">
        <f>C1255+1</f>
        <v>45839</v>
      </c>
      <c r="D1262" s="29">
        <f>DAY(Dati[[#This Row],[Data]])</f>
        <v>1</v>
      </c>
      <c r="E1262" s="29" t="str">
        <f>IF(DAY(Data!$C$21:$C$1327)&gt;0,TEXT(Data!$C$21:$C$1327, "mmmm"),"")</f>
        <v>luglio</v>
      </c>
      <c r="F1262" s="29" t="str">
        <f>IF(DAY(Data!$C$21:$C$1327)&gt;0,TEXT(Data!$C$21:$C$1327, "aaaa"),"")</f>
        <v>2025</v>
      </c>
      <c r="I1262" t="str">
        <f>IF(OR(H1262=$B$5,H1262=$B$6,H1262=$B$7,H1262=$B$8,H1262=$B$9,H1262=$B$10,H1262=$B$11,H1262=$B$12,H1262=$B$13,H1262=$B$14),SottocategorieUscite[[#Headers],[Fuori Casa]],IF(OR(H1262=$C$5,H1262=$C$6,H1262=$C$7,H1262=$C$8,H1262=$C$9,H1262=$C$10,H1262=$C$11,H1262=$C$12,H1262=$C$13,H1262=$C$14),SottocategorieUscite[[#Headers],[Varie Uscite]],IF(OR(H1262=$D$5,H1262=$D$6,H1262=$D$7,H1262=$D$8,H1262=$D$9,H1262=$D$10,H1262=$D$11,H1262=$D$12,H1262=$D$13,H1262=$D$14),SottocategorieUscite[[#Headers],[Personali]],IF(OR(H1262=$E$5,H1262=$E$6,H1262=$E$7,H1262=$E$8,H1262=$E$9,H1262=$E$10,H1262=$E$11,H1262=$E$12,H1262=$E$13,H1262=$E$14),SottocategorieUscite[[#Headers],[Lavoro]],IF(OR(H1262=$F$5,H1262=$F$6,H1262=$F$7,H1262=$F$8,H1262=$F$9,H1262=$F$10,H1262=$F$11,H1262=$F$12,H1262=$F$13,H1262=$F$14),SottocategorieUscite[[#Headers],[Casa]],IF(OR(H1262=$G$5,H1262=$G$6,H1262=$G$7,H1262=$G$8,H1262=$G$9,H1262=$G$10,H1262=$G$11,H1262=$G$12,H1262=$G$13,H1262=$G$14),SottocategorieUscite[[#Headers],[Utenze]],IF(OR(H1262=$H$5,H1262=$H$6,H1262=$H$7,H1262=$H$8,H1262=$H$9,H1262=$H$10,H1262=$H$11,H1262=$H$12,H1262=$H$13,H1262=$H$14),SottocategorieUscite[[#Headers],[Business Uscite]],IF(OR(H1262=$I$5,H1262=$I$6,H1262=$I$7,H1262=$I$8,H1262=$I$9,H1262=$I$10,H1262=$I$11,H1262=$I$12,H1262=$I$13,H1262=$I$14),SottocategorieUscite[[#Headers],[Banca]],IF(OR(H1262=K$5,H1262=K$6,H1262=K$7,H1262=K$8,H1262=K$9,H1262=K$10,H1262=K$11,H1262=K$12,H1262=K$13,H1262=K$14),SottocategorieEntrate[[#Headers],[Business Entrate]],IF(OR(H1262=L$5,H1262=L$6,H1262=L$7,H1262=L$8,H1262=L$9,H1262=L$10,H1262=L$11,H1262=L$12,H1262=L$13,H1262=L$14),SottocategorieEntrate[[#Headers],[Varie Entrate]],IF(OR(H1262=M$5,H1262=M$6,H1262=M$7,H1262=M$8,H1262=M$9,H1262=M$10,H1262=M$11,H1262=M$12,H1262=M$13,H1262=M$14),SottocategorieEntrate[[#Headers],[Real Estate]],IF(OR(H1262=N$5,H1262=N$6,H1262=N$7,H1262=N$8,H1262=N$9,H1262=N$10,H1262=N$11,H1262=N$12,H1262=N$13,H1262=N$14),SottocategorieEntrate[[#Headers],[Other]],""))))))))))))</f>
        <v/>
      </c>
      <c r="J1262" t="str">
        <f>IF(OR(Dati[[#This Row],[Categoria]]="Bollette",Dati[[#This Row],[Categoria]]="Conto &amp; Carte BNL",Dati[[#This Row],[Categoria]]="Prelievo",Dati[[#This Row],[Categoria]]="Affitto",Dati[[#This Row],[Categoria]]="BNL(Interessi Creditori)"),"Carta",IF(Dati[[#This Row],[Categoria]]&lt;&gt;0,"Cash",""))</f>
        <v/>
      </c>
      <c r="K1262" s="59" t="str">
        <f>IF(OR(Data!$I1262=SottocategorieUscite[[#Headers],[Fuori Casa]],Data!$I1262=SottocategorieUscite[[#Headers],[Varie Uscite]],Data!$I1262=SottocategorieUscite[[#Headers],[Personali]],Data!$I1262=SottocategorieUscite[[#Headers],[Lavoro]]),"$ -","")</f>
        <v/>
      </c>
      <c r="L1262" s="59" t="str">
        <f>IF(OR(Data!$I1262=SottocategorieUscite[[#Headers],[Casa]],Data!$I1262=SottocategorieUscite[[#Headers],[Utenze]],Data!$I1262=SottocategorieUscite[[#Headers],[Business Uscite]],Data!$I1262=SottocategorieUscite[[#Headers],[Banca]]),"$ -","")</f>
        <v/>
      </c>
      <c r="M1262" s="59" t="str">
        <f>IF(OR($I1262&lt;&gt;SottocategorieUscite[[#Headers],[Fuori Casa]],$I1262&lt;&gt;SottocategorieUscite[[#Headers],[Varie Uscite]],$I1262&lt;&gt;SottocategorieUscite[[#Headers],[Personali]],$I1262&lt;&gt;SottocategorieUscite[[#Headers],[Lavoro]],$I1262&lt;&gt;SottocategorieUscite[[#Headers],[Casa]],$I1262&lt;&gt;SottocategorieUscite[[#Headers],[Utenze]],$I1262&lt;&gt;SottocategorieUscite[[#Headers],[Business Uscite]],$I1262&lt;&gt;SottocategorieUscite[[#Headers],[Banca]]),"","$ -")</f>
        <v/>
      </c>
      <c r="N1262" s="59" t="str">
        <f>IF(OR(Data!$I1262=SottocategorieEntrate[[#Headers],[Business Entrate]],Data!$I1262=SottocategorieEntrate[[#Headers],[Varie Entrate]]),"$ -","")</f>
        <v/>
      </c>
      <c r="O1262" s="59" t="str">
        <f>IF(OR(Data!$I1262=SottocategorieEntrate[[#Headers],[Real Estate]],SottocategorieEntrate[[#Headers],[Other]]),"$ -","")</f>
        <v/>
      </c>
      <c r="P1262" s="59" t="str">
        <f>IF(OR($I1262&lt;&gt;SottocategorieEntrate[[#Headers],[Business Entrate]],$I1262&lt;&gt;SottocategorieEntrate[[#Headers],[Varie Entrate]],$I1262&lt;&gt;SottocategorieEntrate[[#Headers],[Real Estate]],$I1262&lt;&gt;SottocategorieEntrate[[#Headers],[Other]]),"","$ -")</f>
        <v/>
      </c>
      <c r="Q1262" s="59" t="str">
        <f>IF(Dati[[#This Row],[Categoria]]="Prelievo","€ -","")</f>
        <v/>
      </c>
      <c r="R1262" s="244"/>
      <c r="S1262" s="59" t="str">
        <f>IF(Dati[[#This Row],[Categoria]]="Savings",0,"")</f>
        <v/>
      </c>
      <c r="T1262" s="59"/>
      <c r="U1262" s="59"/>
      <c r="V1262" s="59"/>
      <c r="W1262" s="59"/>
      <c r="X1262" s="59"/>
      <c r="Y1262" s="59"/>
      <c r="Z1262" s="59"/>
      <c r="AA1262" s="59"/>
      <c r="AB1262" s="59"/>
      <c r="AC1262" s="59"/>
      <c r="AD1262" s="59"/>
      <c r="AE1262" s="59"/>
      <c r="AF1262" s="59"/>
      <c r="AG1262" s="59"/>
      <c r="AH1262" s="59"/>
      <c r="AI1262" s="59" t="str">
        <f>IF(SUM(Dati[[#This Row],[Inv. Business]:[Inv. Cryptocurrency]])=0," ",SUM(Dati[[#This Row],[Inv. Business]:[Inv. Cryptocurrency]]))</f>
        <v xml:space="preserve"> </v>
      </c>
      <c r="AJ1262" s="59"/>
      <c r="AK1262" s="59" t="str">
        <f>IF(SUM(Dati[[#This Row],[Inv. Gold]:[Mutuo]])=0," ",SUM(Dati[[#This Row],[Inv. Gold]:[Mutuo]]))</f>
        <v xml:space="preserve"> </v>
      </c>
      <c r="AL1262" s="59"/>
      <c r="AM1262" s="59"/>
    </row>
    <row r="1263" spans="2:39" x14ac:dyDescent="0.35">
      <c r="B1263" s="237">
        <f>ROW(1224:1224)</f>
        <v>1224</v>
      </c>
      <c r="C1263" s="49">
        <f t="shared" si="85"/>
        <v>45840</v>
      </c>
      <c r="D1263" s="29">
        <f>DAY(Dati[[#This Row],[Data]])</f>
        <v>2</v>
      </c>
      <c r="E1263" s="29" t="str">
        <f>IF(DAY(Data!$C$21:$C$1327)&gt;0,TEXT(Data!$C$21:$C$1327, "mmmm"),"")</f>
        <v>luglio</v>
      </c>
      <c r="F1263" s="29" t="str">
        <f>IF(DAY(Data!$C$21:$C$1327)&gt;0,TEXT(Data!$C$21:$C$1327, "aaaa"),"")</f>
        <v>2025</v>
      </c>
      <c r="I1263" t="str">
        <f>IF(OR(H1263=$B$5,H1263=$B$6,H1263=$B$7,H1263=$B$8,H1263=$B$9,H1263=$B$10,H1263=$B$11,H1263=$B$12,H1263=$B$13,H1263=$B$14),SottocategorieUscite[[#Headers],[Fuori Casa]],IF(OR(H1263=$C$5,H1263=$C$6,H1263=$C$7,H1263=$C$8,H1263=$C$9,H1263=$C$10,H1263=$C$11,H1263=$C$12,H1263=$C$13,H1263=$C$14),SottocategorieUscite[[#Headers],[Varie Uscite]],IF(OR(H1263=$D$5,H1263=$D$6,H1263=$D$7,H1263=$D$8,H1263=$D$9,H1263=$D$10,H1263=$D$11,H1263=$D$12,H1263=$D$13,H1263=$D$14),SottocategorieUscite[[#Headers],[Personali]],IF(OR(H1263=$E$5,H1263=$E$6,H1263=$E$7,H1263=$E$8,H1263=$E$9,H1263=$E$10,H1263=$E$11,H1263=$E$12,H1263=$E$13,H1263=$E$14),SottocategorieUscite[[#Headers],[Lavoro]],IF(OR(H1263=$F$5,H1263=$F$6,H1263=$F$7,H1263=$F$8,H1263=$F$9,H1263=$F$10,H1263=$F$11,H1263=$F$12,H1263=$F$13,H1263=$F$14),SottocategorieUscite[[#Headers],[Casa]],IF(OR(H1263=$G$5,H1263=$G$6,H1263=$G$7,H1263=$G$8,H1263=$G$9,H1263=$G$10,H1263=$G$11,H1263=$G$12,H1263=$G$13,H1263=$G$14),SottocategorieUscite[[#Headers],[Utenze]],IF(OR(H1263=$H$5,H1263=$H$6,H1263=$H$7,H1263=$H$8,H1263=$H$9,H1263=$H$10,H1263=$H$11,H1263=$H$12,H1263=$H$13,H1263=$H$14),SottocategorieUscite[[#Headers],[Business Uscite]],IF(OR(H1263=$I$5,H1263=$I$6,H1263=$I$7,H1263=$I$8,H1263=$I$9,H1263=$I$10,H1263=$I$11,H1263=$I$12,H1263=$I$13,H1263=$I$14),SottocategorieUscite[[#Headers],[Banca]],IF(OR(H1263=K$5,H1263=K$6,H1263=K$7,H1263=K$8,H1263=K$9,H1263=K$10,H1263=K$11,H1263=K$12,H1263=K$13,H1263=K$14),SottocategorieEntrate[[#Headers],[Business Entrate]],IF(OR(H1263=L$5,H1263=L$6,H1263=L$7,H1263=L$8,H1263=L$9,H1263=L$10,H1263=L$11,H1263=L$12,H1263=L$13,H1263=L$14),SottocategorieEntrate[[#Headers],[Varie Entrate]],IF(OR(H1263=M$5,H1263=M$6,H1263=M$7,H1263=M$8,H1263=M$9,H1263=M$10,H1263=M$11,H1263=M$12,H1263=M$13,H1263=M$14),SottocategorieEntrate[[#Headers],[Real Estate]],IF(OR(H1263=N$5,H1263=N$6,H1263=N$7,H1263=N$8,H1263=N$9,H1263=N$10,H1263=N$11,H1263=N$12,H1263=N$13,H1263=N$14),SottocategorieEntrate[[#Headers],[Other]],""))))))))))))</f>
        <v/>
      </c>
      <c r="J1263" t="str">
        <f>IF(OR(Dati[[#This Row],[Categoria]]="Bollette",Dati[[#This Row],[Categoria]]="Conto &amp; Carte BNL",Dati[[#This Row],[Categoria]]="Prelievo",Dati[[#This Row],[Categoria]]="Affitto",Dati[[#This Row],[Categoria]]="BNL(Interessi Creditori)"),"Carta",IF(Dati[[#This Row],[Categoria]]&lt;&gt;0,"Cash",""))</f>
        <v/>
      </c>
      <c r="K1263" s="59" t="str">
        <f>IF(OR(Data!$I1263=SottocategorieUscite[[#Headers],[Fuori Casa]],Data!$I1263=SottocategorieUscite[[#Headers],[Varie Uscite]],Data!$I1263=SottocategorieUscite[[#Headers],[Personali]],Data!$I1263=SottocategorieUscite[[#Headers],[Lavoro]]),"$ -","")</f>
        <v/>
      </c>
      <c r="L1263" s="59" t="str">
        <f>IF(OR(Data!$I1263=SottocategorieUscite[[#Headers],[Casa]],Data!$I1263=SottocategorieUscite[[#Headers],[Utenze]],Data!$I1263=SottocategorieUscite[[#Headers],[Business Uscite]],Data!$I1263=SottocategorieUscite[[#Headers],[Banca]]),"$ -","")</f>
        <v/>
      </c>
      <c r="M1263" s="59" t="str">
        <f>IF(OR($I1263&lt;&gt;SottocategorieUscite[[#Headers],[Fuori Casa]],$I1263&lt;&gt;SottocategorieUscite[[#Headers],[Varie Uscite]],$I1263&lt;&gt;SottocategorieUscite[[#Headers],[Personali]],$I1263&lt;&gt;SottocategorieUscite[[#Headers],[Lavoro]],$I1263&lt;&gt;SottocategorieUscite[[#Headers],[Casa]],$I1263&lt;&gt;SottocategorieUscite[[#Headers],[Utenze]],$I1263&lt;&gt;SottocategorieUscite[[#Headers],[Business Uscite]],$I1263&lt;&gt;SottocategorieUscite[[#Headers],[Banca]]),"","$ -")</f>
        <v/>
      </c>
      <c r="N1263" s="59" t="str">
        <f>IF(OR(Data!$I1263=SottocategorieEntrate[[#Headers],[Business Entrate]],Data!$I1263=SottocategorieEntrate[[#Headers],[Varie Entrate]]),"$ -","")</f>
        <v/>
      </c>
      <c r="O1263" s="59" t="str">
        <f>IF(OR(Data!$I1263=SottocategorieEntrate[[#Headers],[Real Estate]],SottocategorieEntrate[[#Headers],[Other]]),"$ -","")</f>
        <v/>
      </c>
      <c r="P1263" s="59" t="str">
        <f>IF(OR($I1263&lt;&gt;SottocategorieEntrate[[#Headers],[Business Entrate]],$I1263&lt;&gt;SottocategorieEntrate[[#Headers],[Varie Entrate]],$I1263&lt;&gt;SottocategorieEntrate[[#Headers],[Real Estate]],$I1263&lt;&gt;SottocategorieEntrate[[#Headers],[Other]]),"","$ -")</f>
        <v/>
      </c>
      <c r="Q1263" s="59" t="str">
        <f>IF(Dati[[#This Row],[Categoria]]="Prelievo","€ -","")</f>
        <v/>
      </c>
      <c r="R1263" s="244"/>
      <c r="S1263" s="59" t="str">
        <f>IF(Dati[[#This Row],[Categoria]]="Savings",0,"")</f>
        <v/>
      </c>
      <c r="T1263" s="59"/>
      <c r="U1263" s="59"/>
      <c r="V1263" s="59"/>
      <c r="W1263" s="59"/>
      <c r="X1263" s="59"/>
      <c r="Y1263" s="59"/>
      <c r="Z1263" s="59"/>
      <c r="AA1263" s="59"/>
      <c r="AB1263" s="59"/>
      <c r="AC1263" s="59"/>
      <c r="AD1263" s="59"/>
      <c r="AE1263" s="59"/>
      <c r="AF1263" s="59"/>
      <c r="AG1263" s="59"/>
      <c r="AH1263" s="59"/>
      <c r="AI1263" s="59" t="str">
        <f>IF(SUM(Dati[[#This Row],[Inv. Business]:[Inv. Cryptocurrency]])=0," ",SUM(Dati[[#This Row],[Inv. Business]:[Inv. Cryptocurrency]]))</f>
        <v xml:space="preserve"> </v>
      </c>
      <c r="AJ1263" s="59"/>
      <c r="AK1263" s="59" t="str">
        <f>IF(SUM(Dati[[#This Row],[Inv. Gold]:[Mutuo]])=0," ",SUM(Dati[[#This Row],[Inv. Gold]:[Mutuo]]))</f>
        <v xml:space="preserve"> </v>
      </c>
      <c r="AL1263" s="59"/>
      <c r="AM1263" s="59"/>
    </row>
    <row r="1264" spans="2:39" x14ac:dyDescent="0.35">
      <c r="B1264" s="237">
        <f>ROW(1224:1224)</f>
        <v>1224</v>
      </c>
      <c r="C1264" s="49">
        <f>C1262+1</f>
        <v>45840</v>
      </c>
      <c r="D1264" s="29">
        <f>DAY(Dati[[#This Row],[Data]])</f>
        <v>2</v>
      </c>
      <c r="E1264" s="29" t="str">
        <f>IF(DAY(Data!$C$21:$C$1327)&gt;0,TEXT(Data!$C$21:$C$1327, "mmmm"),"")</f>
        <v>luglio</v>
      </c>
      <c r="F1264" s="29" t="str">
        <f>IF(DAY(Data!$C$21:$C$1327)&gt;0,TEXT(Data!$C$21:$C$1327, "aaaa"),"")</f>
        <v>2025</v>
      </c>
      <c r="I1264" t="str">
        <f>IF(OR(H1264=$B$5,H1264=$B$6,H1264=$B$7,H1264=$B$8,H1264=$B$9,H1264=$B$10,H1264=$B$11,H1264=$B$12,H1264=$B$13,H1264=$B$14),SottocategorieUscite[[#Headers],[Fuori Casa]],IF(OR(H1264=$C$5,H1264=$C$6,H1264=$C$7,H1264=$C$8,H1264=$C$9,H1264=$C$10,H1264=$C$11,H1264=$C$12,H1264=$C$13,H1264=$C$14),SottocategorieUscite[[#Headers],[Varie Uscite]],IF(OR(H1264=$D$5,H1264=$D$6,H1264=$D$7,H1264=$D$8,H1264=$D$9,H1264=$D$10,H1264=$D$11,H1264=$D$12,H1264=$D$13,H1264=$D$14),SottocategorieUscite[[#Headers],[Personali]],IF(OR(H1264=$E$5,H1264=$E$6,H1264=$E$7,H1264=$E$8,H1264=$E$9,H1264=$E$10,H1264=$E$11,H1264=$E$12,H1264=$E$13,H1264=$E$14),SottocategorieUscite[[#Headers],[Lavoro]],IF(OR(H1264=$F$5,H1264=$F$6,H1264=$F$7,H1264=$F$8,H1264=$F$9,H1264=$F$10,H1264=$F$11,H1264=$F$12,H1264=$F$13,H1264=$F$14),SottocategorieUscite[[#Headers],[Casa]],IF(OR(H1264=$G$5,H1264=$G$6,H1264=$G$7,H1264=$G$8,H1264=$G$9,H1264=$G$10,H1264=$G$11,H1264=$G$12,H1264=$G$13,H1264=$G$14),SottocategorieUscite[[#Headers],[Utenze]],IF(OR(H1264=$H$5,H1264=$H$6,H1264=$H$7,H1264=$H$8,H1264=$H$9,H1264=$H$10,H1264=$H$11,H1264=$H$12,H1264=$H$13,H1264=$H$14),SottocategorieUscite[[#Headers],[Business Uscite]],IF(OR(H1264=$I$5,H1264=$I$6,H1264=$I$7,H1264=$I$8,H1264=$I$9,H1264=$I$10,H1264=$I$11,H1264=$I$12,H1264=$I$13,H1264=$I$14),SottocategorieUscite[[#Headers],[Banca]],IF(OR(H1264=K$5,H1264=K$6,H1264=K$7,H1264=K$8,H1264=K$9,H1264=K$10,H1264=K$11,H1264=K$12,H1264=K$13,H1264=K$14),SottocategorieEntrate[[#Headers],[Business Entrate]],IF(OR(H1264=L$5,H1264=L$6,H1264=L$7,H1264=L$8,H1264=L$9,H1264=L$10,H1264=L$11,H1264=L$12,H1264=L$13,H1264=L$14),SottocategorieEntrate[[#Headers],[Varie Entrate]],IF(OR(H1264=M$5,H1264=M$6,H1264=M$7,H1264=M$8,H1264=M$9,H1264=M$10,H1264=M$11,H1264=M$12,H1264=M$13,H1264=M$14),SottocategorieEntrate[[#Headers],[Real Estate]],IF(OR(H1264=N$5,H1264=N$6,H1264=N$7,H1264=N$8,H1264=N$9,H1264=N$10,H1264=N$11,H1264=N$12,H1264=N$13,H1264=N$14),SottocategorieEntrate[[#Headers],[Other]],""))))))))))))</f>
        <v/>
      </c>
      <c r="J1264" t="str">
        <f>IF(OR(Dati[[#This Row],[Categoria]]="Bollette",Dati[[#This Row],[Categoria]]="Conto &amp; Carte BNL",Dati[[#This Row],[Categoria]]="Prelievo",Dati[[#This Row],[Categoria]]="Affitto",Dati[[#This Row],[Categoria]]="BNL(Interessi Creditori)"),"Carta",IF(Dati[[#This Row],[Categoria]]&lt;&gt;0,"Cash",""))</f>
        <v/>
      </c>
      <c r="K1264" s="59" t="str">
        <f>IF(OR(Data!$I1264=SottocategorieUscite[[#Headers],[Fuori Casa]],Data!$I1264=SottocategorieUscite[[#Headers],[Varie Uscite]],Data!$I1264=SottocategorieUscite[[#Headers],[Personali]],Data!$I1264=SottocategorieUscite[[#Headers],[Lavoro]]),"$ -","")</f>
        <v/>
      </c>
      <c r="L1264" s="59" t="str">
        <f>IF(OR(Data!$I1264=SottocategorieUscite[[#Headers],[Casa]],Data!$I1264=SottocategorieUscite[[#Headers],[Utenze]],Data!$I1264=SottocategorieUscite[[#Headers],[Business Uscite]],Data!$I1264=SottocategorieUscite[[#Headers],[Banca]]),"$ -","")</f>
        <v/>
      </c>
      <c r="M1264" s="59" t="str">
        <f>IF(OR($I1264&lt;&gt;SottocategorieUscite[[#Headers],[Fuori Casa]],$I1264&lt;&gt;SottocategorieUscite[[#Headers],[Varie Uscite]],$I1264&lt;&gt;SottocategorieUscite[[#Headers],[Personali]],$I1264&lt;&gt;SottocategorieUscite[[#Headers],[Lavoro]],$I1264&lt;&gt;SottocategorieUscite[[#Headers],[Casa]],$I1264&lt;&gt;SottocategorieUscite[[#Headers],[Utenze]],$I1264&lt;&gt;SottocategorieUscite[[#Headers],[Business Uscite]],$I1264&lt;&gt;SottocategorieUscite[[#Headers],[Banca]]),"","$ -")</f>
        <v/>
      </c>
      <c r="N1264" s="59" t="str">
        <f>IF(OR(Data!$I1264=SottocategorieEntrate[[#Headers],[Business Entrate]],Data!$I1264=SottocategorieEntrate[[#Headers],[Varie Entrate]]),"$ -","")</f>
        <v/>
      </c>
      <c r="O1264" s="59" t="str">
        <f>IF(OR(Data!$I1264=SottocategorieEntrate[[#Headers],[Real Estate]],SottocategorieEntrate[[#Headers],[Other]]),"$ -","")</f>
        <v/>
      </c>
      <c r="P1264" s="59" t="str">
        <f>IF(OR($I1264&lt;&gt;SottocategorieEntrate[[#Headers],[Business Entrate]],$I1264&lt;&gt;SottocategorieEntrate[[#Headers],[Varie Entrate]],$I1264&lt;&gt;SottocategorieEntrate[[#Headers],[Real Estate]],$I1264&lt;&gt;SottocategorieEntrate[[#Headers],[Other]]),"","$ -")</f>
        <v/>
      </c>
      <c r="Q1264" s="59" t="str">
        <f>IF(Dati[[#This Row],[Categoria]]="Prelievo","€ -","")</f>
        <v/>
      </c>
      <c r="R1264" s="244"/>
      <c r="S1264" s="59" t="str">
        <f>IF(Dati[[#This Row],[Categoria]]="Savings",0,"")</f>
        <v/>
      </c>
      <c r="T1264" s="59"/>
      <c r="U1264" s="59"/>
      <c r="V1264" s="59"/>
      <c r="W1264" s="59"/>
      <c r="X1264" s="59"/>
      <c r="Y1264" s="59"/>
      <c r="Z1264" s="59"/>
      <c r="AA1264" s="59"/>
      <c r="AB1264" s="59"/>
      <c r="AC1264" s="59"/>
      <c r="AD1264" s="59"/>
      <c r="AE1264" s="59"/>
      <c r="AF1264" s="59"/>
      <c r="AG1264" s="59"/>
      <c r="AH1264" s="59"/>
      <c r="AI1264" s="59" t="str">
        <f>IF(SUM(Dati[[#This Row],[Inv. Business]:[Inv. Cryptocurrency]])=0," ",SUM(Dati[[#This Row],[Inv. Business]:[Inv. Cryptocurrency]]))</f>
        <v xml:space="preserve"> </v>
      </c>
      <c r="AJ1264" s="59"/>
      <c r="AK1264" s="59" t="str">
        <f>IF(SUM(Dati[[#This Row],[Inv. Gold]:[Mutuo]])=0," ",SUM(Dati[[#This Row],[Inv. Gold]:[Mutuo]]))</f>
        <v xml:space="preserve"> </v>
      </c>
      <c r="AL1264" s="59"/>
      <c r="AM1264" s="59"/>
    </row>
    <row r="1265" spans="2:39" x14ac:dyDescent="0.35">
      <c r="B1265" s="237">
        <f>ROW(1225:1225)</f>
        <v>1225</v>
      </c>
      <c r="C1265" s="49">
        <f>C1263+1</f>
        <v>45841</v>
      </c>
      <c r="D1265" s="29">
        <f>DAY(Dati[[#This Row],[Data]])</f>
        <v>3</v>
      </c>
      <c r="E1265" s="29" t="str">
        <f>IF(DAY(Data!$C$21:$C$1327)&gt;0,TEXT(Data!$C$21:$C$1327, "mmmm"),"")</f>
        <v>luglio</v>
      </c>
      <c r="F1265" s="29" t="str">
        <f>IF(DAY(Data!$C$21:$C$1327)&gt;0,TEXT(Data!$C$21:$C$1327, "aaaa"),"")</f>
        <v>2025</v>
      </c>
      <c r="I1265" t="str">
        <f>IF(OR(H1265=$B$5,H1265=$B$6,H1265=$B$7,H1265=$B$8,H1265=$B$9,H1265=$B$10,H1265=$B$11,H1265=$B$12,H1265=$B$13,H1265=$B$14),SottocategorieUscite[[#Headers],[Fuori Casa]],IF(OR(H1265=$C$5,H1265=$C$6,H1265=$C$7,H1265=$C$8,H1265=$C$9,H1265=$C$10,H1265=$C$11,H1265=$C$12,H1265=$C$13,H1265=$C$14),SottocategorieUscite[[#Headers],[Varie Uscite]],IF(OR(H1265=$D$5,H1265=$D$6,H1265=$D$7,H1265=$D$8,H1265=$D$9,H1265=$D$10,H1265=$D$11,H1265=$D$12,H1265=$D$13,H1265=$D$14),SottocategorieUscite[[#Headers],[Personali]],IF(OR(H1265=$E$5,H1265=$E$6,H1265=$E$7,H1265=$E$8,H1265=$E$9,H1265=$E$10,H1265=$E$11,H1265=$E$12,H1265=$E$13,H1265=$E$14),SottocategorieUscite[[#Headers],[Lavoro]],IF(OR(H1265=$F$5,H1265=$F$6,H1265=$F$7,H1265=$F$8,H1265=$F$9,H1265=$F$10,H1265=$F$11,H1265=$F$12,H1265=$F$13,H1265=$F$14),SottocategorieUscite[[#Headers],[Casa]],IF(OR(H1265=$G$5,H1265=$G$6,H1265=$G$7,H1265=$G$8,H1265=$G$9,H1265=$G$10,H1265=$G$11,H1265=$G$12,H1265=$G$13,H1265=$G$14),SottocategorieUscite[[#Headers],[Utenze]],IF(OR(H1265=$H$5,H1265=$H$6,H1265=$H$7,H1265=$H$8,H1265=$H$9,H1265=$H$10,H1265=$H$11,H1265=$H$12,H1265=$H$13,H1265=$H$14),SottocategorieUscite[[#Headers],[Business Uscite]],IF(OR(H1265=$I$5,H1265=$I$6,H1265=$I$7,H1265=$I$8,H1265=$I$9,H1265=$I$10,H1265=$I$11,H1265=$I$12,H1265=$I$13,H1265=$I$14),SottocategorieUscite[[#Headers],[Banca]],IF(OR(H1265=K$5,H1265=K$6,H1265=K$7,H1265=K$8,H1265=K$9,H1265=K$10,H1265=K$11,H1265=K$12,H1265=K$13,H1265=K$14),SottocategorieEntrate[[#Headers],[Business Entrate]],IF(OR(H1265=L$5,H1265=L$6,H1265=L$7,H1265=L$8,H1265=L$9,H1265=L$10,H1265=L$11,H1265=L$12,H1265=L$13,H1265=L$14),SottocategorieEntrate[[#Headers],[Varie Entrate]],IF(OR(H1265=M$5,H1265=M$6,H1265=M$7,H1265=M$8,H1265=M$9,H1265=M$10,H1265=M$11,H1265=M$12,H1265=M$13,H1265=M$14),SottocategorieEntrate[[#Headers],[Real Estate]],IF(OR(H1265=N$5,H1265=N$6,H1265=N$7,H1265=N$8,H1265=N$9,H1265=N$10,H1265=N$11,H1265=N$12,H1265=N$13,H1265=N$14),SottocategorieEntrate[[#Headers],[Other]],""))))))))))))</f>
        <v/>
      </c>
      <c r="J1265" t="str">
        <f>IF(OR(Dati[[#This Row],[Categoria]]="Bollette",Dati[[#This Row],[Categoria]]="Conto &amp; Carte BNL",Dati[[#This Row],[Categoria]]="Prelievo",Dati[[#This Row],[Categoria]]="Affitto",Dati[[#This Row],[Categoria]]="BNL(Interessi Creditori)"),"Carta",IF(Dati[[#This Row],[Categoria]]&lt;&gt;0,"Cash",""))</f>
        <v/>
      </c>
      <c r="K1265" s="59" t="str">
        <f>IF(OR(Data!$I1265=SottocategorieUscite[[#Headers],[Fuori Casa]],Data!$I1265=SottocategorieUscite[[#Headers],[Varie Uscite]],Data!$I1265=SottocategorieUscite[[#Headers],[Personali]],Data!$I1265=SottocategorieUscite[[#Headers],[Lavoro]]),"$ -","")</f>
        <v/>
      </c>
      <c r="L1265" s="59" t="str">
        <f>IF(OR(Data!$I1265=SottocategorieUscite[[#Headers],[Casa]],Data!$I1265=SottocategorieUscite[[#Headers],[Utenze]],Data!$I1265=SottocategorieUscite[[#Headers],[Business Uscite]],Data!$I1265=SottocategorieUscite[[#Headers],[Banca]]),"$ -","")</f>
        <v/>
      </c>
      <c r="M1265" s="59" t="str">
        <f>IF(OR($I1265&lt;&gt;SottocategorieUscite[[#Headers],[Fuori Casa]],$I1265&lt;&gt;SottocategorieUscite[[#Headers],[Varie Uscite]],$I1265&lt;&gt;SottocategorieUscite[[#Headers],[Personali]],$I1265&lt;&gt;SottocategorieUscite[[#Headers],[Lavoro]],$I1265&lt;&gt;SottocategorieUscite[[#Headers],[Casa]],$I1265&lt;&gt;SottocategorieUscite[[#Headers],[Utenze]],$I1265&lt;&gt;SottocategorieUscite[[#Headers],[Business Uscite]],$I1265&lt;&gt;SottocategorieUscite[[#Headers],[Banca]]),"","$ -")</f>
        <v/>
      </c>
      <c r="N1265" s="59" t="str">
        <f>IF(OR(Data!$I1265=SottocategorieEntrate[[#Headers],[Business Entrate]],Data!$I1265=SottocategorieEntrate[[#Headers],[Varie Entrate]]),"$ -","")</f>
        <v/>
      </c>
      <c r="O1265" s="59" t="str">
        <f>IF(OR(Data!$I1265=SottocategorieEntrate[[#Headers],[Real Estate]],SottocategorieEntrate[[#Headers],[Other]]),"$ -","")</f>
        <v/>
      </c>
      <c r="P1265" s="59" t="str">
        <f>IF(OR($I1265&lt;&gt;SottocategorieEntrate[[#Headers],[Business Entrate]],$I1265&lt;&gt;SottocategorieEntrate[[#Headers],[Varie Entrate]],$I1265&lt;&gt;SottocategorieEntrate[[#Headers],[Real Estate]],$I1265&lt;&gt;SottocategorieEntrate[[#Headers],[Other]]),"","$ -")</f>
        <v/>
      </c>
      <c r="Q1265" s="59" t="str">
        <f>IF(Dati[[#This Row],[Categoria]]="Prelievo","€ -","")</f>
        <v/>
      </c>
      <c r="R1265" s="244"/>
      <c r="S1265" s="59" t="str">
        <f>IF(Dati[[#This Row],[Categoria]]="Savings",0,"")</f>
        <v/>
      </c>
      <c r="T1265" s="59"/>
      <c r="U1265" s="59"/>
      <c r="V1265" s="59"/>
      <c r="W1265" s="59"/>
      <c r="X1265" s="59"/>
      <c r="Y1265" s="59"/>
      <c r="Z1265" s="59"/>
      <c r="AA1265" s="59"/>
      <c r="AB1265" s="59"/>
      <c r="AC1265" s="59"/>
      <c r="AD1265" s="59"/>
      <c r="AE1265" s="59"/>
      <c r="AF1265" s="59"/>
      <c r="AG1265" s="59"/>
      <c r="AH1265" s="59"/>
      <c r="AI1265" s="59" t="str">
        <f>IF(SUM(Dati[[#This Row],[Inv. Business]:[Inv. Cryptocurrency]])=0," ",SUM(Dati[[#This Row],[Inv. Business]:[Inv. Cryptocurrency]]))</f>
        <v xml:space="preserve"> </v>
      </c>
      <c r="AJ1265" s="59"/>
      <c r="AK1265" s="59" t="str">
        <f>IF(SUM(Dati[[#This Row],[Inv. Gold]:[Mutuo]])=0," ",SUM(Dati[[#This Row],[Inv. Gold]:[Mutuo]]))</f>
        <v xml:space="preserve"> </v>
      </c>
      <c r="AL1265" s="59"/>
      <c r="AM1265" s="59"/>
    </row>
    <row r="1266" spans="2:39" x14ac:dyDescent="0.35">
      <c r="B1266" s="237">
        <f>ROW(1228:1228)</f>
        <v>1228</v>
      </c>
      <c r="C1266" s="49">
        <f t="shared" si="85"/>
        <v>45842</v>
      </c>
      <c r="D1266" s="29">
        <f>DAY(Dati[[#This Row],[Data]])</f>
        <v>4</v>
      </c>
      <c r="E1266" s="29" t="str">
        <f>IF(DAY(Data!$C$21:$C$1327)&gt;0,TEXT(Data!$C$21:$C$1327, "mmmm"),"")</f>
        <v>luglio</v>
      </c>
      <c r="F1266" s="29" t="str">
        <f>IF(DAY(Data!$C$21:$C$1327)&gt;0,TEXT(Data!$C$21:$C$1327, "aaaa"),"")</f>
        <v>2025</v>
      </c>
      <c r="I1266" t="str">
        <f>IF(OR(H1266=$B$5,H1266=$B$6,H1266=$B$7,H1266=$B$8,H1266=$B$9,H1266=$B$10,H1266=$B$11,H1266=$B$12,H1266=$B$13,H1266=$B$14),SottocategorieUscite[[#Headers],[Fuori Casa]],IF(OR(H1266=$C$5,H1266=$C$6,H1266=$C$7,H1266=$C$8,H1266=$C$9,H1266=$C$10,H1266=$C$11,H1266=$C$12,H1266=$C$13,H1266=$C$14),SottocategorieUscite[[#Headers],[Varie Uscite]],IF(OR(H1266=$D$5,H1266=$D$6,H1266=$D$7,H1266=$D$8,H1266=$D$9,H1266=$D$10,H1266=$D$11,H1266=$D$12,H1266=$D$13,H1266=$D$14),SottocategorieUscite[[#Headers],[Personali]],IF(OR(H1266=$E$5,H1266=$E$6,H1266=$E$7,H1266=$E$8,H1266=$E$9,H1266=$E$10,H1266=$E$11,H1266=$E$12,H1266=$E$13,H1266=$E$14),SottocategorieUscite[[#Headers],[Lavoro]],IF(OR(H1266=$F$5,H1266=$F$6,H1266=$F$7,H1266=$F$8,H1266=$F$9,H1266=$F$10,H1266=$F$11,H1266=$F$12,H1266=$F$13,H1266=$F$14),SottocategorieUscite[[#Headers],[Casa]],IF(OR(H1266=$G$5,H1266=$G$6,H1266=$G$7,H1266=$G$8,H1266=$G$9,H1266=$G$10,H1266=$G$11,H1266=$G$12,H1266=$G$13,H1266=$G$14),SottocategorieUscite[[#Headers],[Utenze]],IF(OR(H1266=$H$5,H1266=$H$6,H1266=$H$7,H1266=$H$8,H1266=$H$9,H1266=$H$10,H1266=$H$11,H1266=$H$12,H1266=$H$13,H1266=$H$14),SottocategorieUscite[[#Headers],[Business Uscite]],IF(OR(H1266=$I$5,H1266=$I$6,H1266=$I$7,H1266=$I$8,H1266=$I$9,H1266=$I$10,H1266=$I$11,H1266=$I$12,H1266=$I$13,H1266=$I$14),SottocategorieUscite[[#Headers],[Banca]],IF(OR(H1266=K$5,H1266=K$6,H1266=K$7,H1266=K$8,H1266=K$9,H1266=K$10,H1266=K$11,H1266=K$12,H1266=K$13,H1266=K$14),SottocategorieEntrate[[#Headers],[Business Entrate]],IF(OR(H1266=L$5,H1266=L$6,H1266=L$7,H1266=L$8,H1266=L$9,H1266=L$10,H1266=L$11,H1266=L$12,H1266=L$13,H1266=L$14),SottocategorieEntrate[[#Headers],[Varie Entrate]],IF(OR(H1266=M$5,H1266=M$6,H1266=M$7,H1266=M$8,H1266=M$9,H1266=M$10,H1266=M$11,H1266=M$12,H1266=M$13,H1266=M$14),SottocategorieEntrate[[#Headers],[Real Estate]],IF(OR(H1266=N$5,H1266=N$6,H1266=N$7,H1266=N$8,H1266=N$9,H1266=N$10,H1266=N$11,H1266=N$12,H1266=N$13,H1266=N$14),SottocategorieEntrate[[#Headers],[Other]],""))))))))))))</f>
        <v/>
      </c>
      <c r="J1266" t="str">
        <f>IF(OR(Dati[[#This Row],[Categoria]]="Bollette",Dati[[#This Row],[Categoria]]="Conto &amp; Carte BNL",Dati[[#This Row],[Categoria]]="Prelievo",Dati[[#This Row],[Categoria]]="Affitto",Dati[[#This Row],[Categoria]]="BNL(Interessi Creditori)"),"Carta",IF(Dati[[#This Row],[Categoria]]&lt;&gt;0,"Cash",""))</f>
        <v/>
      </c>
      <c r="K1266" s="59" t="str">
        <f>IF(OR(Data!$I1266=SottocategorieUscite[[#Headers],[Fuori Casa]],Data!$I1266=SottocategorieUscite[[#Headers],[Varie Uscite]],Data!$I1266=SottocategorieUscite[[#Headers],[Personali]],Data!$I1266=SottocategorieUscite[[#Headers],[Lavoro]]),"$ -","")</f>
        <v/>
      </c>
      <c r="L1266" s="59" t="str">
        <f>IF(OR(Data!$I1266=SottocategorieUscite[[#Headers],[Casa]],Data!$I1266=SottocategorieUscite[[#Headers],[Utenze]],Data!$I1266=SottocategorieUscite[[#Headers],[Business Uscite]],Data!$I1266=SottocategorieUscite[[#Headers],[Banca]]),"$ -","")</f>
        <v/>
      </c>
      <c r="M1266" s="59" t="str">
        <f>IF(OR($I1266&lt;&gt;SottocategorieUscite[[#Headers],[Fuori Casa]],$I1266&lt;&gt;SottocategorieUscite[[#Headers],[Varie Uscite]],$I1266&lt;&gt;SottocategorieUscite[[#Headers],[Personali]],$I1266&lt;&gt;SottocategorieUscite[[#Headers],[Lavoro]],$I1266&lt;&gt;SottocategorieUscite[[#Headers],[Casa]],$I1266&lt;&gt;SottocategorieUscite[[#Headers],[Utenze]],$I1266&lt;&gt;SottocategorieUscite[[#Headers],[Business Uscite]],$I1266&lt;&gt;SottocategorieUscite[[#Headers],[Banca]]),"","$ -")</f>
        <v/>
      </c>
      <c r="N1266" s="59" t="str">
        <f>IF(OR(Data!$I1266=SottocategorieEntrate[[#Headers],[Business Entrate]],Data!$I1266=SottocategorieEntrate[[#Headers],[Varie Entrate]]),"$ -","")</f>
        <v/>
      </c>
      <c r="O1266" s="59" t="str">
        <f>IF(OR(Data!$I1266=SottocategorieEntrate[[#Headers],[Real Estate]],SottocategorieEntrate[[#Headers],[Other]]),"$ -","")</f>
        <v/>
      </c>
      <c r="P1266" s="59" t="str">
        <f>IF(OR($I1266&lt;&gt;SottocategorieEntrate[[#Headers],[Business Entrate]],$I1266&lt;&gt;SottocategorieEntrate[[#Headers],[Varie Entrate]],$I1266&lt;&gt;SottocategorieEntrate[[#Headers],[Real Estate]],$I1266&lt;&gt;SottocategorieEntrate[[#Headers],[Other]]),"","$ -")</f>
        <v/>
      </c>
      <c r="Q1266" s="59" t="str">
        <f>IF(Dati[[#This Row],[Categoria]]="Prelievo","€ -","")</f>
        <v/>
      </c>
      <c r="R1266" s="244"/>
      <c r="S1266" s="59" t="str">
        <f>IF(Dati[[#This Row],[Categoria]]="Savings",0,"")</f>
        <v/>
      </c>
      <c r="T1266" s="59"/>
      <c r="U1266" s="59"/>
      <c r="V1266" s="59"/>
      <c r="W1266" s="59"/>
      <c r="X1266" s="59"/>
      <c r="Y1266" s="59"/>
      <c r="Z1266" s="59"/>
      <c r="AA1266" s="59"/>
      <c r="AB1266" s="59"/>
      <c r="AC1266" s="59"/>
      <c r="AD1266" s="59"/>
      <c r="AE1266" s="59"/>
      <c r="AF1266" s="59"/>
      <c r="AG1266" s="59"/>
      <c r="AH1266" s="59"/>
      <c r="AI1266" s="59" t="str">
        <f>IF(SUM(Dati[[#This Row],[Inv. Business]:[Inv. Cryptocurrency]])=0," ",SUM(Dati[[#This Row],[Inv. Business]:[Inv. Cryptocurrency]]))</f>
        <v xml:space="preserve"> </v>
      </c>
      <c r="AJ1266" s="59"/>
      <c r="AK1266" s="59" t="str">
        <f>IF(SUM(Dati[[#This Row],[Inv. Gold]:[Mutuo]])=0," ",SUM(Dati[[#This Row],[Inv. Gold]:[Mutuo]]))</f>
        <v xml:space="preserve"> </v>
      </c>
      <c r="AL1266" s="59"/>
      <c r="AM1266" s="59"/>
    </row>
    <row r="1267" spans="2:39" x14ac:dyDescent="0.35">
      <c r="B1267" s="237">
        <f>ROW(1230:1230)</f>
        <v>1230</v>
      </c>
      <c r="C1267" s="49">
        <f t="shared" si="85"/>
        <v>45843</v>
      </c>
      <c r="D1267" s="29">
        <f>DAY(Dati[[#This Row],[Data]])</f>
        <v>5</v>
      </c>
      <c r="E1267" s="29" t="str">
        <f>IF(DAY(Data!$C$21:$C$1327)&gt;0,TEXT(Data!$C$21:$C$1327, "mmmm"),"")</f>
        <v>luglio</v>
      </c>
      <c r="F1267" s="29" t="str">
        <f>IF(DAY(Data!$C$21:$C$1327)&gt;0,TEXT(Data!$C$21:$C$1327, "aaaa"),"")</f>
        <v>2025</v>
      </c>
      <c r="I1267" t="str">
        <f>IF(OR(H1267=$B$5,H1267=$B$6,H1267=$B$7,H1267=$B$8,H1267=$B$9,H1267=$B$10,H1267=$B$11,H1267=$B$12,H1267=$B$13,H1267=$B$14),SottocategorieUscite[[#Headers],[Fuori Casa]],IF(OR(H1267=$C$5,H1267=$C$6,H1267=$C$7,H1267=$C$8,H1267=$C$9,H1267=$C$10,H1267=$C$11,H1267=$C$12,H1267=$C$13,H1267=$C$14),SottocategorieUscite[[#Headers],[Varie Uscite]],IF(OR(H1267=$D$5,H1267=$D$6,H1267=$D$7,H1267=$D$8,H1267=$D$9,H1267=$D$10,H1267=$D$11,H1267=$D$12,H1267=$D$13,H1267=$D$14),SottocategorieUscite[[#Headers],[Personali]],IF(OR(H1267=$E$5,H1267=$E$6,H1267=$E$7,H1267=$E$8,H1267=$E$9,H1267=$E$10,H1267=$E$11,H1267=$E$12,H1267=$E$13,H1267=$E$14),SottocategorieUscite[[#Headers],[Lavoro]],IF(OR(H1267=$F$5,H1267=$F$6,H1267=$F$7,H1267=$F$8,H1267=$F$9,H1267=$F$10,H1267=$F$11,H1267=$F$12,H1267=$F$13,H1267=$F$14),SottocategorieUscite[[#Headers],[Casa]],IF(OR(H1267=$G$5,H1267=$G$6,H1267=$G$7,H1267=$G$8,H1267=$G$9,H1267=$G$10,H1267=$G$11,H1267=$G$12,H1267=$G$13,H1267=$G$14),SottocategorieUscite[[#Headers],[Utenze]],IF(OR(H1267=$H$5,H1267=$H$6,H1267=$H$7,H1267=$H$8,H1267=$H$9,H1267=$H$10,H1267=$H$11,H1267=$H$12,H1267=$H$13,H1267=$H$14),SottocategorieUscite[[#Headers],[Business Uscite]],IF(OR(H1267=$I$5,H1267=$I$6,H1267=$I$7,H1267=$I$8,H1267=$I$9,H1267=$I$10,H1267=$I$11,H1267=$I$12,H1267=$I$13,H1267=$I$14),SottocategorieUscite[[#Headers],[Banca]],IF(OR(H1267=K$5,H1267=K$6,H1267=K$7,H1267=K$8,H1267=K$9,H1267=K$10,H1267=K$11,H1267=K$12,H1267=K$13,H1267=K$14),SottocategorieEntrate[[#Headers],[Business Entrate]],IF(OR(H1267=L$5,H1267=L$6,H1267=L$7,H1267=L$8,H1267=L$9,H1267=L$10,H1267=L$11,H1267=L$12,H1267=L$13,H1267=L$14),SottocategorieEntrate[[#Headers],[Varie Entrate]],IF(OR(H1267=M$5,H1267=M$6,H1267=M$7,H1267=M$8,H1267=M$9,H1267=M$10,H1267=M$11,H1267=M$12,H1267=M$13,H1267=M$14),SottocategorieEntrate[[#Headers],[Real Estate]],IF(OR(H1267=N$5,H1267=N$6,H1267=N$7,H1267=N$8,H1267=N$9,H1267=N$10,H1267=N$11,H1267=N$12,H1267=N$13,H1267=N$14),SottocategorieEntrate[[#Headers],[Other]],""))))))))))))</f>
        <v/>
      </c>
      <c r="J1267" t="str">
        <f>IF(OR(Dati[[#This Row],[Categoria]]="Bollette",Dati[[#This Row],[Categoria]]="Conto &amp; Carte BNL",Dati[[#This Row],[Categoria]]="Prelievo",Dati[[#This Row],[Categoria]]="Affitto",Dati[[#This Row],[Categoria]]="BNL(Interessi Creditori)"),"Carta",IF(Dati[[#This Row],[Categoria]]&lt;&gt;0,"Cash",""))</f>
        <v/>
      </c>
      <c r="K1267" s="59" t="str">
        <f>IF(OR(Data!$I1267=SottocategorieUscite[[#Headers],[Fuori Casa]],Data!$I1267=SottocategorieUscite[[#Headers],[Varie Uscite]],Data!$I1267=SottocategorieUscite[[#Headers],[Personali]],Data!$I1267=SottocategorieUscite[[#Headers],[Lavoro]]),"$ -","")</f>
        <v/>
      </c>
      <c r="L1267" s="59" t="str">
        <f>IF(OR(Data!$I1267=SottocategorieUscite[[#Headers],[Casa]],Data!$I1267=SottocategorieUscite[[#Headers],[Utenze]],Data!$I1267=SottocategorieUscite[[#Headers],[Business Uscite]],Data!$I1267=SottocategorieUscite[[#Headers],[Banca]]),"$ -","")</f>
        <v/>
      </c>
      <c r="M1267" s="59" t="str">
        <f>IF(OR($I1267&lt;&gt;SottocategorieUscite[[#Headers],[Fuori Casa]],$I1267&lt;&gt;SottocategorieUscite[[#Headers],[Varie Uscite]],$I1267&lt;&gt;SottocategorieUscite[[#Headers],[Personali]],$I1267&lt;&gt;SottocategorieUscite[[#Headers],[Lavoro]],$I1267&lt;&gt;SottocategorieUscite[[#Headers],[Casa]],$I1267&lt;&gt;SottocategorieUscite[[#Headers],[Utenze]],$I1267&lt;&gt;SottocategorieUscite[[#Headers],[Business Uscite]],$I1267&lt;&gt;SottocategorieUscite[[#Headers],[Banca]]),"","$ -")</f>
        <v/>
      </c>
      <c r="N1267" s="59" t="str">
        <f>IF(OR(Data!$I1267=SottocategorieEntrate[[#Headers],[Business Entrate]],Data!$I1267=SottocategorieEntrate[[#Headers],[Varie Entrate]]),"$ -","")</f>
        <v/>
      </c>
      <c r="O1267" s="59" t="str">
        <f>IF(OR(Data!$I1267=SottocategorieEntrate[[#Headers],[Real Estate]],SottocategorieEntrate[[#Headers],[Other]]),"$ -","")</f>
        <v/>
      </c>
      <c r="P1267" s="59" t="str">
        <f>IF(OR($I1267&lt;&gt;SottocategorieEntrate[[#Headers],[Business Entrate]],$I1267&lt;&gt;SottocategorieEntrate[[#Headers],[Varie Entrate]],$I1267&lt;&gt;SottocategorieEntrate[[#Headers],[Real Estate]],$I1267&lt;&gt;SottocategorieEntrate[[#Headers],[Other]]),"","$ -")</f>
        <v/>
      </c>
      <c r="Q1267" s="59" t="str">
        <f>IF(Dati[[#This Row],[Categoria]]="Prelievo","€ -","")</f>
        <v/>
      </c>
      <c r="R1267" s="244"/>
      <c r="S1267" s="59" t="str">
        <f>IF(Dati[[#This Row],[Categoria]]="Savings",0,"")</f>
        <v/>
      </c>
      <c r="T1267" s="59"/>
      <c r="U1267" s="59"/>
      <c r="V1267" s="59"/>
      <c r="W1267" s="59"/>
      <c r="X1267" s="59"/>
      <c r="Y1267" s="59"/>
      <c r="Z1267" s="59"/>
      <c r="AA1267" s="59"/>
      <c r="AB1267" s="59"/>
      <c r="AC1267" s="59"/>
      <c r="AD1267" s="59"/>
      <c r="AE1267" s="59"/>
      <c r="AF1267" s="59"/>
      <c r="AG1267" s="59"/>
      <c r="AH1267" s="59"/>
      <c r="AI1267" s="59" t="str">
        <f>IF(SUM(Dati[[#This Row],[Inv. Business]:[Inv. Cryptocurrency]])=0," ",SUM(Dati[[#This Row],[Inv. Business]:[Inv. Cryptocurrency]]))</f>
        <v xml:space="preserve"> </v>
      </c>
      <c r="AJ1267" s="59"/>
      <c r="AK1267" s="59" t="str">
        <f>IF(SUM(Dati[[#This Row],[Inv. Gold]:[Mutuo]])=0," ",SUM(Dati[[#This Row],[Inv. Gold]:[Mutuo]]))</f>
        <v xml:space="preserve"> </v>
      </c>
      <c r="AL1267" s="59"/>
      <c r="AM1267" s="59"/>
    </row>
    <row r="1268" spans="2:39" x14ac:dyDescent="0.35">
      <c r="B1268" s="237">
        <f>ROW(1231:1231)</f>
        <v>1231</v>
      </c>
      <c r="C1268" s="49">
        <f>C1266+1</f>
        <v>45843</v>
      </c>
      <c r="D1268" s="29">
        <f>DAY(Dati[[#This Row],[Data]])</f>
        <v>5</v>
      </c>
      <c r="E1268" s="29" t="str">
        <f>IF(DAY(Data!$C$21:$C$1327)&gt;0,TEXT(Data!$C$21:$C$1327, "mmmm"),"")</f>
        <v>luglio</v>
      </c>
      <c r="F1268" s="29" t="str">
        <f>IF(DAY(Data!$C$21:$C$1327)&gt;0,TEXT(Data!$C$21:$C$1327, "aaaa"),"")</f>
        <v>2025</v>
      </c>
      <c r="I1268" t="str">
        <f>IF(OR(H1268=$B$5,H1268=$B$6,H1268=$B$7,H1268=$B$8,H1268=$B$9,H1268=$B$10,H1268=$B$11,H1268=$B$12,H1268=$B$13,H1268=$B$14),SottocategorieUscite[[#Headers],[Fuori Casa]],IF(OR(H1268=$C$5,H1268=$C$6,H1268=$C$7,H1268=$C$8,H1268=$C$9,H1268=$C$10,H1268=$C$11,H1268=$C$12,H1268=$C$13,H1268=$C$14),SottocategorieUscite[[#Headers],[Varie Uscite]],IF(OR(H1268=$D$5,H1268=$D$6,H1268=$D$7,H1268=$D$8,H1268=$D$9,H1268=$D$10,H1268=$D$11,H1268=$D$12,H1268=$D$13,H1268=$D$14),SottocategorieUscite[[#Headers],[Personali]],IF(OR(H1268=$E$5,H1268=$E$6,H1268=$E$7,H1268=$E$8,H1268=$E$9,H1268=$E$10,H1268=$E$11,H1268=$E$12,H1268=$E$13,H1268=$E$14),SottocategorieUscite[[#Headers],[Lavoro]],IF(OR(H1268=$F$5,H1268=$F$6,H1268=$F$7,H1268=$F$8,H1268=$F$9,H1268=$F$10,H1268=$F$11,H1268=$F$12,H1268=$F$13,H1268=$F$14),SottocategorieUscite[[#Headers],[Casa]],IF(OR(H1268=$G$5,H1268=$G$6,H1268=$G$7,H1268=$G$8,H1268=$G$9,H1268=$G$10,H1268=$G$11,H1268=$G$12,H1268=$G$13,H1268=$G$14),SottocategorieUscite[[#Headers],[Utenze]],IF(OR(H1268=$H$5,H1268=$H$6,H1268=$H$7,H1268=$H$8,H1268=$H$9,H1268=$H$10,H1268=$H$11,H1268=$H$12,H1268=$H$13,H1268=$H$14),SottocategorieUscite[[#Headers],[Business Uscite]],IF(OR(H1268=$I$5,H1268=$I$6,H1268=$I$7,H1268=$I$8,H1268=$I$9,H1268=$I$10,H1268=$I$11,H1268=$I$12,H1268=$I$13,H1268=$I$14),SottocategorieUscite[[#Headers],[Banca]],IF(OR(H1268=K$5,H1268=K$6,H1268=K$7,H1268=K$8,H1268=K$9,H1268=K$10,H1268=K$11,H1268=K$12,H1268=K$13,H1268=K$14),SottocategorieEntrate[[#Headers],[Business Entrate]],IF(OR(H1268=L$5,H1268=L$6,H1268=L$7,H1268=L$8,H1268=L$9,H1268=L$10,H1268=L$11,H1268=L$12,H1268=L$13,H1268=L$14),SottocategorieEntrate[[#Headers],[Varie Entrate]],IF(OR(H1268=M$5,H1268=M$6,H1268=M$7,H1268=M$8,H1268=M$9,H1268=M$10,H1268=M$11,H1268=M$12,H1268=M$13,H1268=M$14),SottocategorieEntrate[[#Headers],[Real Estate]],IF(OR(H1268=N$5,H1268=N$6,H1268=N$7,H1268=N$8,H1268=N$9,H1268=N$10,H1268=N$11,H1268=N$12,H1268=N$13,H1268=N$14),SottocategorieEntrate[[#Headers],[Other]],""))))))))))))</f>
        <v/>
      </c>
      <c r="J1268" t="str">
        <f>IF(OR(Dati[[#This Row],[Categoria]]="Bollette",Dati[[#This Row],[Categoria]]="Conto &amp; Carte BNL",Dati[[#This Row],[Categoria]]="Prelievo",Dati[[#This Row],[Categoria]]="Affitto",Dati[[#This Row],[Categoria]]="BNL(Interessi Creditori)"),"Carta",IF(Dati[[#This Row],[Categoria]]&lt;&gt;0,"Cash",""))</f>
        <v/>
      </c>
      <c r="K1268" s="59" t="str">
        <f>IF(OR(Data!$I1268=SottocategorieUscite[[#Headers],[Fuori Casa]],Data!$I1268=SottocategorieUscite[[#Headers],[Varie Uscite]],Data!$I1268=SottocategorieUscite[[#Headers],[Personali]],Data!$I1268=SottocategorieUscite[[#Headers],[Lavoro]]),"$ -","")</f>
        <v/>
      </c>
      <c r="L1268" s="59" t="str">
        <f>IF(OR(Data!$I1268=SottocategorieUscite[[#Headers],[Casa]],Data!$I1268=SottocategorieUscite[[#Headers],[Utenze]],Data!$I1268=SottocategorieUscite[[#Headers],[Business Uscite]],Data!$I1268=SottocategorieUscite[[#Headers],[Banca]]),"$ -","")</f>
        <v/>
      </c>
      <c r="M1268" s="59" t="str">
        <f>IF(OR($I1268&lt;&gt;SottocategorieUscite[[#Headers],[Fuori Casa]],$I1268&lt;&gt;SottocategorieUscite[[#Headers],[Varie Uscite]],$I1268&lt;&gt;SottocategorieUscite[[#Headers],[Personali]],$I1268&lt;&gt;SottocategorieUscite[[#Headers],[Lavoro]],$I1268&lt;&gt;SottocategorieUscite[[#Headers],[Casa]],$I1268&lt;&gt;SottocategorieUscite[[#Headers],[Utenze]],$I1268&lt;&gt;SottocategorieUscite[[#Headers],[Business Uscite]],$I1268&lt;&gt;SottocategorieUscite[[#Headers],[Banca]]),"","$ -")</f>
        <v/>
      </c>
      <c r="N1268" s="59" t="str">
        <f>IF(OR(Data!$I1268=SottocategorieEntrate[[#Headers],[Business Entrate]],Data!$I1268=SottocategorieEntrate[[#Headers],[Varie Entrate]]),"$ -","")</f>
        <v/>
      </c>
      <c r="O1268" s="59" t="str">
        <f>IF(OR(Data!$I1268=SottocategorieEntrate[[#Headers],[Real Estate]],SottocategorieEntrate[[#Headers],[Other]]),"$ -","")</f>
        <v/>
      </c>
      <c r="P1268" s="59" t="str">
        <f>IF(OR($I1268&lt;&gt;SottocategorieEntrate[[#Headers],[Business Entrate]],$I1268&lt;&gt;SottocategorieEntrate[[#Headers],[Varie Entrate]],$I1268&lt;&gt;SottocategorieEntrate[[#Headers],[Real Estate]],$I1268&lt;&gt;SottocategorieEntrate[[#Headers],[Other]]),"","$ -")</f>
        <v/>
      </c>
      <c r="Q1268" s="59" t="str">
        <f>IF(Dati[[#This Row],[Categoria]]="Prelievo","€ -","")</f>
        <v/>
      </c>
      <c r="R1268" s="244"/>
      <c r="S1268" s="59" t="str">
        <f>IF(Dati[[#This Row],[Categoria]]="Savings",0,"")</f>
        <v/>
      </c>
      <c r="T1268" s="59"/>
      <c r="U1268" s="59"/>
      <c r="V1268" s="59"/>
      <c r="W1268" s="59"/>
      <c r="X1268" s="59"/>
      <c r="Y1268" s="59"/>
      <c r="Z1268" s="59"/>
      <c r="AA1268" s="59"/>
      <c r="AB1268" s="59"/>
      <c r="AC1268" s="59"/>
      <c r="AD1268" s="59"/>
      <c r="AE1268" s="59"/>
      <c r="AF1268" s="59"/>
      <c r="AG1268" s="59"/>
      <c r="AH1268" s="59"/>
      <c r="AI1268" s="59" t="str">
        <f>IF(SUM(Dati[[#This Row],[Inv. Business]:[Inv. Cryptocurrency]])=0," ",SUM(Dati[[#This Row],[Inv. Business]:[Inv. Cryptocurrency]]))</f>
        <v xml:space="preserve"> </v>
      </c>
      <c r="AJ1268" s="59"/>
      <c r="AK1268" s="59" t="str">
        <f>IF(SUM(Dati[[#This Row],[Inv. Gold]:[Mutuo]])=0," ",SUM(Dati[[#This Row],[Inv. Gold]:[Mutuo]]))</f>
        <v xml:space="preserve"> </v>
      </c>
      <c r="AL1268" s="59"/>
      <c r="AM1268" s="59"/>
    </row>
    <row r="1269" spans="2:39" x14ac:dyDescent="0.35">
      <c r="B1269" s="237">
        <f>ROW(1231:1231)</f>
        <v>1231</v>
      </c>
      <c r="C1269" s="49">
        <f>C1266+1</f>
        <v>45843</v>
      </c>
      <c r="D1269" s="29">
        <f>DAY(Dati[[#This Row],[Data]])</f>
        <v>5</v>
      </c>
      <c r="E1269" s="29" t="str">
        <f>IF(DAY(Data!$C$21:$C$1327)&gt;0,TEXT(Data!$C$21:$C$1327, "mmmm"),"")</f>
        <v>luglio</v>
      </c>
      <c r="F1269" s="29" t="str">
        <f>IF(DAY(Data!$C$21:$C$1327)&gt;0,TEXT(Data!$C$21:$C$1327, "aaaa"),"")</f>
        <v>2025</v>
      </c>
      <c r="I1269" t="str">
        <f>IF(OR(H1269=$B$5,H1269=$B$6,H1269=$B$7,H1269=$B$8,H1269=$B$9,H1269=$B$10,H1269=$B$11,H1269=$B$12,H1269=$B$13,H1269=$B$14),SottocategorieUscite[[#Headers],[Fuori Casa]],IF(OR(H1269=$C$5,H1269=$C$6,H1269=$C$7,H1269=$C$8,H1269=$C$9,H1269=$C$10,H1269=$C$11,H1269=$C$12,H1269=$C$13,H1269=$C$14),SottocategorieUscite[[#Headers],[Varie Uscite]],IF(OR(H1269=$D$5,H1269=$D$6,H1269=$D$7,H1269=$D$8,H1269=$D$9,H1269=$D$10,H1269=$D$11,H1269=$D$12,H1269=$D$13,H1269=$D$14),SottocategorieUscite[[#Headers],[Personali]],IF(OR(H1269=$E$5,H1269=$E$6,H1269=$E$7,H1269=$E$8,H1269=$E$9,H1269=$E$10,H1269=$E$11,H1269=$E$12,H1269=$E$13,H1269=$E$14),SottocategorieUscite[[#Headers],[Lavoro]],IF(OR(H1269=$F$5,H1269=$F$6,H1269=$F$7,H1269=$F$8,H1269=$F$9,H1269=$F$10,H1269=$F$11,H1269=$F$12,H1269=$F$13,H1269=$F$14),SottocategorieUscite[[#Headers],[Casa]],IF(OR(H1269=$G$5,H1269=$G$6,H1269=$G$7,H1269=$G$8,H1269=$G$9,H1269=$G$10,H1269=$G$11,H1269=$G$12,H1269=$G$13,H1269=$G$14),SottocategorieUscite[[#Headers],[Utenze]],IF(OR(H1269=$H$5,H1269=$H$6,H1269=$H$7,H1269=$H$8,H1269=$H$9,H1269=$H$10,H1269=$H$11,H1269=$H$12,H1269=$H$13,H1269=$H$14),SottocategorieUscite[[#Headers],[Business Uscite]],IF(OR(H1269=$I$5,H1269=$I$6,H1269=$I$7,H1269=$I$8,H1269=$I$9,H1269=$I$10,H1269=$I$11,H1269=$I$12,H1269=$I$13,H1269=$I$14),SottocategorieUscite[[#Headers],[Banca]],IF(OR(H1269=K$5,H1269=K$6,H1269=K$7,H1269=K$8,H1269=K$9,H1269=K$10,H1269=K$11,H1269=K$12,H1269=K$13,H1269=K$14),SottocategorieEntrate[[#Headers],[Business Entrate]],IF(OR(H1269=L$5,H1269=L$6,H1269=L$7,H1269=L$8,H1269=L$9,H1269=L$10,H1269=L$11,H1269=L$12,H1269=L$13,H1269=L$14),SottocategorieEntrate[[#Headers],[Varie Entrate]],IF(OR(H1269=M$5,H1269=M$6,H1269=M$7,H1269=M$8,H1269=M$9,H1269=M$10,H1269=M$11,H1269=M$12,H1269=M$13,H1269=M$14),SottocategorieEntrate[[#Headers],[Real Estate]],IF(OR(H1269=N$5,H1269=N$6,H1269=N$7,H1269=N$8,H1269=N$9,H1269=N$10,H1269=N$11,H1269=N$12,H1269=N$13,H1269=N$14),SottocategorieEntrate[[#Headers],[Other]],""))))))))))))</f>
        <v/>
      </c>
      <c r="J1269" t="str">
        <f>IF(OR(Dati[[#This Row],[Categoria]]="Bollette",Dati[[#This Row],[Categoria]]="Conto &amp; Carte BNL",Dati[[#This Row],[Categoria]]="Prelievo",Dati[[#This Row],[Categoria]]="Affitto",Dati[[#This Row],[Categoria]]="BNL(Interessi Creditori)"),"Carta",IF(Dati[[#This Row],[Categoria]]&lt;&gt;0,"Cash",""))</f>
        <v/>
      </c>
      <c r="K1269" s="59" t="str">
        <f>IF(OR(Data!$I1269=SottocategorieUscite[[#Headers],[Fuori Casa]],Data!$I1269=SottocategorieUscite[[#Headers],[Varie Uscite]],Data!$I1269=SottocategorieUscite[[#Headers],[Personali]],Data!$I1269=SottocategorieUscite[[#Headers],[Lavoro]]),"$ -","")</f>
        <v/>
      </c>
      <c r="L1269" s="59" t="str">
        <f>IF(OR(Data!$I1269=SottocategorieUscite[[#Headers],[Casa]],Data!$I1269=SottocategorieUscite[[#Headers],[Utenze]],Data!$I1269=SottocategorieUscite[[#Headers],[Business Uscite]],Data!$I1269=SottocategorieUscite[[#Headers],[Banca]]),"$ -","")</f>
        <v/>
      </c>
      <c r="M1269" s="59" t="str">
        <f>IF(OR($I1269&lt;&gt;SottocategorieUscite[[#Headers],[Fuori Casa]],$I1269&lt;&gt;SottocategorieUscite[[#Headers],[Varie Uscite]],$I1269&lt;&gt;SottocategorieUscite[[#Headers],[Personali]],$I1269&lt;&gt;SottocategorieUscite[[#Headers],[Lavoro]],$I1269&lt;&gt;SottocategorieUscite[[#Headers],[Casa]],$I1269&lt;&gt;SottocategorieUscite[[#Headers],[Utenze]],$I1269&lt;&gt;SottocategorieUscite[[#Headers],[Business Uscite]],$I1269&lt;&gt;SottocategorieUscite[[#Headers],[Banca]]),"","$ -")</f>
        <v/>
      </c>
      <c r="N1269" s="59" t="str">
        <f>IF(OR(Data!$I1269=SottocategorieEntrate[[#Headers],[Business Entrate]],Data!$I1269=SottocategorieEntrate[[#Headers],[Varie Entrate]]),"$ -","")</f>
        <v/>
      </c>
      <c r="O1269" s="59" t="str">
        <f>IF(OR(Data!$I1269=SottocategorieEntrate[[#Headers],[Real Estate]],SottocategorieEntrate[[#Headers],[Other]]),"$ -","")</f>
        <v/>
      </c>
      <c r="P1269" s="59" t="str">
        <f>IF(OR($I1269&lt;&gt;SottocategorieEntrate[[#Headers],[Business Entrate]],$I1269&lt;&gt;SottocategorieEntrate[[#Headers],[Varie Entrate]],$I1269&lt;&gt;SottocategorieEntrate[[#Headers],[Real Estate]],$I1269&lt;&gt;SottocategorieEntrate[[#Headers],[Other]]),"","$ -")</f>
        <v/>
      </c>
      <c r="Q1269" s="59" t="str">
        <f>IF(Dati[[#This Row],[Categoria]]="Prelievo","€ -","")</f>
        <v/>
      </c>
      <c r="R1269" s="244"/>
      <c r="S1269" s="59" t="str">
        <f>IF(Dati[[#This Row],[Categoria]]="Savings",0,"")</f>
        <v/>
      </c>
      <c r="T1269" s="59"/>
      <c r="U1269" s="59"/>
      <c r="V1269" s="59"/>
      <c r="W1269" s="59"/>
      <c r="X1269" s="59"/>
      <c r="Y1269" s="59"/>
      <c r="Z1269" s="59"/>
      <c r="AA1269" s="59"/>
      <c r="AB1269" s="59"/>
      <c r="AC1269" s="59"/>
      <c r="AD1269" s="59"/>
      <c r="AE1269" s="59"/>
      <c r="AF1269" s="59"/>
      <c r="AG1269" s="59"/>
      <c r="AH1269" s="59"/>
      <c r="AI1269" s="59" t="str">
        <f>IF(SUM(Dati[[#This Row],[Inv. Business]:[Inv. Cryptocurrency]])=0," ",SUM(Dati[[#This Row],[Inv. Business]:[Inv. Cryptocurrency]]))</f>
        <v xml:space="preserve"> </v>
      </c>
      <c r="AJ1269" s="59"/>
      <c r="AK1269" s="59" t="str">
        <f>IF(SUM(Dati[[#This Row],[Inv. Gold]:[Mutuo]])=0," ",SUM(Dati[[#This Row],[Inv. Gold]:[Mutuo]]))</f>
        <v xml:space="preserve"> </v>
      </c>
      <c r="AL1269" s="59"/>
      <c r="AM1269" s="59"/>
    </row>
    <row r="1270" spans="2:39" x14ac:dyDescent="0.35">
      <c r="B1270" s="237">
        <f>ROW(1232:1232)</f>
        <v>1232</v>
      </c>
      <c r="C1270" s="49">
        <f>C1267+1</f>
        <v>45844</v>
      </c>
      <c r="D1270" s="29">
        <f>DAY(Dati[[#This Row],[Data]])</f>
        <v>6</v>
      </c>
      <c r="E1270" s="29" t="str">
        <f>IF(DAY(Data!$C$21:$C$1327)&gt;0,TEXT(Data!$C$21:$C$1327, "mmmm"),"")</f>
        <v>luglio</v>
      </c>
      <c r="F1270" s="29" t="str">
        <f>IF(DAY(Data!$C$21:$C$1327)&gt;0,TEXT(Data!$C$21:$C$1327, "aaaa"),"")</f>
        <v>2025</v>
      </c>
      <c r="I1270" t="str">
        <f>IF(OR(H1270=$B$5,H1270=$B$6,H1270=$B$7,H1270=$B$8,H1270=$B$9,H1270=$B$10,H1270=$B$11,H1270=$B$12,H1270=$B$13,H1270=$B$14),SottocategorieUscite[[#Headers],[Fuori Casa]],IF(OR(H1270=$C$5,H1270=$C$6,H1270=$C$7,H1270=$C$8,H1270=$C$9,H1270=$C$10,H1270=$C$11,H1270=$C$12,H1270=$C$13,H1270=$C$14),SottocategorieUscite[[#Headers],[Varie Uscite]],IF(OR(H1270=$D$5,H1270=$D$6,H1270=$D$7,H1270=$D$8,H1270=$D$9,H1270=$D$10,H1270=$D$11,H1270=$D$12,H1270=$D$13,H1270=$D$14),SottocategorieUscite[[#Headers],[Personali]],IF(OR(H1270=$E$5,H1270=$E$6,H1270=$E$7,H1270=$E$8,H1270=$E$9,H1270=$E$10,H1270=$E$11,H1270=$E$12,H1270=$E$13,H1270=$E$14),SottocategorieUscite[[#Headers],[Lavoro]],IF(OR(H1270=$F$5,H1270=$F$6,H1270=$F$7,H1270=$F$8,H1270=$F$9,H1270=$F$10,H1270=$F$11,H1270=$F$12,H1270=$F$13,H1270=$F$14),SottocategorieUscite[[#Headers],[Casa]],IF(OR(H1270=$G$5,H1270=$G$6,H1270=$G$7,H1270=$G$8,H1270=$G$9,H1270=$G$10,H1270=$G$11,H1270=$G$12,H1270=$G$13,H1270=$G$14),SottocategorieUscite[[#Headers],[Utenze]],IF(OR(H1270=$H$5,H1270=$H$6,H1270=$H$7,H1270=$H$8,H1270=$H$9,H1270=$H$10,H1270=$H$11,H1270=$H$12,H1270=$H$13,H1270=$H$14),SottocategorieUscite[[#Headers],[Business Uscite]],IF(OR(H1270=$I$5,H1270=$I$6,H1270=$I$7,H1270=$I$8,H1270=$I$9,H1270=$I$10,H1270=$I$11,H1270=$I$12,H1270=$I$13,H1270=$I$14),SottocategorieUscite[[#Headers],[Banca]],IF(OR(H1270=K$5,H1270=K$6,H1270=K$7,H1270=K$8,H1270=K$9,H1270=K$10,H1270=K$11,H1270=K$12,H1270=K$13,H1270=K$14),SottocategorieEntrate[[#Headers],[Business Entrate]],IF(OR(H1270=L$5,H1270=L$6,H1270=L$7,H1270=L$8,H1270=L$9,H1270=L$10,H1270=L$11,H1270=L$12,H1270=L$13,H1270=L$14),SottocategorieEntrate[[#Headers],[Varie Entrate]],IF(OR(H1270=M$5,H1270=M$6,H1270=M$7,H1270=M$8,H1270=M$9,H1270=M$10,H1270=M$11,H1270=M$12,H1270=M$13,H1270=M$14),SottocategorieEntrate[[#Headers],[Real Estate]],IF(OR(H1270=N$5,H1270=N$6,H1270=N$7,H1270=N$8,H1270=N$9,H1270=N$10,H1270=N$11,H1270=N$12,H1270=N$13,H1270=N$14),SottocategorieEntrate[[#Headers],[Other]],""))))))))))))</f>
        <v/>
      </c>
      <c r="J1270" t="str">
        <f>IF(OR(Dati[[#This Row],[Categoria]]="Bollette",Dati[[#This Row],[Categoria]]="Conto &amp; Carte BNL",Dati[[#This Row],[Categoria]]="Prelievo",Dati[[#This Row],[Categoria]]="Affitto",Dati[[#This Row],[Categoria]]="BNL(Interessi Creditori)"),"Carta",IF(Dati[[#This Row],[Categoria]]&lt;&gt;0,"Cash",""))</f>
        <v/>
      </c>
      <c r="K1270" s="59" t="str">
        <f>IF(OR(Data!$I1270=SottocategorieUscite[[#Headers],[Fuori Casa]],Data!$I1270=SottocategorieUscite[[#Headers],[Varie Uscite]],Data!$I1270=SottocategorieUscite[[#Headers],[Personali]],Data!$I1270=SottocategorieUscite[[#Headers],[Lavoro]]),"$ -","")</f>
        <v/>
      </c>
      <c r="L1270" s="59" t="str">
        <f>IF(OR(Data!$I1270=SottocategorieUscite[[#Headers],[Casa]],Data!$I1270=SottocategorieUscite[[#Headers],[Utenze]],Data!$I1270=SottocategorieUscite[[#Headers],[Business Uscite]],Data!$I1270=SottocategorieUscite[[#Headers],[Banca]]),"$ -","")</f>
        <v/>
      </c>
      <c r="M1270" s="59" t="str">
        <f>IF(OR($I1270&lt;&gt;SottocategorieUscite[[#Headers],[Fuori Casa]],$I1270&lt;&gt;SottocategorieUscite[[#Headers],[Varie Uscite]],$I1270&lt;&gt;SottocategorieUscite[[#Headers],[Personali]],$I1270&lt;&gt;SottocategorieUscite[[#Headers],[Lavoro]],$I1270&lt;&gt;SottocategorieUscite[[#Headers],[Casa]],$I1270&lt;&gt;SottocategorieUscite[[#Headers],[Utenze]],$I1270&lt;&gt;SottocategorieUscite[[#Headers],[Business Uscite]],$I1270&lt;&gt;SottocategorieUscite[[#Headers],[Banca]]),"","$ -")</f>
        <v/>
      </c>
      <c r="N1270" s="59" t="str">
        <f>IF(OR(Data!$I1270=SottocategorieEntrate[[#Headers],[Business Entrate]],Data!$I1270=SottocategorieEntrate[[#Headers],[Varie Entrate]]),"$ -","")</f>
        <v/>
      </c>
      <c r="O1270" s="59" t="str">
        <f>IF(OR(Data!$I1270=SottocategorieEntrate[[#Headers],[Real Estate]],SottocategorieEntrate[[#Headers],[Other]]),"$ -","")</f>
        <v/>
      </c>
      <c r="P1270" s="59" t="str">
        <f>IF(OR($I1270&lt;&gt;SottocategorieEntrate[[#Headers],[Business Entrate]],$I1270&lt;&gt;SottocategorieEntrate[[#Headers],[Varie Entrate]],$I1270&lt;&gt;SottocategorieEntrate[[#Headers],[Real Estate]],$I1270&lt;&gt;SottocategorieEntrate[[#Headers],[Other]]),"","$ -")</f>
        <v/>
      </c>
      <c r="Q1270" s="59" t="str">
        <f>IF(Dati[[#This Row],[Categoria]]="Prelievo","€ -","")</f>
        <v/>
      </c>
      <c r="R1270" s="244"/>
      <c r="S1270" s="59" t="str">
        <f>IF(Dati[[#This Row],[Categoria]]="Savings",0,"")</f>
        <v/>
      </c>
      <c r="T1270" s="59"/>
      <c r="U1270" s="59"/>
      <c r="V1270" s="59"/>
      <c r="W1270" s="59"/>
      <c r="X1270" s="59"/>
      <c r="Y1270" s="59"/>
      <c r="Z1270" s="59"/>
      <c r="AA1270" s="59"/>
      <c r="AB1270" s="59"/>
      <c r="AC1270" s="59"/>
      <c r="AD1270" s="59"/>
      <c r="AE1270" s="59"/>
      <c r="AF1270" s="59"/>
      <c r="AG1270" s="59"/>
      <c r="AH1270" s="59"/>
      <c r="AI1270" s="59" t="str">
        <f>IF(SUM(Dati[[#This Row],[Inv. Business]:[Inv. Cryptocurrency]])=0," ",SUM(Dati[[#This Row],[Inv. Business]:[Inv. Cryptocurrency]]))</f>
        <v xml:space="preserve"> </v>
      </c>
      <c r="AJ1270" s="59"/>
      <c r="AK1270" s="59" t="str">
        <f>IF(SUM(Dati[[#This Row],[Inv. Gold]:[Mutuo]])=0," ",SUM(Dati[[#This Row],[Inv. Gold]:[Mutuo]]))</f>
        <v xml:space="preserve"> </v>
      </c>
      <c r="AL1270" s="59"/>
      <c r="AM1270" s="59"/>
    </row>
    <row r="1271" spans="2:39" x14ac:dyDescent="0.35">
      <c r="B1271" s="237">
        <f>ROW(1233:1233)</f>
        <v>1233</v>
      </c>
      <c r="C1271" s="49">
        <f t="shared" si="85"/>
        <v>45845</v>
      </c>
      <c r="D1271" s="29">
        <f>DAY(Dati[[#This Row],[Data]])</f>
        <v>7</v>
      </c>
      <c r="E1271" s="29" t="str">
        <f>IF(DAY(Data!$C$21:$C$1327)&gt;0,TEXT(Data!$C$21:$C$1327, "mmmm"),"")</f>
        <v>luglio</v>
      </c>
      <c r="F1271" s="29" t="str">
        <f>IF(DAY(Data!$C$21:$C$1327)&gt;0,TEXT(Data!$C$21:$C$1327, "aaaa"),"")</f>
        <v>2025</v>
      </c>
      <c r="I1271" t="str">
        <f>IF(OR(H1271=$B$5,H1271=$B$6,H1271=$B$7,H1271=$B$8,H1271=$B$9,H1271=$B$10,H1271=$B$11,H1271=$B$12,H1271=$B$13,H1271=$B$14),SottocategorieUscite[[#Headers],[Fuori Casa]],IF(OR(H1271=$C$5,H1271=$C$6,H1271=$C$7,H1271=$C$8,H1271=$C$9,H1271=$C$10,H1271=$C$11,H1271=$C$12,H1271=$C$13,H1271=$C$14),SottocategorieUscite[[#Headers],[Varie Uscite]],IF(OR(H1271=$D$5,H1271=$D$6,H1271=$D$7,H1271=$D$8,H1271=$D$9,H1271=$D$10,H1271=$D$11,H1271=$D$12,H1271=$D$13,H1271=$D$14),SottocategorieUscite[[#Headers],[Personali]],IF(OR(H1271=$E$5,H1271=$E$6,H1271=$E$7,H1271=$E$8,H1271=$E$9,H1271=$E$10,H1271=$E$11,H1271=$E$12,H1271=$E$13,H1271=$E$14),SottocategorieUscite[[#Headers],[Lavoro]],IF(OR(H1271=$F$5,H1271=$F$6,H1271=$F$7,H1271=$F$8,H1271=$F$9,H1271=$F$10,H1271=$F$11,H1271=$F$12,H1271=$F$13,H1271=$F$14),SottocategorieUscite[[#Headers],[Casa]],IF(OR(H1271=$G$5,H1271=$G$6,H1271=$G$7,H1271=$G$8,H1271=$G$9,H1271=$G$10,H1271=$G$11,H1271=$G$12,H1271=$G$13,H1271=$G$14),SottocategorieUscite[[#Headers],[Utenze]],IF(OR(H1271=$H$5,H1271=$H$6,H1271=$H$7,H1271=$H$8,H1271=$H$9,H1271=$H$10,H1271=$H$11,H1271=$H$12,H1271=$H$13,H1271=$H$14),SottocategorieUscite[[#Headers],[Business Uscite]],IF(OR(H1271=$I$5,H1271=$I$6,H1271=$I$7,H1271=$I$8,H1271=$I$9,H1271=$I$10,H1271=$I$11,H1271=$I$12,H1271=$I$13,H1271=$I$14),SottocategorieUscite[[#Headers],[Banca]],IF(OR(H1271=K$5,H1271=K$6,H1271=K$7,H1271=K$8,H1271=K$9,H1271=K$10,H1271=K$11,H1271=K$12,H1271=K$13,H1271=K$14),SottocategorieEntrate[[#Headers],[Business Entrate]],IF(OR(H1271=L$5,H1271=L$6,H1271=L$7,H1271=L$8,H1271=L$9,H1271=L$10,H1271=L$11,H1271=L$12,H1271=L$13,H1271=L$14),SottocategorieEntrate[[#Headers],[Varie Entrate]],IF(OR(H1271=M$5,H1271=M$6,H1271=M$7,H1271=M$8,H1271=M$9,H1271=M$10,H1271=M$11,H1271=M$12,H1271=M$13,H1271=M$14),SottocategorieEntrate[[#Headers],[Real Estate]],IF(OR(H1271=N$5,H1271=N$6,H1271=N$7,H1271=N$8,H1271=N$9,H1271=N$10,H1271=N$11,H1271=N$12,H1271=N$13,H1271=N$14),SottocategorieEntrate[[#Headers],[Other]],""))))))))))))</f>
        <v/>
      </c>
      <c r="J1271" t="str">
        <f>IF(OR(Dati[[#This Row],[Categoria]]="Bollette",Dati[[#This Row],[Categoria]]="Conto &amp; Carte BNL",Dati[[#This Row],[Categoria]]="Prelievo",Dati[[#This Row],[Categoria]]="Affitto",Dati[[#This Row],[Categoria]]="BNL(Interessi Creditori)"),"Carta",IF(Dati[[#This Row],[Categoria]]&lt;&gt;0,"Cash",""))</f>
        <v/>
      </c>
      <c r="K1271" s="59" t="str">
        <f>IF(OR(Data!$I1271=SottocategorieUscite[[#Headers],[Fuori Casa]],Data!$I1271=SottocategorieUscite[[#Headers],[Varie Uscite]],Data!$I1271=SottocategorieUscite[[#Headers],[Personali]],Data!$I1271=SottocategorieUscite[[#Headers],[Lavoro]]),"$ -","")</f>
        <v/>
      </c>
      <c r="L1271" s="59" t="str">
        <f>IF(OR(Data!$I1271=SottocategorieUscite[[#Headers],[Casa]],Data!$I1271=SottocategorieUscite[[#Headers],[Utenze]],Data!$I1271=SottocategorieUscite[[#Headers],[Business Uscite]],Data!$I1271=SottocategorieUscite[[#Headers],[Banca]]),"$ -","")</f>
        <v/>
      </c>
      <c r="M1271" s="59" t="str">
        <f>IF(OR($I1271&lt;&gt;SottocategorieUscite[[#Headers],[Fuori Casa]],$I1271&lt;&gt;SottocategorieUscite[[#Headers],[Varie Uscite]],$I1271&lt;&gt;SottocategorieUscite[[#Headers],[Personali]],$I1271&lt;&gt;SottocategorieUscite[[#Headers],[Lavoro]],$I1271&lt;&gt;SottocategorieUscite[[#Headers],[Casa]],$I1271&lt;&gt;SottocategorieUscite[[#Headers],[Utenze]],$I1271&lt;&gt;SottocategorieUscite[[#Headers],[Business Uscite]],$I1271&lt;&gt;SottocategorieUscite[[#Headers],[Banca]]),"","$ -")</f>
        <v/>
      </c>
      <c r="N1271" s="59" t="str">
        <f>IF(OR(Data!$I1271=SottocategorieEntrate[[#Headers],[Business Entrate]],Data!$I1271=SottocategorieEntrate[[#Headers],[Varie Entrate]]),"$ -","")</f>
        <v/>
      </c>
      <c r="O1271" s="59" t="str">
        <f>IF(OR(Data!$I1271=SottocategorieEntrate[[#Headers],[Real Estate]],SottocategorieEntrate[[#Headers],[Other]]),"$ -","")</f>
        <v/>
      </c>
      <c r="P1271" s="59" t="str">
        <f>IF(OR($I1271&lt;&gt;SottocategorieEntrate[[#Headers],[Business Entrate]],$I1271&lt;&gt;SottocategorieEntrate[[#Headers],[Varie Entrate]],$I1271&lt;&gt;SottocategorieEntrate[[#Headers],[Real Estate]],$I1271&lt;&gt;SottocategorieEntrate[[#Headers],[Other]]),"","$ -")</f>
        <v/>
      </c>
      <c r="Q1271" s="59" t="str">
        <f>IF(Dati[[#This Row],[Categoria]]="Prelievo","€ -","")</f>
        <v/>
      </c>
      <c r="R1271" s="244"/>
      <c r="S1271" s="59" t="str">
        <f>IF(Dati[[#This Row],[Categoria]]="Savings",0,"")</f>
        <v/>
      </c>
      <c r="T1271" s="59"/>
      <c r="U1271" s="59"/>
      <c r="V1271" s="59"/>
      <c r="W1271" s="59"/>
      <c r="X1271" s="59"/>
      <c r="Y1271" s="59"/>
      <c r="Z1271" s="59"/>
      <c r="AA1271" s="59"/>
      <c r="AB1271" s="59"/>
      <c r="AC1271" s="59"/>
      <c r="AD1271" s="59"/>
      <c r="AE1271" s="59"/>
      <c r="AF1271" s="59"/>
      <c r="AG1271" s="59"/>
      <c r="AH1271" s="59"/>
      <c r="AI1271" s="59" t="str">
        <f>IF(SUM(Dati[[#This Row],[Inv. Business]:[Inv. Cryptocurrency]])=0," ",SUM(Dati[[#This Row],[Inv. Business]:[Inv. Cryptocurrency]]))</f>
        <v xml:space="preserve"> </v>
      </c>
      <c r="AJ1271" s="59"/>
      <c r="AK1271" s="59" t="str">
        <f>IF(SUM(Dati[[#This Row],[Inv. Gold]:[Mutuo]])=0," ",SUM(Dati[[#This Row],[Inv. Gold]:[Mutuo]]))</f>
        <v xml:space="preserve"> </v>
      </c>
      <c r="AL1271" s="59"/>
      <c r="AM1271" s="59"/>
    </row>
    <row r="1272" spans="2:39" x14ac:dyDescent="0.35">
      <c r="B1272" s="237">
        <f>ROW(1234:1234)</f>
        <v>1234</v>
      </c>
      <c r="C1272" s="49">
        <f t="shared" si="85"/>
        <v>45846</v>
      </c>
      <c r="D1272" s="29">
        <f>DAY(Dati[[#This Row],[Data]])</f>
        <v>8</v>
      </c>
      <c r="E1272" s="29" t="str">
        <f>IF(DAY(Data!$C$21:$C$1327)&gt;0,TEXT(Data!$C$21:$C$1327, "mmmm"),"")</f>
        <v>luglio</v>
      </c>
      <c r="F1272" s="29" t="str">
        <f>IF(DAY(Data!$C$21:$C$1327)&gt;0,TEXT(Data!$C$21:$C$1327, "aaaa"),"")</f>
        <v>2025</v>
      </c>
      <c r="I1272" t="str">
        <f>IF(OR(H1272=$B$5,H1272=$B$6,H1272=$B$7,H1272=$B$8,H1272=$B$9,H1272=$B$10,H1272=$B$11,H1272=$B$12,H1272=$B$13,H1272=$B$14),SottocategorieUscite[[#Headers],[Fuori Casa]],IF(OR(H1272=$C$5,H1272=$C$6,H1272=$C$7,H1272=$C$8,H1272=$C$9,H1272=$C$10,H1272=$C$11,H1272=$C$12,H1272=$C$13,H1272=$C$14),SottocategorieUscite[[#Headers],[Varie Uscite]],IF(OR(H1272=$D$5,H1272=$D$6,H1272=$D$7,H1272=$D$8,H1272=$D$9,H1272=$D$10,H1272=$D$11,H1272=$D$12,H1272=$D$13,H1272=$D$14),SottocategorieUscite[[#Headers],[Personali]],IF(OR(H1272=$E$5,H1272=$E$6,H1272=$E$7,H1272=$E$8,H1272=$E$9,H1272=$E$10,H1272=$E$11,H1272=$E$12,H1272=$E$13,H1272=$E$14),SottocategorieUscite[[#Headers],[Lavoro]],IF(OR(H1272=$F$5,H1272=$F$6,H1272=$F$7,H1272=$F$8,H1272=$F$9,H1272=$F$10,H1272=$F$11,H1272=$F$12,H1272=$F$13,H1272=$F$14),SottocategorieUscite[[#Headers],[Casa]],IF(OR(H1272=$G$5,H1272=$G$6,H1272=$G$7,H1272=$G$8,H1272=$G$9,H1272=$G$10,H1272=$G$11,H1272=$G$12,H1272=$G$13,H1272=$G$14),SottocategorieUscite[[#Headers],[Utenze]],IF(OR(H1272=$H$5,H1272=$H$6,H1272=$H$7,H1272=$H$8,H1272=$H$9,H1272=$H$10,H1272=$H$11,H1272=$H$12,H1272=$H$13,H1272=$H$14),SottocategorieUscite[[#Headers],[Business Uscite]],IF(OR(H1272=$I$5,H1272=$I$6,H1272=$I$7,H1272=$I$8,H1272=$I$9,H1272=$I$10,H1272=$I$11,H1272=$I$12,H1272=$I$13,H1272=$I$14),SottocategorieUscite[[#Headers],[Banca]],IF(OR(H1272=K$5,H1272=K$6,H1272=K$7,H1272=K$8,H1272=K$9,H1272=K$10,H1272=K$11,H1272=K$12,H1272=K$13,H1272=K$14),SottocategorieEntrate[[#Headers],[Business Entrate]],IF(OR(H1272=L$5,H1272=L$6,H1272=L$7,H1272=L$8,H1272=L$9,H1272=L$10,H1272=L$11,H1272=L$12,H1272=L$13,H1272=L$14),SottocategorieEntrate[[#Headers],[Varie Entrate]],IF(OR(H1272=M$5,H1272=M$6,H1272=M$7,H1272=M$8,H1272=M$9,H1272=M$10,H1272=M$11,H1272=M$12,H1272=M$13,H1272=M$14),SottocategorieEntrate[[#Headers],[Real Estate]],IF(OR(H1272=N$5,H1272=N$6,H1272=N$7,H1272=N$8,H1272=N$9,H1272=N$10,H1272=N$11,H1272=N$12,H1272=N$13,H1272=N$14),SottocategorieEntrate[[#Headers],[Other]],""))))))))))))</f>
        <v/>
      </c>
      <c r="J1272" t="str">
        <f>IF(OR(Dati[[#This Row],[Categoria]]="Bollette",Dati[[#This Row],[Categoria]]="Conto &amp; Carte BNL",Dati[[#This Row],[Categoria]]="Prelievo",Dati[[#This Row],[Categoria]]="Affitto",Dati[[#This Row],[Categoria]]="BNL(Interessi Creditori)"),"Carta",IF(Dati[[#This Row],[Categoria]]&lt;&gt;0,"Cash",""))</f>
        <v/>
      </c>
      <c r="K1272" s="59" t="str">
        <f>IF(OR(Data!$I1272=SottocategorieUscite[[#Headers],[Fuori Casa]],Data!$I1272=SottocategorieUscite[[#Headers],[Varie Uscite]],Data!$I1272=SottocategorieUscite[[#Headers],[Personali]],Data!$I1272=SottocategorieUscite[[#Headers],[Lavoro]]),"$ -","")</f>
        <v/>
      </c>
      <c r="L1272" s="59" t="str">
        <f>IF(OR(Data!$I1272=SottocategorieUscite[[#Headers],[Casa]],Data!$I1272=SottocategorieUscite[[#Headers],[Utenze]],Data!$I1272=SottocategorieUscite[[#Headers],[Business Uscite]],Data!$I1272=SottocategorieUscite[[#Headers],[Banca]]),"$ -","")</f>
        <v/>
      </c>
      <c r="M1272" s="59" t="str">
        <f>IF(OR($I1272&lt;&gt;SottocategorieUscite[[#Headers],[Fuori Casa]],$I1272&lt;&gt;SottocategorieUscite[[#Headers],[Varie Uscite]],$I1272&lt;&gt;SottocategorieUscite[[#Headers],[Personali]],$I1272&lt;&gt;SottocategorieUscite[[#Headers],[Lavoro]],$I1272&lt;&gt;SottocategorieUscite[[#Headers],[Casa]],$I1272&lt;&gt;SottocategorieUscite[[#Headers],[Utenze]],$I1272&lt;&gt;SottocategorieUscite[[#Headers],[Business Uscite]],$I1272&lt;&gt;SottocategorieUscite[[#Headers],[Banca]]),"","$ -")</f>
        <v/>
      </c>
      <c r="N1272" s="59" t="str">
        <f>IF(OR(Data!$I1272=SottocategorieEntrate[[#Headers],[Business Entrate]],Data!$I1272=SottocategorieEntrate[[#Headers],[Varie Entrate]]),"$ -","")</f>
        <v/>
      </c>
      <c r="O1272" s="59" t="str">
        <f>IF(OR(Data!$I1272=SottocategorieEntrate[[#Headers],[Real Estate]],SottocategorieEntrate[[#Headers],[Other]]),"$ -","")</f>
        <v/>
      </c>
      <c r="P1272" s="59" t="str">
        <f>IF(OR($I1272&lt;&gt;SottocategorieEntrate[[#Headers],[Business Entrate]],$I1272&lt;&gt;SottocategorieEntrate[[#Headers],[Varie Entrate]],$I1272&lt;&gt;SottocategorieEntrate[[#Headers],[Real Estate]],$I1272&lt;&gt;SottocategorieEntrate[[#Headers],[Other]]),"","$ -")</f>
        <v/>
      </c>
      <c r="Q1272" s="59" t="str">
        <f>IF(Dati[[#This Row],[Categoria]]="Prelievo","€ -","")</f>
        <v/>
      </c>
      <c r="R1272" s="244"/>
      <c r="S1272" s="59" t="str">
        <f>IF(Dati[[#This Row],[Categoria]]="Savings",0,"")</f>
        <v/>
      </c>
      <c r="T1272" s="59"/>
      <c r="U1272" s="59"/>
      <c r="V1272" s="59"/>
      <c r="W1272" s="59"/>
      <c r="X1272" s="59"/>
      <c r="Y1272" s="59"/>
      <c r="Z1272" s="59"/>
      <c r="AA1272" s="59"/>
      <c r="AB1272" s="59"/>
      <c r="AC1272" s="59"/>
      <c r="AD1272" s="59"/>
      <c r="AE1272" s="59"/>
      <c r="AF1272" s="59"/>
      <c r="AG1272" s="59"/>
      <c r="AH1272" s="59"/>
      <c r="AI1272" s="59" t="str">
        <f>IF(SUM(Dati[[#This Row],[Inv. Business]:[Inv. Cryptocurrency]])=0," ",SUM(Dati[[#This Row],[Inv. Business]:[Inv. Cryptocurrency]]))</f>
        <v xml:space="preserve"> </v>
      </c>
      <c r="AJ1272" s="59"/>
      <c r="AK1272" s="59" t="str">
        <f>IF(SUM(Dati[[#This Row],[Inv. Gold]:[Mutuo]])=0," ",SUM(Dati[[#This Row],[Inv. Gold]:[Mutuo]]))</f>
        <v xml:space="preserve"> </v>
      </c>
      <c r="AL1272" s="59"/>
      <c r="AM1272" s="59"/>
    </row>
    <row r="1273" spans="2:39" x14ac:dyDescent="0.35">
      <c r="B1273" s="237">
        <f>ROW(1235:1235)</f>
        <v>1235</v>
      </c>
      <c r="C1273" s="49">
        <f t="shared" si="85"/>
        <v>45847</v>
      </c>
      <c r="D1273" s="29">
        <f>DAY(Dati[[#This Row],[Data]])</f>
        <v>9</v>
      </c>
      <c r="E1273" s="29" t="str">
        <f>IF(DAY(Data!$C$21:$C$1327)&gt;0,TEXT(Data!$C$21:$C$1327, "mmmm"),"")</f>
        <v>luglio</v>
      </c>
      <c r="F1273" s="29" t="str">
        <f>IF(DAY(Data!$C$21:$C$1327)&gt;0,TEXT(Data!$C$21:$C$1327, "aaaa"),"")</f>
        <v>2025</v>
      </c>
      <c r="I1273" t="str">
        <f>IF(OR(H1273=$B$5,H1273=$B$6,H1273=$B$7,H1273=$B$8,H1273=$B$9,H1273=$B$10,H1273=$B$11,H1273=$B$12,H1273=$B$13,H1273=$B$14),SottocategorieUscite[[#Headers],[Fuori Casa]],IF(OR(H1273=$C$5,H1273=$C$6,H1273=$C$7,H1273=$C$8,H1273=$C$9,H1273=$C$10,H1273=$C$11,H1273=$C$12,H1273=$C$13,H1273=$C$14),SottocategorieUscite[[#Headers],[Varie Uscite]],IF(OR(H1273=$D$5,H1273=$D$6,H1273=$D$7,H1273=$D$8,H1273=$D$9,H1273=$D$10,H1273=$D$11,H1273=$D$12,H1273=$D$13,H1273=$D$14),SottocategorieUscite[[#Headers],[Personali]],IF(OR(H1273=$E$5,H1273=$E$6,H1273=$E$7,H1273=$E$8,H1273=$E$9,H1273=$E$10,H1273=$E$11,H1273=$E$12,H1273=$E$13,H1273=$E$14),SottocategorieUscite[[#Headers],[Lavoro]],IF(OR(H1273=$F$5,H1273=$F$6,H1273=$F$7,H1273=$F$8,H1273=$F$9,H1273=$F$10,H1273=$F$11,H1273=$F$12,H1273=$F$13,H1273=$F$14),SottocategorieUscite[[#Headers],[Casa]],IF(OR(H1273=$G$5,H1273=$G$6,H1273=$G$7,H1273=$G$8,H1273=$G$9,H1273=$G$10,H1273=$G$11,H1273=$G$12,H1273=$G$13,H1273=$G$14),SottocategorieUscite[[#Headers],[Utenze]],IF(OR(H1273=$H$5,H1273=$H$6,H1273=$H$7,H1273=$H$8,H1273=$H$9,H1273=$H$10,H1273=$H$11,H1273=$H$12,H1273=$H$13,H1273=$H$14),SottocategorieUscite[[#Headers],[Business Uscite]],IF(OR(H1273=$I$5,H1273=$I$6,H1273=$I$7,H1273=$I$8,H1273=$I$9,H1273=$I$10,H1273=$I$11,H1273=$I$12,H1273=$I$13,H1273=$I$14),SottocategorieUscite[[#Headers],[Banca]],IF(OR(H1273=K$5,H1273=K$6,H1273=K$7,H1273=K$8,H1273=K$9,H1273=K$10,H1273=K$11,H1273=K$12,H1273=K$13,H1273=K$14),SottocategorieEntrate[[#Headers],[Business Entrate]],IF(OR(H1273=L$5,H1273=L$6,H1273=L$7,H1273=L$8,H1273=L$9,H1273=L$10,H1273=L$11,H1273=L$12,H1273=L$13,H1273=L$14),SottocategorieEntrate[[#Headers],[Varie Entrate]],IF(OR(H1273=M$5,H1273=M$6,H1273=M$7,H1273=M$8,H1273=M$9,H1273=M$10,H1273=M$11,H1273=M$12,H1273=M$13,H1273=M$14),SottocategorieEntrate[[#Headers],[Real Estate]],IF(OR(H1273=N$5,H1273=N$6,H1273=N$7,H1273=N$8,H1273=N$9,H1273=N$10,H1273=N$11,H1273=N$12,H1273=N$13,H1273=N$14),SottocategorieEntrate[[#Headers],[Other]],""))))))))))))</f>
        <v/>
      </c>
      <c r="J1273" t="str">
        <f>IF(OR(Dati[[#This Row],[Categoria]]="Bollette",Dati[[#This Row],[Categoria]]="Conto &amp; Carte BNL",Dati[[#This Row],[Categoria]]="Prelievo",Dati[[#This Row],[Categoria]]="Affitto",Dati[[#This Row],[Categoria]]="BNL(Interessi Creditori)"),"Carta",IF(Dati[[#This Row],[Categoria]]&lt;&gt;0,"Cash",""))</f>
        <v/>
      </c>
      <c r="K1273" s="59" t="str">
        <f>IF(OR(Data!$I1273=SottocategorieUscite[[#Headers],[Fuori Casa]],Data!$I1273=SottocategorieUscite[[#Headers],[Varie Uscite]],Data!$I1273=SottocategorieUscite[[#Headers],[Personali]],Data!$I1273=SottocategorieUscite[[#Headers],[Lavoro]]),"$ -","")</f>
        <v/>
      </c>
      <c r="L1273" s="59" t="str">
        <f>IF(OR(Data!$I1273=SottocategorieUscite[[#Headers],[Casa]],Data!$I1273=SottocategorieUscite[[#Headers],[Utenze]],Data!$I1273=SottocategorieUscite[[#Headers],[Business Uscite]],Data!$I1273=SottocategorieUscite[[#Headers],[Banca]]),"$ -","")</f>
        <v/>
      </c>
      <c r="M1273" s="59" t="str">
        <f>IF(OR($I1273&lt;&gt;SottocategorieUscite[[#Headers],[Fuori Casa]],$I1273&lt;&gt;SottocategorieUscite[[#Headers],[Varie Uscite]],$I1273&lt;&gt;SottocategorieUscite[[#Headers],[Personali]],$I1273&lt;&gt;SottocategorieUscite[[#Headers],[Lavoro]],$I1273&lt;&gt;SottocategorieUscite[[#Headers],[Casa]],$I1273&lt;&gt;SottocategorieUscite[[#Headers],[Utenze]],$I1273&lt;&gt;SottocategorieUscite[[#Headers],[Business Uscite]],$I1273&lt;&gt;SottocategorieUscite[[#Headers],[Banca]]),"","$ -")</f>
        <v/>
      </c>
      <c r="N1273" s="59" t="str">
        <f>IF(OR(Data!$I1273=SottocategorieEntrate[[#Headers],[Business Entrate]],Data!$I1273=SottocategorieEntrate[[#Headers],[Varie Entrate]]),"$ -","")</f>
        <v/>
      </c>
      <c r="O1273" s="59" t="str">
        <f>IF(OR(Data!$I1273=SottocategorieEntrate[[#Headers],[Real Estate]],SottocategorieEntrate[[#Headers],[Other]]),"$ -","")</f>
        <v/>
      </c>
      <c r="P1273" s="59" t="str">
        <f>IF(OR($I1273&lt;&gt;SottocategorieEntrate[[#Headers],[Business Entrate]],$I1273&lt;&gt;SottocategorieEntrate[[#Headers],[Varie Entrate]],$I1273&lt;&gt;SottocategorieEntrate[[#Headers],[Real Estate]],$I1273&lt;&gt;SottocategorieEntrate[[#Headers],[Other]]),"","$ -")</f>
        <v/>
      </c>
      <c r="Q1273" s="59" t="str">
        <f>IF(Dati[[#This Row],[Categoria]]="Prelievo","€ -","")</f>
        <v/>
      </c>
      <c r="R1273" s="244"/>
      <c r="S1273" s="59" t="str">
        <f>IF(Dati[[#This Row],[Categoria]]="Savings",0,"")</f>
        <v/>
      </c>
      <c r="T1273" s="59"/>
      <c r="U1273" s="59"/>
      <c r="V1273" s="59"/>
      <c r="W1273" s="59"/>
      <c r="X1273" s="59"/>
      <c r="Y1273" s="59"/>
      <c r="Z1273" s="59"/>
      <c r="AA1273" s="59"/>
      <c r="AB1273" s="59"/>
      <c r="AC1273" s="59"/>
      <c r="AD1273" s="59"/>
      <c r="AE1273" s="59"/>
      <c r="AF1273" s="59"/>
      <c r="AG1273" s="59"/>
      <c r="AH1273" s="59"/>
      <c r="AI1273" s="59" t="str">
        <f>IF(SUM(Dati[[#This Row],[Inv. Business]:[Inv. Cryptocurrency]])=0," ",SUM(Dati[[#This Row],[Inv. Business]:[Inv. Cryptocurrency]]))</f>
        <v xml:space="preserve"> </v>
      </c>
      <c r="AJ1273" s="59"/>
      <c r="AK1273" s="59" t="str">
        <f>IF(SUM(Dati[[#This Row],[Inv. Gold]:[Mutuo]])=0," ",SUM(Dati[[#This Row],[Inv. Gold]:[Mutuo]]))</f>
        <v xml:space="preserve"> </v>
      </c>
      <c r="AL1273" s="59"/>
      <c r="AM1273" s="59"/>
    </row>
    <row r="1274" spans="2:39" x14ac:dyDescent="0.35">
      <c r="B1274" s="237">
        <f t="shared" ref="B1274" si="90">ROW(1240:1240)</f>
        <v>1240</v>
      </c>
      <c r="C1274" s="49">
        <f t="shared" si="85"/>
        <v>45848</v>
      </c>
      <c r="D1274" s="29">
        <f>DAY(Dati[[#This Row],[Data]])</f>
        <v>10</v>
      </c>
      <c r="E1274" s="29" t="str">
        <f>IF(DAY(Data!$C$21:$C$1327)&gt;0,TEXT(Data!$C$21:$C$1327, "mmmm"),"")</f>
        <v>luglio</v>
      </c>
      <c r="F1274" s="29" t="str">
        <f>IF(DAY(Data!$C$21:$C$1327)&gt;0,TEXT(Data!$C$21:$C$1327, "aaaa"),"")</f>
        <v>2025</v>
      </c>
      <c r="I1274" t="str">
        <f>IF(OR(H1274=$B$5,H1274=$B$6,H1274=$B$7,H1274=$B$8,H1274=$B$9,H1274=$B$10,H1274=$B$11,H1274=$B$12,H1274=$B$13,H1274=$B$14),SottocategorieUscite[[#Headers],[Fuori Casa]],IF(OR(H1274=$C$5,H1274=$C$6,H1274=$C$7,H1274=$C$8,H1274=$C$9,H1274=$C$10,H1274=$C$11,H1274=$C$12,H1274=$C$13,H1274=$C$14),SottocategorieUscite[[#Headers],[Varie Uscite]],IF(OR(H1274=$D$5,H1274=$D$6,H1274=$D$7,H1274=$D$8,H1274=$D$9,H1274=$D$10,H1274=$D$11,H1274=$D$12,H1274=$D$13,H1274=$D$14),SottocategorieUscite[[#Headers],[Personali]],IF(OR(H1274=$E$5,H1274=$E$6,H1274=$E$7,H1274=$E$8,H1274=$E$9,H1274=$E$10,H1274=$E$11,H1274=$E$12,H1274=$E$13,H1274=$E$14),SottocategorieUscite[[#Headers],[Lavoro]],IF(OR(H1274=$F$5,H1274=$F$6,H1274=$F$7,H1274=$F$8,H1274=$F$9,H1274=$F$10,H1274=$F$11,H1274=$F$12,H1274=$F$13,H1274=$F$14),SottocategorieUscite[[#Headers],[Casa]],IF(OR(H1274=$G$5,H1274=$G$6,H1274=$G$7,H1274=$G$8,H1274=$G$9,H1274=$G$10,H1274=$G$11,H1274=$G$12,H1274=$G$13,H1274=$G$14),SottocategorieUscite[[#Headers],[Utenze]],IF(OR(H1274=$H$5,H1274=$H$6,H1274=$H$7,H1274=$H$8,H1274=$H$9,H1274=$H$10,H1274=$H$11,H1274=$H$12,H1274=$H$13,H1274=$H$14),SottocategorieUscite[[#Headers],[Business Uscite]],IF(OR(H1274=$I$5,H1274=$I$6,H1274=$I$7,H1274=$I$8,H1274=$I$9,H1274=$I$10,H1274=$I$11,H1274=$I$12,H1274=$I$13,H1274=$I$14),SottocategorieUscite[[#Headers],[Banca]],IF(OR(H1274=K$5,H1274=K$6,H1274=K$7,H1274=K$8,H1274=K$9,H1274=K$10,H1274=K$11,H1274=K$12,H1274=K$13,H1274=K$14),SottocategorieEntrate[[#Headers],[Business Entrate]],IF(OR(H1274=L$5,H1274=L$6,H1274=L$7,H1274=L$8,H1274=L$9,H1274=L$10,H1274=L$11,H1274=L$12,H1274=L$13,H1274=L$14),SottocategorieEntrate[[#Headers],[Varie Entrate]],IF(OR(H1274=M$5,H1274=M$6,H1274=M$7,H1274=M$8,H1274=M$9,H1274=M$10,H1274=M$11,H1274=M$12,H1274=M$13,H1274=M$14),SottocategorieEntrate[[#Headers],[Real Estate]],IF(OR(H1274=N$5,H1274=N$6,H1274=N$7,H1274=N$8,H1274=N$9,H1274=N$10,H1274=N$11,H1274=N$12,H1274=N$13,H1274=N$14),SottocategorieEntrate[[#Headers],[Other]],""))))))))))))</f>
        <v/>
      </c>
      <c r="J1274" t="str">
        <f>IF(OR(Dati[[#This Row],[Categoria]]="Bollette",Dati[[#This Row],[Categoria]]="Conto &amp; Carte BNL",Dati[[#This Row],[Categoria]]="Prelievo",Dati[[#This Row],[Categoria]]="Affitto",Dati[[#This Row],[Categoria]]="BNL(Interessi Creditori)"),"Carta",IF(Dati[[#This Row],[Categoria]]&lt;&gt;0,"Cash",""))</f>
        <v/>
      </c>
      <c r="K1274" s="59" t="str">
        <f>IF(OR(Data!$I1274=SottocategorieUscite[[#Headers],[Fuori Casa]],Data!$I1274=SottocategorieUscite[[#Headers],[Varie Uscite]],Data!$I1274=SottocategorieUscite[[#Headers],[Personali]],Data!$I1274=SottocategorieUscite[[#Headers],[Lavoro]]),"$ -","")</f>
        <v/>
      </c>
      <c r="L1274" s="59" t="str">
        <f>IF(OR(Data!$I1274=SottocategorieUscite[[#Headers],[Casa]],Data!$I1274=SottocategorieUscite[[#Headers],[Utenze]],Data!$I1274=SottocategorieUscite[[#Headers],[Business Uscite]],Data!$I1274=SottocategorieUscite[[#Headers],[Banca]]),"$ -","")</f>
        <v/>
      </c>
      <c r="M1274" s="59" t="str">
        <f>IF(OR($I1274&lt;&gt;SottocategorieUscite[[#Headers],[Fuori Casa]],$I1274&lt;&gt;SottocategorieUscite[[#Headers],[Varie Uscite]],$I1274&lt;&gt;SottocategorieUscite[[#Headers],[Personali]],$I1274&lt;&gt;SottocategorieUscite[[#Headers],[Lavoro]],$I1274&lt;&gt;SottocategorieUscite[[#Headers],[Casa]],$I1274&lt;&gt;SottocategorieUscite[[#Headers],[Utenze]],$I1274&lt;&gt;SottocategorieUscite[[#Headers],[Business Uscite]],$I1274&lt;&gt;SottocategorieUscite[[#Headers],[Banca]]),"","$ -")</f>
        <v/>
      </c>
      <c r="N1274" s="59" t="str">
        <f>IF(OR(Data!$I1274=SottocategorieEntrate[[#Headers],[Business Entrate]],Data!$I1274=SottocategorieEntrate[[#Headers],[Varie Entrate]]),"$ -","")</f>
        <v/>
      </c>
      <c r="O1274" s="59" t="str">
        <f>IF(OR(Data!$I1274=SottocategorieEntrate[[#Headers],[Real Estate]],SottocategorieEntrate[[#Headers],[Other]]),"$ -","")</f>
        <v/>
      </c>
      <c r="P1274" s="59" t="str">
        <f>IF(OR($I1274&lt;&gt;SottocategorieEntrate[[#Headers],[Business Entrate]],$I1274&lt;&gt;SottocategorieEntrate[[#Headers],[Varie Entrate]],$I1274&lt;&gt;SottocategorieEntrate[[#Headers],[Real Estate]],$I1274&lt;&gt;SottocategorieEntrate[[#Headers],[Other]]),"","$ -")</f>
        <v/>
      </c>
      <c r="Q1274" s="59" t="str">
        <f>IF(Dati[[#This Row],[Categoria]]="Prelievo","€ -","")</f>
        <v/>
      </c>
      <c r="R1274" s="244"/>
      <c r="S1274" s="59" t="str">
        <f>IF(Dati[[#This Row],[Categoria]]="Savings",0,"")</f>
        <v/>
      </c>
      <c r="T1274" s="59"/>
      <c r="U1274" s="59"/>
      <c r="V1274" s="59"/>
      <c r="W1274" s="59"/>
      <c r="X1274" s="59"/>
      <c r="Y1274" s="59"/>
      <c r="Z1274" s="59"/>
      <c r="AA1274" s="59"/>
      <c r="AB1274" s="59"/>
      <c r="AC1274" s="59"/>
      <c r="AD1274" s="59"/>
      <c r="AE1274" s="59"/>
      <c r="AF1274" s="59"/>
      <c r="AG1274" s="59"/>
      <c r="AH1274" s="59"/>
      <c r="AI1274" s="59" t="str">
        <f>IF(SUM(Dati[[#This Row],[Inv. Business]:[Inv. Cryptocurrency]])=0," ",SUM(Dati[[#This Row],[Inv. Business]:[Inv. Cryptocurrency]]))</f>
        <v xml:space="preserve"> </v>
      </c>
      <c r="AJ1274" s="59"/>
      <c r="AK1274" s="59" t="str">
        <f>IF(SUM(Dati[[#This Row],[Inv. Gold]:[Mutuo]])=0," ",SUM(Dati[[#This Row],[Inv. Gold]:[Mutuo]]))</f>
        <v xml:space="preserve"> </v>
      </c>
      <c r="AL1274" s="59"/>
      <c r="AM1274" s="59"/>
    </row>
    <row r="1275" spans="2:39" x14ac:dyDescent="0.35">
      <c r="B1275" s="237">
        <f>ROW(1240:1240)</f>
        <v>1240</v>
      </c>
      <c r="C1275" s="49">
        <f>C1273+1</f>
        <v>45848</v>
      </c>
      <c r="D1275" s="29">
        <f>DAY(Dati[[#This Row],[Data]])</f>
        <v>10</v>
      </c>
      <c r="E1275" s="29" t="str">
        <f>IF(DAY(Data!$C$21:$C$1327)&gt;0,TEXT(Data!$C$21:$C$1327, "mmmm"),"")</f>
        <v>luglio</v>
      </c>
      <c r="F1275" s="29" t="str">
        <f>IF(DAY(Data!$C$21:$C$1327)&gt;0,TEXT(Data!$C$21:$C$1327, "aaaa"),"")</f>
        <v>2025</v>
      </c>
      <c r="I1275" t="str">
        <f>IF(OR(H1275=$B$5,H1275=$B$6,H1275=$B$7,H1275=$B$8,H1275=$B$9,H1275=$B$10,H1275=$B$11,H1275=$B$12,H1275=$B$13,H1275=$B$14),SottocategorieUscite[[#Headers],[Fuori Casa]],IF(OR(H1275=$C$5,H1275=$C$6,H1275=$C$7,H1275=$C$8,H1275=$C$9,H1275=$C$10,H1275=$C$11,H1275=$C$12,H1275=$C$13,H1275=$C$14),SottocategorieUscite[[#Headers],[Varie Uscite]],IF(OR(H1275=$D$5,H1275=$D$6,H1275=$D$7,H1275=$D$8,H1275=$D$9,H1275=$D$10,H1275=$D$11,H1275=$D$12,H1275=$D$13,H1275=$D$14),SottocategorieUscite[[#Headers],[Personali]],IF(OR(H1275=$E$5,H1275=$E$6,H1275=$E$7,H1275=$E$8,H1275=$E$9,H1275=$E$10,H1275=$E$11,H1275=$E$12,H1275=$E$13,H1275=$E$14),SottocategorieUscite[[#Headers],[Lavoro]],IF(OR(H1275=$F$5,H1275=$F$6,H1275=$F$7,H1275=$F$8,H1275=$F$9,H1275=$F$10,H1275=$F$11,H1275=$F$12,H1275=$F$13,H1275=$F$14),SottocategorieUscite[[#Headers],[Casa]],IF(OR(H1275=$G$5,H1275=$G$6,H1275=$G$7,H1275=$G$8,H1275=$G$9,H1275=$G$10,H1275=$G$11,H1275=$G$12,H1275=$G$13,H1275=$G$14),SottocategorieUscite[[#Headers],[Utenze]],IF(OR(H1275=$H$5,H1275=$H$6,H1275=$H$7,H1275=$H$8,H1275=$H$9,H1275=$H$10,H1275=$H$11,H1275=$H$12,H1275=$H$13,H1275=$H$14),SottocategorieUscite[[#Headers],[Business Uscite]],IF(OR(H1275=$I$5,H1275=$I$6,H1275=$I$7,H1275=$I$8,H1275=$I$9,H1275=$I$10,H1275=$I$11,H1275=$I$12,H1275=$I$13,H1275=$I$14),SottocategorieUscite[[#Headers],[Banca]],IF(OR(H1275=K$5,H1275=K$6,H1275=K$7,H1275=K$8,H1275=K$9,H1275=K$10,H1275=K$11,H1275=K$12,H1275=K$13,H1275=K$14),SottocategorieEntrate[[#Headers],[Business Entrate]],IF(OR(H1275=L$5,H1275=L$6,H1275=L$7,H1275=L$8,H1275=L$9,H1275=L$10,H1275=L$11,H1275=L$12,H1275=L$13,H1275=L$14),SottocategorieEntrate[[#Headers],[Varie Entrate]],IF(OR(H1275=M$5,H1275=M$6,H1275=M$7,H1275=M$8,H1275=M$9,H1275=M$10,H1275=M$11,H1275=M$12,H1275=M$13,H1275=M$14),SottocategorieEntrate[[#Headers],[Real Estate]],IF(OR(H1275=N$5,H1275=N$6,H1275=N$7,H1275=N$8,H1275=N$9,H1275=N$10,H1275=N$11,H1275=N$12,H1275=N$13,H1275=N$14),SottocategorieEntrate[[#Headers],[Other]],""))))))))))))</f>
        <v/>
      </c>
      <c r="J1275" t="str">
        <f>IF(OR(Dati[[#This Row],[Categoria]]="Bollette",Dati[[#This Row],[Categoria]]="Conto &amp; Carte BNL",Dati[[#This Row],[Categoria]]="Prelievo",Dati[[#This Row],[Categoria]]="Affitto",Dati[[#This Row],[Categoria]]="BNL(Interessi Creditori)"),"Carta",IF(Dati[[#This Row],[Categoria]]&lt;&gt;0,"Cash",""))</f>
        <v/>
      </c>
      <c r="K1275" s="59" t="str">
        <f>IF(OR(Data!$I1275=SottocategorieUscite[[#Headers],[Fuori Casa]],Data!$I1275=SottocategorieUscite[[#Headers],[Varie Uscite]],Data!$I1275=SottocategorieUscite[[#Headers],[Personali]],Data!$I1275=SottocategorieUscite[[#Headers],[Lavoro]]),"$ -","")</f>
        <v/>
      </c>
      <c r="L1275" s="59" t="str">
        <f>IF(OR(Data!$I1275=SottocategorieUscite[[#Headers],[Casa]],Data!$I1275=SottocategorieUscite[[#Headers],[Utenze]],Data!$I1275=SottocategorieUscite[[#Headers],[Business Uscite]],Data!$I1275=SottocategorieUscite[[#Headers],[Banca]]),"$ -","")</f>
        <v/>
      </c>
      <c r="M1275" s="59" t="str">
        <f>IF(OR($I1275&lt;&gt;SottocategorieUscite[[#Headers],[Fuori Casa]],$I1275&lt;&gt;SottocategorieUscite[[#Headers],[Varie Uscite]],$I1275&lt;&gt;SottocategorieUscite[[#Headers],[Personali]],$I1275&lt;&gt;SottocategorieUscite[[#Headers],[Lavoro]],$I1275&lt;&gt;SottocategorieUscite[[#Headers],[Casa]],$I1275&lt;&gt;SottocategorieUscite[[#Headers],[Utenze]],$I1275&lt;&gt;SottocategorieUscite[[#Headers],[Business Uscite]],$I1275&lt;&gt;SottocategorieUscite[[#Headers],[Banca]]),"","$ -")</f>
        <v/>
      </c>
      <c r="N1275" s="59" t="str">
        <f>IF(OR(Data!$I1275=SottocategorieEntrate[[#Headers],[Business Entrate]],Data!$I1275=SottocategorieEntrate[[#Headers],[Varie Entrate]]),"$ -","")</f>
        <v/>
      </c>
      <c r="O1275" s="59" t="str">
        <f>IF(OR(Data!$I1275=SottocategorieEntrate[[#Headers],[Real Estate]],SottocategorieEntrate[[#Headers],[Other]]),"$ -","")</f>
        <v/>
      </c>
      <c r="P1275" s="59" t="str">
        <f>IF(OR($I1275&lt;&gt;SottocategorieEntrate[[#Headers],[Business Entrate]],$I1275&lt;&gt;SottocategorieEntrate[[#Headers],[Varie Entrate]],$I1275&lt;&gt;SottocategorieEntrate[[#Headers],[Real Estate]],$I1275&lt;&gt;SottocategorieEntrate[[#Headers],[Other]]),"","$ -")</f>
        <v/>
      </c>
      <c r="Q1275" s="59" t="str">
        <f>IF(Dati[[#This Row],[Categoria]]="Prelievo","€ -","")</f>
        <v/>
      </c>
      <c r="R1275" s="244"/>
      <c r="S1275" s="59" t="str">
        <f>IF(Dati[[#This Row],[Categoria]]="Savings",0,"")</f>
        <v/>
      </c>
      <c r="T1275" s="59"/>
      <c r="U1275" s="59"/>
      <c r="V1275" s="59"/>
      <c r="W1275" s="59"/>
      <c r="X1275" s="59"/>
      <c r="Y1275" s="59"/>
      <c r="Z1275" s="59"/>
      <c r="AA1275" s="59"/>
      <c r="AB1275" s="59"/>
      <c r="AC1275" s="59"/>
      <c r="AD1275" s="59"/>
      <c r="AE1275" s="59"/>
      <c r="AF1275" s="59"/>
      <c r="AG1275" s="59"/>
      <c r="AH1275" s="59"/>
      <c r="AI1275" s="59" t="str">
        <f>IF(SUM(Dati[[#This Row],[Inv. Business]:[Inv. Cryptocurrency]])=0," ",SUM(Dati[[#This Row],[Inv. Business]:[Inv. Cryptocurrency]]))</f>
        <v xml:space="preserve"> </v>
      </c>
      <c r="AJ1275" s="59"/>
      <c r="AK1275" s="59" t="str">
        <f>IF(SUM(Dati[[#This Row],[Inv. Gold]:[Mutuo]])=0," ",SUM(Dati[[#This Row],[Inv. Gold]:[Mutuo]]))</f>
        <v xml:space="preserve"> </v>
      </c>
      <c r="AL1275" s="59"/>
      <c r="AM1275" s="59"/>
    </row>
    <row r="1276" spans="2:39" x14ac:dyDescent="0.35">
      <c r="B1276" s="237">
        <f>ROW(1240:1240)</f>
        <v>1240</v>
      </c>
      <c r="C1276" s="49">
        <f>C1273+1</f>
        <v>45848</v>
      </c>
      <c r="D1276" s="29">
        <f>DAY(Dati[[#This Row],[Data]])</f>
        <v>10</v>
      </c>
      <c r="E1276" s="29" t="str">
        <f>IF(DAY(Data!$C$21:$C$1327)&gt;0,TEXT(Data!$C$21:$C$1327, "mmmm"),"")</f>
        <v>luglio</v>
      </c>
      <c r="F1276" s="29" t="str">
        <f>IF(DAY(Data!$C$21:$C$1327)&gt;0,TEXT(Data!$C$21:$C$1327, "aaaa"),"")</f>
        <v>2025</v>
      </c>
      <c r="I1276" t="str">
        <f>IF(OR(H1276=$B$5,H1276=$B$6,H1276=$B$7,H1276=$B$8,H1276=$B$9,H1276=$B$10,H1276=$B$11,H1276=$B$12,H1276=$B$13,H1276=$B$14),SottocategorieUscite[[#Headers],[Fuori Casa]],IF(OR(H1276=$C$5,H1276=$C$6,H1276=$C$7,H1276=$C$8,H1276=$C$9,H1276=$C$10,H1276=$C$11,H1276=$C$12,H1276=$C$13,H1276=$C$14),SottocategorieUscite[[#Headers],[Varie Uscite]],IF(OR(H1276=$D$5,H1276=$D$6,H1276=$D$7,H1276=$D$8,H1276=$D$9,H1276=$D$10,H1276=$D$11,H1276=$D$12,H1276=$D$13,H1276=$D$14),SottocategorieUscite[[#Headers],[Personali]],IF(OR(H1276=$E$5,H1276=$E$6,H1276=$E$7,H1276=$E$8,H1276=$E$9,H1276=$E$10,H1276=$E$11,H1276=$E$12,H1276=$E$13,H1276=$E$14),SottocategorieUscite[[#Headers],[Lavoro]],IF(OR(H1276=$F$5,H1276=$F$6,H1276=$F$7,H1276=$F$8,H1276=$F$9,H1276=$F$10,H1276=$F$11,H1276=$F$12,H1276=$F$13,H1276=$F$14),SottocategorieUscite[[#Headers],[Casa]],IF(OR(H1276=$G$5,H1276=$G$6,H1276=$G$7,H1276=$G$8,H1276=$G$9,H1276=$G$10,H1276=$G$11,H1276=$G$12,H1276=$G$13,H1276=$G$14),SottocategorieUscite[[#Headers],[Utenze]],IF(OR(H1276=$H$5,H1276=$H$6,H1276=$H$7,H1276=$H$8,H1276=$H$9,H1276=$H$10,H1276=$H$11,H1276=$H$12,H1276=$H$13,H1276=$H$14),SottocategorieUscite[[#Headers],[Business Uscite]],IF(OR(H1276=$I$5,H1276=$I$6,H1276=$I$7,H1276=$I$8,H1276=$I$9,H1276=$I$10,H1276=$I$11,H1276=$I$12,H1276=$I$13,H1276=$I$14),SottocategorieUscite[[#Headers],[Banca]],IF(OR(H1276=K$5,H1276=K$6,H1276=K$7,H1276=K$8,H1276=K$9,H1276=K$10,H1276=K$11,H1276=K$12,H1276=K$13,H1276=K$14),SottocategorieEntrate[[#Headers],[Business Entrate]],IF(OR(H1276=L$5,H1276=L$6,H1276=L$7,H1276=L$8,H1276=L$9,H1276=L$10,H1276=L$11,H1276=L$12,H1276=L$13,H1276=L$14),SottocategorieEntrate[[#Headers],[Varie Entrate]],IF(OR(H1276=M$5,H1276=M$6,H1276=M$7,H1276=M$8,H1276=M$9,H1276=M$10,H1276=M$11,H1276=M$12,H1276=M$13,H1276=M$14),SottocategorieEntrate[[#Headers],[Real Estate]],IF(OR(H1276=N$5,H1276=N$6,H1276=N$7,H1276=N$8,H1276=N$9,H1276=N$10,H1276=N$11,H1276=N$12,H1276=N$13,H1276=N$14),SottocategorieEntrate[[#Headers],[Other]],""))))))))))))</f>
        <v/>
      </c>
      <c r="J1276" t="str">
        <f>IF(OR(Dati[[#This Row],[Categoria]]="Bollette",Dati[[#This Row],[Categoria]]="Conto &amp; Carte BNL",Dati[[#This Row],[Categoria]]="Prelievo",Dati[[#This Row],[Categoria]]="Affitto",Dati[[#This Row],[Categoria]]="BNL(Interessi Creditori)"),"Carta",IF(Dati[[#This Row],[Categoria]]&lt;&gt;0,"Cash",""))</f>
        <v/>
      </c>
      <c r="K1276" s="59" t="str">
        <f>IF(OR(Data!$I1276=SottocategorieUscite[[#Headers],[Fuori Casa]],Data!$I1276=SottocategorieUscite[[#Headers],[Varie Uscite]],Data!$I1276=SottocategorieUscite[[#Headers],[Personali]],Data!$I1276=SottocategorieUscite[[#Headers],[Lavoro]]),"$ -","")</f>
        <v/>
      </c>
      <c r="L1276" s="59" t="str">
        <f>IF(OR(Data!$I1276=SottocategorieUscite[[#Headers],[Casa]],Data!$I1276=SottocategorieUscite[[#Headers],[Utenze]],Data!$I1276=SottocategorieUscite[[#Headers],[Business Uscite]],Data!$I1276=SottocategorieUscite[[#Headers],[Banca]]),"$ -","")</f>
        <v/>
      </c>
      <c r="M1276" s="59" t="str">
        <f>IF(OR($I1276&lt;&gt;SottocategorieUscite[[#Headers],[Fuori Casa]],$I1276&lt;&gt;SottocategorieUscite[[#Headers],[Varie Uscite]],$I1276&lt;&gt;SottocategorieUscite[[#Headers],[Personali]],$I1276&lt;&gt;SottocategorieUscite[[#Headers],[Lavoro]],$I1276&lt;&gt;SottocategorieUscite[[#Headers],[Casa]],$I1276&lt;&gt;SottocategorieUscite[[#Headers],[Utenze]],$I1276&lt;&gt;SottocategorieUscite[[#Headers],[Business Uscite]],$I1276&lt;&gt;SottocategorieUscite[[#Headers],[Banca]]),"","$ -")</f>
        <v/>
      </c>
      <c r="N1276" s="59" t="str">
        <f>IF(OR(Data!$I1276=SottocategorieEntrate[[#Headers],[Business Entrate]],Data!$I1276=SottocategorieEntrate[[#Headers],[Varie Entrate]]),"$ -","")</f>
        <v/>
      </c>
      <c r="O1276" s="59" t="str">
        <f>IF(OR(Data!$I1276=SottocategorieEntrate[[#Headers],[Real Estate]],SottocategorieEntrate[[#Headers],[Other]]),"$ -","")</f>
        <v/>
      </c>
      <c r="P1276" s="59" t="str">
        <f>IF(OR($I1276&lt;&gt;SottocategorieEntrate[[#Headers],[Business Entrate]],$I1276&lt;&gt;SottocategorieEntrate[[#Headers],[Varie Entrate]],$I1276&lt;&gt;SottocategorieEntrate[[#Headers],[Real Estate]],$I1276&lt;&gt;SottocategorieEntrate[[#Headers],[Other]]),"","$ -")</f>
        <v/>
      </c>
      <c r="Q1276" s="59" t="str">
        <f>IF(Dati[[#This Row],[Categoria]]="Prelievo","€ -","")</f>
        <v/>
      </c>
      <c r="R1276" s="244"/>
      <c r="S1276" s="59" t="str">
        <f>IF(Dati[[#This Row],[Categoria]]="Savings",0,"")</f>
        <v/>
      </c>
      <c r="T1276" s="59"/>
      <c r="U1276" s="59"/>
      <c r="V1276" s="59"/>
      <c r="W1276" s="59"/>
      <c r="X1276" s="59"/>
      <c r="Y1276" s="59"/>
      <c r="Z1276" s="59"/>
      <c r="AA1276" s="59"/>
      <c r="AB1276" s="59"/>
      <c r="AC1276" s="59"/>
      <c r="AD1276" s="59"/>
      <c r="AE1276" s="59"/>
      <c r="AF1276" s="59"/>
      <c r="AG1276" s="59"/>
      <c r="AH1276" s="59"/>
      <c r="AI1276" s="59" t="str">
        <f>IF(SUM(Dati[[#This Row],[Inv. Business]:[Inv. Cryptocurrency]])=0," ",SUM(Dati[[#This Row],[Inv. Business]:[Inv. Cryptocurrency]]))</f>
        <v xml:space="preserve"> </v>
      </c>
      <c r="AJ1276" s="59"/>
      <c r="AK1276" s="59" t="str">
        <f>IF(SUM(Dati[[#This Row],[Inv. Gold]:[Mutuo]])=0," ",SUM(Dati[[#This Row],[Inv. Gold]:[Mutuo]]))</f>
        <v xml:space="preserve"> </v>
      </c>
      <c r="AL1276" s="59"/>
      <c r="AM1276" s="59"/>
    </row>
    <row r="1277" spans="2:39" x14ac:dyDescent="0.35">
      <c r="B1277" s="237">
        <f t="shared" ref="B1277:B1283" si="91">ROW(1240:1240)</f>
        <v>1240</v>
      </c>
      <c r="C1277" s="49">
        <f>C1273+1</f>
        <v>45848</v>
      </c>
      <c r="D1277" s="29">
        <f>DAY(Dati[[#This Row],[Data]])</f>
        <v>10</v>
      </c>
      <c r="E1277" s="29" t="str">
        <f>IF(DAY(Data!$C$21:$C$1327)&gt;0,TEXT(Data!$C$21:$C$1327, "mmmm"),"")</f>
        <v>luglio</v>
      </c>
      <c r="F1277" s="29" t="str">
        <f>IF(DAY(Data!$C$21:$C$1327)&gt;0,TEXT(Data!$C$21:$C$1327, "aaaa"),"")</f>
        <v>2025</v>
      </c>
      <c r="I1277" t="str">
        <f>IF(OR(H1277=$B$5,H1277=$B$6,H1277=$B$7,H1277=$B$8,H1277=$B$9,H1277=$B$10,H1277=$B$11,H1277=$B$12,H1277=$B$13,H1277=$B$14),SottocategorieUscite[[#Headers],[Fuori Casa]],IF(OR(H1277=$C$5,H1277=$C$6,H1277=$C$7,H1277=$C$8,H1277=$C$9,H1277=$C$10,H1277=$C$11,H1277=$C$12,H1277=$C$13,H1277=$C$14),SottocategorieUscite[[#Headers],[Varie Uscite]],IF(OR(H1277=$D$5,H1277=$D$6,H1277=$D$7,H1277=$D$8,H1277=$D$9,H1277=$D$10,H1277=$D$11,H1277=$D$12,H1277=$D$13,H1277=$D$14),SottocategorieUscite[[#Headers],[Personali]],IF(OR(H1277=$E$5,H1277=$E$6,H1277=$E$7,H1277=$E$8,H1277=$E$9,H1277=$E$10,H1277=$E$11,H1277=$E$12,H1277=$E$13,H1277=$E$14),SottocategorieUscite[[#Headers],[Lavoro]],IF(OR(H1277=$F$5,H1277=$F$6,H1277=$F$7,H1277=$F$8,H1277=$F$9,H1277=$F$10,H1277=$F$11,H1277=$F$12,H1277=$F$13,H1277=$F$14),SottocategorieUscite[[#Headers],[Casa]],IF(OR(H1277=$G$5,H1277=$G$6,H1277=$G$7,H1277=$G$8,H1277=$G$9,H1277=$G$10,H1277=$G$11,H1277=$G$12,H1277=$G$13,H1277=$G$14),SottocategorieUscite[[#Headers],[Utenze]],IF(OR(H1277=$H$5,H1277=$H$6,H1277=$H$7,H1277=$H$8,H1277=$H$9,H1277=$H$10,H1277=$H$11,H1277=$H$12,H1277=$H$13,H1277=$H$14),SottocategorieUscite[[#Headers],[Business Uscite]],IF(OR(H1277=$I$5,H1277=$I$6,H1277=$I$7,H1277=$I$8,H1277=$I$9,H1277=$I$10,H1277=$I$11,H1277=$I$12,H1277=$I$13,H1277=$I$14),SottocategorieUscite[[#Headers],[Banca]],IF(OR(H1277=K$5,H1277=K$6,H1277=K$7,H1277=K$8,H1277=K$9,H1277=K$10,H1277=K$11,H1277=K$12,H1277=K$13,H1277=K$14),SottocategorieEntrate[[#Headers],[Business Entrate]],IF(OR(H1277=L$5,H1277=L$6,H1277=L$7,H1277=L$8,H1277=L$9,H1277=L$10,H1277=L$11,H1277=L$12,H1277=L$13,H1277=L$14),SottocategorieEntrate[[#Headers],[Varie Entrate]],IF(OR(H1277=M$5,H1277=M$6,H1277=M$7,H1277=M$8,H1277=M$9,H1277=M$10,H1277=M$11,H1277=M$12,H1277=M$13,H1277=M$14),SottocategorieEntrate[[#Headers],[Real Estate]],IF(OR(H1277=N$5,H1277=N$6,H1277=N$7,H1277=N$8,H1277=N$9,H1277=N$10,H1277=N$11,H1277=N$12,H1277=N$13,H1277=N$14),SottocategorieEntrate[[#Headers],[Other]],""))))))))))))</f>
        <v/>
      </c>
      <c r="J1277" t="str">
        <f>IF(OR(Dati[[#This Row],[Categoria]]="Bollette",Dati[[#This Row],[Categoria]]="Conto &amp; Carte BNL",Dati[[#This Row],[Categoria]]="Prelievo",Dati[[#This Row],[Categoria]]="Affitto",Dati[[#This Row],[Categoria]]="BNL(Interessi Creditori)"),"Carta",IF(Dati[[#This Row],[Categoria]]&lt;&gt;0,"Cash",""))</f>
        <v/>
      </c>
      <c r="K1277" s="59" t="str">
        <f>IF(OR(Data!$I1277=SottocategorieUscite[[#Headers],[Fuori Casa]],Data!$I1277=SottocategorieUscite[[#Headers],[Varie Uscite]],Data!$I1277=SottocategorieUscite[[#Headers],[Personali]],Data!$I1277=SottocategorieUscite[[#Headers],[Lavoro]]),"$ -","")</f>
        <v/>
      </c>
      <c r="L1277" s="59" t="str">
        <f>IF(OR(Data!$I1277=SottocategorieUscite[[#Headers],[Casa]],Data!$I1277=SottocategorieUscite[[#Headers],[Utenze]],Data!$I1277=SottocategorieUscite[[#Headers],[Business Uscite]],Data!$I1277=SottocategorieUscite[[#Headers],[Banca]]),"$ -","")</f>
        <v/>
      </c>
      <c r="M1277" s="59" t="str">
        <f>IF(OR($I1277&lt;&gt;SottocategorieUscite[[#Headers],[Fuori Casa]],$I1277&lt;&gt;SottocategorieUscite[[#Headers],[Varie Uscite]],$I1277&lt;&gt;SottocategorieUscite[[#Headers],[Personali]],$I1277&lt;&gt;SottocategorieUscite[[#Headers],[Lavoro]],$I1277&lt;&gt;SottocategorieUscite[[#Headers],[Casa]],$I1277&lt;&gt;SottocategorieUscite[[#Headers],[Utenze]],$I1277&lt;&gt;SottocategorieUscite[[#Headers],[Business Uscite]],$I1277&lt;&gt;SottocategorieUscite[[#Headers],[Banca]]),"","$ -")</f>
        <v/>
      </c>
      <c r="N1277" s="59" t="str">
        <f>IF(OR(Data!$I1277=SottocategorieEntrate[[#Headers],[Business Entrate]],Data!$I1277=SottocategorieEntrate[[#Headers],[Varie Entrate]]),"$ -","")</f>
        <v/>
      </c>
      <c r="O1277" s="59" t="str">
        <f>IF(OR(Data!$I1277=SottocategorieEntrate[[#Headers],[Real Estate]],SottocategorieEntrate[[#Headers],[Other]]),"$ -","")</f>
        <v/>
      </c>
      <c r="P1277" s="59" t="str">
        <f>IF(OR($I1277&lt;&gt;SottocategorieEntrate[[#Headers],[Business Entrate]],$I1277&lt;&gt;SottocategorieEntrate[[#Headers],[Varie Entrate]],$I1277&lt;&gt;SottocategorieEntrate[[#Headers],[Real Estate]],$I1277&lt;&gt;SottocategorieEntrate[[#Headers],[Other]]),"","$ -")</f>
        <v/>
      </c>
      <c r="Q1277" s="59" t="str">
        <f>IF(Dati[[#This Row],[Categoria]]="Prelievo","€ -","")</f>
        <v/>
      </c>
      <c r="R1277" s="244"/>
      <c r="S1277" s="59" t="str">
        <f>IF(Dati[[#This Row],[Categoria]]="Savings",0,"")</f>
        <v/>
      </c>
      <c r="T1277" s="59"/>
      <c r="U1277" s="59"/>
      <c r="V1277" s="59"/>
      <c r="W1277" s="59"/>
      <c r="X1277" s="59"/>
      <c r="Y1277" s="59"/>
      <c r="Z1277" s="59"/>
      <c r="AA1277" s="59"/>
      <c r="AB1277" s="59"/>
      <c r="AC1277" s="59"/>
      <c r="AD1277" s="59"/>
      <c r="AE1277" s="59"/>
      <c r="AF1277" s="59"/>
      <c r="AG1277" s="59"/>
      <c r="AH1277" s="59"/>
      <c r="AI1277" s="59" t="str">
        <f>IF(SUM(Dati[[#This Row],[Inv. Business]:[Inv. Cryptocurrency]])=0," ",SUM(Dati[[#This Row],[Inv. Business]:[Inv. Cryptocurrency]]))</f>
        <v xml:space="preserve"> </v>
      </c>
      <c r="AJ1277" s="59"/>
      <c r="AK1277" s="59" t="str">
        <f>IF(SUM(Dati[[#This Row],[Inv. Gold]:[Mutuo]])=0," ",SUM(Dati[[#This Row],[Inv. Gold]:[Mutuo]]))</f>
        <v xml:space="preserve"> </v>
      </c>
      <c r="AL1277" s="59"/>
      <c r="AM1277" s="59"/>
    </row>
    <row r="1278" spans="2:39" x14ac:dyDescent="0.35">
      <c r="B1278" s="237">
        <f t="shared" si="91"/>
        <v>1241</v>
      </c>
      <c r="C1278" s="49">
        <f>C1274+1</f>
        <v>45849</v>
      </c>
      <c r="D1278" s="29">
        <f>DAY(Dati[[#This Row],[Data]])</f>
        <v>11</v>
      </c>
      <c r="E1278" s="29" t="str">
        <f>IF(DAY(Data!$C$21:$C$1327)&gt;0,TEXT(Data!$C$21:$C$1327, "mmmm"),"")</f>
        <v>luglio</v>
      </c>
      <c r="F1278" s="29" t="str">
        <f>IF(DAY(Data!$C$21:$C$1327)&gt;0,TEXT(Data!$C$21:$C$1327, "aaaa"),"")</f>
        <v>2025</v>
      </c>
      <c r="I1278" t="str">
        <f>IF(OR(H1278=$B$5,H1278=$B$6,H1278=$B$7,H1278=$B$8,H1278=$B$9,H1278=$B$10,H1278=$B$11,H1278=$B$12,H1278=$B$13,H1278=$B$14),SottocategorieUscite[[#Headers],[Fuori Casa]],IF(OR(H1278=$C$5,H1278=$C$6,H1278=$C$7,H1278=$C$8,H1278=$C$9,H1278=$C$10,H1278=$C$11,H1278=$C$12,H1278=$C$13,H1278=$C$14),SottocategorieUscite[[#Headers],[Varie Uscite]],IF(OR(H1278=$D$5,H1278=$D$6,H1278=$D$7,H1278=$D$8,H1278=$D$9,H1278=$D$10,H1278=$D$11,H1278=$D$12,H1278=$D$13,H1278=$D$14),SottocategorieUscite[[#Headers],[Personali]],IF(OR(H1278=$E$5,H1278=$E$6,H1278=$E$7,H1278=$E$8,H1278=$E$9,H1278=$E$10,H1278=$E$11,H1278=$E$12,H1278=$E$13,H1278=$E$14),SottocategorieUscite[[#Headers],[Lavoro]],IF(OR(H1278=$F$5,H1278=$F$6,H1278=$F$7,H1278=$F$8,H1278=$F$9,H1278=$F$10,H1278=$F$11,H1278=$F$12,H1278=$F$13,H1278=$F$14),SottocategorieUscite[[#Headers],[Casa]],IF(OR(H1278=$G$5,H1278=$G$6,H1278=$G$7,H1278=$G$8,H1278=$G$9,H1278=$G$10,H1278=$G$11,H1278=$G$12,H1278=$G$13,H1278=$G$14),SottocategorieUscite[[#Headers],[Utenze]],IF(OR(H1278=$H$5,H1278=$H$6,H1278=$H$7,H1278=$H$8,H1278=$H$9,H1278=$H$10,H1278=$H$11,H1278=$H$12,H1278=$H$13,H1278=$H$14),SottocategorieUscite[[#Headers],[Business Uscite]],IF(OR(H1278=$I$5,H1278=$I$6,H1278=$I$7,H1278=$I$8,H1278=$I$9,H1278=$I$10,H1278=$I$11,H1278=$I$12,H1278=$I$13,H1278=$I$14),SottocategorieUscite[[#Headers],[Banca]],IF(OR(H1278=K$5,H1278=K$6,H1278=K$7,H1278=K$8,H1278=K$9,H1278=K$10,H1278=K$11,H1278=K$12,H1278=K$13,H1278=K$14),SottocategorieEntrate[[#Headers],[Business Entrate]],IF(OR(H1278=L$5,H1278=L$6,H1278=L$7,H1278=L$8,H1278=L$9,H1278=L$10,H1278=L$11,H1278=L$12,H1278=L$13,H1278=L$14),SottocategorieEntrate[[#Headers],[Varie Entrate]],IF(OR(H1278=M$5,H1278=M$6,H1278=M$7,H1278=M$8,H1278=M$9,H1278=M$10,H1278=M$11,H1278=M$12,H1278=M$13,H1278=M$14),SottocategorieEntrate[[#Headers],[Real Estate]],IF(OR(H1278=N$5,H1278=N$6,H1278=N$7,H1278=N$8,H1278=N$9,H1278=N$10,H1278=N$11,H1278=N$12,H1278=N$13,H1278=N$14),SottocategorieEntrate[[#Headers],[Other]],""))))))))))))</f>
        <v/>
      </c>
      <c r="J1278" t="str">
        <f>IF(OR(Dati[[#This Row],[Categoria]]="Bollette",Dati[[#This Row],[Categoria]]="Conto &amp; Carte BNL",Dati[[#This Row],[Categoria]]="Prelievo",Dati[[#This Row],[Categoria]]="Affitto",Dati[[#This Row],[Categoria]]="BNL(Interessi Creditori)"),"Carta",IF(Dati[[#This Row],[Categoria]]&lt;&gt;0,"Cash",""))</f>
        <v/>
      </c>
      <c r="K1278" s="59" t="str">
        <f>IF(OR(Data!$I1278=SottocategorieUscite[[#Headers],[Fuori Casa]],Data!$I1278=SottocategorieUscite[[#Headers],[Varie Uscite]],Data!$I1278=SottocategorieUscite[[#Headers],[Personali]],Data!$I1278=SottocategorieUscite[[#Headers],[Lavoro]]),"$ -","")</f>
        <v/>
      </c>
      <c r="L1278" s="59" t="str">
        <f>IF(OR(Data!$I1278=SottocategorieUscite[[#Headers],[Casa]],Data!$I1278=SottocategorieUscite[[#Headers],[Utenze]],Data!$I1278=SottocategorieUscite[[#Headers],[Business Uscite]],Data!$I1278=SottocategorieUscite[[#Headers],[Banca]]),"$ -","")</f>
        <v/>
      </c>
      <c r="M1278" s="59" t="str">
        <f>IF(OR($I1278&lt;&gt;SottocategorieUscite[[#Headers],[Fuori Casa]],$I1278&lt;&gt;SottocategorieUscite[[#Headers],[Varie Uscite]],$I1278&lt;&gt;SottocategorieUscite[[#Headers],[Personali]],$I1278&lt;&gt;SottocategorieUscite[[#Headers],[Lavoro]],$I1278&lt;&gt;SottocategorieUscite[[#Headers],[Casa]],$I1278&lt;&gt;SottocategorieUscite[[#Headers],[Utenze]],$I1278&lt;&gt;SottocategorieUscite[[#Headers],[Business Uscite]],$I1278&lt;&gt;SottocategorieUscite[[#Headers],[Banca]]),"","$ -")</f>
        <v/>
      </c>
      <c r="N1278" s="59" t="str">
        <f>IF(OR(Data!$I1278=SottocategorieEntrate[[#Headers],[Business Entrate]],Data!$I1278=SottocategorieEntrate[[#Headers],[Varie Entrate]]),"$ -","")</f>
        <v/>
      </c>
      <c r="O1278" s="59" t="str">
        <f>IF(OR(Data!$I1278=SottocategorieEntrate[[#Headers],[Real Estate]],SottocategorieEntrate[[#Headers],[Other]]),"$ -","")</f>
        <v/>
      </c>
      <c r="P1278" s="59" t="str">
        <f>IF(OR($I1278&lt;&gt;SottocategorieEntrate[[#Headers],[Business Entrate]],$I1278&lt;&gt;SottocategorieEntrate[[#Headers],[Varie Entrate]],$I1278&lt;&gt;SottocategorieEntrate[[#Headers],[Real Estate]],$I1278&lt;&gt;SottocategorieEntrate[[#Headers],[Other]]),"","$ -")</f>
        <v/>
      </c>
      <c r="Q1278" s="59" t="str">
        <f>IF(Dati[[#This Row],[Categoria]]="Prelievo","€ -","")</f>
        <v/>
      </c>
      <c r="R1278" s="244"/>
      <c r="S1278" s="59" t="str">
        <f>IF(Dati[[#This Row],[Categoria]]="Savings",0,"")</f>
        <v/>
      </c>
      <c r="T1278" s="59"/>
      <c r="U1278" s="59"/>
      <c r="V1278" s="59"/>
      <c r="W1278" s="59"/>
      <c r="X1278" s="59"/>
      <c r="Y1278" s="59"/>
      <c r="Z1278" s="59"/>
      <c r="AA1278" s="59"/>
      <c r="AB1278" s="59"/>
      <c r="AC1278" s="59"/>
      <c r="AD1278" s="59"/>
      <c r="AE1278" s="59"/>
      <c r="AF1278" s="59"/>
      <c r="AG1278" s="59"/>
      <c r="AH1278" s="59"/>
      <c r="AI1278" s="59" t="str">
        <f>IF(SUM(Dati[[#This Row],[Inv. Business]:[Inv. Cryptocurrency]])=0," ",SUM(Dati[[#This Row],[Inv. Business]:[Inv. Cryptocurrency]]))</f>
        <v xml:space="preserve"> </v>
      </c>
      <c r="AJ1278" s="59"/>
      <c r="AK1278" s="59" t="str">
        <f>IF(SUM(Dati[[#This Row],[Inv. Gold]:[Mutuo]])=0," ",SUM(Dati[[#This Row],[Inv. Gold]:[Mutuo]]))</f>
        <v xml:space="preserve"> </v>
      </c>
      <c r="AL1278" s="59"/>
      <c r="AM1278" s="59"/>
    </row>
    <row r="1279" spans="2:39" x14ac:dyDescent="0.35">
      <c r="B1279" s="237">
        <f t="shared" si="91"/>
        <v>1242</v>
      </c>
      <c r="C1279" s="49">
        <f t="shared" si="85"/>
        <v>45850</v>
      </c>
      <c r="D1279" s="29">
        <f>DAY(Dati[[#This Row],[Data]])</f>
        <v>12</v>
      </c>
      <c r="E1279" s="29" t="str">
        <f>IF(DAY(Data!$C$21:$C$1327)&gt;0,TEXT(Data!$C$21:$C$1327, "mmmm"),"")</f>
        <v>luglio</v>
      </c>
      <c r="F1279" s="29" t="str">
        <f>IF(DAY(Data!$C$21:$C$1327)&gt;0,TEXT(Data!$C$21:$C$1327, "aaaa"),"")</f>
        <v>2025</v>
      </c>
      <c r="I1279" t="str">
        <f>IF(OR(H1279=$B$5,H1279=$B$6,H1279=$B$7,H1279=$B$8,H1279=$B$9,H1279=$B$10,H1279=$B$11,H1279=$B$12,H1279=$B$13,H1279=$B$14),SottocategorieUscite[[#Headers],[Fuori Casa]],IF(OR(H1279=$C$5,H1279=$C$6,H1279=$C$7,H1279=$C$8,H1279=$C$9,H1279=$C$10,H1279=$C$11,H1279=$C$12,H1279=$C$13,H1279=$C$14),SottocategorieUscite[[#Headers],[Varie Uscite]],IF(OR(H1279=$D$5,H1279=$D$6,H1279=$D$7,H1279=$D$8,H1279=$D$9,H1279=$D$10,H1279=$D$11,H1279=$D$12,H1279=$D$13,H1279=$D$14),SottocategorieUscite[[#Headers],[Personali]],IF(OR(H1279=$E$5,H1279=$E$6,H1279=$E$7,H1279=$E$8,H1279=$E$9,H1279=$E$10,H1279=$E$11,H1279=$E$12,H1279=$E$13,H1279=$E$14),SottocategorieUscite[[#Headers],[Lavoro]],IF(OR(H1279=$F$5,H1279=$F$6,H1279=$F$7,H1279=$F$8,H1279=$F$9,H1279=$F$10,H1279=$F$11,H1279=$F$12,H1279=$F$13,H1279=$F$14),SottocategorieUscite[[#Headers],[Casa]],IF(OR(H1279=$G$5,H1279=$G$6,H1279=$G$7,H1279=$G$8,H1279=$G$9,H1279=$G$10,H1279=$G$11,H1279=$G$12,H1279=$G$13,H1279=$G$14),SottocategorieUscite[[#Headers],[Utenze]],IF(OR(H1279=$H$5,H1279=$H$6,H1279=$H$7,H1279=$H$8,H1279=$H$9,H1279=$H$10,H1279=$H$11,H1279=$H$12,H1279=$H$13,H1279=$H$14),SottocategorieUscite[[#Headers],[Business Uscite]],IF(OR(H1279=$I$5,H1279=$I$6,H1279=$I$7,H1279=$I$8,H1279=$I$9,H1279=$I$10,H1279=$I$11,H1279=$I$12,H1279=$I$13,H1279=$I$14),SottocategorieUscite[[#Headers],[Banca]],IF(OR(H1279=K$5,H1279=K$6,H1279=K$7,H1279=K$8,H1279=K$9,H1279=K$10,H1279=K$11,H1279=K$12,H1279=K$13,H1279=K$14),SottocategorieEntrate[[#Headers],[Business Entrate]],IF(OR(H1279=L$5,H1279=L$6,H1279=L$7,H1279=L$8,H1279=L$9,H1279=L$10,H1279=L$11,H1279=L$12,H1279=L$13,H1279=L$14),SottocategorieEntrate[[#Headers],[Varie Entrate]],IF(OR(H1279=M$5,H1279=M$6,H1279=M$7,H1279=M$8,H1279=M$9,H1279=M$10,H1279=M$11,H1279=M$12,H1279=M$13,H1279=M$14),SottocategorieEntrate[[#Headers],[Real Estate]],IF(OR(H1279=N$5,H1279=N$6,H1279=N$7,H1279=N$8,H1279=N$9,H1279=N$10,H1279=N$11,H1279=N$12,H1279=N$13,H1279=N$14),SottocategorieEntrate[[#Headers],[Other]],""))))))))))))</f>
        <v/>
      </c>
      <c r="J1279" t="str">
        <f>IF(OR(Dati[[#This Row],[Categoria]]="Bollette",Dati[[#This Row],[Categoria]]="Conto &amp; Carte BNL",Dati[[#This Row],[Categoria]]="Prelievo",Dati[[#This Row],[Categoria]]="Affitto",Dati[[#This Row],[Categoria]]="BNL(Interessi Creditori)"),"Carta",IF(Dati[[#This Row],[Categoria]]&lt;&gt;0,"Cash",""))</f>
        <v/>
      </c>
      <c r="K1279" s="59" t="str">
        <f>IF(OR(Data!$I1279=SottocategorieUscite[[#Headers],[Fuori Casa]],Data!$I1279=SottocategorieUscite[[#Headers],[Varie Uscite]],Data!$I1279=SottocategorieUscite[[#Headers],[Personali]],Data!$I1279=SottocategorieUscite[[#Headers],[Lavoro]]),"$ -","")</f>
        <v/>
      </c>
      <c r="L1279" s="59" t="str">
        <f>IF(OR(Data!$I1279=SottocategorieUscite[[#Headers],[Casa]],Data!$I1279=SottocategorieUscite[[#Headers],[Utenze]],Data!$I1279=SottocategorieUscite[[#Headers],[Business Uscite]],Data!$I1279=SottocategorieUscite[[#Headers],[Banca]]),"$ -","")</f>
        <v/>
      </c>
      <c r="M1279" s="59" t="str">
        <f>IF(OR($I1279&lt;&gt;SottocategorieUscite[[#Headers],[Fuori Casa]],$I1279&lt;&gt;SottocategorieUscite[[#Headers],[Varie Uscite]],$I1279&lt;&gt;SottocategorieUscite[[#Headers],[Personali]],$I1279&lt;&gt;SottocategorieUscite[[#Headers],[Lavoro]],$I1279&lt;&gt;SottocategorieUscite[[#Headers],[Casa]],$I1279&lt;&gt;SottocategorieUscite[[#Headers],[Utenze]],$I1279&lt;&gt;SottocategorieUscite[[#Headers],[Business Uscite]],$I1279&lt;&gt;SottocategorieUscite[[#Headers],[Banca]]),"","$ -")</f>
        <v/>
      </c>
      <c r="N1279" s="59" t="str">
        <f>IF(OR(Data!$I1279=SottocategorieEntrate[[#Headers],[Business Entrate]],Data!$I1279=SottocategorieEntrate[[#Headers],[Varie Entrate]]),"$ -","")</f>
        <v/>
      </c>
      <c r="O1279" s="59" t="str">
        <f>IF(OR(Data!$I1279=SottocategorieEntrate[[#Headers],[Real Estate]],SottocategorieEntrate[[#Headers],[Other]]),"$ -","")</f>
        <v/>
      </c>
      <c r="P1279" s="59" t="str">
        <f>IF(OR($I1279&lt;&gt;SottocategorieEntrate[[#Headers],[Business Entrate]],$I1279&lt;&gt;SottocategorieEntrate[[#Headers],[Varie Entrate]],$I1279&lt;&gt;SottocategorieEntrate[[#Headers],[Real Estate]],$I1279&lt;&gt;SottocategorieEntrate[[#Headers],[Other]]),"","$ -")</f>
        <v/>
      </c>
      <c r="Q1279" s="59" t="str">
        <f>IF(Dati[[#This Row],[Categoria]]="Prelievo","€ -","")</f>
        <v/>
      </c>
      <c r="R1279" s="244"/>
      <c r="S1279" s="59" t="str">
        <f>IF(Dati[[#This Row],[Categoria]]="Savings",0,"")</f>
        <v/>
      </c>
      <c r="T1279" s="59"/>
      <c r="U1279" s="59"/>
      <c r="V1279" s="59"/>
      <c r="W1279" s="59"/>
      <c r="X1279" s="59"/>
      <c r="Y1279" s="59"/>
      <c r="Z1279" s="59"/>
      <c r="AA1279" s="59"/>
      <c r="AB1279" s="59"/>
      <c r="AC1279" s="59"/>
      <c r="AD1279" s="59"/>
      <c r="AE1279" s="59"/>
      <c r="AF1279" s="59"/>
      <c r="AG1279" s="59"/>
      <c r="AH1279" s="59"/>
      <c r="AI1279" s="59" t="str">
        <f>IF(SUM(Dati[[#This Row],[Inv. Business]:[Inv. Cryptocurrency]])=0," ",SUM(Dati[[#This Row],[Inv. Business]:[Inv. Cryptocurrency]]))</f>
        <v xml:space="preserve"> </v>
      </c>
      <c r="AJ1279" s="59"/>
      <c r="AK1279" s="59" t="str">
        <f>IF(SUM(Dati[[#This Row],[Inv. Gold]:[Mutuo]])=0," ",SUM(Dati[[#This Row],[Inv. Gold]:[Mutuo]]))</f>
        <v xml:space="preserve"> </v>
      </c>
      <c r="AL1279" s="59"/>
      <c r="AM1279" s="59"/>
    </row>
    <row r="1280" spans="2:39" x14ac:dyDescent="0.35">
      <c r="B1280" s="237">
        <f t="shared" si="91"/>
        <v>1243</v>
      </c>
      <c r="C1280" s="49">
        <f t="shared" si="85"/>
        <v>45851</v>
      </c>
      <c r="D1280" s="29">
        <f>DAY(Dati[[#This Row],[Data]])</f>
        <v>13</v>
      </c>
      <c r="E1280" s="29" t="str">
        <f>IF(DAY(Data!$C$21:$C$1327)&gt;0,TEXT(Data!$C$21:$C$1327, "mmmm"),"")</f>
        <v>luglio</v>
      </c>
      <c r="F1280" s="29" t="str">
        <f>IF(DAY(Data!$C$21:$C$1327)&gt;0,TEXT(Data!$C$21:$C$1327, "aaaa"),"")</f>
        <v>2025</v>
      </c>
      <c r="I1280" t="str">
        <f>IF(OR(H1280=$B$5,H1280=$B$6,H1280=$B$7,H1280=$B$8,H1280=$B$9,H1280=$B$10,H1280=$B$11,H1280=$B$12,H1280=$B$13,H1280=$B$14),SottocategorieUscite[[#Headers],[Fuori Casa]],IF(OR(H1280=$C$5,H1280=$C$6,H1280=$C$7,H1280=$C$8,H1280=$C$9,H1280=$C$10,H1280=$C$11,H1280=$C$12,H1280=$C$13,H1280=$C$14),SottocategorieUscite[[#Headers],[Varie Uscite]],IF(OR(H1280=$D$5,H1280=$D$6,H1280=$D$7,H1280=$D$8,H1280=$D$9,H1280=$D$10,H1280=$D$11,H1280=$D$12,H1280=$D$13,H1280=$D$14),SottocategorieUscite[[#Headers],[Personali]],IF(OR(H1280=$E$5,H1280=$E$6,H1280=$E$7,H1280=$E$8,H1280=$E$9,H1280=$E$10,H1280=$E$11,H1280=$E$12,H1280=$E$13,H1280=$E$14),SottocategorieUscite[[#Headers],[Lavoro]],IF(OR(H1280=$F$5,H1280=$F$6,H1280=$F$7,H1280=$F$8,H1280=$F$9,H1280=$F$10,H1280=$F$11,H1280=$F$12,H1280=$F$13,H1280=$F$14),SottocategorieUscite[[#Headers],[Casa]],IF(OR(H1280=$G$5,H1280=$G$6,H1280=$G$7,H1280=$G$8,H1280=$G$9,H1280=$G$10,H1280=$G$11,H1280=$G$12,H1280=$G$13,H1280=$G$14),SottocategorieUscite[[#Headers],[Utenze]],IF(OR(H1280=$H$5,H1280=$H$6,H1280=$H$7,H1280=$H$8,H1280=$H$9,H1280=$H$10,H1280=$H$11,H1280=$H$12,H1280=$H$13,H1280=$H$14),SottocategorieUscite[[#Headers],[Business Uscite]],IF(OR(H1280=$I$5,H1280=$I$6,H1280=$I$7,H1280=$I$8,H1280=$I$9,H1280=$I$10,H1280=$I$11,H1280=$I$12,H1280=$I$13,H1280=$I$14),SottocategorieUscite[[#Headers],[Banca]],IF(OR(H1280=K$5,H1280=K$6,H1280=K$7,H1280=K$8,H1280=K$9,H1280=K$10,H1280=K$11,H1280=K$12,H1280=K$13,H1280=K$14),SottocategorieEntrate[[#Headers],[Business Entrate]],IF(OR(H1280=L$5,H1280=L$6,H1280=L$7,H1280=L$8,H1280=L$9,H1280=L$10,H1280=L$11,H1280=L$12,H1280=L$13,H1280=L$14),SottocategorieEntrate[[#Headers],[Varie Entrate]],IF(OR(H1280=M$5,H1280=M$6,H1280=M$7,H1280=M$8,H1280=M$9,H1280=M$10,H1280=M$11,H1280=M$12,H1280=M$13,H1280=M$14),SottocategorieEntrate[[#Headers],[Real Estate]],IF(OR(H1280=N$5,H1280=N$6,H1280=N$7,H1280=N$8,H1280=N$9,H1280=N$10,H1280=N$11,H1280=N$12,H1280=N$13,H1280=N$14),SottocategorieEntrate[[#Headers],[Other]],""))))))))))))</f>
        <v/>
      </c>
      <c r="J1280" t="str">
        <f>IF(OR(Dati[[#This Row],[Categoria]]="Bollette",Dati[[#This Row],[Categoria]]="Conto &amp; Carte BNL",Dati[[#This Row],[Categoria]]="Prelievo",Dati[[#This Row],[Categoria]]="Affitto",Dati[[#This Row],[Categoria]]="BNL(Interessi Creditori)"),"Carta",IF(Dati[[#This Row],[Categoria]]&lt;&gt;0,"Cash",""))</f>
        <v/>
      </c>
      <c r="K1280" s="59" t="str">
        <f>IF(OR(Data!$I1280=SottocategorieUscite[[#Headers],[Fuori Casa]],Data!$I1280=SottocategorieUscite[[#Headers],[Varie Uscite]],Data!$I1280=SottocategorieUscite[[#Headers],[Personali]],Data!$I1280=SottocategorieUscite[[#Headers],[Lavoro]]),"$ -","")</f>
        <v/>
      </c>
      <c r="L1280" s="59" t="str">
        <f>IF(OR(Data!$I1280=SottocategorieUscite[[#Headers],[Casa]],Data!$I1280=SottocategorieUscite[[#Headers],[Utenze]],Data!$I1280=SottocategorieUscite[[#Headers],[Business Uscite]],Data!$I1280=SottocategorieUscite[[#Headers],[Banca]]),"$ -","")</f>
        <v/>
      </c>
      <c r="M1280" s="59" t="str">
        <f>IF(OR($I1280&lt;&gt;SottocategorieUscite[[#Headers],[Fuori Casa]],$I1280&lt;&gt;SottocategorieUscite[[#Headers],[Varie Uscite]],$I1280&lt;&gt;SottocategorieUscite[[#Headers],[Personali]],$I1280&lt;&gt;SottocategorieUscite[[#Headers],[Lavoro]],$I1280&lt;&gt;SottocategorieUscite[[#Headers],[Casa]],$I1280&lt;&gt;SottocategorieUscite[[#Headers],[Utenze]],$I1280&lt;&gt;SottocategorieUscite[[#Headers],[Business Uscite]],$I1280&lt;&gt;SottocategorieUscite[[#Headers],[Banca]]),"","$ -")</f>
        <v/>
      </c>
      <c r="N1280" s="59" t="str">
        <f>IF(OR(Data!$I1280=SottocategorieEntrate[[#Headers],[Business Entrate]],Data!$I1280=SottocategorieEntrate[[#Headers],[Varie Entrate]]),"$ -","")</f>
        <v/>
      </c>
      <c r="O1280" s="59" t="str">
        <f>IF(OR(Data!$I1280=SottocategorieEntrate[[#Headers],[Real Estate]],SottocategorieEntrate[[#Headers],[Other]]),"$ -","")</f>
        <v/>
      </c>
      <c r="P1280" s="59" t="str">
        <f>IF(OR($I1280&lt;&gt;SottocategorieEntrate[[#Headers],[Business Entrate]],$I1280&lt;&gt;SottocategorieEntrate[[#Headers],[Varie Entrate]],$I1280&lt;&gt;SottocategorieEntrate[[#Headers],[Real Estate]],$I1280&lt;&gt;SottocategorieEntrate[[#Headers],[Other]]),"","$ -")</f>
        <v/>
      </c>
      <c r="Q1280" s="59" t="str">
        <f>IF(Dati[[#This Row],[Categoria]]="Prelievo","€ -","")</f>
        <v/>
      </c>
      <c r="R1280" s="244"/>
      <c r="S1280" s="59" t="str">
        <f>IF(Dati[[#This Row],[Categoria]]="Savings",0,"")</f>
        <v/>
      </c>
      <c r="T1280" s="59"/>
      <c r="U1280" s="59"/>
      <c r="V1280" s="59"/>
      <c r="W1280" s="59"/>
      <c r="X1280" s="59"/>
      <c r="Y1280" s="59"/>
      <c r="Z1280" s="59"/>
      <c r="AA1280" s="59"/>
      <c r="AB1280" s="59"/>
      <c r="AC1280" s="59"/>
      <c r="AD1280" s="59"/>
      <c r="AE1280" s="59"/>
      <c r="AF1280" s="59"/>
      <c r="AG1280" s="59"/>
      <c r="AH1280" s="59"/>
      <c r="AI1280" s="59" t="str">
        <f>IF(SUM(Dati[[#This Row],[Inv. Business]:[Inv. Cryptocurrency]])=0," ",SUM(Dati[[#This Row],[Inv. Business]:[Inv. Cryptocurrency]]))</f>
        <v xml:space="preserve"> </v>
      </c>
      <c r="AJ1280" s="59"/>
      <c r="AK1280" s="59" t="str">
        <f>IF(SUM(Dati[[#This Row],[Inv. Gold]:[Mutuo]])=0," ",SUM(Dati[[#This Row],[Inv. Gold]:[Mutuo]]))</f>
        <v xml:space="preserve"> </v>
      </c>
      <c r="AL1280" s="59"/>
      <c r="AM1280" s="59"/>
    </row>
    <row r="1281" spans="2:39" x14ac:dyDescent="0.35">
      <c r="B1281" s="237">
        <f t="shared" si="91"/>
        <v>1244</v>
      </c>
      <c r="C1281" s="49">
        <f t="shared" si="85"/>
        <v>45852</v>
      </c>
      <c r="D1281" s="29">
        <f>DAY(Dati[[#This Row],[Data]])</f>
        <v>14</v>
      </c>
      <c r="E1281" s="29" t="str">
        <f>IF(DAY(Data!$C$21:$C$1327)&gt;0,TEXT(Data!$C$21:$C$1327, "mmmm"),"")</f>
        <v>luglio</v>
      </c>
      <c r="F1281" s="29" t="str">
        <f>IF(DAY(Data!$C$21:$C$1327)&gt;0,TEXT(Data!$C$21:$C$1327, "aaaa"),"")</f>
        <v>2025</v>
      </c>
      <c r="I1281" t="str">
        <f>IF(OR(H1281=$B$5,H1281=$B$6,H1281=$B$7,H1281=$B$8,H1281=$B$9,H1281=$B$10,H1281=$B$11,H1281=$B$12,H1281=$B$13,H1281=$B$14),SottocategorieUscite[[#Headers],[Fuori Casa]],IF(OR(H1281=$C$5,H1281=$C$6,H1281=$C$7,H1281=$C$8,H1281=$C$9,H1281=$C$10,H1281=$C$11,H1281=$C$12,H1281=$C$13,H1281=$C$14),SottocategorieUscite[[#Headers],[Varie Uscite]],IF(OR(H1281=$D$5,H1281=$D$6,H1281=$D$7,H1281=$D$8,H1281=$D$9,H1281=$D$10,H1281=$D$11,H1281=$D$12,H1281=$D$13,H1281=$D$14),SottocategorieUscite[[#Headers],[Personali]],IF(OR(H1281=$E$5,H1281=$E$6,H1281=$E$7,H1281=$E$8,H1281=$E$9,H1281=$E$10,H1281=$E$11,H1281=$E$12,H1281=$E$13,H1281=$E$14),SottocategorieUscite[[#Headers],[Lavoro]],IF(OR(H1281=$F$5,H1281=$F$6,H1281=$F$7,H1281=$F$8,H1281=$F$9,H1281=$F$10,H1281=$F$11,H1281=$F$12,H1281=$F$13,H1281=$F$14),SottocategorieUscite[[#Headers],[Casa]],IF(OR(H1281=$G$5,H1281=$G$6,H1281=$G$7,H1281=$G$8,H1281=$G$9,H1281=$G$10,H1281=$G$11,H1281=$G$12,H1281=$G$13,H1281=$G$14),SottocategorieUscite[[#Headers],[Utenze]],IF(OR(H1281=$H$5,H1281=$H$6,H1281=$H$7,H1281=$H$8,H1281=$H$9,H1281=$H$10,H1281=$H$11,H1281=$H$12,H1281=$H$13,H1281=$H$14),SottocategorieUscite[[#Headers],[Business Uscite]],IF(OR(H1281=$I$5,H1281=$I$6,H1281=$I$7,H1281=$I$8,H1281=$I$9,H1281=$I$10,H1281=$I$11,H1281=$I$12,H1281=$I$13,H1281=$I$14),SottocategorieUscite[[#Headers],[Banca]],IF(OR(H1281=K$5,H1281=K$6,H1281=K$7,H1281=K$8,H1281=K$9,H1281=K$10,H1281=K$11,H1281=K$12,H1281=K$13,H1281=K$14),SottocategorieEntrate[[#Headers],[Business Entrate]],IF(OR(H1281=L$5,H1281=L$6,H1281=L$7,H1281=L$8,H1281=L$9,H1281=L$10,H1281=L$11,H1281=L$12,H1281=L$13,H1281=L$14),SottocategorieEntrate[[#Headers],[Varie Entrate]],IF(OR(H1281=M$5,H1281=M$6,H1281=M$7,H1281=M$8,H1281=M$9,H1281=M$10,H1281=M$11,H1281=M$12,H1281=M$13,H1281=M$14),SottocategorieEntrate[[#Headers],[Real Estate]],IF(OR(H1281=N$5,H1281=N$6,H1281=N$7,H1281=N$8,H1281=N$9,H1281=N$10,H1281=N$11,H1281=N$12,H1281=N$13,H1281=N$14),SottocategorieEntrate[[#Headers],[Other]],""))))))))))))</f>
        <v/>
      </c>
      <c r="J1281" t="str">
        <f>IF(OR(Dati[[#This Row],[Categoria]]="Bollette",Dati[[#This Row],[Categoria]]="Conto &amp; Carte BNL",Dati[[#This Row],[Categoria]]="Prelievo",Dati[[#This Row],[Categoria]]="Affitto",Dati[[#This Row],[Categoria]]="BNL(Interessi Creditori)"),"Carta",IF(Dati[[#This Row],[Categoria]]&lt;&gt;0,"Cash",""))</f>
        <v/>
      </c>
      <c r="K1281" s="59" t="str">
        <f>IF(OR(Data!$I1281=SottocategorieUscite[[#Headers],[Fuori Casa]],Data!$I1281=SottocategorieUscite[[#Headers],[Varie Uscite]],Data!$I1281=SottocategorieUscite[[#Headers],[Personali]],Data!$I1281=SottocategorieUscite[[#Headers],[Lavoro]]),"$ -","")</f>
        <v/>
      </c>
      <c r="L1281" s="59" t="str">
        <f>IF(OR(Data!$I1281=SottocategorieUscite[[#Headers],[Casa]],Data!$I1281=SottocategorieUscite[[#Headers],[Utenze]],Data!$I1281=SottocategorieUscite[[#Headers],[Business Uscite]],Data!$I1281=SottocategorieUscite[[#Headers],[Banca]]),"$ -","")</f>
        <v/>
      </c>
      <c r="M1281" s="59" t="str">
        <f>IF(OR($I1281&lt;&gt;SottocategorieUscite[[#Headers],[Fuori Casa]],$I1281&lt;&gt;SottocategorieUscite[[#Headers],[Varie Uscite]],$I1281&lt;&gt;SottocategorieUscite[[#Headers],[Personali]],$I1281&lt;&gt;SottocategorieUscite[[#Headers],[Lavoro]],$I1281&lt;&gt;SottocategorieUscite[[#Headers],[Casa]],$I1281&lt;&gt;SottocategorieUscite[[#Headers],[Utenze]],$I1281&lt;&gt;SottocategorieUscite[[#Headers],[Business Uscite]],$I1281&lt;&gt;SottocategorieUscite[[#Headers],[Banca]]),"","$ -")</f>
        <v/>
      </c>
      <c r="N1281" s="59" t="str">
        <f>IF(OR(Data!$I1281=SottocategorieEntrate[[#Headers],[Business Entrate]],Data!$I1281=SottocategorieEntrate[[#Headers],[Varie Entrate]]),"$ -","")</f>
        <v/>
      </c>
      <c r="O1281" s="59" t="str">
        <f>IF(OR(Data!$I1281=SottocategorieEntrate[[#Headers],[Real Estate]],SottocategorieEntrate[[#Headers],[Other]]),"$ -","")</f>
        <v/>
      </c>
      <c r="P1281" s="59" t="str">
        <f>IF(OR($I1281&lt;&gt;SottocategorieEntrate[[#Headers],[Business Entrate]],$I1281&lt;&gt;SottocategorieEntrate[[#Headers],[Varie Entrate]],$I1281&lt;&gt;SottocategorieEntrate[[#Headers],[Real Estate]],$I1281&lt;&gt;SottocategorieEntrate[[#Headers],[Other]]),"","$ -")</f>
        <v/>
      </c>
      <c r="Q1281" s="59" t="str">
        <f>IF(Dati[[#This Row],[Categoria]]="Prelievo","€ -","")</f>
        <v/>
      </c>
      <c r="R1281" s="244"/>
      <c r="S1281" s="59" t="str">
        <f>IF(Dati[[#This Row],[Categoria]]="Savings",0,"")</f>
        <v/>
      </c>
      <c r="T1281" s="59"/>
      <c r="U1281" s="59"/>
      <c r="V1281" s="59"/>
      <c r="W1281" s="59"/>
      <c r="X1281" s="59"/>
      <c r="Y1281" s="59"/>
      <c r="Z1281" s="59"/>
      <c r="AA1281" s="59"/>
      <c r="AB1281" s="59"/>
      <c r="AC1281" s="59"/>
      <c r="AD1281" s="59"/>
      <c r="AE1281" s="59"/>
      <c r="AF1281" s="59"/>
      <c r="AG1281" s="59"/>
      <c r="AH1281" s="59"/>
      <c r="AI1281" s="59" t="str">
        <f>IF(SUM(Dati[[#This Row],[Inv. Business]:[Inv. Cryptocurrency]])=0," ",SUM(Dati[[#This Row],[Inv. Business]:[Inv. Cryptocurrency]]))</f>
        <v xml:space="preserve"> </v>
      </c>
      <c r="AJ1281" s="59"/>
      <c r="AK1281" s="59" t="str">
        <f>IF(SUM(Dati[[#This Row],[Inv. Gold]:[Mutuo]])=0," ",SUM(Dati[[#This Row],[Inv. Gold]:[Mutuo]]))</f>
        <v xml:space="preserve"> </v>
      </c>
      <c r="AL1281" s="59"/>
      <c r="AM1281" s="59"/>
    </row>
    <row r="1282" spans="2:39" x14ac:dyDescent="0.35">
      <c r="B1282" s="237">
        <f t="shared" si="91"/>
        <v>1245</v>
      </c>
      <c r="C1282" s="49">
        <f t="shared" ref="C1282" si="92">C1281+1</f>
        <v>45853</v>
      </c>
      <c r="D1282" s="29">
        <f>DAY(Dati[[#This Row],[Data]])</f>
        <v>15</v>
      </c>
      <c r="E1282" s="29" t="str">
        <f>IF(DAY(Data!$C$21:$C$1327)&gt;0,TEXT(Data!$C$21:$C$1327, "mmmm"),"")</f>
        <v>luglio</v>
      </c>
      <c r="F1282" s="29" t="str">
        <f>IF(DAY(Data!$C$21:$C$1327)&gt;0,TEXT(Data!$C$21:$C$1327, "aaaa"),"")</f>
        <v>2025</v>
      </c>
      <c r="I1282" t="str">
        <f>IF(OR(H1282=$B$5,H1282=$B$6,H1282=$B$7,H1282=$B$8,H1282=$B$9,H1282=$B$10,H1282=$B$11,H1282=$B$12,H1282=$B$13,H1282=$B$14),SottocategorieUscite[[#Headers],[Fuori Casa]],IF(OR(H1282=$C$5,H1282=$C$6,H1282=$C$7,H1282=$C$8,H1282=$C$9,H1282=$C$10,H1282=$C$11,H1282=$C$12,H1282=$C$13,H1282=$C$14),SottocategorieUscite[[#Headers],[Varie Uscite]],IF(OR(H1282=$D$5,H1282=$D$6,H1282=$D$7,H1282=$D$8,H1282=$D$9,H1282=$D$10,H1282=$D$11,H1282=$D$12,H1282=$D$13,H1282=$D$14),SottocategorieUscite[[#Headers],[Personali]],IF(OR(H1282=$E$5,H1282=$E$6,H1282=$E$7,H1282=$E$8,H1282=$E$9,H1282=$E$10,H1282=$E$11,H1282=$E$12,H1282=$E$13,H1282=$E$14),SottocategorieUscite[[#Headers],[Lavoro]],IF(OR(H1282=$F$5,H1282=$F$6,H1282=$F$7,H1282=$F$8,H1282=$F$9,H1282=$F$10,H1282=$F$11,H1282=$F$12,H1282=$F$13,H1282=$F$14),SottocategorieUscite[[#Headers],[Casa]],IF(OR(H1282=$G$5,H1282=$G$6,H1282=$G$7,H1282=$G$8,H1282=$G$9,H1282=$G$10,H1282=$G$11,H1282=$G$12,H1282=$G$13,H1282=$G$14),SottocategorieUscite[[#Headers],[Utenze]],IF(OR(H1282=$H$5,H1282=$H$6,H1282=$H$7,H1282=$H$8,H1282=$H$9,H1282=$H$10,H1282=$H$11,H1282=$H$12,H1282=$H$13,H1282=$H$14),SottocategorieUscite[[#Headers],[Business Uscite]],IF(OR(H1282=$I$5,H1282=$I$6,H1282=$I$7,H1282=$I$8,H1282=$I$9,H1282=$I$10,H1282=$I$11,H1282=$I$12,H1282=$I$13,H1282=$I$14),SottocategorieUscite[[#Headers],[Banca]],IF(OR(H1282=K$5,H1282=K$6,H1282=K$7,H1282=K$8,H1282=K$9,H1282=K$10,H1282=K$11,H1282=K$12,H1282=K$13,H1282=K$14),SottocategorieEntrate[[#Headers],[Business Entrate]],IF(OR(H1282=L$5,H1282=L$6,H1282=L$7,H1282=L$8,H1282=L$9,H1282=L$10,H1282=L$11,H1282=L$12,H1282=L$13,H1282=L$14),SottocategorieEntrate[[#Headers],[Varie Entrate]],IF(OR(H1282=M$5,H1282=M$6,H1282=M$7,H1282=M$8,H1282=M$9,H1282=M$10,H1282=M$11,H1282=M$12,H1282=M$13,H1282=M$14),SottocategorieEntrate[[#Headers],[Real Estate]],IF(OR(H1282=N$5,H1282=N$6,H1282=N$7,H1282=N$8,H1282=N$9,H1282=N$10,H1282=N$11,H1282=N$12,H1282=N$13,H1282=N$14),SottocategorieEntrate[[#Headers],[Other]],""))))))))))))</f>
        <v/>
      </c>
      <c r="J1282" t="str">
        <f>IF(OR(Dati[[#This Row],[Categoria]]="Bollette",Dati[[#This Row],[Categoria]]="Conto &amp; Carte BNL",Dati[[#This Row],[Categoria]]="Prelievo",Dati[[#This Row],[Categoria]]="Affitto",Dati[[#This Row],[Categoria]]="BNL(Interessi Creditori)"),"Carta",IF(Dati[[#This Row],[Categoria]]&lt;&gt;0,"Cash",""))</f>
        <v/>
      </c>
      <c r="K1282" s="59" t="str">
        <f>IF(OR(Data!$I1282=SottocategorieUscite[[#Headers],[Fuori Casa]],Data!$I1282=SottocategorieUscite[[#Headers],[Varie Uscite]],Data!$I1282=SottocategorieUscite[[#Headers],[Personali]],Data!$I1282=SottocategorieUscite[[#Headers],[Lavoro]]),"$ -","")</f>
        <v/>
      </c>
      <c r="L1282" s="59" t="str">
        <f>IF(OR(Data!$I1282=SottocategorieUscite[[#Headers],[Casa]],Data!$I1282=SottocategorieUscite[[#Headers],[Utenze]],Data!$I1282=SottocategorieUscite[[#Headers],[Business Uscite]],Data!$I1282=SottocategorieUscite[[#Headers],[Banca]]),"$ -","")</f>
        <v/>
      </c>
      <c r="M1282" s="59" t="str">
        <f>IF(OR($I1282&lt;&gt;SottocategorieUscite[[#Headers],[Fuori Casa]],$I1282&lt;&gt;SottocategorieUscite[[#Headers],[Varie Uscite]],$I1282&lt;&gt;SottocategorieUscite[[#Headers],[Personali]],$I1282&lt;&gt;SottocategorieUscite[[#Headers],[Lavoro]],$I1282&lt;&gt;SottocategorieUscite[[#Headers],[Casa]],$I1282&lt;&gt;SottocategorieUscite[[#Headers],[Utenze]],$I1282&lt;&gt;SottocategorieUscite[[#Headers],[Business Uscite]],$I1282&lt;&gt;SottocategorieUscite[[#Headers],[Banca]]),"","$ -")</f>
        <v/>
      </c>
      <c r="N1282" s="59" t="str">
        <f>IF(OR(Data!$I1282=SottocategorieEntrate[[#Headers],[Business Entrate]],Data!$I1282=SottocategorieEntrate[[#Headers],[Varie Entrate]]),"$ -","")</f>
        <v/>
      </c>
      <c r="O1282" s="59" t="str">
        <f>IF(OR(Data!$I1282=SottocategorieEntrate[[#Headers],[Real Estate]],SottocategorieEntrate[[#Headers],[Other]]),"$ -","")</f>
        <v/>
      </c>
      <c r="P1282" s="59" t="str">
        <f>IF(OR($I1282&lt;&gt;SottocategorieEntrate[[#Headers],[Business Entrate]],$I1282&lt;&gt;SottocategorieEntrate[[#Headers],[Varie Entrate]],$I1282&lt;&gt;SottocategorieEntrate[[#Headers],[Real Estate]],$I1282&lt;&gt;SottocategorieEntrate[[#Headers],[Other]]),"","$ -")</f>
        <v/>
      </c>
      <c r="Q1282" s="59" t="str">
        <f>IF(Dati[[#This Row],[Categoria]]="Prelievo","€ -","")</f>
        <v/>
      </c>
      <c r="R1282" s="244"/>
      <c r="S1282" s="59" t="str">
        <f>IF(Dati[[#This Row],[Categoria]]="Savings",0,"")</f>
        <v/>
      </c>
      <c r="T1282" s="59"/>
      <c r="U1282" s="59"/>
      <c r="V1282" s="59"/>
      <c r="W1282" s="59"/>
      <c r="X1282" s="59"/>
      <c r="Y1282" s="59"/>
      <c r="Z1282" s="59"/>
      <c r="AA1282" s="59"/>
      <c r="AB1282" s="59"/>
      <c r="AC1282" s="59"/>
      <c r="AD1282" s="59"/>
      <c r="AE1282" s="59"/>
      <c r="AF1282" s="59"/>
      <c r="AG1282" s="59"/>
      <c r="AH1282" s="59"/>
      <c r="AI1282" s="59" t="str">
        <f>IF(SUM(Dati[[#This Row],[Inv. Business]:[Inv. Cryptocurrency]])=0," ",SUM(Dati[[#This Row],[Inv. Business]:[Inv. Cryptocurrency]]))</f>
        <v xml:space="preserve"> </v>
      </c>
      <c r="AJ1282" s="59"/>
      <c r="AK1282" s="59" t="str">
        <f>IF(SUM(Dati[[#This Row],[Inv. Gold]:[Mutuo]])=0," ",SUM(Dati[[#This Row],[Inv. Gold]:[Mutuo]]))</f>
        <v xml:space="preserve"> </v>
      </c>
      <c r="AL1282" s="59"/>
      <c r="AM1282" s="59"/>
    </row>
    <row r="1283" spans="2:39" x14ac:dyDescent="0.35">
      <c r="B1283" s="237">
        <f t="shared" si="91"/>
        <v>1246</v>
      </c>
      <c r="C1283" s="49">
        <f t="shared" si="85"/>
        <v>45854</v>
      </c>
      <c r="D1283" s="29">
        <f>DAY(Dati[[#This Row],[Data]])</f>
        <v>16</v>
      </c>
      <c r="E1283" s="29" t="str">
        <f>IF(DAY(Data!$C$21:$C$1327)&gt;0,TEXT(Data!$C$21:$C$1327, "mmmm"),"")</f>
        <v>luglio</v>
      </c>
      <c r="F1283" s="29" t="str">
        <f>IF(DAY(Data!$C$21:$C$1327)&gt;0,TEXT(Data!$C$21:$C$1327, "aaaa"),"")</f>
        <v>2025</v>
      </c>
      <c r="I1283" t="str">
        <f>IF(OR(H1283=$B$5,H1283=$B$6,H1283=$B$7,H1283=$B$8,H1283=$B$9,H1283=$B$10,H1283=$B$11,H1283=$B$12,H1283=$B$13,H1283=$B$14),SottocategorieUscite[[#Headers],[Fuori Casa]],IF(OR(H1283=$C$5,H1283=$C$6,H1283=$C$7,H1283=$C$8,H1283=$C$9,H1283=$C$10,H1283=$C$11,H1283=$C$12,H1283=$C$13,H1283=$C$14),SottocategorieUscite[[#Headers],[Varie Uscite]],IF(OR(H1283=$D$5,H1283=$D$6,H1283=$D$7,H1283=$D$8,H1283=$D$9,H1283=$D$10,H1283=$D$11,H1283=$D$12,H1283=$D$13,H1283=$D$14),SottocategorieUscite[[#Headers],[Personali]],IF(OR(H1283=$E$5,H1283=$E$6,H1283=$E$7,H1283=$E$8,H1283=$E$9,H1283=$E$10,H1283=$E$11,H1283=$E$12,H1283=$E$13,H1283=$E$14),SottocategorieUscite[[#Headers],[Lavoro]],IF(OR(H1283=$F$5,H1283=$F$6,H1283=$F$7,H1283=$F$8,H1283=$F$9,H1283=$F$10,H1283=$F$11,H1283=$F$12,H1283=$F$13,H1283=$F$14),SottocategorieUscite[[#Headers],[Casa]],IF(OR(H1283=$G$5,H1283=$G$6,H1283=$G$7,H1283=$G$8,H1283=$G$9,H1283=$G$10,H1283=$G$11,H1283=$G$12,H1283=$G$13,H1283=$G$14),SottocategorieUscite[[#Headers],[Utenze]],IF(OR(H1283=$H$5,H1283=$H$6,H1283=$H$7,H1283=$H$8,H1283=$H$9,H1283=$H$10,H1283=$H$11,H1283=$H$12,H1283=$H$13,H1283=$H$14),SottocategorieUscite[[#Headers],[Business Uscite]],IF(OR(H1283=$I$5,H1283=$I$6,H1283=$I$7,H1283=$I$8,H1283=$I$9,H1283=$I$10,H1283=$I$11,H1283=$I$12,H1283=$I$13,H1283=$I$14),SottocategorieUscite[[#Headers],[Banca]],IF(OR(H1283=K$5,H1283=K$6,H1283=K$7,H1283=K$8,H1283=K$9,H1283=K$10,H1283=K$11,H1283=K$12,H1283=K$13,H1283=K$14),SottocategorieEntrate[[#Headers],[Business Entrate]],IF(OR(H1283=L$5,H1283=L$6,H1283=L$7,H1283=L$8,H1283=L$9,H1283=L$10,H1283=L$11,H1283=L$12,H1283=L$13,H1283=L$14),SottocategorieEntrate[[#Headers],[Varie Entrate]],IF(OR(H1283=M$5,H1283=M$6,H1283=M$7,H1283=M$8,H1283=M$9,H1283=M$10,H1283=M$11,H1283=M$12,H1283=M$13,H1283=M$14),SottocategorieEntrate[[#Headers],[Real Estate]],IF(OR(H1283=N$5,H1283=N$6,H1283=N$7,H1283=N$8,H1283=N$9,H1283=N$10,H1283=N$11,H1283=N$12,H1283=N$13,H1283=N$14),SottocategorieEntrate[[#Headers],[Other]],""))))))))))))</f>
        <v/>
      </c>
      <c r="J1283" t="str">
        <f>IF(OR(Dati[[#This Row],[Categoria]]="Bollette",Dati[[#This Row],[Categoria]]="Conto &amp; Carte BNL",Dati[[#This Row],[Categoria]]="Prelievo",Dati[[#This Row],[Categoria]]="Affitto",Dati[[#This Row],[Categoria]]="BNL(Interessi Creditori)"),"Carta",IF(Dati[[#This Row],[Categoria]]&lt;&gt;0,"Cash",""))</f>
        <v/>
      </c>
      <c r="K1283" s="59" t="str">
        <f>IF(OR(Data!$I1283=SottocategorieUscite[[#Headers],[Fuori Casa]],Data!$I1283=SottocategorieUscite[[#Headers],[Varie Uscite]],Data!$I1283=SottocategorieUscite[[#Headers],[Personali]],Data!$I1283=SottocategorieUscite[[#Headers],[Lavoro]]),"$ -","")</f>
        <v/>
      </c>
      <c r="L1283" s="59" t="str">
        <f>IF(OR(Data!$I1283=SottocategorieUscite[[#Headers],[Casa]],Data!$I1283=SottocategorieUscite[[#Headers],[Utenze]],Data!$I1283=SottocategorieUscite[[#Headers],[Business Uscite]],Data!$I1283=SottocategorieUscite[[#Headers],[Banca]]),"$ -","")</f>
        <v/>
      </c>
      <c r="M1283" s="59" t="str">
        <f>IF(OR($I1283&lt;&gt;SottocategorieUscite[[#Headers],[Fuori Casa]],$I1283&lt;&gt;SottocategorieUscite[[#Headers],[Varie Uscite]],$I1283&lt;&gt;SottocategorieUscite[[#Headers],[Personali]],$I1283&lt;&gt;SottocategorieUscite[[#Headers],[Lavoro]],$I1283&lt;&gt;SottocategorieUscite[[#Headers],[Casa]],$I1283&lt;&gt;SottocategorieUscite[[#Headers],[Utenze]],$I1283&lt;&gt;SottocategorieUscite[[#Headers],[Business Uscite]],$I1283&lt;&gt;SottocategorieUscite[[#Headers],[Banca]]),"","$ -")</f>
        <v/>
      </c>
      <c r="N1283" s="59" t="str">
        <f>IF(OR(Data!$I1283=SottocategorieEntrate[[#Headers],[Business Entrate]],Data!$I1283=SottocategorieEntrate[[#Headers],[Varie Entrate]]),"$ -","")</f>
        <v/>
      </c>
      <c r="O1283" s="59" t="str">
        <f>IF(OR(Data!$I1283=SottocategorieEntrate[[#Headers],[Real Estate]],SottocategorieEntrate[[#Headers],[Other]]),"$ -","")</f>
        <v/>
      </c>
      <c r="P1283" s="59" t="str">
        <f>IF(OR($I1283&lt;&gt;SottocategorieEntrate[[#Headers],[Business Entrate]],$I1283&lt;&gt;SottocategorieEntrate[[#Headers],[Varie Entrate]],$I1283&lt;&gt;SottocategorieEntrate[[#Headers],[Real Estate]],$I1283&lt;&gt;SottocategorieEntrate[[#Headers],[Other]]),"","$ -")</f>
        <v/>
      </c>
      <c r="Q1283" s="59" t="str">
        <f>IF(Dati[[#This Row],[Categoria]]="Prelievo","€ -","")</f>
        <v/>
      </c>
      <c r="R1283" s="244"/>
      <c r="S1283" s="59" t="str">
        <f>IF(Dati[[#This Row],[Categoria]]="Savings",0,"")</f>
        <v/>
      </c>
      <c r="T1283" s="59"/>
      <c r="U1283" s="59"/>
      <c r="V1283" s="59"/>
      <c r="W1283" s="59"/>
      <c r="X1283" s="59"/>
      <c r="Y1283" s="59"/>
      <c r="Z1283" s="59"/>
      <c r="AA1283" s="59"/>
      <c r="AB1283" s="59"/>
      <c r="AC1283" s="59"/>
      <c r="AD1283" s="59"/>
      <c r="AE1283" s="59"/>
      <c r="AF1283" s="59"/>
      <c r="AG1283" s="59"/>
      <c r="AH1283" s="59"/>
      <c r="AI1283" s="59" t="str">
        <f>IF(SUM(Dati[[#This Row],[Inv. Business]:[Inv. Cryptocurrency]])=0," ",SUM(Dati[[#This Row],[Inv. Business]:[Inv. Cryptocurrency]]))</f>
        <v xml:space="preserve"> </v>
      </c>
      <c r="AJ1283" s="59"/>
      <c r="AK1283" s="59" t="str">
        <f>IF(SUM(Dati[[#This Row],[Inv. Gold]:[Mutuo]])=0," ",SUM(Dati[[#This Row],[Inv. Gold]:[Mutuo]]))</f>
        <v xml:space="preserve"> </v>
      </c>
      <c r="AL1283" s="59"/>
      <c r="AM1283" s="59"/>
    </row>
    <row r="1284" spans="2:39" x14ac:dyDescent="0.35">
      <c r="B1284" s="237">
        <f>ROW(1249:1249)</f>
        <v>1249</v>
      </c>
      <c r="C1284" s="49">
        <f>C1282+1</f>
        <v>45854</v>
      </c>
      <c r="D1284" s="29">
        <f>DAY(Dati[[#This Row],[Data]])</f>
        <v>16</v>
      </c>
      <c r="E1284" s="29" t="str">
        <f>IF(DAY(Data!$C$21:$C$1327)&gt;0,TEXT(Data!$C$21:$C$1327, "mmmm"),"")</f>
        <v>luglio</v>
      </c>
      <c r="F1284" s="29" t="str">
        <f>IF(DAY(Data!$C$21:$C$1327)&gt;0,TEXT(Data!$C$21:$C$1327, "aaaa"),"")</f>
        <v>2025</v>
      </c>
      <c r="I1284" t="str">
        <f>IF(OR(H1284=$B$5,H1284=$B$6,H1284=$B$7,H1284=$B$8,H1284=$B$9,H1284=$B$10,H1284=$B$11,H1284=$B$12,H1284=$B$13,H1284=$B$14),SottocategorieUscite[[#Headers],[Fuori Casa]],IF(OR(H1284=$C$5,H1284=$C$6,H1284=$C$7,H1284=$C$8,H1284=$C$9,H1284=$C$10,H1284=$C$11,H1284=$C$12,H1284=$C$13,H1284=$C$14),SottocategorieUscite[[#Headers],[Varie Uscite]],IF(OR(H1284=$D$5,H1284=$D$6,H1284=$D$7,H1284=$D$8,H1284=$D$9,H1284=$D$10,H1284=$D$11,H1284=$D$12,H1284=$D$13,H1284=$D$14),SottocategorieUscite[[#Headers],[Personali]],IF(OR(H1284=$E$5,H1284=$E$6,H1284=$E$7,H1284=$E$8,H1284=$E$9,H1284=$E$10,H1284=$E$11,H1284=$E$12,H1284=$E$13,H1284=$E$14),SottocategorieUscite[[#Headers],[Lavoro]],IF(OR(H1284=$F$5,H1284=$F$6,H1284=$F$7,H1284=$F$8,H1284=$F$9,H1284=$F$10,H1284=$F$11,H1284=$F$12,H1284=$F$13,H1284=$F$14),SottocategorieUscite[[#Headers],[Casa]],IF(OR(H1284=$G$5,H1284=$G$6,H1284=$G$7,H1284=$G$8,H1284=$G$9,H1284=$G$10,H1284=$G$11,H1284=$G$12,H1284=$G$13,H1284=$G$14),SottocategorieUscite[[#Headers],[Utenze]],IF(OR(H1284=$H$5,H1284=$H$6,H1284=$H$7,H1284=$H$8,H1284=$H$9,H1284=$H$10,H1284=$H$11,H1284=$H$12,H1284=$H$13,H1284=$H$14),SottocategorieUscite[[#Headers],[Business Uscite]],IF(OR(H1284=$I$5,H1284=$I$6,H1284=$I$7,H1284=$I$8,H1284=$I$9,H1284=$I$10,H1284=$I$11,H1284=$I$12,H1284=$I$13,H1284=$I$14),SottocategorieUscite[[#Headers],[Banca]],IF(OR(H1284=K$5,H1284=K$6,H1284=K$7,H1284=K$8,H1284=K$9,H1284=K$10,H1284=K$11,H1284=K$12,H1284=K$13,H1284=K$14),SottocategorieEntrate[[#Headers],[Business Entrate]],IF(OR(H1284=L$5,H1284=L$6,H1284=L$7,H1284=L$8,H1284=L$9,H1284=L$10,H1284=L$11,H1284=L$12,H1284=L$13,H1284=L$14),SottocategorieEntrate[[#Headers],[Varie Entrate]],IF(OR(H1284=M$5,H1284=M$6,H1284=M$7,H1284=M$8,H1284=M$9,H1284=M$10,H1284=M$11,H1284=M$12,H1284=M$13,H1284=M$14),SottocategorieEntrate[[#Headers],[Real Estate]],IF(OR(H1284=N$5,H1284=N$6,H1284=N$7,H1284=N$8,H1284=N$9,H1284=N$10,H1284=N$11,H1284=N$12,H1284=N$13,H1284=N$14),SottocategorieEntrate[[#Headers],[Other]],""))))))))))))</f>
        <v/>
      </c>
      <c r="J1284" t="str">
        <f>IF(OR(Dati[[#This Row],[Categoria]]="Bollette",Dati[[#This Row],[Categoria]]="Conto &amp; Carte BNL",Dati[[#This Row],[Categoria]]="Prelievo",Dati[[#This Row],[Categoria]]="Affitto",Dati[[#This Row],[Categoria]]="BNL(Interessi Creditori)"),"Carta",IF(Dati[[#This Row],[Categoria]]&lt;&gt;0,"Cash",""))</f>
        <v/>
      </c>
      <c r="K1284" s="59" t="str">
        <f>IF(OR(Data!$I1284=SottocategorieUscite[[#Headers],[Fuori Casa]],Data!$I1284=SottocategorieUscite[[#Headers],[Varie Uscite]],Data!$I1284=SottocategorieUscite[[#Headers],[Personali]],Data!$I1284=SottocategorieUscite[[#Headers],[Lavoro]]),"$ -","")</f>
        <v/>
      </c>
      <c r="L1284" s="59" t="str">
        <f>IF(OR(Data!$I1284=SottocategorieUscite[[#Headers],[Casa]],Data!$I1284=SottocategorieUscite[[#Headers],[Utenze]],Data!$I1284=SottocategorieUscite[[#Headers],[Business Uscite]],Data!$I1284=SottocategorieUscite[[#Headers],[Banca]]),"$ -","")</f>
        <v/>
      </c>
      <c r="M1284" s="59" t="str">
        <f>IF(OR($I1284&lt;&gt;SottocategorieUscite[[#Headers],[Fuori Casa]],$I1284&lt;&gt;SottocategorieUscite[[#Headers],[Varie Uscite]],$I1284&lt;&gt;SottocategorieUscite[[#Headers],[Personali]],$I1284&lt;&gt;SottocategorieUscite[[#Headers],[Lavoro]],$I1284&lt;&gt;SottocategorieUscite[[#Headers],[Casa]],$I1284&lt;&gt;SottocategorieUscite[[#Headers],[Utenze]],$I1284&lt;&gt;SottocategorieUscite[[#Headers],[Business Uscite]],$I1284&lt;&gt;SottocategorieUscite[[#Headers],[Banca]]),"","$ -")</f>
        <v/>
      </c>
      <c r="N1284" s="59" t="str">
        <f>IF(OR(Data!$I1284=SottocategorieEntrate[[#Headers],[Business Entrate]],Data!$I1284=SottocategorieEntrate[[#Headers],[Varie Entrate]]),"$ -","")</f>
        <v/>
      </c>
      <c r="O1284" s="59" t="str">
        <f>IF(OR(Data!$I1284=SottocategorieEntrate[[#Headers],[Real Estate]],SottocategorieEntrate[[#Headers],[Other]]),"$ -","")</f>
        <v/>
      </c>
      <c r="P1284" s="59" t="str">
        <f>IF(OR($I1284&lt;&gt;SottocategorieEntrate[[#Headers],[Business Entrate]],$I1284&lt;&gt;SottocategorieEntrate[[#Headers],[Varie Entrate]],$I1284&lt;&gt;SottocategorieEntrate[[#Headers],[Real Estate]],$I1284&lt;&gt;SottocategorieEntrate[[#Headers],[Other]]),"","$ -")</f>
        <v/>
      </c>
      <c r="Q1284" s="59" t="str">
        <f>IF(Dati[[#This Row],[Categoria]]="Prelievo","€ -","")</f>
        <v/>
      </c>
      <c r="R1284" s="244"/>
      <c r="S1284" s="59" t="str">
        <f>IF(Dati[[#This Row],[Categoria]]="Savings",0,"")</f>
        <v/>
      </c>
      <c r="T1284" s="59"/>
      <c r="U1284" s="59"/>
      <c r="V1284" s="59"/>
      <c r="W1284" s="59"/>
      <c r="X1284" s="59"/>
      <c r="Y1284" s="59"/>
      <c r="Z1284" s="59"/>
      <c r="AA1284" s="59"/>
      <c r="AB1284" s="59"/>
      <c r="AC1284" s="59"/>
      <c r="AD1284" s="59"/>
      <c r="AE1284" s="59"/>
      <c r="AF1284" s="59"/>
      <c r="AG1284" s="59"/>
      <c r="AH1284" s="59"/>
      <c r="AI1284" s="59" t="str">
        <f>IF(SUM(Dati[[#This Row],[Inv. Business]:[Inv. Cryptocurrency]])=0," ",SUM(Dati[[#This Row],[Inv. Business]:[Inv. Cryptocurrency]]))</f>
        <v xml:space="preserve"> </v>
      </c>
      <c r="AJ1284" s="59"/>
      <c r="AK1284" s="59" t="str">
        <f>IF(SUM(Dati[[#This Row],[Inv. Gold]:[Mutuo]])=0," ",SUM(Dati[[#This Row],[Inv. Gold]:[Mutuo]]))</f>
        <v xml:space="preserve"> </v>
      </c>
      <c r="AL1284" s="59"/>
      <c r="AM1284" s="59"/>
    </row>
    <row r="1285" spans="2:39" x14ac:dyDescent="0.35">
      <c r="B1285" s="237">
        <f>ROW(1250:1250)</f>
        <v>1250</v>
      </c>
      <c r="C1285" s="49">
        <f>C1283+1</f>
        <v>45855</v>
      </c>
      <c r="D1285" s="29">
        <f>DAY(Dati[[#This Row],[Data]])</f>
        <v>17</v>
      </c>
      <c r="E1285" s="29" t="str">
        <f>IF(DAY(Data!$C$21:$C$1327)&gt;0,TEXT(Data!$C$21:$C$1327, "mmmm"),"")</f>
        <v>luglio</v>
      </c>
      <c r="F1285" s="29" t="str">
        <f>IF(DAY(Data!$C$21:$C$1327)&gt;0,TEXT(Data!$C$21:$C$1327, "aaaa"),"")</f>
        <v>2025</v>
      </c>
      <c r="I1285" t="str">
        <f>IF(OR(H1285=$B$5,H1285=$B$6,H1285=$B$7,H1285=$B$8,H1285=$B$9,H1285=$B$10,H1285=$B$11,H1285=$B$12,H1285=$B$13,H1285=$B$14),SottocategorieUscite[[#Headers],[Fuori Casa]],IF(OR(H1285=$C$5,H1285=$C$6,H1285=$C$7,H1285=$C$8,H1285=$C$9,H1285=$C$10,H1285=$C$11,H1285=$C$12,H1285=$C$13,H1285=$C$14),SottocategorieUscite[[#Headers],[Varie Uscite]],IF(OR(H1285=$D$5,H1285=$D$6,H1285=$D$7,H1285=$D$8,H1285=$D$9,H1285=$D$10,H1285=$D$11,H1285=$D$12,H1285=$D$13,H1285=$D$14),SottocategorieUscite[[#Headers],[Personali]],IF(OR(H1285=$E$5,H1285=$E$6,H1285=$E$7,H1285=$E$8,H1285=$E$9,H1285=$E$10,H1285=$E$11,H1285=$E$12,H1285=$E$13,H1285=$E$14),SottocategorieUscite[[#Headers],[Lavoro]],IF(OR(H1285=$F$5,H1285=$F$6,H1285=$F$7,H1285=$F$8,H1285=$F$9,H1285=$F$10,H1285=$F$11,H1285=$F$12,H1285=$F$13,H1285=$F$14),SottocategorieUscite[[#Headers],[Casa]],IF(OR(H1285=$G$5,H1285=$G$6,H1285=$G$7,H1285=$G$8,H1285=$G$9,H1285=$G$10,H1285=$G$11,H1285=$G$12,H1285=$G$13,H1285=$G$14),SottocategorieUscite[[#Headers],[Utenze]],IF(OR(H1285=$H$5,H1285=$H$6,H1285=$H$7,H1285=$H$8,H1285=$H$9,H1285=$H$10,H1285=$H$11,H1285=$H$12,H1285=$H$13,H1285=$H$14),SottocategorieUscite[[#Headers],[Business Uscite]],IF(OR(H1285=$I$5,H1285=$I$6,H1285=$I$7,H1285=$I$8,H1285=$I$9,H1285=$I$10,H1285=$I$11,H1285=$I$12,H1285=$I$13,H1285=$I$14),SottocategorieUscite[[#Headers],[Banca]],IF(OR(H1285=K$5,H1285=K$6,H1285=K$7,H1285=K$8,H1285=K$9,H1285=K$10,H1285=K$11,H1285=K$12,H1285=K$13,H1285=K$14),SottocategorieEntrate[[#Headers],[Business Entrate]],IF(OR(H1285=L$5,H1285=L$6,H1285=L$7,H1285=L$8,H1285=L$9,H1285=L$10,H1285=L$11,H1285=L$12,H1285=L$13,H1285=L$14),SottocategorieEntrate[[#Headers],[Varie Entrate]],IF(OR(H1285=M$5,H1285=M$6,H1285=M$7,H1285=M$8,H1285=M$9,H1285=M$10,H1285=M$11,H1285=M$12,H1285=M$13,H1285=M$14),SottocategorieEntrate[[#Headers],[Real Estate]],IF(OR(H1285=N$5,H1285=N$6,H1285=N$7,H1285=N$8,H1285=N$9,H1285=N$10,H1285=N$11,H1285=N$12,H1285=N$13,H1285=N$14),SottocategorieEntrate[[#Headers],[Other]],""))))))))))))</f>
        <v/>
      </c>
      <c r="J1285" t="str">
        <f>IF(OR(Dati[[#This Row],[Categoria]]="Bollette",Dati[[#This Row],[Categoria]]="Conto &amp; Carte BNL",Dati[[#This Row],[Categoria]]="Prelievo",Dati[[#This Row],[Categoria]]="Affitto",Dati[[#This Row],[Categoria]]="BNL(Interessi Creditori)"),"Carta",IF(Dati[[#This Row],[Categoria]]&lt;&gt;0,"Cash",""))</f>
        <v/>
      </c>
      <c r="K1285" s="59" t="str">
        <f>IF(OR(Data!$I1285=SottocategorieUscite[[#Headers],[Fuori Casa]],Data!$I1285=SottocategorieUscite[[#Headers],[Varie Uscite]],Data!$I1285=SottocategorieUscite[[#Headers],[Personali]],Data!$I1285=SottocategorieUscite[[#Headers],[Lavoro]]),"$ -","")</f>
        <v/>
      </c>
      <c r="L1285" s="59" t="str">
        <f>IF(OR(Data!$I1285=SottocategorieUscite[[#Headers],[Casa]],Data!$I1285=SottocategorieUscite[[#Headers],[Utenze]],Data!$I1285=SottocategorieUscite[[#Headers],[Business Uscite]],Data!$I1285=SottocategorieUscite[[#Headers],[Banca]]),"$ -","")</f>
        <v/>
      </c>
      <c r="M1285" s="59" t="str">
        <f>IF(OR($I1285&lt;&gt;SottocategorieUscite[[#Headers],[Fuori Casa]],$I1285&lt;&gt;SottocategorieUscite[[#Headers],[Varie Uscite]],$I1285&lt;&gt;SottocategorieUscite[[#Headers],[Personali]],$I1285&lt;&gt;SottocategorieUscite[[#Headers],[Lavoro]],$I1285&lt;&gt;SottocategorieUscite[[#Headers],[Casa]],$I1285&lt;&gt;SottocategorieUscite[[#Headers],[Utenze]],$I1285&lt;&gt;SottocategorieUscite[[#Headers],[Business Uscite]],$I1285&lt;&gt;SottocategorieUscite[[#Headers],[Banca]]),"","$ -")</f>
        <v/>
      </c>
      <c r="N1285" s="59" t="str">
        <f>IF(OR(Data!$I1285=SottocategorieEntrate[[#Headers],[Business Entrate]],Data!$I1285=SottocategorieEntrate[[#Headers],[Varie Entrate]]),"$ -","")</f>
        <v/>
      </c>
      <c r="O1285" s="59" t="str">
        <f>IF(OR(Data!$I1285=SottocategorieEntrate[[#Headers],[Real Estate]],SottocategorieEntrate[[#Headers],[Other]]),"$ -","")</f>
        <v/>
      </c>
      <c r="P1285" s="59" t="str">
        <f>IF(OR($I1285&lt;&gt;SottocategorieEntrate[[#Headers],[Business Entrate]],$I1285&lt;&gt;SottocategorieEntrate[[#Headers],[Varie Entrate]],$I1285&lt;&gt;SottocategorieEntrate[[#Headers],[Real Estate]],$I1285&lt;&gt;SottocategorieEntrate[[#Headers],[Other]]),"","$ -")</f>
        <v/>
      </c>
      <c r="Q1285" s="59" t="str">
        <f>IF(Dati[[#This Row],[Categoria]]="Prelievo","€ -","")</f>
        <v/>
      </c>
      <c r="R1285" s="244"/>
      <c r="S1285" s="59" t="str">
        <f>IF(Dati[[#This Row],[Categoria]]="Savings",0,"")</f>
        <v/>
      </c>
      <c r="T1285" s="59"/>
      <c r="U1285" s="59"/>
      <c r="V1285" s="59"/>
      <c r="W1285" s="59"/>
      <c r="X1285" s="59"/>
      <c r="Y1285" s="59"/>
      <c r="Z1285" s="59"/>
      <c r="AA1285" s="59"/>
      <c r="AB1285" s="59"/>
      <c r="AC1285" s="59"/>
      <c r="AD1285" s="59"/>
      <c r="AE1285" s="59"/>
      <c r="AF1285" s="59"/>
      <c r="AG1285" s="59"/>
      <c r="AH1285" s="59"/>
      <c r="AI1285" s="59" t="str">
        <f>IF(SUM(Dati[[#This Row],[Inv. Business]:[Inv. Cryptocurrency]])=0," ",SUM(Dati[[#This Row],[Inv. Business]:[Inv. Cryptocurrency]]))</f>
        <v xml:space="preserve"> </v>
      </c>
      <c r="AJ1285" s="59"/>
      <c r="AK1285" s="59" t="str">
        <f>IF(SUM(Dati[[#This Row],[Inv. Gold]:[Mutuo]])=0," ",SUM(Dati[[#This Row],[Inv. Gold]:[Mutuo]]))</f>
        <v xml:space="preserve"> </v>
      </c>
      <c r="AL1285" s="59"/>
      <c r="AM1285" s="59"/>
    </row>
    <row r="1286" spans="2:39" x14ac:dyDescent="0.35">
      <c r="B1286" s="237">
        <f>ROW(1252:1252)</f>
        <v>1252</v>
      </c>
      <c r="C1286" s="49">
        <f t="shared" si="85"/>
        <v>45856</v>
      </c>
      <c r="D1286" s="29">
        <f>DAY(Dati[[#This Row],[Data]])</f>
        <v>18</v>
      </c>
      <c r="E1286" s="29" t="str">
        <f>IF(DAY(Data!$C$21:$C$1327)&gt;0,TEXT(Data!$C$21:$C$1327, "mmmm"),"")</f>
        <v>luglio</v>
      </c>
      <c r="F1286" s="29" t="str">
        <f>IF(DAY(Data!$C$21:$C$1327)&gt;0,TEXT(Data!$C$21:$C$1327, "aaaa"),"")</f>
        <v>2025</v>
      </c>
      <c r="I1286" t="str">
        <f>IF(OR(H1286=$B$5,H1286=$B$6,H1286=$B$7,H1286=$B$8,H1286=$B$9,H1286=$B$10,H1286=$B$11,H1286=$B$12,H1286=$B$13,H1286=$B$14),SottocategorieUscite[[#Headers],[Fuori Casa]],IF(OR(H1286=$C$5,H1286=$C$6,H1286=$C$7,H1286=$C$8,H1286=$C$9,H1286=$C$10,H1286=$C$11,H1286=$C$12,H1286=$C$13,H1286=$C$14),SottocategorieUscite[[#Headers],[Varie Uscite]],IF(OR(H1286=$D$5,H1286=$D$6,H1286=$D$7,H1286=$D$8,H1286=$D$9,H1286=$D$10,H1286=$D$11,H1286=$D$12,H1286=$D$13,H1286=$D$14),SottocategorieUscite[[#Headers],[Personali]],IF(OR(H1286=$E$5,H1286=$E$6,H1286=$E$7,H1286=$E$8,H1286=$E$9,H1286=$E$10,H1286=$E$11,H1286=$E$12,H1286=$E$13,H1286=$E$14),SottocategorieUscite[[#Headers],[Lavoro]],IF(OR(H1286=$F$5,H1286=$F$6,H1286=$F$7,H1286=$F$8,H1286=$F$9,H1286=$F$10,H1286=$F$11,H1286=$F$12,H1286=$F$13,H1286=$F$14),SottocategorieUscite[[#Headers],[Casa]],IF(OR(H1286=$G$5,H1286=$G$6,H1286=$G$7,H1286=$G$8,H1286=$G$9,H1286=$G$10,H1286=$G$11,H1286=$G$12,H1286=$G$13,H1286=$G$14),SottocategorieUscite[[#Headers],[Utenze]],IF(OR(H1286=$H$5,H1286=$H$6,H1286=$H$7,H1286=$H$8,H1286=$H$9,H1286=$H$10,H1286=$H$11,H1286=$H$12,H1286=$H$13,H1286=$H$14),SottocategorieUscite[[#Headers],[Business Uscite]],IF(OR(H1286=$I$5,H1286=$I$6,H1286=$I$7,H1286=$I$8,H1286=$I$9,H1286=$I$10,H1286=$I$11,H1286=$I$12,H1286=$I$13,H1286=$I$14),SottocategorieUscite[[#Headers],[Banca]],IF(OR(H1286=K$5,H1286=K$6,H1286=K$7,H1286=K$8,H1286=K$9,H1286=K$10,H1286=K$11,H1286=K$12,H1286=K$13,H1286=K$14),SottocategorieEntrate[[#Headers],[Business Entrate]],IF(OR(H1286=L$5,H1286=L$6,H1286=L$7,H1286=L$8,H1286=L$9,H1286=L$10,H1286=L$11,H1286=L$12,H1286=L$13,H1286=L$14),SottocategorieEntrate[[#Headers],[Varie Entrate]],IF(OR(H1286=M$5,H1286=M$6,H1286=M$7,H1286=M$8,H1286=M$9,H1286=M$10,H1286=M$11,H1286=M$12,H1286=M$13,H1286=M$14),SottocategorieEntrate[[#Headers],[Real Estate]],IF(OR(H1286=N$5,H1286=N$6,H1286=N$7,H1286=N$8,H1286=N$9,H1286=N$10,H1286=N$11,H1286=N$12,H1286=N$13,H1286=N$14),SottocategorieEntrate[[#Headers],[Other]],""))))))))))))</f>
        <v/>
      </c>
      <c r="J1286" t="str">
        <f>IF(OR(Dati[[#This Row],[Categoria]]="Bollette",Dati[[#This Row],[Categoria]]="Conto &amp; Carte BNL",Dati[[#This Row],[Categoria]]="Prelievo",Dati[[#This Row],[Categoria]]="Affitto",Dati[[#This Row],[Categoria]]="BNL(Interessi Creditori)"),"Carta",IF(Dati[[#This Row],[Categoria]]&lt;&gt;0,"Cash",""))</f>
        <v/>
      </c>
      <c r="K1286" s="59" t="str">
        <f>IF(OR(Data!$I1286=SottocategorieUscite[[#Headers],[Fuori Casa]],Data!$I1286=SottocategorieUscite[[#Headers],[Varie Uscite]],Data!$I1286=SottocategorieUscite[[#Headers],[Personali]],Data!$I1286=SottocategorieUscite[[#Headers],[Lavoro]]),"$ -","")</f>
        <v/>
      </c>
      <c r="L1286" s="59" t="str">
        <f>IF(OR(Data!$I1286=SottocategorieUscite[[#Headers],[Casa]],Data!$I1286=SottocategorieUscite[[#Headers],[Utenze]],Data!$I1286=SottocategorieUscite[[#Headers],[Business Uscite]],Data!$I1286=SottocategorieUscite[[#Headers],[Banca]]),"$ -","")</f>
        <v/>
      </c>
      <c r="M1286" s="59" t="str">
        <f>IF(OR($I1286&lt;&gt;SottocategorieUscite[[#Headers],[Fuori Casa]],$I1286&lt;&gt;SottocategorieUscite[[#Headers],[Varie Uscite]],$I1286&lt;&gt;SottocategorieUscite[[#Headers],[Personali]],$I1286&lt;&gt;SottocategorieUscite[[#Headers],[Lavoro]],$I1286&lt;&gt;SottocategorieUscite[[#Headers],[Casa]],$I1286&lt;&gt;SottocategorieUscite[[#Headers],[Utenze]],$I1286&lt;&gt;SottocategorieUscite[[#Headers],[Business Uscite]],$I1286&lt;&gt;SottocategorieUscite[[#Headers],[Banca]]),"","$ -")</f>
        <v/>
      </c>
      <c r="N1286" s="59" t="str">
        <f>IF(OR(Data!$I1286=SottocategorieEntrate[[#Headers],[Business Entrate]],Data!$I1286=SottocategorieEntrate[[#Headers],[Varie Entrate]]),"$ -","")</f>
        <v/>
      </c>
      <c r="O1286" s="59" t="str">
        <f>IF(OR(Data!$I1286=SottocategorieEntrate[[#Headers],[Real Estate]],SottocategorieEntrate[[#Headers],[Other]]),"$ -","")</f>
        <v/>
      </c>
      <c r="P1286" s="59" t="str">
        <f>IF(OR($I1286&lt;&gt;SottocategorieEntrate[[#Headers],[Business Entrate]],$I1286&lt;&gt;SottocategorieEntrate[[#Headers],[Varie Entrate]],$I1286&lt;&gt;SottocategorieEntrate[[#Headers],[Real Estate]],$I1286&lt;&gt;SottocategorieEntrate[[#Headers],[Other]]),"","$ -")</f>
        <v/>
      </c>
      <c r="Q1286" s="59" t="str">
        <f>IF(Dati[[#This Row],[Categoria]]="Prelievo","€ -","")</f>
        <v/>
      </c>
      <c r="R1286" s="244"/>
      <c r="S1286" s="59" t="str">
        <f>IF(Dati[[#This Row],[Categoria]]="Savings",0,"")</f>
        <v/>
      </c>
      <c r="T1286" s="59"/>
      <c r="U1286" s="59"/>
      <c r="V1286" s="59"/>
      <c r="W1286" s="59"/>
      <c r="X1286" s="59"/>
      <c r="Y1286" s="59"/>
      <c r="Z1286" s="59"/>
      <c r="AA1286" s="59"/>
      <c r="AB1286" s="59"/>
      <c r="AC1286" s="59"/>
      <c r="AD1286" s="59"/>
      <c r="AE1286" s="59"/>
      <c r="AF1286" s="59"/>
      <c r="AG1286" s="59"/>
      <c r="AH1286" s="59"/>
      <c r="AI1286" s="59" t="str">
        <f>IF(SUM(Dati[[#This Row],[Inv. Business]:[Inv. Cryptocurrency]])=0," ",SUM(Dati[[#This Row],[Inv. Business]:[Inv. Cryptocurrency]]))</f>
        <v xml:space="preserve"> </v>
      </c>
      <c r="AJ1286" s="59"/>
      <c r="AK1286" s="59" t="str">
        <f>IF(SUM(Dati[[#This Row],[Inv. Gold]:[Mutuo]])=0," ",SUM(Dati[[#This Row],[Inv. Gold]:[Mutuo]]))</f>
        <v xml:space="preserve"> </v>
      </c>
      <c r="AL1286" s="59"/>
      <c r="AM1286" s="59"/>
    </row>
    <row r="1287" spans="2:39" x14ac:dyDescent="0.35">
      <c r="B1287" s="237">
        <f>ROW(1254:1254)</f>
        <v>1254</v>
      </c>
      <c r="C1287" s="49">
        <f t="shared" si="85"/>
        <v>45857</v>
      </c>
      <c r="D1287" s="29">
        <f>DAY(Dati[[#This Row],[Data]])</f>
        <v>19</v>
      </c>
      <c r="E1287" s="29" t="str">
        <f>IF(DAY(Data!$C$21:$C$1327)&gt;0,TEXT(Data!$C$21:$C$1327, "mmmm"),"")</f>
        <v>luglio</v>
      </c>
      <c r="F1287" s="29" t="str">
        <f>IF(DAY(Data!$C$21:$C$1327)&gt;0,TEXT(Data!$C$21:$C$1327, "aaaa"),"")</f>
        <v>2025</v>
      </c>
      <c r="I1287" t="str">
        <f>IF(OR(H1287=$B$5,H1287=$B$6,H1287=$B$7,H1287=$B$8,H1287=$B$9,H1287=$B$10,H1287=$B$11,H1287=$B$12,H1287=$B$13,H1287=$B$14),SottocategorieUscite[[#Headers],[Fuori Casa]],IF(OR(H1287=$C$5,H1287=$C$6,H1287=$C$7,H1287=$C$8,H1287=$C$9,H1287=$C$10,H1287=$C$11,H1287=$C$12,H1287=$C$13,H1287=$C$14),SottocategorieUscite[[#Headers],[Varie Uscite]],IF(OR(H1287=$D$5,H1287=$D$6,H1287=$D$7,H1287=$D$8,H1287=$D$9,H1287=$D$10,H1287=$D$11,H1287=$D$12,H1287=$D$13,H1287=$D$14),SottocategorieUscite[[#Headers],[Personali]],IF(OR(H1287=$E$5,H1287=$E$6,H1287=$E$7,H1287=$E$8,H1287=$E$9,H1287=$E$10,H1287=$E$11,H1287=$E$12,H1287=$E$13,H1287=$E$14),SottocategorieUscite[[#Headers],[Lavoro]],IF(OR(H1287=$F$5,H1287=$F$6,H1287=$F$7,H1287=$F$8,H1287=$F$9,H1287=$F$10,H1287=$F$11,H1287=$F$12,H1287=$F$13,H1287=$F$14),SottocategorieUscite[[#Headers],[Casa]],IF(OR(H1287=$G$5,H1287=$G$6,H1287=$G$7,H1287=$G$8,H1287=$G$9,H1287=$G$10,H1287=$G$11,H1287=$G$12,H1287=$G$13,H1287=$G$14),SottocategorieUscite[[#Headers],[Utenze]],IF(OR(H1287=$H$5,H1287=$H$6,H1287=$H$7,H1287=$H$8,H1287=$H$9,H1287=$H$10,H1287=$H$11,H1287=$H$12,H1287=$H$13,H1287=$H$14),SottocategorieUscite[[#Headers],[Business Uscite]],IF(OR(H1287=$I$5,H1287=$I$6,H1287=$I$7,H1287=$I$8,H1287=$I$9,H1287=$I$10,H1287=$I$11,H1287=$I$12,H1287=$I$13,H1287=$I$14),SottocategorieUscite[[#Headers],[Banca]],IF(OR(H1287=K$5,H1287=K$6,H1287=K$7,H1287=K$8,H1287=K$9,H1287=K$10,H1287=K$11,H1287=K$12,H1287=K$13,H1287=K$14),SottocategorieEntrate[[#Headers],[Business Entrate]],IF(OR(H1287=L$5,H1287=L$6,H1287=L$7,H1287=L$8,H1287=L$9,H1287=L$10,H1287=L$11,H1287=L$12,H1287=L$13,H1287=L$14),SottocategorieEntrate[[#Headers],[Varie Entrate]],IF(OR(H1287=M$5,H1287=M$6,H1287=M$7,H1287=M$8,H1287=M$9,H1287=M$10,H1287=M$11,H1287=M$12,H1287=M$13,H1287=M$14),SottocategorieEntrate[[#Headers],[Real Estate]],IF(OR(H1287=N$5,H1287=N$6,H1287=N$7,H1287=N$8,H1287=N$9,H1287=N$10,H1287=N$11,H1287=N$12,H1287=N$13,H1287=N$14),SottocategorieEntrate[[#Headers],[Other]],""))))))))))))</f>
        <v/>
      </c>
      <c r="J1287" t="str">
        <f>IF(OR(Dati[[#This Row],[Categoria]]="Bollette",Dati[[#This Row],[Categoria]]="Conto &amp; Carte BNL",Dati[[#This Row],[Categoria]]="Prelievo",Dati[[#This Row],[Categoria]]="Affitto",Dati[[#This Row],[Categoria]]="BNL(Interessi Creditori)"),"Carta",IF(Dati[[#This Row],[Categoria]]&lt;&gt;0,"Cash",""))</f>
        <v/>
      </c>
      <c r="K1287" s="59" t="str">
        <f>IF(OR(Data!$I1287=SottocategorieUscite[[#Headers],[Fuori Casa]],Data!$I1287=SottocategorieUscite[[#Headers],[Varie Uscite]],Data!$I1287=SottocategorieUscite[[#Headers],[Personali]],Data!$I1287=SottocategorieUscite[[#Headers],[Lavoro]]),"$ -","")</f>
        <v/>
      </c>
      <c r="L1287" s="59" t="str">
        <f>IF(OR(Data!$I1287=SottocategorieUscite[[#Headers],[Casa]],Data!$I1287=SottocategorieUscite[[#Headers],[Utenze]],Data!$I1287=SottocategorieUscite[[#Headers],[Business Uscite]],Data!$I1287=SottocategorieUscite[[#Headers],[Banca]]),"$ -","")</f>
        <v/>
      </c>
      <c r="M1287" s="59" t="str">
        <f>IF(OR($I1287&lt;&gt;SottocategorieUscite[[#Headers],[Fuori Casa]],$I1287&lt;&gt;SottocategorieUscite[[#Headers],[Varie Uscite]],$I1287&lt;&gt;SottocategorieUscite[[#Headers],[Personali]],$I1287&lt;&gt;SottocategorieUscite[[#Headers],[Lavoro]],$I1287&lt;&gt;SottocategorieUscite[[#Headers],[Casa]],$I1287&lt;&gt;SottocategorieUscite[[#Headers],[Utenze]],$I1287&lt;&gt;SottocategorieUscite[[#Headers],[Business Uscite]],$I1287&lt;&gt;SottocategorieUscite[[#Headers],[Banca]]),"","$ -")</f>
        <v/>
      </c>
      <c r="N1287" s="59" t="str">
        <f>IF(OR(Data!$I1287=SottocategorieEntrate[[#Headers],[Business Entrate]],Data!$I1287=SottocategorieEntrate[[#Headers],[Varie Entrate]]),"$ -","")</f>
        <v/>
      </c>
      <c r="O1287" s="59" t="str">
        <f>IF(OR(Data!$I1287=SottocategorieEntrate[[#Headers],[Real Estate]],SottocategorieEntrate[[#Headers],[Other]]),"$ -","")</f>
        <v/>
      </c>
      <c r="P1287" s="59" t="str">
        <f>IF(OR($I1287&lt;&gt;SottocategorieEntrate[[#Headers],[Business Entrate]],$I1287&lt;&gt;SottocategorieEntrate[[#Headers],[Varie Entrate]],$I1287&lt;&gt;SottocategorieEntrate[[#Headers],[Real Estate]],$I1287&lt;&gt;SottocategorieEntrate[[#Headers],[Other]]),"","$ -")</f>
        <v/>
      </c>
      <c r="Q1287" s="59" t="str">
        <f>IF(Dati[[#This Row],[Categoria]]="Prelievo","€ -","")</f>
        <v/>
      </c>
      <c r="R1287" s="244"/>
      <c r="S1287" s="59" t="str">
        <f>IF(Dati[[#This Row],[Categoria]]="Savings",0,"")</f>
        <v/>
      </c>
      <c r="T1287" s="59"/>
      <c r="U1287" s="59"/>
      <c r="V1287" s="59"/>
      <c r="W1287" s="59"/>
      <c r="X1287" s="59"/>
      <c r="Y1287" s="59"/>
      <c r="Z1287" s="59"/>
      <c r="AA1287" s="59"/>
      <c r="AB1287" s="59"/>
      <c r="AC1287" s="59"/>
      <c r="AD1287" s="59"/>
      <c r="AE1287" s="59"/>
      <c r="AF1287" s="59"/>
      <c r="AG1287" s="59"/>
      <c r="AH1287" s="59"/>
      <c r="AI1287" s="59" t="str">
        <f>IF(SUM(Dati[[#This Row],[Inv. Business]:[Inv. Cryptocurrency]])=0," ",SUM(Dati[[#This Row],[Inv. Business]:[Inv. Cryptocurrency]]))</f>
        <v xml:space="preserve"> </v>
      </c>
      <c r="AJ1287" s="59"/>
      <c r="AK1287" s="59" t="str">
        <f>IF(SUM(Dati[[#This Row],[Inv. Gold]:[Mutuo]])=0," ",SUM(Dati[[#This Row],[Inv. Gold]:[Mutuo]]))</f>
        <v xml:space="preserve"> </v>
      </c>
      <c r="AL1287" s="59"/>
      <c r="AM1287" s="59"/>
    </row>
    <row r="1288" spans="2:39" x14ac:dyDescent="0.35">
      <c r="B1288" s="237">
        <f>ROW(1255:1255)</f>
        <v>1255</v>
      </c>
      <c r="C1288" s="49">
        <f t="shared" si="85"/>
        <v>45858</v>
      </c>
      <c r="D1288" s="29">
        <f>DAY(Dati[[#This Row],[Data]])</f>
        <v>20</v>
      </c>
      <c r="E1288" s="29" t="str">
        <f>IF(DAY(Data!$C$21:$C$1327)&gt;0,TEXT(Data!$C$21:$C$1327, "mmmm"),"")</f>
        <v>luglio</v>
      </c>
      <c r="F1288" s="29" t="str">
        <f>IF(DAY(Data!$C$21:$C$1327)&gt;0,TEXT(Data!$C$21:$C$1327, "aaaa"),"")</f>
        <v>2025</v>
      </c>
      <c r="I1288" t="str">
        <f>IF(OR(H1288=$B$5,H1288=$B$6,H1288=$B$7,H1288=$B$8,H1288=$B$9,H1288=$B$10,H1288=$B$11,H1288=$B$12,H1288=$B$13,H1288=$B$14),SottocategorieUscite[[#Headers],[Fuori Casa]],IF(OR(H1288=$C$5,H1288=$C$6,H1288=$C$7,H1288=$C$8,H1288=$C$9,H1288=$C$10,H1288=$C$11,H1288=$C$12,H1288=$C$13,H1288=$C$14),SottocategorieUscite[[#Headers],[Varie Uscite]],IF(OR(H1288=$D$5,H1288=$D$6,H1288=$D$7,H1288=$D$8,H1288=$D$9,H1288=$D$10,H1288=$D$11,H1288=$D$12,H1288=$D$13,H1288=$D$14),SottocategorieUscite[[#Headers],[Personali]],IF(OR(H1288=$E$5,H1288=$E$6,H1288=$E$7,H1288=$E$8,H1288=$E$9,H1288=$E$10,H1288=$E$11,H1288=$E$12,H1288=$E$13,H1288=$E$14),SottocategorieUscite[[#Headers],[Lavoro]],IF(OR(H1288=$F$5,H1288=$F$6,H1288=$F$7,H1288=$F$8,H1288=$F$9,H1288=$F$10,H1288=$F$11,H1288=$F$12,H1288=$F$13,H1288=$F$14),SottocategorieUscite[[#Headers],[Casa]],IF(OR(H1288=$G$5,H1288=$G$6,H1288=$G$7,H1288=$G$8,H1288=$G$9,H1288=$G$10,H1288=$G$11,H1288=$G$12,H1288=$G$13,H1288=$G$14),SottocategorieUscite[[#Headers],[Utenze]],IF(OR(H1288=$H$5,H1288=$H$6,H1288=$H$7,H1288=$H$8,H1288=$H$9,H1288=$H$10,H1288=$H$11,H1288=$H$12,H1288=$H$13,H1288=$H$14),SottocategorieUscite[[#Headers],[Business Uscite]],IF(OR(H1288=$I$5,H1288=$I$6,H1288=$I$7,H1288=$I$8,H1288=$I$9,H1288=$I$10,H1288=$I$11,H1288=$I$12,H1288=$I$13,H1288=$I$14),SottocategorieUscite[[#Headers],[Banca]],IF(OR(H1288=K$5,H1288=K$6,H1288=K$7,H1288=K$8,H1288=K$9,H1288=K$10,H1288=K$11,H1288=K$12,H1288=K$13,H1288=K$14),SottocategorieEntrate[[#Headers],[Business Entrate]],IF(OR(H1288=L$5,H1288=L$6,H1288=L$7,H1288=L$8,H1288=L$9,H1288=L$10,H1288=L$11,H1288=L$12,H1288=L$13,H1288=L$14),SottocategorieEntrate[[#Headers],[Varie Entrate]],IF(OR(H1288=M$5,H1288=M$6,H1288=M$7,H1288=M$8,H1288=M$9,H1288=M$10,H1288=M$11,H1288=M$12,H1288=M$13,H1288=M$14),SottocategorieEntrate[[#Headers],[Real Estate]],IF(OR(H1288=N$5,H1288=N$6,H1288=N$7,H1288=N$8,H1288=N$9,H1288=N$10,H1288=N$11,H1288=N$12,H1288=N$13,H1288=N$14),SottocategorieEntrate[[#Headers],[Other]],""))))))))))))</f>
        <v/>
      </c>
      <c r="J1288" t="str">
        <f>IF(OR(Dati[[#This Row],[Categoria]]="Bollette",Dati[[#This Row],[Categoria]]="Conto &amp; Carte BNL",Dati[[#This Row],[Categoria]]="Prelievo",Dati[[#This Row],[Categoria]]="Affitto",Dati[[#This Row],[Categoria]]="BNL(Interessi Creditori)"),"Carta",IF(Dati[[#This Row],[Categoria]]&lt;&gt;0,"Cash",""))</f>
        <v/>
      </c>
      <c r="K1288" s="59" t="str">
        <f>IF(OR(Data!$I1288=SottocategorieUscite[[#Headers],[Fuori Casa]],Data!$I1288=SottocategorieUscite[[#Headers],[Varie Uscite]],Data!$I1288=SottocategorieUscite[[#Headers],[Personali]],Data!$I1288=SottocategorieUscite[[#Headers],[Lavoro]]),"$ -","")</f>
        <v/>
      </c>
      <c r="L1288" s="59" t="str">
        <f>IF(OR(Data!$I1288=SottocategorieUscite[[#Headers],[Casa]],Data!$I1288=SottocategorieUscite[[#Headers],[Utenze]],Data!$I1288=SottocategorieUscite[[#Headers],[Business Uscite]],Data!$I1288=SottocategorieUscite[[#Headers],[Banca]]),"$ -","")</f>
        <v/>
      </c>
      <c r="M1288" s="59" t="str">
        <f>IF(OR($I1288&lt;&gt;SottocategorieUscite[[#Headers],[Fuori Casa]],$I1288&lt;&gt;SottocategorieUscite[[#Headers],[Varie Uscite]],$I1288&lt;&gt;SottocategorieUscite[[#Headers],[Personali]],$I1288&lt;&gt;SottocategorieUscite[[#Headers],[Lavoro]],$I1288&lt;&gt;SottocategorieUscite[[#Headers],[Casa]],$I1288&lt;&gt;SottocategorieUscite[[#Headers],[Utenze]],$I1288&lt;&gt;SottocategorieUscite[[#Headers],[Business Uscite]],$I1288&lt;&gt;SottocategorieUscite[[#Headers],[Banca]]),"","$ -")</f>
        <v/>
      </c>
      <c r="N1288" s="59" t="str">
        <f>IF(OR(Data!$I1288=SottocategorieEntrate[[#Headers],[Business Entrate]],Data!$I1288=SottocategorieEntrate[[#Headers],[Varie Entrate]]),"$ -","")</f>
        <v/>
      </c>
      <c r="O1288" s="59" t="str">
        <f>IF(OR(Data!$I1288=SottocategorieEntrate[[#Headers],[Real Estate]],SottocategorieEntrate[[#Headers],[Other]]),"$ -","")</f>
        <v/>
      </c>
      <c r="P1288" s="59" t="str">
        <f>IF(OR($I1288&lt;&gt;SottocategorieEntrate[[#Headers],[Business Entrate]],$I1288&lt;&gt;SottocategorieEntrate[[#Headers],[Varie Entrate]],$I1288&lt;&gt;SottocategorieEntrate[[#Headers],[Real Estate]],$I1288&lt;&gt;SottocategorieEntrate[[#Headers],[Other]]),"","$ -")</f>
        <v/>
      </c>
      <c r="Q1288" s="59" t="str">
        <f>IF(Dati[[#This Row],[Categoria]]="Prelievo","€ -","")</f>
        <v/>
      </c>
      <c r="R1288" s="244"/>
      <c r="S1288" s="59" t="str">
        <f>IF(Dati[[#This Row],[Categoria]]="Savings",0,"")</f>
        <v/>
      </c>
      <c r="T1288" s="59"/>
      <c r="U1288" s="59"/>
      <c r="V1288" s="59"/>
      <c r="W1288" s="59"/>
      <c r="X1288" s="59"/>
      <c r="Y1288" s="59"/>
      <c r="Z1288" s="59"/>
      <c r="AA1288" s="59"/>
      <c r="AB1288" s="59"/>
      <c r="AC1288" s="59"/>
      <c r="AD1288" s="59"/>
      <c r="AE1288" s="59"/>
      <c r="AF1288" s="59"/>
      <c r="AG1288" s="59"/>
      <c r="AH1288" s="59"/>
      <c r="AI1288" s="59" t="str">
        <f>IF(SUM(Dati[[#This Row],[Inv. Business]:[Inv. Cryptocurrency]])=0," ",SUM(Dati[[#This Row],[Inv. Business]:[Inv. Cryptocurrency]]))</f>
        <v xml:space="preserve"> </v>
      </c>
      <c r="AJ1288" s="59"/>
      <c r="AK1288" s="59" t="str">
        <f>IF(SUM(Dati[[#This Row],[Inv. Gold]:[Mutuo]])=0," ",SUM(Dati[[#This Row],[Inv. Gold]:[Mutuo]]))</f>
        <v xml:space="preserve"> </v>
      </c>
      <c r="AL1288" s="59"/>
      <c r="AM1288" s="59"/>
    </row>
    <row r="1289" spans="2:39" x14ac:dyDescent="0.35">
      <c r="B1289" s="237">
        <f>ROW(1262:1262)</f>
        <v>1262</v>
      </c>
      <c r="C1289" s="49">
        <f t="shared" si="85"/>
        <v>45859</v>
      </c>
      <c r="D1289" s="29">
        <f>DAY(Dati[[#This Row],[Data]])</f>
        <v>21</v>
      </c>
      <c r="E1289" s="29" t="str">
        <f>IF(DAY(Data!$C$21:$C$1327)&gt;0,TEXT(Data!$C$21:$C$1327, "mmmm"),"")</f>
        <v>luglio</v>
      </c>
      <c r="F1289" s="29" t="str">
        <f>IF(DAY(Data!$C$21:$C$1327)&gt;0,TEXT(Data!$C$21:$C$1327, "aaaa"),"")</f>
        <v>2025</v>
      </c>
      <c r="I1289" t="str">
        <f>IF(OR(H1289=$B$5,H1289=$B$6,H1289=$B$7,H1289=$B$8,H1289=$B$9,H1289=$B$10,H1289=$B$11,H1289=$B$12,H1289=$B$13,H1289=$B$14),SottocategorieUscite[[#Headers],[Fuori Casa]],IF(OR(H1289=$C$5,H1289=$C$6,H1289=$C$7,H1289=$C$8,H1289=$C$9,H1289=$C$10,H1289=$C$11,H1289=$C$12,H1289=$C$13,H1289=$C$14),SottocategorieUscite[[#Headers],[Varie Uscite]],IF(OR(H1289=$D$5,H1289=$D$6,H1289=$D$7,H1289=$D$8,H1289=$D$9,H1289=$D$10,H1289=$D$11,H1289=$D$12,H1289=$D$13,H1289=$D$14),SottocategorieUscite[[#Headers],[Personali]],IF(OR(H1289=$E$5,H1289=$E$6,H1289=$E$7,H1289=$E$8,H1289=$E$9,H1289=$E$10,H1289=$E$11,H1289=$E$12,H1289=$E$13,H1289=$E$14),SottocategorieUscite[[#Headers],[Lavoro]],IF(OR(H1289=$F$5,H1289=$F$6,H1289=$F$7,H1289=$F$8,H1289=$F$9,H1289=$F$10,H1289=$F$11,H1289=$F$12,H1289=$F$13,H1289=$F$14),SottocategorieUscite[[#Headers],[Casa]],IF(OR(H1289=$G$5,H1289=$G$6,H1289=$G$7,H1289=$G$8,H1289=$G$9,H1289=$G$10,H1289=$G$11,H1289=$G$12,H1289=$G$13,H1289=$G$14),SottocategorieUscite[[#Headers],[Utenze]],IF(OR(H1289=$H$5,H1289=$H$6,H1289=$H$7,H1289=$H$8,H1289=$H$9,H1289=$H$10,H1289=$H$11,H1289=$H$12,H1289=$H$13,H1289=$H$14),SottocategorieUscite[[#Headers],[Business Uscite]],IF(OR(H1289=$I$5,H1289=$I$6,H1289=$I$7,H1289=$I$8,H1289=$I$9,H1289=$I$10,H1289=$I$11,H1289=$I$12,H1289=$I$13,H1289=$I$14),SottocategorieUscite[[#Headers],[Banca]],IF(OR(H1289=K$5,H1289=K$6,H1289=K$7,H1289=K$8,H1289=K$9,H1289=K$10,H1289=K$11,H1289=K$12,H1289=K$13,H1289=K$14),SottocategorieEntrate[[#Headers],[Business Entrate]],IF(OR(H1289=L$5,H1289=L$6,H1289=L$7,H1289=L$8,H1289=L$9,H1289=L$10,H1289=L$11,H1289=L$12,H1289=L$13,H1289=L$14),SottocategorieEntrate[[#Headers],[Varie Entrate]],IF(OR(H1289=M$5,H1289=M$6,H1289=M$7,H1289=M$8,H1289=M$9,H1289=M$10,H1289=M$11,H1289=M$12,H1289=M$13,H1289=M$14),SottocategorieEntrate[[#Headers],[Real Estate]],IF(OR(H1289=N$5,H1289=N$6,H1289=N$7,H1289=N$8,H1289=N$9,H1289=N$10,H1289=N$11,H1289=N$12,H1289=N$13,H1289=N$14),SottocategorieEntrate[[#Headers],[Other]],""))))))))))))</f>
        <v/>
      </c>
      <c r="J1289" t="str">
        <f>IF(OR(Dati[[#This Row],[Categoria]]="Bollette",Dati[[#This Row],[Categoria]]="Conto &amp; Carte BNL",Dati[[#This Row],[Categoria]]="Prelievo",Dati[[#This Row],[Categoria]]="Affitto",Dati[[#This Row],[Categoria]]="BNL(Interessi Creditori)"),"Carta",IF(Dati[[#This Row],[Categoria]]&lt;&gt;0,"Cash",""))</f>
        <v/>
      </c>
      <c r="K1289" s="59" t="str">
        <f>IF(OR(Data!$I1289=SottocategorieUscite[[#Headers],[Fuori Casa]],Data!$I1289=SottocategorieUscite[[#Headers],[Varie Uscite]],Data!$I1289=SottocategorieUscite[[#Headers],[Personali]],Data!$I1289=SottocategorieUscite[[#Headers],[Lavoro]]),"$ -","")</f>
        <v/>
      </c>
      <c r="L1289" s="59" t="str">
        <f>IF(OR(Data!$I1289=SottocategorieUscite[[#Headers],[Casa]],Data!$I1289=SottocategorieUscite[[#Headers],[Utenze]],Data!$I1289=SottocategorieUscite[[#Headers],[Business Uscite]],Data!$I1289=SottocategorieUscite[[#Headers],[Banca]]),"$ -","")</f>
        <v/>
      </c>
      <c r="M1289" s="59" t="str">
        <f>IF(OR($I1289&lt;&gt;SottocategorieUscite[[#Headers],[Fuori Casa]],$I1289&lt;&gt;SottocategorieUscite[[#Headers],[Varie Uscite]],$I1289&lt;&gt;SottocategorieUscite[[#Headers],[Personali]],$I1289&lt;&gt;SottocategorieUscite[[#Headers],[Lavoro]],$I1289&lt;&gt;SottocategorieUscite[[#Headers],[Casa]],$I1289&lt;&gt;SottocategorieUscite[[#Headers],[Utenze]],$I1289&lt;&gt;SottocategorieUscite[[#Headers],[Business Uscite]],$I1289&lt;&gt;SottocategorieUscite[[#Headers],[Banca]]),"","$ -")</f>
        <v/>
      </c>
      <c r="N1289" s="59" t="str">
        <f>IF(OR(Data!$I1289=SottocategorieEntrate[[#Headers],[Business Entrate]],Data!$I1289=SottocategorieEntrate[[#Headers],[Varie Entrate]]),"$ -","")</f>
        <v/>
      </c>
      <c r="O1289" s="59" t="str">
        <f>IF(OR(Data!$I1289=SottocategorieEntrate[[#Headers],[Real Estate]],SottocategorieEntrate[[#Headers],[Other]]),"$ -","")</f>
        <v/>
      </c>
      <c r="P1289" s="59" t="str">
        <f>IF(OR($I1289&lt;&gt;SottocategorieEntrate[[#Headers],[Business Entrate]],$I1289&lt;&gt;SottocategorieEntrate[[#Headers],[Varie Entrate]],$I1289&lt;&gt;SottocategorieEntrate[[#Headers],[Real Estate]],$I1289&lt;&gt;SottocategorieEntrate[[#Headers],[Other]]),"","$ -")</f>
        <v/>
      </c>
      <c r="Q1289" s="59" t="str">
        <f>IF(Dati[[#This Row],[Categoria]]="Prelievo","€ -","")</f>
        <v/>
      </c>
      <c r="R1289" s="244"/>
      <c r="S1289" s="59" t="str">
        <f>IF(Dati[[#This Row],[Categoria]]="Savings",0,"")</f>
        <v/>
      </c>
      <c r="T1289" s="59"/>
      <c r="U1289" s="59"/>
      <c r="V1289" s="59"/>
      <c r="W1289" s="59"/>
      <c r="X1289" s="59"/>
      <c r="Y1289" s="59"/>
      <c r="Z1289" s="59"/>
      <c r="AA1289" s="59"/>
      <c r="AB1289" s="59"/>
      <c r="AC1289" s="59"/>
      <c r="AD1289" s="59"/>
      <c r="AE1289" s="59"/>
      <c r="AF1289" s="59"/>
      <c r="AG1289" s="59"/>
      <c r="AH1289" s="59"/>
      <c r="AI1289" s="59" t="str">
        <f>IF(SUM(Dati[[#This Row],[Inv. Business]:[Inv. Cryptocurrency]])=0," ",SUM(Dati[[#This Row],[Inv. Business]:[Inv. Cryptocurrency]]))</f>
        <v xml:space="preserve"> </v>
      </c>
      <c r="AJ1289" s="59"/>
      <c r="AK1289" s="59" t="str">
        <f>IF(SUM(Dati[[#This Row],[Inv. Gold]:[Mutuo]])=0," ",SUM(Dati[[#This Row],[Inv. Gold]:[Mutuo]]))</f>
        <v xml:space="preserve"> </v>
      </c>
      <c r="AL1289" s="59"/>
      <c r="AM1289" s="59"/>
    </row>
    <row r="1290" spans="2:39" x14ac:dyDescent="0.35">
      <c r="B1290" s="237">
        <f>ROW(1263:1263)</f>
        <v>1263</v>
      </c>
      <c r="C1290" s="49">
        <f t="shared" si="85"/>
        <v>45860</v>
      </c>
      <c r="D1290" s="29">
        <f>DAY(Dati[[#This Row],[Data]])</f>
        <v>22</v>
      </c>
      <c r="E1290" s="29" t="str">
        <f>IF(DAY(Data!$C$21:$C$1327)&gt;0,TEXT(Data!$C$21:$C$1327, "mmmm"),"")</f>
        <v>luglio</v>
      </c>
      <c r="F1290" s="29" t="str">
        <f>IF(DAY(Data!$C$21:$C$1327)&gt;0,TEXT(Data!$C$21:$C$1327, "aaaa"),"")</f>
        <v>2025</v>
      </c>
      <c r="I1290" t="str">
        <f>IF(OR(H1290=$B$5,H1290=$B$6,H1290=$B$7,H1290=$B$8,H1290=$B$9,H1290=$B$10,H1290=$B$11,H1290=$B$12,H1290=$B$13,H1290=$B$14),SottocategorieUscite[[#Headers],[Fuori Casa]],IF(OR(H1290=$C$5,H1290=$C$6,H1290=$C$7,H1290=$C$8,H1290=$C$9,H1290=$C$10,H1290=$C$11,H1290=$C$12,H1290=$C$13,H1290=$C$14),SottocategorieUscite[[#Headers],[Varie Uscite]],IF(OR(H1290=$D$5,H1290=$D$6,H1290=$D$7,H1290=$D$8,H1290=$D$9,H1290=$D$10,H1290=$D$11,H1290=$D$12,H1290=$D$13,H1290=$D$14),SottocategorieUscite[[#Headers],[Personali]],IF(OR(H1290=$E$5,H1290=$E$6,H1290=$E$7,H1290=$E$8,H1290=$E$9,H1290=$E$10,H1290=$E$11,H1290=$E$12,H1290=$E$13,H1290=$E$14),SottocategorieUscite[[#Headers],[Lavoro]],IF(OR(H1290=$F$5,H1290=$F$6,H1290=$F$7,H1290=$F$8,H1290=$F$9,H1290=$F$10,H1290=$F$11,H1290=$F$12,H1290=$F$13,H1290=$F$14),SottocategorieUscite[[#Headers],[Casa]],IF(OR(H1290=$G$5,H1290=$G$6,H1290=$G$7,H1290=$G$8,H1290=$G$9,H1290=$G$10,H1290=$G$11,H1290=$G$12,H1290=$G$13,H1290=$G$14),SottocategorieUscite[[#Headers],[Utenze]],IF(OR(H1290=$H$5,H1290=$H$6,H1290=$H$7,H1290=$H$8,H1290=$H$9,H1290=$H$10,H1290=$H$11,H1290=$H$12,H1290=$H$13,H1290=$H$14),SottocategorieUscite[[#Headers],[Business Uscite]],IF(OR(H1290=$I$5,H1290=$I$6,H1290=$I$7,H1290=$I$8,H1290=$I$9,H1290=$I$10,H1290=$I$11,H1290=$I$12,H1290=$I$13,H1290=$I$14),SottocategorieUscite[[#Headers],[Banca]],IF(OR(H1290=K$5,H1290=K$6,H1290=K$7,H1290=K$8,H1290=K$9,H1290=K$10,H1290=K$11,H1290=K$12,H1290=K$13,H1290=K$14),SottocategorieEntrate[[#Headers],[Business Entrate]],IF(OR(H1290=L$5,H1290=L$6,H1290=L$7,H1290=L$8,H1290=L$9,H1290=L$10,H1290=L$11,H1290=L$12,H1290=L$13,H1290=L$14),SottocategorieEntrate[[#Headers],[Varie Entrate]],IF(OR(H1290=M$5,H1290=M$6,H1290=M$7,H1290=M$8,H1290=M$9,H1290=M$10,H1290=M$11,H1290=M$12,H1290=M$13,H1290=M$14),SottocategorieEntrate[[#Headers],[Real Estate]],IF(OR(H1290=N$5,H1290=N$6,H1290=N$7,H1290=N$8,H1290=N$9,H1290=N$10,H1290=N$11,H1290=N$12,H1290=N$13,H1290=N$14),SottocategorieEntrate[[#Headers],[Other]],""))))))))))))</f>
        <v/>
      </c>
      <c r="J1290" t="str">
        <f>IF(OR(Dati[[#This Row],[Categoria]]="Bollette",Dati[[#This Row],[Categoria]]="Conto &amp; Carte BNL",Dati[[#This Row],[Categoria]]="Prelievo",Dati[[#This Row],[Categoria]]="Affitto",Dati[[#This Row],[Categoria]]="BNL(Interessi Creditori)"),"Carta",IF(Dati[[#This Row],[Categoria]]&lt;&gt;0,"Cash",""))</f>
        <v/>
      </c>
      <c r="K1290" s="59" t="str">
        <f>IF(OR(Data!$I1290=SottocategorieUscite[[#Headers],[Fuori Casa]],Data!$I1290=SottocategorieUscite[[#Headers],[Varie Uscite]],Data!$I1290=SottocategorieUscite[[#Headers],[Personali]],Data!$I1290=SottocategorieUscite[[#Headers],[Lavoro]]),"$ -","")</f>
        <v/>
      </c>
      <c r="L1290" s="59" t="str">
        <f>IF(OR(Data!$I1290=SottocategorieUscite[[#Headers],[Casa]],Data!$I1290=SottocategorieUscite[[#Headers],[Utenze]],Data!$I1290=SottocategorieUscite[[#Headers],[Business Uscite]],Data!$I1290=SottocategorieUscite[[#Headers],[Banca]]),"$ -","")</f>
        <v/>
      </c>
      <c r="M1290" s="59" t="str">
        <f>IF(OR($I1290&lt;&gt;SottocategorieUscite[[#Headers],[Fuori Casa]],$I1290&lt;&gt;SottocategorieUscite[[#Headers],[Varie Uscite]],$I1290&lt;&gt;SottocategorieUscite[[#Headers],[Personali]],$I1290&lt;&gt;SottocategorieUscite[[#Headers],[Lavoro]],$I1290&lt;&gt;SottocategorieUscite[[#Headers],[Casa]],$I1290&lt;&gt;SottocategorieUscite[[#Headers],[Utenze]],$I1290&lt;&gt;SottocategorieUscite[[#Headers],[Business Uscite]],$I1290&lt;&gt;SottocategorieUscite[[#Headers],[Banca]]),"","$ -")</f>
        <v/>
      </c>
      <c r="N1290" s="59" t="str">
        <f>IF(OR(Data!$I1290=SottocategorieEntrate[[#Headers],[Business Entrate]],Data!$I1290=SottocategorieEntrate[[#Headers],[Varie Entrate]]),"$ -","")</f>
        <v/>
      </c>
      <c r="O1290" s="59" t="str">
        <f>IF(OR(Data!$I1290=SottocategorieEntrate[[#Headers],[Real Estate]],SottocategorieEntrate[[#Headers],[Other]]),"$ -","")</f>
        <v/>
      </c>
      <c r="P1290" s="59" t="str">
        <f>IF(OR($I1290&lt;&gt;SottocategorieEntrate[[#Headers],[Business Entrate]],$I1290&lt;&gt;SottocategorieEntrate[[#Headers],[Varie Entrate]],$I1290&lt;&gt;SottocategorieEntrate[[#Headers],[Real Estate]],$I1290&lt;&gt;SottocategorieEntrate[[#Headers],[Other]]),"","$ -")</f>
        <v/>
      </c>
      <c r="Q1290" s="59" t="str">
        <f>IF(Dati[[#This Row],[Categoria]]="Prelievo","€ -","")</f>
        <v/>
      </c>
      <c r="R1290" s="244"/>
      <c r="S1290" s="59" t="str">
        <f>IF(Dati[[#This Row],[Categoria]]="Savings",0,"")</f>
        <v/>
      </c>
      <c r="T1290" s="59"/>
      <c r="U1290" s="59"/>
      <c r="V1290" s="59"/>
      <c r="W1290" s="59"/>
      <c r="X1290" s="59"/>
      <c r="Y1290" s="59"/>
      <c r="Z1290" s="59"/>
      <c r="AA1290" s="59"/>
      <c r="AB1290" s="59"/>
      <c r="AC1290" s="59"/>
      <c r="AD1290" s="59"/>
      <c r="AE1290" s="59"/>
      <c r="AF1290" s="59"/>
      <c r="AG1290" s="59"/>
      <c r="AH1290" s="59"/>
      <c r="AI1290" s="59" t="str">
        <f>IF(SUM(Dati[[#This Row],[Inv. Business]:[Inv. Cryptocurrency]])=0," ",SUM(Dati[[#This Row],[Inv. Business]:[Inv. Cryptocurrency]]))</f>
        <v xml:space="preserve"> </v>
      </c>
      <c r="AJ1290" s="59"/>
      <c r="AK1290" s="59" t="str">
        <f>IF(SUM(Dati[[#This Row],[Inv. Gold]:[Mutuo]])=0," ",SUM(Dati[[#This Row],[Inv. Gold]:[Mutuo]]))</f>
        <v xml:space="preserve"> </v>
      </c>
      <c r="AL1290" s="59"/>
      <c r="AM1290" s="59"/>
    </row>
    <row r="1291" spans="2:39" x14ac:dyDescent="0.35">
      <c r="B1291" s="237">
        <f>ROW(1265:1265)</f>
        <v>1265</v>
      </c>
      <c r="C1291" s="49">
        <f t="shared" si="85"/>
        <v>45861</v>
      </c>
      <c r="D1291" s="29">
        <f>DAY(Dati[[#This Row],[Data]])</f>
        <v>23</v>
      </c>
      <c r="E1291" s="29" t="str">
        <f>IF(DAY(Data!$C$21:$C$1327)&gt;0,TEXT(Data!$C$21:$C$1327, "mmmm"),"")</f>
        <v>luglio</v>
      </c>
      <c r="F1291" s="29" t="str">
        <f>IF(DAY(Data!$C$21:$C$1327)&gt;0,TEXT(Data!$C$21:$C$1327, "aaaa"),"")</f>
        <v>2025</v>
      </c>
      <c r="I1291" t="str">
        <f>IF(OR(H1291=$B$5,H1291=$B$6,H1291=$B$7,H1291=$B$8,H1291=$B$9,H1291=$B$10,H1291=$B$11,H1291=$B$12,H1291=$B$13,H1291=$B$14),SottocategorieUscite[[#Headers],[Fuori Casa]],IF(OR(H1291=$C$5,H1291=$C$6,H1291=$C$7,H1291=$C$8,H1291=$C$9,H1291=$C$10,H1291=$C$11,H1291=$C$12,H1291=$C$13,H1291=$C$14),SottocategorieUscite[[#Headers],[Varie Uscite]],IF(OR(H1291=$D$5,H1291=$D$6,H1291=$D$7,H1291=$D$8,H1291=$D$9,H1291=$D$10,H1291=$D$11,H1291=$D$12,H1291=$D$13,H1291=$D$14),SottocategorieUscite[[#Headers],[Personali]],IF(OR(H1291=$E$5,H1291=$E$6,H1291=$E$7,H1291=$E$8,H1291=$E$9,H1291=$E$10,H1291=$E$11,H1291=$E$12,H1291=$E$13,H1291=$E$14),SottocategorieUscite[[#Headers],[Lavoro]],IF(OR(H1291=$F$5,H1291=$F$6,H1291=$F$7,H1291=$F$8,H1291=$F$9,H1291=$F$10,H1291=$F$11,H1291=$F$12,H1291=$F$13,H1291=$F$14),SottocategorieUscite[[#Headers],[Casa]],IF(OR(H1291=$G$5,H1291=$G$6,H1291=$G$7,H1291=$G$8,H1291=$G$9,H1291=$G$10,H1291=$G$11,H1291=$G$12,H1291=$G$13,H1291=$G$14),SottocategorieUscite[[#Headers],[Utenze]],IF(OR(H1291=$H$5,H1291=$H$6,H1291=$H$7,H1291=$H$8,H1291=$H$9,H1291=$H$10,H1291=$H$11,H1291=$H$12,H1291=$H$13,H1291=$H$14),SottocategorieUscite[[#Headers],[Business Uscite]],IF(OR(H1291=$I$5,H1291=$I$6,H1291=$I$7,H1291=$I$8,H1291=$I$9,H1291=$I$10,H1291=$I$11,H1291=$I$12,H1291=$I$13,H1291=$I$14),SottocategorieUscite[[#Headers],[Banca]],IF(OR(H1291=K$5,H1291=K$6,H1291=K$7,H1291=K$8,H1291=K$9,H1291=K$10,H1291=K$11,H1291=K$12,H1291=K$13,H1291=K$14),SottocategorieEntrate[[#Headers],[Business Entrate]],IF(OR(H1291=L$5,H1291=L$6,H1291=L$7,H1291=L$8,H1291=L$9,H1291=L$10,H1291=L$11,H1291=L$12,H1291=L$13,H1291=L$14),SottocategorieEntrate[[#Headers],[Varie Entrate]],IF(OR(H1291=M$5,H1291=M$6,H1291=M$7,H1291=M$8,H1291=M$9,H1291=M$10,H1291=M$11,H1291=M$12,H1291=M$13,H1291=M$14),SottocategorieEntrate[[#Headers],[Real Estate]],IF(OR(H1291=N$5,H1291=N$6,H1291=N$7,H1291=N$8,H1291=N$9,H1291=N$10,H1291=N$11,H1291=N$12,H1291=N$13,H1291=N$14),SottocategorieEntrate[[#Headers],[Other]],""))))))))))))</f>
        <v/>
      </c>
      <c r="J1291" t="str">
        <f>IF(OR(Dati[[#This Row],[Categoria]]="Bollette",Dati[[#This Row],[Categoria]]="Conto &amp; Carte BNL",Dati[[#This Row],[Categoria]]="Prelievo",Dati[[#This Row],[Categoria]]="Affitto",Dati[[#This Row],[Categoria]]="BNL(Interessi Creditori)"),"Carta",IF(Dati[[#This Row],[Categoria]]&lt;&gt;0,"Cash",""))</f>
        <v/>
      </c>
      <c r="K1291" s="59" t="str">
        <f>IF(OR(Data!$I1291=SottocategorieUscite[[#Headers],[Fuori Casa]],Data!$I1291=SottocategorieUscite[[#Headers],[Varie Uscite]],Data!$I1291=SottocategorieUscite[[#Headers],[Personali]],Data!$I1291=SottocategorieUscite[[#Headers],[Lavoro]]),"$ -","")</f>
        <v/>
      </c>
      <c r="L1291" s="59" t="str">
        <f>IF(OR(Data!$I1291=SottocategorieUscite[[#Headers],[Casa]],Data!$I1291=SottocategorieUscite[[#Headers],[Utenze]],Data!$I1291=SottocategorieUscite[[#Headers],[Business Uscite]],Data!$I1291=SottocategorieUscite[[#Headers],[Banca]]),"$ -","")</f>
        <v/>
      </c>
      <c r="M1291" s="59" t="str">
        <f>IF(OR($I1291&lt;&gt;SottocategorieUscite[[#Headers],[Fuori Casa]],$I1291&lt;&gt;SottocategorieUscite[[#Headers],[Varie Uscite]],$I1291&lt;&gt;SottocategorieUscite[[#Headers],[Personali]],$I1291&lt;&gt;SottocategorieUscite[[#Headers],[Lavoro]],$I1291&lt;&gt;SottocategorieUscite[[#Headers],[Casa]],$I1291&lt;&gt;SottocategorieUscite[[#Headers],[Utenze]],$I1291&lt;&gt;SottocategorieUscite[[#Headers],[Business Uscite]],$I1291&lt;&gt;SottocategorieUscite[[#Headers],[Banca]]),"","$ -")</f>
        <v/>
      </c>
      <c r="N1291" s="59" t="str">
        <f>IF(OR(Data!$I1291=SottocategorieEntrate[[#Headers],[Business Entrate]],Data!$I1291=SottocategorieEntrate[[#Headers],[Varie Entrate]]),"$ -","")</f>
        <v/>
      </c>
      <c r="O1291" s="59" t="str">
        <f>IF(OR(Data!$I1291=SottocategorieEntrate[[#Headers],[Real Estate]],SottocategorieEntrate[[#Headers],[Other]]),"$ -","")</f>
        <v/>
      </c>
      <c r="P1291" s="59" t="str">
        <f>IF(OR($I1291&lt;&gt;SottocategorieEntrate[[#Headers],[Business Entrate]],$I1291&lt;&gt;SottocategorieEntrate[[#Headers],[Varie Entrate]],$I1291&lt;&gt;SottocategorieEntrate[[#Headers],[Real Estate]],$I1291&lt;&gt;SottocategorieEntrate[[#Headers],[Other]]),"","$ -")</f>
        <v/>
      </c>
      <c r="Q1291" s="59" t="str">
        <f>IF(Dati[[#This Row],[Categoria]]="Prelievo","€ -","")</f>
        <v/>
      </c>
      <c r="R1291" s="244"/>
      <c r="S1291" s="59" t="str">
        <f>IF(Dati[[#This Row],[Categoria]]="Savings",0,"")</f>
        <v/>
      </c>
      <c r="T1291" s="59"/>
      <c r="U1291" s="59"/>
      <c r="V1291" s="59"/>
      <c r="W1291" s="59"/>
      <c r="X1291" s="59"/>
      <c r="Y1291" s="59"/>
      <c r="Z1291" s="59"/>
      <c r="AA1291" s="59"/>
      <c r="AB1291" s="59"/>
      <c r="AC1291" s="59"/>
      <c r="AD1291" s="59"/>
      <c r="AE1291" s="59"/>
      <c r="AF1291" s="59"/>
      <c r="AG1291" s="59"/>
      <c r="AH1291" s="59"/>
      <c r="AI1291" s="59" t="str">
        <f>IF(SUM(Dati[[#This Row],[Inv. Business]:[Inv. Cryptocurrency]])=0," ",SUM(Dati[[#This Row],[Inv. Business]:[Inv. Cryptocurrency]]))</f>
        <v xml:space="preserve"> </v>
      </c>
      <c r="AJ1291" s="59"/>
      <c r="AK1291" s="59" t="str">
        <f>IF(SUM(Dati[[#This Row],[Inv. Gold]:[Mutuo]])=0," ",SUM(Dati[[#This Row],[Inv. Gold]:[Mutuo]]))</f>
        <v xml:space="preserve"> </v>
      </c>
      <c r="AL1291" s="59"/>
      <c r="AM1291" s="59"/>
    </row>
    <row r="1292" spans="2:39" x14ac:dyDescent="0.35">
      <c r="B1292" s="237">
        <f>ROW(1266:1266)</f>
        <v>1266</v>
      </c>
      <c r="C1292" s="49">
        <f t="shared" si="85"/>
        <v>45862</v>
      </c>
      <c r="D1292" s="29">
        <f>DAY(Dati[[#This Row],[Data]])</f>
        <v>24</v>
      </c>
      <c r="E1292" s="29" t="str">
        <f>IF(DAY(Data!$C$21:$C$1327)&gt;0,TEXT(Data!$C$21:$C$1327, "mmmm"),"")</f>
        <v>luglio</v>
      </c>
      <c r="F1292" s="29" t="str">
        <f>IF(DAY(Data!$C$21:$C$1327)&gt;0,TEXT(Data!$C$21:$C$1327, "aaaa"),"")</f>
        <v>2025</v>
      </c>
      <c r="I1292" t="str">
        <f>IF(OR(H1292=$B$5,H1292=$B$6,H1292=$B$7,H1292=$B$8,H1292=$B$9,H1292=$B$10,H1292=$B$11,H1292=$B$12,H1292=$B$13,H1292=$B$14),SottocategorieUscite[[#Headers],[Fuori Casa]],IF(OR(H1292=$C$5,H1292=$C$6,H1292=$C$7,H1292=$C$8,H1292=$C$9,H1292=$C$10,H1292=$C$11,H1292=$C$12,H1292=$C$13,H1292=$C$14),SottocategorieUscite[[#Headers],[Varie Uscite]],IF(OR(H1292=$D$5,H1292=$D$6,H1292=$D$7,H1292=$D$8,H1292=$D$9,H1292=$D$10,H1292=$D$11,H1292=$D$12,H1292=$D$13,H1292=$D$14),SottocategorieUscite[[#Headers],[Personali]],IF(OR(H1292=$E$5,H1292=$E$6,H1292=$E$7,H1292=$E$8,H1292=$E$9,H1292=$E$10,H1292=$E$11,H1292=$E$12,H1292=$E$13,H1292=$E$14),SottocategorieUscite[[#Headers],[Lavoro]],IF(OR(H1292=$F$5,H1292=$F$6,H1292=$F$7,H1292=$F$8,H1292=$F$9,H1292=$F$10,H1292=$F$11,H1292=$F$12,H1292=$F$13,H1292=$F$14),SottocategorieUscite[[#Headers],[Casa]],IF(OR(H1292=$G$5,H1292=$G$6,H1292=$G$7,H1292=$G$8,H1292=$G$9,H1292=$G$10,H1292=$G$11,H1292=$G$12,H1292=$G$13,H1292=$G$14),SottocategorieUscite[[#Headers],[Utenze]],IF(OR(H1292=$H$5,H1292=$H$6,H1292=$H$7,H1292=$H$8,H1292=$H$9,H1292=$H$10,H1292=$H$11,H1292=$H$12,H1292=$H$13,H1292=$H$14),SottocategorieUscite[[#Headers],[Business Uscite]],IF(OR(H1292=$I$5,H1292=$I$6,H1292=$I$7,H1292=$I$8,H1292=$I$9,H1292=$I$10,H1292=$I$11,H1292=$I$12,H1292=$I$13,H1292=$I$14),SottocategorieUscite[[#Headers],[Banca]],IF(OR(H1292=K$5,H1292=K$6,H1292=K$7,H1292=K$8,H1292=K$9,H1292=K$10,H1292=K$11,H1292=K$12,H1292=K$13,H1292=K$14),SottocategorieEntrate[[#Headers],[Business Entrate]],IF(OR(H1292=L$5,H1292=L$6,H1292=L$7,H1292=L$8,H1292=L$9,H1292=L$10,H1292=L$11,H1292=L$12,H1292=L$13,H1292=L$14),SottocategorieEntrate[[#Headers],[Varie Entrate]],IF(OR(H1292=M$5,H1292=M$6,H1292=M$7,H1292=M$8,H1292=M$9,H1292=M$10,H1292=M$11,H1292=M$12,H1292=M$13,H1292=M$14),SottocategorieEntrate[[#Headers],[Real Estate]],IF(OR(H1292=N$5,H1292=N$6,H1292=N$7,H1292=N$8,H1292=N$9,H1292=N$10,H1292=N$11,H1292=N$12,H1292=N$13,H1292=N$14),SottocategorieEntrate[[#Headers],[Other]],""))))))))))))</f>
        <v/>
      </c>
      <c r="J1292" t="str">
        <f>IF(OR(Dati[[#This Row],[Categoria]]="Bollette",Dati[[#This Row],[Categoria]]="Conto &amp; Carte BNL",Dati[[#This Row],[Categoria]]="Prelievo",Dati[[#This Row],[Categoria]]="Affitto",Dati[[#This Row],[Categoria]]="BNL(Interessi Creditori)"),"Carta",IF(Dati[[#This Row],[Categoria]]&lt;&gt;0,"Cash",""))</f>
        <v/>
      </c>
      <c r="K1292" s="59" t="str">
        <f>IF(OR(Data!$I1292=SottocategorieUscite[[#Headers],[Fuori Casa]],Data!$I1292=SottocategorieUscite[[#Headers],[Varie Uscite]],Data!$I1292=SottocategorieUscite[[#Headers],[Personali]],Data!$I1292=SottocategorieUscite[[#Headers],[Lavoro]]),"$ -","")</f>
        <v/>
      </c>
      <c r="L1292" s="59" t="str">
        <f>IF(OR(Data!$I1292=SottocategorieUscite[[#Headers],[Casa]],Data!$I1292=SottocategorieUscite[[#Headers],[Utenze]],Data!$I1292=SottocategorieUscite[[#Headers],[Business Uscite]],Data!$I1292=SottocategorieUscite[[#Headers],[Banca]]),"$ -","")</f>
        <v/>
      </c>
      <c r="M1292" s="59" t="str">
        <f>IF(OR($I1292&lt;&gt;SottocategorieUscite[[#Headers],[Fuori Casa]],$I1292&lt;&gt;SottocategorieUscite[[#Headers],[Varie Uscite]],$I1292&lt;&gt;SottocategorieUscite[[#Headers],[Personali]],$I1292&lt;&gt;SottocategorieUscite[[#Headers],[Lavoro]],$I1292&lt;&gt;SottocategorieUscite[[#Headers],[Casa]],$I1292&lt;&gt;SottocategorieUscite[[#Headers],[Utenze]],$I1292&lt;&gt;SottocategorieUscite[[#Headers],[Business Uscite]],$I1292&lt;&gt;SottocategorieUscite[[#Headers],[Banca]]),"","$ -")</f>
        <v/>
      </c>
      <c r="N1292" s="59" t="str">
        <f>IF(OR(Data!$I1292=SottocategorieEntrate[[#Headers],[Business Entrate]],Data!$I1292=SottocategorieEntrate[[#Headers],[Varie Entrate]]),"$ -","")</f>
        <v/>
      </c>
      <c r="O1292" s="59" t="str">
        <f>IF(OR(Data!$I1292=SottocategorieEntrate[[#Headers],[Real Estate]],SottocategorieEntrate[[#Headers],[Other]]),"$ -","")</f>
        <v/>
      </c>
      <c r="P1292" s="59" t="str">
        <f>IF(OR($I1292&lt;&gt;SottocategorieEntrate[[#Headers],[Business Entrate]],$I1292&lt;&gt;SottocategorieEntrate[[#Headers],[Varie Entrate]],$I1292&lt;&gt;SottocategorieEntrate[[#Headers],[Real Estate]],$I1292&lt;&gt;SottocategorieEntrate[[#Headers],[Other]]),"","$ -")</f>
        <v/>
      </c>
      <c r="Q1292" s="59" t="str">
        <f>IF(Dati[[#This Row],[Categoria]]="Prelievo","€ -","")</f>
        <v/>
      </c>
      <c r="R1292" s="244"/>
      <c r="S1292" s="59" t="str">
        <f>IF(Dati[[#This Row],[Categoria]]="Savings",0,"")</f>
        <v/>
      </c>
      <c r="T1292" s="59"/>
      <c r="U1292" s="59"/>
      <c r="V1292" s="59"/>
      <c r="W1292" s="59"/>
      <c r="X1292" s="59"/>
      <c r="Y1292" s="59"/>
      <c r="Z1292" s="59"/>
      <c r="AA1292" s="59"/>
      <c r="AB1292" s="59"/>
      <c r="AC1292" s="59"/>
      <c r="AD1292" s="59"/>
      <c r="AE1292" s="59"/>
      <c r="AF1292" s="59"/>
      <c r="AG1292" s="59"/>
      <c r="AH1292" s="59"/>
      <c r="AI1292" s="59" t="str">
        <f>IF(SUM(Dati[[#This Row],[Inv. Business]:[Inv. Cryptocurrency]])=0," ",SUM(Dati[[#This Row],[Inv. Business]:[Inv. Cryptocurrency]]))</f>
        <v xml:space="preserve"> </v>
      </c>
      <c r="AJ1292" s="59"/>
      <c r="AK1292" s="59" t="str">
        <f>IF(SUM(Dati[[#This Row],[Inv. Gold]:[Mutuo]])=0," ",SUM(Dati[[#This Row],[Inv. Gold]:[Mutuo]]))</f>
        <v xml:space="preserve"> </v>
      </c>
      <c r="AL1292" s="59"/>
      <c r="AM1292" s="59"/>
    </row>
    <row r="1293" spans="2:39" x14ac:dyDescent="0.35">
      <c r="B1293" s="237">
        <f>ROW(1266:1266)</f>
        <v>1266</v>
      </c>
      <c r="C1293" s="49">
        <f>C1291+1</f>
        <v>45862</v>
      </c>
      <c r="D1293" s="29">
        <f>DAY(Dati[[#This Row],[Data]])</f>
        <v>24</v>
      </c>
      <c r="E1293" s="29" t="str">
        <f>IF(DAY(Data!$C$21:$C$1327)&gt;0,TEXT(Data!$C$21:$C$1327, "mmmm"),"")</f>
        <v>luglio</v>
      </c>
      <c r="F1293" s="29" t="str">
        <f>IF(DAY(Data!$C$21:$C$1327)&gt;0,TEXT(Data!$C$21:$C$1327, "aaaa"),"")</f>
        <v>2025</v>
      </c>
      <c r="I1293" t="str">
        <f>IF(OR(H1293=$B$5,H1293=$B$6,H1293=$B$7,H1293=$B$8,H1293=$B$9,H1293=$B$10,H1293=$B$11,H1293=$B$12,H1293=$B$13,H1293=$B$14),SottocategorieUscite[[#Headers],[Fuori Casa]],IF(OR(H1293=$C$5,H1293=$C$6,H1293=$C$7,H1293=$C$8,H1293=$C$9,H1293=$C$10,H1293=$C$11,H1293=$C$12,H1293=$C$13,H1293=$C$14),SottocategorieUscite[[#Headers],[Varie Uscite]],IF(OR(H1293=$D$5,H1293=$D$6,H1293=$D$7,H1293=$D$8,H1293=$D$9,H1293=$D$10,H1293=$D$11,H1293=$D$12,H1293=$D$13,H1293=$D$14),SottocategorieUscite[[#Headers],[Personali]],IF(OR(H1293=$E$5,H1293=$E$6,H1293=$E$7,H1293=$E$8,H1293=$E$9,H1293=$E$10,H1293=$E$11,H1293=$E$12,H1293=$E$13,H1293=$E$14),SottocategorieUscite[[#Headers],[Lavoro]],IF(OR(H1293=$F$5,H1293=$F$6,H1293=$F$7,H1293=$F$8,H1293=$F$9,H1293=$F$10,H1293=$F$11,H1293=$F$12,H1293=$F$13,H1293=$F$14),SottocategorieUscite[[#Headers],[Casa]],IF(OR(H1293=$G$5,H1293=$G$6,H1293=$G$7,H1293=$G$8,H1293=$G$9,H1293=$G$10,H1293=$G$11,H1293=$G$12,H1293=$G$13,H1293=$G$14),SottocategorieUscite[[#Headers],[Utenze]],IF(OR(H1293=$H$5,H1293=$H$6,H1293=$H$7,H1293=$H$8,H1293=$H$9,H1293=$H$10,H1293=$H$11,H1293=$H$12,H1293=$H$13,H1293=$H$14),SottocategorieUscite[[#Headers],[Business Uscite]],IF(OR(H1293=$I$5,H1293=$I$6,H1293=$I$7,H1293=$I$8,H1293=$I$9,H1293=$I$10,H1293=$I$11,H1293=$I$12,H1293=$I$13,H1293=$I$14),SottocategorieUscite[[#Headers],[Banca]],IF(OR(H1293=K$5,H1293=K$6,H1293=K$7,H1293=K$8,H1293=K$9,H1293=K$10,H1293=K$11,H1293=K$12,H1293=K$13,H1293=K$14),SottocategorieEntrate[[#Headers],[Business Entrate]],IF(OR(H1293=L$5,H1293=L$6,H1293=L$7,H1293=L$8,H1293=L$9,H1293=L$10,H1293=L$11,H1293=L$12,H1293=L$13,H1293=L$14),SottocategorieEntrate[[#Headers],[Varie Entrate]],IF(OR(H1293=M$5,H1293=M$6,H1293=M$7,H1293=M$8,H1293=M$9,H1293=M$10,H1293=M$11,H1293=M$12,H1293=M$13,H1293=M$14),SottocategorieEntrate[[#Headers],[Real Estate]],IF(OR(H1293=N$5,H1293=N$6,H1293=N$7,H1293=N$8,H1293=N$9,H1293=N$10,H1293=N$11,H1293=N$12,H1293=N$13,H1293=N$14),SottocategorieEntrate[[#Headers],[Other]],""))))))))))))</f>
        <v/>
      </c>
      <c r="J1293" t="str">
        <f>IF(OR(Dati[[#This Row],[Categoria]]="Bollette",Dati[[#This Row],[Categoria]]="Conto &amp; Carte BNL",Dati[[#This Row],[Categoria]]="Prelievo",Dati[[#This Row],[Categoria]]="Affitto",Dati[[#This Row],[Categoria]]="BNL(Interessi Creditori)"),"Carta",IF(Dati[[#This Row],[Categoria]]&lt;&gt;0,"Cash",""))</f>
        <v/>
      </c>
      <c r="K1293" s="59" t="str">
        <f>IF(OR(Data!$I1293=SottocategorieUscite[[#Headers],[Fuori Casa]],Data!$I1293=SottocategorieUscite[[#Headers],[Varie Uscite]],Data!$I1293=SottocategorieUscite[[#Headers],[Personali]],Data!$I1293=SottocategorieUscite[[#Headers],[Lavoro]]),"$ -","")</f>
        <v/>
      </c>
      <c r="L1293" s="59" t="str">
        <f>IF(OR(Data!$I1293=SottocategorieUscite[[#Headers],[Casa]],Data!$I1293=SottocategorieUscite[[#Headers],[Utenze]],Data!$I1293=SottocategorieUscite[[#Headers],[Business Uscite]],Data!$I1293=SottocategorieUscite[[#Headers],[Banca]]),"$ -","")</f>
        <v/>
      </c>
      <c r="M1293" s="59" t="str">
        <f>IF(OR($I1293&lt;&gt;SottocategorieUscite[[#Headers],[Fuori Casa]],$I1293&lt;&gt;SottocategorieUscite[[#Headers],[Varie Uscite]],$I1293&lt;&gt;SottocategorieUscite[[#Headers],[Personali]],$I1293&lt;&gt;SottocategorieUscite[[#Headers],[Lavoro]],$I1293&lt;&gt;SottocategorieUscite[[#Headers],[Casa]],$I1293&lt;&gt;SottocategorieUscite[[#Headers],[Utenze]],$I1293&lt;&gt;SottocategorieUscite[[#Headers],[Business Uscite]],$I1293&lt;&gt;SottocategorieUscite[[#Headers],[Banca]]),"","$ -")</f>
        <v/>
      </c>
      <c r="N1293" s="59" t="str">
        <f>IF(OR(Data!$I1293=SottocategorieEntrate[[#Headers],[Business Entrate]],Data!$I1293=SottocategorieEntrate[[#Headers],[Varie Entrate]]),"$ -","")</f>
        <v/>
      </c>
      <c r="O1293" s="59" t="str">
        <f>IF(OR(Data!$I1293=SottocategorieEntrate[[#Headers],[Real Estate]],SottocategorieEntrate[[#Headers],[Other]]),"$ -","")</f>
        <v/>
      </c>
      <c r="P1293" s="59" t="str">
        <f>IF(OR($I1293&lt;&gt;SottocategorieEntrate[[#Headers],[Business Entrate]],$I1293&lt;&gt;SottocategorieEntrate[[#Headers],[Varie Entrate]],$I1293&lt;&gt;SottocategorieEntrate[[#Headers],[Real Estate]],$I1293&lt;&gt;SottocategorieEntrate[[#Headers],[Other]]),"","$ -")</f>
        <v/>
      </c>
      <c r="Q1293" s="59" t="str">
        <f>IF(Dati[[#This Row],[Categoria]]="Prelievo","€ -","")</f>
        <v/>
      </c>
      <c r="R1293" s="244"/>
      <c r="S1293" s="59" t="str">
        <f>IF(Dati[[#This Row],[Categoria]]="Savings",0,"")</f>
        <v/>
      </c>
      <c r="T1293" s="59"/>
      <c r="U1293" s="59"/>
      <c r="V1293" s="59"/>
      <c r="W1293" s="59"/>
      <c r="X1293" s="59"/>
      <c r="Y1293" s="59"/>
      <c r="Z1293" s="59"/>
      <c r="AA1293" s="59"/>
      <c r="AB1293" s="59"/>
      <c r="AC1293" s="59"/>
      <c r="AD1293" s="59"/>
      <c r="AE1293" s="59"/>
      <c r="AF1293" s="59"/>
      <c r="AG1293" s="59"/>
      <c r="AH1293" s="59"/>
      <c r="AI1293" s="59" t="str">
        <f>IF(SUM(Dati[[#This Row],[Inv. Business]:[Inv. Cryptocurrency]])=0," ",SUM(Dati[[#This Row],[Inv. Business]:[Inv. Cryptocurrency]]))</f>
        <v xml:space="preserve"> </v>
      </c>
      <c r="AJ1293" s="59"/>
      <c r="AK1293" s="59" t="str">
        <f>IF(SUM(Dati[[#This Row],[Inv. Gold]:[Mutuo]])=0," ",SUM(Dati[[#This Row],[Inv. Gold]:[Mutuo]]))</f>
        <v xml:space="preserve"> </v>
      </c>
      <c r="AL1293" s="59"/>
      <c r="AM1293" s="59"/>
    </row>
    <row r="1294" spans="2:39" x14ac:dyDescent="0.35">
      <c r="B1294" s="237">
        <f>ROW(1266:1266)</f>
        <v>1266</v>
      </c>
      <c r="C1294" s="49">
        <f>C1291+1</f>
        <v>45862</v>
      </c>
      <c r="D1294" s="29">
        <f>DAY(Dati[[#This Row],[Data]])</f>
        <v>24</v>
      </c>
      <c r="E1294" s="29" t="str">
        <f>IF(DAY(Data!$C$21:$C$1327)&gt;0,TEXT(Data!$C$21:$C$1327, "mmmm"),"")</f>
        <v>luglio</v>
      </c>
      <c r="F1294" s="29" t="str">
        <f>IF(DAY(Data!$C$21:$C$1327)&gt;0,TEXT(Data!$C$21:$C$1327, "aaaa"),"")</f>
        <v>2025</v>
      </c>
      <c r="I1294" t="str">
        <f>IF(OR(H1294=$B$5,H1294=$B$6,H1294=$B$7,H1294=$B$8,H1294=$B$9,H1294=$B$10,H1294=$B$11,H1294=$B$12,H1294=$B$13,H1294=$B$14),SottocategorieUscite[[#Headers],[Fuori Casa]],IF(OR(H1294=$C$5,H1294=$C$6,H1294=$C$7,H1294=$C$8,H1294=$C$9,H1294=$C$10,H1294=$C$11,H1294=$C$12,H1294=$C$13,H1294=$C$14),SottocategorieUscite[[#Headers],[Varie Uscite]],IF(OR(H1294=$D$5,H1294=$D$6,H1294=$D$7,H1294=$D$8,H1294=$D$9,H1294=$D$10,H1294=$D$11,H1294=$D$12,H1294=$D$13,H1294=$D$14),SottocategorieUscite[[#Headers],[Personali]],IF(OR(H1294=$E$5,H1294=$E$6,H1294=$E$7,H1294=$E$8,H1294=$E$9,H1294=$E$10,H1294=$E$11,H1294=$E$12,H1294=$E$13,H1294=$E$14),SottocategorieUscite[[#Headers],[Lavoro]],IF(OR(H1294=$F$5,H1294=$F$6,H1294=$F$7,H1294=$F$8,H1294=$F$9,H1294=$F$10,H1294=$F$11,H1294=$F$12,H1294=$F$13,H1294=$F$14),SottocategorieUscite[[#Headers],[Casa]],IF(OR(H1294=$G$5,H1294=$G$6,H1294=$G$7,H1294=$G$8,H1294=$G$9,H1294=$G$10,H1294=$G$11,H1294=$G$12,H1294=$G$13,H1294=$G$14),SottocategorieUscite[[#Headers],[Utenze]],IF(OR(H1294=$H$5,H1294=$H$6,H1294=$H$7,H1294=$H$8,H1294=$H$9,H1294=$H$10,H1294=$H$11,H1294=$H$12,H1294=$H$13,H1294=$H$14),SottocategorieUscite[[#Headers],[Business Uscite]],IF(OR(H1294=$I$5,H1294=$I$6,H1294=$I$7,H1294=$I$8,H1294=$I$9,H1294=$I$10,H1294=$I$11,H1294=$I$12,H1294=$I$13,H1294=$I$14),SottocategorieUscite[[#Headers],[Banca]],IF(OR(H1294=K$5,H1294=K$6,H1294=K$7,H1294=K$8,H1294=K$9,H1294=K$10,H1294=K$11,H1294=K$12,H1294=K$13,H1294=K$14),SottocategorieEntrate[[#Headers],[Business Entrate]],IF(OR(H1294=L$5,H1294=L$6,H1294=L$7,H1294=L$8,H1294=L$9,H1294=L$10,H1294=L$11,H1294=L$12,H1294=L$13,H1294=L$14),SottocategorieEntrate[[#Headers],[Varie Entrate]],IF(OR(H1294=M$5,H1294=M$6,H1294=M$7,H1294=M$8,H1294=M$9,H1294=M$10,H1294=M$11,H1294=M$12,H1294=M$13,H1294=M$14),SottocategorieEntrate[[#Headers],[Real Estate]],IF(OR(H1294=N$5,H1294=N$6,H1294=N$7,H1294=N$8,H1294=N$9,H1294=N$10,H1294=N$11,H1294=N$12,H1294=N$13,H1294=N$14),SottocategorieEntrate[[#Headers],[Other]],""))))))))))))</f>
        <v/>
      </c>
      <c r="J1294" t="str">
        <f>IF(OR(Dati[[#This Row],[Categoria]]="Bollette",Dati[[#This Row],[Categoria]]="Conto &amp; Carte BNL",Dati[[#This Row],[Categoria]]="Prelievo",Dati[[#This Row],[Categoria]]="Affitto",Dati[[#This Row],[Categoria]]="BNL(Interessi Creditori)"),"Carta",IF(Dati[[#This Row],[Categoria]]&lt;&gt;0,"Cash",""))</f>
        <v/>
      </c>
      <c r="K1294" s="59" t="str">
        <f>IF(OR(Data!$I1294=SottocategorieUscite[[#Headers],[Fuori Casa]],Data!$I1294=SottocategorieUscite[[#Headers],[Varie Uscite]],Data!$I1294=SottocategorieUscite[[#Headers],[Personali]],Data!$I1294=SottocategorieUscite[[#Headers],[Lavoro]]),"$ -","")</f>
        <v/>
      </c>
      <c r="L1294" s="59" t="str">
        <f>IF(OR(Data!$I1294=SottocategorieUscite[[#Headers],[Casa]],Data!$I1294=SottocategorieUscite[[#Headers],[Utenze]],Data!$I1294=SottocategorieUscite[[#Headers],[Business Uscite]],Data!$I1294=SottocategorieUscite[[#Headers],[Banca]]),"$ -","")</f>
        <v/>
      </c>
      <c r="M1294" s="59" t="str">
        <f>IF(OR($I1294&lt;&gt;SottocategorieUscite[[#Headers],[Fuori Casa]],$I1294&lt;&gt;SottocategorieUscite[[#Headers],[Varie Uscite]],$I1294&lt;&gt;SottocategorieUscite[[#Headers],[Personali]],$I1294&lt;&gt;SottocategorieUscite[[#Headers],[Lavoro]],$I1294&lt;&gt;SottocategorieUscite[[#Headers],[Casa]],$I1294&lt;&gt;SottocategorieUscite[[#Headers],[Utenze]],$I1294&lt;&gt;SottocategorieUscite[[#Headers],[Business Uscite]],$I1294&lt;&gt;SottocategorieUscite[[#Headers],[Banca]]),"","$ -")</f>
        <v/>
      </c>
      <c r="N1294" s="59" t="str">
        <f>IF(OR(Data!$I1294=SottocategorieEntrate[[#Headers],[Business Entrate]],Data!$I1294=SottocategorieEntrate[[#Headers],[Varie Entrate]]),"$ -","")</f>
        <v/>
      </c>
      <c r="O1294" s="59" t="str">
        <f>IF(OR(Data!$I1294=SottocategorieEntrate[[#Headers],[Real Estate]],SottocategorieEntrate[[#Headers],[Other]]),"$ -","")</f>
        <v/>
      </c>
      <c r="P1294" s="59" t="str">
        <f>IF(OR($I1294&lt;&gt;SottocategorieEntrate[[#Headers],[Business Entrate]],$I1294&lt;&gt;SottocategorieEntrate[[#Headers],[Varie Entrate]],$I1294&lt;&gt;SottocategorieEntrate[[#Headers],[Real Estate]],$I1294&lt;&gt;SottocategorieEntrate[[#Headers],[Other]]),"","$ -")</f>
        <v/>
      </c>
      <c r="Q1294" s="59" t="str">
        <f>IF(Dati[[#This Row],[Categoria]]="Prelievo","€ -","")</f>
        <v/>
      </c>
      <c r="R1294" s="244"/>
      <c r="S1294" s="59" t="str">
        <f>IF(Dati[[#This Row],[Categoria]]="Savings",0,"")</f>
        <v/>
      </c>
      <c r="T1294" s="59"/>
      <c r="U1294" s="59"/>
      <c r="V1294" s="59"/>
      <c r="W1294" s="59"/>
      <c r="X1294" s="59"/>
      <c r="Y1294" s="59"/>
      <c r="Z1294" s="59"/>
      <c r="AA1294" s="59"/>
      <c r="AB1294" s="59"/>
      <c r="AC1294" s="59"/>
      <c r="AD1294" s="59"/>
      <c r="AE1294" s="59"/>
      <c r="AF1294" s="59"/>
      <c r="AG1294" s="59"/>
      <c r="AH1294" s="59"/>
      <c r="AI1294" s="59" t="str">
        <f>IF(SUM(Dati[[#This Row],[Inv. Business]:[Inv. Cryptocurrency]])=0," ",SUM(Dati[[#This Row],[Inv. Business]:[Inv. Cryptocurrency]]))</f>
        <v xml:space="preserve"> </v>
      </c>
      <c r="AJ1294" s="59"/>
      <c r="AK1294" s="59" t="str">
        <f>IF(SUM(Dati[[#This Row],[Inv. Gold]:[Mutuo]])=0," ",SUM(Dati[[#This Row],[Inv. Gold]:[Mutuo]]))</f>
        <v xml:space="preserve"> </v>
      </c>
      <c r="AL1294" s="59"/>
      <c r="AM1294" s="59"/>
    </row>
    <row r="1295" spans="2:39" x14ac:dyDescent="0.35">
      <c r="B1295" s="237">
        <f>ROW(1266:1266)</f>
        <v>1266</v>
      </c>
      <c r="C1295" s="49">
        <f>C1291+1</f>
        <v>45862</v>
      </c>
      <c r="D1295" s="29">
        <f>DAY(Dati[[#This Row],[Data]])</f>
        <v>24</v>
      </c>
      <c r="E1295" s="29" t="str">
        <f>IF(DAY(Data!$C$21:$C$1327)&gt;0,TEXT(Data!$C$21:$C$1327, "mmmm"),"")</f>
        <v>luglio</v>
      </c>
      <c r="F1295" s="29" t="str">
        <f>IF(DAY(Data!$C$21:$C$1327)&gt;0,TEXT(Data!$C$21:$C$1327, "aaaa"),"")</f>
        <v>2025</v>
      </c>
      <c r="I1295" t="str">
        <f>IF(OR(H1295=$B$5,H1295=$B$6,H1295=$B$7,H1295=$B$8,H1295=$B$9,H1295=$B$10,H1295=$B$11,H1295=$B$12,H1295=$B$13,H1295=$B$14),SottocategorieUscite[[#Headers],[Fuori Casa]],IF(OR(H1295=$C$5,H1295=$C$6,H1295=$C$7,H1295=$C$8,H1295=$C$9,H1295=$C$10,H1295=$C$11,H1295=$C$12,H1295=$C$13,H1295=$C$14),SottocategorieUscite[[#Headers],[Varie Uscite]],IF(OR(H1295=$D$5,H1295=$D$6,H1295=$D$7,H1295=$D$8,H1295=$D$9,H1295=$D$10,H1295=$D$11,H1295=$D$12,H1295=$D$13,H1295=$D$14),SottocategorieUscite[[#Headers],[Personali]],IF(OR(H1295=$E$5,H1295=$E$6,H1295=$E$7,H1295=$E$8,H1295=$E$9,H1295=$E$10,H1295=$E$11,H1295=$E$12,H1295=$E$13,H1295=$E$14),SottocategorieUscite[[#Headers],[Lavoro]],IF(OR(H1295=$F$5,H1295=$F$6,H1295=$F$7,H1295=$F$8,H1295=$F$9,H1295=$F$10,H1295=$F$11,H1295=$F$12,H1295=$F$13,H1295=$F$14),SottocategorieUscite[[#Headers],[Casa]],IF(OR(H1295=$G$5,H1295=$G$6,H1295=$G$7,H1295=$G$8,H1295=$G$9,H1295=$G$10,H1295=$G$11,H1295=$G$12,H1295=$G$13,H1295=$G$14),SottocategorieUscite[[#Headers],[Utenze]],IF(OR(H1295=$H$5,H1295=$H$6,H1295=$H$7,H1295=$H$8,H1295=$H$9,H1295=$H$10,H1295=$H$11,H1295=$H$12,H1295=$H$13,H1295=$H$14),SottocategorieUscite[[#Headers],[Business Uscite]],IF(OR(H1295=$I$5,H1295=$I$6,H1295=$I$7,H1295=$I$8,H1295=$I$9,H1295=$I$10,H1295=$I$11,H1295=$I$12,H1295=$I$13,H1295=$I$14),SottocategorieUscite[[#Headers],[Banca]],IF(OR(H1295=K$5,H1295=K$6,H1295=K$7,H1295=K$8,H1295=K$9,H1295=K$10,H1295=K$11,H1295=K$12,H1295=K$13,H1295=K$14),SottocategorieEntrate[[#Headers],[Business Entrate]],IF(OR(H1295=L$5,H1295=L$6,H1295=L$7,H1295=L$8,H1295=L$9,H1295=L$10,H1295=L$11,H1295=L$12,H1295=L$13,H1295=L$14),SottocategorieEntrate[[#Headers],[Varie Entrate]],IF(OR(H1295=M$5,H1295=M$6,H1295=M$7,H1295=M$8,H1295=M$9,H1295=M$10,H1295=M$11,H1295=M$12,H1295=M$13,H1295=M$14),SottocategorieEntrate[[#Headers],[Real Estate]],IF(OR(H1295=N$5,H1295=N$6,H1295=N$7,H1295=N$8,H1295=N$9,H1295=N$10,H1295=N$11,H1295=N$12,H1295=N$13,H1295=N$14),SottocategorieEntrate[[#Headers],[Other]],""))))))))))))</f>
        <v/>
      </c>
      <c r="J1295" t="str">
        <f>IF(OR(Dati[[#This Row],[Categoria]]="Bollette",Dati[[#This Row],[Categoria]]="Conto &amp; Carte BNL",Dati[[#This Row],[Categoria]]="Prelievo",Dati[[#This Row],[Categoria]]="Affitto",Dati[[#This Row],[Categoria]]="BNL(Interessi Creditori)"),"Carta",IF(Dati[[#This Row],[Categoria]]&lt;&gt;0,"Cash",""))</f>
        <v/>
      </c>
      <c r="K1295" s="59" t="str">
        <f>IF(OR(Data!$I1295=SottocategorieUscite[[#Headers],[Fuori Casa]],Data!$I1295=SottocategorieUscite[[#Headers],[Varie Uscite]],Data!$I1295=SottocategorieUscite[[#Headers],[Personali]],Data!$I1295=SottocategorieUscite[[#Headers],[Lavoro]]),"$ -","")</f>
        <v/>
      </c>
      <c r="L1295" s="59" t="str">
        <f>IF(OR(Data!$I1295=SottocategorieUscite[[#Headers],[Casa]],Data!$I1295=SottocategorieUscite[[#Headers],[Utenze]],Data!$I1295=SottocategorieUscite[[#Headers],[Business Uscite]],Data!$I1295=SottocategorieUscite[[#Headers],[Banca]]),"$ -","")</f>
        <v/>
      </c>
      <c r="M1295" s="59" t="str">
        <f>IF(OR($I1295&lt;&gt;SottocategorieUscite[[#Headers],[Fuori Casa]],$I1295&lt;&gt;SottocategorieUscite[[#Headers],[Varie Uscite]],$I1295&lt;&gt;SottocategorieUscite[[#Headers],[Personali]],$I1295&lt;&gt;SottocategorieUscite[[#Headers],[Lavoro]],$I1295&lt;&gt;SottocategorieUscite[[#Headers],[Casa]],$I1295&lt;&gt;SottocategorieUscite[[#Headers],[Utenze]],$I1295&lt;&gt;SottocategorieUscite[[#Headers],[Business Uscite]],$I1295&lt;&gt;SottocategorieUscite[[#Headers],[Banca]]),"","$ -")</f>
        <v/>
      </c>
      <c r="N1295" s="59" t="str">
        <f>IF(OR(Data!$I1295=SottocategorieEntrate[[#Headers],[Business Entrate]],Data!$I1295=SottocategorieEntrate[[#Headers],[Varie Entrate]]),"$ -","")</f>
        <v/>
      </c>
      <c r="O1295" s="59" t="str">
        <f>IF(OR(Data!$I1295=SottocategorieEntrate[[#Headers],[Real Estate]],SottocategorieEntrate[[#Headers],[Other]]),"$ -","")</f>
        <v/>
      </c>
      <c r="P1295" s="59" t="str">
        <f>IF(OR($I1295&lt;&gt;SottocategorieEntrate[[#Headers],[Business Entrate]],$I1295&lt;&gt;SottocategorieEntrate[[#Headers],[Varie Entrate]],$I1295&lt;&gt;SottocategorieEntrate[[#Headers],[Real Estate]],$I1295&lt;&gt;SottocategorieEntrate[[#Headers],[Other]]),"","$ -")</f>
        <v/>
      </c>
      <c r="Q1295" s="59" t="str">
        <f>IF(Dati[[#This Row],[Categoria]]="Prelievo","€ -","")</f>
        <v/>
      </c>
      <c r="R1295" s="244"/>
      <c r="S1295" s="59" t="str">
        <f>IF(Dati[[#This Row],[Categoria]]="Savings",0,"")</f>
        <v/>
      </c>
      <c r="T1295" s="59"/>
      <c r="U1295" s="59"/>
      <c r="V1295" s="59"/>
      <c r="W1295" s="59"/>
      <c r="X1295" s="59"/>
      <c r="Y1295" s="59"/>
      <c r="Z1295" s="59"/>
      <c r="AA1295" s="59"/>
      <c r="AB1295" s="59"/>
      <c r="AC1295" s="59"/>
      <c r="AD1295" s="59"/>
      <c r="AE1295" s="59"/>
      <c r="AF1295" s="59"/>
      <c r="AG1295" s="59"/>
      <c r="AH1295" s="59"/>
      <c r="AI1295" s="59" t="str">
        <f>IF(SUM(Dati[[#This Row],[Inv. Business]:[Inv. Cryptocurrency]])=0," ",SUM(Dati[[#This Row],[Inv. Business]:[Inv. Cryptocurrency]]))</f>
        <v xml:space="preserve"> </v>
      </c>
      <c r="AJ1295" s="59"/>
      <c r="AK1295" s="59" t="str">
        <f>IF(SUM(Dati[[#This Row],[Inv. Gold]:[Mutuo]])=0," ",SUM(Dati[[#This Row],[Inv. Gold]:[Mutuo]]))</f>
        <v xml:space="preserve"> </v>
      </c>
      <c r="AL1295" s="59"/>
      <c r="AM1295" s="59"/>
    </row>
    <row r="1296" spans="2:39" x14ac:dyDescent="0.35">
      <c r="B1296" s="237">
        <f>ROW(1267:1267)</f>
        <v>1267</v>
      </c>
      <c r="C1296" s="49">
        <f>C1292+1</f>
        <v>45863</v>
      </c>
      <c r="D1296" s="29">
        <f>DAY(Dati[[#This Row],[Data]])</f>
        <v>25</v>
      </c>
      <c r="E1296" s="29" t="str">
        <f>IF(DAY(Data!$C$21:$C$1327)&gt;0,TEXT(Data!$C$21:$C$1327, "mmmm"),"")</f>
        <v>luglio</v>
      </c>
      <c r="F1296" s="29" t="str">
        <f>IF(DAY(Data!$C$21:$C$1327)&gt;0,TEXT(Data!$C$21:$C$1327, "aaaa"),"")</f>
        <v>2025</v>
      </c>
      <c r="I1296" t="str">
        <f>IF(OR(H1296=$B$5,H1296=$B$6,H1296=$B$7,H1296=$B$8,H1296=$B$9,H1296=$B$10,H1296=$B$11,H1296=$B$12,H1296=$B$13,H1296=$B$14),SottocategorieUscite[[#Headers],[Fuori Casa]],IF(OR(H1296=$C$5,H1296=$C$6,H1296=$C$7,H1296=$C$8,H1296=$C$9,H1296=$C$10,H1296=$C$11,H1296=$C$12,H1296=$C$13,H1296=$C$14),SottocategorieUscite[[#Headers],[Varie Uscite]],IF(OR(H1296=$D$5,H1296=$D$6,H1296=$D$7,H1296=$D$8,H1296=$D$9,H1296=$D$10,H1296=$D$11,H1296=$D$12,H1296=$D$13,H1296=$D$14),SottocategorieUscite[[#Headers],[Personali]],IF(OR(H1296=$E$5,H1296=$E$6,H1296=$E$7,H1296=$E$8,H1296=$E$9,H1296=$E$10,H1296=$E$11,H1296=$E$12,H1296=$E$13,H1296=$E$14),SottocategorieUscite[[#Headers],[Lavoro]],IF(OR(H1296=$F$5,H1296=$F$6,H1296=$F$7,H1296=$F$8,H1296=$F$9,H1296=$F$10,H1296=$F$11,H1296=$F$12,H1296=$F$13,H1296=$F$14),SottocategorieUscite[[#Headers],[Casa]],IF(OR(H1296=$G$5,H1296=$G$6,H1296=$G$7,H1296=$G$8,H1296=$G$9,H1296=$G$10,H1296=$G$11,H1296=$G$12,H1296=$G$13,H1296=$G$14),SottocategorieUscite[[#Headers],[Utenze]],IF(OR(H1296=$H$5,H1296=$H$6,H1296=$H$7,H1296=$H$8,H1296=$H$9,H1296=$H$10,H1296=$H$11,H1296=$H$12,H1296=$H$13,H1296=$H$14),SottocategorieUscite[[#Headers],[Business Uscite]],IF(OR(H1296=$I$5,H1296=$I$6,H1296=$I$7,H1296=$I$8,H1296=$I$9,H1296=$I$10,H1296=$I$11,H1296=$I$12,H1296=$I$13,H1296=$I$14),SottocategorieUscite[[#Headers],[Banca]],IF(OR(H1296=K$5,H1296=K$6,H1296=K$7,H1296=K$8,H1296=K$9,H1296=K$10,H1296=K$11,H1296=K$12,H1296=K$13,H1296=K$14),SottocategorieEntrate[[#Headers],[Business Entrate]],IF(OR(H1296=L$5,H1296=L$6,H1296=L$7,H1296=L$8,H1296=L$9,H1296=L$10,H1296=L$11,H1296=L$12,H1296=L$13,H1296=L$14),SottocategorieEntrate[[#Headers],[Varie Entrate]],IF(OR(H1296=M$5,H1296=M$6,H1296=M$7,H1296=M$8,H1296=M$9,H1296=M$10,H1296=M$11,H1296=M$12,H1296=M$13,H1296=M$14),SottocategorieEntrate[[#Headers],[Real Estate]],IF(OR(H1296=N$5,H1296=N$6,H1296=N$7,H1296=N$8,H1296=N$9,H1296=N$10,H1296=N$11,H1296=N$12,H1296=N$13,H1296=N$14),SottocategorieEntrate[[#Headers],[Other]],""))))))))))))</f>
        <v/>
      </c>
      <c r="J1296" t="str">
        <f>IF(OR(Dati[[#This Row],[Categoria]]="Bollette",Dati[[#This Row],[Categoria]]="Conto &amp; Carte BNL",Dati[[#This Row],[Categoria]]="Prelievo",Dati[[#This Row],[Categoria]]="Affitto",Dati[[#This Row],[Categoria]]="BNL(Interessi Creditori)"),"Carta",IF(Dati[[#This Row],[Categoria]]&lt;&gt;0,"Cash",""))</f>
        <v/>
      </c>
      <c r="K1296" s="59" t="str">
        <f>IF(OR(Data!$I1296=SottocategorieUscite[[#Headers],[Fuori Casa]],Data!$I1296=SottocategorieUscite[[#Headers],[Varie Uscite]],Data!$I1296=SottocategorieUscite[[#Headers],[Personali]],Data!$I1296=SottocategorieUscite[[#Headers],[Lavoro]]),"$ -","")</f>
        <v/>
      </c>
      <c r="L1296" s="59" t="str">
        <f>IF(OR(Data!$I1296=SottocategorieUscite[[#Headers],[Casa]],Data!$I1296=SottocategorieUscite[[#Headers],[Utenze]],Data!$I1296=SottocategorieUscite[[#Headers],[Business Uscite]],Data!$I1296=SottocategorieUscite[[#Headers],[Banca]]),"$ -","")</f>
        <v/>
      </c>
      <c r="M1296" s="59" t="str">
        <f>IF(OR($I1296&lt;&gt;SottocategorieUscite[[#Headers],[Fuori Casa]],$I1296&lt;&gt;SottocategorieUscite[[#Headers],[Varie Uscite]],$I1296&lt;&gt;SottocategorieUscite[[#Headers],[Personali]],$I1296&lt;&gt;SottocategorieUscite[[#Headers],[Lavoro]],$I1296&lt;&gt;SottocategorieUscite[[#Headers],[Casa]],$I1296&lt;&gt;SottocategorieUscite[[#Headers],[Utenze]],$I1296&lt;&gt;SottocategorieUscite[[#Headers],[Business Uscite]],$I1296&lt;&gt;SottocategorieUscite[[#Headers],[Banca]]),"","$ -")</f>
        <v/>
      </c>
      <c r="N1296" s="59" t="str">
        <f>IF(OR(Data!$I1296=SottocategorieEntrate[[#Headers],[Business Entrate]],Data!$I1296=SottocategorieEntrate[[#Headers],[Varie Entrate]]),"$ -","")</f>
        <v/>
      </c>
      <c r="O1296" s="59" t="str">
        <f>IF(OR(Data!$I1296=SottocategorieEntrate[[#Headers],[Real Estate]],SottocategorieEntrate[[#Headers],[Other]]),"$ -","")</f>
        <v/>
      </c>
      <c r="P1296" s="59" t="str">
        <f>IF(OR($I1296&lt;&gt;SottocategorieEntrate[[#Headers],[Business Entrate]],$I1296&lt;&gt;SottocategorieEntrate[[#Headers],[Varie Entrate]],$I1296&lt;&gt;SottocategorieEntrate[[#Headers],[Real Estate]],$I1296&lt;&gt;SottocategorieEntrate[[#Headers],[Other]]),"","$ -")</f>
        <v/>
      </c>
      <c r="Q1296" s="59" t="str">
        <f>IF(Dati[[#This Row],[Categoria]]="Prelievo","€ -","")</f>
        <v/>
      </c>
      <c r="R1296" s="244"/>
      <c r="S1296" s="59" t="str">
        <f>IF(Dati[[#This Row],[Categoria]]="Savings",0,"")</f>
        <v/>
      </c>
      <c r="T1296" s="59"/>
      <c r="U1296" s="59"/>
      <c r="V1296" s="59"/>
      <c r="W1296" s="59"/>
      <c r="X1296" s="59"/>
      <c r="Y1296" s="59"/>
      <c r="Z1296" s="59"/>
      <c r="AA1296" s="59"/>
      <c r="AB1296" s="59"/>
      <c r="AC1296" s="59"/>
      <c r="AD1296" s="59"/>
      <c r="AE1296" s="59"/>
      <c r="AF1296" s="59"/>
      <c r="AG1296" s="59"/>
      <c r="AH1296" s="59"/>
      <c r="AI1296" s="59" t="str">
        <f>IF(SUM(Dati[[#This Row],[Inv. Business]:[Inv. Cryptocurrency]])=0," ",SUM(Dati[[#This Row],[Inv. Business]:[Inv. Cryptocurrency]]))</f>
        <v xml:space="preserve"> </v>
      </c>
      <c r="AJ1296" s="59"/>
      <c r="AK1296" s="59" t="str">
        <f>IF(SUM(Dati[[#This Row],[Inv. Gold]:[Mutuo]])=0," ",SUM(Dati[[#This Row],[Inv. Gold]:[Mutuo]]))</f>
        <v xml:space="preserve"> </v>
      </c>
      <c r="AL1296" s="59"/>
      <c r="AM1296" s="59"/>
    </row>
    <row r="1297" spans="2:39" x14ac:dyDescent="0.35">
      <c r="B1297" s="237">
        <f>ROW(1270:1270)</f>
        <v>1270</v>
      </c>
      <c r="C1297" s="49">
        <f t="shared" si="85"/>
        <v>45864</v>
      </c>
      <c r="D1297" s="29">
        <f>DAY(Dati[[#This Row],[Data]])</f>
        <v>26</v>
      </c>
      <c r="E1297" s="29" t="str">
        <f>IF(DAY(Data!$C$21:$C$1327)&gt;0,TEXT(Data!$C$21:$C$1327, "mmmm"),"")</f>
        <v>luglio</v>
      </c>
      <c r="F1297" s="29" t="str">
        <f>IF(DAY(Data!$C$21:$C$1327)&gt;0,TEXT(Data!$C$21:$C$1327, "aaaa"),"")</f>
        <v>2025</v>
      </c>
      <c r="I1297" t="str">
        <f>IF(OR(H1297=$B$5,H1297=$B$6,H1297=$B$7,H1297=$B$8,H1297=$B$9,H1297=$B$10,H1297=$B$11,H1297=$B$12,H1297=$B$13,H1297=$B$14),SottocategorieUscite[[#Headers],[Fuori Casa]],IF(OR(H1297=$C$5,H1297=$C$6,H1297=$C$7,H1297=$C$8,H1297=$C$9,H1297=$C$10,H1297=$C$11,H1297=$C$12,H1297=$C$13,H1297=$C$14),SottocategorieUscite[[#Headers],[Varie Uscite]],IF(OR(H1297=$D$5,H1297=$D$6,H1297=$D$7,H1297=$D$8,H1297=$D$9,H1297=$D$10,H1297=$D$11,H1297=$D$12,H1297=$D$13,H1297=$D$14),SottocategorieUscite[[#Headers],[Personali]],IF(OR(H1297=$E$5,H1297=$E$6,H1297=$E$7,H1297=$E$8,H1297=$E$9,H1297=$E$10,H1297=$E$11,H1297=$E$12,H1297=$E$13,H1297=$E$14),SottocategorieUscite[[#Headers],[Lavoro]],IF(OR(H1297=$F$5,H1297=$F$6,H1297=$F$7,H1297=$F$8,H1297=$F$9,H1297=$F$10,H1297=$F$11,H1297=$F$12,H1297=$F$13,H1297=$F$14),SottocategorieUscite[[#Headers],[Casa]],IF(OR(H1297=$G$5,H1297=$G$6,H1297=$G$7,H1297=$G$8,H1297=$G$9,H1297=$G$10,H1297=$G$11,H1297=$G$12,H1297=$G$13,H1297=$G$14),SottocategorieUscite[[#Headers],[Utenze]],IF(OR(H1297=$H$5,H1297=$H$6,H1297=$H$7,H1297=$H$8,H1297=$H$9,H1297=$H$10,H1297=$H$11,H1297=$H$12,H1297=$H$13,H1297=$H$14),SottocategorieUscite[[#Headers],[Business Uscite]],IF(OR(H1297=$I$5,H1297=$I$6,H1297=$I$7,H1297=$I$8,H1297=$I$9,H1297=$I$10,H1297=$I$11,H1297=$I$12,H1297=$I$13,H1297=$I$14),SottocategorieUscite[[#Headers],[Banca]],IF(OR(H1297=K$5,H1297=K$6,H1297=K$7,H1297=K$8,H1297=K$9,H1297=K$10,H1297=K$11,H1297=K$12,H1297=K$13,H1297=K$14),SottocategorieEntrate[[#Headers],[Business Entrate]],IF(OR(H1297=L$5,H1297=L$6,H1297=L$7,H1297=L$8,H1297=L$9,H1297=L$10,H1297=L$11,H1297=L$12,H1297=L$13,H1297=L$14),SottocategorieEntrate[[#Headers],[Varie Entrate]],IF(OR(H1297=M$5,H1297=M$6,H1297=M$7,H1297=M$8,H1297=M$9,H1297=M$10,H1297=M$11,H1297=M$12,H1297=M$13,H1297=M$14),SottocategorieEntrate[[#Headers],[Real Estate]],IF(OR(H1297=N$5,H1297=N$6,H1297=N$7,H1297=N$8,H1297=N$9,H1297=N$10,H1297=N$11,H1297=N$12,H1297=N$13,H1297=N$14),SottocategorieEntrate[[#Headers],[Other]],""))))))))))))</f>
        <v/>
      </c>
      <c r="J1297" t="str">
        <f>IF(OR(Dati[[#This Row],[Categoria]]="Bollette",Dati[[#This Row],[Categoria]]="Conto &amp; Carte BNL",Dati[[#This Row],[Categoria]]="Prelievo",Dati[[#This Row],[Categoria]]="Affitto",Dati[[#This Row],[Categoria]]="BNL(Interessi Creditori)"),"Carta",IF(Dati[[#This Row],[Categoria]]&lt;&gt;0,"Cash",""))</f>
        <v/>
      </c>
      <c r="K1297" s="59" t="str">
        <f>IF(OR(Data!$I1297=SottocategorieUscite[[#Headers],[Fuori Casa]],Data!$I1297=SottocategorieUscite[[#Headers],[Varie Uscite]],Data!$I1297=SottocategorieUscite[[#Headers],[Personali]],Data!$I1297=SottocategorieUscite[[#Headers],[Lavoro]]),"$ -","")</f>
        <v/>
      </c>
      <c r="L1297" s="59" t="str">
        <f>IF(OR(Data!$I1297=SottocategorieUscite[[#Headers],[Casa]],Data!$I1297=SottocategorieUscite[[#Headers],[Utenze]],Data!$I1297=SottocategorieUscite[[#Headers],[Business Uscite]],Data!$I1297=SottocategorieUscite[[#Headers],[Banca]]),"$ -","")</f>
        <v/>
      </c>
      <c r="M1297" s="59" t="str">
        <f>IF(OR($I1297&lt;&gt;SottocategorieUscite[[#Headers],[Fuori Casa]],$I1297&lt;&gt;SottocategorieUscite[[#Headers],[Varie Uscite]],$I1297&lt;&gt;SottocategorieUscite[[#Headers],[Personali]],$I1297&lt;&gt;SottocategorieUscite[[#Headers],[Lavoro]],$I1297&lt;&gt;SottocategorieUscite[[#Headers],[Casa]],$I1297&lt;&gt;SottocategorieUscite[[#Headers],[Utenze]],$I1297&lt;&gt;SottocategorieUscite[[#Headers],[Business Uscite]],$I1297&lt;&gt;SottocategorieUscite[[#Headers],[Banca]]),"","$ -")</f>
        <v/>
      </c>
      <c r="N1297" s="59" t="str">
        <f>IF(OR(Data!$I1297=SottocategorieEntrate[[#Headers],[Business Entrate]],Data!$I1297=SottocategorieEntrate[[#Headers],[Varie Entrate]]),"$ -","")</f>
        <v/>
      </c>
      <c r="O1297" s="59" t="str">
        <f>IF(OR(Data!$I1297=SottocategorieEntrate[[#Headers],[Real Estate]],SottocategorieEntrate[[#Headers],[Other]]),"$ -","")</f>
        <v/>
      </c>
      <c r="P1297" s="59" t="str">
        <f>IF(OR($I1297&lt;&gt;SottocategorieEntrate[[#Headers],[Business Entrate]],$I1297&lt;&gt;SottocategorieEntrate[[#Headers],[Varie Entrate]],$I1297&lt;&gt;SottocategorieEntrate[[#Headers],[Real Estate]],$I1297&lt;&gt;SottocategorieEntrate[[#Headers],[Other]]),"","$ -")</f>
        <v/>
      </c>
      <c r="Q1297" s="59" t="str">
        <f>IF(Dati[[#This Row],[Categoria]]="Prelievo","€ -","")</f>
        <v/>
      </c>
      <c r="R1297" s="244"/>
      <c r="S1297" s="59" t="str">
        <f>IF(Dati[[#This Row],[Categoria]]="Savings",0,"")</f>
        <v/>
      </c>
      <c r="T1297" s="59"/>
      <c r="U1297" s="59"/>
      <c r="V1297" s="59"/>
      <c r="W1297" s="59"/>
      <c r="X1297" s="59"/>
      <c r="Y1297" s="59"/>
      <c r="Z1297" s="59"/>
      <c r="AA1297" s="59"/>
      <c r="AB1297" s="59"/>
      <c r="AC1297" s="59"/>
      <c r="AD1297" s="59"/>
      <c r="AE1297" s="59"/>
      <c r="AF1297" s="59"/>
      <c r="AG1297" s="59"/>
      <c r="AH1297" s="59"/>
      <c r="AI1297" s="59" t="str">
        <f>IF(SUM(Dati[[#This Row],[Inv. Business]:[Inv. Cryptocurrency]])=0," ",SUM(Dati[[#This Row],[Inv. Business]:[Inv. Cryptocurrency]]))</f>
        <v xml:space="preserve"> </v>
      </c>
      <c r="AJ1297" s="59"/>
      <c r="AK1297" s="59" t="str">
        <f>IF(SUM(Dati[[#This Row],[Inv. Gold]:[Mutuo]])=0," ",SUM(Dati[[#This Row],[Inv. Gold]:[Mutuo]]))</f>
        <v xml:space="preserve"> </v>
      </c>
      <c r="AL1297" s="59"/>
      <c r="AM1297" s="59"/>
    </row>
    <row r="1298" spans="2:39" x14ac:dyDescent="0.35">
      <c r="B1298" s="237">
        <f>ROW(1271:1271)</f>
        <v>1271</v>
      </c>
      <c r="C1298" s="49">
        <f t="shared" si="85"/>
        <v>45865</v>
      </c>
      <c r="D1298" s="29">
        <f>DAY(Dati[[#This Row],[Data]])</f>
        <v>27</v>
      </c>
      <c r="E1298" s="29" t="str">
        <f>IF(DAY(Data!$C$21:$C$1327)&gt;0,TEXT(Data!$C$21:$C$1327, "mmmm"),"")</f>
        <v>luglio</v>
      </c>
      <c r="F1298" s="29" t="str">
        <f>IF(DAY(Data!$C$21:$C$1327)&gt;0,TEXT(Data!$C$21:$C$1327, "aaaa"),"")</f>
        <v>2025</v>
      </c>
      <c r="I1298" t="str">
        <f>IF(OR(H1298=$B$5,H1298=$B$6,H1298=$B$7,H1298=$B$8,H1298=$B$9,H1298=$B$10,H1298=$B$11,H1298=$B$12,H1298=$B$13,H1298=$B$14),SottocategorieUscite[[#Headers],[Fuori Casa]],IF(OR(H1298=$C$5,H1298=$C$6,H1298=$C$7,H1298=$C$8,H1298=$C$9,H1298=$C$10,H1298=$C$11,H1298=$C$12,H1298=$C$13,H1298=$C$14),SottocategorieUscite[[#Headers],[Varie Uscite]],IF(OR(H1298=$D$5,H1298=$D$6,H1298=$D$7,H1298=$D$8,H1298=$D$9,H1298=$D$10,H1298=$D$11,H1298=$D$12,H1298=$D$13,H1298=$D$14),SottocategorieUscite[[#Headers],[Personali]],IF(OR(H1298=$E$5,H1298=$E$6,H1298=$E$7,H1298=$E$8,H1298=$E$9,H1298=$E$10,H1298=$E$11,H1298=$E$12,H1298=$E$13,H1298=$E$14),SottocategorieUscite[[#Headers],[Lavoro]],IF(OR(H1298=$F$5,H1298=$F$6,H1298=$F$7,H1298=$F$8,H1298=$F$9,H1298=$F$10,H1298=$F$11,H1298=$F$12,H1298=$F$13,H1298=$F$14),SottocategorieUscite[[#Headers],[Casa]],IF(OR(H1298=$G$5,H1298=$G$6,H1298=$G$7,H1298=$G$8,H1298=$G$9,H1298=$G$10,H1298=$G$11,H1298=$G$12,H1298=$G$13,H1298=$G$14),SottocategorieUscite[[#Headers],[Utenze]],IF(OR(H1298=$H$5,H1298=$H$6,H1298=$H$7,H1298=$H$8,H1298=$H$9,H1298=$H$10,H1298=$H$11,H1298=$H$12,H1298=$H$13,H1298=$H$14),SottocategorieUscite[[#Headers],[Business Uscite]],IF(OR(H1298=$I$5,H1298=$I$6,H1298=$I$7,H1298=$I$8,H1298=$I$9,H1298=$I$10,H1298=$I$11,H1298=$I$12,H1298=$I$13,H1298=$I$14),SottocategorieUscite[[#Headers],[Banca]],IF(OR(H1298=K$5,H1298=K$6,H1298=K$7,H1298=K$8,H1298=K$9,H1298=K$10,H1298=K$11,H1298=K$12,H1298=K$13,H1298=K$14),SottocategorieEntrate[[#Headers],[Business Entrate]],IF(OR(H1298=L$5,H1298=L$6,H1298=L$7,H1298=L$8,H1298=L$9,H1298=L$10,H1298=L$11,H1298=L$12,H1298=L$13,H1298=L$14),SottocategorieEntrate[[#Headers],[Varie Entrate]],IF(OR(H1298=M$5,H1298=M$6,H1298=M$7,H1298=M$8,H1298=M$9,H1298=M$10,H1298=M$11,H1298=M$12,H1298=M$13,H1298=M$14),SottocategorieEntrate[[#Headers],[Real Estate]],IF(OR(H1298=N$5,H1298=N$6,H1298=N$7,H1298=N$8,H1298=N$9,H1298=N$10,H1298=N$11,H1298=N$12,H1298=N$13,H1298=N$14),SottocategorieEntrate[[#Headers],[Other]],""))))))))))))</f>
        <v/>
      </c>
      <c r="J1298" t="str">
        <f>IF(OR(Dati[[#This Row],[Categoria]]="Bollette",Dati[[#This Row],[Categoria]]="Conto &amp; Carte BNL",Dati[[#This Row],[Categoria]]="Prelievo",Dati[[#This Row],[Categoria]]="Affitto",Dati[[#This Row],[Categoria]]="BNL(Interessi Creditori)"),"Carta",IF(Dati[[#This Row],[Categoria]]&lt;&gt;0,"Cash",""))</f>
        <v/>
      </c>
      <c r="K1298" s="59" t="str">
        <f>IF(OR(Data!$I1298=SottocategorieUscite[[#Headers],[Fuori Casa]],Data!$I1298=SottocategorieUscite[[#Headers],[Varie Uscite]],Data!$I1298=SottocategorieUscite[[#Headers],[Personali]],Data!$I1298=SottocategorieUscite[[#Headers],[Lavoro]]),"$ -","")</f>
        <v/>
      </c>
      <c r="L1298" s="59" t="str">
        <f>IF(OR(Data!$I1298=SottocategorieUscite[[#Headers],[Casa]],Data!$I1298=SottocategorieUscite[[#Headers],[Utenze]],Data!$I1298=SottocategorieUscite[[#Headers],[Business Uscite]],Data!$I1298=SottocategorieUscite[[#Headers],[Banca]]),"$ -","")</f>
        <v/>
      </c>
      <c r="M1298" s="59" t="str">
        <f>IF(OR($I1298&lt;&gt;SottocategorieUscite[[#Headers],[Fuori Casa]],$I1298&lt;&gt;SottocategorieUscite[[#Headers],[Varie Uscite]],$I1298&lt;&gt;SottocategorieUscite[[#Headers],[Personali]],$I1298&lt;&gt;SottocategorieUscite[[#Headers],[Lavoro]],$I1298&lt;&gt;SottocategorieUscite[[#Headers],[Casa]],$I1298&lt;&gt;SottocategorieUscite[[#Headers],[Utenze]],$I1298&lt;&gt;SottocategorieUscite[[#Headers],[Business Uscite]],$I1298&lt;&gt;SottocategorieUscite[[#Headers],[Banca]]),"","$ -")</f>
        <v/>
      </c>
      <c r="N1298" s="59" t="str">
        <f>IF(OR(Data!$I1298=SottocategorieEntrate[[#Headers],[Business Entrate]],Data!$I1298=SottocategorieEntrate[[#Headers],[Varie Entrate]]),"$ -","")</f>
        <v/>
      </c>
      <c r="O1298" s="59" t="str">
        <f>IF(OR(Data!$I1298=SottocategorieEntrate[[#Headers],[Real Estate]],SottocategorieEntrate[[#Headers],[Other]]),"$ -","")</f>
        <v/>
      </c>
      <c r="P1298" s="59" t="str">
        <f>IF(OR($I1298&lt;&gt;SottocategorieEntrate[[#Headers],[Business Entrate]],$I1298&lt;&gt;SottocategorieEntrate[[#Headers],[Varie Entrate]],$I1298&lt;&gt;SottocategorieEntrate[[#Headers],[Real Estate]],$I1298&lt;&gt;SottocategorieEntrate[[#Headers],[Other]]),"","$ -")</f>
        <v/>
      </c>
      <c r="Q1298" s="59" t="str">
        <f>IF(Dati[[#This Row],[Categoria]]="Prelievo","€ -","")</f>
        <v/>
      </c>
      <c r="R1298" s="244"/>
      <c r="S1298" s="59" t="str">
        <f>IF(Dati[[#This Row],[Categoria]]="Savings",0,"")</f>
        <v/>
      </c>
      <c r="T1298" s="59"/>
      <c r="U1298" s="59"/>
      <c r="V1298" s="59"/>
      <c r="W1298" s="59"/>
      <c r="X1298" s="59"/>
      <c r="Y1298" s="59"/>
      <c r="Z1298" s="59"/>
      <c r="AA1298" s="59"/>
      <c r="AB1298" s="59"/>
      <c r="AC1298" s="59"/>
      <c r="AD1298" s="59"/>
      <c r="AE1298" s="59"/>
      <c r="AF1298" s="59"/>
      <c r="AG1298" s="59"/>
      <c r="AH1298" s="59"/>
      <c r="AI1298" s="59" t="str">
        <f>IF(SUM(Dati[[#This Row],[Inv. Business]:[Inv. Cryptocurrency]])=0," ",SUM(Dati[[#This Row],[Inv. Business]:[Inv. Cryptocurrency]]))</f>
        <v xml:space="preserve"> </v>
      </c>
      <c r="AJ1298" s="59"/>
      <c r="AK1298" s="59" t="str">
        <f>IF(SUM(Dati[[#This Row],[Inv. Gold]:[Mutuo]])=0," ",SUM(Dati[[#This Row],[Inv. Gold]:[Mutuo]]))</f>
        <v xml:space="preserve"> </v>
      </c>
      <c r="AL1298" s="59"/>
      <c r="AM1298" s="59"/>
    </row>
    <row r="1299" spans="2:39" x14ac:dyDescent="0.35">
      <c r="B1299" s="237">
        <f>ROW(1272:1272)</f>
        <v>1272</v>
      </c>
      <c r="C1299" s="49">
        <f t="shared" ref="C1299:C1320" si="93">C1298+1</f>
        <v>45866</v>
      </c>
      <c r="D1299" s="29">
        <f>DAY(Dati[[#This Row],[Data]])</f>
        <v>28</v>
      </c>
      <c r="E1299" s="29" t="str">
        <f>IF(DAY(Data!$C$21:$C$1327)&gt;0,TEXT(Data!$C$21:$C$1327, "mmmm"),"")</f>
        <v>luglio</v>
      </c>
      <c r="F1299" s="29" t="str">
        <f>IF(DAY(Data!$C$21:$C$1327)&gt;0,TEXT(Data!$C$21:$C$1327, "aaaa"),"")</f>
        <v>2025</v>
      </c>
      <c r="I1299" t="str">
        <f>IF(OR(H1299=$B$5,H1299=$B$6,H1299=$B$7,H1299=$B$8,H1299=$B$9,H1299=$B$10,H1299=$B$11,H1299=$B$12,H1299=$B$13,H1299=$B$14),SottocategorieUscite[[#Headers],[Fuori Casa]],IF(OR(H1299=$C$5,H1299=$C$6,H1299=$C$7,H1299=$C$8,H1299=$C$9,H1299=$C$10,H1299=$C$11,H1299=$C$12,H1299=$C$13,H1299=$C$14),SottocategorieUscite[[#Headers],[Varie Uscite]],IF(OR(H1299=$D$5,H1299=$D$6,H1299=$D$7,H1299=$D$8,H1299=$D$9,H1299=$D$10,H1299=$D$11,H1299=$D$12,H1299=$D$13,H1299=$D$14),SottocategorieUscite[[#Headers],[Personali]],IF(OR(H1299=$E$5,H1299=$E$6,H1299=$E$7,H1299=$E$8,H1299=$E$9,H1299=$E$10,H1299=$E$11,H1299=$E$12,H1299=$E$13,H1299=$E$14),SottocategorieUscite[[#Headers],[Lavoro]],IF(OR(H1299=$F$5,H1299=$F$6,H1299=$F$7,H1299=$F$8,H1299=$F$9,H1299=$F$10,H1299=$F$11,H1299=$F$12,H1299=$F$13,H1299=$F$14),SottocategorieUscite[[#Headers],[Casa]],IF(OR(H1299=$G$5,H1299=$G$6,H1299=$G$7,H1299=$G$8,H1299=$G$9,H1299=$G$10,H1299=$G$11,H1299=$G$12,H1299=$G$13,H1299=$G$14),SottocategorieUscite[[#Headers],[Utenze]],IF(OR(H1299=$H$5,H1299=$H$6,H1299=$H$7,H1299=$H$8,H1299=$H$9,H1299=$H$10,H1299=$H$11,H1299=$H$12,H1299=$H$13,H1299=$H$14),SottocategorieUscite[[#Headers],[Business Uscite]],IF(OR(H1299=$I$5,H1299=$I$6,H1299=$I$7,H1299=$I$8,H1299=$I$9,H1299=$I$10,H1299=$I$11,H1299=$I$12,H1299=$I$13,H1299=$I$14),SottocategorieUscite[[#Headers],[Banca]],IF(OR(H1299=K$5,H1299=K$6,H1299=K$7,H1299=K$8,H1299=K$9,H1299=K$10,H1299=K$11,H1299=K$12,H1299=K$13,H1299=K$14),SottocategorieEntrate[[#Headers],[Business Entrate]],IF(OR(H1299=L$5,H1299=L$6,H1299=L$7,H1299=L$8,H1299=L$9,H1299=L$10,H1299=L$11,H1299=L$12,H1299=L$13,H1299=L$14),SottocategorieEntrate[[#Headers],[Varie Entrate]],IF(OR(H1299=M$5,H1299=M$6,H1299=M$7,H1299=M$8,H1299=M$9,H1299=M$10,H1299=M$11,H1299=M$12,H1299=M$13,H1299=M$14),SottocategorieEntrate[[#Headers],[Real Estate]],IF(OR(H1299=N$5,H1299=N$6,H1299=N$7,H1299=N$8,H1299=N$9,H1299=N$10,H1299=N$11,H1299=N$12,H1299=N$13,H1299=N$14),SottocategorieEntrate[[#Headers],[Other]],""))))))))))))</f>
        <v/>
      </c>
      <c r="J1299" t="str">
        <f>IF(OR(Dati[[#This Row],[Categoria]]="Bollette",Dati[[#This Row],[Categoria]]="Conto &amp; Carte BNL",Dati[[#This Row],[Categoria]]="Prelievo",Dati[[#This Row],[Categoria]]="Affitto",Dati[[#This Row],[Categoria]]="BNL(Interessi Creditori)"),"Carta",IF(Dati[[#This Row],[Categoria]]&lt;&gt;0,"Cash",""))</f>
        <v/>
      </c>
      <c r="K1299" s="59" t="str">
        <f>IF(OR(Data!$I1299=SottocategorieUscite[[#Headers],[Fuori Casa]],Data!$I1299=SottocategorieUscite[[#Headers],[Varie Uscite]],Data!$I1299=SottocategorieUscite[[#Headers],[Personali]],Data!$I1299=SottocategorieUscite[[#Headers],[Lavoro]]),"$ -","")</f>
        <v/>
      </c>
      <c r="L1299" s="59" t="str">
        <f>IF(OR(Data!$I1299=SottocategorieUscite[[#Headers],[Casa]],Data!$I1299=SottocategorieUscite[[#Headers],[Utenze]],Data!$I1299=SottocategorieUscite[[#Headers],[Business Uscite]],Data!$I1299=SottocategorieUscite[[#Headers],[Banca]]),"$ -","")</f>
        <v/>
      </c>
      <c r="M1299" s="59" t="str">
        <f>IF(OR($I1299&lt;&gt;SottocategorieUscite[[#Headers],[Fuori Casa]],$I1299&lt;&gt;SottocategorieUscite[[#Headers],[Varie Uscite]],$I1299&lt;&gt;SottocategorieUscite[[#Headers],[Personali]],$I1299&lt;&gt;SottocategorieUscite[[#Headers],[Lavoro]],$I1299&lt;&gt;SottocategorieUscite[[#Headers],[Casa]],$I1299&lt;&gt;SottocategorieUscite[[#Headers],[Utenze]],$I1299&lt;&gt;SottocategorieUscite[[#Headers],[Business Uscite]],$I1299&lt;&gt;SottocategorieUscite[[#Headers],[Banca]]),"","$ -")</f>
        <v/>
      </c>
      <c r="N1299" s="59" t="str">
        <f>IF(OR(Data!$I1299=SottocategorieEntrate[[#Headers],[Business Entrate]],Data!$I1299=SottocategorieEntrate[[#Headers],[Varie Entrate]]),"$ -","")</f>
        <v/>
      </c>
      <c r="O1299" s="59" t="str">
        <f>IF(OR(Data!$I1299=SottocategorieEntrate[[#Headers],[Real Estate]],SottocategorieEntrate[[#Headers],[Other]]),"$ -","")</f>
        <v/>
      </c>
      <c r="P1299" s="59" t="str">
        <f>IF(OR($I1299&lt;&gt;SottocategorieEntrate[[#Headers],[Business Entrate]],$I1299&lt;&gt;SottocategorieEntrate[[#Headers],[Varie Entrate]],$I1299&lt;&gt;SottocategorieEntrate[[#Headers],[Real Estate]],$I1299&lt;&gt;SottocategorieEntrate[[#Headers],[Other]]),"","$ -")</f>
        <v/>
      </c>
      <c r="Q1299" s="59" t="str">
        <f>IF(Dati[[#This Row],[Categoria]]="Prelievo","€ -","")</f>
        <v/>
      </c>
      <c r="R1299" s="244"/>
      <c r="S1299" s="59" t="str">
        <f>IF(Dati[[#This Row],[Categoria]]="Savings",0,"")</f>
        <v/>
      </c>
      <c r="T1299" s="59"/>
      <c r="U1299" s="59"/>
      <c r="V1299" s="59"/>
      <c r="W1299" s="59"/>
      <c r="X1299" s="59"/>
      <c r="Y1299" s="59"/>
      <c r="Z1299" s="59"/>
      <c r="AA1299" s="59"/>
      <c r="AB1299" s="59"/>
      <c r="AC1299" s="59"/>
      <c r="AD1299" s="59"/>
      <c r="AE1299" s="59"/>
      <c r="AF1299" s="59"/>
      <c r="AG1299" s="59"/>
      <c r="AH1299" s="59"/>
      <c r="AI1299" s="59" t="str">
        <f>IF(SUM(Dati[[#This Row],[Inv. Business]:[Inv. Cryptocurrency]])=0," ",SUM(Dati[[#This Row],[Inv. Business]:[Inv. Cryptocurrency]]))</f>
        <v xml:space="preserve"> </v>
      </c>
      <c r="AJ1299" s="59"/>
      <c r="AK1299" s="59" t="str">
        <f>IF(SUM(Dati[[#This Row],[Inv. Gold]:[Mutuo]])=0," ",SUM(Dati[[#This Row],[Inv. Gold]:[Mutuo]]))</f>
        <v xml:space="preserve"> </v>
      </c>
      <c r="AL1299" s="59"/>
      <c r="AM1299" s="59"/>
    </row>
    <row r="1300" spans="2:39" x14ac:dyDescent="0.35">
      <c r="B1300" s="237">
        <f>ROW(1273:1273)</f>
        <v>1273</v>
      </c>
      <c r="C1300" s="49">
        <f t="shared" si="93"/>
        <v>45867</v>
      </c>
      <c r="D1300" s="29">
        <f>DAY(Dati[[#This Row],[Data]])</f>
        <v>29</v>
      </c>
      <c r="E1300" s="29" t="str">
        <f>IF(DAY(Data!$C$21:$C$1327)&gt;0,TEXT(Data!$C$21:$C$1327, "mmmm"),"")</f>
        <v>luglio</v>
      </c>
      <c r="F1300" s="29" t="str">
        <f>IF(DAY(Data!$C$21:$C$1327)&gt;0,TEXT(Data!$C$21:$C$1327, "aaaa"),"")</f>
        <v>2025</v>
      </c>
      <c r="I1300" t="str">
        <f>IF(OR(H1300=$B$5,H1300=$B$6,H1300=$B$7,H1300=$B$8,H1300=$B$9,H1300=$B$10,H1300=$B$11,H1300=$B$12,H1300=$B$13,H1300=$B$14),SottocategorieUscite[[#Headers],[Fuori Casa]],IF(OR(H1300=$C$5,H1300=$C$6,H1300=$C$7,H1300=$C$8,H1300=$C$9,H1300=$C$10,H1300=$C$11,H1300=$C$12,H1300=$C$13,H1300=$C$14),SottocategorieUscite[[#Headers],[Varie Uscite]],IF(OR(H1300=$D$5,H1300=$D$6,H1300=$D$7,H1300=$D$8,H1300=$D$9,H1300=$D$10,H1300=$D$11,H1300=$D$12,H1300=$D$13,H1300=$D$14),SottocategorieUscite[[#Headers],[Personali]],IF(OR(H1300=$E$5,H1300=$E$6,H1300=$E$7,H1300=$E$8,H1300=$E$9,H1300=$E$10,H1300=$E$11,H1300=$E$12,H1300=$E$13,H1300=$E$14),SottocategorieUscite[[#Headers],[Lavoro]],IF(OR(H1300=$F$5,H1300=$F$6,H1300=$F$7,H1300=$F$8,H1300=$F$9,H1300=$F$10,H1300=$F$11,H1300=$F$12,H1300=$F$13,H1300=$F$14),SottocategorieUscite[[#Headers],[Casa]],IF(OR(H1300=$G$5,H1300=$G$6,H1300=$G$7,H1300=$G$8,H1300=$G$9,H1300=$G$10,H1300=$G$11,H1300=$G$12,H1300=$G$13,H1300=$G$14),SottocategorieUscite[[#Headers],[Utenze]],IF(OR(H1300=$H$5,H1300=$H$6,H1300=$H$7,H1300=$H$8,H1300=$H$9,H1300=$H$10,H1300=$H$11,H1300=$H$12,H1300=$H$13,H1300=$H$14),SottocategorieUscite[[#Headers],[Business Uscite]],IF(OR(H1300=$I$5,H1300=$I$6,H1300=$I$7,H1300=$I$8,H1300=$I$9,H1300=$I$10,H1300=$I$11,H1300=$I$12,H1300=$I$13,H1300=$I$14),SottocategorieUscite[[#Headers],[Banca]],IF(OR(H1300=K$5,H1300=K$6,H1300=K$7,H1300=K$8,H1300=K$9,H1300=K$10,H1300=K$11,H1300=K$12,H1300=K$13,H1300=K$14),SottocategorieEntrate[[#Headers],[Business Entrate]],IF(OR(H1300=L$5,H1300=L$6,H1300=L$7,H1300=L$8,H1300=L$9,H1300=L$10,H1300=L$11,H1300=L$12,H1300=L$13,H1300=L$14),SottocategorieEntrate[[#Headers],[Varie Entrate]],IF(OR(H1300=M$5,H1300=M$6,H1300=M$7,H1300=M$8,H1300=M$9,H1300=M$10,H1300=M$11,H1300=M$12,H1300=M$13,H1300=M$14),SottocategorieEntrate[[#Headers],[Real Estate]],IF(OR(H1300=N$5,H1300=N$6,H1300=N$7,H1300=N$8,H1300=N$9,H1300=N$10,H1300=N$11,H1300=N$12,H1300=N$13,H1300=N$14),SottocategorieEntrate[[#Headers],[Other]],""))))))))))))</f>
        <v/>
      </c>
      <c r="J1300" t="str">
        <f>IF(OR(Dati[[#This Row],[Categoria]]="Bollette",Dati[[#This Row],[Categoria]]="Conto &amp; Carte BNL",Dati[[#This Row],[Categoria]]="Prelievo",Dati[[#This Row],[Categoria]]="Affitto",Dati[[#This Row],[Categoria]]="BNL(Interessi Creditori)"),"Carta",IF(Dati[[#This Row],[Categoria]]&lt;&gt;0,"Cash",""))</f>
        <v/>
      </c>
      <c r="K1300" s="59" t="str">
        <f>IF(OR(Data!$I1300=SottocategorieUscite[[#Headers],[Fuori Casa]],Data!$I1300=SottocategorieUscite[[#Headers],[Varie Uscite]],Data!$I1300=SottocategorieUscite[[#Headers],[Personali]],Data!$I1300=SottocategorieUscite[[#Headers],[Lavoro]]),"$ -","")</f>
        <v/>
      </c>
      <c r="L1300" s="59" t="str">
        <f>IF(OR(Data!$I1300=SottocategorieUscite[[#Headers],[Casa]],Data!$I1300=SottocategorieUscite[[#Headers],[Utenze]],Data!$I1300=SottocategorieUscite[[#Headers],[Business Uscite]],Data!$I1300=SottocategorieUscite[[#Headers],[Banca]]),"$ -","")</f>
        <v/>
      </c>
      <c r="M1300" s="59" t="str">
        <f>IF(OR($I1300&lt;&gt;SottocategorieUscite[[#Headers],[Fuori Casa]],$I1300&lt;&gt;SottocategorieUscite[[#Headers],[Varie Uscite]],$I1300&lt;&gt;SottocategorieUscite[[#Headers],[Personali]],$I1300&lt;&gt;SottocategorieUscite[[#Headers],[Lavoro]],$I1300&lt;&gt;SottocategorieUscite[[#Headers],[Casa]],$I1300&lt;&gt;SottocategorieUscite[[#Headers],[Utenze]],$I1300&lt;&gt;SottocategorieUscite[[#Headers],[Business Uscite]],$I1300&lt;&gt;SottocategorieUscite[[#Headers],[Banca]]),"","$ -")</f>
        <v/>
      </c>
      <c r="N1300" s="59" t="str">
        <f>IF(OR(Data!$I1300=SottocategorieEntrate[[#Headers],[Business Entrate]],Data!$I1300=SottocategorieEntrate[[#Headers],[Varie Entrate]]),"$ -","")</f>
        <v/>
      </c>
      <c r="O1300" s="59" t="str">
        <f>IF(OR(Data!$I1300=SottocategorieEntrate[[#Headers],[Real Estate]],SottocategorieEntrate[[#Headers],[Other]]),"$ -","")</f>
        <v/>
      </c>
      <c r="P1300" s="59" t="str">
        <f>IF(OR($I1300&lt;&gt;SottocategorieEntrate[[#Headers],[Business Entrate]],$I1300&lt;&gt;SottocategorieEntrate[[#Headers],[Varie Entrate]],$I1300&lt;&gt;SottocategorieEntrate[[#Headers],[Real Estate]],$I1300&lt;&gt;SottocategorieEntrate[[#Headers],[Other]]),"","$ -")</f>
        <v/>
      </c>
      <c r="Q1300" s="59" t="str">
        <f>IF(Dati[[#This Row],[Categoria]]="Prelievo","€ -","")</f>
        <v/>
      </c>
      <c r="R1300" s="244"/>
      <c r="S1300" s="59" t="str">
        <f>IF(Dati[[#This Row],[Categoria]]="Savings",0,"")</f>
        <v/>
      </c>
      <c r="T1300" s="59"/>
      <c r="U1300" s="59"/>
      <c r="V1300" s="59"/>
      <c r="W1300" s="59"/>
      <c r="X1300" s="59"/>
      <c r="Y1300" s="59"/>
      <c r="Z1300" s="59"/>
      <c r="AA1300" s="59"/>
      <c r="AB1300" s="59"/>
      <c r="AC1300" s="59"/>
      <c r="AD1300" s="59"/>
      <c r="AE1300" s="59"/>
      <c r="AF1300" s="59"/>
      <c r="AG1300" s="59"/>
      <c r="AH1300" s="59"/>
      <c r="AI1300" s="59" t="str">
        <f>IF(SUM(Dati[[#This Row],[Inv. Business]:[Inv. Cryptocurrency]])=0," ",SUM(Dati[[#This Row],[Inv. Business]:[Inv. Cryptocurrency]]))</f>
        <v xml:space="preserve"> </v>
      </c>
      <c r="AJ1300" s="59"/>
      <c r="AK1300" s="59" t="str">
        <f>IF(SUM(Dati[[#This Row],[Inv. Gold]:[Mutuo]])=0," ",SUM(Dati[[#This Row],[Inv. Gold]:[Mutuo]]))</f>
        <v xml:space="preserve"> </v>
      </c>
      <c r="AL1300" s="59"/>
      <c r="AM1300" s="59"/>
    </row>
    <row r="1301" spans="2:39" x14ac:dyDescent="0.35">
      <c r="B1301" s="237">
        <f>ROW(1274:1274)</f>
        <v>1274</v>
      </c>
      <c r="C1301" s="49">
        <f t="shared" si="93"/>
        <v>45868</v>
      </c>
      <c r="D1301" s="29">
        <f>DAY(Dati[[#This Row],[Data]])</f>
        <v>30</v>
      </c>
      <c r="E1301" s="29" t="str">
        <f>IF(DAY(Data!$C$21:$C$1327)&gt;0,TEXT(Data!$C$21:$C$1327, "mmmm"),"")</f>
        <v>luglio</v>
      </c>
      <c r="F1301" s="29" t="str">
        <f>IF(DAY(Data!$C$21:$C$1327)&gt;0,TEXT(Data!$C$21:$C$1327, "aaaa"),"")</f>
        <v>2025</v>
      </c>
      <c r="I1301" t="str">
        <f>IF(OR(H1301=$B$5,H1301=$B$6,H1301=$B$7,H1301=$B$8,H1301=$B$9,H1301=$B$10,H1301=$B$11,H1301=$B$12,H1301=$B$13,H1301=$B$14),SottocategorieUscite[[#Headers],[Fuori Casa]],IF(OR(H1301=$C$5,H1301=$C$6,H1301=$C$7,H1301=$C$8,H1301=$C$9,H1301=$C$10,H1301=$C$11,H1301=$C$12,H1301=$C$13,H1301=$C$14),SottocategorieUscite[[#Headers],[Varie Uscite]],IF(OR(H1301=$D$5,H1301=$D$6,H1301=$D$7,H1301=$D$8,H1301=$D$9,H1301=$D$10,H1301=$D$11,H1301=$D$12,H1301=$D$13,H1301=$D$14),SottocategorieUscite[[#Headers],[Personali]],IF(OR(H1301=$E$5,H1301=$E$6,H1301=$E$7,H1301=$E$8,H1301=$E$9,H1301=$E$10,H1301=$E$11,H1301=$E$12,H1301=$E$13,H1301=$E$14),SottocategorieUscite[[#Headers],[Lavoro]],IF(OR(H1301=$F$5,H1301=$F$6,H1301=$F$7,H1301=$F$8,H1301=$F$9,H1301=$F$10,H1301=$F$11,H1301=$F$12,H1301=$F$13,H1301=$F$14),SottocategorieUscite[[#Headers],[Casa]],IF(OR(H1301=$G$5,H1301=$G$6,H1301=$G$7,H1301=$G$8,H1301=$G$9,H1301=$G$10,H1301=$G$11,H1301=$G$12,H1301=$G$13,H1301=$G$14),SottocategorieUscite[[#Headers],[Utenze]],IF(OR(H1301=$H$5,H1301=$H$6,H1301=$H$7,H1301=$H$8,H1301=$H$9,H1301=$H$10,H1301=$H$11,H1301=$H$12,H1301=$H$13,H1301=$H$14),SottocategorieUscite[[#Headers],[Business Uscite]],IF(OR(H1301=$I$5,H1301=$I$6,H1301=$I$7,H1301=$I$8,H1301=$I$9,H1301=$I$10,H1301=$I$11,H1301=$I$12,H1301=$I$13,H1301=$I$14),SottocategorieUscite[[#Headers],[Banca]],IF(OR(H1301=K$5,H1301=K$6,H1301=K$7,H1301=K$8,H1301=K$9,H1301=K$10,H1301=K$11,H1301=K$12,H1301=K$13,H1301=K$14),SottocategorieEntrate[[#Headers],[Business Entrate]],IF(OR(H1301=L$5,H1301=L$6,H1301=L$7,H1301=L$8,H1301=L$9,H1301=L$10,H1301=L$11,H1301=L$12,H1301=L$13,H1301=L$14),SottocategorieEntrate[[#Headers],[Varie Entrate]],IF(OR(H1301=M$5,H1301=M$6,H1301=M$7,H1301=M$8,H1301=M$9,H1301=M$10,H1301=M$11,H1301=M$12,H1301=M$13,H1301=M$14),SottocategorieEntrate[[#Headers],[Real Estate]],IF(OR(H1301=N$5,H1301=N$6,H1301=N$7,H1301=N$8,H1301=N$9,H1301=N$10,H1301=N$11,H1301=N$12,H1301=N$13,H1301=N$14),SottocategorieEntrate[[#Headers],[Other]],""))))))))))))</f>
        <v/>
      </c>
      <c r="J1301" t="str">
        <f>IF(OR(Dati[[#This Row],[Categoria]]="Bollette",Dati[[#This Row],[Categoria]]="Conto &amp; Carte BNL",Dati[[#This Row],[Categoria]]="Prelievo",Dati[[#This Row],[Categoria]]="Affitto",Dati[[#This Row],[Categoria]]="BNL(Interessi Creditori)"),"Carta",IF(Dati[[#This Row],[Categoria]]&lt;&gt;0,"Cash",""))</f>
        <v/>
      </c>
      <c r="K1301" s="59" t="str">
        <f>IF(OR(Data!$I1301=SottocategorieUscite[[#Headers],[Fuori Casa]],Data!$I1301=SottocategorieUscite[[#Headers],[Varie Uscite]],Data!$I1301=SottocategorieUscite[[#Headers],[Personali]],Data!$I1301=SottocategorieUscite[[#Headers],[Lavoro]]),"$ -","")</f>
        <v/>
      </c>
      <c r="L1301" s="59" t="str">
        <f>IF(OR(Data!$I1301=SottocategorieUscite[[#Headers],[Casa]],Data!$I1301=SottocategorieUscite[[#Headers],[Utenze]],Data!$I1301=SottocategorieUscite[[#Headers],[Business Uscite]],Data!$I1301=SottocategorieUscite[[#Headers],[Banca]]),"$ -","")</f>
        <v/>
      </c>
      <c r="M1301" s="59" t="str">
        <f>IF(OR($I1301&lt;&gt;SottocategorieUscite[[#Headers],[Fuori Casa]],$I1301&lt;&gt;SottocategorieUscite[[#Headers],[Varie Uscite]],$I1301&lt;&gt;SottocategorieUscite[[#Headers],[Personali]],$I1301&lt;&gt;SottocategorieUscite[[#Headers],[Lavoro]],$I1301&lt;&gt;SottocategorieUscite[[#Headers],[Casa]],$I1301&lt;&gt;SottocategorieUscite[[#Headers],[Utenze]],$I1301&lt;&gt;SottocategorieUscite[[#Headers],[Business Uscite]],$I1301&lt;&gt;SottocategorieUscite[[#Headers],[Banca]]),"","$ -")</f>
        <v/>
      </c>
      <c r="N1301" s="59" t="str">
        <f>IF(OR(Data!$I1301=SottocategorieEntrate[[#Headers],[Business Entrate]],Data!$I1301=SottocategorieEntrate[[#Headers],[Varie Entrate]]),"$ -","")</f>
        <v/>
      </c>
      <c r="O1301" s="59" t="str">
        <f>IF(OR(Data!$I1301=SottocategorieEntrate[[#Headers],[Real Estate]],SottocategorieEntrate[[#Headers],[Other]]),"$ -","")</f>
        <v/>
      </c>
      <c r="P1301" s="59" t="str">
        <f>IF(OR($I1301&lt;&gt;SottocategorieEntrate[[#Headers],[Business Entrate]],$I1301&lt;&gt;SottocategorieEntrate[[#Headers],[Varie Entrate]],$I1301&lt;&gt;SottocategorieEntrate[[#Headers],[Real Estate]],$I1301&lt;&gt;SottocategorieEntrate[[#Headers],[Other]]),"","$ -")</f>
        <v/>
      </c>
      <c r="Q1301" s="59" t="str">
        <f>IF(Dati[[#This Row],[Categoria]]="Prelievo","€ -","")</f>
        <v/>
      </c>
      <c r="R1301" s="244"/>
      <c r="S1301" s="59" t="str">
        <f>IF(Dati[[#This Row],[Categoria]]="Savings",0,"")</f>
        <v/>
      </c>
      <c r="T1301" s="59"/>
      <c r="U1301" s="59"/>
      <c r="V1301" s="59"/>
      <c r="W1301" s="59"/>
      <c r="X1301" s="59"/>
      <c r="Y1301" s="59"/>
      <c r="Z1301" s="59"/>
      <c r="AA1301" s="59"/>
      <c r="AB1301" s="59"/>
      <c r="AC1301" s="59"/>
      <c r="AD1301" s="59"/>
      <c r="AE1301" s="59"/>
      <c r="AF1301" s="59"/>
      <c r="AG1301" s="59"/>
      <c r="AH1301" s="59"/>
      <c r="AI1301" s="59" t="str">
        <f>IF(SUM(Dati[[#This Row],[Inv. Business]:[Inv. Cryptocurrency]])=0," ",SUM(Dati[[#This Row],[Inv. Business]:[Inv. Cryptocurrency]]))</f>
        <v xml:space="preserve"> </v>
      </c>
      <c r="AJ1301" s="59"/>
      <c r="AK1301" s="59" t="str">
        <f>IF(SUM(Dati[[#This Row],[Inv. Gold]:[Mutuo]])=0," ",SUM(Dati[[#This Row],[Inv. Gold]:[Mutuo]]))</f>
        <v xml:space="preserve"> </v>
      </c>
      <c r="AL1301" s="59"/>
      <c r="AM1301" s="59"/>
    </row>
    <row r="1302" spans="2:39" x14ac:dyDescent="0.35">
      <c r="B1302" s="237">
        <f t="shared" ref="B1302:B1307" si="94">ROW(1278:1278)</f>
        <v>1278</v>
      </c>
      <c r="C1302" s="49">
        <f t="shared" si="93"/>
        <v>45869</v>
      </c>
      <c r="D1302" s="29">
        <f>DAY(Dati[[#This Row],[Data]])</f>
        <v>31</v>
      </c>
      <c r="E1302" s="29" t="str">
        <f>IF(DAY(Data!$C$21:$C$1327)&gt;0,TEXT(Data!$C$21:$C$1327, "mmmm"),"")</f>
        <v>luglio</v>
      </c>
      <c r="F1302" s="29" t="str">
        <f>IF(DAY(Data!$C$21:$C$1327)&gt;0,TEXT(Data!$C$21:$C$1327, "aaaa"),"")</f>
        <v>2025</v>
      </c>
      <c r="I1302" t="str">
        <f>IF(OR(H1302=$B$5,H1302=$B$6,H1302=$B$7,H1302=$B$8,H1302=$B$9,H1302=$B$10,H1302=$B$11,H1302=$B$12,H1302=$B$13,H1302=$B$14),SottocategorieUscite[[#Headers],[Fuori Casa]],IF(OR(H1302=$C$5,H1302=$C$6,H1302=$C$7,H1302=$C$8,H1302=$C$9,H1302=$C$10,H1302=$C$11,H1302=$C$12,H1302=$C$13,H1302=$C$14),SottocategorieUscite[[#Headers],[Varie Uscite]],IF(OR(H1302=$D$5,H1302=$D$6,H1302=$D$7,H1302=$D$8,H1302=$D$9,H1302=$D$10,H1302=$D$11,H1302=$D$12,H1302=$D$13,H1302=$D$14),SottocategorieUscite[[#Headers],[Personali]],IF(OR(H1302=$E$5,H1302=$E$6,H1302=$E$7,H1302=$E$8,H1302=$E$9,H1302=$E$10,H1302=$E$11,H1302=$E$12,H1302=$E$13,H1302=$E$14),SottocategorieUscite[[#Headers],[Lavoro]],IF(OR(H1302=$F$5,H1302=$F$6,H1302=$F$7,H1302=$F$8,H1302=$F$9,H1302=$F$10,H1302=$F$11,H1302=$F$12,H1302=$F$13,H1302=$F$14),SottocategorieUscite[[#Headers],[Casa]],IF(OR(H1302=$G$5,H1302=$G$6,H1302=$G$7,H1302=$G$8,H1302=$G$9,H1302=$G$10,H1302=$G$11,H1302=$G$12,H1302=$G$13,H1302=$G$14),SottocategorieUscite[[#Headers],[Utenze]],IF(OR(H1302=$H$5,H1302=$H$6,H1302=$H$7,H1302=$H$8,H1302=$H$9,H1302=$H$10,H1302=$H$11,H1302=$H$12,H1302=$H$13,H1302=$H$14),SottocategorieUscite[[#Headers],[Business Uscite]],IF(OR(H1302=$I$5,H1302=$I$6,H1302=$I$7,H1302=$I$8,H1302=$I$9,H1302=$I$10,H1302=$I$11,H1302=$I$12,H1302=$I$13,H1302=$I$14),SottocategorieUscite[[#Headers],[Banca]],IF(OR(H1302=K$5,H1302=K$6,H1302=K$7,H1302=K$8,H1302=K$9,H1302=K$10,H1302=K$11,H1302=K$12,H1302=K$13,H1302=K$14),SottocategorieEntrate[[#Headers],[Business Entrate]],IF(OR(H1302=L$5,H1302=L$6,H1302=L$7,H1302=L$8,H1302=L$9,H1302=L$10,H1302=L$11,H1302=L$12,H1302=L$13,H1302=L$14),SottocategorieEntrate[[#Headers],[Varie Entrate]],IF(OR(H1302=M$5,H1302=M$6,H1302=M$7,H1302=M$8,H1302=M$9,H1302=M$10,H1302=M$11,H1302=M$12,H1302=M$13,H1302=M$14),SottocategorieEntrate[[#Headers],[Real Estate]],IF(OR(H1302=N$5,H1302=N$6,H1302=N$7,H1302=N$8,H1302=N$9,H1302=N$10,H1302=N$11,H1302=N$12,H1302=N$13,H1302=N$14),SottocategorieEntrate[[#Headers],[Other]],""))))))))))))</f>
        <v/>
      </c>
      <c r="J1302" t="str">
        <f>IF(OR(Dati[[#This Row],[Categoria]]="Bollette",Dati[[#This Row],[Categoria]]="Conto &amp; Carte BNL",Dati[[#This Row],[Categoria]]="Prelievo",Dati[[#This Row],[Categoria]]="Affitto",Dati[[#This Row],[Categoria]]="BNL(Interessi Creditori)"),"Carta",IF(Dati[[#This Row],[Categoria]]&lt;&gt;0,"Cash",""))</f>
        <v/>
      </c>
      <c r="K1302" s="59" t="str">
        <f>IF(OR(Data!$I1302=SottocategorieUscite[[#Headers],[Fuori Casa]],Data!$I1302=SottocategorieUscite[[#Headers],[Varie Uscite]],Data!$I1302=SottocategorieUscite[[#Headers],[Personali]],Data!$I1302=SottocategorieUscite[[#Headers],[Lavoro]]),"$ -","")</f>
        <v/>
      </c>
      <c r="L1302" s="59" t="str">
        <f>IF(OR(Data!$I1302=SottocategorieUscite[[#Headers],[Casa]],Data!$I1302=SottocategorieUscite[[#Headers],[Utenze]],Data!$I1302=SottocategorieUscite[[#Headers],[Business Uscite]],Data!$I1302=SottocategorieUscite[[#Headers],[Banca]]),"$ -","")</f>
        <v/>
      </c>
      <c r="M1302" s="59" t="str">
        <f>IF(OR($I1302&lt;&gt;SottocategorieUscite[[#Headers],[Fuori Casa]],$I1302&lt;&gt;SottocategorieUscite[[#Headers],[Varie Uscite]],$I1302&lt;&gt;SottocategorieUscite[[#Headers],[Personali]],$I1302&lt;&gt;SottocategorieUscite[[#Headers],[Lavoro]],$I1302&lt;&gt;SottocategorieUscite[[#Headers],[Casa]],$I1302&lt;&gt;SottocategorieUscite[[#Headers],[Utenze]],$I1302&lt;&gt;SottocategorieUscite[[#Headers],[Business Uscite]],$I1302&lt;&gt;SottocategorieUscite[[#Headers],[Banca]]),"","$ -")</f>
        <v/>
      </c>
      <c r="N1302" s="59" t="str">
        <f>IF(OR(Data!$I1302=SottocategorieEntrate[[#Headers],[Business Entrate]],Data!$I1302=SottocategorieEntrate[[#Headers],[Varie Entrate]]),"$ -","")</f>
        <v/>
      </c>
      <c r="O1302" s="59" t="str">
        <f>IF(OR(Data!$I1302=SottocategorieEntrate[[#Headers],[Real Estate]],SottocategorieEntrate[[#Headers],[Other]]),"$ -","")</f>
        <v/>
      </c>
      <c r="P1302" s="59" t="str">
        <f>IF(OR($I1302&lt;&gt;SottocategorieEntrate[[#Headers],[Business Entrate]],$I1302&lt;&gt;SottocategorieEntrate[[#Headers],[Varie Entrate]],$I1302&lt;&gt;SottocategorieEntrate[[#Headers],[Real Estate]],$I1302&lt;&gt;SottocategorieEntrate[[#Headers],[Other]]),"","$ -")</f>
        <v/>
      </c>
      <c r="Q1302" s="59" t="str">
        <f>IF(Dati[[#This Row],[Categoria]]="Prelievo","€ -","")</f>
        <v/>
      </c>
      <c r="R1302" s="244"/>
      <c r="S1302" s="59" t="str">
        <f>IF(Dati[[#This Row],[Categoria]]="Savings",0,"")</f>
        <v/>
      </c>
      <c r="T1302" s="59"/>
      <c r="U1302" s="59"/>
      <c r="V1302" s="59"/>
      <c r="W1302" s="59"/>
      <c r="X1302" s="59"/>
      <c r="Y1302" s="59"/>
      <c r="Z1302" s="59"/>
      <c r="AA1302" s="59"/>
      <c r="AB1302" s="59"/>
      <c r="AC1302" s="59"/>
      <c r="AD1302" s="59"/>
      <c r="AE1302" s="59"/>
      <c r="AF1302" s="59"/>
      <c r="AG1302" s="59"/>
      <c r="AH1302" s="59"/>
      <c r="AI1302" s="59" t="str">
        <f>IF(SUM(Dati[[#This Row],[Inv. Business]:[Inv. Cryptocurrency]])=0," ",SUM(Dati[[#This Row],[Inv. Business]:[Inv. Cryptocurrency]]))</f>
        <v xml:space="preserve"> </v>
      </c>
      <c r="AJ1302" s="59"/>
      <c r="AK1302" s="59" t="str">
        <f>IF(SUM(Dati[[#This Row],[Inv. Gold]:[Mutuo]])=0," ",SUM(Dati[[#This Row],[Inv. Gold]:[Mutuo]]))</f>
        <v xml:space="preserve"> </v>
      </c>
      <c r="AL1302" s="59"/>
      <c r="AM1302" s="59"/>
    </row>
    <row r="1303" spans="2:39" x14ac:dyDescent="0.35">
      <c r="B1303" s="237">
        <f t="shared" si="94"/>
        <v>1279</v>
      </c>
      <c r="C1303" s="49">
        <f t="shared" ref="C1303:C1375" si="95">C1302+1</f>
        <v>45870</v>
      </c>
      <c r="D1303" s="29">
        <f>DAY(Dati[[#This Row],[Data]])</f>
        <v>1</v>
      </c>
      <c r="E1303" s="29" t="str">
        <f>IF(DAY(Data!$C$21:$C$1327)&gt;0,TEXT(Data!$C$21:$C$1327, "mmmm"),"")</f>
        <v>agosto</v>
      </c>
      <c r="F1303" s="29" t="str">
        <f>IF(DAY(Data!$C$21:$C$1327)&gt;0,TEXT(Data!$C$21:$C$1327, "aaaa"),"")</f>
        <v>2025</v>
      </c>
      <c r="I1303" t="str">
        <f>IF(OR(H1303=$B$5,H1303=$B$6,H1303=$B$7,H1303=$B$8,H1303=$B$9,H1303=$B$10,H1303=$B$11,H1303=$B$12,H1303=$B$13,H1303=$B$14),SottocategorieUscite[[#Headers],[Fuori Casa]],IF(OR(H1303=$C$5,H1303=$C$6,H1303=$C$7,H1303=$C$8,H1303=$C$9,H1303=$C$10,H1303=$C$11,H1303=$C$12,H1303=$C$13,H1303=$C$14),SottocategorieUscite[[#Headers],[Varie Uscite]],IF(OR(H1303=$D$5,H1303=$D$6,H1303=$D$7,H1303=$D$8,H1303=$D$9,H1303=$D$10,H1303=$D$11,H1303=$D$12,H1303=$D$13,H1303=$D$14),SottocategorieUscite[[#Headers],[Personali]],IF(OR(H1303=$E$5,H1303=$E$6,H1303=$E$7,H1303=$E$8,H1303=$E$9,H1303=$E$10,H1303=$E$11,H1303=$E$12,H1303=$E$13,H1303=$E$14),SottocategorieUscite[[#Headers],[Lavoro]],IF(OR(H1303=$F$5,H1303=$F$6,H1303=$F$7,H1303=$F$8,H1303=$F$9,H1303=$F$10,H1303=$F$11,H1303=$F$12,H1303=$F$13,H1303=$F$14),SottocategorieUscite[[#Headers],[Casa]],IF(OR(H1303=$G$5,H1303=$G$6,H1303=$G$7,H1303=$G$8,H1303=$G$9,H1303=$G$10,H1303=$G$11,H1303=$G$12,H1303=$G$13,H1303=$G$14),SottocategorieUscite[[#Headers],[Utenze]],IF(OR(H1303=$H$5,H1303=$H$6,H1303=$H$7,H1303=$H$8,H1303=$H$9,H1303=$H$10,H1303=$H$11,H1303=$H$12,H1303=$H$13,H1303=$H$14),SottocategorieUscite[[#Headers],[Business Uscite]],IF(OR(H1303=$I$5,H1303=$I$6,H1303=$I$7,H1303=$I$8,H1303=$I$9,H1303=$I$10,H1303=$I$11,H1303=$I$12,H1303=$I$13,H1303=$I$14),SottocategorieUscite[[#Headers],[Banca]],IF(OR(H1303=K$5,H1303=K$6,H1303=K$7,H1303=K$8,H1303=K$9,H1303=K$10,H1303=K$11,H1303=K$12,H1303=K$13,H1303=K$14),SottocategorieEntrate[[#Headers],[Business Entrate]],IF(OR(H1303=L$5,H1303=L$6,H1303=L$7,H1303=L$8,H1303=L$9,H1303=L$10,H1303=L$11,H1303=L$12,H1303=L$13,H1303=L$14),SottocategorieEntrate[[#Headers],[Varie Entrate]],IF(OR(H1303=M$5,H1303=M$6,H1303=M$7,H1303=M$8,H1303=M$9,H1303=M$10,H1303=M$11,H1303=M$12,H1303=M$13,H1303=M$14),SottocategorieEntrate[[#Headers],[Real Estate]],IF(OR(H1303=N$5,H1303=N$6,H1303=N$7,H1303=N$8,H1303=N$9,H1303=N$10,H1303=N$11,H1303=N$12,H1303=N$13,H1303=N$14),SottocategorieEntrate[[#Headers],[Other]],""))))))))))))</f>
        <v/>
      </c>
      <c r="J1303" t="str">
        <f>IF(OR(Dati[[#This Row],[Categoria]]="Bollette",Dati[[#This Row],[Categoria]]="Conto &amp; Carte BNL",Dati[[#This Row],[Categoria]]="Prelievo",Dati[[#This Row],[Categoria]]="Affitto",Dati[[#This Row],[Categoria]]="BNL(Interessi Creditori)"),"Carta",IF(Dati[[#This Row],[Categoria]]&lt;&gt;0,"Cash",""))</f>
        <v/>
      </c>
      <c r="K1303" s="59" t="str">
        <f>IF(OR(Data!$I1303=SottocategorieUscite[[#Headers],[Fuori Casa]],Data!$I1303=SottocategorieUscite[[#Headers],[Varie Uscite]],Data!$I1303=SottocategorieUscite[[#Headers],[Personali]],Data!$I1303=SottocategorieUscite[[#Headers],[Lavoro]]),"$ -","")</f>
        <v/>
      </c>
      <c r="L1303" s="59" t="str">
        <f>IF(OR(Data!$I1303=SottocategorieUscite[[#Headers],[Casa]],Data!$I1303=SottocategorieUscite[[#Headers],[Utenze]],Data!$I1303=SottocategorieUscite[[#Headers],[Business Uscite]],Data!$I1303=SottocategorieUscite[[#Headers],[Banca]]),"$ -","")</f>
        <v/>
      </c>
      <c r="M1303" s="59" t="str">
        <f>IF(OR($I1303&lt;&gt;SottocategorieUscite[[#Headers],[Fuori Casa]],$I1303&lt;&gt;SottocategorieUscite[[#Headers],[Varie Uscite]],$I1303&lt;&gt;SottocategorieUscite[[#Headers],[Personali]],$I1303&lt;&gt;SottocategorieUscite[[#Headers],[Lavoro]],$I1303&lt;&gt;SottocategorieUscite[[#Headers],[Casa]],$I1303&lt;&gt;SottocategorieUscite[[#Headers],[Utenze]],$I1303&lt;&gt;SottocategorieUscite[[#Headers],[Business Uscite]],$I1303&lt;&gt;SottocategorieUscite[[#Headers],[Banca]]),"","$ -")</f>
        <v/>
      </c>
      <c r="N1303" s="59" t="str">
        <f>IF(OR(Data!$I1303=SottocategorieEntrate[[#Headers],[Business Entrate]],Data!$I1303=SottocategorieEntrate[[#Headers],[Varie Entrate]]),"$ -","")</f>
        <v/>
      </c>
      <c r="O1303" s="59" t="str">
        <f>IF(OR(Data!$I1303=SottocategorieEntrate[[#Headers],[Real Estate]],SottocategorieEntrate[[#Headers],[Other]]),"$ -","")</f>
        <v/>
      </c>
      <c r="P1303" s="59" t="str">
        <f>IF(OR($I1303&lt;&gt;SottocategorieEntrate[[#Headers],[Business Entrate]],$I1303&lt;&gt;SottocategorieEntrate[[#Headers],[Varie Entrate]],$I1303&lt;&gt;SottocategorieEntrate[[#Headers],[Real Estate]],$I1303&lt;&gt;SottocategorieEntrate[[#Headers],[Other]]),"","$ -")</f>
        <v/>
      </c>
      <c r="Q1303" s="59" t="str">
        <f>IF(Dati[[#This Row],[Categoria]]="Prelievo","€ -","")</f>
        <v/>
      </c>
      <c r="R1303" s="244"/>
      <c r="S1303" s="59" t="str">
        <f>IF(Dati[[#This Row],[Categoria]]="Savings",0,"")</f>
        <v/>
      </c>
      <c r="T1303" s="59"/>
      <c r="U1303" s="59"/>
      <c r="V1303" s="59"/>
      <c r="W1303" s="59"/>
      <c r="X1303" s="59"/>
      <c r="Y1303" s="59"/>
      <c r="Z1303" s="59"/>
      <c r="AA1303" s="59"/>
      <c r="AB1303" s="59"/>
      <c r="AC1303" s="59"/>
      <c r="AD1303" s="59"/>
      <c r="AE1303" s="59"/>
      <c r="AF1303" s="59"/>
      <c r="AG1303" s="59"/>
      <c r="AH1303" s="59"/>
      <c r="AI1303" s="59" t="str">
        <f>IF(SUM(Dati[[#This Row],[Inv. Business]:[Inv. Cryptocurrency]])=0," ",SUM(Dati[[#This Row],[Inv. Business]:[Inv. Cryptocurrency]]))</f>
        <v xml:space="preserve"> </v>
      </c>
      <c r="AJ1303" s="59"/>
      <c r="AK1303" s="59" t="str">
        <f>IF(SUM(Dati[[#This Row],[Inv. Gold]:[Mutuo]])=0," ",SUM(Dati[[#This Row],[Inv. Gold]:[Mutuo]]))</f>
        <v xml:space="preserve"> </v>
      </c>
      <c r="AL1303" s="59"/>
      <c r="AM1303" s="59"/>
    </row>
    <row r="1304" spans="2:39" x14ac:dyDescent="0.35">
      <c r="B1304" s="237">
        <f t="shared" si="94"/>
        <v>1280</v>
      </c>
      <c r="C1304" s="49">
        <f t="shared" si="95"/>
        <v>45871</v>
      </c>
      <c r="D1304" s="29">
        <f>DAY(Dati[[#This Row],[Data]])</f>
        <v>2</v>
      </c>
      <c r="E1304" s="29" t="str">
        <f>IF(DAY(Data!$C$21:$C$1327)&gt;0,TEXT(Data!$C$21:$C$1327, "mmmm"),"")</f>
        <v>agosto</v>
      </c>
      <c r="F1304" s="29" t="str">
        <f>IF(DAY(Data!$C$21:$C$1327)&gt;0,TEXT(Data!$C$21:$C$1327, "aaaa"),"")</f>
        <v>2025</v>
      </c>
      <c r="I1304" t="str">
        <f>IF(OR(H1304=$B$5,H1304=$B$6,H1304=$B$7,H1304=$B$8,H1304=$B$9,H1304=$B$10,H1304=$B$11,H1304=$B$12,H1304=$B$13,H1304=$B$14),SottocategorieUscite[[#Headers],[Fuori Casa]],IF(OR(H1304=$C$5,H1304=$C$6,H1304=$C$7,H1304=$C$8,H1304=$C$9,H1304=$C$10,H1304=$C$11,H1304=$C$12,H1304=$C$13,H1304=$C$14),SottocategorieUscite[[#Headers],[Varie Uscite]],IF(OR(H1304=$D$5,H1304=$D$6,H1304=$D$7,H1304=$D$8,H1304=$D$9,H1304=$D$10,H1304=$D$11,H1304=$D$12,H1304=$D$13,H1304=$D$14),SottocategorieUscite[[#Headers],[Personali]],IF(OR(H1304=$E$5,H1304=$E$6,H1304=$E$7,H1304=$E$8,H1304=$E$9,H1304=$E$10,H1304=$E$11,H1304=$E$12,H1304=$E$13,H1304=$E$14),SottocategorieUscite[[#Headers],[Lavoro]],IF(OR(H1304=$F$5,H1304=$F$6,H1304=$F$7,H1304=$F$8,H1304=$F$9,H1304=$F$10,H1304=$F$11,H1304=$F$12,H1304=$F$13,H1304=$F$14),SottocategorieUscite[[#Headers],[Casa]],IF(OR(H1304=$G$5,H1304=$G$6,H1304=$G$7,H1304=$G$8,H1304=$G$9,H1304=$G$10,H1304=$G$11,H1304=$G$12,H1304=$G$13,H1304=$G$14),SottocategorieUscite[[#Headers],[Utenze]],IF(OR(H1304=$H$5,H1304=$H$6,H1304=$H$7,H1304=$H$8,H1304=$H$9,H1304=$H$10,H1304=$H$11,H1304=$H$12,H1304=$H$13,H1304=$H$14),SottocategorieUscite[[#Headers],[Business Uscite]],IF(OR(H1304=$I$5,H1304=$I$6,H1304=$I$7,H1304=$I$8,H1304=$I$9,H1304=$I$10,H1304=$I$11,H1304=$I$12,H1304=$I$13,H1304=$I$14),SottocategorieUscite[[#Headers],[Banca]],IF(OR(H1304=K$5,H1304=K$6,H1304=K$7,H1304=K$8,H1304=K$9,H1304=K$10,H1304=K$11,H1304=K$12,H1304=K$13,H1304=K$14),SottocategorieEntrate[[#Headers],[Business Entrate]],IF(OR(H1304=L$5,H1304=L$6,H1304=L$7,H1304=L$8,H1304=L$9,H1304=L$10,H1304=L$11,H1304=L$12,H1304=L$13,H1304=L$14),SottocategorieEntrate[[#Headers],[Varie Entrate]],IF(OR(H1304=M$5,H1304=M$6,H1304=M$7,H1304=M$8,H1304=M$9,H1304=M$10,H1304=M$11,H1304=M$12,H1304=M$13,H1304=M$14),SottocategorieEntrate[[#Headers],[Real Estate]],IF(OR(H1304=N$5,H1304=N$6,H1304=N$7,H1304=N$8,H1304=N$9,H1304=N$10,H1304=N$11,H1304=N$12,H1304=N$13,H1304=N$14),SottocategorieEntrate[[#Headers],[Other]],""))))))))))))</f>
        <v/>
      </c>
      <c r="J1304" t="str">
        <f>IF(OR(Dati[[#This Row],[Categoria]]="Bollette",Dati[[#This Row],[Categoria]]="Conto &amp; Carte BNL",Dati[[#This Row],[Categoria]]="Prelievo",Dati[[#This Row],[Categoria]]="Affitto",Dati[[#This Row],[Categoria]]="BNL(Interessi Creditori)"),"Carta",IF(Dati[[#This Row],[Categoria]]&lt;&gt;0,"Cash",""))</f>
        <v/>
      </c>
      <c r="K1304" s="59" t="str">
        <f>IF(OR(Data!$I1304=SottocategorieUscite[[#Headers],[Fuori Casa]],Data!$I1304=SottocategorieUscite[[#Headers],[Varie Uscite]],Data!$I1304=SottocategorieUscite[[#Headers],[Personali]],Data!$I1304=SottocategorieUscite[[#Headers],[Lavoro]]),"$ -","")</f>
        <v/>
      </c>
      <c r="L1304" s="59" t="str">
        <f>IF(OR(Data!$I1304=SottocategorieUscite[[#Headers],[Casa]],Data!$I1304=SottocategorieUscite[[#Headers],[Utenze]],Data!$I1304=SottocategorieUscite[[#Headers],[Business Uscite]],Data!$I1304=SottocategorieUscite[[#Headers],[Banca]]),"$ -","")</f>
        <v/>
      </c>
      <c r="M1304" s="59" t="str">
        <f>IF(OR($I1304&lt;&gt;SottocategorieUscite[[#Headers],[Fuori Casa]],$I1304&lt;&gt;SottocategorieUscite[[#Headers],[Varie Uscite]],$I1304&lt;&gt;SottocategorieUscite[[#Headers],[Personali]],$I1304&lt;&gt;SottocategorieUscite[[#Headers],[Lavoro]],$I1304&lt;&gt;SottocategorieUscite[[#Headers],[Casa]],$I1304&lt;&gt;SottocategorieUscite[[#Headers],[Utenze]],$I1304&lt;&gt;SottocategorieUscite[[#Headers],[Business Uscite]],$I1304&lt;&gt;SottocategorieUscite[[#Headers],[Banca]]),"","$ -")</f>
        <v/>
      </c>
      <c r="N1304" s="59" t="str">
        <f>IF(OR(Data!$I1304=SottocategorieEntrate[[#Headers],[Business Entrate]],Data!$I1304=SottocategorieEntrate[[#Headers],[Varie Entrate]]),"$ -","")</f>
        <v/>
      </c>
      <c r="O1304" s="59" t="str">
        <f>IF(OR(Data!$I1304=SottocategorieEntrate[[#Headers],[Real Estate]],SottocategorieEntrate[[#Headers],[Other]]),"$ -","")</f>
        <v/>
      </c>
      <c r="P1304" s="59" t="str">
        <f>IF(OR($I1304&lt;&gt;SottocategorieEntrate[[#Headers],[Business Entrate]],$I1304&lt;&gt;SottocategorieEntrate[[#Headers],[Varie Entrate]],$I1304&lt;&gt;SottocategorieEntrate[[#Headers],[Real Estate]],$I1304&lt;&gt;SottocategorieEntrate[[#Headers],[Other]]),"","$ -")</f>
        <v/>
      </c>
      <c r="Q1304" s="59" t="str">
        <f>IF(Dati[[#This Row],[Categoria]]="Prelievo","€ -","")</f>
        <v/>
      </c>
      <c r="R1304" s="244"/>
      <c r="S1304" s="59" t="str">
        <f>IF(Dati[[#This Row],[Categoria]]="Savings",0,"")</f>
        <v/>
      </c>
      <c r="T1304" s="59"/>
      <c r="U1304" s="59"/>
      <c r="V1304" s="59"/>
      <c r="W1304" s="59"/>
      <c r="X1304" s="59"/>
      <c r="Y1304" s="59"/>
      <c r="Z1304" s="59"/>
      <c r="AA1304" s="59"/>
      <c r="AB1304" s="59"/>
      <c r="AC1304" s="59"/>
      <c r="AD1304" s="59"/>
      <c r="AE1304" s="59"/>
      <c r="AF1304" s="59"/>
      <c r="AG1304" s="59"/>
      <c r="AH1304" s="59"/>
      <c r="AI1304" s="59" t="str">
        <f>IF(SUM(Dati[[#This Row],[Inv. Business]:[Inv. Cryptocurrency]])=0," ",SUM(Dati[[#This Row],[Inv. Business]:[Inv. Cryptocurrency]]))</f>
        <v xml:space="preserve"> </v>
      </c>
      <c r="AJ1304" s="59"/>
      <c r="AK1304" s="59" t="str">
        <f>IF(SUM(Dati[[#This Row],[Inv. Gold]:[Mutuo]])=0," ",SUM(Dati[[#This Row],[Inv. Gold]:[Mutuo]]))</f>
        <v xml:space="preserve"> </v>
      </c>
      <c r="AL1304" s="59"/>
      <c r="AM1304" s="59"/>
    </row>
    <row r="1305" spans="2:39" x14ac:dyDescent="0.35">
      <c r="B1305" s="237">
        <f t="shared" si="94"/>
        <v>1281</v>
      </c>
      <c r="C1305" s="49">
        <f t="shared" si="95"/>
        <v>45872</v>
      </c>
      <c r="D1305" s="29">
        <f>DAY(Dati[[#This Row],[Data]])</f>
        <v>3</v>
      </c>
      <c r="E1305" s="29" t="str">
        <f>IF(DAY(Data!$C$21:$C$1327)&gt;0,TEXT(Data!$C$21:$C$1327, "mmmm"),"")</f>
        <v>agosto</v>
      </c>
      <c r="F1305" s="29" t="str">
        <f>IF(DAY(Data!$C$21:$C$1327)&gt;0,TEXT(Data!$C$21:$C$1327, "aaaa"),"")</f>
        <v>2025</v>
      </c>
      <c r="I1305" t="str">
        <f>IF(OR(H1305=$B$5,H1305=$B$6,H1305=$B$7,H1305=$B$8,H1305=$B$9,H1305=$B$10,H1305=$B$11,H1305=$B$12,H1305=$B$13,H1305=$B$14),SottocategorieUscite[[#Headers],[Fuori Casa]],IF(OR(H1305=$C$5,H1305=$C$6,H1305=$C$7,H1305=$C$8,H1305=$C$9,H1305=$C$10,H1305=$C$11,H1305=$C$12,H1305=$C$13,H1305=$C$14),SottocategorieUscite[[#Headers],[Varie Uscite]],IF(OR(H1305=$D$5,H1305=$D$6,H1305=$D$7,H1305=$D$8,H1305=$D$9,H1305=$D$10,H1305=$D$11,H1305=$D$12,H1305=$D$13,H1305=$D$14),SottocategorieUscite[[#Headers],[Personali]],IF(OR(H1305=$E$5,H1305=$E$6,H1305=$E$7,H1305=$E$8,H1305=$E$9,H1305=$E$10,H1305=$E$11,H1305=$E$12,H1305=$E$13,H1305=$E$14),SottocategorieUscite[[#Headers],[Lavoro]],IF(OR(H1305=$F$5,H1305=$F$6,H1305=$F$7,H1305=$F$8,H1305=$F$9,H1305=$F$10,H1305=$F$11,H1305=$F$12,H1305=$F$13,H1305=$F$14),SottocategorieUscite[[#Headers],[Casa]],IF(OR(H1305=$G$5,H1305=$G$6,H1305=$G$7,H1305=$G$8,H1305=$G$9,H1305=$G$10,H1305=$G$11,H1305=$G$12,H1305=$G$13,H1305=$G$14),SottocategorieUscite[[#Headers],[Utenze]],IF(OR(H1305=$H$5,H1305=$H$6,H1305=$H$7,H1305=$H$8,H1305=$H$9,H1305=$H$10,H1305=$H$11,H1305=$H$12,H1305=$H$13,H1305=$H$14),SottocategorieUscite[[#Headers],[Business Uscite]],IF(OR(H1305=$I$5,H1305=$I$6,H1305=$I$7,H1305=$I$8,H1305=$I$9,H1305=$I$10,H1305=$I$11,H1305=$I$12,H1305=$I$13,H1305=$I$14),SottocategorieUscite[[#Headers],[Banca]],IF(OR(H1305=K$5,H1305=K$6,H1305=K$7,H1305=K$8,H1305=K$9,H1305=K$10,H1305=K$11,H1305=K$12,H1305=K$13,H1305=K$14),SottocategorieEntrate[[#Headers],[Business Entrate]],IF(OR(H1305=L$5,H1305=L$6,H1305=L$7,H1305=L$8,H1305=L$9,H1305=L$10,H1305=L$11,H1305=L$12,H1305=L$13,H1305=L$14),SottocategorieEntrate[[#Headers],[Varie Entrate]],IF(OR(H1305=M$5,H1305=M$6,H1305=M$7,H1305=M$8,H1305=M$9,H1305=M$10,H1305=M$11,H1305=M$12,H1305=M$13,H1305=M$14),SottocategorieEntrate[[#Headers],[Real Estate]],IF(OR(H1305=N$5,H1305=N$6,H1305=N$7,H1305=N$8,H1305=N$9,H1305=N$10,H1305=N$11,H1305=N$12,H1305=N$13,H1305=N$14),SottocategorieEntrate[[#Headers],[Other]],""))))))))))))</f>
        <v/>
      </c>
      <c r="J1305" t="str">
        <f>IF(OR(Dati[[#This Row],[Categoria]]="Bollette",Dati[[#This Row],[Categoria]]="Conto &amp; Carte BNL",Dati[[#This Row],[Categoria]]="Prelievo",Dati[[#This Row],[Categoria]]="Affitto",Dati[[#This Row],[Categoria]]="BNL(Interessi Creditori)"),"Carta",IF(Dati[[#This Row],[Categoria]]&lt;&gt;0,"Cash",""))</f>
        <v/>
      </c>
      <c r="K1305" s="59" t="str">
        <f>IF(OR(Data!$I1305=SottocategorieUscite[[#Headers],[Fuori Casa]],Data!$I1305=SottocategorieUscite[[#Headers],[Varie Uscite]],Data!$I1305=SottocategorieUscite[[#Headers],[Personali]],Data!$I1305=SottocategorieUscite[[#Headers],[Lavoro]]),"$ -","")</f>
        <v/>
      </c>
      <c r="L1305" s="59" t="str">
        <f>IF(OR(Data!$I1305=SottocategorieUscite[[#Headers],[Casa]],Data!$I1305=SottocategorieUscite[[#Headers],[Utenze]],Data!$I1305=SottocategorieUscite[[#Headers],[Business Uscite]],Data!$I1305=SottocategorieUscite[[#Headers],[Banca]]),"$ -","")</f>
        <v/>
      </c>
      <c r="M1305" s="59" t="str">
        <f>IF(OR($I1305&lt;&gt;SottocategorieUscite[[#Headers],[Fuori Casa]],$I1305&lt;&gt;SottocategorieUscite[[#Headers],[Varie Uscite]],$I1305&lt;&gt;SottocategorieUscite[[#Headers],[Personali]],$I1305&lt;&gt;SottocategorieUscite[[#Headers],[Lavoro]],$I1305&lt;&gt;SottocategorieUscite[[#Headers],[Casa]],$I1305&lt;&gt;SottocategorieUscite[[#Headers],[Utenze]],$I1305&lt;&gt;SottocategorieUscite[[#Headers],[Business Uscite]],$I1305&lt;&gt;SottocategorieUscite[[#Headers],[Banca]]),"","$ -")</f>
        <v/>
      </c>
      <c r="N1305" s="59" t="str">
        <f>IF(OR(Data!$I1305=SottocategorieEntrate[[#Headers],[Business Entrate]],Data!$I1305=SottocategorieEntrate[[#Headers],[Varie Entrate]]),"$ -","")</f>
        <v/>
      </c>
      <c r="O1305" s="59" t="str">
        <f>IF(OR(Data!$I1305=SottocategorieEntrate[[#Headers],[Real Estate]],SottocategorieEntrate[[#Headers],[Other]]),"$ -","")</f>
        <v/>
      </c>
      <c r="P1305" s="59" t="str">
        <f>IF(OR($I1305&lt;&gt;SottocategorieEntrate[[#Headers],[Business Entrate]],$I1305&lt;&gt;SottocategorieEntrate[[#Headers],[Varie Entrate]],$I1305&lt;&gt;SottocategorieEntrate[[#Headers],[Real Estate]],$I1305&lt;&gt;SottocategorieEntrate[[#Headers],[Other]]),"","$ -")</f>
        <v/>
      </c>
      <c r="Q1305" s="59" t="str">
        <f>IF(Dati[[#This Row],[Categoria]]="Prelievo","€ -","")</f>
        <v/>
      </c>
      <c r="R1305" s="244"/>
      <c r="S1305" s="59" t="str">
        <f>IF(Dati[[#This Row],[Categoria]]="Savings",0,"")</f>
        <v/>
      </c>
      <c r="T1305" s="59"/>
      <c r="U1305" s="59"/>
      <c r="V1305" s="59"/>
      <c r="W1305" s="59"/>
      <c r="X1305" s="59"/>
      <c r="Y1305" s="59"/>
      <c r="Z1305" s="59"/>
      <c r="AA1305" s="59"/>
      <c r="AB1305" s="59"/>
      <c r="AC1305" s="59"/>
      <c r="AD1305" s="59"/>
      <c r="AE1305" s="59"/>
      <c r="AF1305" s="59"/>
      <c r="AG1305" s="59"/>
      <c r="AH1305" s="59"/>
      <c r="AI1305" s="59" t="str">
        <f>IF(SUM(Dati[[#This Row],[Inv. Business]:[Inv. Cryptocurrency]])=0," ",SUM(Dati[[#This Row],[Inv. Business]:[Inv. Cryptocurrency]]))</f>
        <v xml:space="preserve"> </v>
      </c>
      <c r="AJ1305" s="59"/>
      <c r="AK1305" s="59" t="str">
        <f>IF(SUM(Dati[[#This Row],[Inv. Gold]:[Mutuo]])=0," ",SUM(Dati[[#This Row],[Inv. Gold]:[Mutuo]]))</f>
        <v xml:space="preserve"> </v>
      </c>
      <c r="AL1305" s="59"/>
      <c r="AM1305" s="59"/>
    </row>
    <row r="1306" spans="2:39" x14ac:dyDescent="0.35">
      <c r="B1306" s="237">
        <f t="shared" si="94"/>
        <v>1282</v>
      </c>
      <c r="C1306" s="49">
        <f t="shared" si="95"/>
        <v>45873</v>
      </c>
      <c r="D1306" s="29">
        <f>DAY(Dati[[#This Row],[Data]])</f>
        <v>4</v>
      </c>
      <c r="E1306" s="29" t="str">
        <f>IF(DAY(Data!$C$21:$C$1327)&gt;0,TEXT(Data!$C$21:$C$1327, "mmmm"),"")</f>
        <v>agosto</v>
      </c>
      <c r="F1306" s="29" t="str">
        <f>IF(DAY(Data!$C$21:$C$1327)&gt;0,TEXT(Data!$C$21:$C$1327, "aaaa"),"")</f>
        <v>2025</v>
      </c>
      <c r="I1306" t="str">
        <f>IF(OR(H1306=$B$5,H1306=$B$6,H1306=$B$7,H1306=$B$8,H1306=$B$9,H1306=$B$10,H1306=$B$11,H1306=$B$12,H1306=$B$13,H1306=$B$14),SottocategorieUscite[[#Headers],[Fuori Casa]],IF(OR(H1306=$C$5,H1306=$C$6,H1306=$C$7,H1306=$C$8,H1306=$C$9,H1306=$C$10,H1306=$C$11,H1306=$C$12,H1306=$C$13,H1306=$C$14),SottocategorieUscite[[#Headers],[Varie Uscite]],IF(OR(H1306=$D$5,H1306=$D$6,H1306=$D$7,H1306=$D$8,H1306=$D$9,H1306=$D$10,H1306=$D$11,H1306=$D$12,H1306=$D$13,H1306=$D$14),SottocategorieUscite[[#Headers],[Personali]],IF(OR(H1306=$E$5,H1306=$E$6,H1306=$E$7,H1306=$E$8,H1306=$E$9,H1306=$E$10,H1306=$E$11,H1306=$E$12,H1306=$E$13,H1306=$E$14),SottocategorieUscite[[#Headers],[Lavoro]],IF(OR(H1306=$F$5,H1306=$F$6,H1306=$F$7,H1306=$F$8,H1306=$F$9,H1306=$F$10,H1306=$F$11,H1306=$F$12,H1306=$F$13,H1306=$F$14),SottocategorieUscite[[#Headers],[Casa]],IF(OR(H1306=$G$5,H1306=$G$6,H1306=$G$7,H1306=$G$8,H1306=$G$9,H1306=$G$10,H1306=$G$11,H1306=$G$12,H1306=$G$13,H1306=$G$14),SottocategorieUscite[[#Headers],[Utenze]],IF(OR(H1306=$H$5,H1306=$H$6,H1306=$H$7,H1306=$H$8,H1306=$H$9,H1306=$H$10,H1306=$H$11,H1306=$H$12,H1306=$H$13,H1306=$H$14),SottocategorieUscite[[#Headers],[Business Uscite]],IF(OR(H1306=$I$5,H1306=$I$6,H1306=$I$7,H1306=$I$8,H1306=$I$9,H1306=$I$10,H1306=$I$11,H1306=$I$12,H1306=$I$13,H1306=$I$14),SottocategorieUscite[[#Headers],[Banca]],IF(OR(H1306=K$5,H1306=K$6,H1306=K$7,H1306=K$8,H1306=K$9,H1306=K$10,H1306=K$11,H1306=K$12,H1306=K$13,H1306=K$14),SottocategorieEntrate[[#Headers],[Business Entrate]],IF(OR(H1306=L$5,H1306=L$6,H1306=L$7,H1306=L$8,H1306=L$9,H1306=L$10,H1306=L$11,H1306=L$12,H1306=L$13,H1306=L$14),SottocategorieEntrate[[#Headers],[Varie Entrate]],IF(OR(H1306=M$5,H1306=M$6,H1306=M$7,H1306=M$8,H1306=M$9,H1306=M$10,H1306=M$11,H1306=M$12,H1306=M$13,H1306=M$14),SottocategorieEntrate[[#Headers],[Real Estate]],IF(OR(H1306=N$5,H1306=N$6,H1306=N$7,H1306=N$8,H1306=N$9,H1306=N$10,H1306=N$11,H1306=N$12,H1306=N$13,H1306=N$14),SottocategorieEntrate[[#Headers],[Other]],""))))))))))))</f>
        <v/>
      </c>
      <c r="J1306" t="str">
        <f>IF(OR(Dati[[#This Row],[Categoria]]="Bollette",Dati[[#This Row],[Categoria]]="Conto &amp; Carte BNL",Dati[[#This Row],[Categoria]]="Prelievo",Dati[[#This Row],[Categoria]]="Affitto",Dati[[#This Row],[Categoria]]="BNL(Interessi Creditori)"),"Carta",IF(Dati[[#This Row],[Categoria]]&lt;&gt;0,"Cash",""))</f>
        <v/>
      </c>
      <c r="K1306" s="59" t="str">
        <f>IF(OR(Data!$I1306=SottocategorieUscite[[#Headers],[Fuori Casa]],Data!$I1306=SottocategorieUscite[[#Headers],[Varie Uscite]],Data!$I1306=SottocategorieUscite[[#Headers],[Personali]],Data!$I1306=SottocategorieUscite[[#Headers],[Lavoro]]),"$ -","")</f>
        <v/>
      </c>
      <c r="L1306" s="59" t="str">
        <f>IF(OR(Data!$I1306=SottocategorieUscite[[#Headers],[Casa]],Data!$I1306=SottocategorieUscite[[#Headers],[Utenze]],Data!$I1306=SottocategorieUscite[[#Headers],[Business Uscite]],Data!$I1306=SottocategorieUscite[[#Headers],[Banca]]),"$ -","")</f>
        <v/>
      </c>
      <c r="M1306" s="59" t="str">
        <f>IF(OR($I1306&lt;&gt;SottocategorieUscite[[#Headers],[Fuori Casa]],$I1306&lt;&gt;SottocategorieUscite[[#Headers],[Varie Uscite]],$I1306&lt;&gt;SottocategorieUscite[[#Headers],[Personali]],$I1306&lt;&gt;SottocategorieUscite[[#Headers],[Lavoro]],$I1306&lt;&gt;SottocategorieUscite[[#Headers],[Casa]],$I1306&lt;&gt;SottocategorieUscite[[#Headers],[Utenze]],$I1306&lt;&gt;SottocategorieUscite[[#Headers],[Business Uscite]],$I1306&lt;&gt;SottocategorieUscite[[#Headers],[Banca]]),"","$ -")</f>
        <v/>
      </c>
      <c r="N1306" s="59" t="str">
        <f>IF(OR(Data!$I1306=SottocategorieEntrate[[#Headers],[Business Entrate]],Data!$I1306=SottocategorieEntrate[[#Headers],[Varie Entrate]]),"$ -","")</f>
        <v/>
      </c>
      <c r="O1306" s="59" t="str">
        <f>IF(OR(Data!$I1306=SottocategorieEntrate[[#Headers],[Real Estate]],SottocategorieEntrate[[#Headers],[Other]]),"$ -","")</f>
        <v/>
      </c>
      <c r="P1306" s="59" t="str">
        <f>IF(OR($I1306&lt;&gt;SottocategorieEntrate[[#Headers],[Business Entrate]],$I1306&lt;&gt;SottocategorieEntrate[[#Headers],[Varie Entrate]],$I1306&lt;&gt;SottocategorieEntrate[[#Headers],[Real Estate]],$I1306&lt;&gt;SottocategorieEntrate[[#Headers],[Other]]),"","$ -")</f>
        <v/>
      </c>
      <c r="Q1306" s="59" t="str">
        <f>IF(Dati[[#This Row],[Categoria]]="Prelievo","€ -","")</f>
        <v/>
      </c>
      <c r="R1306" s="244"/>
      <c r="S1306" s="59" t="str">
        <f>IF(Dati[[#This Row],[Categoria]]="Savings",0,"")</f>
        <v/>
      </c>
      <c r="T1306" s="59"/>
      <c r="U1306" s="59"/>
      <c r="V1306" s="59"/>
      <c r="W1306" s="59"/>
      <c r="X1306" s="59"/>
      <c r="Y1306" s="59"/>
      <c r="Z1306" s="59"/>
      <c r="AA1306" s="59"/>
      <c r="AB1306" s="59"/>
      <c r="AC1306" s="59"/>
      <c r="AD1306" s="59"/>
      <c r="AE1306" s="59"/>
      <c r="AF1306" s="59"/>
      <c r="AG1306" s="59"/>
      <c r="AH1306" s="59"/>
      <c r="AI1306" s="59" t="str">
        <f>IF(SUM(Dati[[#This Row],[Inv. Business]:[Inv. Cryptocurrency]])=0," ",SUM(Dati[[#This Row],[Inv. Business]:[Inv. Cryptocurrency]]))</f>
        <v xml:space="preserve"> </v>
      </c>
      <c r="AJ1306" s="59"/>
      <c r="AK1306" s="59" t="str">
        <f>IF(SUM(Dati[[#This Row],[Inv. Gold]:[Mutuo]])=0," ",SUM(Dati[[#This Row],[Inv. Gold]:[Mutuo]]))</f>
        <v xml:space="preserve"> </v>
      </c>
      <c r="AL1306" s="59"/>
      <c r="AM1306" s="59"/>
    </row>
    <row r="1307" spans="2:39" x14ac:dyDescent="0.35">
      <c r="B1307" s="237">
        <f t="shared" si="94"/>
        <v>1283</v>
      </c>
      <c r="C1307" s="49">
        <f t="shared" si="95"/>
        <v>45874</v>
      </c>
      <c r="D1307" s="29">
        <f>DAY(Dati[[#This Row],[Data]])</f>
        <v>5</v>
      </c>
      <c r="E1307" s="29" t="str">
        <f>IF(DAY(Data!$C$21:$C$1327)&gt;0,TEXT(Data!$C$21:$C$1327, "mmmm"),"")</f>
        <v>agosto</v>
      </c>
      <c r="F1307" s="29" t="str">
        <f>IF(DAY(Data!$C$21:$C$1327)&gt;0,TEXT(Data!$C$21:$C$1327, "aaaa"),"")</f>
        <v>2025</v>
      </c>
      <c r="I1307" t="str">
        <f>IF(OR(H1307=$B$5,H1307=$B$6,H1307=$B$7,H1307=$B$8,H1307=$B$9,H1307=$B$10,H1307=$B$11,H1307=$B$12,H1307=$B$13,H1307=$B$14),SottocategorieUscite[[#Headers],[Fuori Casa]],IF(OR(H1307=$C$5,H1307=$C$6,H1307=$C$7,H1307=$C$8,H1307=$C$9,H1307=$C$10,H1307=$C$11,H1307=$C$12,H1307=$C$13,H1307=$C$14),SottocategorieUscite[[#Headers],[Varie Uscite]],IF(OR(H1307=$D$5,H1307=$D$6,H1307=$D$7,H1307=$D$8,H1307=$D$9,H1307=$D$10,H1307=$D$11,H1307=$D$12,H1307=$D$13,H1307=$D$14),SottocategorieUscite[[#Headers],[Personali]],IF(OR(H1307=$E$5,H1307=$E$6,H1307=$E$7,H1307=$E$8,H1307=$E$9,H1307=$E$10,H1307=$E$11,H1307=$E$12,H1307=$E$13,H1307=$E$14),SottocategorieUscite[[#Headers],[Lavoro]],IF(OR(H1307=$F$5,H1307=$F$6,H1307=$F$7,H1307=$F$8,H1307=$F$9,H1307=$F$10,H1307=$F$11,H1307=$F$12,H1307=$F$13,H1307=$F$14),SottocategorieUscite[[#Headers],[Casa]],IF(OR(H1307=$G$5,H1307=$G$6,H1307=$G$7,H1307=$G$8,H1307=$G$9,H1307=$G$10,H1307=$G$11,H1307=$G$12,H1307=$G$13,H1307=$G$14),SottocategorieUscite[[#Headers],[Utenze]],IF(OR(H1307=$H$5,H1307=$H$6,H1307=$H$7,H1307=$H$8,H1307=$H$9,H1307=$H$10,H1307=$H$11,H1307=$H$12,H1307=$H$13,H1307=$H$14),SottocategorieUscite[[#Headers],[Business Uscite]],IF(OR(H1307=$I$5,H1307=$I$6,H1307=$I$7,H1307=$I$8,H1307=$I$9,H1307=$I$10,H1307=$I$11,H1307=$I$12,H1307=$I$13,H1307=$I$14),SottocategorieUscite[[#Headers],[Banca]],IF(OR(H1307=K$5,H1307=K$6,H1307=K$7,H1307=K$8,H1307=K$9,H1307=K$10,H1307=K$11,H1307=K$12,H1307=K$13,H1307=K$14),SottocategorieEntrate[[#Headers],[Business Entrate]],IF(OR(H1307=L$5,H1307=L$6,H1307=L$7,H1307=L$8,H1307=L$9,H1307=L$10,H1307=L$11,H1307=L$12,H1307=L$13,H1307=L$14),SottocategorieEntrate[[#Headers],[Varie Entrate]],IF(OR(H1307=M$5,H1307=M$6,H1307=M$7,H1307=M$8,H1307=M$9,H1307=M$10,H1307=M$11,H1307=M$12,H1307=M$13,H1307=M$14),SottocategorieEntrate[[#Headers],[Real Estate]],IF(OR(H1307=N$5,H1307=N$6,H1307=N$7,H1307=N$8,H1307=N$9,H1307=N$10,H1307=N$11,H1307=N$12,H1307=N$13,H1307=N$14),SottocategorieEntrate[[#Headers],[Other]],""))))))))))))</f>
        <v/>
      </c>
      <c r="J1307" t="str">
        <f>IF(OR(Dati[[#This Row],[Categoria]]="Bollette",Dati[[#This Row],[Categoria]]="Conto &amp; Carte BNL",Dati[[#This Row],[Categoria]]="Prelievo",Dati[[#This Row],[Categoria]]="Affitto",Dati[[#This Row],[Categoria]]="BNL(Interessi Creditori)"),"Carta",IF(Dati[[#This Row],[Categoria]]&lt;&gt;0,"Cash",""))</f>
        <v/>
      </c>
      <c r="K1307" s="59" t="str">
        <f>IF(OR(Data!$I1307=SottocategorieUscite[[#Headers],[Fuori Casa]],Data!$I1307=SottocategorieUscite[[#Headers],[Varie Uscite]],Data!$I1307=SottocategorieUscite[[#Headers],[Personali]],Data!$I1307=SottocategorieUscite[[#Headers],[Lavoro]]),"$ -","")</f>
        <v/>
      </c>
      <c r="L1307" s="59" t="str">
        <f>IF(OR(Data!$I1307=SottocategorieUscite[[#Headers],[Casa]],Data!$I1307=SottocategorieUscite[[#Headers],[Utenze]],Data!$I1307=SottocategorieUscite[[#Headers],[Business Uscite]],Data!$I1307=SottocategorieUscite[[#Headers],[Banca]]),"$ -","")</f>
        <v/>
      </c>
      <c r="M1307" s="59" t="str">
        <f>IF(OR($I1307&lt;&gt;SottocategorieUscite[[#Headers],[Fuori Casa]],$I1307&lt;&gt;SottocategorieUscite[[#Headers],[Varie Uscite]],$I1307&lt;&gt;SottocategorieUscite[[#Headers],[Personali]],$I1307&lt;&gt;SottocategorieUscite[[#Headers],[Lavoro]],$I1307&lt;&gt;SottocategorieUscite[[#Headers],[Casa]],$I1307&lt;&gt;SottocategorieUscite[[#Headers],[Utenze]],$I1307&lt;&gt;SottocategorieUscite[[#Headers],[Business Uscite]],$I1307&lt;&gt;SottocategorieUscite[[#Headers],[Banca]]),"","$ -")</f>
        <v/>
      </c>
      <c r="N1307" s="59" t="str">
        <f>IF(OR(Data!$I1307=SottocategorieEntrate[[#Headers],[Business Entrate]],Data!$I1307=SottocategorieEntrate[[#Headers],[Varie Entrate]]),"$ -","")</f>
        <v/>
      </c>
      <c r="O1307" s="59" t="str">
        <f>IF(OR(Data!$I1307=SottocategorieEntrate[[#Headers],[Real Estate]],SottocategorieEntrate[[#Headers],[Other]]),"$ -","")</f>
        <v/>
      </c>
      <c r="P1307" s="59" t="str">
        <f>IF(OR($I1307&lt;&gt;SottocategorieEntrate[[#Headers],[Business Entrate]],$I1307&lt;&gt;SottocategorieEntrate[[#Headers],[Varie Entrate]],$I1307&lt;&gt;SottocategorieEntrate[[#Headers],[Real Estate]],$I1307&lt;&gt;SottocategorieEntrate[[#Headers],[Other]]),"","$ -")</f>
        <v/>
      </c>
      <c r="Q1307" s="59" t="str">
        <f>IF(Dati[[#This Row],[Categoria]]="Prelievo","€ -","")</f>
        <v/>
      </c>
      <c r="R1307" s="244"/>
      <c r="S1307" s="59" t="str">
        <f>IF(Dati[[#This Row],[Categoria]]="Savings",0,"")</f>
        <v/>
      </c>
      <c r="T1307" s="59"/>
      <c r="U1307" s="59"/>
      <c r="V1307" s="59"/>
      <c r="W1307" s="59"/>
      <c r="X1307" s="59"/>
      <c r="Y1307" s="59"/>
      <c r="Z1307" s="59"/>
      <c r="AA1307" s="59"/>
      <c r="AB1307" s="59"/>
      <c r="AC1307" s="59"/>
      <c r="AD1307" s="59"/>
      <c r="AE1307" s="59"/>
      <c r="AF1307" s="59"/>
      <c r="AG1307" s="59"/>
      <c r="AH1307" s="59"/>
      <c r="AI1307" s="59" t="str">
        <f>IF(SUM(Dati[[#This Row],[Inv. Business]:[Inv. Cryptocurrency]])=0," ",SUM(Dati[[#This Row],[Inv. Business]:[Inv. Cryptocurrency]]))</f>
        <v xml:space="preserve"> </v>
      </c>
      <c r="AJ1307" s="59"/>
      <c r="AK1307" s="59" t="str">
        <f>IF(SUM(Dati[[#This Row],[Inv. Gold]:[Mutuo]])=0," ",SUM(Dati[[#This Row],[Inv. Gold]:[Mutuo]]))</f>
        <v xml:space="preserve"> </v>
      </c>
      <c r="AL1307" s="59"/>
      <c r="AM1307" s="59"/>
    </row>
    <row r="1308" spans="2:39" x14ac:dyDescent="0.35">
      <c r="B1308" s="237">
        <f t="shared" ref="B1308" si="96">ROW(1285:1285)</f>
        <v>1285</v>
      </c>
      <c r="C1308" s="49">
        <f t="shared" si="95"/>
        <v>45875</v>
      </c>
      <c r="D1308" s="29">
        <f>DAY(Dati[[#This Row],[Data]])</f>
        <v>6</v>
      </c>
      <c r="E1308" s="29" t="str">
        <f>IF(DAY(Data!$C$21:$C$1327)&gt;0,TEXT(Data!$C$21:$C$1327, "mmmm"),"")</f>
        <v>agosto</v>
      </c>
      <c r="F1308" s="29" t="str">
        <f>IF(DAY(Data!$C$21:$C$1327)&gt;0,TEXT(Data!$C$21:$C$1327, "aaaa"),"")</f>
        <v>2025</v>
      </c>
      <c r="I1308" t="str">
        <f>IF(OR(H1308=$B$5,H1308=$B$6,H1308=$B$7,H1308=$B$8,H1308=$B$9,H1308=$B$10,H1308=$B$11,H1308=$B$12,H1308=$B$13,H1308=$B$14),SottocategorieUscite[[#Headers],[Fuori Casa]],IF(OR(H1308=$C$5,H1308=$C$6,H1308=$C$7,H1308=$C$8,H1308=$C$9,H1308=$C$10,H1308=$C$11,H1308=$C$12,H1308=$C$13,H1308=$C$14),SottocategorieUscite[[#Headers],[Varie Uscite]],IF(OR(H1308=$D$5,H1308=$D$6,H1308=$D$7,H1308=$D$8,H1308=$D$9,H1308=$D$10,H1308=$D$11,H1308=$D$12,H1308=$D$13,H1308=$D$14),SottocategorieUscite[[#Headers],[Personali]],IF(OR(H1308=$E$5,H1308=$E$6,H1308=$E$7,H1308=$E$8,H1308=$E$9,H1308=$E$10,H1308=$E$11,H1308=$E$12,H1308=$E$13,H1308=$E$14),SottocategorieUscite[[#Headers],[Lavoro]],IF(OR(H1308=$F$5,H1308=$F$6,H1308=$F$7,H1308=$F$8,H1308=$F$9,H1308=$F$10,H1308=$F$11,H1308=$F$12,H1308=$F$13,H1308=$F$14),SottocategorieUscite[[#Headers],[Casa]],IF(OR(H1308=$G$5,H1308=$G$6,H1308=$G$7,H1308=$G$8,H1308=$G$9,H1308=$G$10,H1308=$G$11,H1308=$G$12,H1308=$G$13,H1308=$G$14),SottocategorieUscite[[#Headers],[Utenze]],IF(OR(H1308=$H$5,H1308=$H$6,H1308=$H$7,H1308=$H$8,H1308=$H$9,H1308=$H$10,H1308=$H$11,H1308=$H$12,H1308=$H$13,H1308=$H$14),SottocategorieUscite[[#Headers],[Business Uscite]],IF(OR(H1308=$I$5,H1308=$I$6,H1308=$I$7,H1308=$I$8,H1308=$I$9,H1308=$I$10,H1308=$I$11,H1308=$I$12,H1308=$I$13,H1308=$I$14),SottocategorieUscite[[#Headers],[Banca]],IF(OR(H1308=K$5,H1308=K$6,H1308=K$7,H1308=K$8,H1308=K$9,H1308=K$10,H1308=K$11,H1308=K$12,H1308=K$13,H1308=K$14),SottocategorieEntrate[[#Headers],[Business Entrate]],IF(OR(H1308=L$5,H1308=L$6,H1308=L$7,H1308=L$8,H1308=L$9,H1308=L$10,H1308=L$11,H1308=L$12,H1308=L$13,H1308=L$14),SottocategorieEntrate[[#Headers],[Varie Entrate]],IF(OR(H1308=M$5,H1308=M$6,H1308=M$7,H1308=M$8,H1308=M$9,H1308=M$10,H1308=M$11,H1308=M$12,H1308=M$13,H1308=M$14),SottocategorieEntrate[[#Headers],[Real Estate]],IF(OR(H1308=N$5,H1308=N$6,H1308=N$7,H1308=N$8,H1308=N$9,H1308=N$10,H1308=N$11,H1308=N$12,H1308=N$13,H1308=N$14),SottocategorieEntrate[[#Headers],[Other]],""))))))))))))</f>
        <v/>
      </c>
      <c r="J1308" t="str">
        <f>IF(OR(Dati[[#This Row],[Categoria]]="Bollette",Dati[[#This Row],[Categoria]]="Conto &amp; Carte BNL",Dati[[#This Row],[Categoria]]="Prelievo",Dati[[#This Row],[Categoria]]="Affitto",Dati[[#This Row],[Categoria]]="BNL(Interessi Creditori)"),"Carta",IF(Dati[[#This Row],[Categoria]]&lt;&gt;0,"Cash",""))</f>
        <v/>
      </c>
      <c r="K1308" s="59" t="str">
        <f>IF(OR(Data!$I1308=SottocategorieUscite[[#Headers],[Fuori Casa]],Data!$I1308=SottocategorieUscite[[#Headers],[Varie Uscite]],Data!$I1308=SottocategorieUscite[[#Headers],[Personali]],Data!$I1308=SottocategorieUscite[[#Headers],[Lavoro]]),"$ -","")</f>
        <v/>
      </c>
      <c r="L1308" s="59" t="str">
        <f>IF(OR(Data!$I1308=SottocategorieUscite[[#Headers],[Casa]],Data!$I1308=SottocategorieUscite[[#Headers],[Utenze]],Data!$I1308=SottocategorieUscite[[#Headers],[Business Uscite]],Data!$I1308=SottocategorieUscite[[#Headers],[Banca]]),"$ -","")</f>
        <v/>
      </c>
      <c r="M1308" s="59" t="str">
        <f>IF(OR($I1308&lt;&gt;SottocategorieUscite[[#Headers],[Fuori Casa]],$I1308&lt;&gt;SottocategorieUscite[[#Headers],[Varie Uscite]],$I1308&lt;&gt;SottocategorieUscite[[#Headers],[Personali]],$I1308&lt;&gt;SottocategorieUscite[[#Headers],[Lavoro]],$I1308&lt;&gt;SottocategorieUscite[[#Headers],[Casa]],$I1308&lt;&gt;SottocategorieUscite[[#Headers],[Utenze]],$I1308&lt;&gt;SottocategorieUscite[[#Headers],[Business Uscite]],$I1308&lt;&gt;SottocategorieUscite[[#Headers],[Banca]]),"","$ -")</f>
        <v/>
      </c>
      <c r="N1308" s="59" t="str">
        <f>IF(OR(Data!$I1308=SottocategorieEntrate[[#Headers],[Business Entrate]],Data!$I1308=SottocategorieEntrate[[#Headers],[Varie Entrate]]),"$ -","")</f>
        <v/>
      </c>
      <c r="O1308" s="59" t="str">
        <f>IF(OR(Data!$I1308=SottocategorieEntrate[[#Headers],[Real Estate]],SottocategorieEntrate[[#Headers],[Other]]),"$ -","")</f>
        <v/>
      </c>
      <c r="P1308" s="59" t="str">
        <f>IF(OR($I1308&lt;&gt;SottocategorieEntrate[[#Headers],[Business Entrate]],$I1308&lt;&gt;SottocategorieEntrate[[#Headers],[Varie Entrate]],$I1308&lt;&gt;SottocategorieEntrate[[#Headers],[Real Estate]],$I1308&lt;&gt;SottocategorieEntrate[[#Headers],[Other]]),"","$ -")</f>
        <v/>
      </c>
      <c r="Q1308" s="59" t="str">
        <f>IF(Dati[[#This Row],[Categoria]]="Prelievo","€ -","")</f>
        <v/>
      </c>
      <c r="R1308" s="244"/>
      <c r="S1308" s="59" t="str">
        <f>IF(Dati[[#This Row],[Categoria]]="Savings",0,"")</f>
        <v/>
      </c>
      <c r="T1308" s="59"/>
      <c r="U1308" s="59"/>
      <c r="V1308" s="59"/>
      <c r="W1308" s="59"/>
      <c r="X1308" s="59"/>
      <c r="Y1308" s="59"/>
      <c r="Z1308" s="59"/>
      <c r="AA1308" s="59"/>
      <c r="AB1308" s="59"/>
      <c r="AC1308" s="59"/>
      <c r="AD1308" s="59"/>
      <c r="AE1308" s="59"/>
      <c r="AF1308" s="59"/>
      <c r="AG1308" s="59"/>
      <c r="AH1308" s="59"/>
      <c r="AI1308" s="59" t="str">
        <f>IF(SUM(Dati[[#This Row],[Inv. Business]:[Inv. Cryptocurrency]])=0," ",SUM(Dati[[#This Row],[Inv. Business]:[Inv. Cryptocurrency]]))</f>
        <v xml:space="preserve"> </v>
      </c>
      <c r="AJ1308" s="59"/>
      <c r="AK1308" s="59" t="str">
        <f>IF(SUM(Dati[[#This Row],[Inv. Gold]:[Mutuo]])=0," ",SUM(Dati[[#This Row],[Inv. Gold]:[Mutuo]]))</f>
        <v xml:space="preserve"> </v>
      </c>
      <c r="AL1308" s="59"/>
      <c r="AM1308" s="59"/>
    </row>
    <row r="1309" spans="2:39" x14ac:dyDescent="0.35">
      <c r="B1309" s="237">
        <f>ROW(1285:1285)</f>
        <v>1285</v>
      </c>
      <c r="C1309" s="49">
        <f>C1307+1</f>
        <v>45875</v>
      </c>
      <c r="D1309" s="29">
        <f>DAY(Dati[[#This Row],[Data]])</f>
        <v>6</v>
      </c>
      <c r="E1309" s="29" t="str">
        <f>IF(DAY(Data!$C$21:$C$1327)&gt;0,TEXT(Data!$C$21:$C$1327, "mmmm"),"")</f>
        <v>agosto</v>
      </c>
      <c r="F1309" s="29" t="str">
        <f>IF(DAY(Data!$C$21:$C$1327)&gt;0,TEXT(Data!$C$21:$C$1327, "aaaa"),"")</f>
        <v>2025</v>
      </c>
      <c r="I1309" t="str">
        <f>IF(OR(H1309=$B$5,H1309=$B$6,H1309=$B$7,H1309=$B$8,H1309=$B$9,H1309=$B$10,H1309=$B$11,H1309=$B$12,H1309=$B$13,H1309=$B$14),SottocategorieUscite[[#Headers],[Fuori Casa]],IF(OR(H1309=$C$5,H1309=$C$6,H1309=$C$7,H1309=$C$8,H1309=$C$9,H1309=$C$10,H1309=$C$11,H1309=$C$12,H1309=$C$13,H1309=$C$14),SottocategorieUscite[[#Headers],[Varie Uscite]],IF(OR(H1309=$D$5,H1309=$D$6,H1309=$D$7,H1309=$D$8,H1309=$D$9,H1309=$D$10,H1309=$D$11,H1309=$D$12,H1309=$D$13,H1309=$D$14),SottocategorieUscite[[#Headers],[Personali]],IF(OR(H1309=$E$5,H1309=$E$6,H1309=$E$7,H1309=$E$8,H1309=$E$9,H1309=$E$10,H1309=$E$11,H1309=$E$12,H1309=$E$13,H1309=$E$14),SottocategorieUscite[[#Headers],[Lavoro]],IF(OR(H1309=$F$5,H1309=$F$6,H1309=$F$7,H1309=$F$8,H1309=$F$9,H1309=$F$10,H1309=$F$11,H1309=$F$12,H1309=$F$13,H1309=$F$14),SottocategorieUscite[[#Headers],[Casa]],IF(OR(H1309=$G$5,H1309=$G$6,H1309=$G$7,H1309=$G$8,H1309=$G$9,H1309=$G$10,H1309=$G$11,H1309=$G$12,H1309=$G$13,H1309=$G$14),SottocategorieUscite[[#Headers],[Utenze]],IF(OR(H1309=$H$5,H1309=$H$6,H1309=$H$7,H1309=$H$8,H1309=$H$9,H1309=$H$10,H1309=$H$11,H1309=$H$12,H1309=$H$13,H1309=$H$14),SottocategorieUscite[[#Headers],[Business Uscite]],IF(OR(H1309=$I$5,H1309=$I$6,H1309=$I$7,H1309=$I$8,H1309=$I$9,H1309=$I$10,H1309=$I$11,H1309=$I$12,H1309=$I$13,H1309=$I$14),SottocategorieUscite[[#Headers],[Banca]],IF(OR(H1309=K$5,H1309=K$6,H1309=K$7,H1309=K$8,H1309=K$9,H1309=K$10,H1309=K$11,H1309=K$12,H1309=K$13,H1309=K$14),SottocategorieEntrate[[#Headers],[Business Entrate]],IF(OR(H1309=L$5,H1309=L$6,H1309=L$7,H1309=L$8,H1309=L$9,H1309=L$10,H1309=L$11,H1309=L$12,H1309=L$13,H1309=L$14),SottocategorieEntrate[[#Headers],[Varie Entrate]],IF(OR(H1309=M$5,H1309=M$6,H1309=M$7,H1309=M$8,H1309=M$9,H1309=M$10,H1309=M$11,H1309=M$12,H1309=M$13,H1309=M$14),SottocategorieEntrate[[#Headers],[Real Estate]],IF(OR(H1309=N$5,H1309=N$6,H1309=N$7,H1309=N$8,H1309=N$9,H1309=N$10,H1309=N$11,H1309=N$12,H1309=N$13,H1309=N$14),SottocategorieEntrate[[#Headers],[Other]],""))))))))))))</f>
        <v/>
      </c>
      <c r="J1309" t="str">
        <f>IF(OR(Dati[[#This Row],[Categoria]]="Bollette",Dati[[#This Row],[Categoria]]="Conto &amp; Carte BNL",Dati[[#This Row],[Categoria]]="Prelievo",Dati[[#This Row],[Categoria]]="Affitto",Dati[[#This Row],[Categoria]]="BNL(Interessi Creditori)"),"Carta",IF(Dati[[#This Row],[Categoria]]&lt;&gt;0,"Cash",""))</f>
        <v/>
      </c>
      <c r="K1309" s="59" t="str">
        <f>IF(OR(Data!$I1309=SottocategorieUscite[[#Headers],[Fuori Casa]],Data!$I1309=SottocategorieUscite[[#Headers],[Varie Uscite]],Data!$I1309=SottocategorieUscite[[#Headers],[Personali]],Data!$I1309=SottocategorieUscite[[#Headers],[Lavoro]]),"$ -","")</f>
        <v/>
      </c>
      <c r="L1309" s="59" t="str">
        <f>IF(OR(Data!$I1309=SottocategorieUscite[[#Headers],[Casa]],Data!$I1309=SottocategorieUscite[[#Headers],[Utenze]],Data!$I1309=SottocategorieUscite[[#Headers],[Business Uscite]],Data!$I1309=SottocategorieUscite[[#Headers],[Banca]]),"$ -","")</f>
        <v/>
      </c>
      <c r="M1309" s="59" t="str">
        <f>IF(OR($I1309&lt;&gt;SottocategorieUscite[[#Headers],[Fuori Casa]],$I1309&lt;&gt;SottocategorieUscite[[#Headers],[Varie Uscite]],$I1309&lt;&gt;SottocategorieUscite[[#Headers],[Personali]],$I1309&lt;&gt;SottocategorieUscite[[#Headers],[Lavoro]],$I1309&lt;&gt;SottocategorieUscite[[#Headers],[Casa]],$I1309&lt;&gt;SottocategorieUscite[[#Headers],[Utenze]],$I1309&lt;&gt;SottocategorieUscite[[#Headers],[Business Uscite]],$I1309&lt;&gt;SottocategorieUscite[[#Headers],[Banca]]),"","$ -")</f>
        <v/>
      </c>
      <c r="N1309" s="59" t="str">
        <f>IF(OR(Data!$I1309=SottocategorieEntrate[[#Headers],[Business Entrate]],Data!$I1309=SottocategorieEntrate[[#Headers],[Varie Entrate]]),"$ -","")</f>
        <v/>
      </c>
      <c r="O1309" s="59" t="str">
        <f>IF(OR(Data!$I1309=SottocategorieEntrate[[#Headers],[Real Estate]],SottocategorieEntrate[[#Headers],[Other]]),"$ -","")</f>
        <v/>
      </c>
      <c r="P1309" s="59" t="str">
        <f>IF(OR($I1309&lt;&gt;SottocategorieEntrate[[#Headers],[Business Entrate]],$I1309&lt;&gt;SottocategorieEntrate[[#Headers],[Varie Entrate]],$I1309&lt;&gt;SottocategorieEntrate[[#Headers],[Real Estate]],$I1309&lt;&gt;SottocategorieEntrate[[#Headers],[Other]]),"","$ -")</f>
        <v/>
      </c>
      <c r="Q1309" s="59" t="str">
        <f>IF(Dati[[#This Row],[Categoria]]="Prelievo","€ -","")</f>
        <v/>
      </c>
      <c r="R1309" s="244"/>
      <c r="S1309" s="59" t="str">
        <f>IF(Dati[[#This Row],[Categoria]]="Savings",0,"")</f>
        <v/>
      </c>
      <c r="T1309" s="59"/>
      <c r="U1309" s="59"/>
      <c r="V1309" s="59"/>
      <c r="W1309" s="59"/>
      <c r="X1309" s="59"/>
      <c r="Y1309" s="59"/>
      <c r="Z1309" s="59"/>
      <c r="AA1309" s="59"/>
      <c r="AB1309" s="59"/>
      <c r="AC1309" s="59"/>
      <c r="AD1309" s="59"/>
      <c r="AE1309" s="59"/>
      <c r="AF1309" s="59"/>
      <c r="AG1309" s="59"/>
      <c r="AH1309" s="59"/>
      <c r="AI1309" s="59" t="str">
        <f>IF(SUM(Dati[[#This Row],[Inv. Business]:[Inv. Cryptocurrency]])=0," ",SUM(Dati[[#This Row],[Inv. Business]:[Inv. Cryptocurrency]]))</f>
        <v xml:space="preserve"> </v>
      </c>
      <c r="AJ1309" s="59"/>
      <c r="AK1309" s="59" t="str">
        <f>IF(SUM(Dati[[#This Row],[Inv. Gold]:[Mutuo]])=0," ",SUM(Dati[[#This Row],[Inv. Gold]:[Mutuo]]))</f>
        <v xml:space="preserve"> </v>
      </c>
      <c r="AL1309" s="59"/>
      <c r="AM1309" s="59"/>
    </row>
    <row r="1310" spans="2:39" x14ac:dyDescent="0.35">
      <c r="B1310" s="237">
        <f t="shared" ref="B1310:B1317" si="97">ROW(1285:1285)</f>
        <v>1285</v>
      </c>
      <c r="C1310" s="49">
        <f>C1307+1</f>
        <v>45875</v>
      </c>
      <c r="D1310" s="29">
        <f>DAY(Dati[[#This Row],[Data]])</f>
        <v>6</v>
      </c>
      <c r="E1310" s="29" t="str">
        <f>IF(DAY(Data!$C$21:$C$1327)&gt;0,TEXT(Data!$C$21:$C$1327, "mmmm"),"")</f>
        <v>agosto</v>
      </c>
      <c r="F1310" s="29" t="str">
        <f>IF(DAY(Data!$C$21:$C$1327)&gt;0,TEXT(Data!$C$21:$C$1327, "aaaa"),"")</f>
        <v>2025</v>
      </c>
      <c r="I1310" t="str">
        <f>IF(OR(H1310=$B$5,H1310=$B$6,H1310=$B$7,H1310=$B$8,H1310=$B$9,H1310=$B$10,H1310=$B$11,H1310=$B$12,H1310=$B$13,H1310=$B$14),SottocategorieUscite[[#Headers],[Fuori Casa]],IF(OR(H1310=$C$5,H1310=$C$6,H1310=$C$7,H1310=$C$8,H1310=$C$9,H1310=$C$10,H1310=$C$11,H1310=$C$12,H1310=$C$13,H1310=$C$14),SottocategorieUscite[[#Headers],[Varie Uscite]],IF(OR(H1310=$D$5,H1310=$D$6,H1310=$D$7,H1310=$D$8,H1310=$D$9,H1310=$D$10,H1310=$D$11,H1310=$D$12,H1310=$D$13,H1310=$D$14),SottocategorieUscite[[#Headers],[Personali]],IF(OR(H1310=$E$5,H1310=$E$6,H1310=$E$7,H1310=$E$8,H1310=$E$9,H1310=$E$10,H1310=$E$11,H1310=$E$12,H1310=$E$13,H1310=$E$14),SottocategorieUscite[[#Headers],[Lavoro]],IF(OR(H1310=$F$5,H1310=$F$6,H1310=$F$7,H1310=$F$8,H1310=$F$9,H1310=$F$10,H1310=$F$11,H1310=$F$12,H1310=$F$13,H1310=$F$14),SottocategorieUscite[[#Headers],[Casa]],IF(OR(H1310=$G$5,H1310=$G$6,H1310=$G$7,H1310=$G$8,H1310=$G$9,H1310=$G$10,H1310=$G$11,H1310=$G$12,H1310=$G$13,H1310=$G$14),SottocategorieUscite[[#Headers],[Utenze]],IF(OR(H1310=$H$5,H1310=$H$6,H1310=$H$7,H1310=$H$8,H1310=$H$9,H1310=$H$10,H1310=$H$11,H1310=$H$12,H1310=$H$13,H1310=$H$14),SottocategorieUscite[[#Headers],[Business Uscite]],IF(OR(H1310=$I$5,H1310=$I$6,H1310=$I$7,H1310=$I$8,H1310=$I$9,H1310=$I$10,H1310=$I$11,H1310=$I$12,H1310=$I$13,H1310=$I$14),SottocategorieUscite[[#Headers],[Banca]],IF(OR(H1310=K$5,H1310=K$6,H1310=K$7,H1310=K$8,H1310=K$9,H1310=K$10,H1310=K$11,H1310=K$12,H1310=K$13,H1310=K$14),SottocategorieEntrate[[#Headers],[Business Entrate]],IF(OR(H1310=L$5,H1310=L$6,H1310=L$7,H1310=L$8,H1310=L$9,H1310=L$10,H1310=L$11,H1310=L$12,H1310=L$13,H1310=L$14),SottocategorieEntrate[[#Headers],[Varie Entrate]],IF(OR(H1310=M$5,H1310=M$6,H1310=M$7,H1310=M$8,H1310=M$9,H1310=M$10,H1310=M$11,H1310=M$12,H1310=M$13,H1310=M$14),SottocategorieEntrate[[#Headers],[Real Estate]],IF(OR(H1310=N$5,H1310=N$6,H1310=N$7,H1310=N$8,H1310=N$9,H1310=N$10,H1310=N$11,H1310=N$12,H1310=N$13,H1310=N$14),SottocategorieEntrate[[#Headers],[Other]],""))))))))))))</f>
        <v/>
      </c>
      <c r="J1310" t="str">
        <f>IF(OR(Dati[[#This Row],[Categoria]]="Bollette",Dati[[#This Row],[Categoria]]="Conto &amp; Carte BNL",Dati[[#This Row],[Categoria]]="Prelievo",Dati[[#This Row],[Categoria]]="Affitto",Dati[[#This Row],[Categoria]]="BNL(Interessi Creditori)"),"Carta",IF(Dati[[#This Row],[Categoria]]&lt;&gt;0,"Cash",""))</f>
        <v/>
      </c>
      <c r="K1310" s="59" t="str">
        <f>IF(OR(Data!$I1310=SottocategorieUscite[[#Headers],[Fuori Casa]],Data!$I1310=SottocategorieUscite[[#Headers],[Varie Uscite]],Data!$I1310=SottocategorieUscite[[#Headers],[Personali]],Data!$I1310=SottocategorieUscite[[#Headers],[Lavoro]]),"$ -","")</f>
        <v/>
      </c>
      <c r="L1310" s="59" t="str">
        <f>IF(OR(Data!$I1310=SottocategorieUscite[[#Headers],[Casa]],Data!$I1310=SottocategorieUscite[[#Headers],[Utenze]],Data!$I1310=SottocategorieUscite[[#Headers],[Business Uscite]],Data!$I1310=SottocategorieUscite[[#Headers],[Banca]]),"$ -","")</f>
        <v/>
      </c>
      <c r="M1310" s="59" t="str">
        <f>IF(OR($I1310&lt;&gt;SottocategorieUscite[[#Headers],[Fuori Casa]],$I1310&lt;&gt;SottocategorieUscite[[#Headers],[Varie Uscite]],$I1310&lt;&gt;SottocategorieUscite[[#Headers],[Personali]],$I1310&lt;&gt;SottocategorieUscite[[#Headers],[Lavoro]],$I1310&lt;&gt;SottocategorieUscite[[#Headers],[Casa]],$I1310&lt;&gt;SottocategorieUscite[[#Headers],[Utenze]],$I1310&lt;&gt;SottocategorieUscite[[#Headers],[Business Uscite]],$I1310&lt;&gt;SottocategorieUscite[[#Headers],[Banca]]),"","$ -")</f>
        <v/>
      </c>
      <c r="N1310" s="59" t="str">
        <f>IF(OR(Data!$I1310=SottocategorieEntrate[[#Headers],[Business Entrate]],Data!$I1310=SottocategorieEntrate[[#Headers],[Varie Entrate]]),"$ -","")</f>
        <v/>
      </c>
      <c r="O1310" s="59" t="str">
        <f>IF(OR(Data!$I1310=SottocategorieEntrate[[#Headers],[Real Estate]],SottocategorieEntrate[[#Headers],[Other]]),"$ -","")</f>
        <v/>
      </c>
      <c r="P1310" s="59" t="str">
        <f>IF(OR($I1310&lt;&gt;SottocategorieEntrate[[#Headers],[Business Entrate]],$I1310&lt;&gt;SottocategorieEntrate[[#Headers],[Varie Entrate]],$I1310&lt;&gt;SottocategorieEntrate[[#Headers],[Real Estate]],$I1310&lt;&gt;SottocategorieEntrate[[#Headers],[Other]]),"","$ -")</f>
        <v/>
      </c>
      <c r="Q1310" s="59" t="str">
        <f>IF(Dati[[#This Row],[Categoria]]="Prelievo","€ -","")</f>
        <v/>
      </c>
      <c r="R1310" s="244"/>
      <c r="S1310" s="59" t="str">
        <f>IF(Dati[[#This Row],[Categoria]]="Savings",0,"")</f>
        <v/>
      </c>
      <c r="T1310" s="59"/>
      <c r="U1310" s="59"/>
      <c r="V1310" s="59"/>
      <c r="W1310" s="59"/>
      <c r="X1310" s="59"/>
      <c r="Y1310" s="59"/>
      <c r="Z1310" s="59"/>
      <c r="AA1310" s="59"/>
      <c r="AB1310" s="59"/>
      <c r="AC1310" s="59"/>
      <c r="AD1310" s="59"/>
      <c r="AE1310" s="59"/>
      <c r="AF1310" s="59"/>
      <c r="AG1310" s="59"/>
      <c r="AH1310" s="59"/>
      <c r="AI1310" s="59" t="str">
        <f>IF(SUM(Dati[[#This Row],[Inv. Business]:[Inv. Cryptocurrency]])=0," ",SUM(Dati[[#This Row],[Inv. Business]:[Inv. Cryptocurrency]]))</f>
        <v xml:space="preserve"> </v>
      </c>
      <c r="AJ1310" s="59"/>
      <c r="AK1310" s="59" t="str">
        <f>IF(SUM(Dati[[#This Row],[Inv. Gold]:[Mutuo]])=0," ",SUM(Dati[[#This Row],[Inv. Gold]:[Mutuo]]))</f>
        <v xml:space="preserve"> </v>
      </c>
      <c r="AL1310" s="59"/>
      <c r="AM1310" s="59"/>
    </row>
    <row r="1311" spans="2:39" x14ac:dyDescent="0.35">
      <c r="B1311" s="237">
        <f t="shared" si="97"/>
        <v>1286</v>
      </c>
      <c r="C1311" s="49">
        <f>C1308+1</f>
        <v>45876</v>
      </c>
      <c r="D1311" s="29">
        <f>DAY(Dati[[#This Row],[Data]])</f>
        <v>7</v>
      </c>
      <c r="E1311" s="29" t="str">
        <f>IF(DAY(Data!$C$21:$C$1327)&gt;0,TEXT(Data!$C$21:$C$1327, "mmmm"),"")</f>
        <v>agosto</v>
      </c>
      <c r="F1311" s="29" t="str">
        <f>IF(DAY(Data!$C$21:$C$1327)&gt;0,TEXT(Data!$C$21:$C$1327, "aaaa"),"")</f>
        <v>2025</v>
      </c>
      <c r="I1311" t="str">
        <f>IF(OR(H1311=$B$5,H1311=$B$6,H1311=$B$7,H1311=$B$8,H1311=$B$9,H1311=$B$10,H1311=$B$11,H1311=$B$12,H1311=$B$13,H1311=$B$14),SottocategorieUscite[[#Headers],[Fuori Casa]],IF(OR(H1311=$C$5,H1311=$C$6,H1311=$C$7,H1311=$C$8,H1311=$C$9,H1311=$C$10,H1311=$C$11,H1311=$C$12,H1311=$C$13,H1311=$C$14),SottocategorieUscite[[#Headers],[Varie Uscite]],IF(OR(H1311=$D$5,H1311=$D$6,H1311=$D$7,H1311=$D$8,H1311=$D$9,H1311=$D$10,H1311=$D$11,H1311=$D$12,H1311=$D$13,H1311=$D$14),SottocategorieUscite[[#Headers],[Personali]],IF(OR(H1311=$E$5,H1311=$E$6,H1311=$E$7,H1311=$E$8,H1311=$E$9,H1311=$E$10,H1311=$E$11,H1311=$E$12,H1311=$E$13,H1311=$E$14),SottocategorieUscite[[#Headers],[Lavoro]],IF(OR(H1311=$F$5,H1311=$F$6,H1311=$F$7,H1311=$F$8,H1311=$F$9,H1311=$F$10,H1311=$F$11,H1311=$F$12,H1311=$F$13,H1311=$F$14),SottocategorieUscite[[#Headers],[Casa]],IF(OR(H1311=$G$5,H1311=$G$6,H1311=$G$7,H1311=$G$8,H1311=$G$9,H1311=$G$10,H1311=$G$11,H1311=$G$12,H1311=$G$13,H1311=$G$14),SottocategorieUscite[[#Headers],[Utenze]],IF(OR(H1311=$H$5,H1311=$H$6,H1311=$H$7,H1311=$H$8,H1311=$H$9,H1311=$H$10,H1311=$H$11,H1311=$H$12,H1311=$H$13,H1311=$H$14),SottocategorieUscite[[#Headers],[Business Uscite]],IF(OR(H1311=$I$5,H1311=$I$6,H1311=$I$7,H1311=$I$8,H1311=$I$9,H1311=$I$10,H1311=$I$11,H1311=$I$12,H1311=$I$13,H1311=$I$14),SottocategorieUscite[[#Headers],[Banca]],IF(OR(H1311=K$5,H1311=K$6,H1311=K$7,H1311=K$8,H1311=K$9,H1311=K$10,H1311=K$11,H1311=K$12,H1311=K$13,H1311=K$14),SottocategorieEntrate[[#Headers],[Business Entrate]],IF(OR(H1311=L$5,H1311=L$6,H1311=L$7,H1311=L$8,H1311=L$9,H1311=L$10,H1311=L$11,H1311=L$12,H1311=L$13,H1311=L$14),SottocategorieEntrate[[#Headers],[Varie Entrate]],IF(OR(H1311=M$5,H1311=M$6,H1311=M$7,H1311=M$8,H1311=M$9,H1311=M$10,H1311=M$11,H1311=M$12,H1311=M$13,H1311=M$14),SottocategorieEntrate[[#Headers],[Real Estate]],IF(OR(H1311=N$5,H1311=N$6,H1311=N$7,H1311=N$8,H1311=N$9,H1311=N$10,H1311=N$11,H1311=N$12,H1311=N$13,H1311=N$14),SottocategorieEntrate[[#Headers],[Other]],""))))))))))))</f>
        <v/>
      </c>
      <c r="J1311" t="str">
        <f>IF(OR(Dati[[#This Row],[Categoria]]="Bollette",Dati[[#This Row],[Categoria]]="Conto &amp; Carte BNL",Dati[[#This Row],[Categoria]]="Prelievo",Dati[[#This Row],[Categoria]]="Affitto",Dati[[#This Row],[Categoria]]="BNL(Interessi Creditori)"),"Carta",IF(Dati[[#This Row],[Categoria]]&lt;&gt;0,"Cash",""))</f>
        <v/>
      </c>
      <c r="K1311" s="59" t="str">
        <f>IF(OR(Data!$I1311=SottocategorieUscite[[#Headers],[Fuori Casa]],Data!$I1311=SottocategorieUscite[[#Headers],[Varie Uscite]],Data!$I1311=SottocategorieUscite[[#Headers],[Personali]],Data!$I1311=SottocategorieUscite[[#Headers],[Lavoro]]),"$ -","")</f>
        <v/>
      </c>
      <c r="L1311" s="59" t="str">
        <f>IF(OR(Data!$I1311=SottocategorieUscite[[#Headers],[Casa]],Data!$I1311=SottocategorieUscite[[#Headers],[Utenze]],Data!$I1311=SottocategorieUscite[[#Headers],[Business Uscite]],Data!$I1311=SottocategorieUscite[[#Headers],[Banca]]),"$ -","")</f>
        <v/>
      </c>
      <c r="M1311" s="59" t="str">
        <f>IF(OR($I1311&lt;&gt;SottocategorieUscite[[#Headers],[Fuori Casa]],$I1311&lt;&gt;SottocategorieUscite[[#Headers],[Varie Uscite]],$I1311&lt;&gt;SottocategorieUscite[[#Headers],[Personali]],$I1311&lt;&gt;SottocategorieUscite[[#Headers],[Lavoro]],$I1311&lt;&gt;SottocategorieUscite[[#Headers],[Casa]],$I1311&lt;&gt;SottocategorieUscite[[#Headers],[Utenze]],$I1311&lt;&gt;SottocategorieUscite[[#Headers],[Business Uscite]],$I1311&lt;&gt;SottocategorieUscite[[#Headers],[Banca]]),"","$ -")</f>
        <v/>
      </c>
      <c r="N1311" s="59" t="str">
        <f>IF(OR(Data!$I1311=SottocategorieEntrate[[#Headers],[Business Entrate]],Data!$I1311=SottocategorieEntrate[[#Headers],[Varie Entrate]]),"$ -","")</f>
        <v/>
      </c>
      <c r="O1311" s="59" t="str">
        <f>IF(OR(Data!$I1311=SottocategorieEntrate[[#Headers],[Real Estate]],SottocategorieEntrate[[#Headers],[Other]]),"$ -","")</f>
        <v/>
      </c>
      <c r="P1311" s="59" t="str">
        <f>IF(OR($I1311&lt;&gt;SottocategorieEntrate[[#Headers],[Business Entrate]],$I1311&lt;&gt;SottocategorieEntrate[[#Headers],[Varie Entrate]],$I1311&lt;&gt;SottocategorieEntrate[[#Headers],[Real Estate]],$I1311&lt;&gt;SottocategorieEntrate[[#Headers],[Other]]),"","$ -")</f>
        <v/>
      </c>
      <c r="Q1311" s="59" t="str">
        <f>IF(Dati[[#This Row],[Categoria]]="Prelievo","€ -","")</f>
        <v/>
      </c>
      <c r="R1311" s="244"/>
      <c r="S1311" s="59" t="str">
        <f>IF(Dati[[#This Row],[Categoria]]="Savings",0,"")</f>
        <v/>
      </c>
      <c r="T1311" s="59"/>
      <c r="U1311" s="59"/>
      <c r="V1311" s="59"/>
      <c r="W1311" s="59"/>
      <c r="X1311" s="59"/>
      <c r="Y1311" s="59"/>
      <c r="Z1311" s="59"/>
      <c r="AA1311" s="59"/>
      <c r="AB1311" s="59"/>
      <c r="AC1311" s="59"/>
      <c r="AD1311" s="59"/>
      <c r="AE1311" s="59"/>
      <c r="AF1311" s="59"/>
      <c r="AG1311" s="59"/>
      <c r="AH1311" s="59"/>
      <c r="AI1311" s="59" t="str">
        <f>IF(SUM(Dati[[#This Row],[Inv. Business]:[Inv. Cryptocurrency]])=0," ",SUM(Dati[[#This Row],[Inv. Business]:[Inv. Cryptocurrency]]))</f>
        <v xml:space="preserve"> </v>
      </c>
      <c r="AJ1311" s="59"/>
      <c r="AK1311" s="59" t="str">
        <f>IF(SUM(Dati[[#This Row],[Inv. Gold]:[Mutuo]])=0," ",SUM(Dati[[#This Row],[Inv. Gold]:[Mutuo]]))</f>
        <v xml:space="preserve"> </v>
      </c>
      <c r="AL1311" s="59"/>
      <c r="AM1311" s="59"/>
    </row>
    <row r="1312" spans="2:39" x14ac:dyDescent="0.35">
      <c r="B1312" s="237">
        <f t="shared" si="97"/>
        <v>1287</v>
      </c>
      <c r="C1312" s="49">
        <f t="shared" si="95"/>
        <v>45877</v>
      </c>
      <c r="D1312" s="29">
        <f>DAY(Dati[[#This Row],[Data]])</f>
        <v>8</v>
      </c>
      <c r="E1312" s="29" t="str">
        <f>IF(DAY(Data!$C$21:$C$1327)&gt;0,TEXT(Data!$C$21:$C$1327, "mmmm"),"")</f>
        <v>agosto</v>
      </c>
      <c r="F1312" s="29" t="str">
        <f>IF(DAY(Data!$C$21:$C$1327)&gt;0,TEXT(Data!$C$21:$C$1327, "aaaa"),"")</f>
        <v>2025</v>
      </c>
      <c r="I1312" t="str">
        <f>IF(OR(H1312=$B$5,H1312=$B$6,H1312=$B$7,H1312=$B$8,H1312=$B$9,H1312=$B$10,H1312=$B$11,H1312=$B$12,H1312=$B$13,H1312=$B$14),SottocategorieUscite[[#Headers],[Fuori Casa]],IF(OR(H1312=$C$5,H1312=$C$6,H1312=$C$7,H1312=$C$8,H1312=$C$9,H1312=$C$10,H1312=$C$11,H1312=$C$12,H1312=$C$13,H1312=$C$14),SottocategorieUscite[[#Headers],[Varie Uscite]],IF(OR(H1312=$D$5,H1312=$D$6,H1312=$D$7,H1312=$D$8,H1312=$D$9,H1312=$D$10,H1312=$D$11,H1312=$D$12,H1312=$D$13,H1312=$D$14),SottocategorieUscite[[#Headers],[Personali]],IF(OR(H1312=$E$5,H1312=$E$6,H1312=$E$7,H1312=$E$8,H1312=$E$9,H1312=$E$10,H1312=$E$11,H1312=$E$12,H1312=$E$13,H1312=$E$14),SottocategorieUscite[[#Headers],[Lavoro]],IF(OR(H1312=$F$5,H1312=$F$6,H1312=$F$7,H1312=$F$8,H1312=$F$9,H1312=$F$10,H1312=$F$11,H1312=$F$12,H1312=$F$13,H1312=$F$14),SottocategorieUscite[[#Headers],[Casa]],IF(OR(H1312=$G$5,H1312=$G$6,H1312=$G$7,H1312=$G$8,H1312=$G$9,H1312=$G$10,H1312=$G$11,H1312=$G$12,H1312=$G$13,H1312=$G$14),SottocategorieUscite[[#Headers],[Utenze]],IF(OR(H1312=$H$5,H1312=$H$6,H1312=$H$7,H1312=$H$8,H1312=$H$9,H1312=$H$10,H1312=$H$11,H1312=$H$12,H1312=$H$13,H1312=$H$14),SottocategorieUscite[[#Headers],[Business Uscite]],IF(OR(H1312=$I$5,H1312=$I$6,H1312=$I$7,H1312=$I$8,H1312=$I$9,H1312=$I$10,H1312=$I$11,H1312=$I$12,H1312=$I$13,H1312=$I$14),SottocategorieUscite[[#Headers],[Banca]],IF(OR(H1312=K$5,H1312=K$6,H1312=K$7,H1312=K$8,H1312=K$9,H1312=K$10,H1312=K$11,H1312=K$12,H1312=K$13,H1312=K$14),SottocategorieEntrate[[#Headers],[Business Entrate]],IF(OR(H1312=L$5,H1312=L$6,H1312=L$7,H1312=L$8,H1312=L$9,H1312=L$10,H1312=L$11,H1312=L$12,H1312=L$13,H1312=L$14),SottocategorieEntrate[[#Headers],[Varie Entrate]],IF(OR(H1312=M$5,H1312=M$6,H1312=M$7,H1312=M$8,H1312=M$9,H1312=M$10,H1312=M$11,H1312=M$12,H1312=M$13,H1312=M$14),SottocategorieEntrate[[#Headers],[Real Estate]],IF(OR(H1312=N$5,H1312=N$6,H1312=N$7,H1312=N$8,H1312=N$9,H1312=N$10,H1312=N$11,H1312=N$12,H1312=N$13,H1312=N$14),SottocategorieEntrate[[#Headers],[Other]],""))))))))))))</f>
        <v/>
      </c>
      <c r="J1312" t="str">
        <f>IF(OR(Dati[[#This Row],[Categoria]]="Bollette",Dati[[#This Row],[Categoria]]="Conto &amp; Carte BNL",Dati[[#This Row],[Categoria]]="Prelievo",Dati[[#This Row],[Categoria]]="Affitto",Dati[[#This Row],[Categoria]]="BNL(Interessi Creditori)"),"Carta",IF(Dati[[#This Row],[Categoria]]&lt;&gt;0,"Cash",""))</f>
        <v/>
      </c>
      <c r="K1312" s="59" t="str">
        <f>IF(OR(Data!$I1312=SottocategorieUscite[[#Headers],[Fuori Casa]],Data!$I1312=SottocategorieUscite[[#Headers],[Varie Uscite]],Data!$I1312=SottocategorieUscite[[#Headers],[Personali]],Data!$I1312=SottocategorieUscite[[#Headers],[Lavoro]]),"$ -","")</f>
        <v/>
      </c>
      <c r="L1312" s="59" t="str">
        <f>IF(OR(Data!$I1312=SottocategorieUscite[[#Headers],[Casa]],Data!$I1312=SottocategorieUscite[[#Headers],[Utenze]],Data!$I1312=SottocategorieUscite[[#Headers],[Business Uscite]],Data!$I1312=SottocategorieUscite[[#Headers],[Banca]]),"$ -","")</f>
        <v/>
      </c>
      <c r="M1312" s="59" t="str">
        <f>IF(OR($I1312&lt;&gt;SottocategorieUscite[[#Headers],[Fuori Casa]],$I1312&lt;&gt;SottocategorieUscite[[#Headers],[Varie Uscite]],$I1312&lt;&gt;SottocategorieUscite[[#Headers],[Personali]],$I1312&lt;&gt;SottocategorieUscite[[#Headers],[Lavoro]],$I1312&lt;&gt;SottocategorieUscite[[#Headers],[Casa]],$I1312&lt;&gt;SottocategorieUscite[[#Headers],[Utenze]],$I1312&lt;&gt;SottocategorieUscite[[#Headers],[Business Uscite]],$I1312&lt;&gt;SottocategorieUscite[[#Headers],[Banca]]),"","$ -")</f>
        <v/>
      </c>
      <c r="N1312" s="59" t="str">
        <f>IF(OR(Data!$I1312=SottocategorieEntrate[[#Headers],[Business Entrate]],Data!$I1312=SottocategorieEntrate[[#Headers],[Varie Entrate]]),"$ -","")</f>
        <v/>
      </c>
      <c r="O1312" s="59" t="str">
        <f>IF(OR(Data!$I1312=SottocategorieEntrate[[#Headers],[Real Estate]],SottocategorieEntrate[[#Headers],[Other]]),"$ -","")</f>
        <v/>
      </c>
      <c r="P1312" s="59" t="str">
        <f>IF(OR($I1312&lt;&gt;SottocategorieEntrate[[#Headers],[Business Entrate]],$I1312&lt;&gt;SottocategorieEntrate[[#Headers],[Varie Entrate]],$I1312&lt;&gt;SottocategorieEntrate[[#Headers],[Real Estate]],$I1312&lt;&gt;SottocategorieEntrate[[#Headers],[Other]]),"","$ -")</f>
        <v/>
      </c>
      <c r="Q1312" s="59" t="str">
        <f>IF(Dati[[#This Row],[Categoria]]="Prelievo","€ -","")</f>
        <v/>
      </c>
      <c r="R1312" s="244"/>
      <c r="S1312" s="59" t="str">
        <f>IF(Dati[[#This Row],[Categoria]]="Savings",0,"")</f>
        <v/>
      </c>
      <c r="T1312" s="59"/>
      <c r="U1312" s="59"/>
      <c r="V1312" s="59"/>
      <c r="W1312" s="59"/>
      <c r="X1312" s="59"/>
      <c r="Y1312" s="59"/>
      <c r="Z1312" s="59"/>
      <c r="AA1312" s="59"/>
      <c r="AB1312" s="59"/>
      <c r="AC1312" s="59"/>
      <c r="AD1312" s="59"/>
      <c r="AE1312" s="59"/>
      <c r="AF1312" s="59"/>
      <c r="AG1312" s="59"/>
      <c r="AH1312" s="59"/>
      <c r="AI1312" s="59" t="str">
        <f>IF(SUM(Dati[[#This Row],[Inv. Business]:[Inv. Cryptocurrency]])=0," ",SUM(Dati[[#This Row],[Inv. Business]:[Inv. Cryptocurrency]]))</f>
        <v xml:space="preserve"> </v>
      </c>
      <c r="AJ1312" s="59"/>
      <c r="AK1312" s="59" t="str">
        <f>IF(SUM(Dati[[#This Row],[Inv. Gold]:[Mutuo]])=0," ",SUM(Dati[[#This Row],[Inv. Gold]:[Mutuo]]))</f>
        <v xml:space="preserve"> </v>
      </c>
      <c r="AL1312" s="59"/>
      <c r="AM1312" s="59"/>
    </row>
    <row r="1313" spans="2:39" x14ac:dyDescent="0.35">
      <c r="B1313" s="237">
        <f t="shared" si="97"/>
        <v>1288</v>
      </c>
      <c r="C1313" s="49">
        <f t="shared" si="95"/>
        <v>45878</v>
      </c>
      <c r="D1313" s="29">
        <f>DAY(Dati[[#This Row],[Data]])</f>
        <v>9</v>
      </c>
      <c r="E1313" s="29" t="str">
        <f>IF(DAY(Data!$C$21:$C$1327)&gt;0,TEXT(Data!$C$21:$C$1327, "mmmm"),"")</f>
        <v>agosto</v>
      </c>
      <c r="F1313" s="29" t="str">
        <f>IF(DAY(Data!$C$21:$C$1327)&gt;0,TEXT(Data!$C$21:$C$1327, "aaaa"),"")</f>
        <v>2025</v>
      </c>
      <c r="I1313" t="str">
        <f>IF(OR(H1313=$B$5,H1313=$B$6,H1313=$B$7,H1313=$B$8,H1313=$B$9,H1313=$B$10,H1313=$B$11,H1313=$B$12,H1313=$B$13,H1313=$B$14),SottocategorieUscite[[#Headers],[Fuori Casa]],IF(OR(H1313=$C$5,H1313=$C$6,H1313=$C$7,H1313=$C$8,H1313=$C$9,H1313=$C$10,H1313=$C$11,H1313=$C$12,H1313=$C$13,H1313=$C$14),SottocategorieUscite[[#Headers],[Varie Uscite]],IF(OR(H1313=$D$5,H1313=$D$6,H1313=$D$7,H1313=$D$8,H1313=$D$9,H1313=$D$10,H1313=$D$11,H1313=$D$12,H1313=$D$13,H1313=$D$14),SottocategorieUscite[[#Headers],[Personali]],IF(OR(H1313=$E$5,H1313=$E$6,H1313=$E$7,H1313=$E$8,H1313=$E$9,H1313=$E$10,H1313=$E$11,H1313=$E$12,H1313=$E$13,H1313=$E$14),SottocategorieUscite[[#Headers],[Lavoro]],IF(OR(H1313=$F$5,H1313=$F$6,H1313=$F$7,H1313=$F$8,H1313=$F$9,H1313=$F$10,H1313=$F$11,H1313=$F$12,H1313=$F$13,H1313=$F$14),SottocategorieUscite[[#Headers],[Casa]],IF(OR(H1313=$G$5,H1313=$G$6,H1313=$G$7,H1313=$G$8,H1313=$G$9,H1313=$G$10,H1313=$G$11,H1313=$G$12,H1313=$G$13,H1313=$G$14),SottocategorieUscite[[#Headers],[Utenze]],IF(OR(H1313=$H$5,H1313=$H$6,H1313=$H$7,H1313=$H$8,H1313=$H$9,H1313=$H$10,H1313=$H$11,H1313=$H$12,H1313=$H$13,H1313=$H$14),SottocategorieUscite[[#Headers],[Business Uscite]],IF(OR(H1313=$I$5,H1313=$I$6,H1313=$I$7,H1313=$I$8,H1313=$I$9,H1313=$I$10,H1313=$I$11,H1313=$I$12,H1313=$I$13,H1313=$I$14),SottocategorieUscite[[#Headers],[Banca]],IF(OR(H1313=K$5,H1313=K$6,H1313=K$7,H1313=K$8,H1313=K$9,H1313=K$10,H1313=K$11,H1313=K$12,H1313=K$13,H1313=K$14),SottocategorieEntrate[[#Headers],[Business Entrate]],IF(OR(H1313=L$5,H1313=L$6,H1313=L$7,H1313=L$8,H1313=L$9,H1313=L$10,H1313=L$11,H1313=L$12,H1313=L$13,H1313=L$14),SottocategorieEntrate[[#Headers],[Varie Entrate]],IF(OR(H1313=M$5,H1313=M$6,H1313=M$7,H1313=M$8,H1313=M$9,H1313=M$10,H1313=M$11,H1313=M$12,H1313=M$13,H1313=M$14),SottocategorieEntrate[[#Headers],[Real Estate]],IF(OR(H1313=N$5,H1313=N$6,H1313=N$7,H1313=N$8,H1313=N$9,H1313=N$10,H1313=N$11,H1313=N$12,H1313=N$13,H1313=N$14),SottocategorieEntrate[[#Headers],[Other]],""))))))))))))</f>
        <v/>
      </c>
      <c r="J1313" t="str">
        <f>IF(OR(Dati[[#This Row],[Categoria]]="Bollette",Dati[[#This Row],[Categoria]]="Conto &amp; Carte BNL",Dati[[#This Row],[Categoria]]="Prelievo",Dati[[#This Row],[Categoria]]="Affitto",Dati[[#This Row],[Categoria]]="BNL(Interessi Creditori)"),"Carta",IF(Dati[[#This Row],[Categoria]]&lt;&gt;0,"Cash",""))</f>
        <v/>
      </c>
      <c r="K1313" s="59" t="str">
        <f>IF(OR(Data!$I1313=SottocategorieUscite[[#Headers],[Fuori Casa]],Data!$I1313=SottocategorieUscite[[#Headers],[Varie Uscite]],Data!$I1313=SottocategorieUscite[[#Headers],[Personali]],Data!$I1313=SottocategorieUscite[[#Headers],[Lavoro]]),"$ -","")</f>
        <v/>
      </c>
      <c r="L1313" s="59" t="str">
        <f>IF(OR(Data!$I1313=SottocategorieUscite[[#Headers],[Casa]],Data!$I1313=SottocategorieUscite[[#Headers],[Utenze]],Data!$I1313=SottocategorieUscite[[#Headers],[Business Uscite]],Data!$I1313=SottocategorieUscite[[#Headers],[Banca]]),"$ -","")</f>
        <v/>
      </c>
      <c r="M1313" s="59" t="str">
        <f>IF(OR($I1313&lt;&gt;SottocategorieUscite[[#Headers],[Fuori Casa]],$I1313&lt;&gt;SottocategorieUscite[[#Headers],[Varie Uscite]],$I1313&lt;&gt;SottocategorieUscite[[#Headers],[Personali]],$I1313&lt;&gt;SottocategorieUscite[[#Headers],[Lavoro]],$I1313&lt;&gt;SottocategorieUscite[[#Headers],[Casa]],$I1313&lt;&gt;SottocategorieUscite[[#Headers],[Utenze]],$I1313&lt;&gt;SottocategorieUscite[[#Headers],[Business Uscite]],$I1313&lt;&gt;SottocategorieUscite[[#Headers],[Banca]]),"","$ -")</f>
        <v/>
      </c>
      <c r="N1313" s="59" t="str">
        <f>IF(OR(Data!$I1313=SottocategorieEntrate[[#Headers],[Business Entrate]],Data!$I1313=SottocategorieEntrate[[#Headers],[Varie Entrate]]),"$ -","")</f>
        <v/>
      </c>
      <c r="O1313" s="59" t="str">
        <f>IF(OR(Data!$I1313=SottocategorieEntrate[[#Headers],[Real Estate]],SottocategorieEntrate[[#Headers],[Other]]),"$ -","")</f>
        <v/>
      </c>
      <c r="P1313" s="59" t="str">
        <f>IF(OR($I1313&lt;&gt;SottocategorieEntrate[[#Headers],[Business Entrate]],$I1313&lt;&gt;SottocategorieEntrate[[#Headers],[Varie Entrate]],$I1313&lt;&gt;SottocategorieEntrate[[#Headers],[Real Estate]],$I1313&lt;&gt;SottocategorieEntrate[[#Headers],[Other]]),"","$ -")</f>
        <v/>
      </c>
      <c r="Q1313" s="59" t="str">
        <f>IF(Dati[[#This Row],[Categoria]]="Prelievo","€ -","")</f>
        <v/>
      </c>
      <c r="R1313" s="244"/>
      <c r="S1313" s="59" t="str">
        <f>IF(Dati[[#This Row],[Categoria]]="Savings",0,"")</f>
        <v/>
      </c>
      <c r="T1313" s="59"/>
      <c r="U1313" s="59"/>
      <c r="V1313" s="59"/>
      <c r="W1313" s="59"/>
      <c r="X1313" s="59"/>
      <c r="Y1313" s="59"/>
      <c r="Z1313" s="59"/>
      <c r="AA1313" s="59"/>
      <c r="AB1313" s="59"/>
      <c r="AC1313" s="59"/>
      <c r="AD1313" s="59"/>
      <c r="AE1313" s="59"/>
      <c r="AF1313" s="59"/>
      <c r="AG1313" s="59"/>
      <c r="AH1313" s="59"/>
      <c r="AI1313" s="59" t="str">
        <f>IF(SUM(Dati[[#This Row],[Inv. Business]:[Inv. Cryptocurrency]])=0," ",SUM(Dati[[#This Row],[Inv. Business]:[Inv. Cryptocurrency]]))</f>
        <v xml:space="preserve"> </v>
      </c>
      <c r="AJ1313" s="59"/>
      <c r="AK1313" s="59" t="str">
        <f>IF(SUM(Dati[[#This Row],[Inv. Gold]:[Mutuo]])=0," ",SUM(Dati[[#This Row],[Inv. Gold]:[Mutuo]]))</f>
        <v xml:space="preserve"> </v>
      </c>
      <c r="AL1313" s="59"/>
      <c r="AM1313" s="59"/>
    </row>
    <row r="1314" spans="2:39" x14ac:dyDescent="0.35">
      <c r="B1314" s="237">
        <f t="shared" si="97"/>
        <v>1289</v>
      </c>
      <c r="C1314" s="49">
        <f t="shared" si="95"/>
        <v>45879</v>
      </c>
      <c r="D1314" s="29">
        <f>DAY(Dati[[#This Row],[Data]])</f>
        <v>10</v>
      </c>
      <c r="E1314" s="29" t="str">
        <f>IF(DAY(Data!$C$21:$C$1327)&gt;0,TEXT(Data!$C$21:$C$1327, "mmmm"),"")</f>
        <v>agosto</v>
      </c>
      <c r="F1314" s="29" t="str">
        <f>IF(DAY(Data!$C$21:$C$1327)&gt;0,TEXT(Data!$C$21:$C$1327, "aaaa"),"")</f>
        <v>2025</v>
      </c>
      <c r="I1314" t="str">
        <f>IF(OR(H1314=$B$5,H1314=$B$6,H1314=$B$7,H1314=$B$8,H1314=$B$9,H1314=$B$10,H1314=$B$11,H1314=$B$12,H1314=$B$13,H1314=$B$14),SottocategorieUscite[[#Headers],[Fuori Casa]],IF(OR(H1314=$C$5,H1314=$C$6,H1314=$C$7,H1314=$C$8,H1314=$C$9,H1314=$C$10,H1314=$C$11,H1314=$C$12,H1314=$C$13,H1314=$C$14),SottocategorieUscite[[#Headers],[Varie Uscite]],IF(OR(H1314=$D$5,H1314=$D$6,H1314=$D$7,H1314=$D$8,H1314=$D$9,H1314=$D$10,H1314=$D$11,H1314=$D$12,H1314=$D$13,H1314=$D$14),SottocategorieUscite[[#Headers],[Personali]],IF(OR(H1314=$E$5,H1314=$E$6,H1314=$E$7,H1314=$E$8,H1314=$E$9,H1314=$E$10,H1314=$E$11,H1314=$E$12,H1314=$E$13,H1314=$E$14),SottocategorieUscite[[#Headers],[Lavoro]],IF(OR(H1314=$F$5,H1314=$F$6,H1314=$F$7,H1314=$F$8,H1314=$F$9,H1314=$F$10,H1314=$F$11,H1314=$F$12,H1314=$F$13,H1314=$F$14),SottocategorieUscite[[#Headers],[Casa]],IF(OR(H1314=$G$5,H1314=$G$6,H1314=$G$7,H1314=$G$8,H1314=$G$9,H1314=$G$10,H1314=$G$11,H1314=$G$12,H1314=$G$13,H1314=$G$14),SottocategorieUscite[[#Headers],[Utenze]],IF(OR(H1314=$H$5,H1314=$H$6,H1314=$H$7,H1314=$H$8,H1314=$H$9,H1314=$H$10,H1314=$H$11,H1314=$H$12,H1314=$H$13,H1314=$H$14),SottocategorieUscite[[#Headers],[Business Uscite]],IF(OR(H1314=$I$5,H1314=$I$6,H1314=$I$7,H1314=$I$8,H1314=$I$9,H1314=$I$10,H1314=$I$11,H1314=$I$12,H1314=$I$13,H1314=$I$14),SottocategorieUscite[[#Headers],[Banca]],IF(OR(H1314=K$5,H1314=K$6,H1314=K$7,H1314=K$8,H1314=K$9,H1314=K$10,H1314=K$11,H1314=K$12,H1314=K$13,H1314=K$14),SottocategorieEntrate[[#Headers],[Business Entrate]],IF(OR(H1314=L$5,H1314=L$6,H1314=L$7,H1314=L$8,H1314=L$9,H1314=L$10,H1314=L$11,H1314=L$12,H1314=L$13,H1314=L$14),SottocategorieEntrate[[#Headers],[Varie Entrate]],IF(OR(H1314=M$5,H1314=M$6,H1314=M$7,H1314=M$8,H1314=M$9,H1314=M$10,H1314=M$11,H1314=M$12,H1314=M$13,H1314=M$14),SottocategorieEntrate[[#Headers],[Real Estate]],IF(OR(H1314=N$5,H1314=N$6,H1314=N$7,H1314=N$8,H1314=N$9,H1314=N$10,H1314=N$11,H1314=N$12,H1314=N$13,H1314=N$14),SottocategorieEntrate[[#Headers],[Other]],""))))))))))))</f>
        <v/>
      </c>
      <c r="J1314" t="str">
        <f>IF(OR(Dati[[#This Row],[Categoria]]="Bollette",Dati[[#This Row],[Categoria]]="Conto &amp; Carte BNL",Dati[[#This Row],[Categoria]]="Prelievo",Dati[[#This Row],[Categoria]]="Affitto",Dati[[#This Row],[Categoria]]="BNL(Interessi Creditori)"),"Carta",IF(Dati[[#This Row],[Categoria]]&lt;&gt;0,"Cash",""))</f>
        <v/>
      </c>
      <c r="K1314" s="59" t="str">
        <f>IF(OR(Data!$I1314=SottocategorieUscite[[#Headers],[Fuori Casa]],Data!$I1314=SottocategorieUscite[[#Headers],[Varie Uscite]],Data!$I1314=SottocategorieUscite[[#Headers],[Personali]],Data!$I1314=SottocategorieUscite[[#Headers],[Lavoro]]),"$ -","")</f>
        <v/>
      </c>
      <c r="L1314" s="59" t="str">
        <f>IF(OR(Data!$I1314=SottocategorieUscite[[#Headers],[Casa]],Data!$I1314=SottocategorieUscite[[#Headers],[Utenze]],Data!$I1314=SottocategorieUscite[[#Headers],[Business Uscite]],Data!$I1314=SottocategorieUscite[[#Headers],[Banca]]),"$ -","")</f>
        <v/>
      </c>
      <c r="M1314" s="59" t="str">
        <f>IF(OR($I1314&lt;&gt;SottocategorieUscite[[#Headers],[Fuori Casa]],$I1314&lt;&gt;SottocategorieUscite[[#Headers],[Varie Uscite]],$I1314&lt;&gt;SottocategorieUscite[[#Headers],[Personali]],$I1314&lt;&gt;SottocategorieUscite[[#Headers],[Lavoro]],$I1314&lt;&gt;SottocategorieUscite[[#Headers],[Casa]],$I1314&lt;&gt;SottocategorieUscite[[#Headers],[Utenze]],$I1314&lt;&gt;SottocategorieUscite[[#Headers],[Business Uscite]],$I1314&lt;&gt;SottocategorieUscite[[#Headers],[Banca]]),"","$ -")</f>
        <v/>
      </c>
      <c r="N1314" s="59" t="str">
        <f>IF(OR(Data!$I1314=SottocategorieEntrate[[#Headers],[Business Entrate]],Data!$I1314=SottocategorieEntrate[[#Headers],[Varie Entrate]]),"$ -","")</f>
        <v/>
      </c>
      <c r="O1314" s="59" t="str">
        <f>IF(OR(Data!$I1314=SottocategorieEntrate[[#Headers],[Real Estate]],SottocategorieEntrate[[#Headers],[Other]]),"$ -","")</f>
        <v/>
      </c>
      <c r="P1314" s="59" t="str">
        <f>IF(OR($I1314&lt;&gt;SottocategorieEntrate[[#Headers],[Business Entrate]],$I1314&lt;&gt;SottocategorieEntrate[[#Headers],[Varie Entrate]],$I1314&lt;&gt;SottocategorieEntrate[[#Headers],[Real Estate]],$I1314&lt;&gt;SottocategorieEntrate[[#Headers],[Other]]),"","$ -")</f>
        <v/>
      </c>
      <c r="Q1314" s="59" t="str">
        <f>IF(Dati[[#This Row],[Categoria]]="Prelievo","€ -","")</f>
        <v/>
      </c>
      <c r="R1314" s="244"/>
      <c r="S1314" s="59" t="str">
        <f>IF(Dati[[#This Row],[Categoria]]="Savings",0,"")</f>
        <v/>
      </c>
      <c r="T1314" s="59"/>
      <c r="U1314" s="59"/>
      <c r="V1314" s="59"/>
      <c r="W1314" s="59"/>
      <c r="X1314" s="59"/>
      <c r="Y1314" s="59"/>
      <c r="Z1314" s="59"/>
      <c r="AA1314" s="59"/>
      <c r="AB1314" s="59"/>
      <c r="AC1314" s="59"/>
      <c r="AD1314" s="59"/>
      <c r="AE1314" s="59"/>
      <c r="AF1314" s="59"/>
      <c r="AG1314" s="59"/>
      <c r="AH1314" s="59"/>
      <c r="AI1314" s="59" t="str">
        <f>IF(SUM(Dati[[#This Row],[Inv. Business]:[Inv. Cryptocurrency]])=0," ",SUM(Dati[[#This Row],[Inv. Business]:[Inv. Cryptocurrency]]))</f>
        <v xml:space="preserve"> </v>
      </c>
      <c r="AJ1314" s="59"/>
      <c r="AK1314" s="59" t="str">
        <f>IF(SUM(Dati[[#This Row],[Inv. Gold]:[Mutuo]])=0," ",SUM(Dati[[#This Row],[Inv. Gold]:[Mutuo]]))</f>
        <v xml:space="preserve"> </v>
      </c>
      <c r="AL1314" s="59"/>
      <c r="AM1314" s="59"/>
    </row>
    <row r="1315" spans="2:39" x14ac:dyDescent="0.35">
      <c r="B1315" s="237">
        <f t="shared" si="97"/>
        <v>1290</v>
      </c>
      <c r="C1315" s="49">
        <f t="shared" si="95"/>
        <v>45880</v>
      </c>
      <c r="D1315" s="29">
        <f>DAY(Dati[[#This Row],[Data]])</f>
        <v>11</v>
      </c>
      <c r="E1315" s="29" t="str">
        <f>IF(DAY(Data!$C$21:$C$1327)&gt;0,TEXT(Data!$C$21:$C$1327, "mmmm"),"")</f>
        <v>agosto</v>
      </c>
      <c r="F1315" s="29" t="str">
        <f>IF(DAY(Data!$C$21:$C$1327)&gt;0,TEXT(Data!$C$21:$C$1327, "aaaa"),"")</f>
        <v>2025</v>
      </c>
      <c r="I1315" t="str">
        <f>IF(OR(H1315=$B$5,H1315=$B$6,H1315=$B$7,H1315=$B$8,H1315=$B$9,H1315=$B$10,H1315=$B$11,H1315=$B$12,H1315=$B$13,H1315=$B$14),SottocategorieUscite[[#Headers],[Fuori Casa]],IF(OR(H1315=$C$5,H1315=$C$6,H1315=$C$7,H1315=$C$8,H1315=$C$9,H1315=$C$10,H1315=$C$11,H1315=$C$12,H1315=$C$13,H1315=$C$14),SottocategorieUscite[[#Headers],[Varie Uscite]],IF(OR(H1315=$D$5,H1315=$D$6,H1315=$D$7,H1315=$D$8,H1315=$D$9,H1315=$D$10,H1315=$D$11,H1315=$D$12,H1315=$D$13,H1315=$D$14),SottocategorieUscite[[#Headers],[Personali]],IF(OR(H1315=$E$5,H1315=$E$6,H1315=$E$7,H1315=$E$8,H1315=$E$9,H1315=$E$10,H1315=$E$11,H1315=$E$12,H1315=$E$13,H1315=$E$14),SottocategorieUscite[[#Headers],[Lavoro]],IF(OR(H1315=$F$5,H1315=$F$6,H1315=$F$7,H1315=$F$8,H1315=$F$9,H1315=$F$10,H1315=$F$11,H1315=$F$12,H1315=$F$13,H1315=$F$14),SottocategorieUscite[[#Headers],[Casa]],IF(OR(H1315=$G$5,H1315=$G$6,H1315=$G$7,H1315=$G$8,H1315=$G$9,H1315=$G$10,H1315=$G$11,H1315=$G$12,H1315=$G$13,H1315=$G$14),SottocategorieUscite[[#Headers],[Utenze]],IF(OR(H1315=$H$5,H1315=$H$6,H1315=$H$7,H1315=$H$8,H1315=$H$9,H1315=$H$10,H1315=$H$11,H1315=$H$12,H1315=$H$13,H1315=$H$14),SottocategorieUscite[[#Headers],[Business Uscite]],IF(OR(H1315=$I$5,H1315=$I$6,H1315=$I$7,H1315=$I$8,H1315=$I$9,H1315=$I$10,H1315=$I$11,H1315=$I$12,H1315=$I$13,H1315=$I$14),SottocategorieUscite[[#Headers],[Banca]],IF(OR(H1315=K$5,H1315=K$6,H1315=K$7,H1315=K$8,H1315=K$9,H1315=K$10,H1315=K$11,H1315=K$12,H1315=K$13,H1315=K$14),SottocategorieEntrate[[#Headers],[Business Entrate]],IF(OR(H1315=L$5,H1315=L$6,H1315=L$7,H1315=L$8,H1315=L$9,H1315=L$10,H1315=L$11,H1315=L$12,H1315=L$13,H1315=L$14),SottocategorieEntrate[[#Headers],[Varie Entrate]],IF(OR(H1315=M$5,H1315=M$6,H1315=M$7,H1315=M$8,H1315=M$9,H1315=M$10,H1315=M$11,H1315=M$12,H1315=M$13,H1315=M$14),SottocategorieEntrate[[#Headers],[Real Estate]],IF(OR(H1315=N$5,H1315=N$6,H1315=N$7,H1315=N$8,H1315=N$9,H1315=N$10,H1315=N$11,H1315=N$12,H1315=N$13,H1315=N$14),SottocategorieEntrate[[#Headers],[Other]],""))))))))))))</f>
        <v/>
      </c>
      <c r="J1315" t="str">
        <f>IF(OR(Dati[[#This Row],[Categoria]]="Bollette",Dati[[#This Row],[Categoria]]="Conto &amp; Carte BNL",Dati[[#This Row],[Categoria]]="Prelievo",Dati[[#This Row],[Categoria]]="Affitto",Dati[[#This Row],[Categoria]]="BNL(Interessi Creditori)"),"Carta",IF(Dati[[#This Row],[Categoria]]&lt;&gt;0,"Cash",""))</f>
        <v/>
      </c>
      <c r="K1315" s="59" t="str">
        <f>IF(OR(Data!$I1315=SottocategorieUscite[[#Headers],[Fuori Casa]],Data!$I1315=SottocategorieUscite[[#Headers],[Varie Uscite]],Data!$I1315=SottocategorieUscite[[#Headers],[Personali]],Data!$I1315=SottocategorieUscite[[#Headers],[Lavoro]]),"$ -","")</f>
        <v/>
      </c>
      <c r="L1315" s="59" t="str">
        <f>IF(OR(Data!$I1315=SottocategorieUscite[[#Headers],[Casa]],Data!$I1315=SottocategorieUscite[[#Headers],[Utenze]],Data!$I1315=SottocategorieUscite[[#Headers],[Business Uscite]],Data!$I1315=SottocategorieUscite[[#Headers],[Banca]]),"$ -","")</f>
        <v/>
      </c>
      <c r="M1315" s="59" t="str">
        <f>IF(OR($I1315&lt;&gt;SottocategorieUscite[[#Headers],[Fuori Casa]],$I1315&lt;&gt;SottocategorieUscite[[#Headers],[Varie Uscite]],$I1315&lt;&gt;SottocategorieUscite[[#Headers],[Personali]],$I1315&lt;&gt;SottocategorieUscite[[#Headers],[Lavoro]],$I1315&lt;&gt;SottocategorieUscite[[#Headers],[Casa]],$I1315&lt;&gt;SottocategorieUscite[[#Headers],[Utenze]],$I1315&lt;&gt;SottocategorieUscite[[#Headers],[Business Uscite]],$I1315&lt;&gt;SottocategorieUscite[[#Headers],[Banca]]),"","$ -")</f>
        <v/>
      </c>
      <c r="N1315" s="59" t="str">
        <f>IF(OR(Data!$I1315=SottocategorieEntrate[[#Headers],[Business Entrate]],Data!$I1315=SottocategorieEntrate[[#Headers],[Varie Entrate]]),"$ -","")</f>
        <v/>
      </c>
      <c r="O1315" s="59" t="str">
        <f>IF(OR(Data!$I1315=SottocategorieEntrate[[#Headers],[Real Estate]],SottocategorieEntrate[[#Headers],[Other]]),"$ -","")</f>
        <v/>
      </c>
      <c r="P1315" s="59" t="str">
        <f>IF(OR($I1315&lt;&gt;SottocategorieEntrate[[#Headers],[Business Entrate]],$I1315&lt;&gt;SottocategorieEntrate[[#Headers],[Varie Entrate]],$I1315&lt;&gt;SottocategorieEntrate[[#Headers],[Real Estate]],$I1315&lt;&gt;SottocategorieEntrate[[#Headers],[Other]]),"","$ -")</f>
        <v/>
      </c>
      <c r="Q1315" s="59" t="str">
        <f>IF(Dati[[#This Row],[Categoria]]="Prelievo","€ -","")</f>
        <v/>
      </c>
      <c r="R1315" s="244"/>
      <c r="S1315" s="59" t="str">
        <f>IF(Dati[[#This Row],[Categoria]]="Savings",0,"")</f>
        <v/>
      </c>
      <c r="T1315" s="59"/>
      <c r="U1315" s="59"/>
      <c r="V1315" s="59"/>
      <c r="W1315" s="59"/>
      <c r="X1315" s="59"/>
      <c r="Y1315" s="59"/>
      <c r="Z1315" s="59"/>
      <c r="AA1315" s="59"/>
      <c r="AB1315" s="59"/>
      <c r="AC1315" s="59"/>
      <c r="AD1315" s="59"/>
      <c r="AE1315" s="59"/>
      <c r="AF1315" s="59"/>
      <c r="AG1315" s="59"/>
      <c r="AH1315" s="59"/>
      <c r="AI1315" s="59" t="str">
        <f>IF(SUM(Dati[[#This Row],[Inv. Business]:[Inv. Cryptocurrency]])=0," ",SUM(Dati[[#This Row],[Inv. Business]:[Inv. Cryptocurrency]]))</f>
        <v xml:space="preserve"> </v>
      </c>
      <c r="AJ1315" s="59"/>
      <c r="AK1315" s="59" t="str">
        <f>IF(SUM(Dati[[#This Row],[Inv. Gold]:[Mutuo]])=0," ",SUM(Dati[[#This Row],[Inv. Gold]:[Mutuo]]))</f>
        <v xml:space="preserve"> </v>
      </c>
      <c r="AL1315" s="59"/>
      <c r="AM1315" s="59"/>
    </row>
    <row r="1316" spans="2:39" x14ac:dyDescent="0.35">
      <c r="B1316" s="237">
        <f t="shared" si="97"/>
        <v>1291</v>
      </c>
      <c r="C1316" s="49">
        <f t="shared" si="95"/>
        <v>45881</v>
      </c>
      <c r="D1316" s="29">
        <f>DAY(Dati[[#This Row],[Data]])</f>
        <v>12</v>
      </c>
      <c r="E1316" s="29" t="str">
        <f>IF(DAY(Data!$C$21:$C$1327)&gt;0,TEXT(Data!$C$21:$C$1327, "mmmm"),"")</f>
        <v>agosto</v>
      </c>
      <c r="F1316" s="29" t="str">
        <f>IF(DAY(Data!$C$21:$C$1327)&gt;0,TEXT(Data!$C$21:$C$1327, "aaaa"),"")</f>
        <v>2025</v>
      </c>
      <c r="I1316" t="str">
        <f>IF(OR(H1316=$B$5,H1316=$B$6,H1316=$B$7,H1316=$B$8,H1316=$B$9,H1316=$B$10,H1316=$B$11,H1316=$B$12,H1316=$B$13,H1316=$B$14),SottocategorieUscite[[#Headers],[Fuori Casa]],IF(OR(H1316=$C$5,H1316=$C$6,H1316=$C$7,H1316=$C$8,H1316=$C$9,H1316=$C$10,H1316=$C$11,H1316=$C$12,H1316=$C$13,H1316=$C$14),SottocategorieUscite[[#Headers],[Varie Uscite]],IF(OR(H1316=$D$5,H1316=$D$6,H1316=$D$7,H1316=$D$8,H1316=$D$9,H1316=$D$10,H1316=$D$11,H1316=$D$12,H1316=$D$13,H1316=$D$14),SottocategorieUscite[[#Headers],[Personali]],IF(OR(H1316=$E$5,H1316=$E$6,H1316=$E$7,H1316=$E$8,H1316=$E$9,H1316=$E$10,H1316=$E$11,H1316=$E$12,H1316=$E$13,H1316=$E$14),SottocategorieUscite[[#Headers],[Lavoro]],IF(OR(H1316=$F$5,H1316=$F$6,H1316=$F$7,H1316=$F$8,H1316=$F$9,H1316=$F$10,H1316=$F$11,H1316=$F$12,H1316=$F$13,H1316=$F$14),SottocategorieUscite[[#Headers],[Casa]],IF(OR(H1316=$G$5,H1316=$G$6,H1316=$G$7,H1316=$G$8,H1316=$G$9,H1316=$G$10,H1316=$G$11,H1316=$G$12,H1316=$G$13,H1316=$G$14),SottocategorieUscite[[#Headers],[Utenze]],IF(OR(H1316=$H$5,H1316=$H$6,H1316=$H$7,H1316=$H$8,H1316=$H$9,H1316=$H$10,H1316=$H$11,H1316=$H$12,H1316=$H$13,H1316=$H$14),SottocategorieUscite[[#Headers],[Business Uscite]],IF(OR(H1316=$I$5,H1316=$I$6,H1316=$I$7,H1316=$I$8,H1316=$I$9,H1316=$I$10,H1316=$I$11,H1316=$I$12,H1316=$I$13,H1316=$I$14),SottocategorieUscite[[#Headers],[Banca]],IF(OR(H1316=K$5,H1316=K$6,H1316=K$7,H1316=K$8,H1316=K$9,H1316=K$10,H1316=K$11,H1316=K$12,H1316=K$13,H1316=K$14),SottocategorieEntrate[[#Headers],[Business Entrate]],IF(OR(H1316=L$5,H1316=L$6,H1316=L$7,H1316=L$8,H1316=L$9,H1316=L$10,H1316=L$11,H1316=L$12,H1316=L$13,H1316=L$14),SottocategorieEntrate[[#Headers],[Varie Entrate]],IF(OR(H1316=M$5,H1316=M$6,H1316=M$7,H1316=M$8,H1316=M$9,H1316=M$10,H1316=M$11,H1316=M$12,H1316=M$13,H1316=M$14),SottocategorieEntrate[[#Headers],[Real Estate]],IF(OR(H1316=N$5,H1316=N$6,H1316=N$7,H1316=N$8,H1316=N$9,H1316=N$10,H1316=N$11,H1316=N$12,H1316=N$13,H1316=N$14),SottocategorieEntrate[[#Headers],[Other]],""))))))))))))</f>
        <v/>
      </c>
      <c r="J1316" t="str">
        <f>IF(OR(Dati[[#This Row],[Categoria]]="Bollette",Dati[[#This Row],[Categoria]]="Conto &amp; Carte BNL",Dati[[#This Row],[Categoria]]="Prelievo",Dati[[#This Row],[Categoria]]="Affitto",Dati[[#This Row],[Categoria]]="BNL(Interessi Creditori)"),"Carta",IF(Dati[[#This Row],[Categoria]]&lt;&gt;0,"Cash",""))</f>
        <v/>
      </c>
      <c r="K1316" s="59" t="str">
        <f>IF(OR(Data!$I1316=SottocategorieUscite[[#Headers],[Fuori Casa]],Data!$I1316=SottocategorieUscite[[#Headers],[Varie Uscite]],Data!$I1316=SottocategorieUscite[[#Headers],[Personali]],Data!$I1316=SottocategorieUscite[[#Headers],[Lavoro]]),"$ -","")</f>
        <v/>
      </c>
      <c r="L1316" s="59" t="str">
        <f>IF(OR(Data!$I1316=SottocategorieUscite[[#Headers],[Casa]],Data!$I1316=SottocategorieUscite[[#Headers],[Utenze]],Data!$I1316=SottocategorieUscite[[#Headers],[Business Uscite]],Data!$I1316=SottocategorieUscite[[#Headers],[Banca]]),"$ -","")</f>
        <v/>
      </c>
      <c r="M1316" s="59" t="str">
        <f>IF(OR($I1316&lt;&gt;SottocategorieUscite[[#Headers],[Fuori Casa]],$I1316&lt;&gt;SottocategorieUscite[[#Headers],[Varie Uscite]],$I1316&lt;&gt;SottocategorieUscite[[#Headers],[Personali]],$I1316&lt;&gt;SottocategorieUscite[[#Headers],[Lavoro]],$I1316&lt;&gt;SottocategorieUscite[[#Headers],[Casa]],$I1316&lt;&gt;SottocategorieUscite[[#Headers],[Utenze]],$I1316&lt;&gt;SottocategorieUscite[[#Headers],[Business Uscite]],$I1316&lt;&gt;SottocategorieUscite[[#Headers],[Banca]]),"","$ -")</f>
        <v/>
      </c>
      <c r="N1316" s="59" t="str">
        <f>IF(OR(Data!$I1316=SottocategorieEntrate[[#Headers],[Business Entrate]],Data!$I1316=SottocategorieEntrate[[#Headers],[Varie Entrate]]),"$ -","")</f>
        <v/>
      </c>
      <c r="O1316" s="59" t="str">
        <f>IF(OR(Data!$I1316=SottocategorieEntrate[[#Headers],[Real Estate]],SottocategorieEntrate[[#Headers],[Other]]),"$ -","")</f>
        <v/>
      </c>
      <c r="P1316" s="59" t="str">
        <f>IF(OR($I1316&lt;&gt;SottocategorieEntrate[[#Headers],[Business Entrate]],$I1316&lt;&gt;SottocategorieEntrate[[#Headers],[Varie Entrate]],$I1316&lt;&gt;SottocategorieEntrate[[#Headers],[Real Estate]],$I1316&lt;&gt;SottocategorieEntrate[[#Headers],[Other]]),"","$ -")</f>
        <v/>
      </c>
      <c r="Q1316" s="59" t="str">
        <f>IF(Dati[[#This Row],[Categoria]]="Prelievo","€ -","")</f>
        <v/>
      </c>
      <c r="R1316" s="244"/>
      <c r="S1316" s="59" t="str">
        <f>IF(Dati[[#This Row],[Categoria]]="Savings",0,"")</f>
        <v/>
      </c>
      <c r="T1316" s="59"/>
      <c r="U1316" s="59"/>
      <c r="V1316" s="59"/>
      <c r="W1316" s="59"/>
      <c r="X1316" s="59"/>
      <c r="Y1316" s="59"/>
      <c r="Z1316" s="59"/>
      <c r="AA1316" s="59"/>
      <c r="AB1316" s="59"/>
      <c r="AC1316" s="59"/>
      <c r="AD1316" s="59"/>
      <c r="AE1316" s="59"/>
      <c r="AF1316" s="59"/>
      <c r="AG1316" s="59"/>
      <c r="AH1316" s="59"/>
      <c r="AI1316" s="59" t="str">
        <f>IF(SUM(Dati[[#This Row],[Inv. Business]:[Inv. Cryptocurrency]])=0," ",SUM(Dati[[#This Row],[Inv. Business]:[Inv. Cryptocurrency]]))</f>
        <v xml:space="preserve"> </v>
      </c>
      <c r="AJ1316" s="59"/>
      <c r="AK1316" s="59" t="str">
        <f>IF(SUM(Dati[[#This Row],[Inv. Gold]:[Mutuo]])=0," ",SUM(Dati[[#This Row],[Inv. Gold]:[Mutuo]]))</f>
        <v xml:space="preserve"> </v>
      </c>
      <c r="AL1316" s="59"/>
      <c r="AM1316" s="59"/>
    </row>
    <row r="1317" spans="2:39" x14ac:dyDescent="0.35">
      <c r="B1317" s="237">
        <f t="shared" si="97"/>
        <v>1292</v>
      </c>
      <c r="C1317" s="49">
        <f t="shared" si="95"/>
        <v>45882</v>
      </c>
      <c r="D1317" s="29">
        <f>DAY(Dati[[#This Row],[Data]])</f>
        <v>13</v>
      </c>
      <c r="E1317" s="29" t="str">
        <f>IF(DAY(Data!$C$21:$C$1327)&gt;0,TEXT(Data!$C$21:$C$1327, "mmmm"),"")</f>
        <v>agosto</v>
      </c>
      <c r="F1317" s="29" t="str">
        <f>IF(DAY(Data!$C$21:$C$1327)&gt;0,TEXT(Data!$C$21:$C$1327, "aaaa"),"")</f>
        <v>2025</v>
      </c>
      <c r="I1317" t="str">
        <f>IF(OR(H1317=$B$5,H1317=$B$6,H1317=$B$7,H1317=$B$8,H1317=$B$9,H1317=$B$10,H1317=$B$11,H1317=$B$12,H1317=$B$13,H1317=$B$14),SottocategorieUscite[[#Headers],[Fuori Casa]],IF(OR(H1317=$C$5,H1317=$C$6,H1317=$C$7,H1317=$C$8,H1317=$C$9,H1317=$C$10,H1317=$C$11,H1317=$C$12,H1317=$C$13,H1317=$C$14),SottocategorieUscite[[#Headers],[Varie Uscite]],IF(OR(H1317=$D$5,H1317=$D$6,H1317=$D$7,H1317=$D$8,H1317=$D$9,H1317=$D$10,H1317=$D$11,H1317=$D$12,H1317=$D$13,H1317=$D$14),SottocategorieUscite[[#Headers],[Personali]],IF(OR(H1317=$E$5,H1317=$E$6,H1317=$E$7,H1317=$E$8,H1317=$E$9,H1317=$E$10,H1317=$E$11,H1317=$E$12,H1317=$E$13,H1317=$E$14),SottocategorieUscite[[#Headers],[Lavoro]],IF(OR(H1317=$F$5,H1317=$F$6,H1317=$F$7,H1317=$F$8,H1317=$F$9,H1317=$F$10,H1317=$F$11,H1317=$F$12,H1317=$F$13,H1317=$F$14),SottocategorieUscite[[#Headers],[Casa]],IF(OR(H1317=$G$5,H1317=$G$6,H1317=$G$7,H1317=$G$8,H1317=$G$9,H1317=$G$10,H1317=$G$11,H1317=$G$12,H1317=$G$13,H1317=$G$14),SottocategorieUscite[[#Headers],[Utenze]],IF(OR(H1317=$H$5,H1317=$H$6,H1317=$H$7,H1317=$H$8,H1317=$H$9,H1317=$H$10,H1317=$H$11,H1317=$H$12,H1317=$H$13,H1317=$H$14),SottocategorieUscite[[#Headers],[Business Uscite]],IF(OR(H1317=$I$5,H1317=$I$6,H1317=$I$7,H1317=$I$8,H1317=$I$9,H1317=$I$10,H1317=$I$11,H1317=$I$12,H1317=$I$13,H1317=$I$14),SottocategorieUscite[[#Headers],[Banca]],IF(OR(H1317=K$5,H1317=K$6,H1317=K$7,H1317=K$8,H1317=K$9,H1317=K$10,H1317=K$11,H1317=K$12,H1317=K$13,H1317=K$14),SottocategorieEntrate[[#Headers],[Business Entrate]],IF(OR(H1317=L$5,H1317=L$6,H1317=L$7,H1317=L$8,H1317=L$9,H1317=L$10,H1317=L$11,H1317=L$12,H1317=L$13,H1317=L$14),SottocategorieEntrate[[#Headers],[Varie Entrate]],IF(OR(H1317=M$5,H1317=M$6,H1317=M$7,H1317=M$8,H1317=M$9,H1317=M$10,H1317=M$11,H1317=M$12,H1317=M$13,H1317=M$14),SottocategorieEntrate[[#Headers],[Real Estate]],IF(OR(H1317=N$5,H1317=N$6,H1317=N$7,H1317=N$8,H1317=N$9,H1317=N$10,H1317=N$11,H1317=N$12,H1317=N$13,H1317=N$14),SottocategorieEntrate[[#Headers],[Other]],""))))))))))))</f>
        <v/>
      </c>
      <c r="J1317" t="str">
        <f>IF(OR(Dati[[#This Row],[Categoria]]="Bollette",Dati[[#This Row],[Categoria]]="Conto &amp; Carte BNL",Dati[[#This Row],[Categoria]]="Prelievo",Dati[[#This Row],[Categoria]]="Affitto",Dati[[#This Row],[Categoria]]="BNL(Interessi Creditori)"),"Carta",IF(Dati[[#This Row],[Categoria]]&lt;&gt;0,"Cash",""))</f>
        <v/>
      </c>
      <c r="K1317" s="59" t="str">
        <f>IF(OR(Data!$I1317=SottocategorieUscite[[#Headers],[Fuori Casa]],Data!$I1317=SottocategorieUscite[[#Headers],[Varie Uscite]],Data!$I1317=SottocategorieUscite[[#Headers],[Personali]],Data!$I1317=SottocategorieUscite[[#Headers],[Lavoro]]),"$ -","")</f>
        <v/>
      </c>
      <c r="L1317" s="59" t="str">
        <f>IF(OR(Data!$I1317=SottocategorieUscite[[#Headers],[Casa]],Data!$I1317=SottocategorieUscite[[#Headers],[Utenze]],Data!$I1317=SottocategorieUscite[[#Headers],[Business Uscite]],Data!$I1317=SottocategorieUscite[[#Headers],[Banca]]),"$ -","")</f>
        <v/>
      </c>
      <c r="M1317" s="59" t="str">
        <f>IF(OR($I1317&lt;&gt;SottocategorieUscite[[#Headers],[Fuori Casa]],$I1317&lt;&gt;SottocategorieUscite[[#Headers],[Varie Uscite]],$I1317&lt;&gt;SottocategorieUscite[[#Headers],[Personali]],$I1317&lt;&gt;SottocategorieUscite[[#Headers],[Lavoro]],$I1317&lt;&gt;SottocategorieUscite[[#Headers],[Casa]],$I1317&lt;&gt;SottocategorieUscite[[#Headers],[Utenze]],$I1317&lt;&gt;SottocategorieUscite[[#Headers],[Business Uscite]],$I1317&lt;&gt;SottocategorieUscite[[#Headers],[Banca]]),"","$ -")</f>
        <v/>
      </c>
      <c r="N1317" s="59" t="str">
        <f>IF(OR(Data!$I1317=SottocategorieEntrate[[#Headers],[Business Entrate]],Data!$I1317=SottocategorieEntrate[[#Headers],[Varie Entrate]]),"$ -","")</f>
        <v/>
      </c>
      <c r="O1317" s="59" t="str">
        <f>IF(OR(Data!$I1317=SottocategorieEntrate[[#Headers],[Real Estate]],SottocategorieEntrate[[#Headers],[Other]]),"$ -","")</f>
        <v/>
      </c>
      <c r="P1317" s="59" t="str">
        <f>IF(OR($I1317&lt;&gt;SottocategorieEntrate[[#Headers],[Business Entrate]],$I1317&lt;&gt;SottocategorieEntrate[[#Headers],[Varie Entrate]],$I1317&lt;&gt;SottocategorieEntrate[[#Headers],[Real Estate]],$I1317&lt;&gt;SottocategorieEntrate[[#Headers],[Other]]),"","$ -")</f>
        <v/>
      </c>
      <c r="Q1317" s="59" t="str">
        <f>IF(Dati[[#This Row],[Categoria]]="Prelievo","€ -","")</f>
        <v/>
      </c>
      <c r="R1317" s="244"/>
      <c r="S1317" s="59" t="str">
        <f>IF(Dati[[#This Row],[Categoria]]="Savings",0,"")</f>
        <v/>
      </c>
      <c r="T1317" s="59"/>
      <c r="U1317" s="59"/>
      <c r="V1317" s="59"/>
      <c r="W1317" s="59"/>
      <c r="X1317" s="59"/>
      <c r="Y1317" s="59"/>
      <c r="Z1317" s="59"/>
      <c r="AA1317" s="59"/>
      <c r="AB1317" s="59"/>
      <c r="AC1317" s="59"/>
      <c r="AD1317" s="59"/>
      <c r="AE1317" s="59"/>
      <c r="AF1317" s="59"/>
      <c r="AG1317" s="59"/>
      <c r="AH1317" s="59"/>
      <c r="AI1317" s="59" t="str">
        <f>IF(SUM(Dati[[#This Row],[Inv. Business]:[Inv. Cryptocurrency]])=0," ",SUM(Dati[[#This Row],[Inv. Business]:[Inv. Cryptocurrency]]))</f>
        <v xml:space="preserve"> </v>
      </c>
      <c r="AJ1317" s="59"/>
      <c r="AK1317" s="59" t="str">
        <f>IF(SUM(Dati[[#This Row],[Inv. Gold]:[Mutuo]])=0," ",SUM(Dati[[#This Row],[Inv. Gold]:[Mutuo]]))</f>
        <v xml:space="preserve"> </v>
      </c>
      <c r="AL1317" s="59"/>
      <c r="AM1317" s="59"/>
    </row>
    <row r="1318" spans="2:39" x14ac:dyDescent="0.35">
      <c r="B1318" s="237">
        <f t="shared" ref="B1318:B1320" si="98">ROW(1296:1296)</f>
        <v>1296</v>
      </c>
      <c r="C1318" s="49">
        <f t="shared" si="93"/>
        <v>45883</v>
      </c>
      <c r="D1318" s="29">
        <f>DAY(Dati[[#This Row],[Data]])</f>
        <v>14</v>
      </c>
      <c r="E1318" s="29" t="str">
        <f>IF(DAY(Data!$C$21:$C$1327)&gt;0,TEXT(Data!$C$21:$C$1327, "mmmm"),"")</f>
        <v>agosto</v>
      </c>
      <c r="F1318" s="29" t="str">
        <f>IF(DAY(Data!$C$21:$C$1327)&gt;0,TEXT(Data!$C$21:$C$1327, "aaaa"),"")</f>
        <v>2025</v>
      </c>
      <c r="I1318" t="str">
        <f>IF(OR(H1318=$B$5,H1318=$B$6,H1318=$B$7,H1318=$B$8,H1318=$B$9,H1318=$B$10,H1318=$B$11,H1318=$B$12,H1318=$B$13,H1318=$B$14),SottocategorieUscite[[#Headers],[Fuori Casa]],IF(OR(H1318=$C$5,H1318=$C$6,H1318=$C$7,H1318=$C$8,H1318=$C$9,H1318=$C$10,H1318=$C$11,H1318=$C$12,H1318=$C$13,H1318=$C$14),SottocategorieUscite[[#Headers],[Varie Uscite]],IF(OR(H1318=$D$5,H1318=$D$6,H1318=$D$7,H1318=$D$8,H1318=$D$9,H1318=$D$10,H1318=$D$11,H1318=$D$12,H1318=$D$13,H1318=$D$14),SottocategorieUscite[[#Headers],[Personali]],IF(OR(H1318=$E$5,H1318=$E$6,H1318=$E$7,H1318=$E$8,H1318=$E$9,H1318=$E$10,H1318=$E$11,H1318=$E$12,H1318=$E$13,H1318=$E$14),SottocategorieUscite[[#Headers],[Lavoro]],IF(OR(H1318=$F$5,H1318=$F$6,H1318=$F$7,H1318=$F$8,H1318=$F$9,H1318=$F$10,H1318=$F$11,H1318=$F$12,H1318=$F$13,H1318=$F$14),SottocategorieUscite[[#Headers],[Casa]],IF(OR(H1318=$G$5,H1318=$G$6,H1318=$G$7,H1318=$G$8,H1318=$G$9,H1318=$G$10,H1318=$G$11,H1318=$G$12,H1318=$G$13,H1318=$G$14),SottocategorieUscite[[#Headers],[Utenze]],IF(OR(H1318=$H$5,H1318=$H$6,H1318=$H$7,H1318=$H$8,H1318=$H$9,H1318=$H$10,H1318=$H$11,H1318=$H$12,H1318=$H$13,H1318=$H$14),SottocategorieUscite[[#Headers],[Business Uscite]],IF(OR(H1318=$I$5,H1318=$I$6,H1318=$I$7,H1318=$I$8,H1318=$I$9,H1318=$I$10,H1318=$I$11,H1318=$I$12,H1318=$I$13,H1318=$I$14),SottocategorieUscite[[#Headers],[Banca]],IF(OR(H1318=K$5,H1318=K$6,H1318=K$7,H1318=K$8,H1318=K$9,H1318=K$10,H1318=K$11,H1318=K$12,H1318=K$13,H1318=K$14),SottocategorieEntrate[[#Headers],[Business Entrate]],IF(OR(H1318=L$5,H1318=L$6,H1318=L$7,H1318=L$8,H1318=L$9,H1318=L$10,H1318=L$11,H1318=L$12,H1318=L$13,H1318=L$14),SottocategorieEntrate[[#Headers],[Varie Entrate]],IF(OR(H1318=M$5,H1318=M$6,H1318=M$7,H1318=M$8,H1318=M$9,H1318=M$10,H1318=M$11,H1318=M$12,H1318=M$13,H1318=M$14),SottocategorieEntrate[[#Headers],[Real Estate]],IF(OR(H1318=N$5,H1318=N$6,H1318=N$7,H1318=N$8,H1318=N$9,H1318=N$10,H1318=N$11,H1318=N$12,H1318=N$13,H1318=N$14),SottocategorieEntrate[[#Headers],[Other]],""))))))))))))</f>
        <v/>
      </c>
      <c r="J1318" t="str">
        <f>IF(OR(Dati[[#This Row],[Categoria]]="Bollette",Dati[[#This Row],[Categoria]]="Conto &amp; Carte BNL",Dati[[#This Row],[Categoria]]="Prelievo",Dati[[#This Row],[Categoria]]="Affitto",Dati[[#This Row],[Categoria]]="BNL(Interessi Creditori)"),"Carta",IF(Dati[[#This Row],[Categoria]]&lt;&gt;0,"Cash",""))</f>
        <v/>
      </c>
      <c r="K1318" s="59" t="str">
        <f>IF(OR(Data!$I1318=SottocategorieUscite[[#Headers],[Fuori Casa]],Data!$I1318=SottocategorieUscite[[#Headers],[Varie Uscite]],Data!$I1318=SottocategorieUscite[[#Headers],[Personali]],Data!$I1318=SottocategorieUscite[[#Headers],[Lavoro]]),"$ -","")</f>
        <v/>
      </c>
      <c r="L1318" s="59" t="str">
        <f>IF(OR(Data!$I1318=SottocategorieUscite[[#Headers],[Casa]],Data!$I1318=SottocategorieUscite[[#Headers],[Utenze]],Data!$I1318=SottocategorieUscite[[#Headers],[Business Uscite]],Data!$I1318=SottocategorieUscite[[#Headers],[Banca]]),"$ -","")</f>
        <v/>
      </c>
      <c r="M1318" s="59" t="str">
        <f>IF(OR($I1318&lt;&gt;SottocategorieUscite[[#Headers],[Fuori Casa]],$I1318&lt;&gt;SottocategorieUscite[[#Headers],[Varie Uscite]],$I1318&lt;&gt;SottocategorieUscite[[#Headers],[Personali]],$I1318&lt;&gt;SottocategorieUscite[[#Headers],[Lavoro]],$I1318&lt;&gt;SottocategorieUscite[[#Headers],[Casa]],$I1318&lt;&gt;SottocategorieUscite[[#Headers],[Utenze]],$I1318&lt;&gt;SottocategorieUscite[[#Headers],[Business Uscite]],$I1318&lt;&gt;SottocategorieUscite[[#Headers],[Banca]]),"","$ -")</f>
        <v/>
      </c>
      <c r="N1318" s="59" t="str">
        <f>IF(OR(Data!$I1318=SottocategorieEntrate[[#Headers],[Business Entrate]],Data!$I1318=SottocategorieEntrate[[#Headers],[Varie Entrate]]),"$ -","")</f>
        <v/>
      </c>
      <c r="O1318" s="59" t="str">
        <f>IF(OR(Data!$I1318=SottocategorieEntrate[[#Headers],[Real Estate]],SottocategorieEntrate[[#Headers],[Other]]),"$ -","")</f>
        <v/>
      </c>
      <c r="P1318" s="59" t="str">
        <f>IF(OR($I1318&lt;&gt;SottocategorieEntrate[[#Headers],[Business Entrate]],$I1318&lt;&gt;SottocategorieEntrate[[#Headers],[Varie Entrate]],$I1318&lt;&gt;SottocategorieEntrate[[#Headers],[Real Estate]],$I1318&lt;&gt;SottocategorieEntrate[[#Headers],[Other]]),"","$ -")</f>
        <v/>
      </c>
      <c r="Q1318" s="59" t="str">
        <f>IF(Dati[[#This Row],[Categoria]]="Prelievo","€ -","")</f>
        <v/>
      </c>
      <c r="R1318" s="244"/>
      <c r="S1318" s="59" t="str">
        <f>IF(Dati[[#This Row],[Categoria]]="Savings",0,"")</f>
        <v/>
      </c>
      <c r="T1318" s="59"/>
      <c r="U1318" s="59"/>
      <c r="V1318" s="59"/>
      <c r="W1318" s="59"/>
      <c r="X1318" s="59"/>
      <c r="Y1318" s="59"/>
      <c r="Z1318" s="59"/>
      <c r="AA1318" s="59"/>
      <c r="AB1318" s="59"/>
      <c r="AC1318" s="59"/>
      <c r="AD1318" s="59"/>
      <c r="AE1318" s="59"/>
      <c r="AF1318" s="59"/>
      <c r="AG1318" s="59"/>
      <c r="AH1318" s="59"/>
      <c r="AI1318" s="59" t="str">
        <f>IF(SUM(Dati[[#This Row],[Inv. Business]:[Inv. Cryptocurrency]])=0," ",SUM(Dati[[#This Row],[Inv. Business]:[Inv. Cryptocurrency]]))</f>
        <v xml:space="preserve"> </v>
      </c>
      <c r="AJ1318" s="59"/>
      <c r="AK1318" s="59" t="str">
        <f>IF(SUM(Dati[[#This Row],[Inv. Gold]:[Mutuo]])=0," ",SUM(Dati[[#This Row],[Inv. Gold]:[Mutuo]]))</f>
        <v xml:space="preserve"> </v>
      </c>
      <c r="AL1318" s="59"/>
      <c r="AM1318" s="59"/>
    </row>
    <row r="1319" spans="2:39" x14ac:dyDescent="0.35">
      <c r="B1319" s="237">
        <f t="shared" si="98"/>
        <v>1297</v>
      </c>
      <c r="C1319" s="49">
        <f t="shared" si="93"/>
        <v>45884</v>
      </c>
      <c r="D1319" s="29">
        <f>DAY(Dati[[#This Row],[Data]])</f>
        <v>15</v>
      </c>
      <c r="E1319" s="29" t="str">
        <f>IF(DAY(Data!$C$21:$C$1327)&gt;0,TEXT(Data!$C$21:$C$1327, "mmmm"),"")</f>
        <v>agosto</v>
      </c>
      <c r="F1319" s="29" t="str">
        <f>IF(DAY(Data!$C$21:$C$1327)&gt;0,TEXT(Data!$C$21:$C$1327, "aaaa"),"")</f>
        <v>2025</v>
      </c>
      <c r="I1319" t="str">
        <f>IF(OR(H1319=$B$5,H1319=$B$6,H1319=$B$7,H1319=$B$8,H1319=$B$9,H1319=$B$10,H1319=$B$11,H1319=$B$12,H1319=$B$13,H1319=$B$14),SottocategorieUscite[[#Headers],[Fuori Casa]],IF(OR(H1319=$C$5,H1319=$C$6,H1319=$C$7,H1319=$C$8,H1319=$C$9,H1319=$C$10,H1319=$C$11,H1319=$C$12,H1319=$C$13,H1319=$C$14),SottocategorieUscite[[#Headers],[Varie Uscite]],IF(OR(H1319=$D$5,H1319=$D$6,H1319=$D$7,H1319=$D$8,H1319=$D$9,H1319=$D$10,H1319=$D$11,H1319=$D$12,H1319=$D$13,H1319=$D$14),SottocategorieUscite[[#Headers],[Personali]],IF(OR(H1319=$E$5,H1319=$E$6,H1319=$E$7,H1319=$E$8,H1319=$E$9,H1319=$E$10,H1319=$E$11,H1319=$E$12,H1319=$E$13,H1319=$E$14),SottocategorieUscite[[#Headers],[Lavoro]],IF(OR(H1319=$F$5,H1319=$F$6,H1319=$F$7,H1319=$F$8,H1319=$F$9,H1319=$F$10,H1319=$F$11,H1319=$F$12,H1319=$F$13,H1319=$F$14),SottocategorieUscite[[#Headers],[Casa]],IF(OR(H1319=$G$5,H1319=$G$6,H1319=$G$7,H1319=$G$8,H1319=$G$9,H1319=$G$10,H1319=$G$11,H1319=$G$12,H1319=$G$13,H1319=$G$14),SottocategorieUscite[[#Headers],[Utenze]],IF(OR(H1319=$H$5,H1319=$H$6,H1319=$H$7,H1319=$H$8,H1319=$H$9,H1319=$H$10,H1319=$H$11,H1319=$H$12,H1319=$H$13,H1319=$H$14),SottocategorieUscite[[#Headers],[Business Uscite]],IF(OR(H1319=$I$5,H1319=$I$6,H1319=$I$7,H1319=$I$8,H1319=$I$9,H1319=$I$10,H1319=$I$11,H1319=$I$12,H1319=$I$13,H1319=$I$14),SottocategorieUscite[[#Headers],[Banca]],IF(OR(H1319=K$5,H1319=K$6,H1319=K$7,H1319=K$8,H1319=K$9,H1319=K$10,H1319=K$11,H1319=K$12,H1319=K$13,H1319=K$14),SottocategorieEntrate[[#Headers],[Business Entrate]],IF(OR(H1319=L$5,H1319=L$6,H1319=L$7,H1319=L$8,H1319=L$9,H1319=L$10,H1319=L$11,H1319=L$12,H1319=L$13,H1319=L$14),SottocategorieEntrate[[#Headers],[Varie Entrate]],IF(OR(H1319=M$5,H1319=M$6,H1319=M$7,H1319=M$8,H1319=M$9,H1319=M$10,H1319=M$11,H1319=M$12,H1319=M$13,H1319=M$14),SottocategorieEntrate[[#Headers],[Real Estate]],IF(OR(H1319=N$5,H1319=N$6,H1319=N$7,H1319=N$8,H1319=N$9,H1319=N$10,H1319=N$11,H1319=N$12,H1319=N$13,H1319=N$14),SottocategorieEntrate[[#Headers],[Other]],""))))))))))))</f>
        <v/>
      </c>
      <c r="J1319" t="str">
        <f>IF(OR(Dati[[#This Row],[Categoria]]="Bollette",Dati[[#This Row],[Categoria]]="Conto &amp; Carte BNL",Dati[[#This Row],[Categoria]]="Prelievo",Dati[[#This Row],[Categoria]]="Affitto",Dati[[#This Row],[Categoria]]="BNL(Interessi Creditori)"),"Carta",IF(Dati[[#This Row],[Categoria]]&lt;&gt;0,"Cash",""))</f>
        <v/>
      </c>
      <c r="K1319" s="59" t="str">
        <f>IF(OR(Data!$I1319=SottocategorieUscite[[#Headers],[Fuori Casa]],Data!$I1319=SottocategorieUscite[[#Headers],[Varie Uscite]],Data!$I1319=SottocategorieUscite[[#Headers],[Personali]],Data!$I1319=SottocategorieUscite[[#Headers],[Lavoro]]),"$ -","")</f>
        <v/>
      </c>
      <c r="L1319" s="59" t="str">
        <f>IF(OR(Data!$I1319=SottocategorieUscite[[#Headers],[Casa]],Data!$I1319=SottocategorieUscite[[#Headers],[Utenze]],Data!$I1319=SottocategorieUscite[[#Headers],[Business Uscite]],Data!$I1319=SottocategorieUscite[[#Headers],[Banca]]),"$ -","")</f>
        <v/>
      </c>
      <c r="M1319" s="59" t="str">
        <f>IF(OR($I1319&lt;&gt;SottocategorieUscite[[#Headers],[Fuori Casa]],$I1319&lt;&gt;SottocategorieUscite[[#Headers],[Varie Uscite]],$I1319&lt;&gt;SottocategorieUscite[[#Headers],[Personali]],$I1319&lt;&gt;SottocategorieUscite[[#Headers],[Lavoro]],$I1319&lt;&gt;SottocategorieUscite[[#Headers],[Casa]],$I1319&lt;&gt;SottocategorieUscite[[#Headers],[Utenze]],$I1319&lt;&gt;SottocategorieUscite[[#Headers],[Business Uscite]],$I1319&lt;&gt;SottocategorieUscite[[#Headers],[Banca]]),"","$ -")</f>
        <v/>
      </c>
      <c r="N1319" s="59" t="str">
        <f>IF(OR(Data!$I1319=SottocategorieEntrate[[#Headers],[Business Entrate]],Data!$I1319=SottocategorieEntrate[[#Headers],[Varie Entrate]]),"$ -","")</f>
        <v/>
      </c>
      <c r="O1319" s="59" t="str">
        <f>IF(OR(Data!$I1319=SottocategorieEntrate[[#Headers],[Real Estate]],SottocategorieEntrate[[#Headers],[Other]]),"$ -","")</f>
        <v/>
      </c>
      <c r="P1319" s="59" t="str">
        <f>IF(OR($I1319&lt;&gt;SottocategorieEntrate[[#Headers],[Business Entrate]],$I1319&lt;&gt;SottocategorieEntrate[[#Headers],[Varie Entrate]],$I1319&lt;&gt;SottocategorieEntrate[[#Headers],[Real Estate]],$I1319&lt;&gt;SottocategorieEntrate[[#Headers],[Other]]),"","$ -")</f>
        <v/>
      </c>
      <c r="Q1319" s="59" t="str">
        <f>IF(Dati[[#This Row],[Categoria]]="Prelievo","€ -","")</f>
        <v/>
      </c>
      <c r="R1319" s="244"/>
      <c r="S1319" s="59" t="str">
        <f>IF(Dati[[#This Row],[Categoria]]="Savings",0,"")</f>
        <v/>
      </c>
      <c r="T1319" s="59"/>
      <c r="U1319" s="59"/>
      <c r="V1319" s="59"/>
      <c r="W1319" s="59"/>
      <c r="X1319" s="59"/>
      <c r="Y1319" s="59"/>
      <c r="Z1319" s="59"/>
      <c r="AA1319" s="59"/>
      <c r="AB1319" s="59"/>
      <c r="AC1319" s="59"/>
      <c r="AD1319" s="59"/>
      <c r="AE1319" s="59"/>
      <c r="AF1319" s="59"/>
      <c r="AG1319" s="59"/>
      <c r="AH1319" s="59"/>
      <c r="AI1319" s="59" t="str">
        <f>IF(SUM(Dati[[#This Row],[Inv. Business]:[Inv. Cryptocurrency]])=0," ",SUM(Dati[[#This Row],[Inv. Business]:[Inv. Cryptocurrency]]))</f>
        <v xml:space="preserve"> </v>
      </c>
      <c r="AJ1319" s="59"/>
      <c r="AK1319" s="59" t="str">
        <f>IF(SUM(Dati[[#This Row],[Inv. Gold]:[Mutuo]])=0," ",SUM(Dati[[#This Row],[Inv. Gold]:[Mutuo]]))</f>
        <v xml:space="preserve"> </v>
      </c>
      <c r="AL1319" s="59"/>
      <c r="AM1319" s="59"/>
    </row>
    <row r="1320" spans="2:39" x14ac:dyDescent="0.35">
      <c r="B1320" s="237">
        <f t="shared" si="98"/>
        <v>1298</v>
      </c>
      <c r="C1320" s="49">
        <f t="shared" si="93"/>
        <v>45885</v>
      </c>
      <c r="D1320" s="29">
        <f>DAY(Dati[[#This Row],[Data]])</f>
        <v>16</v>
      </c>
      <c r="E1320" s="29" t="str">
        <f>IF(DAY(Data!$C$21:$C$1327)&gt;0,TEXT(Data!$C$21:$C$1327, "mmmm"),"")</f>
        <v>agosto</v>
      </c>
      <c r="F1320" s="29" t="str">
        <f>IF(DAY(Data!$C$21:$C$1327)&gt;0,TEXT(Data!$C$21:$C$1327, "aaaa"),"")</f>
        <v>2025</v>
      </c>
      <c r="I1320" t="str">
        <f>IF(OR(H1320=$B$5,H1320=$B$6,H1320=$B$7,H1320=$B$8,H1320=$B$9,H1320=$B$10,H1320=$B$11,H1320=$B$12,H1320=$B$13,H1320=$B$14),SottocategorieUscite[[#Headers],[Fuori Casa]],IF(OR(H1320=$C$5,H1320=$C$6,H1320=$C$7,H1320=$C$8,H1320=$C$9,H1320=$C$10,H1320=$C$11,H1320=$C$12,H1320=$C$13,H1320=$C$14),SottocategorieUscite[[#Headers],[Varie Uscite]],IF(OR(H1320=$D$5,H1320=$D$6,H1320=$D$7,H1320=$D$8,H1320=$D$9,H1320=$D$10,H1320=$D$11,H1320=$D$12,H1320=$D$13,H1320=$D$14),SottocategorieUscite[[#Headers],[Personali]],IF(OR(H1320=$E$5,H1320=$E$6,H1320=$E$7,H1320=$E$8,H1320=$E$9,H1320=$E$10,H1320=$E$11,H1320=$E$12,H1320=$E$13,H1320=$E$14),SottocategorieUscite[[#Headers],[Lavoro]],IF(OR(H1320=$F$5,H1320=$F$6,H1320=$F$7,H1320=$F$8,H1320=$F$9,H1320=$F$10,H1320=$F$11,H1320=$F$12,H1320=$F$13,H1320=$F$14),SottocategorieUscite[[#Headers],[Casa]],IF(OR(H1320=$G$5,H1320=$G$6,H1320=$G$7,H1320=$G$8,H1320=$G$9,H1320=$G$10,H1320=$G$11,H1320=$G$12,H1320=$G$13,H1320=$G$14),SottocategorieUscite[[#Headers],[Utenze]],IF(OR(H1320=$H$5,H1320=$H$6,H1320=$H$7,H1320=$H$8,H1320=$H$9,H1320=$H$10,H1320=$H$11,H1320=$H$12,H1320=$H$13,H1320=$H$14),SottocategorieUscite[[#Headers],[Business Uscite]],IF(OR(H1320=$I$5,H1320=$I$6,H1320=$I$7,H1320=$I$8,H1320=$I$9,H1320=$I$10,H1320=$I$11,H1320=$I$12,H1320=$I$13,H1320=$I$14),SottocategorieUscite[[#Headers],[Banca]],IF(OR(H1320=K$5,H1320=K$6,H1320=K$7,H1320=K$8,H1320=K$9,H1320=K$10,H1320=K$11,H1320=K$12,H1320=K$13,H1320=K$14),SottocategorieEntrate[[#Headers],[Business Entrate]],IF(OR(H1320=L$5,H1320=L$6,H1320=L$7,H1320=L$8,H1320=L$9,H1320=L$10,H1320=L$11,H1320=L$12,H1320=L$13,H1320=L$14),SottocategorieEntrate[[#Headers],[Varie Entrate]],IF(OR(H1320=M$5,H1320=M$6,H1320=M$7,H1320=M$8,H1320=M$9,H1320=M$10,H1320=M$11,H1320=M$12,H1320=M$13,H1320=M$14),SottocategorieEntrate[[#Headers],[Real Estate]],IF(OR(H1320=N$5,H1320=N$6,H1320=N$7,H1320=N$8,H1320=N$9,H1320=N$10,H1320=N$11,H1320=N$12,H1320=N$13,H1320=N$14),SottocategorieEntrate[[#Headers],[Other]],""))))))))))))</f>
        <v/>
      </c>
      <c r="J1320" t="str">
        <f>IF(OR(Dati[[#This Row],[Categoria]]="Bollette",Dati[[#This Row],[Categoria]]="Conto &amp; Carte BNL",Dati[[#This Row],[Categoria]]="Prelievo",Dati[[#This Row],[Categoria]]="Affitto",Dati[[#This Row],[Categoria]]="BNL(Interessi Creditori)"),"Carta",IF(Dati[[#This Row],[Categoria]]&lt;&gt;0,"Cash",""))</f>
        <v/>
      </c>
      <c r="K1320" s="59" t="str">
        <f>IF(OR(Data!$I1320=SottocategorieUscite[[#Headers],[Fuori Casa]],Data!$I1320=SottocategorieUscite[[#Headers],[Varie Uscite]],Data!$I1320=SottocategorieUscite[[#Headers],[Personali]],Data!$I1320=SottocategorieUscite[[#Headers],[Lavoro]]),"$ -","")</f>
        <v/>
      </c>
      <c r="L1320" s="59" t="str">
        <f>IF(OR(Data!$I1320=SottocategorieUscite[[#Headers],[Casa]],Data!$I1320=SottocategorieUscite[[#Headers],[Utenze]],Data!$I1320=SottocategorieUscite[[#Headers],[Business Uscite]],Data!$I1320=SottocategorieUscite[[#Headers],[Banca]]),"$ -","")</f>
        <v/>
      </c>
      <c r="M1320" s="59" t="str">
        <f>IF(OR($I1320&lt;&gt;SottocategorieUscite[[#Headers],[Fuori Casa]],$I1320&lt;&gt;SottocategorieUscite[[#Headers],[Varie Uscite]],$I1320&lt;&gt;SottocategorieUscite[[#Headers],[Personali]],$I1320&lt;&gt;SottocategorieUscite[[#Headers],[Lavoro]],$I1320&lt;&gt;SottocategorieUscite[[#Headers],[Casa]],$I1320&lt;&gt;SottocategorieUscite[[#Headers],[Utenze]],$I1320&lt;&gt;SottocategorieUscite[[#Headers],[Business Uscite]],$I1320&lt;&gt;SottocategorieUscite[[#Headers],[Banca]]),"","$ -")</f>
        <v/>
      </c>
      <c r="N1320" s="59" t="str">
        <f>IF(OR(Data!$I1320=SottocategorieEntrate[[#Headers],[Business Entrate]],Data!$I1320=SottocategorieEntrate[[#Headers],[Varie Entrate]]),"$ -","")</f>
        <v/>
      </c>
      <c r="O1320" s="59" t="str">
        <f>IF(OR(Data!$I1320=SottocategorieEntrate[[#Headers],[Real Estate]],SottocategorieEntrate[[#Headers],[Other]]),"$ -","")</f>
        <v/>
      </c>
      <c r="P1320" s="59" t="str">
        <f>IF(OR($I1320&lt;&gt;SottocategorieEntrate[[#Headers],[Business Entrate]],$I1320&lt;&gt;SottocategorieEntrate[[#Headers],[Varie Entrate]],$I1320&lt;&gt;SottocategorieEntrate[[#Headers],[Real Estate]],$I1320&lt;&gt;SottocategorieEntrate[[#Headers],[Other]]),"","$ -")</f>
        <v/>
      </c>
      <c r="Q1320" s="59" t="str">
        <f>IF(Dati[[#This Row],[Categoria]]="Prelievo","€ -","")</f>
        <v/>
      </c>
      <c r="R1320" s="244"/>
      <c r="S1320" s="59" t="str">
        <f>IF(Dati[[#This Row],[Categoria]]="Savings",0,"")</f>
        <v/>
      </c>
      <c r="T1320" s="59"/>
      <c r="U1320" s="59"/>
      <c r="V1320" s="59"/>
      <c r="W1320" s="59"/>
      <c r="X1320" s="59"/>
      <c r="Y1320" s="59"/>
      <c r="Z1320" s="59"/>
      <c r="AA1320" s="59"/>
      <c r="AB1320" s="59"/>
      <c r="AC1320" s="59"/>
      <c r="AD1320" s="59"/>
      <c r="AE1320" s="59"/>
      <c r="AF1320" s="59"/>
      <c r="AG1320" s="59"/>
      <c r="AH1320" s="59"/>
      <c r="AI1320" s="59" t="str">
        <f>IF(SUM(Dati[[#This Row],[Inv. Business]:[Inv. Cryptocurrency]])=0," ",SUM(Dati[[#This Row],[Inv. Business]:[Inv. Cryptocurrency]]))</f>
        <v xml:space="preserve"> </v>
      </c>
      <c r="AJ1320" s="59"/>
      <c r="AK1320" s="59" t="str">
        <f>IF(SUM(Dati[[#This Row],[Inv. Gold]:[Mutuo]])=0," ",SUM(Dati[[#This Row],[Inv. Gold]:[Mutuo]]))</f>
        <v xml:space="preserve"> </v>
      </c>
      <c r="AL1320" s="59"/>
      <c r="AM1320" s="59"/>
    </row>
    <row r="1321" spans="2:39" x14ac:dyDescent="0.35">
      <c r="B1321" s="237">
        <f t="shared" ref="B1321:B1324" si="99">ROW(1298:1298)</f>
        <v>1298</v>
      </c>
      <c r="C1321" s="49">
        <f>C1319+1</f>
        <v>45885</v>
      </c>
      <c r="D1321" s="29">
        <f>DAY(Dati[[#This Row],[Data]])</f>
        <v>16</v>
      </c>
      <c r="E1321" s="29" t="str">
        <f>IF(DAY(Data!$C$21:$C$1327)&gt;0,TEXT(Data!$C$21:$C$1327, "mmmm"),"")</f>
        <v>agosto</v>
      </c>
      <c r="F1321" s="29" t="str">
        <f>IF(DAY(Data!$C$21:$C$1327)&gt;0,TEXT(Data!$C$21:$C$1327, "aaaa"),"")</f>
        <v>2025</v>
      </c>
      <c r="I1321" t="str">
        <f>IF(OR(H1321=$B$5,H1321=$B$6,H1321=$B$7,H1321=$B$8,H1321=$B$9,H1321=$B$10,H1321=$B$11,H1321=$B$12,H1321=$B$13,H1321=$B$14),SottocategorieUscite[[#Headers],[Fuori Casa]],IF(OR(H1321=$C$5,H1321=$C$6,H1321=$C$7,H1321=$C$8,H1321=$C$9,H1321=$C$10,H1321=$C$11,H1321=$C$12,H1321=$C$13,H1321=$C$14),SottocategorieUscite[[#Headers],[Varie Uscite]],IF(OR(H1321=$D$5,H1321=$D$6,H1321=$D$7,H1321=$D$8,H1321=$D$9,H1321=$D$10,H1321=$D$11,H1321=$D$12,H1321=$D$13,H1321=$D$14),SottocategorieUscite[[#Headers],[Personali]],IF(OR(H1321=$E$5,H1321=$E$6,H1321=$E$7,H1321=$E$8,H1321=$E$9,H1321=$E$10,H1321=$E$11,H1321=$E$12,H1321=$E$13,H1321=$E$14),SottocategorieUscite[[#Headers],[Lavoro]],IF(OR(H1321=$F$5,H1321=$F$6,H1321=$F$7,H1321=$F$8,H1321=$F$9,H1321=$F$10,H1321=$F$11,H1321=$F$12,H1321=$F$13,H1321=$F$14),SottocategorieUscite[[#Headers],[Casa]],IF(OR(H1321=$G$5,H1321=$G$6,H1321=$G$7,H1321=$G$8,H1321=$G$9,H1321=$G$10,H1321=$G$11,H1321=$G$12,H1321=$G$13,H1321=$G$14),SottocategorieUscite[[#Headers],[Utenze]],IF(OR(H1321=$H$5,H1321=$H$6,H1321=$H$7,H1321=$H$8,H1321=$H$9,H1321=$H$10,H1321=$H$11,H1321=$H$12,H1321=$H$13,H1321=$H$14),SottocategorieUscite[[#Headers],[Business Uscite]],IF(OR(H1321=$I$5,H1321=$I$6,H1321=$I$7,H1321=$I$8,H1321=$I$9,H1321=$I$10,H1321=$I$11,H1321=$I$12,H1321=$I$13,H1321=$I$14),SottocategorieUscite[[#Headers],[Banca]],IF(OR(H1321=K$5,H1321=K$6,H1321=K$7,H1321=K$8,H1321=K$9,H1321=K$10,H1321=K$11,H1321=K$12,H1321=K$13,H1321=K$14),SottocategorieEntrate[[#Headers],[Business Entrate]],IF(OR(H1321=L$5,H1321=L$6,H1321=L$7,H1321=L$8,H1321=L$9,H1321=L$10,H1321=L$11,H1321=L$12,H1321=L$13,H1321=L$14),SottocategorieEntrate[[#Headers],[Varie Entrate]],IF(OR(H1321=M$5,H1321=M$6,H1321=M$7,H1321=M$8,H1321=M$9,H1321=M$10,H1321=M$11,H1321=M$12,H1321=M$13,H1321=M$14),SottocategorieEntrate[[#Headers],[Real Estate]],IF(OR(H1321=N$5,H1321=N$6,H1321=N$7,H1321=N$8,H1321=N$9,H1321=N$10,H1321=N$11,H1321=N$12,H1321=N$13,H1321=N$14),SottocategorieEntrate[[#Headers],[Other]],""))))))))))))</f>
        <v/>
      </c>
      <c r="J1321" t="str">
        <f>IF(OR(Dati[[#This Row],[Categoria]]="Bollette",Dati[[#This Row],[Categoria]]="Conto &amp; Carte BNL",Dati[[#This Row],[Categoria]]="Prelievo",Dati[[#This Row],[Categoria]]="Affitto",Dati[[#This Row],[Categoria]]="BNL(Interessi Creditori)"),"Carta",IF(Dati[[#This Row],[Categoria]]&lt;&gt;0,"Cash",""))</f>
        <v/>
      </c>
      <c r="K1321" s="59" t="str">
        <f>IF(OR(Data!$I1321=SottocategorieUscite[[#Headers],[Fuori Casa]],Data!$I1321=SottocategorieUscite[[#Headers],[Varie Uscite]],Data!$I1321=SottocategorieUscite[[#Headers],[Personali]],Data!$I1321=SottocategorieUscite[[#Headers],[Lavoro]]),"$ -","")</f>
        <v/>
      </c>
      <c r="L1321" s="59" t="str">
        <f>IF(OR(Data!$I1321=SottocategorieUscite[[#Headers],[Casa]],Data!$I1321=SottocategorieUscite[[#Headers],[Utenze]],Data!$I1321=SottocategorieUscite[[#Headers],[Business Uscite]],Data!$I1321=SottocategorieUscite[[#Headers],[Banca]]),"$ -","")</f>
        <v/>
      </c>
      <c r="M1321" s="59" t="str">
        <f>IF(OR($I1321&lt;&gt;SottocategorieUscite[[#Headers],[Fuori Casa]],$I1321&lt;&gt;SottocategorieUscite[[#Headers],[Varie Uscite]],$I1321&lt;&gt;SottocategorieUscite[[#Headers],[Personali]],$I1321&lt;&gt;SottocategorieUscite[[#Headers],[Lavoro]],$I1321&lt;&gt;SottocategorieUscite[[#Headers],[Casa]],$I1321&lt;&gt;SottocategorieUscite[[#Headers],[Utenze]],$I1321&lt;&gt;SottocategorieUscite[[#Headers],[Business Uscite]],$I1321&lt;&gt;SottocategorieUscite[[#Headers],[Banca]]),"","$ -")</f>
        <v/>
      </c>
      <c r="N1321" s="59" t="str">
        <f>IF(OR(Data!$I1321=SottocategorieEntrate[[#Headers],[Business Entrate]],Data!$I1321=SottocategorieEntrate[[#Headers],[Varie Entrate]]),"$ -","")</f>
        <v/>
      </c>
      <c r="O1321" s="59" t="str">
        <f>IF(OR(Data!$I1321=SottocategorieEntrate[[#Headers],[Real Estate]],SottocategorieEntrate[[#Headers],[Other]]),"$ -","")</f>
        <v/>
      </c>
      <c r="P1321" s="59" t="str">
        <f>IF(OR($I1321&lt;&gt;SottocategorieEntrate[[#Headers],[Business Entrate]],$I1321&lt;&gt;SottocategorieEntrate[[#Headers],[Varie Entrate]],$I1321&lt;&gt;SottocategorieEntrate[[#Headers],[Real Estate]],$I1321&lt;&gt;SottocategorieEntrate[[#Headers],[Other]]),"","$ -")</f>
        <v/>
      </c>
      <c r="Q1321" s="59" t="str">
        <f>IF(Dati[[#This Row],[Categoria]]="Prelievo","€ -","")</f>
        <v/>
      </c>
      <c r="R1321" s="244"/>
      <c r="S1321" s="59" t="str">
        <f>IF(Dati[[#This Row],[Categoria]]="Savings",0,"")</f>
        <v/>
      </c>
      <c r="T1321" s="59"/>
      <c r="U1321" s="59"/>
      <c r="V1321" s="59"/>
      <c r="W1321" s="59"/>
      <c r="X1321" s="59"/>
      <c r="Y1321" s="59"/>
      <c r="Z1321" s="59"/>
      <c r="AA1321" s="59"/>
      <c r="AB1321" s="59"/>
      <c r="AC1321" s="59"/>
      <c r="AD1321" s="59"/>
      <c r="AE1321" s="59"/>
      <c r="AF1321" s="59"/>
      <c r="AG1321" s="59"/>
      <c r="AH1321" s="59"/>
      <c r="AI1321" s="59" t="str">
        <f>IF(SUM(Dati[[#This Row],[Inv. Business]:[Inv. Cryptocurrency]])=0," ",SUM(Dati[[#This Row],[Inv. Business]:[Inv. Cryptocurrency]]))</f>
        <v xml:space="preserve"> </v>
      </c>
      <c r="AJ1321" s="59"/>
      <c r="AK1321" s="59" t="str">
        <f>IF(SUM(Dati[[#This Row],[Inv. Gold]:[Mutuo]])=0," ",SUM(Dati[[#This Row],[Inv. Gold]:[Mutuo]]))</f>
        <v xml:space="preserve"> </v>
      </c>
      <c r="AL1321" s="59"/>
      <c r="AM1321" s="59"/>
    </row>
    <row r="1322" spans="2:39" x14ac:dyDescent="0.35">
      <c r="B1322" s="237">
        <f t="shared" si="99"/>
        <v>1299</v>
      </c>
      <c r="C1322" s="49">
        <f>C1320+1</f>
        <v>45886</v>
      </c>
      <c r="D1322" s="29">
        <f>DAY(Dati[[#This Row],[Data]])</f>
        <v>17</v>
      </c>
      <c r="E1322" s="29" t="str">
        <f>IF(DAY(Data!$C$21:$C$1327)&gt;0,TEXT(Data!$C$21:$C$1327, "mmmm"),"")</f>
        <v>agosto</v>
      </c>
      <c r="F1322" s="29" t="str">
        <f>IF(DAY(Data!$C$21:$C$1327)&gt;0,TEXT(Data!$C$21:$C$1327, "aaaa"),"")</f>
        <v>2025</v>
      </c>
      <c r="I1322" t="str">
        <f>IF(OR(H1322=$B$5,H1322=$B$6,H1322=$B$7,H1322=$B$8,H1322=$B$9,H1322=$B$10,H1322=$B$11,H1322=$B$12,H1322=$B$13,H1322=$B$14),SottocategorieUscite[[#Headers],[Fuori Casa]],IF(OR(H1322=$C$5,H1322=$C$6,H1322=$C$7,H1322=$C$8,H1322=$C$9,H1322=$C$10,H1322=$C$11,H1322=$C$12,H1322=$C$13,H1322=$C$14),SottocategorieUscite[[#Headers],[Varie Uscite]],IF(OR(H1322=$D$5,H1322=$D$6,H1322=$D$7,H1322=$D$8,H1322=$D$9,H1322=$D$10,H1322=$D$11,H1322=$D$12,H1322=$D$13,H1322=$D$14),SottocategorieUscite[[#Headers],[Personali]],IF(OR(H1322=$E$5,H1322=$E$6,H1322=$E$7,H1322=$E$8,H1322=$E$9,H1322=$E$10,H1322=$E$11,H1322=$E$12,H1322=$E$13,H1322=$E$14),SottocategorieUscite[[#Headers],[Lavoro]],IF(OR(H1322=$F$5,H1322=$F$6,H1322=$F$7,H1322=$F$8,H1322=$F$9,H1322=$F$10,H1322=$F$11,H1322=$F$12,H1322=$F$13,H1322=$F$14),SottocategorieUscite[[#Headers],[Casa]],IF(OR(H1322=$G$5,H1322=$G$6,H1322=$G$7,H1322=$G$8,H1322=$G$9,H1322=$G$10,H1322=$G$11,H1322=$G$12,H1322=$G$13,H1322=$G$14),SottocategorieUscite[[#Headers],[Utenze]],IF(OR(H1322=$H$5,H1322=$H$6,H1322=$H$7,H1322=$H$8,H1322=$H$9,H1322=$H$10,H1322=$H$11,H1322=$H$12,H1322=$H$13,H1322=$H$14),SottocategorieUscite[[#Headers],[Business Uscite]],IF(OR(H1322=$I$5,H1322=$I$6,H1322=$I$7,H1322=$I$8,H1322=$I$9,H1322=$I$10,H1322=$I$11,H1322=$I$12,H1322=$I$13,H1322=$I$14),SottocategorieUscite[[#Headers],[Banca]],IF(OR(H1322=K$5,H1322=K$6,H1322=K$7,H1322=K$8,H1322=K$9,H1322=K$10,H1322=K$11,H1322=K$12,H1322=K$13,H1322=K$14),SottocategorieEntrate[[#Headers],[Business Entrate]],IF(OR(H1322=L$5,H1322=L$6,H1322=L$7,H1322=L$8,H1322=L$9,H1322=L$10,H1322=L$11,H1322=L$12,H1322=L$13,H1322=L$14),SottocategorieEntrate[[#Headers],[Varie Entrate]],IF(OR(H1322=M$5,H1322=M$6,H1322=M$7,H1322=M$8,H1322=M$9,H1322=M$10,H1322=M$11,H1322=M$12,H1322=M$13,H1322=M$14),SottocategorieEntrate[[#Headers],[Real Estate]],IF(OR(H1322=N$5,H1322=N$6,H1322=N$7,H1322=N$8,H1322=N$9,H1322=N$10,H1322=N$11,H1322=N$12,H1322=N$13,H1322=N$14),SottocategorieEntrate[[#Headers],[Other]],""))))))))))))</f>
        <v/>
      </c>
      <c r="J1322" t="str">
        <f>IF(OR(Dati[[#This Row],[Categoria]]="Bollette",Dati[[#This Row],[Categoria]]="Conto &amp; Carte BNL",Dati[[#This Row],[Categoria]]="Prelievo",Dati[[#This Row],[Categoria]]="Affitto",Dati[[#This Row],[Categoria]]="BNL(Interessi Creditori)"),"Carta",IF(Dati[[#This Row],[Categoria]]&lt;&gt;0,"Cash",""))</f>
        <v/>
      </c>
      <c r="K1322" s="59" t="str">
        <f>IF(OR(Data!$I1322=SottocategorieUscite[[#Headers],[Fuori Casa]],Data!$I1322=SottocategorieUscite[[#Headers],[Varie Uscite]],Data!$I1322=SottocategorieUscite[[#Headers],[Personali]],Data!$I1322=SottocategorieUscite[[#Headers],[Lavoro]]),"$ -","")</f>
        <v/>
      </c>
      <c r="L1322" s="59" t="str">
        <f>IF(OR(Data!$I1322=SottocategorieUscite[[#Headers],[Casa]],Data!$I1322=SottocategorieUscite[[#Headers],[Utenze]],Data!$I1322=SottocategorieUscite[[#Headers],[Business Uscite]],Data!$I1322=SottocategorieUscite[[#Headers],[Banca]]),"$ -","")</f>
        <v/>
      </c>
      <c r="M1322" s="59" t="str">
        <f>IF(OR($I1322&lt;&gt;SottocategorieUscite[[#Headers],[Fuori Casa]],$I1322&lt;&gt;SottocategorieUscite[[#Headers],[Varie Uscite]],$I1322&lt;&gt;SottocategorieUscite[[#Headers],[Personali]],$I1322&lt;&gt;SottocategorieUscite[[#Headers],[Lavoro]],$I1322&lt;&gt;SottocategorieUscite[[#Headers],[Casa]],$I1322&lt;&gt;SottocategorieUscite[[#Headers],[Utenze]],$I1322&lt;&gt;SottocategorieUscite[[#Headers],[Business Uscite]],$I1322&lt;&gt;SottocategorieUscite[[#Headers],[Banca]]),"","$ -")</f>
        <v/>
      </c>
      <c r="N1322" s="59" t="str">
        <f>IF(OR(Data!$I1322=SottocategorieEntrate[[#Headers],[Business Entrate]],Data!$I1322=SottocategorieEntrate[[#Headers],[Varie Entrate]]),"$ -","")</f>
        <v/>
      </c>
      <c r="O1322" s="59" t="str">
        <f>IF(OR(Data!$I1322=SottocategorieEntrate[[#Headers],[Real Estate]],SottocategorieEntrate[[#Headers],[Other]]),"$ -","")</f>
        <v/>
      </c>
      <c r="P1322" s="59" t="str">
        <f>IF(OR($I1322&lt;&gt;SottocategorieEntrate[[#Headers],[Business Entrate]],$I1322&lt;&gt;SottocategorieEntrate[[#Headers],[Varie Entrate]],$I1322&lt;&gt;SottocategorieEntrate[[#Headers],[Real Estate]],$I1322&lt;&gt;SottocategorieEntrate[[#Headers],[Other]]),"","$ -")</f>
        <v/>
      </c>
      <c r="Q1322" s="59" t="str">
        <f>IF(Dati[[#This Row],[Categoria]]="Prelievo","€ -","")</f>
        <v/>
      </c>
      <c r="R1322" s="244"/>
      <c r="S1322" s="59" t="str">
        <f>IF(Dati[[#This Row],[Categoria]]="Savings",0,"")</f>
        <v/>
      </c>
      <c r="T1322" s="59"/>
      <c r="U1322" s="59"/>
      <c r="V1322" s="59"/>
      <c r="W1322" s="59"/>
      <c r="X1322" s="59"/>
      <c r="Y1322" s="59"/>
      <c r="Z1322" s="59"/>
      <c r="AA1322" s="59"/>
      <c r="AB1322" s="59"/>
      <c r="AC1322" s="59"/>
      <c r="AD1322" s="59"/>
      <c r="AE1322" s="59"/>
      <c r="AF1322" s="59"/>
      <c r="AG1322" s="59"/>
      <c r="AH1322" s="59"/>
      <c r="AI1322" s="59" t="str">
        <f>IF(SUM(Dati[[#This Row],[Inv. Business]:[Inv. Cryptocurrency]])=0," ",SUM(Dati[[#This Row],[Inv. Business]:[Inv. Cryptocurrency]]))</f>
        <v xml:space="preserve"> </v>
      </c>
      <c r="AJ1322" s="59"/>
      <c r="AK1322" s="59" t="str">
        <f>IF(SUM(Dati[[#This Row],[Inv. Gold]:[Mutuo]])=0," ",SUM(Dati[[#This Row],[Inv. Gold]:[Mutuo]]))</f>
        <v xml:space="preserve"> </v>
      </c>
      <c r="AL1322" s="59"/>
      <c r="AM1322" s="59"/>
    </row>
    <row r="1323" spans="2:39" x14ac:dyDescent="0.35">
      <c r="B1323" s="237">
        <f t="shared" si="99"/>
        <v>1300</v>
      </c>
      <c r="C1323" s="49">
        <f t="shared" ref="C1323" si="100">C1322+1</f>
        <v>45887</v>
      </c>
      <c r="D1323" s="29">
        <f>DAY(Dati[[#This Row],[Data]])</f>
        <v>18</v>
      </c>
      <c r="E1323" s="29" t="str">
        <f>IF(DAY(Data!$C$21:$C$1327)&gt;0,TEXT(Data!$C$21:$C$1327, "mmmm"),"")</f>
        <v>agosto</v>
      </c>
      <c r="F1323" s="29" t="str">
        <f>IF(DAY(Data!$C$21:$C$1327)&gt;0,TEXT(Data!$C$21:$C$1327, "aaaa"),"")</f>
        <v>2025</v>
      </c>
      <c r="I1323" t="str">
        <f>IF(OR(H1323=$B$5,H1323=$B$6,H1323=$B$7,H1323=$B$8,H1323=$B$9,H1323=$B$10,H1323=$B$11,H1323=$B$12,H1323=$B$13,H1323=$B$14),SottocategorieUscite[[#Headers],[Fuori Casa]],IF(OR(H1323=$C$5,H1323=$C$6,H1323=$C$7,H1323=$C$8,H1323=$C$9,H1323=$C$10,H1323=$C$11,H1323=$C$12,H1323=$C$13,H1323=$C$14),SottocategorieUscite[[#Headers],[Varie Uscite]],IF(OR(H1323=$D$5,H1323=$D$6,H1323=$D$7,H1323=$D$8,H1323=$D$9,H1323=$D$10,H1323=$D$11,H1323=$D$12,H1323=$D$13,H1323=$D$14),SottocategorieUscite[[#Headers],[Personali]],IF(OR(H1323=$E$5,H1323=$E$6,H1323=$E$7,H1323=$E$8,H1323=$E$9,H1323=$E$10,H1323=$E$11,H1323=$E$12,H1323=$E$13,H1323=$E$14),SottocategorieUscite[[#Headers],[Lavoro]],IF(OR(H1323=$F$5,H1323=$F$6,H1323=$F$7,H1323=$F$8,H1323=$F$9,H1323=$F$10,H1323=$F$11,H1323=$F$12,H1323=$F$13,H1323=$F$14),SottocategorieUscite[[#Headers],[Casa]],IF(OR(H1323=$G$5,H1323=$G$6,H1323=$G$7,H1323=$G$8,H1323=$G$9,H1323=$G$10,H1323=$G$11,H1323=$G$12,H1323=$G$13,H1323=$G$14),SottocategorieUscite[[#Headers],[Utenze]],IF(OR(H1323=$H$5,H1323=$H$6,H1323=$H$7,H1323=$H$8,H1323=$H$9,H1323=$H$10,H1323=$H$11,H1323=$H$12,H1323=$H$13,H1323=$H$14),SottocategorieUscite[[#Headers],[Business Uscite]],IF(OR(H1323=$I$5,H1323=$I$6,H1323=$I$7,H1323=$I$8,H1323=$I$9,H1323=$I$10,H1323=$I$11,H1323=$I$12,H1323=$I$13,H1323=$I$14),SottocategorieUscite[[#Headers],[Banca]],IF(OR(H1323=K$5,H1323=K$6,H1323=K$7,H1323=K$8,H1323=K$9,H1323=K$10,H1323=K$11,H1323=K$12,H1323=K$13,H1323=K$14),SottocategorieEntrate[[#Headers],[Business Entrate]],IF(OR(H1323=L$5,H1323=L$6,H1323=L$7,H1323=L$8,H1323=L$9,H1323=L$10,H1323=L$11,H1323=L$12,H1323=L$13,H1323=L$14),SottocategorieEntrate[[#Headers],[Varie Entrate]],IF(OR(H1323=M$5,H1323=M$6,H1323=M$7,H1323=M$8,H1323=M$9,H1323=M$10,H1323=M$11,H1323=M$12,H1323=M$13,H1323=M$14),SottocategorieEntrate[[#Headers],[Real Estate]],IF(OR(H1323=N$5,H1323=N$6,H1323=N$7,H1323=N$8,H1323=N$9,H1323=N$10,H1323=N$11,H1323=N$12,H1323=N$13,H1323=N$14),SottocategorieEntrate[[#Headers],[Other]],""))))))))))))</f>
        <v/>
      </c>
      <c r="J1323" t="str">
        <f>IF(OR(Dati[[#This Row],[Categoria]]="Bollette",Dati[[#This Row],[Categoria]]="Conto &amp; Carte BNL",Dati[[#This Row],[Categoria]]="Prelievo",Dati[[#This Row],[Categoria]]="Affitto",Dati[[#This Row],[Categoria]]="BNL(Interessi Creditori)"),"Carta",IF(Dati[[#This Row],[Categoria]]&lt;&gt;0,"Cash",""))</f>
        <v/>
      </c>
      <c r="K1323" s="59" t="str">
        <f>IF(OR(Data!$I1323=SottocategorieUscite[[#Headers],[Fuori Casa]],Data!$I1323=SottocategorieUscite[[#Headers],[Varie Uscite]],Data!$I1323=SottocategorieUscite[[#Headers],[Personali]],Data!$I1323=SottocategorieUscite[[#Headers],[Lavoro]]),"$ -","")</f>
        <v/>
      </c>
      <c r="L1323" s="59" t="str">
        <f>IF(OR(Data!$I1323=SottocategorieUscite[[#Headers],[Casa]],Data!$I1323=SottocategorieUscite[[#Headers],[Utenze]],Data!$I1323=SottocategorieUscite[[#Headers],[Business Uscite]],Data!$I1323=SottocategorieUscite[[#Headers],[Banca]]),"$ -","")</f>
        <v/>
      </c>
      <c r="M1323" s="59" t="str">
        <f>IF(OR($I1323&lt;&gt;SottocategorieUscite[[#Headers],[Fuori Casa]],$I1323&lt;&gt;SottocategorieUscite[[#Headers],[Varie Uscite]],$I1323&lt;&gt;SottocategorieUscite[[#Headers],[Personali]],$I1323&lt;&gt;SottocategorieUscite[[#Headers],[Lavoro]],$I1323&lt;&gt;SottocategorieUscite[[#Headers],[Casa]],$I1323&lt;&gt;SottocategorieUscite[[#Headers],[Utenze]],$I1323&lt;&gt;SottocategorieUscite[[#Headers],[Business Uscite]],$I1323&lt;&gt;SottocategorieUscite[[#Headers],[Banca]]),"","$ -")</f>
        <v/>
      </c>
      <c r="N1323" s="59" t="str">
        <f>IF(OR(Data!$I1323=SottocategorieEntrate[[#Headers],[Business Entrate]],Data!$I1323=SottocategorieEntrate[[#Headers],[Varie Entrate]]),"$ -","")</f>
        <v/>
      </c>
      <c r="O1323" s="59" t="str">
        <f>IF(OR(Data!$I1323=SottocategorieEntrate[[#Headers],[Real Estate]],SottocategorieEntrate[[#Headers],[Other]]),"$ -","")</f>
        <v/>
      </c>
      <c r="P1323" s="59" t="str">
        <f>IF(OR($I1323&lt;&gt;SottocategorieEntrate[[#Headers],[Business Entrate]],$I1323&lt;&gt;SottocategorieEntrate[[#Headers],[Varie Entrate]],$I1323&lt;&gt;SottocategorieEntrate[[#Headers],[Real Estate]],$I1323&lt;&gt;SottocategorieEntrate[[#Headers],[Other]]),"","$ -")</f>
        <v/>
      </c>
      <c r="Q1323" s="59" t="str">
        <f>IF(Dati[[#This Row],[Categoria]]="Prelievo","€ -","")</f>
        <v/>
      </c>
      <c r="R1323" s="244"/>
      <c r="S1323" s="59" t="str">
        <f>IF(Dati[[#This Row],[Categoria]]="Savings",0,"")</f>
        <v/>
      </c>
      <c r="T1323" s="59"/>
      <c r="U1323" s="59"/>
      <c r="V1323" s="59"/>
      <c r="W1323" s="59"/>
      <c r="X1323" s="59"/>
      <c r="Y1323" s="59"/>
      <c r="Z1323" s="59"/>
      <c r="AA1323" s="59"/>
      <c r="AB1323" s="59"/>
      <c r="AC1323" s="59"/>
      <c r="AD1323" s="59"/>
      <c r="AE1323" s="59"/>
      <c r="AF1323" s="59"/>
      <c r="AG1323" s="59"/>
      <c r="AH1323" s="59"/>
      <c r="AI1323" s="59" t="str">
        <f>IF(SUM(Dati[[#This Row],[Inv. Business]:[Inv. Cryptocurrency]])=0," ",SUM(Dati[[#This Row],[Inv. Business]:[Inv. Cryptocurrency]]))</f>
        <v xml:space="preserve"> </v>
      </c>
      <c r="AJ1323" s="59"/>
      <c r="AK1323" s="59" t="str">
        <f>IF(SUM(Dati[[#This Row],[Inv. Gold]:[Mutuo]])=0," ",SUM(Dati[[#This Row],[Inv. Gold]:[Mutuo]]))</f>
        <v xml:space="preserve"> </v>
      </c>
      <c r="AL1323" s="59"/>
      <c r="AM1323" s="59"/>
    </row>
    <row r="1324" spans="2:39" x14ac:dyDescent="0.35">
      <c r="B1324" s="237">
        <f t="shared" si="99"/>
        <v>1301</v>
      </c>
      <c r="C1324" s="49">
        <f t="shared" si="95"/>
        <v>45888</v>
      </c>
      <c r="D1324" s="29">
        <f>DAY(Dati[[#This Row],[Data]])</f>
        <v>19</v>
      </c>
      <c r="E1324" s="29" t="str">
        <f>IF(DAY(Data!$C$21:$C$1327)&gt;0,TEXT(Data!$C$21:$C$1327, "mmmm"),"")</f>
        <v>agosto</v>
      </c>
      <c r="F1324" s="29" t="str">
        <f>IF(DAY(Data!$C$21:$C$1327)&gt;0,TEXT(Data!$C$21:$C$1327, "aaaa"),"")</f>
        <v>2025</v>
      </c>
      <c r="I1324" t="str">
        <f>IF(OR(H1324=$B$5,H1324=$B$6,H1324=$B$7,H1324=$B$8,H1324=$B$9,H1324=$B$10,H1324=$B$11,H1324=$B$12,H1324=$B$13,H1324=$B$14),SottocategorieUscite[[#Headers],[Fuori Casa]],IF(OR(H1324=$C$5,H1324=$C$6,H1324=$C$7,H1324=$C$8,H1324=$C$9,H1324=$C$10,H1324=$C$11,H1324=$C$12,H1324=$C$13,H1324=$C$14),SottocategorieUscite[[#Headers],[Varie Uscite]],IF(OR(H1324=$D$5,H1324=$D$6,H1324=$D$7,H1324=$D$8,H1324=$D$9,H1324=$D$10,H1324=$D$11,H1324=$D$12,H1324=$D$13,H1324=$D$14),SottocategorieUscite[[#Headers],[Personali]],IF(OR(H1324=$E$5,H1324=$E$6,H1324=$E$7,H1324=$E$8,H1324=$E$9,H1324=$E$10,H1324=$E$11,H1324=$E$12,H1324=$E$13,H1324=$E$14),SottocategorieUscite[[#Headers],[Lavoro]],IF(OR(H1324=$F$5,H1324=$F$6,H1324=$F$7,H1324=$F$8,H1324=$F$9,H1324=$F$10,H1324=$F$11,H1324=$F$12,H1324=$F$13,H1324=$F$14),SottocategorieUscite[[#Headers],[Casa]],IF(OR(H1324=$G$5,H1324=$G$6,H1324=$G$7,H1324=$G$8,H1324=$G$9,H1324=$G$10,H1324=$G$11,H1324=$G$12,H1324=$G$13,H1324=$G$14),SottocategorieUscite[[#Headers],[Utenze]],IF(OR(H1324=$H$5,H1324=$H$6,H1324=$H$7,H1324=$H$8,H1324=$H$9,H1324=$H$10,H1324=$H$11,H1324=$H$12,H1324=$H$13,H1324=$H$14),SottocategorieUscite[[#Headers],[Business Uscite]],IF(OR(H1324=$I$5,H1324=$I$6,H1324=$I$7,H1324=$I$8,H1324=$I$9,H1324=$I$10,H1324=$I$11,H1324=$I$12,H1324=$I$13,H1324=$I$14),SottocategorieUscite[[#Headers],[Banca]],IF(OR(H1324=K$5,H1324=K$6,H1324=K$7,H1324=K$8,H1324=K$9,H1324=K$10,H1324=K$11,H1324=K$12,H1324=K$13,H1324=K$14),SottocategorieEntrate[[#Headers],[Business Entrate]],IF(OR(H1324=L$5,H1324=L$6,H1324=L$7,H1324=L$8,H1324=L$9,H1324=L$10,H1324=L$11,H1324=L$12,H1324=L$13,H1324=L$14),SottocategorieEntrate[[#Headers],[Varie Entrate]],IF(OR(H1324=M$5,H1324=M$6,H1324=M$7,H1324=M$8,H1324=M$9,H1324=M$10,H1324=M$11,H1324=M$12,H1324=M$13,H1324=M$14),SottocategorieEntrate[[#Headers],[Real Estate]],IF(OR(H1324=N$5,H1324=N$6,H1324=N$7,H1324=N$8,H1324=N$9,H1324=N$10,H1324=N$11,H1324=N$12,H1324=N$13,H1324=N$14),SottocategorieEntrate[[#Headers],[Other]],""))))))))))))</f>
        <v/>
      </c>
      <c r="J1324" t="str">
        <f>IF(OR(Dati[[#This Row],[Categoria]]="Bollette",Dati[[#This Row],[Categoria]]="Conto &amp; Carte BNL",Dati[[#This Row],[Categoria]]="Prelievo",Dati[[#This Row],[Categoria]]="Affitto",Dati[[#This Row],[Categoria]]="BNL(Interessi Creditori)"),"Carta",IF(Dati[[#This Row],[Categoria]]&lt;&gt;0,"Cash",""))</f>
        <v/>
      </c>
      <c r="K1324" s="59" t="str">
        <f>IF(OR(Data!$I1324=SottocategorieUscite[[#Headers],[Fuori Casa]],Data!$I1324=SottocategorieUscite[[#Headers],[Varie Uscite]],Data!$I1324=SottocategorieUscite[[#Headers],[Personali]],Data!$I1324=SottocategorieUscite[[#Headers],[Lavoro]]),"$ -","")</f>
        <v/>
      </c>
      <c r="L1324" s="59" t="str">
        <f>IF(OR(Data!$I1324=SottocategorieUscite[[#Headers],[Casa]],Data!$I1324=SottocategorieUscite[[#Headers],[Utenze]],Data!$I1324=SottocategorieUscite[[#Headers],[Business Uscite]],Data!$I1324=SottocategorieUscite[[#Headers],[Banca]]),"$ -","")</f>
        <v/>
      </c>
      <c r="M1324" s="59" t="str">
        <f>IF(OR($I1324&lt;&gt;SottocategorieUscite[[#Headers],[Fuori Casa]],$I1324&lt;&gt;SottocategorieUscite[[#Headers],[Varie Uscite]],$I1324&lt;&gt;SottocategorieUscite[[#Headers],[Personali]],$I1324&lt;&gt;SottocategorieUscite[[#Headers],[Lavoro]],$I1324&lt;&gt;SottocategorieUscite[[#Headers],[Casa]],$I1324&lt;&gt;SottocategorieUscite[[#Headers],[Utenze]],$I1324&lt;&gt;SottocategorieUscite[[#Headers],[Business Uscite]],$I1324&lt;&gt;SottocategorieUscite[[#Headers],[Banca]]),"","$ -")</f>
        <v/>
      </c>
      <c r="N1324" s="59" t="str">
        <f>IF(OR(Data!$I1324=SottocategorieEntrate[[#Headers],[Business Entrate]],Data!$I1324=SottocategorieEntrate[[#Headers],[Varie Entrate]]),"$ -","")</f>
        <v/>
      </c>
      <c r="O1324" s="59" t="str">
        <f>IF(OR(Data!$I1324=SottocategorieEntrate[[#Headers],[Real Estate]],SottocategorieEntrate[[#Headers],[Other]]),"$ -","")</f>
        <v/>
      </c>
      <c r="P1324" s="59" t="str">
        <f>IF(OR($I1324&lt;&gt;SottocategorieEntrate[[#Headers],[Business Entrate]],$I1324&lt;&gt;SottocategorieEntrate[[#Headers],[Varie Entrate]],$I1324&lt;&gt;SottocategorieEntrate[[#Headers],[Real Estate]],$I1324&lt;&gt;SottocategorieEntrate[[#Headers],[Other]]),"","$ -")</f>
        <v/>
      </c>
      <c r="Q1324" s="59" t="str">
        <f>IF(Dati[[#This Row],[Categoria]]="Prelievo","€ -","")</f>
        <v/>
      </c>
      <c r="R1324" s="244"/>
      <c r="S1324" s="59" t="str">
        <f>IF(Dati[[#This Row],[Categoria]]="Savings",0,"")</f>
        <v/>
      </c>
      <c r="T1324" s="59"/>
      <c r="U1324" s="59"/>
      <c r="V1324" s="59"/>
      <c r="W1324" s="59"/>
      <c r="X1324" s="59"/>
      <c r="Y1324" s="59"/>
      <c r="Z1324" s="59"/>
      <c r="AA1324" s="59"/>
      <c r="AB1324" s="59"/>
      <c r="AC1324" s="59"/>
      <c r="AD1324" s="59"/>
      <c r="AE1324" s="59"/>
      <c r="AF1324" s="59"/>
      <c r="AG1324" s="59"/>
      <c r="AH1324" s="59"/>
      <c r="AI1324" s="59" t="str">
        <f>IF(SUM(Dati[[#This Row],[Inv. Business]:[Inv. Cryptocurrency]])=0," ",SUM(Dati[[#This Row],[Inv. Business]:[Inv. Cryptocurrency]]))</f>
        <v xml:space="preserve"> </v>
      </c>
      <c r="AJ1324" s="59"/>
      <c r="AK1324" s="59" t="str">
        <f>IF(SUM(Dati[[#This Row],[Inv. Gold]:[Mutuo]])=0," ",SUM(Dati[[#This Row],[Inv. Gold]:[Mutuo]]))</f>
        <v xml:space="preserve"> </v>
      </c>
      <c r="AL1324" s="59"/>
      <c r="AM1324" s="59"/>
    </row>
    <row r="1325" spans="2:39" x14ac:dyDescent="0.35">
      <c r="B1325" s="237">
        <f>ROW(1301:1301)</f>
        <v>1301</v>
      </c>
      <c r="C1325" s="49">
        <f>C1323+1</f>
        <v>45888</v>
      </c>
      <c r="D1325" s="29">
        <f>DAY(Dati[[#This Row],[Data]])</f>
        <v>19</v>
      </c>
      <c r="E1325" s="29" t="str">
        <f>IF(DAY(Data!$C$21:$C$1327)&gt;0,TEXT(Data!$C$21:$C$1327, "mmmm"),"")</f>
        <v>agosto</v>
      </c>
      <c r="F1325" s="29" t="str">
        <f>IF(DAY(Data!$C$21:$C$1327)&gt;0,TEXT(Data!$C$21:$C$1327, "aaaa"),"")</f>
        <v>2025</v>
      </c>
      <c r="I1325" t="str">
        <f>IF(OR(H1325=$B$5,H1325=$B$6,H1325=$B$7,H1325=$B$8,H1325=$B$9,H1325=$B$10,H1325=$B$11,H1325=$B$12,H1325=$B$13,H1325=$B$14),SottocategorieUscite[[#Headers],[Fuori Casa]],IF(OR(H1325=$C$5,H1325=$C$6,H1325=$C$7,H1325=$C$8,H1325=$C$9,H1325=$C$10,H1325=$C$11,H1325=$C$12,H1325=$C$13,H1325=$C$14),SottocategorieUscite[[#Headers],[Varie Uscite]],IF(OR(H1325=$D$5,H1325=$D$6,H1325=$D$7,H1325=$D$8,H1325=$D$9,H1325=$D$10,H1325=$D$11,H1325=$D$12,H1325=$D$13,H1325=$D$14),SottocategorieUscite[[#Headers],[Personali]],IF(OR(H1325=$E$5,H1325=$E$6,H1325=$E$7,H1325=$E$8,H1325=$E$9,H1325=$E$10,H1325=$E$11,H1325=$E$12,H1325=$E$13,H1325=$E$14),SottocategorieUscite[[#Headers],[Lavoro]],IF(OR(H1325=$F$5,H1325=$F$6,H1325=$F$7,H1325=$F$8,H1325=$F$9,H1325=$F$10,H1325=$F$11,H1325=$F$12,H1325=$F$13,H1325=$F$14),SottocategorieUscite[[#Headers],[Casa]],IF(OR(H1325=$G$5,H1325=$G$6,H1325=$G$7,H1325=$G$8,H1325=$G$9,H1325=$G$10,H1325=$G$11,H1325=$G$12,H1325=$G$13,H1325=$G$14),SottocategorieUscite[[#Headers],[Utenze]],IF(OR(H1325=$H$5,H1325=$H$6,H1325=$H$7,H1325=$H$8,H1325=$H$9,H1325=$H$10,H1325=$H$11,H1325=$H$12,H1325=$H$13,H1325=$H$14),SottocategorieUscite[[#Headers],[Business Uscite]],IF(OR(H1325=$I$5,H1325=$I$6,H1325=$I$7,H1325=$I$8,H1325=$I$9,H1325=$I$10,H1325=$I$11,H1325=$I$12,H1325=$I$13,H1325=$I$14),SottocategorieUscite[[#Headers],[Banca]],IF(OR(H1325=K$5,H1325=K$6,H1325=K$7,H1325=K$8,H1325=K$9,H1325=K$10,H1325=K$11,H1325=K$12,H1325=K$13,H1325=K$14),SottocategorieEntrate[[#Headers],[Business Entrate]],IF(OR(H1325=L$5,H1325=L$6,H1325=L$7,H1325=L$8,H1325=L$9,H1325=L$10,H1325=L$11,H1325=L$12,H1325=L$13,H1325=L$14),SottocategorieEntrate[[#Headers],[Varie Entrate]],IF(OR(H1325=M$5,H1325=M$6,H1325=M$7,H1325=M$8,H1325=M$9,H1325=M$10,H1325=M$11,H1325=M$12,H1325=M$13,H1325=M$14),SottocategorieEntrate[[#Headers],[Real Estate]],IF(OR(H1325=N$5,H1325=N$6,H1325=N$7,H1325=N$8,H1325=N$9,H1325=N$10,H1325=N$11,H1325=N$12,H1325=N$13,H1325=N$14),SottocategorieEntrate[[#Headers],[Other]],""))))))))))))</f>
        <v/>
      </c>
      <c r="J1325" t="str">
        <f>IF(OR(Dati[[#This Row],[Categoria]]="Bollette",Dati[[#This Row],[Categoria]]="Conto &amp; Carte BNL",Dati[[#This Row],[Categoria]]="Prelievo",Dati[[#This Row],[Categoria]]="Affitto",Dati[[#This Row],[Categoria]]="BNL(Interessi Creditori)"),"Carta",IF(Dati[[#This Row],[Categoria]]&lt;&gt;0,"Cash",""))</f>
        <v/>
      </c>
      <c r="K1325" s="59" t="str">
        <f>IF(OR(Data!$I1325=SottocategorieUscite[[#Headers],[Fuori Casa]],Data!$I1325=SottocategorieUscite[[#Headers],[Varie Uscite]],Data!$I1325=SottocategorieUscite[[#Headers],[Personali]],Data!$I1325=SottocategorieUscite[[#Headers],[Lavoro]]),"$ -","")</f>
        <v/>
      </c>
      <c r="L1325" s="59" t="str">
        <f>IF(OR(Data!$I1325=SottocategorieUscite[[#Headers],[Casa]],Data!$I1325=SottocategorieUscite[[#Headers],[Utenze]],Data!$I1325=SottocategorieUscite[[#Headers],[Business Uscite]],Data!$I1325=SottocategorieUscite[[#Headers],[Banca]]),"$ -","")</f>
        <v/>
      </c>
      <c r="M1325" s="59" t="str">
        <f>IF(OR($I1325&lt;&gt;SottocategorieUscite[[#Headers],[Fuori Casa]],$I1325&lt;&gt;SottocategorieUscite[[#Headers],[Varie Uscite]],$I1325&lt;&gt;SottocategorieUscite[[#Headers],[Personali]],$I1325&lt;&gt;SottocategorieUscite[[#Headers],[Lavoro]],$I1325&lt;&gt;SottocategorieUscite[[#Headers],[Casa]],$I1325&lt;&gt;SottocategorieUscite[[#Headers],[Utenze]],$I1325&lt;&gt;SottocategorieUscite[[#Headers],[Business Uscite]],$I1325&lt;&gt;SottocategorieUscite[[#Headers],[Banca]]),"","$ -")</f>
        <v/>
      </c>
      <c r="N1325" s="59" t="str">
        <f>IF(OR(Data!$I1325=SottocategorieEntrate[[#Headers],[Business Entrate]],Data!$I1325=SottocategorieEntrate[[#Headers],[Varie Entrate]]),"$ -","")</f>
        <v/>
      </c>
      <c r="O1325" s="59" t="str">
        <f>IF(OR(Data!$I1325=SottocategorieEntrate[[#Headers],[Real Estate]],SottocategorieEntrate[[#Headers],[Other]]),"$ -","")</f>
        <v/>
      </c>
      <c r="P1325" s="59" t="str">
        <f>IF(OR($I1325&lt;&gt;SottocategorieEntrate[[#Headers],[Business Entrate]],$I1325&lt;&gt;SottocategorieEntrate[[#Headers],[Varie Entrate]],$I1325&lt;&gt;SottocategorieEntrate[[#Headers],[Real Estate]],$I1325&lt;&gt;SottocategorieEntrate[[#Headers],[Other]]),"","$ -")</f>
        <v/>
      </c>
      <c r="Q1325" s="59" t="str">
        <f>IF(Dati[[#This Row],[Categoria]]="Prelievo","€ -","")</f>
        <v/>
      </c>
      <c r="R1325" s="244"/>
      <c r="S1325" s="59" t="str">
        <f>IF(Dati[[#This Row],[Categoria]]="Savings",0,"")</f>
        <v/>
      </c>
      <c r="T1325" s="59"/>
      <c r="U1325" s="59"/>
      <c r="V1325" s="59"/>
      <c r="W1325" s="59"/>
      <c r="X1325" s="59"/>
      <c r="Y1325" s="59"/>
      <c r="Z1325" s="59"/>
      <c r="AA1325" s="59"/>
      <c r="AB1325" s="59"/>
      <c r="AC1325" s="59"/>
      <c r="AD1325" s="59"/>
      <c r="AE1325" s="59"/>
      <c r="AF1325" s="59"/>
      <c r="AG1325" s="59"/>
      <c r="AH1325" s="59"/>
      <c r="AI1325" s="59" t="str">
        <f>IF(SUM(Dati[[#This Row],[Inv. Business]:[Inv. Cryptocurrency]])=0," ",SUM(Dati[[#This Row],[Inv. Business]:[Inv. Cryptocurrency]]))</f>
        <v xml:space="preserve"> </v>
      </c>
      <c r="AJ1325" s="59"/>
      <c r="AK1325" s="59" t="str">
        <f>IF(SUM(Dati[[#This Row],[Inv. Gold]:[Mutuo]])=0," ",SUM(Dati[[#This Row],[Inv. Gold]:[Mutuo]]))</f>
        <v xml:space="preserve"> </v>
      </c>
      <c r="AL1325" s="59"/>
      <c r="AM1325" s="59"/>
    </row>
    <row r="1326" spans="2:39" x14ac:dyDescent="0.35">
      <c r="B1326" s="237">
        <f t="shared" ref="B1326:B1330" si="101">ROW(1301:1301)</f>
        <v>1301</v>
      </c>
      <c r="C1326" s="49">
        <f>C1323+1</f>
        <v>45888</v>
      </c>
      <c r="D1326" s="29">
        <f>DAY(Dati[[#This Row],[Data]])</f>
        <v>19</v>
      </c>
      <c r="E1326" s="29" t="str">
        <f>IF(DAY(Data!$C$21:$C$1327)&gt;0,TEXT(Data!$C$21:$C$1327, "mmmm"),"")</f>
        <v>agosto</v>
      </c>
      <c r="F1326" s="29" t="str">
        <f>IF(DAY(Data!$C$21:$C$1327)&gt;0,TEXT(Data!$C$21:$C$1327, "aaaa"),"")</f>
        <v>2025</v>
      </c>
      <c r="I1326" t="str">
        <f>IF(OR(H1326=$B$5,H1326=$B$6,H1326=$B$7,H1326=$B$8,H1326=$B$9,H1326=$B$10,H1326=$B$11,H1326=$B$12,H1326=$B$13,H1326=$B$14),SottocategorieUscite[[#Headers],[Fuori Casa]],IF(OR(H1326=$C$5,H1326=$C$6,H1326=$C$7,H1326=$C$8,H1326=$C$9,H1326=$C$10,H1326=$C$11,H1326=$C$12,H1326=$C$13,H1326=$C$14),SottocategorieUscite[[#Headers],[Varie Uscite]],IF(OR(H1326=$D$5,H1326=$D$6,H1326=$D$7,H1326=$D$8,H1326=$D$9,H1326=$D$10,H1326=$D$11,H1326=$D$12,H1326=$D$13,H1326=$D$14),SottocategorieUscite[[#Headers],[Personali]],IF(OR(H1326=$E$5,H1326=$E$6,H1326=$E$7,H1326=$E$8,H1326=$E$9,H1326=$E$10,H1326=$E$11,H1326=$E$12,H1326=$E$13,H1326=$E$14),SottocategorieUscite[[#Headers],[Lavoro]],IF(OR(H1326=$F$5,H1326=$F$6,H1326=$F$7,H1326=$F$8,H1326=$F$9,H1326=$F$10,H1326=$F$11,H1326=$F$12,H1326=$F$13,H1326=$F$14),SottocategorieUscite[[#Headers],[Casa]],IF(OR(H1326=$G$5,H1326=$G$6,H1326=$G$7,H1326=$G$8,H1326=$G$9,H1326=$G$10,H1326=$G$11,H1326=$G$12,H1326=$G$13,H1326=$G$14),SottocategorieUscite[[#Headers],[Utenze]],IF(OR(H1326=$H$5,H1326=$H$6,H1326=$H$7,H1326=$H$8,H1326=$H$9,H1326=$H$10,H1326=$H$11,H1326=$H$12,H1326=$H$13,H1326=$H$14),SottocategorieUscite[[#Headers],[Business Uscite]],IF(OR(H1326=$I$5,H1326=$I$6,H1326=$I$7,H1326=$I$8,H1326=$I$9,H1326=$I$10,H1326=$I$11,H1326=$I$12,H1326=$I$13,H1326=$I$14),SottocategorieUscite[[#Headers],[Banca]],IF(OR(H1326=K$5,H1326=K$6,H1326=K$7,H1326=K$8,H1326=K$9,H1326=K$10,H1326=K$11,H1326=K$12,H1326=K$13,H1326=K$14),SottocategorieEntrate[[#Headers],[Business Entrate]],IF(OR(H1326=L$5,H1326=L$6,H1326=L$7,H1326=L$8,H1326=L$9,H1326=L$10,H1326=L$11,H1326=L$12,H1326=L$13,H1326=L$14),SottocategorieEntrate[[#Headers],[Varie Entrate]],IF(OR(H1326=M$5,H1326=M$6,H1326=M$7,H1326=M$8,H1326=M$9,H1326=M$10,H1326=M$11,H1326=M$12,H1326=M$13,H1326=M$14),SottocategorieEntrate[[#Headers],[Real Estate]],IF(OR(H1326=N$5,H1326=N$6,H1326=N$7,H1326=N$8,H1326=N$9,H1326=N$10,H1326=N$11,H1326=N$12,H1326=N$13,H1326=N$14),SottocategorieEntrate[[#Headers],[Other]],""))))))))))))</f>
        <v/>
      </c>
      <c r="J1326" t="str">
        <f>IF(OR(Dati[[#This Row],[Categoria]]="Bollette",Dati[[#This Row],[Categoria]]="Conto &amp; Carte BNL",Dati[[#This Row],[Categoria]]="Prelievo",Dati[[#This Row],[Categoria]]="Affitto",Dati[[#This Row],[Categoria]]="BNL(Interessi Creditori)"),"Carta",IF(Dati[[#This Row],[Categoria]]&lt;&gt;0,"Cash",""))</f>
        <v/>
      </c>
      <c r="K1326" s="59" t="str">
        <f>IF(OR(Data!$I1326=SottocategorieUscite[[#Headers],[Fuori Casa]],Data!$I1326=SottocategorieUscite[[#Headers],[Varie Uscite]],Data!$I1326=SottocategorieUscite[[#Headers],[Personali]],Data!$I1326=SottocategorieUscite[[#Headers],[Lavoro]]),"$ -","")</f>
        <v/>
      </c>
      <c r="L1326" s="59" t="str">
        <f>IF(OR(Data!$I1326=SottocategorieUscite[[#Headers],[Casa]],Data!$I1326=SottocategorieUscite[[#Headers],[Utenze]],Data!$I1326=SottocategorieUscite[[#Headers],[Business Uscite]],Data!$I1326=SottocategorieUscite[[#Headers],[Banca]]),"$ -","")</f>
        <v/>
      </c>
      <c r="M1326" s="59" t="str">
        <f>IF(OR($I1326&lt;&gt;SottocategorieUscite[[#Headers],[Fuori Casa]],$I1326&lt;&gt;SottocategorieUscite[[#Headers],[Varie Uscite]],$I1326&lt;&gt;SottocategorieUscite[[#Headers],[Personali]],$I1326&lt;&gt;SottocategorieUscite[[#Headers],[Lavoro]],$I1326&lt;&gt;SottocategorieUscite[[#Headers],[Casa]],$I1326&lt;&gt;SottocategorieUscite[[#Headers],[Utenze]],$I1326&lt;&gt;SottocategorieUscite[[#Headers],[Business Uscite]],$I1326&lt;&gt;SottocategorieUscite[[#Headers],[Banca]]),"","$ -")</f>
        <v/>
      </c>
      <c r="N1326" s="59" t="str">
        <f>IF(OR(Data!$I1326=SottocategorieEntrate[[#Headers],[Business Entrate]],Data!$I1326=SottocategorieEntrate[[#Headers],[Varie Entrate]]),"$ -","")</f>
        <v/>
      </c>
      <c r="O1326" s="59" t="str">
        <f>IF(OR(Data!$I1326=SottocategorieEntrate[[#Headers],[Real Estate]],SottocategorieEntrate[[#Headers],[Other]]),"$ -","")</f>
        <v/>
      </c>
      <c r="P1326" s="59" t="str">
        <f>IF(OR($I1326&lt;&gt;SottocategorieEntrate[[#Headers],[Business Entrate]],$I1326&lt;&gt;SottocategorieEntrate[[#Headers],[Varie Entrate]],$I1326&lt;&gt;SottocategorieEntrate[[#Headers],[Real Estate]],$I1326&lt;&gt;SottocategorieEntrate[[#Headers],[Other]]),"","$ -")</f>
        <v/>
      </c>
      <c r="Q1326" s="59" t="str">
        <f>IF(Dati[[#This Row],[Categoria]]="Prelievo","€ -","")</f>
        <v/>
      </c>
      <c r="R1326" s="244"/>
      <c r="S1326" s="59" t="str">
        <f>IF(Dati[[#This Row],[Categoria]]="Savings",0,"")</f>
        <v/>
      </c>
      <c r="T1326" s="59"/>
      <c r="U1326" s="59"/>
      <c r="V1326" s="59"/>
      <c r="W1326" s="59"/>
      <c r="X1326" s="59"/>
      <c r="Y1326" s="59"/>
      <c r="Z1326" s="59"/>
      <c r="AA1326" s="59"/>
      <c r="AB1326" s="59"/>
      <c r="AC1326" s="59"/>
      <c r="AD1326" s="59"/>
      <c r="AE1326" s="59"/>
      <c r="AF1326" s="59"/>
      <c r="AG1326" s="59"/>
      <c r="AH1326" s="59"/>
      <c r="AI1326" s="59" t="str">
        <f>IF(SUM(Dati[[#This Row],[Inv. Business]:[Inv. Cryptocurrency]])=0," ",SUM(Dati[[#This Row],[Inv. Business]:[Inv. Cryptocurrency]]))</f>
        <v xml:space="preserve"> </v>
      </c>
      <c r="AJ1326" s="59"/>
      <c r="AK1326" s="59" t="str">
        <f>IF(SUM(Dati[[#This Row],[Inv. Gold]:[Mutuo]])=0," ",SUM(Dati[[#This Row],[Inv. Gold]:[Mutuo]]))</f>
        <v xml:space="preserve"> </v>
      </c>
      <c r="AL1326" s="59"/>
      <c r="AM1326" s="59"/>
    </row>
    <row r="1327" spans="2:39" x14ac:dyDescent="0.35">
      <c r="B1327" s="237">
        <f t="shared" si="101"/>
        <v>1302</v>
      </c>
      <c r="C1327" s="49">
        <f>C1324+1</f>
        <v>45889</v>
      </c>
      <c r="D1327" s="29">
        <f>DAY(Dati[[#This Row],[Data]])</f>
        <v>20</v>
      </c>
      <c r="E1327" s="29" t="str">
        <f>IF(DAY(Data!$C$21:$C$1327)&gt;0,TEXT(Data!$C$21:$C$1327, "mmmm"),"")</f>
        <v>agosto</v>
      </c>
      <c r="F1327" s="29" t="str">
        <f>IF(DAY(Data!$C$21:$C$1327)&gt;0,TEXT(Data!$C$21:$C$1327, "aaaa"),"")</f>
        <v>2025</v>
      </c>
      <c r="I1327" t="str">
        <f>IF(OR(H1327=$B$5,H1327=$B$6,H1327=$B$7,H1327=$B$8,H1327=$B$9,H1327=$B$10,H1327=$B$11,H1327=$B$12,H1327=$B$13,H1327=$B$14),SottocategorieUscite[[#Headers],[Fuori Casa]],IF(OR(H1327=$C$5,H1327=$C$6,H1327=$C$7,H1327=$C$8,H1327=$C$9,H1327=$C$10,H1327=$C$11,H1327=$C$12,H1327=$C$13,H1327=$C$14),SottocategorieUscite[[#Headers],[Varie Uscite]],IF(OR(H1327=$D$5,H1327=$D$6,H1327=$D$7,H1327=$D$8,H1327=$D$9,H1327=$D$10,H1327=$D$11,H1327=$D$12,H1327=$D$13,H1327=$D$14),SottocategorieUscite[[#Headers],[Personali]],IF(OR(H1327=$E$5,H1327=$E$6,H1327=$E$7,H1327=$E$8,H1327=$E$9,H1327=$E$10,H1327=$E$11,H1327=$E$12,H1327=$E$13,H1327=$E$14),SottocategorieUscite[[#Headers],[Lavoro]],IF(OR(H1327=$F$5,H1327=$F$6,H1327=$F$7,H1327=$F$8,H1327=$F$9,H1327=$F$10,H1327=$F$11,H1327=$F$12,H1327=$F$13,H1327=$F$14),SottocategorieUscite[[#Headers],[Casa]],IF(OR(H1327=$G$5,H1327=$G$6,H1327=$G$7,H1327=$G$8,H1327=$G$9,H1327=$G$10,H1327=$G$11,H1327=$G$12,H1327=$G$13,H1327=$G$14),SottocategorieUscite[[#Headers],[Utenze]],IF(OR(H1327=$H$5,H1327=$H$6,H1327=$H$7,H1327=$H$8,H1327=$H$9,H1327=$H$10,H1327=$H$11,H1327=$H$12,H1327=$H$13,H1327=$H$14),SottocategorieUscite[[#Headers],[Business Uscite]],IF(OR(H1327=$I$5,H1327=$I$6,H1327=$I$7,H1327=$I$8,H1327=$I$9,H1327=$I$10,H1327=$I$11,H1327=$I$12,H1327=$I$13,H1327=$I$14),SottocategorieUscite[[#Headers],[Banca]],IF(OR(H1327=K$5,H1327=K$6,H1327=K$7,H1327=K$8,H1327=K$9,H1327=K$10,H1327=K$11,H1327=K$12,H1327=K$13,H1327=K$14),SottocategorieEntrate[[#Headers],[Business Entrate]],IF(OR(H1327=L$5,H1327=L$6,H1327=L$7,H1327=L$8,H1327=L$9,H1327=L$10,H1327=L$11,H1327=L$12,H1327=L$13,H1327=L$14),SottocategorieEntrate[[#Headers],[Varie Entrate]],IF(OR(H1327=M$5,H1327=M$6,H1327=M$7,H1327=M$8,H1327=M$9,H1327=M$10,H1327=M$11,H1327=M$12,H1327=M$13,H1327=M$14),SottocategorieEntrate[[#Headers],[Real Estate]],IF(OR(H1327=N$5,H1327=N$6,H1327=N$7,H1327=N$8,H1327=N$9,H1327=N$10,H1327=N$11,H1327=N$12,H1327=N$13,H1327=N$14),SottocategorieEntrate[[#Headers],[Other]],""))))))))))))</f>
        <v/>
      </c>
      <c r="J1327" t="str">
        <f>IF(OR(Dati[[#This Row],[Categoria]]="Bollette",Dati[[#This Row],[Categoria]]="Conto &amp; Carte BNL",Dati[[#This Row],[Categoria]]="Prelievo",Dati[[#This Row],[Categoria]]="Affitto",Dati[[#This Row],[Categoria]]="BNL(Interessi Creditori)"),"Carta",IF(Dati[[#This Row],[Categoria]]&lt;&gt;0,"Cash",""))</f>
        <v/>
      </c>
      <c r="K1327" s="59" t="str">
        <f>IF(OR(Data!$I1327=SottocategorieUscite[[#Headers],[Fuori Casa]],Data!$I1327=SottocategorieUscite[[#Headers],[Varie Uscite]],Data!$I1327=SottocategorieUscite[[#Headers],[Personali]],Data!$I1327=SottocategorieUscite[[#Headers],[Lavoro]]),"$ -","")</f>
        <v/>
      </c>
      <c r="L1327" s="59" t="str">
        <f>IF(OR(Data!$I1327=SottocategorieUscite[[#Headers],[Casa]],Data!$I1327=SottocategorieUscite[[#Headers],[Utenze]],Data!$I1327=SottocategorieUscite[[#Headers],[Business Uscite]],Data!$I1327=SottocategorieUscite[[#Headers],[Banca]]),"$ -","")</f>
        <v/>
      </c>
      <c r="M1327" s="59" t="str">
        <f>IF(OR($I1327&lt;&gt;SottocategorieUscite[[#Headers],[Fuori Casa]],$I1327&lt;&gt;SottocategorieUscite[[#Headers],[Varie Uscite]],$I1327&lt;&gt;SottocategorieUscite[[#Headers],[Personali]],$I1327&lt;&gt;SottocategorieUscite[[#Headers],[Lavoro]],$I1327&lt;&gt;SottocategorieUscite[[#Headers],[Casa]],$I1327&lt;&gt;SottocategorieUscite[[#Headers],[Utenze]],$I1327&lt;&gt;SottocategorieUscite[[#Headers],[Business Uscite]],$I1327&lt;&gt;SottocategorieUscite[[#Headers],[Banca]]),"","$ -")</f>
        <v/>
      </c>
      <c r="N1327" s="59" t="str">
        <f>IF(OR(Data!$I1327=SottocategorieEntrate[[#Headers],[Business Entrate]],Data!$I1327=SottocategorieEntrate[[#Headers],[Varie Entrate]]),"$ -","")</f>
        <v/>
      </c>
      <c r="O1327" s="59" t="str">
        <f>IF(OR(Data!$I1327=SottocategorieEntrate[[#Headers],[Real Estate]],SottocategorieEntrate[[#Headers],[Other]]),"$ -","")</f>
        <v/>
      </c>
      <c r="P1327" s="59" t="str">
        <f>IF(OR($I1327&lt;&gt;SottocategorieEntrate[[#Headers],[Business Entrate]],$I1327&lt;&gt;SottocategorieEntrate[[#Headers],[Varie Entrate]],$I1327&lt;&gt;SottocategorieEntrate[[#Headers],[Real Estate]],$I1327&lt;&gt;SottocategorieEntrate[[#Headers],[Other]]),"","$ -")</f>
        <v/>
      </c>
      <c r="Q1327" s="59" t="str">
        <f>IF(Dati[[#This Row],[Categoria]]="Prelievo","€ -","")</f>
        <v/>
      </c>
      <c r="R1327" s="244"/>
      <c r="S1327" s="59" t="str">
        <f>IF(Dati[[#This Row],[Categoria]]="Savings",0,"")</f>
        <v/>
      </c>
      <c r="T1327" s="59"/>
      <c r="U1327" s="59"/>
      <c r="V1327" s="59"/>
      <c r="W1327" s="59"/>
      <c r="X1327" s="59"/>
      <c r="Y1327" s="59"/>
      <c r="Z1327" s="59"/>
      <c r="AA1327" s="59"/>
      <c r="AB1327" s="59"/>
      <c r="AC1327" s="59"/>
      <c r="AD1327" s="59"/>
      <c r="AE1327" s="59"/>
      <c r="AF1327" s="59"/>
      <c r="AG1327" s="59"/>
      <c r="AH1327" s="59"/>
      <c r="AI1327" s="59" t="str">
        <f>IF(SUM(Dati[[#This Row],[Inv. Business]:[Inv. Cryptocurrency]])=0," ",SUM(Dati[[#This Row],[Inv. Business]:[Inv. Cryptocurrency]]))</f>
        <v xml:space="preserve"> </v>
      </c>
      <c r="AJ1327" s="59"/>
      <c r="AK1327" s="59" t="str">
        <f>IF(SUM(Dati[[#This Row],[Inv. Gold]:[Mutuo]])=0," ",SUM(Dati[[#This Row],[Inv. Gold]:[Mutuo]]))</f>
        <v xml:space="preserve"> </v>
      </c>
      <c r="AL1327" s="59"/>
      <c r="AM1327" s="59"/>
    </row>
    <row r="1328" spans="2:39" x14ac:dyDescent="0.35">
      <c r="B1328" s="237">
        <f t="shared" si="101"/>
        <v>1303</v>
      </c>
      <c r="C1328" s="49">
        <f t="shared" si="95"/>
        <v>45890</v>
      </c>
      <c r="D1328" s="29">
        <f>DAY(Dati[[#This Row],[Data]])</f>
        <v>21</v>
      </c>
      <c r="E1328" s="29" t="str">
        <f>IF(DAY(Data!$C$21:$C$1613)&gt;0,TEXT(Data!$C$21:$C$1613, "mmmm"),"")</f>
        <v>agosto</v>
      </c>
      <c r="F1328" s="29" t="str">
        <f>IF(DAY(Data!$C$21:$C$1613)&gt;0,TEXT(Data!$C$21:$C$1613, "aaaa"),"")</f>
        <v>2025</v>
      </c>
      <c r="I1328" t="str">
        <f>IF(OR(H1328=$B$5,H1328=$B$6,H1328=$B$7,H1328=$B$8,H1328=$B$9,H1328=$B$10,H1328=$B$11,H1328=$B$12,H1328=$B$13,H1328=$B$14),SottocategorieUscite[[#Headers],[Fuori Casa]],IF(OR(H1328=$C$5,H1328=$C$6,H1328=$C$7,H1328=$C$8,H1328=$C$9,H1328=$C$10,H1328=$C$11,H1328=$C$12,H1328=$C$13,H1328=$C$14),SottocategorieUscite[[#Headers],[Varie Uscite]],IF(OR(H1328=$D$5,H1328=$D$6,H1328=$D$7,H1328=$D$8,H1328=$D$9,H1328=$D$10,H1328=$D$11,H1328=$D$12,H1328=$D$13,H1328=$D$14),SottocategorieUscite[[#Headers],[Personali]],IF(OR(H1328=$E$5,H1328=$E$6,H1328=$E$7,H1328=$E$8,H1328=$E$9,H1328=$E$10,H1328=$E$11,H1328=$E$12,H1328=$E$13,H1328=$E$14),SottocategorieUscite[[#Headers],[Lavoro]],IF(OR(H1328=$F$5,H1328=$F$6,H1328=$F$7,H1328=$F$8,H1328=$F$9,H1328=$F$10,H1328=$F$11,H1328=$F$12,H1328=$F$13,H1328=$F$14),SottocategorieUscite[[#Headers],[Casa]],IF(OR(H1328=$G$5,H1328=$G$6,H1328=$G$7,H1328=$G$8,H1328=$G$9,H1328=$G$10,H1328=$G$11,H1328=$G$12,H1328=$G$13,H1328=$G$14),SottocategorieUscite[[#Headers],[Utenze]],IF(OR(H1328=$H$5,H1328=$H$6,H1328=$H$7,H1328=$H$8,H1328=$H$9,H1328=$H$10,H1328=$H$11,H1328=$H$12,H1328=$H$13,H1328=$H$14),SottocategorieUscite[[#Headers],[Business Uscite]],IF(OR(H1328=$I$5,H1328=$I$6,H1328=$I$7,H1328=$I$8,H1328=$I$9,H1328=$I$10,H1328=$I$11,H1328=$I$12,H1328=$I$13,H1328=$I$14),SottocategorieUscite[[#Headers],[Banca]],IF(OR(H1328=K$5,H1328=K$6,H1328=K$7,H1328=K$8,H1328=K$9,H1328=K$10,H1328=K$11,H1328=K$12,H1328=K$13,H1328=K$14),SottocategorieEntrate[[#Headers],[Business Entrate]],IF(OR(H1328=L$5,H1328=L$6,H1328=L$7,H1328=L$8,H1328=L$9,H1328=L$10,H1328=L$11,H1328=L$12,H1328=L$13,H1328=L$14),SottocategorieEntrate[[#Headers],[Varie Entrate]],IF(OR(H1328=M$5,H1328=M$6,H1328=M$7,H1328=M$8,H1328=M$9,H1328=M$10,H1328=M$11,H1328=M$12,H1328=M$13,H1328=M$14),SottocategorieEntrate[[#Headers],[Real Estate]],IF(OR(H1328=N$5,H1328=N$6,H1328=N$7,H1328=N$8,H1328=N$9,H1328=N$10,H1328=N$11,H1328=N$12,H1328=N$13,H1328=N$14),SottocategorieEntrate[[#Headers],[Other]],""))))))))))))</f>
        <v/>
      </c>
      <c r="J1328" t="str">
        <f>IF(OR(Dati[[#This Row],[Categoria]]="Bollette",Dati[[#This Row],[Categoria]]="Conto &amp; Carte BNL",Dati[[#This Row],[Categoria]]="Prelievo",Dati[[#This Row],[Categoria]]="Affitto",Dati[[#This Row],[Categoria]]="BNL(Interessi Creditori)"),"Carta",IF(Dati[[#This Row],[Categoria]]&lt;&gt;0,"Cash",""))</f>
        <v/>
      </c>
      <c r="K1328" s="59" t="str">
        <f>IF(OR(Data!$I1328=SottocategorieUscite[[#Headers],[Fuori Casa]],Data!$I1328=SottocategorieUscite[[#Headers],[Varie Uscite]],Data!$I1328=SottocategorieUscite[[#Headers],[Personali]],Data!$I1328=SottocategorieUscite[[#Headers],[Lavoro]]),"$ -","")</f>
        <v/>
      </c>
      <c r="L1328" s="59" t="str">
        <f>IF(OR(Data!$I1328=SottocategorieUscite[[#Headers],[Casa]],Data!$I1328=SottocategorieUscite[[#Headers],[Utenze]],Data!$I1328=SottocategorieUscite[[#Headers],[Business Uscite]],Data!$I1328=SottocategorieUscite[[#Headers],[Banca]]),"$ -","")</f>
        <v/>
      </c>
      <c r="M1328" s="59" t="str">
        <f>IF(OR($I1328&lt;&gt;SottocategorieUscite[[#Headers],[Fuori Casa]],$I1328&lt;&gt;SottocategorieUscite[[#Headers],[Varie Uscite]],$I1328&lt;&gt;SottocategorieUscite[[#Headers],[Personali]],$I1328&lt;&gt;SottocategorieUscite[[#Headers],[Lavoro]],$I1328&lt;&gt;SottocategorieUscite[[#Headers],[Casa]],$I1328&lt;&gt;SottocategorieUscite[[#Headers],[Utenze]],$I1328&lt;&gt;SottocategorieUscite[[#Headers],[Business Uscite]],$I1328&lt;&gt;SottocategorieUscite[[#Headers],[Banca]]),"","$ -")</f>
        <v/>
      </c>
      <c r="N1328" s="59" t="str">
        <f>IF(OR(Data!$I1328=SottocategorieEntrate[[#Headers],[Business Entrate]],Data!$I1328=SottocategorieEntrate[[#Headers],[Varie Entrate]]),"$ -","")</f>
        <v/>
      </c>
      <c r="O1328" s="59" t="str">
        <f>IF(OR(Data!$I1328=SottocategorieEntrate[[#Headers],[Real Estate]],SottocategorieEntrate[[#Headers],[Other]]),"$ -","")</f>
        <v/>
      </c>
      <c r="P1328" s="59" t="str">
        <f>IF(OR($I1328&lt;&gt;SottocategorieEntrate[[#Headers],[Business Entrate]],$I1328&lt;&gt;SottocategorieEntrate[[#Headers],[Varie Entrate]],$I1328&lt;&gt;SottocategorieEntrate[[#Headers],[Real Estate]],$I1328&lt;&gt;SottocategorieEntrate[[#Headers],[Other]]),"","$ -")</f>
        <v/>
      </c>
      <c r="Q1328" s="59" t="str">
        <f>IF(Dati[[#This Row],[Categoria]]="Prelievo","€ -","")</f>
        <v/>
      </c>
      <c r="R1328" s="244"/>
      <c r="S1328" s="59" t="str">
        <f>IF(Dati[[#This Row],[Categoria]]="Savings",0,"")</f>
        <v/>
      </c>
      <c r="T1328" s="59"/>
      <c r="U1328" s="59"/>
      <c r="V1328" s="59"/>
      <c r="W1328" s="59"/>
      <c r="X1328" s="59"/>
      <c r="Y1328" s="59"/>
      <c r="Z1328" s="59"/>
      <c r="AA1328" s="59"/>
      <c r="AB1328" s="59"/>
      <c r="AC1328" s="59"/>
      <c r="AD1328" s="59"/>
      <c r="AE1328" s="59"/>
      <c r="AF1328" s="59"/>
      <c r="AG1328" s="59"/>
      <c r="AH1328" s="59"/>
      <c r="AI1328" s="59" t="str">
        <f>IF(SUM(Dati[[#This Row],[Inv. Business]:[Inv. Cryptocurrency]])=0," ",SUM(Dati[[#This Row],[Inv. Business]:[Inv. Cryptocurrency]]))</f>
        <v xml:space="preserve"> </v>
      </c>
      <c r="AJ1328" s="59"/>
      <c r="AK1328" s="59" t="str">
        <f>IF(SUM(Dati[[#This Row],[Inv. Gold]:[Mutuo]])=0," ",SUM(Dati[[#This Row],[Inv. Gold]:[Mutuo]]))</f>
        <v xml:space="preserve"> </v>
      </c>
      <c r="AL1328" s="59"/>
      <c r="AM1328" s="59"/>
    </row>
    <row r="1329" spans="2:39" x14ac:dyDescent="0.35">
      <c r="B1329" s="237">
        <f t="shared" si="101"/>
        <v>1304</v>
      </c>
      <c r="C1329" s="49">
        <f t="shared" si="95"/>
        <v>45891</v>
      </c>
      <c r="D1329" s="29">
        <f>DAY(Dati[[#This Row],[Data]])</f>
        <v>22</v>
      </c>
      <c r="E1329" s="29" t="str">
        <f>IF(DAY(Data!$C$21:$C$1613)&gt;0,TEXT(Data!$C$21:$C$1613, "mmmm"),"")</f>
        <v>agosto</v>
      </c>
      <c r="F1329" s="29" t="str">
        <f>IF(DAY(Data!$C$21:$C$1613)&gt;0,TEXT(Data!$C$21:$C$1613, "aaaa"),"")</f>
        <v>2025</v>
      </c>
      <c r="I1329" t="str">
        <f>IF(OR(H1329=$B$5,H1329=$B$6,H1329=$B$7,H1329=$B$8,H1329=$B$9,H1329=$B$10,H1329=$B$11,H1329=$B$12,H1329=$B$13,H1329=$B$14),SottocategorieUscite[[#Headers],[Fuori Casa]],IF(OR(H1329=$C$5,H1329=$C$6,H1329=$C$7,H1329=$C$8,H1329=$C$9,H1329=$C$10,H1329=$C$11,H1329=$C$12,H1329=$C$13,H1329=$C$14),SottocategorieUscite[[#Headers],[Varie Uscite]],IF(OR(H1329=$D$5,H1329=$D$6,H1329=$D$7,H1329=$D$8,H1329=$D$9,H1329=$D$10,H1329=$D$11,H1329=$D$12,H1329=$D$13,H1329=$D$14),SottocategorieUscite[[#Headers],[Personali]],IF(OR(H1329=$E$5,H1329=$E$6,H1329=$E$7,H1329=$E$8,H1329=$E$9,H1329=$E$10,H1329=$E$11,H1329=$E$12,H1329=$E$13,H1329=$E$14),SottocategorieUscite[[#Headers],[Lavoro]],IF(OR(H1329=$F$5,H1329=$F$6,H1329=$F$7,H1329=$F$8,H1329=$F$9,H1329=$F$10,H1329=$F$11,H1329=$F$12,H1329=$F$13,H1329=$F$14),SottocategorieUscite[[#Headers],[Casa]],IF(OR(H1329=$G$5,H1329=$G$6,H1329=$G$7,H1329=$G$8,H1329=$G$9,H1329=$G$10,H1329=$G$11,H1329=$G$12,H1329=$G$13,H1329=$G$14),SottocategorieUscite[[#Headers],[Utenze]],IF(OR(H1329=$H$5,H1329=$H$6,H1329=$H$7,H1329=$H$8,H1329=$H$9,H1329=$H$10,H1329=$H$11,H1329=$H$12,H1329=$H$13,H1329=$H$14),SottocategorieUscite[[#Headers],[Business Uscite]],IF(OR(H1329=$I$5,H1329=$I$6,H1329=$I$7,H1329=$I$8,H1329=$I$9,H1329=$I$10,H1329=$I$11,H1329=$I$12,H1329=$I$13,H1329=$I$14),SottocategorieUscite[[#Headers],[Banca]],IF(OR(H1329=K$5,H1329=K$6,H1329=K$7,H1329=K$8,H1329=K$9,H1329=K$10,H1329=K$11,H1329=K$12,H1329=K$13,H1329=K$14),SottocategorieEntrate[[#Headers],[Business Entrate]],IF(OR(H1329=L$5,H1329=L$6,H1329=L$7,H1329=L$8,H1329=L$9,H1329=L$10,H1329=L$11,H1329=L$12,H1329=L$13,H1329=L$14),SottocategorieEntrate[[#Headers],[Varie Entrate]],IF(OR(H1329=M$5,H1329=M$6,H1329=M$7,H1329=M$8,H1329=M$9,H1329=M$10,H1329=M$11,H1329=M$12,H1329=M$13,H1329=M$14),SottocategorieEntrate[[#Headers],[Real Estate]],IF(OR(H1329=N$5,H1329=N$6,H1329=N$7,H1329=N$8,H1329=N$9,H1329=N$10,H1329=N$11,H1329=N$12,H1329=N$13,H1329=N$14),SottocategorieEntrate[[#Headers],[Other]],""))))))))))))</f>
        <v/>
      </c>
      <c r="J1329" t="str">
        <f>IF(OR(Dati[[#This Row],[Categoria]]="Bollette",Dati[[#This Row],[Categoria]]="Conto &amp; Carte BNL",Dati[[#This Row],[Categoria]]="Prelievo",Dati[[#This Row],[Categoria]]="Affitto",Dati[[#This Row],[Categoria]]="BNL(Interessi Creditori)"),"Carta",IF(Dati[[#This Row],[Categoria]]&lt;&gt;0,"Cash",""))</f>
        <v/>
      </c>
      <c r="K1329" s="59" t="str">
        <f>IF(OR(Data!$I1329=SottocategorieUscite[[#Headers],[Fuori Casa]],Data!$I1329=SottocategorieUscite[[#Headers],[Varie Uscite]],Data!$I1329=SottocategorieUscite[[#Headers],[Personali]],Data!$I1329=SottocategorieUscite[[#Headers],[Lavoro]]),"$ -","")</f>
        <v/>
      </c>
      <c r="L1329" s="59" t="str">
        <f>IF(OR(Data!$I1329=SottocategorieUscite[[#Headers],[Casa]],Data!$I1329=SottocategorieUscite[[#Headers],[Utenze]],Data!$I1329=SottocategorieUscite[[#Headers],[Business Uscite]],Data!$I1329=SottocategorieUscite[[#Headers],[Banca]]),"$ -","")</f>
        <v/>
      </c>
      <c r="M1329" s="59" t="str">
        <f>IF(OR($I1329&lt;&gt;SottocategorieUscite[[#Headers],[Fuori Casa]],$I1329&lt;&gt;SottocategorieUscite[[#Headers],[Varie Uscite]],$I1329&lt;&gt;SottocategorieUscite[[#Headers],[Personali]],$I1329&lt;&gt;SottocategorieUscite[[#Headers],[Lavoro]],$I1329&lt;&gt;SottocategorieUscite[[#Headers],[Casa]],$I1329&lt;&gt;SottocategorieUscite[[#Headers],[Utenze]],$I1329&lt;&gt;SottocategorieUscite[[#Headers],[Business Uscite]],$I1329&lt;&gt;SottocategorieUscite[[#Headers],[Banca]]),"","$ -")</f>
        <v/>
      </c>
      <c r="N1329" s="59" t="str">
        <f>IF(OR(Data!$I1329=SottocategorieEntrate[[#Headers],[Business Entrate]],Data!$I1329=SottocategorieEntrate[[#Headers],[Varie Entrate]]),"$ -","")</f>
        <v/>
      </c>
      <c r="O1329" s="59" t="str">
        <f>IF(OR(Data!$I1329=SottocategorieEntrate[[#Headers],[Real Estate]],SottocategorieEntrate[[#Headers],[Other]]),"$ -","")</f>
        <v/>
      </c>
      <c r="P1329" s="59" t="str">
        <f>IF(OR($I1329&lt;&gt;SottocategorieEntrate[[#Headers],[Business Entrate]],$I1329&lt;&gt;SottocategorieEntrate[[#Headers],[Varie Entrate]],$I1329&lt;&gt;SottocategorieEntrate[[#Headers],[Real Estate]],$I1329&lt;&gt;SottocategorieEntrate[[#Headers],[Other]]),"","$ -")</f>
        <v/>
      </c>
      <c r="Q1329" s="59" t="str">
        <f>IF(Dati[[#This Row],[Categoria]]="Prelievo","€ -","")</f>
        <v/>
      </c>
      <c r="R1329" s="244"/>
      <c r="S1329" s="59" t="str">
        <f>IF(Dati[[#This Row],[Categoria]]="Savings",0,"")</f>
        <v/>
      </c>
      <c r="T1329" s="59"/>
      <c r="U1329" s="59"/>
      <c r="V1329" s="59"/>
      <c r="W1329" s="59"/>
      <c r="X1329" s="59"/>
      <c r="Y1329" s="59"/>
      <c r="Z1329" s="59"/>
      <c r="AA1329" s="59"/>
      <c r="AB1329" s="59"/>
      <c r="AC1329" s="59"/>
      <c r="AD1329" s="59"/>
      <c r="AE1329" s="59"/>
      <c r="AF1329" s="59"/>
      <c r="AG1329" s="59"/>
      <c r="AH1329" s="59"/>
      <c r="AI1329" s="59" t="str">
        <f>IF(SUM(Dati[[#This Row],[Inv. Business]:[Inv. Cryptocurrency]])=0," ",SUM(Dati[[#This Row],[Inv. Business]:[Inv. Cryptocurrency]]))</f>
        <v xml:space="preserve"> </v>
      </c>
      <c r="AJ1329" s="59"/>
      <c r="AK1329" s="59" t="str">
        <f>IF(SUM(Dati[[#This Row],[Inv. Gold]:[Mutuo]])=0," ",SUM(Dati[[#This Row],[Inv. Gold]:[Mutuo]]))</f>
        <v xml:space="preserve"> </v>
      </c>
      <c r="AL1329" s="59"/>
      <c r="AM1329" s="59"/>
    </row>
    <row r="1330" spans="2:39" x14ac:dyDescent="0.35">
      <c r="B1330" s="237">
        <f t="shared" si="101"/>
        <v>1305</v>
      </c>
      <c r="C1330" s="49">
        <f t="shared" si="95"/>
        <v>45892</v>
      </c>
      <c r="D1330" s="29">
        <f>DAY(Dati[[#This Row],[Data]])</f>
        <v>23</v>
      </c>
      <c r="E1330" s="29" t="str">
        <f>IF(DAY(Data!$C$21:$C$1613)&gt;0,TEXT(Data!$C$21:$C$1613, "mmmm"),"")</f>
        <v>agosto</v>
      </c>
      <c r="F1330" s="29" t="str">
        <f>IF(DAY(Data!$C$21:$C$1613)&gt;0,TEXT(Data!$C$21:$C$1613, "aaaa"),"")</f>
        <v>2025</v>
      </c>
      <c r="I1330" t="str">
        <f>IF(OR(H1330=$B$5,H1330=$B$6,H1330=$B$7,H1330=$B$8,H1330=$B$9,H1330=$B$10,H1330=$B$11,H1330=$B$12,H1330=$B$13,H1330=$B$14),SottocategorieUscite[[#Headers],[Fuori Casa]],IF(OR(H1330=$C$5,H1330=$C$6,H1330=$C$7,H1330=$C$8,H1330=$C$9,H1330=$C$10,H1330=$C$11,H1330=$C$12,H1330=$C$13,H1330=$C$14),SottocategorieUscite[[#Headers],[Varie Uscite]],IF(OR(H1330=$D$5,H1330=$D$6,H1330=$D$7,H1330=$D$8,H1330=$D$9,H1330=$D$10,H1330=$D$11,H1330=$D$12,H1330=$D$13,H1330=$D$14),SottocategorieUscite[[#Headers],[Personali]],IF(OR(H1330=$E$5,H1330=$E$6,H1330=$E$7,H1330=$E$8,H1330=$E$9,H1330=$E$10,H1330=$E$11,H1330=$E$12,H1330=$E$13,H1330=$E$14),SottocategorieUscite[[#Headers],[Lavoro]],IF(OR(H1330=$F$5,H1330=$F$6,H1330=$F$7,H1330=$F$8,H1330=$F$9,H1330=$F$10,H1330=$F$11,H1330=$F$12,H1330=$F$13,H1330=$F$14),SottocategorieUscite[[#Headers],[Casa]],IF(OR(H1330=$G$5,H1330=$G$6,H1330=$G$7,H1330=$G$8,H1330=$G$9,H1330=$G$10,H1330=$G$11,H1330=$G$12,H1330=$G$13,H1330=$G$14),SottocategorieUscite[[#Headers],[Utenze]],IF(OR(H1330=$H$5,H1330=$H$6,H1330=$H$7,H1330=$H$8,H1330=$H$9,H1330=$H$10,H1330=$H$11,H1330=$H$12,H1330=$H$13,H1330=$H$14),SottocategorieUscite[[#Headers],[Business Uscite]],IF(OR(H1330=$I$5,H1330=$I$6,H1330=$I$7,H1330=$I$8,H1330=$I$9,H1330=$I$10,H1330=$I$11,H1330=$I$12,H1330=$I$13,H1330=$I$14),SottocategorieUscite[[#Headers],[Banca]],IF(OR(H1330=K$5,H1330=K$6,H1330=K$7,H1330=K$8,H1330=K$9,H1330=K$10,H1330=K$11,H1330=K$12,H1330=K$13,H1330=K$14),SottocategorieEntrate[[#Headers],[Business Entrate]],IF(OR(H1330=L$5,H1330=L$6,H1330=L$7,H1330=L$8,H1330=L$9,H1330=L$10,H1330=L$11,H1330=L$12,H1330=L$13,H1330=L$14),SottocategorieEntrate[[#Headers],[Varie Entrate]],IF(OR(H1330=M$5,H1330=M$6,H1330=M$7,H1330=M$8,H1330=M$9,H1330=M$10,H1330=M$11,H1330=M$12,H1330=M$13,H1330=M$14),SottocategorieEntrate[[#Headers],[Real Estate]],IF(OR(H1330=N$5,H1330=N$6,H1330=N$7,H1330=N$8,H1330=N$9,H1330=N$10,H1330=N$11,H1330=N$12,H1330=N$13,H1330=N$14),SottocategorieEntrate[[#Headers],[Other]],""))))))))))))</f>
        <v/>
      </c>
      <c r="J1330" t="str">
        <f>IF(OR(Dati[[#This Row],[Categoria]]="Bollette",Dati[[#This Row],[Categoria]]="Conto &amp; Carte BNL",Dati[[#This Row],[Categoria]]="Prelievo",Dati[[#This Row],[Categoria]]="Affitto",Dati[[#This Row],[Categoria]]="BNL(Interessi Creditori)"),"Carta",IF(Dati[[#This Row],[Categoria]]&lt;&gt;0,"Cash",""))</f>
        <v/>
      </c>
      <c r="K1330" s="59" t="str">
        <f>IF(OR(Data!$I1330=SottocategorieUscite[[#Headers],[Fuori Casa]],Data!$I1330=SottocategorieUscite[[#Headers],[Varie Uscite]],Data!$I1330=SottocategorieUscite[[#Headers],[Personali]],Data!$I1330=SottocategorieUscite[[#Headers],[Lavoro]]),"$ -","")</f>
        <v/>
      </c>
      <c r="L1330" s="59" t="str">
        <f>IF(OR(Data!$I1330=SottocategorieUscite[[#Headers],[Casa]],Data!$I1330=SottocategorieUscite[[#Headers],[Utenze]],Data!$I1330=SottocategorieUscite[[#Headers],[Business Uscite]],Data!$I1330=SottocategorieUscite[[#Headers],[Banca]]),"$ -","")</f>
        <v/>
      </c>
      <c r="M1330" s="59" t="str">
        <f>IF(OR($I1330&lt;&gt;SottocategorieUscite[[#Headers],[Fuori Casa]],$I1330&lt;&gt;SottocategorieUscite[[#Headers],[Varie Uscite]],$I1330&lt;&gt;SottocategorieUscite[[#Headers],[Personali]],$I1330&lt;&gt;SottocategorieUscite[[#Headers],[Lavoro]],$I1330&lt;&gt;SottocategorieUscite[[#Headers],[Casa]],$I1330&lt;&gt;SottocategorieUscite[[#Headers],[Utenze]],$I1330&lt;&gt;SottocategorieUscite[[#Headers],[Business Uscite]],$I1330&lt;&gt;SottocategorieUscite[[#Headers],[Banca]]),"","$ -")</f>
        <v/>
      </c>
      <c r="N1330" s="59" t="str">
        <f>IF(OR(Data!$I1330=SottocategorieEntrate[[#Headers],[Business Entrate]],Data!$I1330=SottocategorieEntrate[[#Headers],[Varie Entrate]]),"$ -","")</f>
        <v/>
      </c>
      <c r="O1330" s="59" t="str">
        <f>IF(OR(Data!$I1330=SottocategorieEntrate[[#Headers],[Real Estate]],SottocategorieEntrate[[#Headers],[Other]]),"$ -","")</f>
        <v/>
      </c>
      <c r="P1330" s="59" t="str">
        <f>IF(OR($I1330&lt;&gt;SottocategorieEntrate[[#Headers],[Business Entrate]],$I1330&lt;&gt;SottocategorieEntrate[[#Headers],[Varie Entrate]],$I1330&lt;&gt;SottocategorieEntrate[[#Headers],[Real Estate]],$I1330&lt;&gt;SottocategorieEntrate[[#Headers],[Other]]),"","$ -")</f>
        <v/>
      </c>
      <c r="Q1330" s="59" t="str">
        <f>IF(Dati[[#This Row],[Categoria]]="Prelievo","€ -","")</f>
        <v/>
      </c>
      <c r="R1330" s="244"/>
      <c r="S1330" s="59" t="str">
        <f>IF(Dati[[#This Row],[Categoria]]="Savings",0,"")</f>
        <v/>
      </c>
      <c r="T1330" s="59"/>
      <c r="U1330" s="59"/>
      <c r="V1330" s="59"/>
      <c r="W1330" s="59"/>
      <c r="X1330" s="59"/>
      <c r="Y1330" s="59"/>
      <c r="Z1330" s="59"/>
      <c r="AA1330" s="59"/>
      <c r="AB1330" s="59"/>
      <c r="AC1330" s="59"/>
      <c r="AD1330" s="59"/>
      <c r="AE1330" s="59"/>
      <c r="AF1330" s="59"/>
      <c r="AG1330" s="59"/>
      <c r="AH1330" s="59"/>
      <c r="AI1330" s="59" t="str">
        <f>IF(SUM(Dati[[#This Row],[Inv. Business]:[Inv. Cryptocurrency]])=0," ",SUM(Dati[[#This Row],[Inv. Business]:[Inv. Cryptocurrency]]))</f>
        <v xml:space="preserve"> </v>
      </c>
      <c r="AJ1330" s="59"/>
      <c r="AK1330" s="59" t="str">
        <f>IF(SUM(Dati[[#This Row],[Inv. Gold]:[Mutuo]])=0," ",SUM(Dati[[#This Row],[Inv. Gold]:[Mutuo]]))</f>
        <v xml:space="preserve"> </v>
      </c>
      <c r="AL1330" s="59"/>
      <c r="AM1330" s="59"/>
    </row>
    <row r="1331" spans="2:39" x14ac:dyDescent="0.35">
      <c r="B1331" s="237">
        <f>ROW(1305:1305)</f>
        <v>1305</v>
      </c>
      <c r="C1331" s="49">
        <f>C1329+1</f>
        <v>45892</v>
      </c>
      <c r="D1331" s="29">
        <f>DAY(Dati[[#This Row],[Data]])</f>
        <v>23</v>
      </c>
      <c r="E1331" s="29" t="str">
        <f>IF(DAY(Data!$C$21:$C$1613)&gt;0,TEXT(Data!$C$21:$C$1613, "mmmm"),"")</f>
        <v>agosto</v>
      </c>
      <c r="F1331" s="29" t="str">
        <f>IF(DAY(Data!$C$21:$C$1613)&gt;0,TEXT(Data!$C$21:$C$1613, "aaaa"),"")</f>
        <v>2025</v>
      </c>
      <c r="I1331" t="str">
        <f>IF(OR(H1331=$B$5,H1331=$B$6,H1331=$B$7,H1331=$B$8,H1331=$B$9,H1331=$B$10,H1331=$B$11,H1331=$B$12,H1331=$B$13,H1331=$B$14),SottocategorieUscite[[#Headers],[Fuori Casa]],IF(OR(H1331=$C$5,H1331=$C$6,H1331=$C$7,H1331=$C$8,H1331=$C$9,H1331=$C$10,H1331=$C$11,H1331=$C$12,H1331=$C$13,H1331=$C$14),SottocategorieUscite[[#Headers],[Varie Uscite]],IF(OR(H1331=$D$5,H1331=$D$6,H1331=$D$7,H1331=$D$8,H1331=$D$9,H1331=$D$10,H1331=$D$11,H1331=$D$12,H1331=$D$13,H1331=$D$14),SottocategorieUscite[[#Headers],[Personali]],IF(OR(H1331=$E$5,H1331=$E$6,H1331=$E$7,H1331=$E$8,H1331=$E$9,H1331=$E$10,H1331=$E$11,H1331=$E$12,H1331=$E$13,H1331=$E$14),SottocategorieUscite[[#Headers],[Lavoro]],IF(OR(H1331=$F$5,H1331=$F$6,H1331=$F$7,H1331=$F$8,H1331=$F$9,H1331=$F$10,H1331=$F$11,H1331=$F$12,H1331=$F$13,H1331=$F$14),SottocategorieUscite[[#Headers],[Casa]],IF(OR(H1331=$G$5,H1331=$G$6,H1331=$G$7,H1331=$G$8,H1331=$G$9,H1331=$G$10,H1331=$G$11,H1331=$G$12,H1331=$G$13,H1331=$G$14),SottocategorieUscite[[#Headers],[Utenze]],IF(OR(H1331=$H$5,H1331=$H$6,H1331=$H$7,H1331=$H$8,H1331=$H$9,H1331=$H$10,H1331=$H$11,H1331=$H$12,H1331=$H$13,H1331=$H$14),SottocategorieUscite[[#Headers],[Business Uscite]],IF(OR(H1331=$I$5,H1331=$I$6,H1331=$I$7,H1331=$I$8,H1331=$I$9,H1331=$I$10,H1331=$I$11,H1331=$I$12,H1331=$I$13,H1331=$I$14),SottocategorieUscite[[#Headers],[Banca]],IF(OR(H1331=K$5,H1331=K$6,H1331=K$7,H1331=K$8,H1331=K$9,H1331=K$10,H1331=K$11,H1331=K$12,H1331=K$13,H1331=K$14),SottocategorieEntrate[[#Headers],[Business Entrate]],IF(OR(H1331=L$5,H1331=L$6,H1331=L$7,H1331=L$8,H1331=L$9,H1331=L$10,H1331=L$11,H1331=L$12,H1331=L$13,H1331=L$14),SottocategorieEntrate[[#Headers],[Varie Entrate]],IF(OR(H1331=M$5,H1331=M$6,H1331=M$7,H1331=M$8,H1331=M$9,H1331=M$10,H1331=M$11,H1331=M$12,H1331=M$13,H1331=M$14),SottocategorieEntrate[[#Headers],[Real Estate]],IF(OR(H1331=N$5,H1331=N$6,H1331=N$7,H1331=N$8,H1331=N$9,H1331=N$10,H1331=N$11,H1331=N$12,H1331=N$13,H1331=N$14),SottocategorieEntrate[[#Headers],[Other]],""))))))))))))</f>
        <v/>
      </c>
      <c r="J1331" t="str">
        <f>IF(OR(Dati[[#This Row],[Categoria]]="Bollette",Dati[[#This Row],[Categoria]]="Conto &amp; Carte BNL",Dati[[#This Row],[Categoria]]="Prelievo",Dati[[#This Row],[Categoria]]="Affitto",Dati[[#This Row],[Categoria]]="BNL(Interessi Creditori)"),"Carta",IF(Dati[[#This Row],[Categoria]]&lt;&gt;0,"Cash",""))</f>
        <v/>
      </c>
      <c r="K1331" s="59" t="str">
        <f>IF(OR(Data!$I1331=SottocategorieUscite[[#Headers],[Fuori Casa]],Data!$I1331=SottocategorieUscite[[#Headers],[Varie Uscite]],Data!$I1331=SottocategorieUscite[[#Headers],[Personali]],Data!$I1331=SottocategorieUscite[[#Headers],[Lavoro]]),"$ -","")</f>
        <v/>
      </c>
      <c r="L1331" s="59" t="str">
        <f>IF(OR(Data!$I1331=SottocategorieUscite[[#Headers],[Casa]],Data!$I1331=SottocategorieUscite[[#Headers],[Utenze]],Data!$I1331=SottocategorieUscite[[#Headers],[Business Uscite]],Data!$I1331=SottocategorieUscite[[#Headers],[Banca]]),"$ -","")</f>
        <v/>
      </c>
      <c r="M1331" s="59" t="str">
        <f>IF(OR($I1331&lt;&gt;SottocategorieUscite[[#Headers],[Fuori Casa]],$I1331&lt;&gt;SottocategorieUscite[[#Headers],[Varie Uscite]],$I1331&lt;&gt;SottocategorieUscite[[#Headers],[Personali]],$I1331&lt;&gt;SottocategorieUscite[[#Headers],[Lavoro]],$I1331&lt;&gt;SottocategorieUscite[[#Headers],[Casa]],$I1331&lt;&gt;SottocategorieUscite[[#Headers],[Utenze]],$I1331&lt;&gt;SottocategorieUscite[[#Headers],[Business Uscite]],$I1331&lt;&gt;SottocategorieUscite[[#Headers],[Banca]]),"","$ -")</f>
        <v/>
      </c>
      <c r="N1331" s="59" t="str">
        <f>IF(OR(Data!$I1331=SottocategorieEntrate[[#Headers],[Business Entrate]],Data!$I1331=SottocategorieEntrate[[#Headers],[Varie Entrate]]),"$ -","")</f>
        <v/>
      </c>
      <c r="O1331" s="59" t="str">
        <f>IF(OR(Data!$I1331=SottocategorieEntrate[[#Headers],[Real Estate]],SottocategorieEntrate[[#Headers],[Other]]),"$ -","")</f>
        <v/>
      </c>
      <c r="P1331" s="59" t="str">
        <f>IF(OR($I1331&lt;&gt;SottocategorieEntrate[[#Headers],[Business Entrate]],$I1331&lt;&gt;SottocategorieEntrate[[#Headers],[Varie Entrate]],$I1331&lt;&gt;SottocategorieEntrate[[#Headers],[Real Estate]],$I1331&lt;&gt;SottocategorieEntrate[[#Headers],[Other]]),"","$ -")</f>
        <v/>
      </c>
      <c r="Q1331" s="59" t="str">
        <f>IF(Dati[[#This Row],[Categoria]]="Prelievo","€ -","")</f>
        <v/>
      </c>
      <c r="R1331" s="244"/>
      <c r="S1331" s="59" t="str">
        <f>IF(Dati[[#This Row],[Categoria]]="Savings",0,"")</f>
        <v/>
      </c>
      <c r="T1331" s="59"/>
      <c r="U1331" s="59"/>
      <c r="V1331" s="59"/>
      <c r="W1331" s="59"/>
      <c r="X1331" s="59"/>
      <c r="Y1331" s="59"/>
      <c r="Z1331" s="59"/>
      <c r="AA1331" s="59"/>
      <c r="AB1331" s="59"/>
      <c r="AC1331" s="59"/>
      <c r="AD1331" s="59"/>
      <c r="AE1331" s="59"/>
      <c r="AF1331" s="59"/>
      <c r="AG1331" s="59"/>
      <c r="AH1331" s="59"/>
      <c r="AI1331" s="59" t="str">
        <f>IF(SUM(Dati[[#This Row],[Inv. Business]:[Inv. Cryptocurrency]])=0," ",SUM(Dati[[#This Row],[Inv. Business]:[Inv. Cryptocurrency]]))</f>
        <v xml:space="preserve"> </v>
      </c>
      <c r="AJ1331" s="59"/>
      <c r="AK1331" s="59" t="str">
        <f>IF(SUM(Dati[[#This Row],[Inv. Gold]:[Mutuo]])=0," ",SUM(Dati[[#This Row],[Inv. Gold]:[Mutuo]]))</f>
        <v xml:space="preserve"> </v>
      </c>
      <c r="AL1331" s="59"/>
      <c r="AM1331" s="59"/>
    </row>
    <row r="1332" spans="2:39" x14ac:dyDescent="0.35">
      <c r="B1332" s="237">
        <f>ROW(1306:1306)</f>
        <v>1306</v>
      </c>
      <c r="C1332" s="49">
        <f>C1330+1</f>
        <v>45893</v>
      </c>
      <c r="D1332" s="29">
        <f>DAY(Dati[[#This Row],[Data]])</f>
        <v>24</v>
      </c>
      <c r="E1332" s="29" t="str">
        <f>IF(DAY(Data!$C$21:$C$1613)&gt;0,TEXT(Data!$C$21:$C$1613, "mmmm"),"")</f>
        <v>agosto</v>
      </c>
      <c r="F1332" s="29" t="str">
        <f>IF(DAY(Data!$C$21:$C$1613)&gt;0,TEXT(Data!$C$21:$C$1613, "aaaa"),"")</f>
        <v>2025</v>
      </c>
      <c r="I1332" t="str">
        <f>IF(OR(H1332=$B$5,H1332=$B$6,H1332=$B$7,H1332=$B$8,H1332=$B$9,H1332=$B$10,H1332=$B$11,H1332=$B$12,H1332=$B$13,H1332=$B$14),SottocategorieUscite[[#Headers],[Fuori Casa]],IF(OR(H1332=$C$5,H1332=$C$6,H1332=$C$7,H1332=$C$8,H1332=$C$9,H1332=$C$10,H1332=$C$11,H1332=$C$12,H1332=$C$13,H1332=$C$14),SottocategorieUscite[[#Headers],[Varie Uscite]],IF(OR(H1332=$D$5,H1332=$D$6,H1332=$D$7,H1332=$D$8,H1332=$D$9,H1332=$D$10,H1332=$D$11,H1332=$D$12,H1332=$D$13,H1332=$D$14),SottocategorieUscite[[#Headers],[Personali]],IF(OR(H1332=$E$5,H1332=$E$6,H1332=$E$7,H1332=$E$8,H1332=$E$9,H1332=$E$10,H1332=$E$11,H1332=$E$12,H1332=$E$13,H1332=$E$14),SottocategorieUscite[[#Headers],[Lavoro]],IF(OR(H1332=$F$5,H1332=$F$6,H1332=$F$7,H1332=$F$8,H1332=$F$9,H1332=$F$10,H1332=$F$11,H1332=$F$12,H1332=$F$13,H1332=$F$14),SottocategorieUscite[[#Headers],[Casa]],IF(OR(H1332=$G$5,H1332=$G$6,H1332=$G$7,H1332=$G$8,H1332=$G$9,H1332=$G$10,H1332=$G$11,H1332=$G$12,H1332=$G$13,H1332=$G$14),SottocategorieUscite[[#Headers],[Utenze]],IF(OR(H1332=$H$5,H1332=$H$6,H1332=$H$7,H1332=$H$8,H1332=$H$9,H1332=$H$10,H1332=$H$11,H1332=$H$12,H1332=$H$13,H1332=$H$14),SottocategorieUscite[[#Headers],[Business Uscite]],IF(OR(H1332=$I$5,H1332=$I$6,H1332=$I$7,H1332=$I$8,H1332=$I$9,H1332=$I$10,H1332=$I$11,H1332=$I$12,H1332=$I$13,H1332=$I$14),SottocategorieUscite[[#Headers],[Banca]],IF(OR(H1332=K$5,H1332=K$6,H1332=K$7,H1332=K$8,H1332=K$9,H1332=K$10,H1332=K$11,H1332=K$12,H1332=K$13,H1332=K$14),SottocategorieEntrate[[#Headers],[Business Entrate]],IF(OR(H1332=L$5,H1332=L$6,H1332=L$7,H1332=L$8,H1332=L$9,H1332=L$10,H1332=L$11,H1332=L$12,H1332=L$13,H1332=L$14),SottocategorieEntrate[[#Headers],[Varie Entrate]],IF(OR(H1332=M$5,H1332=M$6,H1332=M$7,H1332=M$8,H1332=M$9,H1332=M$10,H1332=M$11,H1332=M$12,H1332=M$13,H1332=M$14),SottocategorieEntrate[[#Headers],[Real Estate]],IF(OR(H1332=N$5,H1332=N$6,H1332=N$7,H1332=N$8,H1332=N$9,H1332=N$10,H1332=N$11,H1332=N$12,H1332=N$13,H1332=N$14),SottocategorieEntrate[[#Headers],[Other]],""))))))))))))</f>
        <v/>
      </c>
      <c r="J1332" t="str">
        <f>IF(OR(Dati[[#This Row],[Categoria]]="Bollette",Dati[[#This Row],[Categoria]]="Conto &amp; Carte BNL",Dati[[#This Row],[Categoria]]="Prelievo",Dati[[#This Row],[Categoria]]="Affitto",Dati[[#This Row],[Categoria]]="BNL(Interessi Creditori)"),"Carta",IF(Dati[[#This Row],[Categoria]]&lt;&gt;0,"Cash",""))</f>
        <v/>
      </c>
      <c r="K1332" s="59" t="str">
        <f>IF(OR(Data!$I1332=SottocategorieUscite[[#Headers],[Fuori Casa]],Data!$I1332=SottocategorieUscite[[#Headers],[Varie Uscite]],Data!$I1332=SottocategorieUscite[[#Headers],[Personali]],Data!$I1332=SottocategorieUscite[[#Headers],[Lavoro]]),"$ -","")</f>
        <v/>
      </c>
      <c r="L1332" s="59" t="str">
        <f>IF(OR(Data!$I1332=SottocategorieUscite[[#Headers],[Casa]],Data!$I1332=SottocategorieUscite[[#Headers],[Utenze]],Data!$I1332=SottocategorieUscite[[#Headers],[Business Uscite]],Data!$I1332=SottocategorieUscite[[#Headers],[Banca]]),"$ -","")</f>
        <v/>
      </c>
      <c r="M1332" s="59" t="str">
        <f>IF(OR($I1332&lt;&gt;SottocategorieUscite[[#Headers],[Fuori Casa]],$I1332&lt;&gt;SottocategorieUscite[[#Headers],[Varie Uscite]],$I1332&lt;&gt;SottocategorieUscite[[#Headers],[Personali]],$I1332&lt;&gt;SottocategorieUscite[[#Headers],[Lavoro]],$I1332&lt;&gt;SottocategorieUscite[[#Headers],[Casa]],$I1332&lt;&gt;SottocategorieUscite[[#Headers],[Utenze]],$I1332&lt;&gt;SottocategorieUscite[[#Headers],[Business Uscite]],$I1332&lt;&gt;SottocategorieUscite[[#Headers],[Banca]]),"","$ -")</f>
        <v/>
      </c>
      <c r="N1332" s="59" t="str">
        <f>IF(OR(Data!$I1332=SottocategorieEntrate[[#Headers],[Business Entrate]],Data!$I1332=SottocategorieEntrate[[#Headers],[Varie Entrate]]),"$ -","")</f>
        <v/>
      </c>
      <c r="O1332" s="59" t="str">
        <f>IF(OR(Data!$I1332=SottocategorieEntrate[[#Headers],[Real Estate]],SottocategorieEntrate[[#Headers],[Other]]),"$ -","")</f>
        <v/>
      </c>
      <c r="P1332" s="59" t="str">
        <f>IF(OR($I1332&lt;&gt;SottocategorieEntrate[[#Headers],[Business Entrate]],$I1332&lt;&gt;SottocategorieEntrate[[#Headers],[Varie Entrate]],$I1332&lt;&gt;SottocategorieEntrate[[#Headers],[Real Estate]],$I1332&lt;&gt;SottocategorieEntrate[[#Headers],[Other]]),"","$ -")</f>
        <v/>
      </c>
      <c r="Q1332" s="59" t="str">
        <f>IF(Dati[[#This Row],[Categoria]]="Prelievo","€ -","")</f>
        <v/>
      </c>
      <c r="R1332" s="244"/>
      <c r="S1332" s="59" t="str">
        <f>IF(Dati[[#This Row],[Categoria]]="Savings",0,"")</f>
        <v/>
      </c>
      <c r="T1332" s="59"/>
      <c r="U1332" s="59"/>
      <c r="V1332" s="59"/>
      <c r="W1332" s="59"/>
      <c r="X1332" s="59"/>
      <c r="Y1332" s="59"/>
      <c r="Z1332" s="59"/>
      <c r="AA1332" s="59"/>
      <c r="AB1332" s="59"/>
      <c r="AC1332" s="59"/>
      <c r="AD1332" s="59"/>
      <c r="AE1332" s="59"/>
      <c r="AF1332" s="59"/>
      <c r="AG1332" s="59"/>
      <c r="AH1332" s="59"/>
      <c r="AI1332" s="59" t="str">
        <f>IF(SUM(Dati[[#This Row],[Inv. Business]:[Inv. Cryptocurrency]])=0," ",SUM(Dati[[#This Row],[Inv. Business]:[Inv. Cryptocurrency]]))</f>
        <v xml:space="preserve"> </v>
      </c>
      <c r="AJ1332" s="59"/>
      <c r="AK1332" s="59" t="str">
        <f>IF(SUM(Dati[[#This Row],[Inv. Gold]:[Mutuo]])=0," ",SUM(Dati[[#This Row],[Inv. Gold]:[Mutuo]]))</f>
        <v xml:space="preserve"> </v>
      </c>
      <c r="AL1332" s="59"/>
      <c r="AM1332" s="59"/>
    </row>
    <row r="1333" spans="2:39" x14ac:dyDescent="0.35">
      <c r="B1333" s="237">
        <f>ROW(1307:1307)</f>
        <v>1307</v>
      </c>
      <c r="C1333" s="49">
        <f t="shared" si="95"/>
        <v>45894</v>
      </c>
      <c r="D1333" s="29">
        <f>DAY(Dati[[#This Row],[Data]])</f>
        <v>25</v>
      </c>
      <c r="E1333" s="29" t="str">
        <f>IF(DAY(Data!$C$21:$C$1613)&gt;0,TEXT(Data!$C$21:$C$1613, "mmmm"),"")</f>
        <v>agosto</v>
      </c>
      <c r="F1333" s="29" t="str">
        <f>IF(DAY(Data!$C$21:$C$1613)&gt;0,TEXT(Data!$C$21:$C$1613, "aaaa"),"")</f>
        <v>2025</v>
      </c>
      <c r="I1333" t="str">
        <f>IF(OR(H1333=$B$5,H1333=$B$6,H1333=$B$7,H1333=$B$8,H1333=$B$9,H1333=$B$10,H1333=$B$11,H1333=$B$12,H1333=$B$13,H1333=$B$14),SottocategorieUscite[[#Headers],[Fuori Casa]],IF(OR(H1333=$C$5,H1333=$C$6,H1333=$C$7,H1333=$C$8,H1333=$C$9,H1333=$C$10,H1333=$C$11,H1333=$C$12,H1333=$C$13,H1333=$C$14),SottocategorieUscite[[#Headers],[Varie Uscite]],IF(OR(H1333=$D$5,H1333=$D$6,H1333=$D$7,H1333=$D$8,H1333=$D$9,H1333=$D$10,H1333=$D$11,H1333=$D$12,H1333=$D$13,H1333=$D$14),SottocategorieUscite[[#Headers],[Personali]],IF(OR(H1333=$E$5,H1333=$E$6,H1333=$E$7,H1333=$E$8,H1333=$E$9,H1333=$E$10,H1333=$E$11,H1333=$E$12,H1333=$E$13,H1333=$E$14),SottocategorieUscite[[#Headers],[Lavoro]],IF(OR(H1333=$F$5,H1333=$F$6,H1333=$F$7,H1333=$F$8,H1333=$F$9,H1333=$F$10,H1333=$F$11,H1333=$F$12,H1333=$F$13,H1333=$F$14),SottocategorieUscite[[#Headers],[Casa]],IF(OR(H1333=$G$5,H1333=$G$6,H1333=$G$7,H1333=$G$8,H1333=$G$9,H1333=$G$10,H1333=$G$11,H1333=$G$12,H1333=$G$13,H1333=$G$14),SottocategorieUscite[[#Headers],[Utenze]],IF(OR(H1333=$H$5,H1333=$H$6,H1333=$H$7,H1333=$H$8,H1333=$H$9,H1333=$H$10,H1333=$H$11,H1333=$H$12,H1333=$H$13,H1333=$H$14),SottocategorieUscite[[#Headers],[Business Uscite]],IF(OR(H1333=$I$5,H1333=$I$6,H1333=$I$7,H1333=$I$8,H1333=$I$9,H1333=$I$10,H1333=$I$11,H1333=$I$12,H1333=$I$13,H1333=$I$14),SottocategorieUscite[[#Headers],[Banca]],IF(OR(H1333=K$5,H1333=K$6,H1333=K$7,H1333=K$8,H1333=K$9,H1333=K$10,H1333=K$11,H1333=K$12,H1333=K$13,H1333=K$14),SottocategorieEntrate[[#Headers],[Business Entrate]],IF(OR(H1333=L$5,H1333=L$6,H1333=L$7,H1333=L$8,H1333=L$9,H1333=L$10,H1333=L$11,H1333=L$12,H1333=L$13,H1333=L$14),SottocategorieEntrate[[#Headers],[Varie Entrate]],IF(OR(H1333=M$5,H1333=M$6,H1333=M$7,H1333=M$8,H1333=M$9,H1333=M$10,H1333=M$11,H1333=M$12,H1333=M$13,H1333=M$14),SottocategorieEntrate[[#Headers],[Real Estate]],IF(OR(H1333=N$5,H1333=N$6,H1333=N$7,H1333=N$8,H1333=N$9,H1333=N$10,H1333=N$11,H1333=N$12,H1333=N$13,H1333=N$14),SottocategorieEntrate[[#Headers],[Other]],""))))))))))))</f>
        <v/>
      </c>
      <c r="J1333" t="str">
        <f>IF(OR(Dati[[#This Row],[Categoria]]="Bollette",Dati[[#This Row],[Categoria]]="Conto &amp; Carte BNL",Dati[[#This Row],[Categoria]]="Prelievo",Dati[[#This Row],[Categoria]]="Affitto",Dati[[#This Row],[Categoria]]="BNL(Interessi Creditori)"),"Carta",IF(Dati[[#This Row],[Categoria]]&lt;&gt;0,"Cash",""))</f>
        <v/>
      </c>
      <c r="K1333" s="59" t="str">
        <f>IF(OR(Data!$I1333=SottocategorieUscite[[#Headers],[Fuori Casa]],Data!$I1333=SottocategorieUscite[[#Headers],[Varie Uscite]],Data!$I1333=SottocategorieUscite[[#Headers],[Personali]],Data!$I1333=SottocategorieUscite[[#Headers],[Lavoro]]),"$ -","")</f>
        <v/>
      </c>
      <c r="L1333" s="59" t="str">
        <f>IF(OR(Data!$I1333=SottocategorieUscite[[#Headers],[Casa]],Data!$I1333=SottocategorieUscite[[#Headers],[Utenze]],Data!$I1333=SottocategorieUscite[[#Headers],[Business Uscite]],Data!$I1333=SottocategorieUscite[[#Headers],[Banca]]),"$ -","")</f>
        <v/>
      </c>
      <c r="M1333" s="59" t="str">
        <f>IF(OR($I1333&lt;&gt;SottocategorieUscite[[#Headers],[Fuori Casa]],$I1333&lt;&gt;SottocategorieUscite[[#Headers],[Varie Uscite]],$I1333&lt;&gt;SottocategorieUscite[[#Headers],[Personali]],$I1333&lt;&gt;SottocategorieUscite[[#Headers],[Lavoro]],$I1333&lt;&gt;SottocategorieUscite[[#Headers],[Casa]],$I1333&lt;&gt;SottocategorieUscite[[#Headers],[Utenze]],$I1333&lt;&gt;SottocategorieUscite[[#Headers],[Business Uscite]],$I1333&lt;&gt;SottocategorieUscite[[#Headers],[Banca]]),"","$ -")</f>
        <v/>
      </c>
      <c r="N1333" s="59" t="str">
        <f>IF(OR(Data!$I1333=SottocategorieEntrate[[#Headers],[Business Entrate]],Data!$I1333=SottocategorieEntrate[[#Headers],[Varie Entrate]]),"$ -","")</f>
        <v/>
      </c>
      <c r="O1333" s="59" t="str">
        <f>IF(OR(Data!$I1333=SottocategorieEntrate[[#Headers],[Real Estate]],SottocategorieEntrate[[#Headers],[Other]]),"$ -","")</f>
        <v/>
      </c>
      <c r="P1333" s="59" t="str">
        <f>IF(OR($I1333&lt;&gt;SottocategorieEntrate[[#Headers],[Business Entrate]],$I1333&lt;&gt;SottocategorieEntrate[[#Headers],[Varie Entrate]],$I1333&lt;&gt;SottocategorieEntrate[[#Headers],[Real Estate]],$I1333&lt;&gt;SottocategorieEntrate[[#Headers],[Other]]),"","$ -")</f>
        <v/>
      </c>
      <c r="Q1333" s="59" t="str">
        <f>IF(Dati[[#This Row],[Categoria]]="Prelievo","€ -","")</f>
        <v/>
      </c>
      <c r="R1333" s="244"/>
      <c r="S1333" s="59" t="str">
        <f>IF(Dati[[#This Row],[Categoria]]="Savings",0,"")</f>
        <v/>
      </c>
      <c r="T1333" s="59"/>
      <c r="U1333" s="59"/>
      <c r="V1333" s="59"/>
      <c r="W1333" s="59"/>
      <c r="X1333" s="59"/>
      <c r="Y1333" s="59"/>
      <c r="Z1333" s="59"/>
      <c r="AA1333" s="59"/>
      <c r="AB1333" s="59"/>
      <c r="AC1333" s="59"/>
      <c r="AD1333" s="59"/>
      <c r="AE1333" s="59"/>
      <c r="AF1333" s="59"/>
      <c r="AG1333" s="59"/>
      <c r="AH1333" s="59"/>
      <c r="AI1333" s="59" t="str">
        <f>IF(SUM(Dati[[#This Row],[Inv. Business]:[Inv. Cryptocurrency]])=0," ",SUM(Dati[[#This Row],[Inv. Business]:[Inv. Cryptocurrency]]))</f>
        <v xml:space="preserve"> </v>
      </c>
      <c r="AJ1333" s="59"/>
      <c r="AK1333" s="59" t="str">
        <f>IF(SUM(Dati[[#This Row],[Inv. Gold]:[Mutuo]])=0," ",SUM(Dati[[#This Row],[Inv. Gold]:[Mutuo]]))</f>
        <v xml:space="preserve"> </v>
      </c>
      <c r="AL1333" s="59"/>
      <c r="AM1333" s="59"/>
    </row>
    <row r="1334" spans="2:39" x14ac:dyDescent="0.35">
      <c r="B1334" s="237">
        <f>ROW(1308:1308)</f>
        <v>1308</v>
      </c>
      <c r="C1334" s="49">
        <f t="shared" si="95"/>
        <v>45895</v>
      </c>
      <c r="D1334" s="29">
        <f>DAY(Dati[[#This Row],[Data]])</f>
        <v>26</v>
      </c>
      <c r="E1334" s="29" t="str">
        <f>IF(DAY(Data!$C$21:$C$1613)&gt;0,TEXT(Data!$C$21:$C$1613, "mmmm"),"")</f>
        <v>agosto</v>
      </c>
      <c r="F1334" s="29" t="str">
        <f>IF(DAY(Data!$C$21:$C$1613)&gt;0,TEXT(Data!$C$21:$C$1613, "aaaa"),"")</f>
        <v>2025</v>
      </c>
      <c r="I1334" t="str">
        <f>IF(OR(H1334=$B$5,H1334=$B$6,H1334=$B$7,H1334=$B$8,H1334=$B$9,H1334=$B$10,H1334=$B$11,H1334=$B$12,H1334=$B$13,H1334=$B$14),SottocategorieUscite[[#Headers],[Fuori Casa]],IF(OR(H1334=$C$5,H1334=$C$6,H1334=$C$7,H1334=$C$8,H1334=$C$9,H1334=$C$10,H1334=$C$11,H1334=$C$12,H1334=$C$13,H1334=$C$14),SottocategorieUscite[[#Headers],[Varie Uscite]],IF(OR(H1334=$D$5,H1334=$D$6,H1334=$D$7,H1334=$D$8,H1334=$D$9,H1334=$D$10,H1334=$D$11,H1334=$D$12,H1334=$D$13,H1334=$D$14),SottocategorieUscite[[#Headers],[Personali]],IF(OR(H1334=$E$5,H1334=$E$6,H1334=$E$7,H1334=$E$8,H1334=$E$9,H1334=$E$10,H1334=$E$11,H1334=$E$12,H1334=$E$13,H1334=$E$14),SottocategorieUscite[[#Headers],[Lavoro]],IF(OR(H1334=$F$5,H1334=$F$6,H1334=$F$7,H1334=$F$8,H1334=$F$9,H1334=$F$10,H1334=$F$11,H1334=$F$12,H1334=$F$13,H1334=$F$14),SottocategorieUscite[[#Headers],[Casa]],IF(OR(H1334=$G$5,H1334=$G$6,H1334=$G$7,H1334=$G$8,H1334=$G$9,H1334=$G$10,H1334=$G$11,H1334=$G$12,H1334=$G$13,H1334=$G$14),SottocategorieUscite[[#Headers],[Utenze]],IF(OR(H1334=$H$5,H1334=$H$6,H1334=$H$7,H1334=$H$8,H1334=$H$9,H1334=$H$10,H1334=$H$11,H1334=$H$12,H1334=$H$13,H1334=$H$14),SottocategorieUscite[[#Headers],[Business Uscite]],IF(OR(H1334=$I$5,H1334=$I$6,H1334=$I$7,H1334=$I$8,H1334=$I$9,H1334=$I$10,H1334=$I$11,H1334=$I$12,H1334=$I$13,H1334=$I$14),SottocategorieUscite[[#Headers],[Banca]],IF(OR(H1334=K$5,H1334=K$6,H1334=K$7,H1334=K$8,H1334=K$9,H1334=K$10,H1334=K$11,H1334=K$12,H1334=K$13,H1334=K$14),SottocategorieEntrate[[#Headers],[Business Entrate]],IF(OR(H1334=L$5,H1334=L$6,H1334=L$7,H1334=L$8,H1334=L$9,H1334=L$10,H1334=L$11,H1334=L$12,H1334=L$13,H1334=L$14),SottocategorieEntrate[[#Headers],[Varie Entrate]],IF(OR(H1334=M$5,H1334=M$6,H1334=M$7,H1334=M$8,H1334=M$9,H1334=M$10,H1334=M$11,H1334=M$12,H1334=M$13,H1334=M$14),SottocategorieEntrate[[#Headers],[Real Estate]],IF(OR(H1334=N$5,H1334=N$6,H1334=N$7,H1334=N$8,H1334=N$9,H1334=N$10,H1334=N$11,H1334=N$12,H1334=N$13,H1334=N$14),SottocategorieEntrate[[#Headers],[Other]],""))))))))))))</f>
        <v/>
      </c>
      <c r="J1334" t="str">
        <f>IF(OR(Dati[[#This Row],[Categoria]]="Bollette",Dati[[#This Row],[Categoria]]="Conto &amp; Carte BNL",Dati[[#This Row],[Categoria]]="Prelievo",Dati[[#This Row],[Categoria]]="Affitto",Dati[[#This Row],[Categoria]]="BNL(Interessi Creditori)"),"Carta",IF(Dati[[#This Row],[Categoria]]&lt;&gt;0,"Cash",""))</f>
        <v/>
      </c>
      <c r="K1334" s="59" t="str">
        <f>IF(OR(Data!$I1334=SottocategorieUscite[[#Headers],[Fuori Casa]],Data!$I1334=SottocategorieUscite[[#Headers],[Varie Uscite]],Data!$I1334=SottocategorieUscite[[#Headers],[Personali]],Data!$I1334=SottocategorieUscite[[#Headers],[Lavoro]]),"$ -","")</f>
        <v/>
      </c>
      <c r="L1334" s="59" t="str">
        <f>IF(OR(Data!$I1334=SottocategorieUscite[[#Headers],[Casa]],Data!$I1334=SottocategorieUscite[[#Headers],[Utenze]],Data!$I1334=SottocategorieUscite[[#Headers],[Business Uscite]],Data!$I1334=SottocategorieUscite[[#Headers],[Banca]]),"$ -","")</f>
        <v/>
      </c>
      <c r="M1334" s="59" t="str">
        <f>IF(OR($I1334&lt;&gt;SottocategorieUscite[[#Headers],[Fuori Casa]],$I1334&lt;&gt;SottocategorieUscite[[#Headers],[Varie Uscite]],$I1334&lt;&gt;SottocategorieUscite[[#Headers],[Personali]],$I1334&lt;&gt;SottocategorieUscite[[#Headers],[Lavoro]],$I1334&lt;&gt;SottocategorieUscite[[#Headers],[Casa]],$I1334&lt;&gt;SottocategorieUscite[[#Headers],[Utenze]],$I1334&lt;&gt;SottocategorieUscite[[#Headers],[Business Uscite]],$I1334&lt;&gt;SottocategorieUscite[[#Headers],[Banca]]),"","$ -")</f>
        <v/>
      </c>
      <c r="N1334" s="59" t="str">
        <f>IF(OR(Data!$I1334=SottocategorieEntrate[[#Headers],[Business Entrate]],Data!$I1334=SottocategorieEntrate[[#Headers],[Varie Entrate]]),"$ -","")</f>
        <v/>
      </c>
      <c r="O1334" s="59" t="str">
        <f>IF(OR(Data!$I1334=SottocategorieEntrate[[#Headers],[Real Estate]],SottocategorieEntrate[[#Headers],[Other]]),"$ -","")</f>
        <v/>
      </c>
      <c r="P1334" s="59" t="str">
        <f>IF(OR($I1334&lt;&gt;SottocategorieEntrate[[#Headers],[Business Entrate]],$I1334&lt;&gt;SottocategorieEntrate[[#Headers],[Varie Entrate]],$I1334&lt;&gt;SottocategorieEntrate[[#Headers],[Real Estate]],$I1334&lt;&gt;SottocategorieEntrate[[#Headers],[Other]]),"","$ -")</f>
        <v/>
      </c>
      <c r="Q1334" s="59" t="str">
        <f>IF(Dati[[#This Row],[Categoria]]="Prelievo","€ -","")</f>
        <v/>
      </c>
      <c r="R1334" s="244"/>
      <c r="S1334" s="59" t="str">
        <f>IF(Dati[[#This Row],[Categoria]]="Savings",0,"")</f>
        <v/>
      </c>
      <c r="T1334" s="59"/>
      <c r="U1334" s="59"/>
      <c r="V1334" s="59"/>
      <c r="W1334" s="59"/>
      <c r="X1334" s="59"/>
      <c r="Y1334" s="59"/>
      <c r="Z1334" s="59"/>
      <c r="AA1334" s="59"/>
      <c r="AB1334" s="59"/>
      <c r="AC1334" s="59"/>
      <c r="AD1334" s="59"/>
      <c r="AE1334" s="59"/>
      <c r="AF1334" s="59"/>
      <c r="AG1334" s="59"/>
      <c r="AH1334" s="59"/>
      <c r="AI1334" s="59" t="str">
        <f>IF(SUM(Dati[[#This Row],[Inv. Business]:[Inv. Cryptocurrency]])=0," ",SUM(Dati[[#This Row],[Inv. Business]:[Inv. Cryptocurrency]]))</f>
        <v xml:space="preserve"> </v>
      </c>
      <c r="AJ1334" s="59"/>
      <c r="AK1334" s="59" t="str">
        <f>IF(SUM(Dati[[#This Row],[Inv. Gold]:[Mutuo]])=0," ",SUM(Dati[[#This Row],[Inv. Gold]:[Mutuo]]))</f>
        <v xml:space="preserve"> </v>
      </c>
      <c r="AL1334" s="59"/>
      <c r="AM1334" s="59"/>
    </row>
    <row r="1335" spans="2:39" x14ac:dyDescent="0.35">
      <c r="B1335" s="237">
        <f t="shared" ref="B1335" si="102">ROW(1311:1311)</f>
        <v>1311</v>
      </c>
      <c r="C1335" s="49">
        <f t="shared" si="95"/>
        <v>45896</v>
      </c>
      <c r="D1335" s="29">
        <f>DAY(Dati[[#This Row],[Data]])</f>
        <v>27</v>
      </c>
      <c r="E1335" s="29" t="str">
        <f>IF(DAY(Data!$C$21:$C$1613)&gt;0,TEXT(Data!$C$21:$C$1613, "mmmm"),"")</f>
        <v>agosto</v>
      </c>
      <c r="F1335" s="29" t="str">
        <f>IF(DAY(Data!$C$21:$C$1613)&gt;0,TEXT(Data!$C$21:$C$1613, "aaaa"),"")</f>
        <v>2025</v>
      </c>
      <c r="I1335" t="str">
        <f>IF(OR(H1335=$B$5,H1335=$B$6,H1335=$B$7,H1335=$B$8,H1335=$B$9,H1335=$B$10,H1335=$B$11,H1335=$B$12,H1335=$B$13,H1335=$B$14),SottocategorieUscite[[#Headers],[Fuori Casa]],IF(OR(H1335=$C$5,H1335=$C$6,H1335=$C$7,H1335=$C$8,H1335=$C$9,H1335=$C$10,H1335=$C$11,H1335=$C$12,H1335=$C$13,H1335=$C$14),SottocategorieUscite[[#Headers],[Varie Uscite]],IF(OR(H1335=$D$5,H1335=$D$6,H1335=$D$7,H1335=$D$8,H1335=$D$9,H1335=$D$10,H1335=$D$11,H1335=$D$12,H1335=$D$13,H1335=$D$14),SottocategorieUscite[[#Headers],[Personali]],IF(OR(H1335=$E$5,H1335=$E$6,H1335=$E$7,H1335=$E$8,H1335=$E$9,H1335=$E$10,H1335=$E$11,H1335=$E$12,H1335=$E$13,H1335=$E$14),SottocategorieUscite[[#Headers],[Lavoro]],IF(OR(H1335=$F$5,H1335=$F$6,H1335=$F$7,H1335=$F$8,H1335=$F$9,H1335=$F$10,H1335=$F$11,H1335=$F$12,H1335=$F$13,H1335=$F$14),SottocategorieUscite[[#Headers],[Casa]],IF(OR(H1335=$G$5,H1335=$G$6,H1335=$G$7,H1335=$G$8,H1335=$G$9,H1335=$G$10,H1335=$G$11,H1335=$G$12,H1335=$G$13,H1335=$G$14),SottocategorieUscite[[#Headers],[Utenze]],IF(OR(H1335=$H$5,H1335=$H$6,H1335=$H$7,H1335=$H$8,H1335=$H$9,H1335=$H$10,H1335=$H$11,H1335=$H$12,H1335=$H$13,H1335=$H$14),SottocategorieUscite[[#Headers],[Business Uscite]],IF(OR(H1335=$I$5,H1335=$I$6,H1335=$I$7,H1335=$I$8,H1335=$I$9,H1335=$I$10,H1335=$I$11,H1335=$I$12,H1335=$I$13,H1335=$I$14),SottocategorieUscite[[#Headers],[Banca]],IF(OR(H1335=K$5,H1335=K$6,H1335=K$7,H1335=K$8,H1335=K$9,H1335=K$10,H1335=K$11,H1335=K$12,H1335=K$13,H1335=K$14),SottocategorieEntrate[[#Headers],[Business Entrate]],IF(OR(H1335=L$5,H1335=L$6,H1335=L$7,H1335=L$8,H1335=L$9,H1335=L$10,H1335=L$11,H1335=L$12,H1335=L$13,H1335=L$14),SottocategorieEntrate[[#Headers],[Varie Entrate]],IF(OR(H1335=M$5,H1335=M$6,H1335=M$7,H1335=M$8,H1335=M$9,H1335=M$10,H1335=M$11,H1335=M$12,H1335=M$13,H1335=M$14),SottocategorieEntrate[[#Headers],[Real Estate]],IF(OR(H1335=N$5,H1335=N$6,H1335=N$7,H1335=N$8,H1335=N$9,H1335=N$10,H1335=N$11,H1335=N$12,H1335=N$13,H1335=N$14),SottocategorieEntrate[[#Headers],[Other]],""))))))))))))</f>
        <v/>
      </c>
      <c r="J1335" t="str">
        <f>IF(OR(Dati[[#This Row],[Categoria]]="Bollette",Dati[[#This Row],[Categoria]]="Conto &amp; Carte BNL",Dati[[#This Row],[Categoria]]="Prelievo",Dati[[#This Row],[Categoria]]="Affitto",Dati[[#This Row],[Categoria]]="BNL(Interessi Creditori)"),"Carta",IF(Dati[[#This Row],[Categoria]]&lt;&gt;0,"Cash",""))</f>
        <v/>
      </c>
      <c r="K1335" s="59" t="str">
        <f>IF(OR(Data!$I1335=SottocategorieUscite[[#Headers],[Fuori Casa]],Data!$I1335=SottocategorieUscite[[#Headers],[Varie Uscite]],Data!$I1335=SottocategorieUscite[[#Headers],[Personali]],Data!$I1335=SottocategorieUscite[[#Headers],[Lavoro]]),"$ -","")</f>
        <v/>
      </c>
      <c r="L1335" s="59" t="str">
        <f>IF(OR(Data!$I1335=SottocategorieUscite[[#Headers],[Casa]],Data!$I1335=SottocategorieUscite[[#Headers],[Utenze]],Data!$I1335=SottocategorieUscite[[#Headers],[Business Uscite]],Data!$I1335=SottocategorieUscite[[#Headers],[Banca]]),"$ -","")</f>
        <v/>
      </c>
      <c r="M1335" s="59" t="str">
        <f>IF(OR($I1335&lt;&gt;SottocategorieUscite[[#Headers],[Fuori Casa]],$I1335&lt;&gt;SottocategorieUscite[[#Headers],[Varie Uscite]],$I1335&lt;&gt;SottocategorieUscite[[#Headers],[Personali]],$I1335&lt;&gt;SottocategorieUscite[[#Headers],[Lavoro]],$I1335&lt;&gt;SottocategorieUscite[[#Headers],[Casa]],$I1335&lt;&gt;SottocategorieUscite[[#Headers],[Utenze]],$I1335&lt;&gt;SottocategorieUscite[[#Headers],[Business Uscite]],$I1335&lt;&gt;SottocategorieUscite[[#Headers],[Banca]]),"","$ -")</f>
        <v/>
      </c>
      <c r="N1335" s="59" t="str">
        <f>IF(OR(Data!$I1335=SottocategorieEntrate[[#Headers],[Business Entrate]],Data!$I1335=SottocategorieEntrate[[#Headers],[Varie Entrate]]),"$ -","")</f>
        <v/>
      </c>
      <c r="O1335" s="59" t="str">
        <f>IF(OR(Data!$I1335=SottocategorieEntrate[[#Headers],[Real Estate]],SottocategorieEntrate[[#Headers],[Other]]),"$ -","")</f>
        <v/>
      </c>
      <c r="P1335" s="59" t="str">
        <f>IF(OR($I1335&lt;&gt;SottocategorieEntrate[[#Headers],[Business Entrate]],$I1335&lt;&gt;SottocategorieEntrate[[#Headers],[Varie Entrate]],$I1335&lt;&gt;SottocategorieEntrate[[#Headers],[Real Estate]],$I1335&lt;&gt;SottocategorieEntrate[[#Headers],[Other]]),"","$ -")</f>
        <v/>
      </c>
      <c r="Q1335" s="59" t="str">
        <f>IF(Dati[[#This Row],[Categoria]]="Prelievo","€ -","")</f>
        <v/>
      </c>
      <c r="R1335" s="244"/>
      <c r="S1335" s="59" t="str">
        <f>IF(Dati[[#This Row],[Categoria]]="Savings",0,"")</f>
        <v/>
      </c>
      <c r="T1335" s="59"/>
      <c r="U1335" s="59"/>
      <c r="V1335" s="59"/>
      <c r="W1335" s="59"/>
      <c r="X1335" s="59"/>
      <c r="Y1335" s="59"/>
      <c r="Z1335" s="59"/>
      <c r="AA1335" s="59"/>
      <c r="AB1335" s="59"/>
      <c r="AC1335" s="59"/>
      <c r="AD1335" s="59"/>
      <c r="AE1335" s="59"/>
      <c r="AF1335" s="59"/>
      <c r="AG1335" s="59"/>
      <c r="AH1335" s="59"/>
      <c r="AI1335" s="59" t="str">
        <f>IF(SUM(Dati[[#This Row],[Inv. Business]:[Inv. Cryptocurrency]])=0," ",SUM(Dati[[#This Row],[Inv. Business]:[Inv. Cryptocurrency]]))</f>
        <v xml:space="preserve"> </v>
      </c>
      <c r="AJ1335" s="59"/>
      <c r="AK1335" s="59" t="str">
        <f>IF(SUM(Dati[[#This Row],[Inv. Gold]:[Mutuo]])=0," ",SUM(Dati[[#This Row],[Inv. Gold]:[Mutuo]]))</f>
        <v xml:space="preserve"> </v>
      </c>
      <c r="AL1335" s="59"/>
      <c r="AM1335" s="59"/>
    </row>
    <row r="1336" spans="2:39" x14ac:dyDescent="0.35">
      <c r="B1336" s="237">
        <f>ROW(1311:1311)</f>
        <v>1311</v>
      </c>
      <c r="C1336" s="49">
        <f>C1334+1</f>
        <v>45896</v>
      </c>
      <c r="D1336" s="29">
        <f>DAY(Dati[[#This Row],[Data]])</f>
        <v>27</v>
      </c>
      <c r="E1336" s="29" t="str">
        <f>IF(DAY(Data!$C$21:$C$1613)&gt;0,TEXT(Data!$C$21:$C$1613, "mmmm"),"")</f>
        <v>agosto</v>
      </c>
      <c r="F1336" s="29" t="str">
        <f>IF(DAY(Data!$C$21:$C$1613)&gt;0,TEXT(Data!$C$21:$C$1613, "aaaa"),"")</f>
        <v>2025</v>
      </c>
      <c r="I1336" t="str">
        <f>IF(OR(H1336=$B$5,H1336=$B$6,H1336=$B$7,H1336=$B$8,H1336=$B$9,H1336=$B$10,H1336=$B$11,H1336=$B$12,H1336=$B$13,H1336=$B$14),SottocategorieUscite[[#Headers],[Fuori Casa]],IF(OR(H1336=$C$5,H1336=$C$6,H1336=$C$7,H1336=$C$8,H1336=$C$9,H1336=$C$10,H1336=$C$11,H1336=$C$12,H1336=$C$13,H1336=$C$14),SottocategorieUscite[[#Headers],[Varie Uscite]],IF(OR(H1336=$D$5,H1336=$D$6,H1336=$D$7,H1336=$D$8,H1336=$D$9,H1336=$D$10,H1336=$D$11,H1336=$D$12,H1336=$D$13,H1336=$D$14),SottocategorieUscite[[#Headers],[Personali]],IF(OR(H1336=$E$5,H1336=$E$6,H1336=$E$7,H1336=$E$8,H1336=$E$9,H1336=$E$10,H1336=$E$11,H1336=$E$12,H1336=$E$13,H1336=$E$14),SottocategorieUscite[[#Headers],[Lavoro]],IF(OR(H1336=$F$5,H1336=$F$6,H1336=$F$7,H1336=$F$8,H1336=$F$9,H1336=$F$10,H1336=$F$11,H1336=$F$12,H1336=$F$13,H1336=$F$14),SottocategorieUscite[[#Headers],[Casa]],IF(OR(H1336=$G$5,H1336=$G$6,H1336=$G$7,H1336=$G$8,H1336=$G$9,H1336=$G$10,H1336=$G$11,H1336=$G$12,H1336=$G$13,H1336=$G$14),SottocategorieUscite[[#Headers],[Utenze]],IF(OR(H1336=$H$5,H1336=$H$6,H1336=$H$7,H1336=$H$8,H1336=$H$9,H1336=$H$10,H1336=$H$11,H1336=$H$12,H1336=$H$13,H1336=$H$14),SottocategorieUscite[[#Headers],[Business Uscite]],IF(OR(H1336=$I$5,H1336=$I$6,H1336=$I$7,H1336=$I$8,H1336=$I$9,H1336=$I$10,H1336=$I$11,H1336=$I$12,H1336=$I$13,H1336=$I$14),SottocategorieUscite[[#Headers],[Banca]],IF(OR(H1336=K$5,H1336=K$6,H1336=K$7,H1336=K$8,H1336=K$9,H1336=K$10,H1336=K$11,H1336=K$12,H1336=K$13,H1336=K$14),SottocategorieEntrate[[#Headers],[Business Entrate]],IF(OR(H1336=L$5,H1336=L$6,H1336=L$7,H1336=L$8,H1336=L$9,H1336=L$10,H1336=L$11,H1336=L$12,H1336=L$13,H1336=L$14),SottocategorieEntrate[[#Headers],[Varie Entrate]],IF(OR(H1336=M$5,H1336=M$6,H1336=M$7,H1336=M$8,H1336=M$9,H1336=M$10,H1336=M$11,H1336=M$12,H1336=M$13,H1336=M$14),SottocategorieEntrate[[#Headers],[Real Estate]],IF(OR(H1336=N$5,H1336=N$6,H1336=N$7,H1336=N$8,H1336=N$9,H1336=N$10,H1336=N$11,H1336=N$12,H1336=N$13,H1336=N$14),SottocategorieEntrate[[#Headers],[Other]],""))))))))))))</f>
        <v/>
      </c>
      <c r="J1336" t="str">
        <f>IF(OR(Dati[[#This Row],[Categoria]]="Bollette",Dati[[#This Row],[Categoria]]="Conto &amp; Carte BNL",Dati[[#This Row],[Categoria]]="Prelievo",Dati[[#This Row],[Categoria]]="Affitto",Dati[[#This Row],[Categoria]]="BNL(Interessi Creditori)"),"Carta",IF(Dati[[#This Row],[Categoria]]&lt;&gt;0,"Cash",""))</f>
        <v/>
      </c>
      <c r="K1336" s="59" t="str">
        <f>IF(OR(Data!$I1336=SottocategorieUscite[[#Headers],[Fuori Casa]],Data!$I1336=SottocategorieUscite[[#Headers],[Varie Uscite]],Data!$I1336=SottocategorieUscite[[#Headers],[Personali]],Data!$I1336=SottocategorieUscite[[#Headers],[Lavoro]]),"$ -","")</f>
        <v/>
      </c>
      <c r="L1336" s="59" t="str">
        <f>IF(OR(Data!$I1336=SottocategorieUscite[[#Headers],[Casa]],Data!$I1336=SottocategorieUscite[[#Headers],[Utenze]],Data!$I1336=SottocategorieUscite[[#Headers],[Business Uscite]],Data!$I1336=SottocategorieUscite[[#Headers],[Banca]]),"$ -","")</f>
        <v/>
      </c>
      <c r="M1336" s="59" t="str">
        <f>IF(OR($I1336&lt;&gt;SottocategorieUscite[[#Headers],[Fuori Casa]],$I1336&lt;&gt;SottocategorieUscite[[#Headers],[Varie Uscite]],$I1336&lt;&gt;SottocategorieUscite[[#Headers],[Personali]],$I1336&lt;&gt;SottocategorieUscite[[#Headers],[Lavoro]],$I1336&lt;&gt;SottocategorieUscite[[#Headers],[Casa]],$I1336&lt;&gt;SottocategorieUscite[[#Headers],[Utenze]],$I1336&lt;&gt;SottocategorieUscite[[#Headers],[Business Uscite]],$I1336&lt;&gt;SottocategorieUscite[[#Headers],[Banca]]),"","$ -")</f>
        <v/>
      </c>
      <c r="N1336" s="59" t="str">
        <f>IF(OR(Data!$I1336=SottocategorieEntrate[[#Headers],[Business Entrate]],Data!$I1336=SottocategorieEntrate[[#Headers],[Varie Entrate]]),"$ -","")</f>
        <v/>
      </c>
      <c r="O1336" s="59" t="str">
        <f>IF(OR(Data!$I1336=SottocategorieEntrate[[#Headers],[Real Estate]],SottocategorieEntrate[[#Headers],[Other]]),"$ -","")</f>
        <v/>
      </c>
      <c r="P1336" s="59" t="str">
        <f>IF(OR($I1336&lt;&gt;SottocategorieEntrate[[#Headers],[Business Entrate]],$I1336&lt;&gt;SottocategorieEntrate[[#Headers],[Varie Entrate]],$I1336&lt;&gt;SottocategorieEntrate[[#Headers],[Real Estate]],$I1336&lt;&gt;SottocategorieEntrate[[#Headers],[Other]]),"","$ -")</f>
        <v/>
      </c>
      <c r="Q1336" s="59" t="str">
        <f>IF(Dati[[#This Row],[Categoria]]="Prelievo","€ -","")</f>
        <v/>
      </c>
      <c r="R1336" s="244"/>
      <c r="S1336" s="59" t="str">
        <f>IF(Dati[[#This Row],[Categoria]]="Savings",0,"")</f>
        <v/>
      </c>
      <c r="T1336" s="59"/>
      <c r="U1336" s="59"/>
      <c r="V1336" s="59"/>
      <c r="W1336" s="59"/>
      <c r="X1336" s="59"/>
      <c r="Y1336" s="59"/>
      <c r="Z1336" s="59"/>
      <c r="AA1336" s="59"/>
      <c r="AB1336" s="59"/>
      <c r="AC1336" s="59"/>
      <c r="AD1336" s="59"/>
      <c r="AE1336" s="59"/>
      <c r="AF1336" s="59"/>
      <c r="AG1336" s="59"/>
      <c r="AH1336" s="59"/>
      <c r="AI1336" s="59" t="str">
        <f>IF(SUM(Dati[[#This Row],[Inv. Business]:[Inv. Cryptocurrency]])=0," ",SUM(Dati[[#This Row],[Inv. Business]:[Inv. Cryptocurrency]]))</f>
        <v xml:space="preserve"> </v>
      </c>
      <c r="AJ1336" s="59"/>
      <c r="AK1336" s="59" t="str">
        <f>IF(SUM(Dati[[#This Row],[Inv. Gold]:[Mutuo]])=0," ",SUM(Dati[[#This Row],[Inv. Gold]:[Mutuo]]))</f>
        <v xml:space="preserve"> </v>
      </c>
      <c r="AL1336" s="59"/>
      <c r="AM1336" s="59"/>
    </row>
    <row r="1337" spans="2:39" x14ac:dyDescent="0.35">
      <c r="B1337" s="237">
        <f>ROW(1311:1311)</f>
        <v>1311</v>
      </c>
      <c r="C1337" s="49">
        <f>C1334+1</f>
        <v>45896</v>
      </c>
      <c r="D1337" s="29">
        <f>DAY(Dati[[#This Row],[Data]])</f>
        <v>27</v>
      </c>
      <c r="E1337" s="29" t="str">
        <f>IF(DAY(Data!$C$21:$C$1613)&gt;0,TEXT(Data!$C$21:$C$1613, "mmmm"),"")</f>
        <v>agosto</v>
      </c>
      <c r="F1337" s="29" t="str">
        <f>IF(DAY(Data!$C$21:$C$1613)&gt;0,TEXT(Data!$C$21:$C$1613, "aaaa"),"")</f>
        <v>2025</v>
      </c>
      <c r="I1337" t="str">
        <f>IF(OR(H1337=$B$5,H1337=$B$6,H1337=$B$7,H1337=$B$8,H1337=$B$9,H1337=$B$10,H1337=$B$11,H1337=$B$12,H1337=$B$13,H1337=$B$14),SottocategorieUscite[[#Headers],[Fuori Casa]],IF(OR(H1337=$C$5,H1337=$C$6,H1337=$C$7,H1337=$C$8,H1337=$C$9,H1337=$C$10,H1337=$C$11,H1337=$C$12,H1337=$C$13,H1337=$C$14),SottocategorieUscite[[#Headers],[Varie Uscite]],IF(OR(H1337=$D$5,H1337=$D$6,H1337=$D$7,H1337=$D$8,H1337=$D$9,H1337=$D$10,H1337=$D$11,H1337=$D$12,H1337=$D$13,H1337=$D$14),SottocategorieUscite[[#Headers],[Personali]],IF(OR(H1337=$E$5,H1337=$E$6,H1337=$E$7,H1337=$E$8,H1337=$E$9,H1337=$E$10,H1337=$E$11,H1337=$E$12,H1337=$E$13,H1337=$E$14),SottocategorieUscite[[#Headers],[Lavoro]],IF(OR(H1337=$F$5,H1337=$F$6,H1337=$F$7,H1337=$F$8,H1337=$F$9,H1337=$F$10,H1337=$F$11,H1337=$F$12,H1337=$F$13,H1337=$F$14),SottocategorieUscite[[#Headers],[Casa]],IF(OR(H1337=$G$5,H1337=$G$6,H1337=$G$7,H1337=$G$8,H1337=$G$9,H1337=$G$10,H1337=$G$11,H1337=$G$12,H1337=$G$13,H1337=$G$14),SottocategorieUscite[[#Headers],[Utenze]],IF(OR(H1337=$H$5,H1337=$H$6,H1337=$H$7,H1337=$H$8,H1337=$H$9,H1337=$H$10,H1337=$H$11,H1337=$H$12,H1337=$H$13,H1337=$H$14),SottocategorieUscite[[#Headers],[Business Uscite]],IF(OR(H1337=$I$5,H1337=$I$6,H1337=$I$7,H1337=$I$8,H1337=$I$9,H1337=$I$10,H1337=$I$11,H1337=$I$12,H1337=$I$13,H1337=$I$14),SottocategorieUscite[[#Headers],[Banca]],IF(OR(H1337=K$5,H1337=K$6,H1337=K$7,H1337=K$8,H1337=K$9,H1337=K$10,H1337=K$11,H1337=K$12,H1337=K$13,H1337=K$14),SottocategorieEntrate[[#Headers],[Business Entrate]],IF(OR(H1337=L$5,H1337=L$6,H1337=L$7,H1337=L$8,H1337=L$9,H1337=L$10,H1337=L$11,H1337=L$12,H1337=L$13,H1337=L$14),SottocategorieEntrate[[#Headers],[Varie Entrate]],IF(OR(H1337=M$5,H1337=M$6,H1337=M$7,H1337=M$8,H1337=M$9,H1337=M$10,H1337=M$11,H1337=M$12,H1337=M$13,H1337=M$14),SottocategorieEntrate[[#Headers],[Real Estate]],IF(OR(H1337=N$5,H1337=N$6,H1337=N$7,H1337=N$8,H1337=N$9,H1337=N$10,H1337=N$11,H1337=N$12,H1337=N$13,H1337=N$14),SottocategorieEntrate[[#Headers],[Other]],""))))))))))))</f>
        <v/>
      </c>
      <c r="J1337" t="str">
        <f>IF(OR(Dati[[#This Row],[Categoria]]="Bollette",Dati[[#This Row],[Categoria]]="Conto &amp; Carte BNL",Dati[[#This Row],[Categoria]]="Prelievo",Dati[[#This Row],[Categoria]]="Affitto",Dati[[#This Row],[Categoria]]="BNL(Interessi Creditori)"),"Carta",IF(Dati[[#This Row],[Categoria]]&lt;&gt;0,"Cash",""))</f>
        <v/>
      </c>
      <c r="K1337" s="59" t="str">
        <f>IF(OR(Data!$I1337=SottocategorieUscite[[#Headers],[Fuori Casa]],Data!$I1337=SottocategorieUscite[[#Headers],[Varie Uscite]],Data!$I1337=SottocategorieUscite[[#Headers],[Personali]],Data!$I1337=SottocategorieUscite[[#Headers],[Lavoro]]),"$ -","")</f>
        <v/>
      </c>
      <c r="L1337" s="59" t="str">
        <f>IF(OR(Data!$I1337=SottocategorieUscite[[#Headers],[Casa]],Data!$I1337=SottocategorieUscite[[#Headers],[Utenze]],Data!$I1337=SottocategorieUscite[[#Headers],[Business Uscite]],Data!$I1337=SottocategorieUscite[[#Headers],[Banca]]),"$ -","")</f>
        <v/>
      </c>
      <c r="M1337" s="59" t="str">
        <f>IF(OR($I1337&lt;&gt;SottocategorieUscite[[#Headers],[Fuori Casa]],$I1337&lt;&gt;SottocategorieUscite[[#Headers],[Varie Uscite]],$I1337&lt;&gt;SottocategorieUscite[[#Headers],[Personali]],$I1337&lt;&gt;SottocategorieUscite[[#Headers],[Lavoro]],$I1337&lt;&gt;SottocategorieUscite[[#Headers],[Casa]],$I1337&lt;&gt;SottocategorieUscite[[#Headers],[Utenze]],$I1337&lt;&gt;SottocategorieUscite[[#Headers],[Business Uscite]],$I1337&lt;&gt;SottocategorieUscite[[#Headers],[Banca]]),"","$ -")</f>
        <v/>
      </c>
      <c r="N1337" s="59" t="str">
        <f>IF(OR(Data!$I1337=SottocategorieEntrate[[#Headers],[Business Entrate]],Data!$I1337=SottocategorieEntrate[[#Headers],[Varie Entrate]]),"$ -","")</f>
        <v/>
      </c>
      <c r="O1337" s="59" t="str">
        <f>IF(OR(Data!$I1337=SottocategorieEntrate[[#Headers],[Real Estate]],SottocategorieEntrate[[#Headers],[Other]]),"$ -","")</f>
        <v/>
      </c>
      <c r="P1337" s="59" t="str">
        <f>IF(OR($I1337&lt;&gt;SottocategorieEntrate[[#Headers],[Business Entrate]],$I1337&lt;&gt;SottocategorieEntrate[[#Headers],[Varie Entrate]],$I1337&lt;&gt;SottocategorieEntrate[[#Headers],[Real Estate]],$I1337&lt;&gt;SottocategorieEntrate[[#Headers],[Other]]),"","$ -")</f>
        <v/>
      </c>
      <c r="Q1337" s="59" t="str">
        <f>IF(Dati[[#This Row],[Categoria]]="Prelievo","€ -","")</f>
        <v/>
      </c>
      <c r="R1337" s="244"/>
      <c r="S1337" s="59" t="str">
        <f>IF(Dati[[#This Row],[Categoria]]="Savings",0,"")</f>
        <v/>
      </c>
      <c r="T1337" s="59"/>
      <c r="U1337" s="59"/>
      <c r="V1337" s="59"/>
      <c r="W1337" s="59"/>
      <c r="X1337" s="59"/>
      <c r="Y1337" s="59"/>
      <c r="Z1337" s="59"/>
      <c r="AA1337" s="59"/>
      <c r="AB1337" s="59"/>
      <c r="AC1337" s="59"/>
      <c r="AD1337" s="59"/>
      <c r="AE1337" s="59"/>
      <c r="AF1337" s="59"/>
      <c r="AG1337" s="59"/>
      <c r="AH1337" s="59"/>
      <c r="AI1337" s="59" t="str">
        <f>IF(SUM(Dati[[#This Row],[Inv. Business]:[Inv. Cryptocurrency]])=0," ",SUM(Dati[[#This Row],[Inv. Business]:[Inv. Cryptocurrency]]))</f>
        <v xml:space="preserve"> </v>
      </c>
      <c r="AJ1337" s="59"/>
      <c r="AK1337" s="59" t="str">
        <f>IF(SUM(Dati[[#This Row],[Inv. Gold]:[Mutuo]])=0," ",SUM(Dati[[#This Row],[Inv. Gold]:[Mutuo]]))</f>
        <v xml:space="preserve"> </v>
      </c>
      <c r="AL1337" s="59"/>
      <c r="AM1337" s="59"/>
    </row>
    <row r="1338" spans="2:39" x14ac:dyDescent="0.35">
      <c r="B1338" s="237">
        <f t="shared" ref="B1338:B1347" si="103">ROW(1311:1311)</f>
        <v>1311</v>
      </c>
      <c r="C1338" s="49">
        <f>C1334+1</f>
        <v>45896</v>
      </c>
      <c r="D1338" s="29">
        <f>DAY(Dati[[#This Row],[Data]])</f>
        <v>27</v>
      </c>
      <c r="E1338" s="29" t="str">
        <f>IF(DAY(Data!$C$21:$C$1613)&gt;0,TEXT(Data!$C$21:$C$1613, "mmmm"),"")</f>
        <v>agosto</v>
      </c>
      <c r="F1338" s="29" t="str">
        <f>IF(DAY(Data!$C$21:$C$1613)&gt;0,TEXT(Data!$C$21:$C$1613, "aaaa"),"")</f>
        <v>2025</v>
      </c>
      <c r="I1338" t="str">
        <f>IF(OR(H1338=$B$5,H1338=$B$6,H1338=$B$7,H1338=$B$8,H1338=$B$9,H1338=$B$10,H1338=$B$11,H1338=$B$12,H1338=$B$13,H1338=$B$14),SottocategorieUscite[[#Headers],[Fuori Casa]],IF(OR(H1338=$C$5,H1338=$C$6,H1338=$C$7,H1338=$C$8,H1338=$C$9,H1338=$C$10,H1338=$C$11,H1338=$C$12,H1338=$C$13,H1338=$C$14),SottocategorieUscite[[#Headers],[Varie Uscite]],IF(OR(H1338=$D$5,H1338=$D$6,H1338=$D$7,H1338=$D$8,H1338=$D$9,H1338=$D$10,H1338=$D$11,H1338=$D$12,H1338=$D$13,H1338=$D$14),SottocategorieUscite[[#Headers],[Personali]],IF(OR(H1338=$E$5,H1338=$E$6,H1338=$E$7,H1338=$E$8,H1338=$E$9,H1338=$E$10,H1338=$E$11,H1338=$E$12,H1338=$E$13,H1338=$E$14),SottocategorieUscite[[#Headers],[Lavoro]],IF(OR(H1338=$F$5,H1338=$F$6,H1338=$F$7,H1338=$F$8,H1338=$F$9,H1338=$F$10,H1338=$F$11,H1338=$F$12,H1338=$F$13,H1338=$F$14),SottocategorieUscite[[#Headers],[Casa]],IF(OR(H1338=$G$5,H1338=$G$6,H1338=$G$7,H1338=$G$8,H1338=$G$9,H1338=$G$10,H1338=$G$11,H1338=$G$12,H1338=$G$13,H1338=$G$14),SottocategorieUscite[[#Headers],[Utenze]],IF(OR(H1338=$H$5,H1338=$H$6,H1338=$H$7,H1338=$H$8,H1338=$H$9,H1338=$H$10,H1338=$H$11,H1338=$H$12,H1338=$H$13,H1338=$H$14),SottocategorieUscite[[#Headers],[Business Uscite]],IF(OR(H1338=$I$5,H1338=$I$6,H1338=$I$7,H1338=$I$8,H1338=$I$9,H1338=$I$10,H1338=$I$11,H1338=$I$12,H1338=$I$13,H1338=$I$14),SottocategorieUscite[[#Headers],[Banca]],IF(OR(H1338=K$5,H1338=K$6,H1338=K$7,H1338=K$8,H1338=K$9,H1338=K$10,H1338=K$11,H1338=K$12,H1338=K$13,H1338=K$14),SottocategorieEntrate[[#Headers],[Business Entrate]],IF(OR(H1338=L$5,H1338=L$6,H1338=L$7,H1338=L$8,H1338=L$9,H1338=L$10,H1338=L$11,H1338=L$12,H1338=L$13,H1338=L$14),SottocategorieEntrate[[#Headers],[Varie Entrate]],IF(OR(H1338=M$5,H1338=M$6,H1338=M$7,H1338=M$8,H1338=M$9,H1338=M$10,H1338=M$11,H1338=M$12,H1338=M$13,H1338=M$14),SottocategorieEntrate[[#Headers],[Real Estate]],IF(OR(H1338=N$5,H1338=N$6,H1338=N$7,H1338=N$8,H1338=N$9,H1338=N$10,H1338=N$11,H1338=N$12,H1338=N$13,H1338=N$14),SottocategorieEntrate[[#Headers],[Other]],""))))))))))))</f>
        <v/>
      </c>
      <c r="J1338" t="str">
        <f>IF(OR(Dati[[#This Row],[Categoria]]="Bollette",Dati[[#This Row],[Categoria]]="Conto &amp; Carte BNL",Dati[[#This Row],[Categoria]]="Prelievo",Dati[[#This Row],[Categoria]]="Affitto",Dati[[#This Row],[Categoria]]="BNL(Interessi Creditori)"),"Carta",IF(Dati[[#This Row],[Categoria]]&lt;&gt;0,"Cash",""))</f>
        <v/>
      </c>
      <c r="K1338" s="59" t="str">
        <f>IF(OR(Data!$I1338=SottocategorieUscite[[#Headers],[Fuori Casa]],Data!$I1338=SottocategorieUscite[[#Headers],[Varie Uscite]],Data!$I1338=SottocategorieUscite[[#Headers],[Personali]],Data!$I1338=SottocategorieUscite[[#Headers],[Lavoro]]),"$ -","")</f>
        <v/>
      </c>
      <c r="L1338" s="59" t="str">
        <f>IF(OR(Data!$I1338=SottocategorieUscite[[#Headers],[Casa]],Data!$I1338=SottocategorieUscite[[#Headers],[Utenze]],Data!$I1338=SottocategorieUscite[[#Headers],[Business Uscite]],Data!$I1338=SottocategorieUscite[[#Headers],[Banca]]),"$ -","")</f>
        <v/>
      </c>
      <c r="M1338" s="59" t="str">
        <f>IF(OR($I1338&lt;&gt;SottocategorieUscite[[#Headers],[Fuori Casa]],$I1338&lt;&gt;SottocategorieUscite[[#Headers],[Varie Uscite]],$I1338&lt;&gt;SottocategorieUscite[[#Headers],[Personali]],$I1338&lt;&gt;SottocategorieUscite[[#Headers],[Lavoro]],$I1338&lt;&gt;SottocategorieUscite[[#Headers],[Casa]],$I1338&lt;&gt;SottocategorieUscite[[#Headers],[Utenze]],$I1338&lt;&gt;SottocategorieUscite[[#Headers],[Business Uscite]],$I1338&lt;&gt;SottocategorieUscite[[#Headers],[Banca]]),"","$ -")</f>
        <v/>
      </c>
      <c r="N1338" s="59" t="str">
        <f>IF(OR(Data!$I1338=SottocategorieEntrate[[#Headers],[Business Entrate]],Data!$I1338=SottocategorieEntrate[[#Headers],[Varie Entrate]]),"$ -","")</f>
        <v/>
      </c>
      <c r="O1338" s="59" t="str">
        <f>IF(OR(Data!$I1338=SottocategorieEntrate[[#Headers],[Real Estate]],SottocategorieEntrate[[#Headers],[Other]]),"$ -","")</f>
        <v/>
      </c>
      <c r="P1338" s="59" t="str">
        <f>IF(OR($I1338&lt;&gt;SottocategorieEntrate[[#Headers],[Business Entrate]],$I1338&lt;&gt;SottocategorieEntrate[[#Headers],[Varie Entrate]],$I1338&lt;&gt;SottocategorieEntrate[[#Headers],[Real Estate]],$I1338&lt;&gt;SottocategorieEntrate[[#Headers],[Other]]),"","$ -")</f>
        <v/>
      </c>
      <c r="Q1338" s="59" t="str">
        <f>IF(Dati[[#This Row],[Categoria]]="Prelievo","€ -","")</f>
        <v/>
      </c>
      <c r="R1338" s="244"/>
      <c r="S1338" s="59" t="str">
        <f>IF(Dati[[#This Row],[Categoria]]="Savings",0,"")</f>
        <v/>
      </c>
      <c r="T1338" s="59"/>
      <c r="U1338" s="59"/>
      <c r="V1338" s="59"/>
      <c r="W1338" s="59"/>
      <c r="X1338" s="59"/>
      <c r="Y1338" s="59"/>
      <c r="Z1338" s="59"/>
      <c r="AA1338" s="59"/>
      <c r="AB1338" s="59"/>
      <c r="AC1338" s="59"/>
      <c r="AD1338" s="59"/>
      <c r="AE1338" s="59"/>
      <c r="AF1338" s="59"/>
      <c r="AG1338" s="59"/>
      <c r="AH1338" s="59"/>
      <c r="AI1338" s="59" t="str">
        <f>IF(SUM(Dati[[#This Row],[Inv. Business]:[Inv. Cryptocurrency]])=0," ",SUM(Dati[[#This Row],[Inv. Business]:[Inv. Cryptocurrency]]))</f>
        <v xml:space="preserve"> </v>
      </c>
      <c r="AJ1338" s="59"/>
      <c r="AK1338" s="59" t="str">
        <f>IF(SUM(Dati[[#This Row],[Inv. Gold]:[Mutuo]])=0," ",SUM(Dati[[#This Row],[Inv. Gold]:[Mutuo]]))</f>
        <v xml:space="preserve"> </v>
      </c>
      <c r="AL1338" s="59"/>
      <c r="AM1338" s="59"/>
    </row>
    <row r="1339" spans="2:39" x14ac:dyDescent="0.35">
      <c r="B1339" s="237">
        <f t="shared" si="103"/>
        <v>1312</v>
      </c>
      <c r="C1339" s="49">
        <f>C1335+1</f>
        <v>45897</v>
      </c>
      <c r="D1339" s="29">
        <f>DAY(Dati[[#This Row],[Data]])</f>
        <v>28</v>
      </c>
      <c r="E1339" s="29" t="str">
        <f>IF(DAY(Data!$C$21:$C$1613)&gt;0,TEXT(Data!$C$21:$C$1613, "mmmm"),"")</f>
        <v>agosto</v>
      </c>
      <c r="F1339" s="29" t="str">
        <f>IF(DAY(Data!$C$21:$C$1613)&gt;0,TEXT(Data!$C$21:$C$1613, "aaaa"),"")</f>
        <v>2025</v>
      </c>
      <c r="I1339" t="str">
        <f>IF(OR(H1339=$B$5,H1339=$B$6,H1339=$B$7,H1339=$B$8,H1339=$B$9,H1339=$B$10,H1339=$B$11,H1339=$B$12,H1339=$B$13,H1339=$B$14),SottocategorieUscite[[#Headers],[Fuori Casa]],IF(OR(H1339=$C$5,H1339=$C$6,H1339=$C$7,H1339=$C$8,H1339=$C$9,H1339=$C$10,H1339=$C$11,H1339=$C$12,H1339=$C$13,H1339=$C$14),SottocategorieUscite[[#Headers],[Varie Uscite]],IF(OR(H1339=$D$5,H1339=$D$6,H1339=$D$7,H1339=$D$8,H1339=$D$9,H1339=$D$10,H1339=$D$11,H1339=$D$12,H1339=$D$13,H1339=$D$14),SottocategorieUscite[[#Headers],[Personali]],IF(OR(H1339=$E$5,H1339=$E$6,H1339=$E$7,H1339=$E$8,H1339=$E$9,H1339=$E$10,H1339=$E$11,H1339=$E$12,H1339=$E$13,H1339=$E$14),SottocategorieUscite[[#Headers],[Lavoro]],IF(OR(H1339=$F$5,H1339=$F$6,H1339=$F$7,H1339=$F$8,H1339=$F$9,H1339=$F$10,H1339=$F$11,H1339=$F$12,H1339=$F$13,H1339=$F$14),SottocategorieUscite[[#Headers],[Casa]],IF(OR(H1339=$G$5,H1339=$G$6,H1339=$G$7,H1339=$G$8,H1339=$G$9,H1339=$G$10,H1339=$G$11,H1339=$G$12,H1339=$G$13,H1339=$G$14),SottocategorieUscite[[#Headers],[Utenze]],IF(OR(H1339=$H$5,H1339=$H$6,H1339=$H$7,H1339=$H$8,H1339=$H$9,H1339=$H$10,H1339=$H$11,H1339=$H$12,H1339=$H$13,H1339=$H$14),SottocategorieUscite[[#Headers],[Business Uscite]],IF(OR(H1339=$I$5,H1339=$I$6,H1339=$I$7,H1339=$I$8,H1339=$I$9,H1339=$I$10,H1339=$I$11,H1339=$I$12,H1339=$I$13,H1339=$I$14),SottocategorieUscite[[#Headers],[Banca]],IF(OR(H1339=K$5,H1339=K$6,H1339=K$7,H1339=K$8,H1339=K$9,H1339=K$10,H1339=K$11,H1339=K$12,H1339=K$13,H1339=K$14),SottocategorieEntrate[[#Headers],[Business Entrate]],IF(OR(H1339=L$5,H1339=L$6,H1339=L$7,H1339=L$8,H1339=L$9,H1339=L$10,H1339=L$11,H1339=L$12,H1339=L$13,H1339=L$14),SottocategorieEntrate[[#Headers],[Varie Entrate]],IF(OR(H1339=M$5,H1339=M$6,H1339=M$7,H1339=M$8,H1339=M$9,H1339=M$10,H1339=M$11,H1339=M$12,H1339=M$13,H1339=M$14),SottocategorieEntrate[[#Headers],[Real Estate]],IF(OR(H1339=N$5,H1339=N$6,H1339=N$7,H1339=N$8,H1339=N$9,H1339=N$10,H1339=N$11,H1339=N$12,H1339=N$13,H1339=N$14),SottocategorieEntrate[[#Headers],[Other]],""))))))))))))</f>
        <v/>
      </c>
      <c r="J1339" t="str">
        <f>IF(OR(Dati[[#This Row],[Categoria]]="Bollette",Dati[[#This Row],[Categoria]]="Conto &amp; Carte BNL",Dati[[#This Row],[Categoria]]="Prelievo",Dati[[#This Row],[Categoria]]="Affitto",Dati[[#This Row],[Categoria]]="BNL(Interessi Creditori)"),"Carta",IF(Dati[[#This Row],[Categoria]]&lt;&gt;0,"Cash",""))</f>
        <v/>
      </c>
      <c r="K1339" s="59" t="str">
        <f>IF(OR(Data!$I1339=SottocategorieUscite[[#Headers],[Fuori Casa]],Data!$I1339=SottocategorieUscite[[#Headers],[Varie Uscite]],Data!$I1339=SottocategorieUscite[[#Headers],[Personali]],Data!$I1339=SottocategorieUscite[[#Headers],[Lavoro]]),"$ -","")</f>
        <v/>
      </c>
      <c r="L1339" s="59" t="str">
        <f>IF(OR(Data!$I1339=SottocategorieUscite[[#Headers],[Casa]],Data!$I1339=SottocategorieUscite[[#Headers],[Utenze]],Data!$I1339=SottocategorieUscite[[#Headers],[Business Uscite]],Data!$I1339=SottocategorieUscite[[#Headers],[Banca]]),"$ -","")</f>
        <v/>
      </c>
      <c r="M1339" s="59" t="str">
        <f>IF(OR($I1339&lt;&gt;SottocategorieUscite[[#Headers],[Fuori Casa]],$I1339&lt;&gt;SottocategorieUscite[[#Headers],[Varie Uscite]],$I1339&lt;&gt;SottocategorieUscite[[#Headers],[Personali]],$I1339&lt;&gt;SottocategorieUscite[[#Headers],[Lavoro]],$I1339&lt;&gt;SottocategorieUscite[[#Headers],[Casa]],$I1339&lt;&gt;SottocategorieUscite[[#Headers],[Utenze]],$I1339&lt;&gt;SottocategorieUscite[[#Headers],[Business Uscite]],$I1339&lt;&gt;SottocategorieUscite[[#Headers],[Banca]]),"","$ -")</f>
        <v/>
      </c>
      <c r="N1339" s="59" t="str">
        <f>IF(OR(Data!$I1339=SottocategorieEntrate[[#Headers],[Business Entrate]],Data!$I1339=SottocategorieEntrate[[#Headers],[Varie Entrate]]),"$ -","")</f>
        <v/>
      </c>
      <c r="O1339" s="59" t="str">
        <f>IF(OR(Data!$I1339=SottocategorieEntrate[[#Headers],[Real Estate]],SottocategorieEntrate[[#Headers],[Other]]),"$ -","")</f>
        <v/>
      </c>
      <c r="P1339" s="59" t="str">
        <f>IF(OR($I1339&lt;&gt;SottocategorieEntrate[[#Headers],[Business Entrate]],$I1339&lt;&gt;SottocategorieEntrate[[#Headers],[Varie Entrate]],$I1339&lt;&gt;SottocategorieEntrate[[#Headers],[Real Estate]],$I1339&lt;&gt;SottocategorieEntrate[[#Headers],[Other]]),"","$ -")</f>
        <v/>
      </c>
      <c r="Q1339" s="59" t="str">
        <f>IF(Dati[[#This Row],[Categoria]]="Prelievo","€ -","")</f>
        <v/>
      </c>
      <c r="R1339" s="244"/>
      <c r="S1339" s="59" t="str">
        <f>IF(Dati[[#This Row],[Categoria]]="Savings",0,"")</f>
        <v/>
      </c>
      <c r="T1339" s="59"/>
      <c r="U1339" s="59"/>
      <c r="V1339" s="59"/>
      <c r="W1339" s="59"/>
      <c r="X1339" s="59"/>
      <c r="Y1339" s="59"/>
      <c r="Z1339" s="59"/>
      <c r="AA1339" s="59"/>
      <c r="AB1339" s="59"/>
      <c r="AC1339" s="59"/>
      <c r="AD1339" s="59"/>
      <c r="AE1339" s="59"/>
      <c r="AF1339" s="59"/>
      <c r="AG1339" s="59"/>
      <c r="AH1339" s="59"/>
      <c r="AI1339" s="59" t="str">
        <f>IF(SUM(Dati[[#This Row],[Inv. Business]:[Inv. Cryptocurrency]])=0," ",SUM(Dati[[#This Row],[Inv. Business]:[Inv. Cryptocurrency]]))</f>
        <v xml:space="preserve"> </v>
      </c>
      <c r="AJ1339" s="59"/>
      <c r="AK1339" s="59" t="str">
        <f>IF(SUM(Dati[[#This Row],[Inv. Gold]:[Mutuo]])=0," ",SUM(Dati[[#This Row],[Inv. Gold]:[Mutuo]]))</f>
        <v xml:space="preserve"> </v>
      </c>
      <c r="AL1339" s="59"/>
      <c r="AM1339" s="59"/>
    </row>
    <row r="1340" spans="2:39" x14ac:dyDescent="0.35">
      <c r="B1340" s="237">
        <f t="shared" si="103"/>
        <v>1313</v>
      </c>
      <c r="C1340" s="49">
        <f t="shared" si="95"/>
        <v>45898</v>
      </c>
      <c r="D1340" s="29">
        <f>DAY(Dati[[#This Row],[Data]])</f>
        <v>29</v>
      </c>
      <c r="E1340" s="29" t="str">
        <f>IF(DAY(Data!$C$21:$C$1613)&gt;0,TEXT(Data!$C$21:$C$1613, "mmmm"),"")</f>
        <v>agosto</v>
      </c>
      <c r="F1340" s="29" t="str">
        <f>IF(DAY(Data!$C$21:$C$1613)&gt;0,TEXT(Data!$C$21:$C$1613, "aaaa"),"")</f>
        <v>2025</v>
      </c>
      <c r="I1340" t="str">
        <f>IF(OR(H1340=$B$5,H1340=$B$6,H1340=$B$7,H1340=$B$8,H1340=$B$9,H1340=$B$10,H1340=$B$11,H1340=$B$12,H1340=$B$13,H1340=$B$14),SottocategorieUscite[[#Headers],[Fuori Casa]],IF(OR(H1340=$C$5,H1340=$C$6,H1340=$C$7,H1340=$C$8,H1340=$C$9,H1340=$C$10,H1340=$C$11,H1340=$C$12,H1340=$C$13,H1340=$C$14),SottocategorieUscite[[#Headers],[Varie Uscite]],IF(OR(H1340=$D$5,H1340=$D$6,H1340=$D$7,H1340=$D$8,H1340=$D$9,H1340=$D$10,H1340=$D$11,H1340=$D$12,H1340=$D$13,H1340=$D$14),SottocategorieUscite[[#Headers],[Personali]],IF(OR(H1340=$E$5,H1340=$E$6,H1340=$E$7,H1340=$E$8,H1340=$E$9,H1340=$E$10,H1340=$E$11,H1340=$E$12,H1340=$E$13,H1340=$E$14),SottocategorieUscite[[#Headers],[Lavoro]],IF(OR(H1340=$F$5,H1340=$F$6,H1340=$F$7,H1340=$F$8,H1340=$F$9,H1340=$F$10,H1340=$F$11,H1340=$F$12,H1340=$F$13,H1340=$F$14),SottocategorieUscite[[#Headers],[Casa]],IF(OR(H1340=$G$5,H1340=$G$6,H1340=$G$7,H1340=$G$8,H1340=$G$9,H1340=$G$10,H1340=$G$11,H1340=$G$12,H1340=$G$13,H1340=$G$14),SottocategorieUscite[[#Headers],[Utenze]],IF(OR(H1340=$H$5,H1340=$H$6,H1340=$H$7,H1340=$H$8,H1340=$H$9,H1340=$H$10,H1340=$H$11,H1340=$H$12,H1340=$H$13,H1340=$H$14),SottocategorieUscite[[#Headers],[Business Uscite]],IF(OR(H1340=$I$5,H1340=$I$6,H1340=$I$7,H1340=$I$8,H1340=$I$9,H1340=$I$10,H1340=$I$11,H1340=$I$12,H1340=$I$13,H1340=$I$14),SottocategorieUscite[[#Headers],[Banca]],IF(OR(H1340=K$5,H1340=K$6,H1340=K$7,H1340=K$8,H1340=K$9,H1340=K$10,H1340=K$11,H1340=K$12,H1340=K$13,H1340=K$14),SottocategorieEntrate[[#Headers],[Business Entrate]],IF(OR(H1340=L$5,H1340=L$6,H1340=L$7,H1340=L$8,H1340=L$9,H1340=L$10,H1340=L$11,H1340=L$12,H1340=L$13,H1340=L$14),SottocategorieEntrate[[#Headers],[Varie Entrate]],IF(OR(H1340=M$5,H1340=M$6,H1340=M$7,H1340=M$8,H1340=M$9,H1340=M$10,H1340=M$11,H1340=M$12,H1340=M$13,H1340=M$14),SottocategorieEntrate[[#Headers],[Real Estate]],IF(OR(H1340=N$5,H1340=N$6,H1340=N$7,H1340=N$8,H1340=N$9,H1340=N$10,H1340=N$11,H1340=N$12,H1340=N$13,H1340=N$14),SottocategorieEntrate[[#Headers],[Other]],""))))))))))))</f>
        <v/>
      </c>
      <c r="J1340" t="str">
        <f>IF(OR(Dati[[#This Row],[Categoria]]="Bollette",Dati[[#This Row],[Categoria]]="Conto &amp; Carte BNL",Dati[[#This Row],[Categoria]]="Prelievo",Dati[[#This Row],[Categoria]]="Affitto",Dati[[#This Row],[Categoria]]="BNL(Interessi Creditori)"),"Carta",IF(Dati[[#This Row],[Categoria]]&lt;&gt;0,"Cash",""))</f>
        <v/>
      </c>
      <c r="K1340" s="59" t="str">
        <f>IF(OR(Data!$I1340=SottocategorieUscite[[#Headers],[Fuori Casa]],Data!$I1340=SottocategorieUscite[[#Headers],[Varie Uscite]],Data!$I1340=SottocategorieUscite[[#Headers],[Personali]],Data!$I1340=SottocategorieUscite[[#Headers],[Lavoro]]),"$ -","")</f>
        <v/>
      </c>
      <c r="L1340" s="59" t="str">
        <f>IF(OR(Data!$I1340=SottocategorieUscite[[#Headers],[Casa]],Data!$I1340=SottocategorieUscite[[#Headers],[Utenze]],Data!$I1340=SottocategorieUscite[[#Headers],[Business Uscite]],Data!$I1340=SottocategorieUscite[[#Headers],[Banca]]),"$ -","")</f>
        <v/>
      </c>
      <c r="M1340" s="59" t="str">
        <f>IF(OR($I1340&lt;&gt;SottocategorieUscite[[#Headers],[Fuori Casa]],$I1340&lt;&gt;SottocategorieUscite[[#Headers],[Varie Uscite]],$I1340&lt;&gt;SottocategorieUscite[[#Headers],[Personali]],$I1340&lt;&gt;SottocategorieUscite[[#Headers],[Lavoro]],$I1340&lt;&gt;SottocategorieUscite[[#Headers],[Casa]],$I1340&lt;&gt;SottocategorieUscite[[#Headers],[Utenze]],$I1340&lt;&gt;SottocategorieUscite[[#Headers],[Business Uscite]],$I1340&lt;&gt;SottocategorieUscite[[#Headers],[Banca]]),"","$ -")</f>
        <v/>
      </c>
      <c r="N1340" s="59" t="str">
        <f>IF(OR(Data!$I1340=SottocategorieEntrate[[#Headers],[Business Entrate]],Data!$I1340=SottocategorieEntrate[[#Headers],[Varie Entrate]]),"$ -","")</f>
        <v/>
      </c>
      <c r="O1340" s="59" t="str">
        <f>IF(OR(Data!$I1340=SottocategorieEntrate[[#Headers],[Real Estate]],SottocategorieEntrate[[#Headers],[Other]]),"$ -","")</f>
        <v/>
      </c>
      <c r="P1340" s="59" t="str">
        <f>IF(OR($I1340&lt;&gt;SottocategorieEntrate[[#Headers],[Business Entrate]],$I1340&lt;&gt;SottocategorieEntrate[[#Headers],[Varie Entrate]],$I1340&lt;&gt;SottocategorieEntrate[[#Headers],[Real Estate]],$I1340&lt;&gt;SottocategorieEntrate[[#Headers],[Other]]),"","$ -")</f>
        <v/>
      </c>
      <c r="Q1340" s="59" t="str">
        <f>IF(Dati[[#This Row],[Categoria]]="Prelievo","€ -","")</f>
        <v/>
      </c>
      <c r="R1340" s="244"/>
      <c r="S1340" s="59" t="str">
        <f>IF(Dati[[#This Row],[Categoria]]="Savings",0,"")</f>
        <v/>
      </c>
      <c r="T1340" s="59"/>
      <c r="U1340" s="59"/>
      <c r="V1340" s="59"/>
      <c r="W1340" s="59"/>
      <c r="X1340" s="59"/>
      <c r="Y1340" s="59"/>
      <c r="Z1340" s="59"/>
      <c r="AA1340" s="59"/>
      <c r="AB1340" s="59"/>
      <c r="AC1340" s="59"/>
      <c r="AD1340" s="59"/>
      <c r="AE1340" s="59"/>
      <c r="AF1340" s="59"/>
      <c r="AG1340" s="59"/>
      <c r="AH1340" s="59"/>
      <c r="AI1340" s="59" t="str">
        <f>IF(SUM(Dati[[#This Row],[Inv. Business]:[Inv. Cryptocurrency]])=0," ",SUM(Dati[[#This Row],[Inv. Business]:[Inv. Cryptocurrency]]))</f>
        <v xml:space="preserve"> </v>
      </c>
      <c r="AJ1340" s="59"/>
      <c r="AK1340" s="59" t="str">
        <f>IF(SUM(Dati[[#This Row],[Inv. Gold]:[Mutuo]])=0," ",SUM(Dati[[#This Row],[Inv. Gold]:[Mutuo]]))</f>
        <v xml:space="preserve"> </v>
      </c>
      <c r="AL1340" s="59"/>
      <c r="AM1340" s="59"/>
    </row>
    <row r="1341" spans="2:39" x14ac:dyDescent="0.35">
      <c r="B1341" s="237">
        <f t="shared" si="103"/>
        <v>1314</v>
      </c>
      <c r="C1341" s="49">
        <f t="shared" si="95"/>
        <v>45899</v>
      </c>
      <c r="D1341" s="29">
        <f>DAY(Dati[[#This Row],[Data]])</f>
        <v>30</v>
      </c>
      <c r="E1341" s="29" t="str">
        <f>IF(DAY(Data!$C$21:$C$1613)&gt;0,TEXT(Data!$C$21:$C$1613, "mmmm"),"")</f>
        <v>agosto</v>
      </c>
      <c r="F1341" s="29" t="str">
        <f>IF(DAY(Data!$C$21:$C$1613)&gt;0,TEXT(Data!$C$21:$C$1613, "aaaa"),"")</f>
        <v>2025</v>
      </c>
      <c r="I1341" t="str">
        <f>IF(OR(H1341=$B$5,H1341=$B$6,H1341=$B$7,H1341=$B$8,H1341=$B$9,H1341=$B$10,H1341=$B$11,H1341=$B$12,H1341=$B$13,H1341=$B$14),SottocategorieUscite[[#Headers],[Fuori Casa]],IF(OR(H1341=$C$5,H1341=$C$6,H1341=$C$7,H1341=$C$8,H1341=$C$9,H1341=$C$10,H1341=$C$11,H1341=$C$12,H1341=$C$13,H1341=$C$14),SottocategorieUscite[[#Headers],[Varie Uscite]],IF(OR(H1341=$D$5,H1341=$D$6,H1341=$D$7,H1341=$D$8,H1341=$D$9,H1341=$D$10,H1341=$D$11,H1341=$D$12,H1341=$D$13,H1341=$D$14),SottocategorieUscite[[#Headers],[Personali]],IF(OR(H1341=$E$5,H1341=$E$6,H1341=$E$7,H1341=$E$8,H1341=$E$9,H1341=$E$10,H1341=$E$11,H1341=$E$12,H1341=$E$13,H1341=$E$14),SottocategorieUscite[[#Headers],[Lavoro]],IF(OR(H1341=$F$5,H1341=$F$6,H1341=$F$7,H1341=$F$8,H1341=$F$9,H1341=$F$10,H1341=$F$11,H1341=$F$12,H1341=$F$13,H1341=$F$14),SottocategorieUscite[[#Headers],[Casa]],IF(OR(H1341=$G$5,H1341=$G$6,H1341=$G$7,H1341=$G$8,H1341=$G$9,H1341=$G$10,H1341=$G$11,H1341=$G$12,H1341=$G$13,H1341=$G$14),SottocategorieUscite[[#Headers],[Utenze]],IF(OR(H1341=$H$5,H1341=$H$6,H1341=$H$7,H1341=$H$8,H1341=$H$9,H1341=$H$10,H1341=$H$11,H1341=$H$12,H1341=$H$13,H1341=$H$14),SottocategorieUscite[[#Headers],[Business Uscite]],IF(OR(H1341=$I$5,H1341=$I$6,H1341=$I$7,H1341=$I$8,H1341=$I$9,H1341=$I$10,H1341=$I$11,H1341=$I$12,H1341=$I$13,H1341=$I$14),SottocategorieUscite[[#Headers],[Banca]],IF(OR(H1341=K$5,H1341=K$6,H1341=K$7,H1341=K$8,H1341=K$9,H1341=K$10,H1341=K$11,H1341=K$12,H1341=K$13,H1341=K$14),SottocategorieEntrate[[#Headers],[Business Entrate]],IF(OR(H1341=L$5,H1341=L$6,H1341=L$7,H1341=L$8,H1341=L$9,H1341=L$10,H1341=L$11,H1341=L$12,H1341=L$13,H1341=L$14),SottocategorieEntrate[[#Headers],[Varie Entrate]],IF(OR(H1341=M$5,H1341=M$6,H1341=M$7,H1341=M$8,H1341=M$9,H1341=M$10,H1341=M$11,H1341=M$12,H1341=M$13,H1341=M$14),SottocategorieEntrate[[#Headers],[Real Estate]],IF(OR(H1341=N$5,H1341=N$6,H1341=N$7,H1341=N$8,H1341=N$9,H1341=N$10,H1341=N$11,H1341=N$12,H1341=N$13,H1341=N$14),SottocategorieEntrate[[#Headers],[Other]],""))))))))))))</f>
        <v/>
      </c>
      <c r="J1341" t="str">
        <f>IF(OR(Dati[[#This Row],[Categoria]]="Bollette",Dati[[#This Row],[Categoria]]="Conto &amp; Carte BNL",Dati[[#This Row],[Categoria]]="Prelievo",Dati[[#This Row],[Categoria]]="Affitto",Dati[[#This Row],[Categoria]]="BNL(Interessi Creditori)"),"Carta",IF(Dati[[#This Row],[Categoria]]&lt;&gt;0,"Cash",""))</f>
        <v/>
      </c>
      <c r="K1341" s="59" t="str">
        <f>IF(OR(Data!$I1341=SottocategorieUscite[[#Headers],[Fuori Casa]],Data!$I1341=SottocategorieUscite[[#Headers],[Varie Uscite]],Data!$I1341=SottocategorieUscite[[#Headers],[Personali]],Data!$I1341=SottocategorieUscite[[#Headers],[Lavoro]]),"$ -","")</f>
        <v/>
      </c>
      <c r="L1341" s="59" t="str">
        <f>IF(OR(Data!$I1341=SottocategorieUscite[[#Headers],[Casa]],Data!$I1341=SottocategorieUscite[[#Headers],[Utenze]],Data!$I1341=SottocategorieUscite[[#Headers],[Business Uscite]],Data!$I1341=SottocategorieUscite[[#Headers],[Banca]]),"$ -","")</f>
        <v/>
      </c>
      <c r="M1341" s="59" t="str">
        <f>IF(OR($I1341&lt;&gt;SottocategorieUscite[[#Headers],[Fuori Casa]],$I1341&lt;&gt;SottocategorieUscite[[#Headers],[Varie Uscite]],$I1341&lt;&gt;SottocategorieUscite[[#Headers],[Personali]],$I1341&lt;&gt;SottocategorieUscite[[#Headers],[Lavoro]],$I1341&lt;&gt;SottocategorieUscite[[#Headers],[Casa]],$I1341&lt;&gt;SottocategorieUscite[[#Headers],[Utenze]],$I1341&lt;&gt;SottocategorieUscite[[#Headers],[Business Uscite]],$I1341&lt;&gt;SottocategorieUscite[[#Headers],[Banca]]),"","$ -")</f>
        <v/>
      </c>
      <c r="N1341" s="59" t="str">
        <f>IF(OR(Data!$I1341=SottocategorieEntrate[[#Headers],[Business Entrate]],Data!$I1341=SottocategorieEntrate[[#Headers],[Varie Entrate]]),"$ -","")</f>
        <v/>
      </c>
      <c r="O1341" s="59" t="str">
        <f>IF(OR(Data!$I1341=SottocategorieEntrate[[#Headers],[Real Estate]],SottocategorieEntrate[[#Headers],[Other]]),"$ -","")</f>
        <v/>
      </c>
      <c r="P1341" s="59" t="str">
        <f>IF(OR($I1341&lt;&gt;SottocategorieEntrate[[#Headers],[Business Entrate]],$I1341&lt;&gt;SottocategorieEntrate[[#Headers],[Varie Entrate]],$I1341&lt;&gt;SottocategorieEntrate[[#Headers],[Real Estate]],$I1341&lt;&gt;SottocategorieEntrate[[#Headers],[Other]]),"","$ -")</f>
        <v/>
      </c>
      <c r="Q1341" s="59" t="str">
        <f>IF(Dati[[#This Row],[Categoria]]="Prelievo","€ -","")</f>
        <v/>
      </c>
      <c r="R1341" s="244"/>
      <c r="S1341" s="59" t="str">
        <f>IF(Dati[[#This Row],[Categoria]]="Savings",0,"")</f>
        <v/>
      </c>
      <c r="T1341" s="59"/>
      <c r="U1341" s="59"/>
      <c r="V1341" s="59"/>
      <c r="W1341" s="59"/>
      <c r="X1341" s="59"/>
      <c r="Y1341" s="59"/>
      <c r="Z1341" s="59"/>
      <c r="AA1341" s="59"/>
      <c r="AB1341" s="59"/>
      <c r="AC1341" s="59"/>
      <c r="AD1341" s="59"/>
      <c r="AE1341" s="59"/>
      <c r="AF1341" s="59"/>
      <c r="AG1341" s="59"/>
      <c r="AH1341" s="59"/>
      <c r="AI1341" s="59" t="str">
        <f>IF(SUM(Dati[[#This Row],[Inv. Business]:[Inv. Cryptocurrency]])=0," ",SUM(Dati[[#This Row],[Inv. Business]:[Inv. Cryptocurrency]]))</f>
        <v xml:space="preserve"> </v>
      </c>
      <c r="AJ1341" s="59"/>
      <c r="AK1341" s="59" t="str">
        <f>IF(SUM(Dati[[#This Row],[Inv. Gold]:[Mutuo]])=0," ",SUM(Dati[[#This Row],[Inv. Gold]:[Mutuo]]))</f>
        <v xml:space="preserve"> </v>
      </c>
      <c r="AL1341" s="59"/>
      <c r="AM1341" s="59"/>
    </row>
    <row r="1342" spans="2:39" x14ac:dyDescent="0.35">
      <c r="B1342" s="237">
        <f t="shared" si="103"/>
        <v>1315</v>
      </c>
      <c r="C1342" s="49">
        <f t="shared" si="95"/>
        <v>45900</v>
      </c>
      <c r="D1342" s="29">
        <f>DAY(Dati[[#This Row],[Data]])</f>
        <v>31</v>
      </c>
      <c r="E1342" s="29" t="str">
        <f>IF(DAY(Data!$C$21:$C$1613)&gt;0,TEXT(Data!$C$21:$C$1613, "mmmm"),"")</f>
        <v>agosto</v>
      </c>
      <c r="F1342" s="29" t="str">
        <f>IF(DAY(Data!$C$21:$C$1613)&gt;0,TEXT(Data!$C$21:$C$1613, "aaaa"),"")</f>
        <v>2025</v>
      </c>
      <c r="I1342" t="str">
        <f>IF(OR(H1342=$B$5,H1342=$B$6,H1342=$B$7,H1342=$B$8,H1342=$B$9,H1342=$B$10,H1342=$B$11,H1342=$B$12,H1342=$B$13,H1342=$B$14),SottocategorieUscite[[#Headers],[Fuori Casa]],IF(OR(H1342=$C$5,H1342=$C$6,H1342=$C$7,H1342=$C$8,H1342=$C$9,H1342=$C$10,H1342=$C$11,H1342=$C$12,H1342=$C$13,H1342=$C$14),SottocategorieUscite[[#Headers],[Varie Uscite]],IF(OR(H1342=$D$5,H1342=$D$6,H1342=$D$7,H1342=$D$8,H1342=$D$9,H1342=$D$10,H1342=$D$11,H1342=$D$12,H1342=$D$13,H1342=$D$14),SottocategorieUscite[[#Headers],[Personali]],IF(OR(H1342=$E$5,H1342=$E$6,H1342=$E$7,H1342=$E$8,H1342=$E$9,H1342=$E$10,H1342=$E$11,H1342=$E$12,H1342=$E$13,H1342=$E$14),SottocategorieUscite[[#Headers],[Lavoro]],IF(OR(H1342=$F$5,H1342=$F$6,H1342=$F$7,H1342=$F$8,H1342=$F$9,H1342=$F$10,H1342=$F$11,H1342=$F$12,H1342=$F$13,H1342=$F$14),SottocategorieUscite[[#Headers],[Casa]],IF(OR(H1342=$G$5,H1342=$G$6,H1342=$G$7,H1342=$G$8,H1342=$G$9,H1342=$G$10,H1342=$G$11,H1342=$G$12,H1342=$G$13,H1342=$G$14),SottocategorieUscite[[#Headers],[Utenze]],IF(OR(H1342=$H$5,H1342=$H$6,H1342=$H$7,H1342=$H$8,H1342=$H$9,H1342=$H$10,H1342=$H$11,H1342=$H$12,H1342=$H$13,H1342=$H$14),SottocategorieUscite[[#Headers],[Business Uscite]],IF(OR(H1342=$I$5,H1342=$I$6,H1342=$I$7,H1342=$I$8,H1342=$I$9,H1342=$I$10,H1342=$I$11,H1342=$I$12,H1342=$I$13,H1342=$I$14),SottocategorieUscite[[#Headers],[Banca]],IF(OR(H1342=K$5,H1342=K$6,H1342=K$7,H1342=K$8,H1342=K$9,H1342=K$10,H1342=K$11,H1342=K$12,H1342=K$13,H1342=K$14),SottocategorieEntrate[[#Headers],[Business Entrate]],IF(OR(H1342=L$5,H1342=L$6,H1342=L$7,H1342=L$8,H1342=L$9,H1342=L$10,H1342=L$11,H1342=L$12,H1342=L$13,H1342=L$14),SottocategorieEntrate[[#Headers],[Varie Entrate]],IF(OR(H1342=M$5,H1342=M$6,H1342=M$7,H1342=M$8,H1342=M$9,H1342=M$10,H1342=M$11,H1342=M$12,H1342=M$13,H1342=M$14),SottocategorieEntrate[[#Headers],[Real Estate]],IF(OR(H1342=N$5,H1342=N$6,H1342=N$7,H1342=N$8,H1342=N$9,H1342=N$10,H1342=N$11,H1342=N$12,H1342=N$13,H1342=N$14),SottocategorieEntrate[[#Headers],[Other]],""))))))))))))</f>
        <v/>
      </c>
      <c r="J1342" t="str">
        <f>IF(OR(Dati[[#This Row],[Categoria]]="Bollette",Dati[[#This Row],[Categoria]]="Conto &amp; Carte BNL",Dati[[#This Row],[Categoria]]="Prelievo",Dati[[#This Row],[Categoria]]="Affitto",Dati[[#This Row],[Categoria]]="BNL(Interessi Creditori)"),"Carta",IF(Dati[[#This Row],[Categoria]]&lt;&gt;0,"Cash",""))</f>
        <v/>
      </c>
      <c r="K1342" s="59" t="str">
        <f>IF(OR(Data!$I1342=SottocategorieUscite[[#Headers],[Fuori Casa]],Data!$I1342=SottocategorieUscite[[#Headers],[Varie Uscite]],Data!$I1342=SottocategorieUscite[[#Headers],[Personali]],Data!$I1342=SottocategorieUscite[[#Headers],[Lavoro]]),"$ -","")</f>
        <v/>
      </c>
      <c r="L1342" s="59" t="str">
        <f>IF(OR(Data!$I1342=SottocategorieUscite[[#Headers],[Casa]],Data!$I1342=SottocategorieUscite[[#Headers],[Utenze]],Data!$I1342=SottocategorieUscite[[#Headers],[Business Uscite]],Data!$I1342=SottocategorieUscite[[#Headers],[Banca]]),"$ -","")</f>
        <v/>
      </c>
      <c r="M1342" s="59" t="str">
        <f>IF(OR($I1342&lt;&gt;SottocategorieUscite[[#Headers],[Fuori Casa]],$I1342&lt;&gt;SottocategorieUscite[[#Headers],[Varie Uscite]],$I1342&lt;&gt;SottocategorieUscite[[#Headers],[Personali]],$I1342&lt;&gt;SottocategorieUscite[[#Headers],[Lavoro]],$I1342&lt;&gt;SottocategorieUscite[[#Headers],[Casa]],$I1342&lt;&gt;SottocategorieUscite[[#Headers],[Utenze]],$I1342&lt;&gt;SottocategorieUscite[[#Headers],[Business Uscite]],$I1342&lt;&gt;SottocategorieUscite[[#Headers],[Banca]]),"","$ -")</f>
        <v/>
      </c>
      <c r="N1342" s="59" t="str">
        <f>IF(OR(Data!$I1342=SottocategorieEntrate[[#Headers],[Business Entrate]],Data!$I1342=SottocategorieEntrate[[#Headers],[Varie Entrate]]),"$ -","")</f>
        <v/>
      </c>
      <c r="O1342" s="59" t="str">
        <f>IF(OR(Data!$I1342=SottocategorieEntrate[[#Headers],[Real Estate]],SottocategorieEntrate[[#Headers],[Other]]),"$ -","")</f>
        <v/>
      </c>
      <c r="P1342" s="59" t="str">
        <f>IF(OR($I1342&lt;&gt;SottocategorieEntrate[[#Headers],[Business Entrate]],$I1342&lt;&gt;SottocategorieEntrate[[#Headers],[Varie Entrate]],$I1342&lt;&gt;SottocategorieEntrate[[#Headers],[Real Estate]],$I1342&lt;&gt;SottocategorieEntrate[[#Headers],[Other]]),"","$ -")</f>
        <v/>
      </c>
      <c r="Q1342" s="59" t="str">
        <f>IF(Dati[[#This Row],[Categoria]]="Prelievo","€ -","")</f>
        <v/>
      </c>
      <c r="R1342" s="244"/>
      <c r="S1342" s="59" t="str">
        <f>IF(Dati[[#This Row],[Categoria]]="Savings",0,"")</f>
        <v/>
      </c>
      <c r="T1342" s="59"/>
      <c r="U1342" s="59"/>
      <c r="V1342" s="59"/>
      <c r="W1342" s="59"/>
      <c r="X1342" s="59"/>
      <c r="Y1342" s="59"/>
      <c r="Z1342" s="59"/>
      <c r="AA1342" s="59"/>
      <c r="AB1342" s="59"/>
      <c r="AC1342" s="59"/>
      <c r="AD1342" s="59"/>
      <c r="AE1342" s="59"/>
      <c r="AF1342" s="59"/>
      <c r="AG1342" s="59"/>
      <c r="AH1342" s="59"/>
      <c r="AI1342" s="59" t="str">
        <f>IF(SUM(Dati[[#This Row],[Inv. Business]:[Inv. Cryptocurrency]])=0," ",SUM(Dati[[#This Row],[Inv. Business]:[Inv. Cryptocurrency]]))</f>
        <v xml:space="preserve"> </v>
      </c>
      <c r="AJ1342" s="59"/>
      <c r="AK1342" s="59" t="str">
        <f>IF(SUM(Dati[[#This Row],[Inv. Gold]:[Mutuo]])=0," ",SUM(Dati[[#This Row],[Inv. Gold]:[Mutuo]]))</f>
        <v xml:space="preserve"> </v>
      </c>
      <c r="AL1342" s="59"/>
      <c r="AM1342" s="59"/>
    </row>
    <row r="1343" spans="2:39" x14ac:dyDescent="0.35">
      <c r="B1343" s="237">
        <f t="shared" si="103"/>
        <v>1316</v>
      </c>
      <c r="C1343" s="49">
        <f t="shared" si="95"/>
        <v>45901</v>
      </c>
      <c r="D1343" s="29">
        <f>DAY(Dati[[#This Row],[Data]])</f>
        <v>1</v>
      </c>
      <c r="E1343" s="29" t="str">
        <f>IF(DAY(Data!$C$21:$C$1613)&gt;0,TEXT(Data!$C$21:$C$1613, "mmmm"),"")</f>
        <v>settembre</v>
      </c>
      <c r="F1343" s="29" t="str">
        <f>IF(DAY(Data!$C$21:$C$1613)&gt;0,TEXT(Data!$C$21:$C$1613, "aaaa"),"")</f>
        <v>2025</v>
      </c>
      <c r="I1343" t="str">
        <f>IF(OR(H1343=$B$5,H1343=$B$6,H1343=$B$7,H1343=$B$8,H1343=$B$9,H1343=$B$10,H1343=$B$11,H1343=$B$12,H1343=$B$13,H1343=$B$14),SottocategorieUscite[[#Headers],[Fuori Casa]],IF(OR(H1343=$C$5,H1343=$C$6,H1343=$C$7,H1343=$C$8,H1343=$C$9,H1343=$C$10,H1343=$C$11,H1343=$C$12,H1343=$C$13,H1343=$C$14),SottocategorieUscite[[#Headers],[Varie Uscite]],IF(OR(H1343=$D$5,H1343=$D$6,H1343=$D$7,H1343=$D$8,H1343=$D$9,H1343=$D$10,H1343=$D$11,H1343=$D$12,H1343=$D$13,H1343=$D$14),SottocategorieUscite[[#Headers],[Personali]],IF(OR(H1343=$E$5,H1343=$E$6,H1343=$E$7,H1343=$E$8,H1343=$E$9,H1343=$E$10,H1343=$E$11,H1343=$E$12,H1343=$E$13,H1343=$E$14),SottocategorieUscite[[#Headers],[Lavoro]],IF(OR(H1343=$F$5,H1343=$F$6,H1343=$F$7,H1343=$F$8,H1343=$F$9,H1343=$F$10,H1343=$F$11,H1343=$F$12,H1343=$F$13,H1343=$F$14),SottocategorieUscite[[#Headers],[Casa]],IF(OR(H1343=$G$5,H1343=$G$6,H1343=$G$7,H1343=$G$8,H1343=$G$9,H1343=$G$10,H1343=$G$11,H1343=$G$12,H1343=$G$13,H1343=$G$14),SottocategorieUscite[[#Headers],[Utenze]],IF(OR(H1343=$H$5,H1343=$H$6,H1343=$H$7,H1343=$H$8,H1343=$H$9,H1343=$H$10,H1343=$H$11,H1343=$H$12,H1343=$H$13,H1343=$H$14),SottocategorieUscite[[#Headers],[Business Uscite]],IF(OR(H1343=$I$5,H1343=$I$6,H1343=$I$7,H1343=$I$8,H1343=$I$9,H1343=$I$10,H1343=$I$11,H1343=$I$12,H1343=$I$13,H1343=$I$14),SottocategorieUscite[[#Headers],[Banca]],IF(OR(H1343=K$5,H1343=K$6,H1343=K$7,H1343=K$8,H1343=K$9,H1343=K$10,H1343=K$11,H1343=K$12,H1343=K$13,H1343=K$14),SottocategorieEntrate[[#Headers],[Business Entrate]],IF(OR(H1343=L$5,H1343=L$6,H1343=L$7,H1343=L$8,H1343=L$9,H1343=L$10,H1343=L$11,H1343=L$12,H1343=L$13,H1343=L$14),SottocategorieEntrate[[#Headers],[Varie Entrate]],IF(OR(H1343=M$5,H1343=M$6,H1343=M$7,H1343=M$8,H1343=M$9,H1343=M$10,H1343=M$11,H1343=M$12,H1343=M$13,H1343=M$14),SottocategorieEntrate[[#Headers],[Real Estate]],IF(OR(H1343=N$5,H1343=N$6,H1343=N$7,H1343=N$8,H1343=N$9,H1343=N$10,H1343=N$11,H1343=N$12,H1343=N$13,H1343=N$14),SottocategorieEntrate[[#Headers],[Other]],""))))))))))))</f>
        <v/>
      </c>
      <c r="J1343" t="str">
        <f>IF(OR(Dati[[#This Row],[Categoria]]="Bollette",Dati[[#This Row],[Categoria]]="Conto &amp; Carte BNL",Dati[[#This Row],[Categoria]]="Prelievo",Dati[[#This Row],[Categoria]]="Affitto",Dati[[#This Row],[Categoria]]="BNL(Interessi Creditori)"),"Carta",IF(Dati[[#This Row],[Categoria]]&lt;&gt;0,"Cash",""))</f>
        <v/>
      </c>
      <c r="K1343" s="59" t="str">
        <f>IF(OR(Data!$I1343=SottocategorieUscite[[#Headers],[Fuori Casa]],Data!$I1343=SottocategorieUscite[[#Headers],[Varie Uscite]],Data!$I1343=SottocategorieUscite[[#Headers],[Personali]],Data!$I1343=SottocategorieUscite[[#Headers],[Lavoro]]),"$ -","")</f>
        <v/>
      </c>
      <c r="L1343" s="59" t="str">
        <f>IF(OR(Data!$I1343=SottocategorieUscite[[#Headers],[Casa]],Data!$I1343=SottocategorieUscite[[#Headers],[Utenze]],Data!$I1343=SottocategorieUscite[[#Headers],[Business Uscite]],Data!$I1343=SottocategorieUscite[[#Headers],[Banca]]),"$ -","")</f>
        <v/>
      </c>
      <c r="M1343" s="59" t="str">
        <f>IF(OR($I1343&lt;&gt;SottocategorieUscite[[#Headers],[Fuori Casa]],$I1343&lt;&gt;SottocategorieUscite[[#Headers],[Varie Uscite]],$I1343&lt;&gt;SottocategorieUscite[[#Headers],[Personali]],$I1343&lt;&gt;SottocategorieUscite[[#Headers],[Lavoro]],$I1343&lt;&gt;SottocategorieUscite[[#Headers],[Casa]],$I1343&lt;&gt;SottocategorieUscite[[#Headers],[Utenze]],$I1343&lt;&gt;SottocategorieUscite[[#Headers],[Business Uscite]],$I1343&lt;&gt;SottocategorieUscite[[#Headers],[Banca]]),"","$ -")</f>
        <v/>
      </c>
      <c r="N1343" s="59" t="str">
        <f>IF(OR(Data!$I1343=SottocategorieEntrate[[#Headers],[Business Entrate]],Data!$I1343=SottocategorieEntrate[[#Headers],[Varie Entrate]]),"$ -","")</f>
        <v/>
      </c>
      <c r="O1343" s="59" t="str">
        <f>IF(OR(Data!$I1343=SottocategorieEntrate[[#Headers],[Real Estate]],SottocategorieEntrate[[#Headers],[Other]]),"$ -","")</f>
        <v/>
      </c>
      <c r="P1343" s="59" t="str">
        <f>IF(OR($I1343&lt;&gt;SottocategorieEntrate[[#Headers],[Business Entrate]],$I1343&lt;&gt;SottocategorieEntrate[[#Headers],[Varie Entrate]],$I1343&lt;&gt;SottocategorieEntrate[[#Headers],[Real Estate]],$I1343&lt;&gt;SottocategorieEntrate[[#Headers],[Other]]),"","$ -")</f>
        <v/>
      </c>
      <c r="Q1343" s="59" t="str">
        <f>IF(Dati[[#This Row],[Categoria]]="Prelievo","€ -","")</f>
        <v/>
      </c>
      <c r="R1343" s="244"/>
      <c r="S1343" s="59" t="str">
        <f>IF(Dati[[#This Row],[Categoria]]="Savings",0,"")</f>
        <v/>
      </c>
      <c r="T1343" s="59"/>
      <c r="U1343" s="59"/>
      <c r="V1343" s="59"/>
      <c r="W1343" s="59"/>
      <c r="X1343" s="59"/>
      <c r="Y1343" s="59"/>
      <c r="Z1343" s="59"/>
      <c r="AA1343" s="59"/>
      <c r="AB1343" s="59"/>
      <c r="AC1343" s="59"/>
      <c r="AD1343" s="59"/>
      <c r="AE1343" s="59"/>
      <c r="AF1343" s="59"/>
      <c r="AG1343" s="59"/>
      <c r="AH1343" s="59"/>
      <c r="AI1343" s="59" t="str">
        <f>IF(SUM(Dati[[#This Row],[Inv. Business]:[Inv. Cryptocurrency]])=0," ",SUM(Dati[[#This Row],[Inv. Business]:[Inv. Cryptocurrency]]))</f>
        <v xml:space="preserve"> </v>
      </c>
      <c r="AJ1343" s="59"/>
      <c r="AK1343" s="59" t="str">
        <f>IF(SUM(Dati[[#This Row],[Inv. Gold]:[Mutuo]])=0," ",SUM(Dati[[#This Row],[Inv. Gold]:[Mutuo]]))</f>
        <v xml:space="preserve"> </v>
      </c>
      <c r="AL1343" s="59"/>
      <c r="AM1343" s="59"/>
    </row>
    <row r="1344" spans="2:39" x14ac:dyDescent="0.35">
      <c r="B1344" s="237">
        <f t="shared" si="103"/>
        <v>1317</v>
      </c>
      <c r="C1344" s="49">
        <f t="shared" si="95"/>
        <v>45902</v>
      </c>
      <c r="D1344" s="29">
        <f>DAY(Dati[[#This Row],[Data]])</f>
        <v>2</v>
      </c>
      <c r="E1344" s="29" t="str">
        <f>IF(DAY(Data!$C$21:$C$1613)&gt;0,TEXT(Data!$C$21:$C$1613, "mmmm"),"")</f>
        <v>settembre</v>
      </c>
      <c r="F1344" s="29" t="str">
        <f>IF(DAY(Data!$C$21:$C$1613)&gt;0,TEXT(Data!$C$21:$C$1613, "aaaa"),"")</f>
        <v>2025</v>
      </c>
      <c r="I1344" t="str">
        <f>IF(OR(H1344=$B$5,H1344=$B$6,H1344=$B$7,H1344=$B$8,H1344=$B$9,H1344=$B$10,H1344=$B$11,H1344=$B$12,H1344=$B$13,H1344=$B$14),SottocategorieUscite[[#Headers],[Fuori Casa]],IF(OR(H1344=$C$5,H1344=$C$6,H1344=$C$7,H1344=$C$8,H1344=$C$9,H1344=$C$10,H1344=$C$11,H1344=$C$12,H1344=$C$13,H1344=$C$14),SottocategorieUscite[[#Headers],[Varie Uscite]],IF(OR(H1344=$D$5,H1344=$D$6,H1344=$D$7,H1344=$D$8,H1344=$D$9,H1344=$D$10,H1344=$D$11,H1344=$D$12,H1344=$D$13,H1344=$D$14),SottocategorieUscite[[#Headers],[Personali]],IF(OR(H1344=$E$5,H1344=$E$6,H1344=$E$7,H1344=$E$8,H1344=$E$9,H1344=$E$10,H1344=$E$11,H1344=$E$12,H1344=$E$13,H1344=$E$14),SottocategorieUscite[[#Headers],[Lavoro]],IF(OR(H1344=$F$5,H1344=$F$6,H1344=$F$7,H1344=$F$8,H1344=$F$9,H1344=$F$10,H1344=$F$11,H1344=$F$12,H1344=$F$13,H1344=$F$14),SottocategorieUscite[[#Headers],[Casa]],IF(OR(H1344=$G$5,H1344=$G$6,H1344=$G$7,H1344=$G$8,H1344=$G$9,H1344=$G$10,H1344=$G$11,H1344=$G$12,H1344=$G$13,H1344=$G$14),SottocategorieUscite[[#Headers],[Utenze]],IF(OR(H1344=$H$5,H1344=$H$6,H1344=$H$7,H1344=$H$8,H1344=$H$9,H1344=$H$10,H1344=$H$11,H1344=$H$12,H1344=$H$13,H1344=$H$14),SottocategorieUscite[[#Headers],[Business Uscite]],IF(OR(H1344=$I$5,H1344=$I$6,H1344=$I$7,H1344=$I$8,H1344=$I$9,H1344=$I$10,H1344=$I$11,H1344=$I$12,H1344=$I$13,H1344=$I$14),SottocategorieUscite[[#Headers],[Banca]],IF(OR(H1344=K$5,H1344=K$6,H1344=K$7,H1344=K$8,H1344=K$9,H1344=K$10,H1344=K$11,H1344=K$12,H1344=K$13,H1344=K$14),SottocategorieEntrate[[#Headers],[Business Entrate]],IF(OR(H1344=L$5,H1344=L$6,H1344=L$7,H1344=L$8,H1344=L$9,H1344=L$10,H1344=L$11,H1344=L$12,H1344=L$13,H1344=L$14),SottocategorieEntrate[[#Headers],[Varie Entrate]],IF(OR(H1344=M$5,H1344=M$6,H1344=M$7,H1344=M$8,H1344=M$9,H1344=M$10,H1344=M$11,H1344=M$12,H1344=M$13,H1344=M$14),SottocategorieEntrate[[#Headers],[Real Estate]],IF(OR(H1344=N$5,H1344=N$6,H1344=N$7,H1344=N$8,H1344=N$9,H1344=N$10,H1344=N$11,H1344=N$12,H1344=N$13,H1344=N$14),SottocategorieEntrate[[#Headers],[Other]],""))))))))))))</f>
        <v/>
      </c>
      <c r="J1344" t="str">
        <f>IF(OR(Dati[[#This Row],[Categoria]]="Bollette",Dati[[#This Row],[Categoria]]="Conto &amp; Carte BNL",Dati[[#This Row],[Categoria]]="Prelievo",Dati[[#This Row],[Categoria]]="Affitto",Dati[[#This Row],[Categoria]]="BNL(Interessi Creditori)"),"Carta",IF(Dati[[#This Row],[Categoria]]&lt;&gt;0,"Cash",""))</f>
        <v/>
      </c>
      <c r="K1344" s="59" t="str">
        <f>IF(OR(Data!$I1344=SottocategorieUscite[[#Headers],[Fuori Casa]],Data!$I1344=SottocategorieUscite[[#Headers],[Varie Uscite]],Data!$I1344=SottocategorieUscite[[#Headers],[Personali]],Data!$I1344=SottocategorieUscite[[#Headers],[Lavoro]]),"$ -","")</f>
        <v/>
      </c>
      <c r="L1344" s="59" t="str">
        <f>IF(OR(Data!$I1344=SottocategorieUscite[[#Headers],[Casa]],Data!$I1344=SottocategorieUscite[[#Headers],[Utenze]],Data!$I1344=SottocategorieUscite[[#Headers],[Business Uscite]],Data!$I1344=SottocategorieUscite[[#Headers],[Banca]]),"$ -","")</f>
        <v/>
      </c>
      <c r="M1344" s="59" t="str">
        <f>IF(OR($I1344&lt;&gt;SottocategorieUscite[[#Headers],[Fuori Casa]],$I1344&lt;&gt;SottocategorieUscite[[#Headers],[Varie Uscite]],$I1344&lt;&gt;SottocategorieUscite[[#Headers],[Personali]],$I1344&lt;&gt;SottocategorieUscite[[#Headers],[Lavoro]],$I1344&lt;&gt;SottocategorieUscite[[#Headers],[Casa]],$I1344&lt;&gt;SottocategorieUscite[[#Headers],[Utenze]],$I1344&lt;&gt;SottocategorieUscite[[#Headers],[Business Uscite]],$I1344&lt;&gt;SottocategorieUscite[[#Headers],[Banca]]),"","$ -")</f>
        <v/>
      </c>
      <c r="N1344" s="59" t="str">
        <f>IF(OR(Data!$I1344=SottocategorieEntrate[[#Headers],[Business Entrate]],Data!$I1344=SottocategorieEntrate[[#Headers],[Varie Entrate]]),"$ -","")</f>
        <v/>
      </c>
      <c r="O1344" s="59" t="str">
        <f>IF(OR(Data!$I1344=SottocategorieEntrate[[#Headers],[Real Estate]],SottocategorieEntrate[[#Headers],[Other]]),"$ -","")</f>
        <v/>
      </c>
      <c r="P1344" s="59" t="str">
        <f>IF(OR($I1344&lt;&gt;SottocategorieEntrate[[#Headers],[Business Entrate]],$I1344&lt;&gt;SottocategorieEntrate[[#Headers],[Varie Entrate]],$I1344&lt;&gt;SottocategorieEntrate[[#Headers],[Real Estate]],$I1344&lt;&gt;SottocategorieEntrate[[#Headers],[Other]]),"","$ -")</f>
        <v/>
      </c>
      <c r="Q1344" s="59" t="str">
        <f>IF(Dati[[#This Row],[Categoria]]="Prelievo","€ -","")</f>
        <v/>
      </c>
      <c r="R1344" s="244"/>
      <c r="S1344" s="59" t="str">
        <f>IF(Dati[[#This Row],[Categoria]]="Savings",0,"")</f>
        <v/>
      </c>
      <c r="T1344" s="59"/>
      <c r="U1344" s="59"/>
      <c r="V1344" s="59"/>
      <c r="W1344" s="59"/>
      <c r="X1344" s="59"/>
      <c r="Y1344" s="59"/>
      <c r="Z1344" s="59"/>
      <c r="AA1344" s="59"/>
      <c r="AB1344" s="59"/>
      <c r="AC1344" s="59"/>
      <c r="AD1344" s="59"/>
      <c r="AE1344" s="59"/>
      <c r="AF1344" s="59"/>
      <c r="AG1344" s="59"/>
      <c r="AH1344" s="59"/>
      <c r="AI1344" s="59" t="str">
        <f>IF(SUM(Dati[[#This Row],[Inv. Business]:[Inv. Cryptocurrency]])=0," ",SUM(Dati[[#This Row],[Inv. Business]:[Inv. Cryptocurrency]]))</f>
        <v xml:space="preserve"> </v>
      </c>
      <c r="AJ1344" s="59"/>
      <c r="AK1344" s="59" t="str">
        <f>IF(SUM(Dati[[#This Row],[Inv. Gold]:[Mutuo]])=0," ",SUM(Dati[[#This Row],[Inv. Gold]:[Mutuo]]))</f>
        <v xml:space="preserve"> </v>
      </c>
      <c r="AL1344" s="59"/>
      <c r="AM1344" s="59"/>
    </row>
    <row r="1345" spans="2:39" x14ac:dyDescent="0.35">
      <c r="B1345" s="237">
        <f t="shared" si="103"/>
        <v>1318</v>
      </c>
      <c r="C1345" s="49">
        <f t="shared" si="95"/>
        <v>45903</v>
      </c>
      <c r="D1345" s="29">
        <f>DAY(Dati[[#This Row],[Data]])</f>
        <v>3</v>
      </c>
      <c r="E1345" s="29" t="str">
        <f>IF(DAY(Data!$C$21:$C$1613)&gt;0,TEXT(Data!$C$21:$C$1613, "mmmm"),"")</f>
        <v>settembre</v>
      </c>
      <c r="F1345" s="29" t="str">
        <f>IF(DAY(Data!$C$21:$C$1613)&gt;0,TEXT(Data!$C$21:$C$1613, "aaaa"),"")</f>
        <v>2025</v>
      </c>
      <c r="I1345" t="str">
        <f>IF(OR(H1345=$B$5,H1345=$B$6,H1345=$B$7,H1345=$B$8,H1345=$B$9,H1345=$B$10,H1345=$B$11,H1345=$B$12,H1345=$B$13,H1345=$B$14),SottocategorieUscite[[#Headers],[Fuori Casa]],IF(OR(H1345=$C$5,H1345=$C$6,H1345=$C$7,H1345=$C$8,H1345=$C$9,H1345=$C$10,H1345=$C$11,H1345=$C$12,H1345=$C$13,H1345=$C$14),SottocategorieUscite[[#Headers],[Varie Uscite]],IF(OR(H1345=$D$5,H1345=$D$6,H1345=$D$7,H1345=$D$8,H1345=$D$9,H1345=$D$10,H1345=$D$11,H1345=$D$12,H1345=$D$13,H1345=$D$14),SottocategorieUscite[[#Headers],[Personali]],IF(OR(H1345=$E$5,H1345=$E$6,H1345=$E$7,H1345=$E$8,H1345=$E$9,H1345=$E$10,H1345=$E$11,H1345=$E$12,H1345=$E$13,H1345=$E$14),SottocategorieUscite[[#Headers],[Lavoro]],IF(OR(H1345=$F$5,H1345=$F$6,H1345=$F$7,H1345=$F$8,H1345=$F$9,H1345=$F$10,H1345=$F$11,H1345=$F$12,H1345=$F$13,H1345=$F$14),SottocategorieUscite[[#Headers],[Casa]],IF(OR(H1345=$G$5,H1345=$G$6,H1345=$G$7,H1345=$G$8,H1345=$G$9,H1345=$G$10,H1345=$G$11,H1345=$G$12,H1345=$G$13,H1345=$G$14),SottocategorieUscite[[#Headers],[Utenze]],IF(OR(H1345=$H$5,H1345=$H$6,H1345=$H$7,H1345=$H$8,H1345=$H$9,H1345=$H$10,H1345=$H$11,H1345=$H$12,H1345=$H$13,H1345=$H$14),SottocategorieUscite[[#Headers],[Business Uscite]],IF(OR(H1345=$I$5,H1345=$I$6,H1345=$I$7,H1345=$I$8,H1345=$I$9,H1345=$I$10,H1345=$I$11,H1345=$I$12,H1345=$I$13,H1345=$I$14),SottocategorieUscite[[#Headers],[Banca]],IF(OR(H1345=K$5,H1345=K$6,H1345=K$7,H1345=K$8,H1345=K$9,H1345=K$10,H1345=K$11,H1345=K$12,H1345=K$13,H1345=K$14),SottocategorieEntrate[[#Headers],[Business Entrate]],IF(OR(H1345=L$5,H1345=L$6,H1345=L$7,H1345=L$8,H1345=L$9,H1345=L$10,H1345=L$11,H1345=L$12,H1345=L$13,H1345=L$14),SottocategorieEntrate[[#Headers],[Varie Entrate]],IF(OR(H1345=M$5,H1345=M$6,H1345=M$7,H1345=M$8,H1345=M$9,H1345=M$10,H1345=M$11,H1345=M$12,H1345=M$13,H1345=M$14),SottocategorieEntrate[[#Headers],[Real Estate]],IF(OR(H1345=N$5,H1345=N$6,H1345=N$7,H1345=N$8,H1345=N$9,H1345=N$10,H1345=N$11,H1345=N$12,H1345=N$13,H1345=N$14),SottocategorieEntrate[[#Headers],[Other]],""))))))))))))</f>
        <v/>
      </c>
      <c r="J1345" t="str">
        <f>IF(OR(Dati[[#This Row],[Categoria]]="Bollette",Dati[[#This Row],[Categoria]]="Conto &amp; Carte BNL",Dati[[#This Row],[Categoria]]="Prelievo",Dati[[#This Row],[Categoria]]="Affitto",Dati[[#This Row],[Categoria]]="BNL(Interessi Creditori)"),"Carta",IF(Dati[[#This Row],[Categoria]]&lt;&gt;0,"Cash",""))</f>
        <v/>
      </c>
      <c r="K1345" s="59" t="str">
        <f>IF(OR(Data!$I1345=SottocategorieUscite[[#Headers],[Fuori Casa]],Data!$I1345=SottocategorieUscite[[#Headers],[Varie Uscite]],Data!$I1345=SottocategorieUscite[[#Headers],[Personali]],Data!$I1345=SottocategorieUscite[[#Headers],[Lavoro]]),"$ -","")</f>
        <v/>
      </c>
      <c r="L1345" s="59" t="str">
        <f>IF(OR(Data!$I1345=SottocategorieUscite[[#Headers],[Casa]],Data!$I1345=SottocategorieUscite[[#Headers],[Utenze]],Data!$I1345=SottocategorieUscite[[#Headers],[Business Uscite]],Data!$I1345=SottocategorieUscite[[#Headers],[Banca]]),"$ -","")</f>
        <v/>
      </c>
      <c r="M1345" s="59" t="str">
        <f>IF(OR($I1345&lt;&gt;SottocategorieUscite[[#Headers],[Fuori Casa]],$I1345&lt;&gt;SottocategorieUscite[[#Headers],[Varie Uscite]],$I1345&lt;&gt;SottocategorieUscite[[#Headers],[Personali]],$I1345&lt;&gt;SottocategorieUscite[[#Headers],[Lavoro]],$I1345&lt;&gt;SottocategorieUscite[[#Headers],[Casa]],$I1345&lt;&gt;SottocategorieUscite[[#Headers],[Utenze]],$I1345&lt;&gt;SottocategorieUscite[[#Headers],[Business Uscite]],$I1345&lt;&gt;SottocategorieUscite[[#Headers],[Banca]]),"","$ -")</f>
        <v/>
      </c>
      <c r="N1345" s="59" t="str">
        <f>IF(OR(Data!$I1345=SottocategorieEntrate[[#Headers],[Business Entrate]],Data!$I1345=SottocategorieEntrate[[#Headers],[Varie Entrate]]),"$ -","")</f>
        <v/>
      </c>
      <c r="O1345" s="59" t="str">
        <f>IF(OR(Data!$I1345=SottocategorieEntrate[[#Headers],[Real Estate]],SottocategorieEntrate[[#Headers],[Other]]),"$ -","")</f>
        <v/>
      </c>
      <c r="P1345" s="59" t="str">
        <f>IF(OR($I1345&lt;&gt;SottocategorieEntrate[[#Headers],[Business Entrate]],$I1345&lt;&gt;SottocategorieEntrate[[#Headers],[Varie Entrate]],$I1345&lt;&gt;SottocategorieEntrate[[#Headers],[Real Estate]],$I1345&lt;&gt;SottocategorieEntrate[[#Headers],[Other]]),"","$ -")</f>
        <v/>
      </c>
      <c r="Q1345" s="59" t="str">
        <f>IF(Dati[[#This Row],[Categoria]]="Prelievo","€ -","")</f>
        <v/>
      </c>
      <c r="R1345" s="244"/>
      <c r="S1345" s="59" t="str">
        <f>IF(Dati[[#This Row],[Categoria]]="Savings",0,"")</f>
        <v/>
      </c>
      <c r="T1345" s="59"/>
      <c r="U1345" s="59"/>
      <c r="V1345" s="59"/>
      <c r="W1345" s="59"/>
      <c r="X1345" s="59"/>
      <c r="Y1345" s="59"/>
      <c r="Z1345" s="59"/>
      <c r="AA1345" s="59"/>
      <c r="AB1345" s="59"/>
      <c r="AC1345" s="59"/>
      <c r="AD1345" s="59"/>
      <c r="AE1345" s="59"/>
      <c r="AF1345" s="59"/>
      <c r="AG1345" s="59"/>
      <c r="AH1345" s="59"/>
      <c r="AI1345" s="59" t="str">
        <f>IF(SUM(Dati[[#This Row],[Inv. Business]:[Inv. Cryptocurrency]])=0," ",SUM(Dati[[#This Row],[Inv. Business]:[Inv. Cryptocurrency]]))</f>
        <v xml:space="preserve"> </v>
      </c>
      <c r="AJ1345" s="59"/>
      <c r="AK1345" s="59" t="str">
        <f>IF(SUM(Dati[[#This Row],[Inv. Gold]:[Mutuo]])=0," ",SUM(Dati[[#This Row],[Inv. Gold]:[Mutuo]]))</f>
        <v xml:space="preserve"> </v>
      </c>
      <c r="AL1345" s="59"/>
      <c r="AM1345" s="59"/>
    </row>
    <row r="1346" spans="2:39" x14ac:dyDescent="0.35">
      <c r="B1346" s="237">
        <f t="shared" si="103"/>
        <v>1319</v>
      </c>
      <c r="C1346" s="49">
        <f t="shared" si="95"/>
        <v>45904</v>
      </c>
      <c r="D1346" s="29">
        <f>DAY(Dati[[#This Row],[Data]])</f>
        <v>4</v>
      </c>
      <c r="E1346" s="29" t="str">
        <f>IF(DAY(Data!$C$21:$C$1613)&gt;0,TEXT(Data!$C$21:$C$1613, "mmmm"),"")</f>
        <v>settembre</v>
      </c>
      <c r="F1346" s="29" t="str">
        <f>IF(DAY(Data!$C$21:$C$1613)&gt;0,TEXT(Data!$C$21:$C$1613, "aaaa"),"")</f>
        <v>2025</v>
      </c>
      <c r="I1346" t="str">
        <f>IF(OR(H1346=$B$5,H1346=$B$6,H1346=$B$7,H1346=$B$8,H1346=$B$9,H1346=$B$10,H1346=$B$11,H1346=$B$12,H1346=$B$13,H1346=$B$14),SottocategorieUscite[[#Headers],[Fuori Casa]],IF(OR(H1346=$C$5,H1346=$C$6,H1346=$C$7,H1346=$C$8,H1346=$C$9,H1346=$C$10,H1346=$C$11,H1346=$C$12,H1346=$C$13,H1346=$C$14),SottocategorieUscite[[#Headers],[Varie Uscite]],IF(OR(H1346=$D$5,H1346=$D$6,H1346=$D$7,H1346=$D$8,H1346=$D$9,H1346=$D$10,H1346=$D$11,H1346=$D$12,H1346=$D$13,H1346=$D$14),SottocategorieUscite[[#Headers],[Personali]],IF(OR(H1346=$E$5,H1346=$E$6,H1346=$E$7,H1346=$E$8,H1346=$E$9,H1346=$E$10,H1346=$E$11,H1346=$E$12,H1346=$E$13,H1346=$E$14),SottocategorieUscite[[#Headers],[Lavoro]],IF(OR(H1346=$F$5,H1346=$F$6,H1346=$F$7,H1346=$F$8,H1346=$F$9,H1346=$F$10,H1346=$F$11,H1346=$F$12,H1346=$F$13,H1346=$F$14),SottocategorieUscite[[#Headers],[Casa]],IF(OR(H1346=$G$5,H1346=$G$6,H1346=$G$7,H1346=$G$8,H1346=$G$9,H1346=$G$10,H1346=$G$11,H1346=$G$12,H1346=$G$13,H1346=$G$14),SottocategorieUscite[[#Headers],[Utenze]],IF(OR(H1346=$H$5,H1346=$H$6,H1346=$H$7,H1346=$H$8,H1346=$H$9,H1346=$H$10,H1346=$H$11,H1346=$H$12,H1346=$H$13,H1346=$H$14),SottocategorieUscite[[#Headers],[Business Uscite]],IF(OR(H1346=$I$5,H1346=$I$6,H1346=$I$7,H1346=$I$8,H1346=$I$9,H1346=$I$10,H1346=$I$11,H1346=$I$12,H1346=$I$13,H1346=$I$14),SottocategorieUscite[[#Headers],[Banca]],IF(OR(H1346=K$5,H1346=K$6,H1346=K$7,H1346=K$8,H1346=K$9,H1346=K$10,H1346=K$11,H1346=K$12,H1346=K$13,H1346=K$14),SottocategorieEntrate[[#Headers],[Business Entrate]],IF(OR(H1346=L$5,H1346=L$6,H1346=L$7,H1346=L$8,H1346=L$9,H1346=L$10,H1346=L$11,H1346=L$12,H1346=L$13,H1346=L$14),SottocategorieEntrate[[#Headers],[Varie Entrate]],IF(OR(H1346=M$5,H1346=M$6,H1346=M$7,H1346=M$8,H1346=M$9,H1346=M$10,H1346=M$11,H1346=M$12,H1346=M$13,H1346=M$14),SottocategorieEntrate[[#Headers],[Real Estate]],IF(OR(H1346=N$5,H1346=N$6,H1346=N$7,H1346=N$8,H1346=N$9,H1346=N$10,H1346=N$11,H1346=N$12,H1346=N$13,H1346=N$14),SottocategorieEntrate[[#Headers],[Other]],""))))))))))))</f>
        <v/>
      </c>
      <c r="J1346" t="str">
        <f>IF(OR(Dati[[#This Row],[Categoria]]="Bollette",Dati[[#This Row],[Categoria]]="Conto &amp; Carte BNL",Dati[[#This Row],[Categoria]]="Prelievo",Dati[[#This Row],[Categoria]]="Affitto",Dati[[#This Row],[Categoria]]="BNL(Interessi Creditori)"),"Carta",IF(Dati[[#This Row],[Categoria]]&lt;&gt;0,"Cash",""))</f>
        <v/>
      </c>
      <c r="K1346" s="59" t="str">
        <f>IF(OR(Data!$I1346=SottocategorieUscite[[#Headers],[Fuori Casa]],Data!$I1346=SottocategorieUscite[[#Headers],[Varie Uscite]],Data!$I1346=SottocategorieUscite[[#Headers],[Personali]],Data!$I1346=SottocategorieUscite[[#Headers],[Lavoro]]),"$ -","")</f>
        <v/>
      </c>
      <c r="L1346" s="59" t="str">
        <f>IF(OR(Data!$I1346=SottocategorieUscite[[#Headers],[Casa]],Data!$I1346=SottocategorieUscite[[#Headers],[Utenze]],Data!$I1346=SottocategorieUscite[[#Headers],[Business Uscite]],Data!$I1346=SottocategorieUscite[[#Headers],[Banca]]),"$ -","")</f>
        <v/>
      </c>
      <c r="M1346" s="59" t="str">
        <f>IF(OR($I1346&lt;&gt;SottocategorieUscite[[#Headers],[Fuori Casa]],$I1346&lt;&gt;SottocategorieUscite[[#Headers],[Varie Uscite]],$I1346&lt;&gt;SottocategorieUscite[[#Headers],[Personali]],$I1346&lt;&gt;SottocategorieUscite[[#Headers],[Lavoro]],$I1346&lt;&gt;SottocategorieUscite[[#Headers],[Casa]],$I1346&lt;&gt;SottocategorieUscite[[#Headers],[Utenze]],$I1346&lt;&gt;SottocategorieUscite[[#Headers],[Business Uscite]],$I1346&lt;&gt;SottocategorieUscite[[#Headers],[Banca]]),"","$ -")</f>
        <v/>
      </c>
      <c r="N1346" s="59" t="str">
        <f>IF(OR(Data!$I1346=SottocategorieEntrate[[#Headers],[Business Entrate]],Data!$I1346=SottocategorieEntrate[[#Headers],[Varie Entrate]]),"$ -","")</f>
        <v/>
      </c>
      <c r="O1346" s="59" t="str">
        <f>IF(OR(Data!$I1346=SottocategorieEntrate[[#Headers],[Real Estate]],SottocategorieEntrate[[#Headers],[Other]]),"$ -","")</f>
        <v/>
      </c>
      <c r="P1346" s="59" t="str">
        <f>IF(OR($I1346&lt;&gt;SottocategorieEntrate[[#Headers],[Business Entrate]],$I1346&lt;&gt;SottocategorieEntrate[[#Headers],[Varie Entrate]],$I1346&lt;&gt;SottocategorieEntrate[[#Headers],[Real Estate]],$I1346&lt;&gt;SottocategorieEntrate[[#Headers],[Other]]),"","$ -")</f>
        <v/>
      </c>
      <c r="Q1346" s="59" t="str">
        <f>IF(Dati[[#This Row],[Categoria]]="Prelievo","€ -","")</f>
        <v/>
      </c>
      <c r="R1346" s="244"/>
      <c r="S1346" s="59" t="str">
        <f>IF(Dati[[#This Row],[Categoria]]="Savings",0,"")</f>
        <v/>
      </c>
      <c r="T1346" s="59"/>
      <c r="U1346" s="59"/>
      <c r="V1346" s="59"/>
      <c r="W1346" s="59"/>
      <c r="X1346" s="59"/>
      <c r="Y1346" s="59"/>
      <c r="Z1346" s="59"/>
      <c r="AA1346" s="59"/>
      <c r="AB1346" s="59"/>
      <c r="AC1346" s="59"/>
      <c r="AD1346" s="59"/>
      <c r="AE1346" s="59"/>
      <c r="AF1346" s="59"/>
      <c r="AG1346" s="59"/>
      <c r="AH1346" s="59"/>
      <c r="AI1346" s="59" t="str">
        <f>IF(SUM(Dati[[#This Row],[Inv. Business]:[Inv. Cryptocurrency]])=0," ",SUM(Dati[[#This Row],[Inv. Business]:[Inv. Cryptocurrency]]))</f>
        <v xml:space="preserve"> </v>
      </c>
      <c r="AJ1346" s="59"/>
      <c r="AK1346" s="59" t="str">
        <f>IF(SUM(Dati[[#This Row],[Inv. Gold]:[Mutuo]])=0," ",SUM(Dati[[#This Row],[Inv. Gold]:[Mutuo]]))</f>
        <v xml:space="preserve"> </v>
      </c>
      <c r="AL1346" s="59"/>
      <c r="AM1346" s="59"/>
    </row>
    <row r="1347" spans="2:39" x14ac:dyDescent="0.35">
      <c r="B1347" s="237">
        <f t="shared" si="103"/>
        <v>1320</v>
      </c>
      <c r="C1347" s="49">
        <f t="shared" si="95"/>
        <v>45905</v>
      </c>
      <c r="D1347" s="29">
        <f>DAY(Dati[[#This Row],[Data]])</f>
        <v>5</v>
      </c>
      <c r="E1347" s="29" t="str">
        <f>IF(DAY(Data!$C$21:$C$1613)&gt;0,TEXT(Data!$C$21:$C$1613, "mmmm"),"")</f>
        <v>settembre</v>
      </c>
      <c r="F1347" s="29" t="str">
        <f>IF(DAY(Data!$C$21:$C$1613)&gt;0,TEXT(Data!$C$21:$C$1613, "aaaa"),"")</f>
        <v>2025</v>
      </c>
      <c r="I1347" t="str">
        <f>IF(OR(H1347=$B$5,H1347=$B$6,H1347=$B$7,H1347=$B$8,H1347=$B$9,H1347=$B$10,H1347=$B$11,H1347=$B$12,H1347=$B$13,H1347=$B$14),SottocategorieUscite[[#Headers],[Fuori Casa]],IF(OR(H1347=$C$5,H1347=$C$6,H1347=$C$7,H1347=$C$8,H1347=$C$9,H1347=$C$10,H1347=$C$11,H1347=$C$12,H1347=$C$13,H1347=$C$14),SottocategorieUscite[[#Headers],[Varie Uscite]],IF(OR(H1347=$D$5,H1347=$D$6,H1347=$D$7,H1347=$D$8,H1347=$D$9,H1347=$D$10,H1347=$D$11,H1347=$D$12,H1347=$D$13,H1347=$D$14),SottocategorieUscite[[#Headers],[Personali]],IF(OR(H1347=$E$5,H1347=$E$6,H1347=$E$7,H1347=$E$8,H1347=$E$9,H1347=$E$10,H1347=$E$11,H1347=$E$12,H1347=$E$13,H1347=$E$14),SottocategorieUscite[[#Headers],[Lavoro]],IF(OR(H1347=$F$5,H1347=$F$6,H1347=$F$7,H1347=$F$8,H1347=$F$9,H1347=$F$10,H1347=$F$11,H1347=$F$12,H1347=$F$13,H1347=$F$14),SottocategorieUscite[[#Headers],[Casa]],IF(OR(H1347=$G$5,H1347=$G$6,H1347=$G$7,H1347=$G$8,H1347=$G$9,H1347=$G$10,H1347=$G$11,H1347=$G$12,H1347=$G$13,H1347=$G$14),SottocategorieUscite[[#Headers],[Utenze]],IF(OR(H1347=$H$5,H1347=$H$6,H1347=$H$7,H1347=$H$8,H1347=$H$9,H1347=$H$10,H1347=$H$11,H1347=$H$12,H1347=$H$13,H1347=$H$14),SottocategorieUscite[[#Headers],[Business Uscite]],IF(OR(H1347=$I$5,H1347=$I$6,H1347=$I$7,H1347=$I$8,H1347=$I$9,H1347=$I$10,H1347=$I$11,H1347=$I$12,H1347=$I$13,H1347=$I$14),SottocategorieUscite[[#Headers],[Banca]],IF(OR(H1347=K$5,H1347=K$6,H1347=K$7,H1347=K$8,H1347=K$9,H1347=K$10,H1347=K$11,H1347=K$12,H1347=K$13,H1347=K$14),SottocategorieEntrate[[#Headers],[Business Entrate]],IF(OR(H1347=L$5,H1347=L$6,H1347=L$7,H1347=L$8,H1347=L$9,H1347=L$10,H1347=L$11,H1347=L$12,H1347=L$13,H1347=L$14),SottocategorieEntrate[[#Headers],[Varie Entrate]],IF(OR(H1347=M$5,H1347=M$6,H1347=M$7,H1347=M$8,H1347=M$9,H1347=M$10,H1347=M$11,H1347=M$12,H1347=M$13,H1347=M$14),SottocategorieEntrate[[#Headers],[Real Estate]],IF(OR(H1347=N$5,H1347=N$6,H1347=N$7,H1347=N$8,H1347=N$9,H1347=N$10,H1347=N$11,H1347=N$12,H1347=N$13,H1347=N$14),SottocategorieEntrate[[#Headers],[Other]],""))))))))))))</f>
        <v/>
      </c>
      <c r="J1347" t="str">
        <f>IF(OR(Dati[[#This Row],[Categoria]]="Bollette",Dati[[#This Row],[Categoria]]="Conto &amp; Carte BNL",Dati[[#This Row],[Categoria]]="Prelievo",Dati[[#This Row],[Categoria]]="Affitto",Dati[[#This Row],[Categoria]]="BNL(Interessi Creditori)"),"Carta",IF(Dati[[#This Row],[Categoria]]&lt;&gt;0,"Cash",""))</f>
        <v/>
      </c>
      <c r="K1347" s="59" t="str">
        <f>IF(OR(Data!$I1347=SottocategorieUscite[[#Headers],[Fuori Casa]],Data!$I1347=SottocategorieUscite[[#Headers],[Varie Uscite]],Data!$I1347=SottocategorieUscite[[#Headers],[Personali]],Data!$I1347=SottocategorieUscite[[#Headers],[Lavoro]]),"$ -","")</f>
        <v/>
      </c>
      <c r="L1347" s="59" t="str">
        <f>IF(OR(Data!$I1347=SottocategorieUscite[[#Headers],[Casa]],Data!$I1347=SottocategorieUscite[[#Headers],[Utenze]],Data!$I1347=SottocategorieUscite[[#Headers],[Business Uscite]],Data!$I1347=SottocategorieUscite[[#Headers],[Banca]]),"$ -","")</f>
        <v/>
      </c>
      <c r="M1347" s="59" t="str">
        <f>IF(OR($I1347&lt;&gt;SottocategorieUscite[[#Headers],[Fuori Casa]],$I1347&lt;&gt;SottocategorieUscite[[#Headers],[Varie Uscite]],$I1347&lt;&gt;SottocategorieUscite[[#Headers],[Personali]],$I1347&lt;&gt;SottocategorieUscite[[#Headers],[Lavoro]],$I1347&lt;&gt;SottocategorieUscite[[#Headers],[Casa]],$I1347&lt;&gt;SottocategorieUscite[[#Headers],[Utenze]],$I1347&lt;&gt;SottocategorieUscite[[#Headers],[Business Uscite]],$I1347&lt;&gt;SottocategorieUscite[[#Headers],[Banca]]),"","$ -")</f>
        <v/>
      </c>
      <c r="N1347" s="59" t="str">
        <f>IF(OR(Data!$I1347=SottocategorieEntrate[[#Headers],[Business Entrate]],Data!$I1347=SottocategorieEntrate[[#Headers],[Varie Entrate]]),"$ -","")</f>
        <v/>
      </c>
      <c r="O1347" s="59" t="str">
        <f>IF(OR(Data!$I1347=SottocategorieEntrate[[#Headers],[Real Estate]],SottocategorieEntrate[[#Headers],[Other]]),"$ -","")</f>
        <v/>
      </c>
      <c r="P1347" s="59" t="str">
        <f>IF(OR($I1347&lt;&gt;SottocategorieEntrate[[#Headers],[Business Entrate]],$I1347&lt;&gt;SottocategorieEntrate[[#Headers],[Varie Entrate]],$I1347&lt;&gt;SottocategorieEntrate[[#Headers],[Real Estate]],$I1347&lt;&gt;SottocategorieEntrate[[#Headers],[Other]]),"","$ -")</f>
        <v/>
      </c>
      <c r="Q1347" s="59" t="str">
        <f>IF(Dati[[#This Row],[Categoria]]="Prelievo","€ -","")</f>
        <v/>
      </c>
      <c r="R1347" s="244"/>
      <c r="S1347" s="59" t="str">
        <f>IF(Dati[[#This Row],[Categoria]]="Savings",0,"")</f>
        <v/>
      </c>
      <c r="T1347" s="59"/>
      <c r="U1347" s="59"/>
      <c r="V1347" s="59"/>
      <c r="W1347" s="59"/>
      <c r="X1347" s="59"/>
      <c r="Y1347" s="59"/>
      <c r="Z1347" s="59"/>
      <c r="AA1347" s="59"/>
      <c r="AB1347" s="59"/>
      <c r="AC1347" s="59"/>
      <c r="AD1347" s="59"/>
      <c r="AE1347" s="59"/>
      <c r="AF1347" s="59"/>
      <c r="AG1347" s="59"/>
      <c r="AH1347" s="59"/>
      <c r="AI1347" s="59" t="str">
        <f>IF(SUM(Dati[[#This Row],[Inv. Business]:[Inv. Cryptocurrency]])=0," ",SUM(Dati[[#This Row],[Inv. Business]:[Inv. Cryptocurrency]]))</f>
        <v xml:space="preserve"> </v>
      </c>
      <c r="AJ1347" s="59"/>
      <c r="AK1347" s="59" t="str">
        <f>IF(SUM(Dati[[#This Row],[Inv. Gold]:[Mutuo]])=0," ",SUM(Dati[[#This Row],[Inv. Gold]:[Mutuo]]))</f>
        <v xml:space="preserve"> </v>
      </c>
      <c r="AL1347" s="59"/>
      <c r="AM1347" s="59"/>
    </row>
    <row r="1348" spans="2:39" x14ac:dyDescent="0.35">
      <c r="B1348" s="237">
        <f>ROW(1322:1322)</f>
        <v>1322</v>
      </c>
      <c r="C1348" s="49">
        <f t="shared" si="95"/>
        <v>45906</v>
      </c>
      <c r="D1348" s="29">
        <f>DAY(Dati[[#This Row],[Data]])</f>
        <v>6</v>
      </c>
      <c r="E1348" s="29" t="str">
        <f>IF(DAY(Data!$C$21:$C$1613)&gt;0,TEXT(Data!$C$21:$C$1613, "mmmm"),"")</f>
        <v>settembre</v>
      </c>
      <c r="F1348" s="29" t="str">
        <f>IF(DAY(Data!$C$21:$C$1613)&gt;0,TEXT(Data!$C$21:$C$1613, "aaaa"),"")</f>
        <v>2025</v>
      </c>
      <c r="I1348" t="str">
        <f>IF(OR(H1348=$B$5,H1348=$B$6,H1348=$B$7,H1348=$B$8,H1348=$B$9,H1348=$B$10,H1348=$B$11,H1348=$B$12,H1348=$B$13,H1348=$B$14),SottocategorieUscite[[#Headers],[Fuori Casa]],IF(OR(H1348=$C$5,H1348=$C$6,H1348=$C$7,H1348=$C$8,H1348=$C$9,H1348=$C$10,H1348=$C$11,H1348=$C$12,H1348=$C$13,H1348=$C$14),SottocategorieUscite[[#Headers],[Varie Uscite]],IF(OR(H1348=$D$5,H1348=$D$6,H1348=$D$7,H1348=$D$8,H1348=$D$9,H1348=$D$10,H1348=$D$11,H1348=$D$12,H1348=$D$13,H1348=$D$14),SottocategorieUscite[[#Headers],[Personali]],IF(OR(H1348=$E$5,H1348=$E$6,H1348=$E$7,H1348=$E$8,H1348=$E$9,H1348=$E$10,H1348=$E$11,H1348=$E$12,H1348=$E$13,H1348=$E$14),SottocategorieUscite[[#Headers],[Lavoro]],IF(OR(H1348=$F$5,H1348=$F$6,H1348=$F$7,H1348=$F$8,H1348=$F$9,H1348=$F$10,H1348=$F$11,H1348=$F$12,H1348=$F$13,H1348=$F$14),SottocategorieUscite[[#Headers],[Casa]],IF(OR(H1348=$G$5,H1348=$G$6,H1348=$G$7,H1348=$G$8,H1348=$G$9,H1348=$G$10,H1348=$G$11,H1348=$G$12,H1348=$G$13,H1348=$G$14),SottocategorieUscite[[#Headers],[Utenze]],IF(OR(H1348=$H$5,H1348=$H$6,H1348=$H$7,H1348=$H$8,H1348=$H$9,H1348=$H$10,H1348=$H$11,H1348=$H$12,H1348=$H$13,H1348=$H$14),SottocategorieUscite[[#Headers],[Business Uscite]],IF(OR(H1348=$I$5,H1348=$I$6,H1348=$I$7,H1348=$I$8,H1348=$I$9,H1348=$I$10,H1348=$I$11,H1348=$I$12,H1348=$I$13,H1348=$I$14),SottocategorieUscite[[#Headers],[Banca]],IF(OR(H1348=K$5,H1348=K$6,H1348=K$7,H1348=K$8,H1348=K$9,H1348=K$10,H1348=K$11,H1348=K$12,H1348=K$13,H1348=K$14),SottocategorieEntrate[[#Headers],[Business Entrate]],IF(OR(H1348=L$5,H1348=L$6,H1348=L$7,H1348=L$8,H1348=L$9,H1348=L$10,H1348=L$11,H1348=L$12,H1348=L$13,H1348=L$14),SottocategorieEntrate[[#Headers],[Varie Entrate]],IF(OR(H1348=M$5,H1348=M$6,H1348=M$7,H1348=M$8,H1348=M$9,H1348=M$10,H1348=M$11,H1348=M$12,H1348=M$13,H1348=M$14),SottocategorieEntrate[[#Headers],[Real Estate]],IF(OR(H1348=N$5,H1348=N$6,H1348=N$7,H1348=N$8,H1348=N$9,H1348=N$10,H1348=N$11,H1348=N$12,H1348=N$13,H1348=N$14),SottocategorieEntrate[[#Headers],[Other]],""))))))))))))</f>
        <v/>
      </c>
      <c r="J1348" t="str">
        <f>IF(OR(Dati[[#This Row],[Categoria]]="Bollette",Dati[[#This Row],[Categoria]]="Conto &amp; Carte BNL",Dati[[#This Row],[Categoria]]="Prelievo",Dati[[#This Row],[Categoria]]="Affitto",Dati[[#This Row],[Categoria]]="BNL(Interessi Creditori)"),"Carta",IF(Dati[[#This Row],[Categoria]]&lt;&gt;0,"Cash",""))</f>
        <v/>
      </c>
      <c r="K1348" s="59" t="str">
        <f>IF(OR(Data!$I1348=SottocategorieUscite[[#Headers],[Fuori Casa]],Data!$I1348=SottocategorieUscite[[#Headers],[Varie Uscite]],Data!$I1348=SottocategorieUscite[[#Headers],[Personali]],Data!$I1348=SottocategorieUscite[[#Headers],[Lavoro]]),"$ -","")</f>
        <v/>
      </c>
      <c r="L1348" s="59" t="str">
        <f>IF(OR(Data!$I1348=SottocategorieUscite[[#Headers],[Casa]],Data!$I1348=SottocategorieUscite[[#Headers],[Utenze]],Data!$I1348=SottocategorieUscite[[#Headers],[Business Uscite]],Data!$I1348=SottocategorieUscite[[#Headers],[Banca]]),"$ -","")</f>
        <v/>
      </c>
      <c r="M1348" s="59" t="str">
        <f>IF(OR($I1348&lt;&gt;SottocategorieUscite[[#Headers],[Fuori Casa]],$I1348&lt;&gt;SottocategorieUscite[[#Headers],[Varie Uscite]],$I1348&lt;&gt;SottocategorieUscite[[#Headers],[Personali]],$I1348&lt;&gt;SottocategorieUscite[[#Headers],[Lavoro]],$I1348&lt;&gt;SottocategorieUscite[[#Headers],[Casa]],$I1348&lt;&gt;SottocategorieUscite[[#Headers],[Utenze]],$I1348&lt;&gt;SottocategorieUscite[[#Headers],[Business Uscite]],$I1348&lt;&gt;SottocategorieUscite[[#Headers],[Banca]]),"","$ -")</f>
        <v/>
      </c>
      <c r="N1348" s="59" t="str">
        <f>IF(OR(Data!$I1348=SottocategorieEntrate[[#Headers],[Business Entrate]],Data!$I1348=SottocategorieEntrate[[#Headers],[Varie Entrate]]),"$ -","")</f>
        <v/>
      </c>
      <c r="O1348" s="59" t="str">
        <f>IF(OR(Data!$I1348=SottocategorieEntrate[[#Headers],[Real Estate]],SottocategorieEntrate[[#Headers],[Other]]),"$ -","")</f>
        <v/>
      </c>
      <c r="P1348" s="59" t="str">
        <f>IF(OR($I1348&lt;&gt;SottocategorieEntrate[[#Headers],[Business Entrate]],$I1348&lt;&gt;SottocategorieEntrate[[#Headers],[Varie Entrate]],$I1348&lt;&gt;SottocategorieEntrate[[#Headers],[Real Estate]],$I1348&lt;&gt;SottocategorieEntrate[[#Headers],[Other]]),"","$ -")</f>
        <v/>
      </c>
      <c r="Q1348" s="59" t="str">
        <f>IF(Dati[[#This Row],[Categoria]]="Prelievo","€ -","")</f>
        <v/>
      </c>
      <c r="R1348" s="244"/>
      <c r="S1348" s="59" t="str">
        <f>IF(Dati[[#This Row],[Categoria]]="Savings",0,"")</f>
        <v/>
      </c>
      <c r="T1348" s="59"/>
      <c r="U1348" s="59"/>
      <c r="V1348" s="59"/>
      <c r="W1348" s="59"/>
      <c r="X1348" s="59"/>
      <c r="Y1348" s="59"/>
      <c r="Z1348" s="59"/>
      <c r="AA1348" s="59"/>
      <c r="AB1348" s="59"/>
      <c r="AC1348" s="59"/>
      <c r="AD1348" s="59"/>
      <c r="AE1348" s="59"/>
      <c r="AF1348" s="59"/>
      <c r="AG1348" s="59"/>
      <c r="AH1348" s="59"/>
      <c r="AI1348" s="59" t="str">
        <f>IF(SUM(Dati[[#This Row],[Inv. Business]:[Inv. Cryptocurrency]])=0," ",SUM(Dati[[#This Row],[Inv. Business]:[Inv. Cryptocurrency]]))</f>
        <v xml:space="preserve"> </v>
      </c>
      <c r="AJ1348" s="59"/>
      <c r="AK1348" s="59" t="str">
        <f>IF(SUM(Dati[[#This Row],[Inv. Gold]:[Mutuo]])=0," ",SUM(Dati[[#This Row],[Inv. Gold]:[Mutuo]]))</f>
        <v xml:space="preserve"> </v>
      </c>
      <c r="AL1348" s="59"/>
      <c r="AM1348" s="59"/>
    </row>
    <row r="1349" spans="2:39" x14ac:dyDescent="0.35">
      <c r="B1349" s="237">
        <f>ROW(1323:1323)</f>
        <v>1323</v>
      </c>
      <c r="C1349" s="49">
        <f t="shared" si="95"/>
        <v>45907</v>
      </c>
      <c r="D1349" s="29">
        <f>DAY(Dati[[#This Row],[Data]])</f>
        <v>7</v>
      </c>
      <c r="E1349" s="29" t="str">
        <f>IF(DAY(Data!$C$21:$C$1613)&gt;0,TEXT(Data!$C$21:$C$1613, "mmmm"),"")</f>
        <v>settembre</v>
      </c>
      <c r="F1349" s="29" t="str">
        <f>IF(DAY(Data!$C$21:$C$1613)&gt;0,TEXT(Data!$C$21:$C$1613, "aaaa"),"")</f>
        <v>2025</v>
      </c>
      <c r="I1349" t="str">
        <f>IF(OR(H1349=$B$5,H1349=$B$6,H1349=$B$7,H1349=$B$8,H1349=$B$9,H1349=$B$10,H1349=$B$11,H1349=$B$12,H1349=$B$13,H1349=$B$14),SottocategorieUscite[[#Headers],[Fuori Casa]],IF(OR(H1349=$C$5,H1349=$C$6,H1349=$C$7,H1349=$C$8,H1349=$C$9,H1349=$C$10,H1349=$C$11,H1349=$C$12,H1349=$C$13,H1349=$C$14),SottocategorieUscite[[#Headers],[Varie Uscite]],IF(OR(H1349=$D$5,H1349=$D$6,H1349=$D$7,H1349=$D$8,H1349=$D$9,H1349=$D$10,H1349=$D$11,H1349=$D$12,H1349=$D$13,H1349=$D$14),SottocategorieUscite[[#Headers],[Personali]],IF(OR(H1349=$E$5,H1349=$E$6,H1349=$E$7,H1349=$E$8,H1349=$E$9,H1349=$E$10,H1349=$E$11,H1349=$E$12,H1349=$E$13,H1349=$E$14),SottocategorieUscite[[#Headers],[Lavoro]],IF(OR(H1349=$F$5,H1349=$F$6,H1349=$F$7,H1349=$F$8,H1349=$F$9,H1349=$F$10,H1349=$F$11,H1349=$F$12,H1349=$F$13,H1349=$F$14),SottocategorieUscite[[#Headers],[Casa]],IF(OR(H1349=$G$5,H1349=$G$6,H1349=$G$7,H1349=$G$8,H1349=$G$9,H1349=$G$10,H1349=$G$11,H1349=$G$12,H1349=$G$13,H1349=$G$14),SottocategorieUscite[[#Headers],[Utenze]],IF(OR(H1349=$H$5,H1349=$H$6,H1349=$H$7,H1349=$H$8,H1349=$H$9,H1349=$H$10,H1349=$H$11,H1349=$H$12,H1349=$H$13,H1349=$H$14),SottocategorieUscite[[#Headers],[Business Uscite]],IF(OR(H1349=$I$5,H1349=$I$6,H1349=$I$7,H1349=$I$8,H1349=$I$9,H1349=$I$10,H1349=$I$11,H1349=$I$12,H1349=$I$13,H1349=$I$14),SottocategorieUscite[[#Headers],[Banca]],IF(OR(H1349=K$5,H1349=K$6,H1349=K$7,H1349=K$8,H1349=K$9,H1349=K$10,H1349=K$11,H1349=K$12,H1349=K$13,H1349=K$14),SottocategorieEntrate[[#Headers],[Business Entrate]],IF(OR(H1349=L$5,H1349=L$6,H1349=L$7,H1349=L$8,H1349=L$9,H1349=L$10,H1349=L$11,H1349=L$12,H1349=L$13,H1349=L$14),SottocategorieEntrate[[#Headers],[Varie Entrate]],IF(OR(H1349=M$5,H1349=M$6,H1349=M$7,H1349=M$8,H1349=M$9,H1349=M$10,H1349=M$11,H1349=M$12,H1349=M$13,H1349=M$14),SottocategorieEntrate[[#Headers],[Real Estate]],IF(OR(H1349=N$5,H1349=N$6,H1349=N$7,H1349=N$8,H1349=N$9,H1349=N$10,H1349=N$11,H1349=N$12,H1349=N$13,H1349=N$14),SottocategorieEntrate[[#Headers],[Other]],""))))))))))))</f>
        <v/>
      </c>
      <c r="J1349" t="str">
        <f>IF(OR(Dati[[#This Row],[Categoria]]="Bollette",Dati[[#This Row],[Categoria]]="Conto &amp; Carte BNL",Dati[[#This Row],[Categoria]]="Prelievo",Dati[[#This Row],[Categoria]]="Affitto",Dati[[#This Row],[Categoria]]="BNL(Interessi Creditori)"),"Carta",IF(Dati[[#This Row],[Categoria]]&lt;&gt;0,"Cash",""))</f>
        <v/>
      </c>
      <c r="K1349" s="59" t="str">
        <f>IF(OR(Data!$I1349=SottocategorieUscite[[#Headers],[Fuori Casa]],Data!$I1349=SottocategorieUscite[[#Headers],[Varie Uscite]],Data!$I1349=SottocategorieUscite[[#Headers],[Personali]],Data!$I1349=SottocategorieUscite[[#Headers],[Lavoro]]),"$ -","")</f>
        <v/>
      </c>
      <c r="L1349" s="59" t="str">
        <f>IF(OR(Data!$I1349=SottocategorieUscite[[#Headers],[Casa]],Data!$I1349=SottocategorieUscite[[#Headers],[Utenze]],Data!$I1349=SottocategorieUscite[[#Headers],[Business Uscite]],Data!$I1349=SottocategorieUscite[[#Headers],[Banca]]),"$ -","")</f>
        <v/>
      </c>
      <c r="M1349" s="59" t="str">
        <f>IF(OR($I1349&lt;&gt;SottocategorieUscite[[#Headers],[Fuori Casa]],$I1349&lt;&gt;SottocategorieUscite[[#Headers],[Varie Uscite]],$I1349&lt;&gt;SottocategorieUscite[[#Headers],[Personali]],$I1349&lt;&gt;SottocategorieUscite[[#Headers],[Lavoro]],$I1349&lt;&gt;SottocategorieUscite[[#Headers],[Casa]],$I1349&lt;&gt;SottocategorieUscite[[#Headers],[Utenze]],$I1349&lt;&gt;SottocategorieUscite[[#Headers],[Business Uscite]],$I1349&lt;&gt;SottocategorieUscite[[#Headers],[Banca]]),"","$ -")</f>
        <v/>
      </c>
      <c r="N1349" s="59" t="str">
        <f>IF(OR(Data!$I1349=SottocategorieEntrate[[#Headers],[Business Entrate]],Data!$I1349=SottocategorieEntrate[[#Headers],[Varie Entrate]]),"$ -","")</f>
        <v/>
      </c>
      <c r="O1349" s="59" t="str">
        <f>IF(OR(Data!$I1349=SottocategorieEntrate[[#Headers],[Real Estate]],SottocategorieEntrate[[#Headers],[Other]]),"$ -","")</f>
        <v/>
      </c>
      <c r="P1349" s="59" t="str">
        <f>IF(OR($I1349&lt;&gt;SottocategorieEntrate[[#Headers],[Business Entrate]],$I1349&lt;&gt;SottocategorieEntrate[[#Headers],[Varie Entrate]],$I1349&lt;&gt;SottocategorieEntrate[[#Headers],[Real Estate]],$I1349&lt;&gt;SottocategorieEntrate[[#Headers],[Other]]),"","$ -")</f>
        <v/>
      </c>
      <c r="Q1349" s="59" t="str">
        <f>IF(Dati[[#This Row],[Categoria]]="Prelievo","€ -","")</f>
        <v/>
      </c>
      <c r="R1349" s="244"/>
      <c r="S1349" s="59" t="str">
        <f>IF(Dati[[#This Row],[Categoria]]="Savings",0,"")</f>
        <v/>
      </c>
      <c r="T1349" s="59"/>
      <c r="U1349" s="59"/>
      <c r="V1349" s="59"/>
      <c r="W1349" s="59"/>
      <c r="X1349" s="59"/>
      <c r="Y1349" s="59"/>
      <c r="Z1349" s="59"/>
      <c r="AA1349" s="59"/>
      <c r="AB1349" s="59"/>
      <c r="AC1349" s="59"/>
      <c r="AD1349" s="59"/>
      <c r="AE1349" s="59"/>
      <c r="AF1349" s="59"/>
      <c r="AG1349" s="59"/>
      <c r="AH1349" s="59"/>
      <c r="AI1349" s="59" t="str">
        <f>IF(SUM(Dati[[#This Row],[Inv. Business]:[Inv. Cryptocurrency]])=0," ",SUM(Dati[[#This Row],[Inv. Business]:[Inv. Cryptocurrency]]))</f>
        <v xml:space="preserve"> </v>
      </c>
      <c r="AJ1349" s="59"/>
      <c r="AK1349" s="59" t="str">
        <f>IF(SUM(Dati[[#This Row],[Inv. Gold]:[Mutuo]])=0," ",SUM(Dati[[#This Row],[Inv. Gold]:[Mutuo]]))</f>
        <v xml:space="preserve"> </v>
      </c>
      <c r="AL1349" s="59"/>
      <c r="AM1349" s="59"/>
    </row>
    <row r="1350" spans="2:39" x14ac:dyDescent="0.35">
      <c r="B1350" s="237">
        <f>ROW(1324:1324)</f>
        <v>1324</v>
      </c>
      <c r="C1350" s="49">
        <f t="shared" si="95"/>
        <v>45908</v>
      </c>
      <c r="D1350" s="29">
        <f>DAY(Dati[[#This Row],[Data]])</f>
        <v>8</v>
      </c>
      <c r="E1350" s="29" t="str">
        <f>IF(DAY(Data!$C$21:$C$1613)&gt;0,TEXT(Data!$C$21:$C$1613, "mmmm"),"")</f>
        <v>settembre</v>
      </c>
      <c r="F1350" s="29" t="str">
        <f>IF(DAY(Data!$C$21:$C$1613)&gt;0,TEXT(Data!$C$21:$C$1613, "aaaa"),"")</f>
        <v>2025</v>
      </c>
      <c r="I1350" t="str">
        <f>IF(OR(H1350=$B$5,H1350=$B$6,H1350=$B$7,H1350=$B$8,H1350=$B$9,H1350=$B$10,H1350=$B$11,H1350=$B$12,H1350=$B$13,H1350=$B$14),SottocategorieUscite[[#Headers],[Fuori Casa]],IF(OR(H1350=$C$5,H1350=$C$6,H1350=$C$7,H1350=$C$8,H1350=$C$9,H1350=$C$10,H1350=$C$11,H1350=$C$12,H1350=$C$13,H1350=$C$14),SottocategorieUscite[[#Headers],[Varie Uscite]],IF(OR(H1350=$D$5,H1350=$D$6,H1350=$D$7,H1350=$D$8,H1350=$D$9,H1350=$D$10,H1350=$D$11,H1350=$D$12,H1350=$D$13,H1350=$D$14),SottocategorieUscite[[#Headers],[Personali]],IF(OR(H1350=$E$5,H1350=$E$6,H1350=$E$7,H1350=$E$8,H1350=$E$9,H1350=$E$10,H1350=$E$11,H1350=$E$12,H1350=$E$13,H1350=$E$14),SottocategorieUscite[[#Headers],[Lavoro]],IF(OR(H1350=$F$5,H1350=$F$6,H1350=$F$7,H1350=$F$8,H1350=$F$9,H1350=$F$10,H1350=$F$11,H1350=$F$12,H1350=$F$13,H1350=$F$14),SottocategorieUscite[[#Headers],[Casa]],IF(OR(H1350=$G$5,H1350=$G$6,H1350=$G$7,H1350=$G$8,H1350=$G$9,H1350=$G$10,H1350=$G$11,H1350=$G$12,H1350=$G$13,H1350=$G$14),SottocategorieUscite[[#Headers],[Utenze]],IF(OR(H1350=$H$5,H1350=$H$6,H1350=$H$7,H1350=$H$8,H1350=$H$9,H1350=$H$10,H1350=$H$11,H1350=$H$12,H1350=$H$13,H1350=$H$14),SottocategorieUscite[[#Headers],[Business Uscite]],IF(OR(H1350=$I$5,H1350=$I$6,H1350=$I$7,H1350=$I$8,H1350=$I$9,H1350=$I$10,H1350=$I$11,H1350=$I$12,H1350=$I$13,H1350=$I$14),SottocategorieUscite[[#Headers],[Banca]],IF(OR(H1350=K$5,H1350=K$6,H1350=K$7,H1350=K$8,H1350=K$9,H1350=K$10,H1350=K$11,H1350=K$12,H1350=K$13,H1350=K$14),SottocategorieEntrate[[#Headers],[Business Entrate]],IF(OR(H1350=L$5,H1350=L$6,H1350=L$7,H1350=L$8,H1350=L$9,H1350=L$10,H1350=L$11,H1350=L$12,H1350=L$13,H1350=L$14),SottocategorieEntrate[[#Headers],[Varie Entrate]],IF(OR(H1350=M$5,H1350=M$6,H1350=M$7,H1350=M$8,H1350=M$9,H1350=M$10,H1350=M$11,H1350=M$12,H1350=M$13,H1350=M$14),SottocategorieEntrate[[#Headers],[Real Estate]],IF(OR(H1350=N$5,H1350=N$6,H1350=N$7,H1350=N$8,H1350=N$9,H1350=N$10,H1350=N$11,H1350=N$12,H1350=N$13,H1350=N$14),SottocategorieEntrate[[#Headers],[Other]],""))))))))))))</f>
        <v/>
      </c>
      <c r="J1350" t="str">
        <f>IF(OR(Dati[[#This Row],[Categoria]]="Bollette",Dati[[#This Row],[Categoria]]="Conto &amp; Carte BNL",Dati[[#This Row],[Categoria]]="Prelievo",Dati[[#This Row],[Categoria]]="Affitto",Dati[[#This Row],[Categoria]]="BNL(Interessi Creditori)"),"Carta",IF(Dati[[#This Row],[Categoria]]&lt;&gt;0,"Cash",""))</f>
        <v/>
      </c>
      <c r="K1350" s="59" t="str">
        <f>IF(OR(Data!$I1350=SottocategorieUscite[[#Headers],[Fuori Casa]],Data!$I1350=SottocategorieUscite[[#Headers],[Varie Uscite]],Data!$I1350=SottocategorieUscite[[#Headers],[Personali]],Data!$I1350=SottocategorieUscite[[#Headers],[Lavoro]]),"$ -","")</f>
        <v/>
      </c>
      <c r="L1350" s="59" t="str">
        <f>IF(OR(Data!$I1350=SottocategorieUscite[[#Headers],[Casa]],Data!$I1350=SottocategorieUscite[[#Headers],[Utenze]],Data!$I1350=SottocategorieUscite[[#Headers],[Business Uscite]],Data!$I1350=SottocategorieUscite[[#Headers],[Banca]]),"$ -","")</f>
        <v/>
      </c>
      <c r="M1350" s="59" t="str">
        <f>IF(OR($I1350&lt;&gt;SottocategorieUscite[[#Headers],[Fuori Casa]],$I1350&lt;&gt;SottocategorieUscite[[#Headers],[Varie Uscite]],$I1350&lt;&gt;SottocategorieUscite[[#Headers],[Personali]],$I1350&lt;&gt;SottocategorieUscite[[#Headers],[Lavoro]],$I1350&lt;&gt;SottocategorieUscite[[#Headers],[Casa]],$I1350&lt;&gt;SottocategorieUscite[[#Headers],[Utenze]],$I1350&lt;&gt;SottocategorieUscite[[#Headers],[Business Uscite]],$I1350&lt;&gt;SottocategorieUscite[[#Headers],[Banca]]),"","$ -")</f>
        <v/>
      </c>
      <c r="N1350" s="59" t="str">
        <f>IF(OR(Data!$I1350=SottocategorieEntrate[[#Headers],[Business Entrate]],Data!$I1350=SottocategorieEntrate[[#Headers],[Varie Entrate]]),"$ -","")</f>
        <v/>
      </c>
      <c r="O1350" s="59" t="str">
        <f>IF(OR(Data!$I1350=SottocategorieEntrate[[#Headers],[Real Estate]],SottocategorieEntrate[[#Headers],[Other]]),"$ -","")</f>
        <v/>
      </c>
      <c r="P1350" s="59" t="str">
        <f>IF(OR($I1350&lt;&gt;SottocategorieEntrate[[#Headers],[Business Entrate]],$I1350&lt;&gt;SottocategorieEntrate[[#Headers],[Varie Entrate]],$I1350&lt;&gt;SottocategorieEntrate[[#Headers],[Real Estate]],$I1350&lt;&gt;SottocategorieEntrate[[#Headers],[Other]]),"","$ -")</f>
        <v/>
      </c>
      <c r="Q1350" s="59" t="str">
        <f>IF(Dati[[#This Row],[Categoria]]="Prelievo","€ -","")</f>
        <v/>
      </c>
      <c r="R1350" s="244"/>
      <c r="S1350" s="59" t="str">
        <f>IF(Dati[[#This Row],[Categoria]]="Savings",0,"")</f>
        <v/>
      </c>
      <c r="T1350" s="59"/>
      <c r="U1350" s="59"/>
      <c r="V1350" s="59"/>
      <c r="W1350" s="59"/>
      <c r="X1350" s="59"/>
      <c r="Y1350" s="59"/>
      <c r="Z1350" s="59"/>
      <c r="AA1350" s="59"/>
      <c r="AB1350" s="59"/>
      <c r="AC1350" s="59"/>
      <c r="AD1350" s="59"/>
      <c r="AE1350" s="59"/>
      <c r="AF1350" s="59"/>
      <c r="AG1350" s="59"/>
      <c r="AH1350" s="59"/>
      <c r="AI1350" s="59" t="str">
        <f>IF(SUM(Dati[[#This Row],[Inv. Business]:[Inv. Cryptocurrency]])=0," ",SUM(Dati[[#This Row],[Inv. Business]:[Inv. Cryptocurrency]]))</f>
        <v xml:space="preserve"> </v>
      </c>
      <c r="AJ1350" s="59"/>
      <c r="AK1350" s="59" t="str">
        <f>IF(SUM(Dati[[#This Row],[Inv. Gold]:[Mutuo]])=0," ",SUM(Dati[[#This Row],[Inv. Gold]:[Mutuo]]))</f>
        <v xml:space="preserve"> </v>
      </c>
      <c r="AL1350" s="59"/>
      <c r="AM1350" s="59"/>
    </row>
    <row r="1351" spans="2:39" x14ac:dyDescent="0.35">
      <c r="B1351" s="237">
        <f>ROW(1327:1327)</f>
        <v>1327</v>
      </c>
      <c r="C1351" s="49">
        <f t="shared" si="95"/>
        <v>45909</v>
      </c>
      <c r="D1351" s="29">
        <f>DAY(Dati[[#This Row],[Data]])</f>
        <v>9</v>
      </c>
      <c r="E1351" s="29" t="str">
        <f>IF(DAY(Data!$C$21:$C$1613)&gt;0,TEXT(Data!$C$21:$C$1613, "mmmm"),"")</f>
        <v>settembre</v>
      </c>
      <c r="F1351" s="29" t="str">
        <f>IF(DAY(Data!$C$21:$C$1613)&gt;0,TEXT(Data!$C$21:$C$1613, "aaaa"),"")</f>
        <v>2025</v>
      </c>
      <c r="I1351" t="str">
        <f>IF(OR(H1351=$B$5,H1351=$B$6,H1351=$B$7,H1351=$B$8,H1351=$B$9,H1351=$B$10,H1351=$B$11,H1351=$B$12,H1351=$B$13,H1351=$B$14),SottocategorieUscite[[#Headers],[Fuori Casa]],IF(OR(H1351=$C$5,H1351=$C$6,H1351=$C$7,H1351=$C$8,H1351=$C$9,H1351=$C$10,H1351=$C$11,H1351=$C$12,H1351=$C$13,H1351=$C$14),SottocategorieUscite[[#Headers],[Varie Uscite]],IF(OR(H1351=$D$5,H1351=$D$6,H1351=$D$7,H1351=$D$8,H1351=$D$9,H1351=$D$10,H1351=$D$11,H1351=$D$12,H1351=$D$13,H1351=$D$14),SottocategorieUscite[[#Headers],[Personali]],IF(OR(H1351=$E$5,H1351=$E$6,H1351=$E$7,H1351=$E$8,H1351=$E$9,H1351=$E$10,H1351=$E$11,H1351=$E$12,H1351=$E$13,H1351=$E$14),SottocategorieUscite[[#Headers],[Lavoro]],IF(OR(H1351=$F$5,H1351=$F$6,H1351=$F$7,H1351=$F$8,H1351=$F$9,H1351=$F$10,H1351=$F$11,H1351=$F$12,H1351=$F$13,H1351=$F$14),SottocategorieUscite[[#Headers],[Casa]],IF(OR(H1351=$G$5,H1351=$G$6,H1351=$G$7,H1351=$G$8,H1351=$G$9,H1351=$G$10,H1351=$G$11,H1351=$G$12,H1351=$G$13,H1351=$G$14),SottocategorieUscite[[#Headers],[Utenze]],IF(OR(H1351=$H$5,H1351=$H$6,H1351=$H$7,H1351=$H$8,H1351=$H$9,H1351=$H$10,H1351=$H$11,H1351=$H$12,H1351=$H$13,H1351=$H$14),SottocategorieUscite[[#Headers],[Business Uscite]],IF(OR(H1351=$I$5,H1351=$I$6,H1351=$I$7,H1351=$I$8,H1351=$I$9,H1351=$I$10,H1351=$I$11,H1351=$I$12,H1351=$I$13,H1351=$I$14),SottocategorieUscite[[#Headers],[Banca]],IF(OR(H1351=K$5,H1351=K$6,H1351=K$7,H1351=K$8,H1351=K$9,H1351=K$10,H1351=K$11,H1351=K$12,H1351=K$13,H1351=K$14),SottocategorieEntrate[[#Headers],[Business Entrate]],IF(OR(H1351=L$5,H1351=L$6,H1351=L$7,H1351=L$8,H1351=L$9,H1351=L$10,H1351=L$11,H1351=L$12,H1351=L$13,H1351=L$14),SottocategorieEntrate[[#Headers],[Varie Entrate]],IF(OR(H1351=M$5,H1351=M$6,H1351=M$7,H1351=M$8,H1351=M$9,H1351=M$10,H1351=M$11,H1351=M$12,H1351=M$13,H1351=M$14),SottocategorieEntrate[[#Headers],[Real Estate]],IF(OR(H1351=N$5,H1351=N$6,H1351=N$7,H1351=N$8,H1351=N$9,H1351=N$10,H1351=N$11,H1351=N$12,H1351=N$13,H1351=N$14),SottocategorieEntrate[[#Headers],[Other]],""))))))))))))</f>
        <v/>
      </c>
      <c r="J1351" t="str">
        <f>IF(OR(Dati[[#This Row],[Categoria]]="Bollette",Dati[[#This Row],[Categoria]]="Conto &amp; Carte BNL",Dati[[#This Row],[Categoria]]="Prelievo",Dati[[#This Row],[Categoria]]="Affitto",Dati[[#This Row],[Categoria]]="BNL(Interessi Creditori)"),"Carta",IF(Dati[[#This Row],[Categoria]]&lt;&gt;0,"Cash",""))</f>
        <v/>
      </c>
      <c r="K1351" s="59" t="str">
        <f>IF(OR(Data!$I1351=SottocategorieUscite[[#Headers],[Fuori Casa]],Data!$I1351=SottocategorieUscite[[#Headers],[Varie Uscite]],Data!$I1351=SottocategorieUscite[[#Headers],[Personali]],Data!$I1351=SottocategorieUscite[[#Headers],[Lavoro]]),"$ -","")</f>
        <v/>
      </c>
      <c r="L1351" s="59" t="str">
        <f>IF(OR(Data!$I1351=SottocategorieUscite[[#Headers],[Casa]],Data!$I1351=SottocategorieUscite[[#Headers],[Utenze]],Data!$I1351=SottocategorieUscite[[#Headers],[Business Uscite]],Data!$I1351=SottocategorieUscite[[#Headers],[Banca]]),"$ -","")</f>
        <v/>
      </c>
      <c r="M1351" s="59" t="str">
        <f>IF(OR($I1351&lt;&gt;SottocategorieUscite[[#Headers],[Fuori Casa]],$I1351&lt;&gt;SottocategorieUscite[[#Headers],[Varie Uscite]],$I1351&lt;&gt;SottocategorieUscite[[#Headers],[Personali]],$I1351&lt;&gt;SottocategorieUscite[[#Headers],[Lavoro]],$I1351&lt;&gt;SottocategorieUscite[[#Headers],[Casa]],$I1351&lt;&gt;SottocategorieUscite[[#Headers],[Utenze]],$I1351&lt;&gt;SottocategorieUscite[[#Headers],[Business Uscite]],$I1351&lt;&gt;SottocategorieUscite[[#Headers],[Banca]]),"","$ -")</f>
        <v/>
      </c>
      <c r="N1351" s="59" t="str">
        <f>IF(OR(Data!$I1351=SottocategorieEntrate[[#Headers],[Business Entrate]],Data!$I1351=SottocategorieEntrate[[#Headers],[Varie Entrate]]),"$ -","")</f>
        <v/>
      </c>
      <c r="O1351" s="59" t="str">
        <f>IF(OR(Data!$I1351=SottocategorieEntrate[[#Headers],[Real Estate]],SottocategorieEntrate[[#Headers],[Other]]),"$ -","")</f>
        <v/>
      </c>
      <c r="P1351" s="59" t="str">
        <f>IF(OR($I1351&lt;&gt;SottocategorieEntrate[[#Headers],[Business Entrate]],$I1351&lt;&gt;SottocategorieEntrate[[#Headers],[Varie Entrate]],$I1351&lt;&gt;SottocategorieEntrate[[#Headers],[Real Estate]],$I1351&lt;&gt;SottocategorieEntrate[[#Headers],[Other]]),"","$ -")</f>
        <v/>
      </c>
      <c r="Q1351" s="59" t="str">
        <f>IF(Dati[[#This Row],[Categoria]]="Prelievo","€ -","")</f>
        <v/>
      </c>
      <c r="R1351" s="244"/>
      <c r="S1351" s="59" t="str">
        <f>IF(Dati[[#This Row],[Categoria]]="Savings",0,"")</f>
        <v/>
      </c>
      <c r="T1351" s="59"/>
      <c r="U1351" s="59"/>
      <c r="V1351" s="59"/>
      <c r="W1351" s="59"/>
      <c r="X1351" s="59"/>
      <c r="Y1351" s="59"/>
      <c r="Z1351" s="59"/>
      <c r="AA1351" s="59"/>
      <c r="AB1351" s="59"/>
      <c r="AC1351" s="59"/>
      <c r="AD1351" s="59"/>
      <c r="AE1351" s="59"/>
      <c r="AF1351" s="59"/>
      <c r="AG1351" s="59"/>
      <c r="AH1351" s="59"/>
      <c r="AI1351" s="59" t="str">
        <f>IF(SUM(Dati[[#This Row],[Inv. Business]:[Inv. Cryptocurrency]])=0," ",SUM(Dati[[#This Row],[Inv. Business]:[Inv. Cryptocurrency]]))</f>
        <v xml:space="preserve"> </v>
      </c>
      <c r="AJ1351" s="59"/>
      <c r="AK1351" s="59" t="str">
        <f>IF(SUM(Dati[[#This Row],[Inv. Gold]:[Mutuo]])=0," ",SUM(Dati[[#This Row],[Inv. Gold]:[Mutuo]]))</f>
        <v xml:space="preserve"> </v>
      </c>
      <c r="AL1351" s="59"/>
      <c r="AM1351" s="59"/>
    </row>
    <row r="1352" spans="2:39" x14ac:dyDescent="0.35">
      <c r="B1352" s="237">
        <f>ROW(1328:1328)</f>
        <v>1328</v>
      </c>
      <c r="C1352" s="49">
        <f t="shared" si="95"/>
        <v>45910</v>
      </c>
      <c r="D1352" s="29">
        <f>DAY(Dati[[#This Row],[Data]])</f>
        <v>10</v>
      </c>
      <c r="E1352" s="29" t="str">
        <f>IF(DAY(Data!$C$21:$C$1613)&gt;0,TEXT(Data!$C$21:$C$1613, "mmmm"),"")</f>
        <v>settembre</v>
      </c>
      <c r="F1352" s="29" t="str">
        <f>IF(DAY(Data!$C$21:$C$1613)&gt;0,TEXT(Data!$C$21:$C$1613, "aaaa"),"")</f>
        <v>2025</v>
      </c>
      <c r="I1352" t="str">
        <f>IF(OR(H1352=$B$5,H1352=$B$6,H1352=$B$7,H1352=$B$8,H1352=$B$9,H1352=$B$10,H1352=$B$11,H1352=$B$12,H1352=$B$13,H1352=$B$14),SottocategorieUscite[[#Headers],[Fuori Casa]],IF(OR(H1352=$C$5,H1352=$C$6,H1352=$C$7,H1352=$C$8,H1352=$C$9,H1352=$C$10,H1352=$C$11,H1352=$C$12,H1352=$C$13,H1352=$C$14),SottocategorieUscite[[#Headers],[Varie Uscite]],IF(OR(H1352=$D$5,H1352=$D$6,H1352=$D$7,H1352=$D$8,H1352=$D$9,H1352=$D$10,H1352=$D$11,H1352=$D$12,H1352=$D$13,H1352=$D$14),SottocategorieUscite[[#Headers],[Personali]],IF(OR(H1352=$E$5,H1352=$E$6,H1352=$E$7,H1352=$E$8,H1352=$E$9,H1352=$E$10,H1352=$E$11,H1352=$E$12,H1352=$E$13,H1352=$E$14),SottocategorieUscite[[#Headers],[Lavoro]],IF(OR(H1352=$F$5,H1352=$F$6,H1352=$F$7,H1352=$F$8,H1352=$F$9,H1352=$F$10,H1352=$F$11,H1352=$F$12,H1352=$F$13,H1352=$F$14),SottocategorieUscite[[#Headers],[Casa]],IF(OR(H1352=$G$5,H1352=$G$6,H1352=$G$7,H1352=$G$8,H1352=$G$9,H1352=$G$10,H1352=$G$11,H1352=$G$12,H1352=$G$13,H1352=$G$14),SottocategorieUscite[[#Headers],[Utenze]],IF(OR(H1352=$H$5,H1352=$H$6,H1352=$H$7,H1352=$H$8,H1352=$H$9,H1352=$H$10,H1352=$H$11,H1352=$H$12,H1352=$H$13,H1352=$H$14),SottocategorieUscite[[#Headers],[Business Uscite]],IF(OR(H1352=$I$5,H1352=$I$6,H1352=$I$7,H1352=$I$8,H1352=$I$9,H1352=$I$10,H1352=$I$11,H1352=$I$12,H1352=$I$13,H1352=$I$14),SottocategorieUscite[[#Headers],[Banca]],IF(OR(H1352=K$5,H1352=K$6,H1352=K$7,H1352=K$8,H1352=K$9,H1352=K$10,H1352=K$11,H1352=K$12,H1352=K$13,H1352=K$14),SottocategorieEntrate[[#Headers],[Business Entrate]],IF(OR(H1352=L$5,H1352=L$6,H1352=L$7,H1352=L$8,H1352=L$9,H1352=L$10,H1352=L$11,H1352=L$12,H1352=L$13,H1352=L$14),SottocategorieEntrate[[#Headers],[Varie Entrate]],IF(OR(H1352=M$5,H1352=M$6,H1352=M$7,H1352=M$8,H1352=M$9,H1352=M$10,H1352=M$11,H1352=M$12,H1352=M$13,H1352=M$14),SottocategorieEntrate[[#Headers],[Real Estate]],IF(OR(H1352=N$5,H1352=N$6,H1352=N$7,H1352=N$8,H1352=N$9,H1352=N$10,H1352=N$11,H1352=N$12,H1352=N$13,H1352=N$14),SottocategorieEntrate[[#Headers],[Other]],""))))))))))))</f>
        <v/>
      </c>
      <c r="J1352" t="str">
        <f>IF(OR(Dati[[#This Row],[Categoria]]="Bollette",Dati[[#This Row],[Categoria]]="Conto &amp; Carte BNL",Dati[[#This Row],[Categoria]]="Prelievo",Dati[[#This Row],[Categoria]]="Affitto",Dati[[#This Row],[Categoria]]="BNL(Interessi Creditori)"),"Carta",IF(Dati[[#This Row],[Categoria]]&lt;&gt;0,"Cash",""))</f>
        <v/>
      </c>
      <c r="K1352" s="59" t="str">
        <f>IF(OR(Data!$I1352=SottocategorieUscite[[#Headers],[Fuori Casa]],Data!$I1352=SottocategorieUscite[[#Headers],[Varie Uscite]],Data!$I1352=SottocategorieUscite[[#Headers],[Personali]],Data!$I1352=SottocategorieUscite[[#Headers],[Lavoro]]),"$ -","")</f>
        <v/>
      </c>
      <c r="L1352" s="59" t="str">
        <f>IF(OR(Data!$I1352=SottocategorieUscite[[#Headers],[Casa]],Data!$I1352=SottocategorieUscite[[#Headers],[Utenze]],Data!$I1352=SottocategorieUscite[[#Headers],[Business Uscite]],Data!$I1352=SottocategorieUscite[[#Headers],[Banca]]),"$ -","")</f>
        <v/>
      </c>
      <c r="M1352" s="59" t="str">
        <f>IF(OR($I1352&lt;&gt;SottocategorieUscite[[#Headers],[Fuori Casa]],$I1352&lt;&gt;SottocategorieUscite[[#Headers],[Varie Uscite]],$I1352&lt;&gt;SottocategorieUscite[[#Headers],[Personali]],$I1352&lt;&gt;SottocategorieUscite[[#Headers],[Lavoro]],$I1352&lt;&gt;SottocategorieUscite[[#Headers],[Casa]],$I1352&lt;&gt;SottocategorieUscite[[#Headers],[Utenze]],$I1352&lt;&gt;SottocategorieUscite[[#Headers],[Business Uscite]],$I1352&lt;&gt;SottocategorieUscite[[#Headers],[Banca]]),"","$ -")</f>
        <v/>
      </c>
      <c r="N1352" s="59" t="str">
        <f>IF(OR(Data!$I1352=SottocategorieEntrate[[#Headers],[Business Entrate]],Data!$I1352=SottocategorieEntrate[[#Headers],[Varie Entrate]]),"$ -","")</f>
        <v/>
      </c>
      <c r="O1352" s="59" t="str">
        <f>IF(OR(Data!$I1352=SottocategorieEntrate[[#Headers],[Real Estate]],SottocategorieEntrate[[#Headers],[Other]]),"$ -","")</f>
        <v/>
      </c>
      <c r="P1352" s="59" t="str">
        <f>IF(OR($I1352&lt;&gt;SottocategorieEntrate[[#Headers],[Business Entrate]],$I1352&lt;&gt;SottocategorieEntrate[[#Headers],[Varie Entrate]],$I1352&lt;&gt;SottocategorieEntrate[[#Headers],[Real Estate]],$I1352&lt;&gt;SottocategorieEntrate[[#Headers],[Other]]),"","$ -")</f>
        <v/>
      </c>
      <c r="Q1352" s="59" t="str">
        <f>IF(Dati[[#This Row],[Categoria]]="Prelievo","€ -","")</f>
        <v/>
      </c>
      <c r="R1352" s="244"/>
      <c r="S1352" s="59" t="str">
        <f>IF(Dati[[#This Row],[Categoria]]="Savings",0,"")</f>
        <v/>
      </c>
      <c r="T1352" s="59"/>
      <c r="U1352" s="59"/>
      <c r="V1352" s="59"/>
      <c r="W1352" s="59"/>
      <c r="X1352" s="59"/>
      <c r="Y1352" s="59"/>
      <c r="Z1352" s="59"/>
      <c r="AA1352" s="59"/>
      <c r="AB1352" s="59"/>
      <c r="AC1352" s="59"/>
      <c r="AD1352" s="59"/>
      <c r="AE1352" s="59"/>
      <c r="AF1352" s="59"/>
      <c r="AG1352" s="59"/>
      <c r="AH1352" s="59"/>
      <c r="AI1352" s="59" t="str">
        <f>IF(SUM(Dati[[#This Row],[Inv. Business]:[Inv. Cryptocurrency]])=0," ",SUM(Dati[[#This Row],[Inv. Business]:[Inv. Cryptocurrency]]))</f>
        <v xml:space="preserve"> </v>
      </c>
      <c r="AJ1352" s="59"/>
      <c r="AK1352" s="59" t="str">
        <f>IF(SUM(Dati[[#This Row],[Inv. Gold]:[Mutuo]])=0," ",SUM(Dati[[#This Row],[Inv. Gold]:[Mutuo]]))</f>
        <v xml:space="preserve"> </v>
      </c>
      <c r="AL1352" s="59"/>
      <c r="AM1352" s="59"/>
    </row>
    <row r="1353" spans="2:39" x14ac:dyDescent="0.35">
      <c r="B1353" s="237">
        <f>ROW(1329:1329)</f>
        <v>1329</v>
      </c>
      <c r="C1353" s="49">
        <f t="shared" si="95"/>
        <v>45911</v>
      </c>
      <c r="D1353" s="29">
        <f>DAY(Dati[[#This Row],[Data]])</f>
        <v>11</v>
      </c>
      <c r="E1353" s="29" t="str">
        <f>IF(DAY(Data!$C$21:$C$1613)&gt;0,TEXT(Data!$C$21:$C$1613, "mmmm"),"")</f>
        <v>settembre</v>
      </c>
      <c r="F1353" s="29" t="str">
        <f>IF(DAY(Data!$C$21:$C$1613)&gt;0,TEXT(Data!$C$21:$C$1613, "aaaa"),"")</f>
        <v>2025</v>
      </c>
      <c r="I1353" t="str">
        <f>IF(OR(H1353=$B$5,H1353=$B$6,H1353=$B$7,H1353=$B$8,H1353=$B$9,H1353=$B$10,H1353=$B$11,H1353=$B$12,H1353=$B$13,H1353=$B$14),SottocategorieUscite[[#Headers],[Fuori Casa]],IF(OR(H1353=$C$5,H1353=$C$6,H1353=$C$7,H1353=$C$8,H1353=$C$9,H1353=$C$10,H1353=$C$11,H1353=$C$12,H1353=$C$13,H1353=$C$14),SottocategorieUscite[[#Headers],[Varie Uscite]],IF(OR(H1353=$D$5,H1353=$D$6,H1353=$D$7,H1353=$D$8,H1353=$D$9,H1353=$D$10,H1353=$D$11,H1353=$D$12,H1353=$D$13,H1353=$D$14),SottocategorieUscite[[#Headers],[Personali]],IF(OR(H1353=$E$5,H1353=$E$6,H1353=$E$7,H1353=$E$8,H1353=$E$9,H1353=$E$10,H1353=$E$11,H1353=$E$12,H1353=$E$13,H1353=$E$14),SottocategorieUscite[[#Headers],[Lavoro]],IF(OR(H1353=$F$5,H1353=$F$6,H1353=$F$7,H1353=$F$8,H1353=$F$9,H1353=$F$10,H1353=$F$11,H1353=$F$12,H1353=$F$13,H1353=$F$14),SottocategorieUscite[[#Headers],[Casa]],IF(OR(H1353=$G$5,H1353=$G$6,H1353=$G$7,H1353=$G$8,H1353=$G$9,H1353=$G$10,H1353=$G$11,H1353=$G$12,H1353=$G$13,H1353=$G$14),SottocategorieUscite[[#Headers],[Utenze]],IF(OR(H1353=$H$5,H1353=$H$6,H1353=$H$7,H1353=$H$8,H1353=$H$9,H1353=$H$10,H1353=$H$11,H1353=$H$12,H1353=$H$13,H1353=$H$14),SottocategorieUscite[[#Headers],[Business Uscite]],IF(OR(H1353=$I$5,H1353=$I$6,H1353=$I$7,H1353=$I$8,H1353=$I$9,H1353=$I$10,H1353=$I$11,H1353=$I$12,H1353=$I$13,H1353=$I$14),SottocategorieUscite[[#Headers],[Banca]],IF(OR(H1353=K$5,H1353=K$6,H1353=K$7,H1353=K$8,H1353=K$9,H1353=K$10,H1353=K$11,H1353=K$12,H1353=K$13,H1353=K$14),SottocategorieEntrate[[#Headers],[Business Entrate]],IF(OR(H1353=L$5,H1353=L$6,H1353=L$7,H1353=L$8,H1353=L$9,H1353=L$10,H1353=L$11,H1353=L$12,H1353=L$13,H1353=L$14),SottocategorieEntrate[[#Headers],[Varie Entrate]],IF(OR(H1353=M$5,H1353=M$6,H1353=M$7,H1353=M$8,H1353=M$9,H1353=M$10,H1353=M$11,H1353=M$12,H1353=M$13,H1353=M$14),SottocategorieEntrate[[#Headers],[Real Estate]],IF(OR(H1353=N$5,H1353=N$6,H1353=N$7,H1353=N$8,H1353=N$9,H1353=N$10,H1353=N$11,H1353=N$12,H1353=N$13,H1353=N$14),SottocategorieEntrate[[#Headers],[Other]],""))))))))))))</f>
        <v/>
      </c>
      <c r="J1353" t="str">
        <f>IF(OR(Dati[[#This Row],[Categoria]]="Bollette",Dati[[#This Row],[Categoria]]="Conto &amp; Carte BNL",Dati[[#This Row],[Categoria]]="Prelievo",Dati[[#This Row],[Categoria]]="Affitto",Dati[[#This Row],[Categoria]]="BNL(Interessi Creditori)"),"Carta",IF(Dati[[#This Row],[Categoria]]&lt;&gt;0,"Cash",""))</f>
        <v/>
      </c>
      <c r="K1353" s="59" t="str">
        <f>IF(OR(Data!$I1353=SottocategorieUscite[[#Headers],[Fuori Casa]],Data!$I1353=SottocategorieUscite[[#Headers],[Varie Uscite]],Data!$I1353=SottocategorieUscite[[#Headers],[Personali]],Data!$I1353=SottocategorieUscite[[#Headers],[Lavoro]]),"$ -","")</f>
        <v/>
      </c>
      <c r="L1353" s="59" t="str">
        <f>IF(OR(Data!$I1353=SottocategorieUscite[[#Headers],[Casa]],Data!$I1353=SottocategorieUscite[[#Headers],[Utenze]],Data!$I1353=SottocategorieUscite[[#Headers],[Business Uscite]],Data!$I1353=SottocategorieUscite[[#Headers],[Banca]]),"$ -","")</f>
        <v/>
      </c>
      <c r="M1353" s="59" t="str">
        <f>IF(OR($I1353&lt;&gt;SottocategorieUscite[[#Headers],[Fuori Casa]],$I1353&lt;&gt;SottocategorieUscite[[#Headers],[Varie Uscite]],$I1353&lt;&gt;SottocategorieUscite[[#Headers],[Personali]],$I1353&lt;&gt;SottocategorieUscite[[#Headers],[Lavoro]],$I1353&lt;&gt;SottocategorieUscite[[#Headers],[Casa]],$I1353&lt;&gt;SottocategorieUscite[[#Headers],[Utenze]],$I1353&lt;&gt;SottocategorieUscite[[#Headers],[Business Uscite]],$I1353&lt;&gt;SottocategorieUscite[[#Headers],[Banca]]),"","$ -")</f>
        <v/>
      </c>
      <c r="N1353" s="59" t="str">
        <f>IF(OR(Data!$I1353=SottocategorieEntrate[[#Headers],[Business Entrate]],Data!$I1353=SottocategorieEntrate[[#Headers],[Varie Entrate]]),"$ -","")</f>
        <v/>
      </c>
      <c r="O1353" s="59" t="str">
        <f>IF(OR(Data!$I1353=SottocategorieEntrate[[#Headers],[Real Estate]],SottocategorieEntrate[[#Headers],[Other]]),"$ -","")</f>
        <v/>
      </c>
      <c r="P1353" s="59" t="str">
        <f>IF(OR($I1353&lt;&gt;SottocategorieEntrate[[#Headers],[Business Entrate]],$I1353&lt;&gt;SottocategorieEntrate[[#Headers],[Varie Entrate]],$I1353&lt;&gt;SottocategorieEntrate[[#Headers],[Real Estate]],$I1353&lt;&gt;SottocategorieEntrate[[#Headers],[Other]]),"","$ -")</f>
        <v/>
      </c>
      <c r="Q1353" s="59" t="str">
        <f>IF(Dati[[#This Row],[Categoria]]="Prelievo","€ -","")</f>
        <v/>
      </c>
      <c r="R1353" s="244"/>
      <c r="S1353" s="59" t="str">
        <f>IF(Dati[[#This Row],[Categoria]]="Savings",0,"")</f>
        <v/>
      </c>
      <c r="T1353" s="59"/>
      <c r="U1353" s="59"/>
      <c r="V1353" s="59"/>
      <c r="W1353" s="59"/>
      <c r="X1353" s="59"/>
      <c r="Y1353" s="59"/>
      <c r="Z1353" s="59"/>
      <c r="AA1353" s="59"/>
      <c r="AB1353" s="59"/>
      <c r="AC1353" s="59"/>
      <c r="AD1353" s="59"/>
      <c r="AE1353" s="59"/>
      <c r="AF1353" s="59"/>
      <c r="AG1353" s="59"/>
      <c r="AH1353" s="59"/>
      <c r="AI1353" s="59" t="str">
        <f>IF(SUM(Dati[[#This Row],[Inv. Business]:[Inv. Cryptocurrency]])=0," ",SUM(Dati[[#This Row],[Inv. Business]:[Inv. Cryptocurrency]]))</f>
        <v xml:space="preserve"> </v>
      </c>
      <c r="AJ1353" s="59"/>
      <c r="AK1353" s="59" t="str">
        <f>IF(SUM(Dati[[#This Row],[Inv. Gold]:[Mutuo]])=0," ",SUM(Dati[[#This Row],[Inv. Gold]:[Mutuo]]))</f>
        <v xml:space="preserve"> </v>
      </c>
      <c r="AL1353" s="59"/>
      <c r="AM1353" s="59"/>
    </row>
    <row r="1354" spans="2:39" x14ac:dyDescent="0.35">
      <c r="B1354" s="237">
        <f>ROW(1330:1330)</f>
        <v>1330</v>
      </c>
      <c r="C1354" s="49">
        <f t="shared" si="95"/>
        <v>45912</v>
      </c>
      <c r="D1354" s="29">
        <f>DAY(Dati[[#This Row],[Data]])</f>
        <v>12</v>
      </c>
      <c r="E1354" s="29" t="str">
        <f>IF(DAY(Data!$C$21:$C$1613)&gt;0,TEXT(Data!$C$21:$C$1613, "mmmm"),"")</f>
        <v>settembre</v>
      </c>
      <c r="F1354" s="29" t="str">
        <f>IF(DAY(Data!$C$21:$C$1613)&gt;0,TEXT(Data!$C$21:$C$1613, "aaaa"),"")</f>
        <v>2025</v>
      </c>
      <c r="I1354" t="str">
        <f>IF(OR(H1354=$B$5,H1354=$B$6,H1354=$B$7,H1354=$B$8,H1354=$B$9,H1354=$B$10,H1354=$B$11,H1354=$B$12,H1354=$B$13,H1354=$B$14),SottocategorieUscite[[#Headers],[Fuori Casa]],IF(OR(H1354=$C$5,H1354=$C$6,H1354=$C$7,H1354=$C$8,H1354=$C$9,H1354=$C$10,H1354=$C$11,H1354=$C$12,H1354=$C$13,H1354=$C$14),SottocategorieUscite[[#Headers],[Varie Uscite]],IF(OR(H1354=$D$5,H1354=$D$6,H1354=$D$7,H1354=$D$8,H1354=$D$9,H1354=$D$10,H1354=$D$11,H1354=$D$12,H1354=$D$13,H1354=$D$14),SottocategorieUscite[[#Headers],[Personali]],IF(OR(H1354=$E$5,H1354=$E$6,H1354=$E$7,H1354=$E$8,H1354=$E$9,H1354=$E$10,H1354=$E$11,H1354=$E$12,H1354=$E$13,H1354=$E$14),SottocategorieUscite[[#Headers],[Lavoro]],IF(OR(H1354=$F$5,H1354=$F$6,H1354=$F$7,H1354=$F$8,H1354=$F$9,H1354=$F$10,H1354=$F$11,H1354=$F$12,H1354=$F$13,H1354=$F$14),SottocategorieUscite[[#Headers],[Casa]],IF(OR(H1354=$G$5,H1354=$G$6,H1354=$G$7,H1354=$G$8,H1354=$G$9,H1354=$G$10,H1354=$G$11,H1354=$G$12,H1354=$G$13,H1354=$G$14),SottocategorieUscite[[#Headers],[Utenze]],IF(OR(H1354=$H$5,H1354=$H$6,H1354=$H$7,H1354=$H$8,H1354=$H$9,H1354=$H$10,H1354=$H$11,H1354=$H$12,H1354=$H$13,H1354=$H$14),SottocategorieUscite[[#Headers],[Business Uscite]],IF(OR(H1354=$I$5,H1354=$I$6,H1354=$I$7,H1354=$I$8,H1354=$I$9,H1354=$I$10,H1354=$I$11,H1354=$I$12,H1354=$I$13,H1354=$I$14),SottocategorieUscite[[#Headers],[Banca]],IF(OR(H1354=K$5,H1354=K$6,H1354=K$7,H1354=K$8,H1354=K$9,H1354=K$10,H1354=K$11,H1354=K$12,H1354=K$13,H1354=K$14),SottocategorieEntrate[[#Headers],[Business Entrate]],IF(OR(H1354=L$5,H1354=L$6,H1354=L$7,H1354=L$8,H1354=L$9,H1354=L$10,H1354=L$11,H1354=L$12,H1354=L$13,H1354=L$14),SottocategorieEntrate[[#Headers],[Varie Entrate]],IF(OR(H1354=M$5,H1354=M$6,H1354=M$7,H1354=M$8,H1354=M$9,H1354=M$10,H1354=M$11,H1354=M$12,H1354=M$13,H1354=M$14),SottocategorieEntrate[[#Headers],[Real Estate]],IF(OR(H1354=N$5,H1354=N$6,H1354=N$7,H1354=N$8,H1354=N$9,H1354=N$10,H1354=N$11,H1354=N$12,H1354=N$13,H1354=N$14),SottocategorieEntrate[[#Headers],[Other]],""))))))))))))</f>
        <v/>
      </c>
      <c r="J1354" t="str">
        <f>IF(OR(Dati[[#This Row],[Categoria]]="Bollette",Dati[[#This Row],[Categoria]]="Conto &amp; Carte BNL",Dati[[#This Row],[Categoria]]="Prelievo",Dati[[#This Row],[Categoria]]="Affitto",Dati[[#This Row],[Categoria]]="BNL(Interessi Creditori)"),"Carta",IF(Dati[[#This Row],[Categoria]]&lt;&gt;0,"Cash",""))</f>
        <v/>
      </c>
      <c r="K1354" s="59" t="str">
        <f>IF(OR(Data!$I1354=SottocategorieUscite[[#Headers],[Fuori Casa]],Data!$I1354=SottocategorieUscite[[#Headers],[Varie Uscite]],Data!$I1354=SottocategorieUscite[[#Headers],[Personali]],Data!$I1354=SottocategorieUscite[[#Headers],[Lavoro]]),"$ -","")</f>
        <v/>
      </c>
      <c r="L1354" s="59" t="str">
        <f>IF(OR(Data!$I1354=SottocategorieUscite[[#Headers],[Casa]],Data!$I1354=SottocategorieUscite[[#Headers],[Utenze]],Data!$I1354=SottocategorieUscite[[#Headers],[Business Uscite]],Data!$I1354=SottocategorieUscite[[#Headers],[Banca]]),"$ -","")</f>
        <v/>
      </c>
      <c r="M1354" s="59" t="str">
        <f>IF(OR($I1354&lt;&gt;SottocategorieUscite[[#Headers],[Fuori Casa]],$I1354&lt;&gt;SottocategorieUscite[[#Headers],[Varie Uscite]],$I1354&lt;&gt;SottocategorieUscite[[#Headers],[Personali]],$I1354&lt;&gt;SottocategorieUscite[[#Headers],[Lavoro]],$I1354&lt;&gt;SottocategorieUscite[[#Headers],[Casa]],$I1354&lt;&gt;SottocategorieUscite[[#Headers],[Utenze]],$I1354&lt;&gt;SottocategorieUscite[[#Headers],[Business Uscite]],$I1354&lt;&gt;SottocategorieUscite[[#Headers],[Banca]]),"","$ -")</f>
        <v/>
      </c>
      <c r="N1354" s="59" t="str">
        <f>IF(OR(Data!$I1354=SottocategorieEntrate[[#Headers],[Business Entrate]],Data!$I1354=SottocategorieEntrate[[#Headers],[Varie Entrate]]),"$ -","")</f>
        <v/>
      </c>
      <c r="O1354" s="59" t="str">
        <f>IF(OR(Data!$I1354=SottocategorieEntrate[[#Headers],[Real Estate]],SottocategorieEntrate[[#Headers],[Other]]),"$ -","")</f>
        <v/>
      </c>
      <c r="P1354" s="59" t="str">
        <f>IF(OR($I1354&lt;&gt;SottocategorieEntrate[[#Headers],[Business Entrate]],$I1354&lt;&gt;SottocategorieEntrate[[#Headers],[Varie Entrate]],$I1354&lt;&gt;SottocategorieEntrate[[#Headers],[Real Estate]],$I1354&lt;&gt;SottocategorieEntrate[[#Headers],[Other]]),"","$ -")</f>
        <v/>
      </c>
      <c r="Q1354" s="59" t="str">
        <f>IF(Dati[[#This Row],[Categoria]]="Prelievo","€ -","")</f>
        <v/>
      </c>
      <c r="R1354" s="244"/>
      <c r="S1354" s="59" t="str">
        <f>IF(Dati[[#This Row],[Categoria]]="Savings",0,"")</f>
        <v/>
      </c>
      <c r="T1354" s="59"/>
      <c r="U1354" s="59"/>
      <c r="V1354" s="59"/>
      <c r="W1354" s="59"/>
      <c r="X1354" s="59"/>
      <c r="Y1354" s="59"/>
      <c r="Z1354" s="59"/>
      <c r="AA1354" s="59"/>
      <c r="AB1354" s="59"/>
      <c r="AC1354" s="59"/>
      <c r="AD1354" s="59"/>
      <c r="AE1354" s="59"/>
      <c r="AF1354" s="59"/>
      <c r="AG1354" s="59"/>
      <c r="AH1354" s="59"/>
      <c r="AI1354" s="59" t="str">
        <f>IF(SUM(Dati[[#This Row],[Inv. Business]:[Inv. Cryptocurrency]])=0," ",SUM(Dati[[#This Row],[Inv. Business]:[Inv. Cryptocurrency]]))</f>
        <v xml:space="preserve"> </v>
      </c>
      <c r="AJ1354" s="59"/>
      <c r="AK1354" s="59" t="str">
        <f>IF(SUM(Dati[[#This Row],[Inv. Gold]:[Mutuo]])=0," ",SUM(Dati[[#This Row],[Inv. Gold]:[Mutuo]]))</f>
        <v xml:space="preserve"> </v>
      </c>
      <c r="AL1354" s="59"/>
      <c r="AM1354" s="59"/>
    </row>
    <row r="1355" spans="2:39" x14ac:dyDescent="0.35">
      <c r="B1355" s="237">
        <f>ROW(1332:1332)</f>
        <v>1332</v>
      </c>
      <c r="C1355" s="49">
        <f t="shared" si="95"/>
        <v>45913</v>
      </c>
      <c r="D1355" s="29">
        <f>DAY(Dati[[#This Row],[Data]])</f>
        <v>13</v>
      </c>
      <c r="E1355" s="29" t="str">
        <f>IF(DAY(Data!$C$21:$C$1613)&gt;0,TEXT(Data!$C$21:$C$1613, "mmmm"),"")</f>
        <v>settembre</v>
      </c>
      <c r="F1355" s="29" t="str">
        <f>IF(DAY(Data!$C$21:$C$1613)&gt;0,TEXT(Data!$C$21:$C$1613, "aaaa"),"")</f>
        <v>2025</v>
      </c>
      <c r="I1355" t="str">
        <f>IF(OR(H1355=$B$5,H1355=$B$6,H1355=$B$7,H1355=$B$8,H1355=$B$9,H1355=$B$10,H1355=$B$11,H1355=$B$12,H1355=$B$13,H1355=$B$14),SottocategorieUscite[[#Headers],[Fuori Casa]],IF(OR(H1355=$C$5,H1355=$C$6,H1355=$C$7,H1355=$C$8,H1355=$C$9,H1355=$C$10,H1355=$C$11,H1355=$C$12,H1355=$C$13,H1355=$C$14),SottocategorieUscite[[#Headers],[Varie Uscite]],IF(OR(H1355=$D$5,H1355=$D$6,H1355=$D$7,H1355=$D$8,H1355=$D$9,H1355=$D$10,H1355=$D$11,H1355=$D$12,H1355=$D$13,H1355=$D$14),SottocategorieUscite[[#Headers],[Personali]],IF(OR(H1355=$E$5,H1355=$E$6,H1355=$E$7,H1355=$E$8,H1355=$E$9,H1355=$E$10,H1355=$E$11,H1355=$E$12,H1355=$E$13,H1355=$E$14),SottocategorieUscite[[#Headers],[Lavoro]],IF(OR(H1355=$F$5,H1355=$F$6,H1355=$F$7,H1355=$F$8,H1355=$F$9,H1355=$F$10,H1355=$F$11,H1355=$F$12,H1355=$F$13,H1355=$F$14),SottocategorieUscite[[#Headers],[Casa]],IF(OR(H1355=$G$5,H1355=$G$6,H1355=$G$7,H1355=$G$8,H1355=$G$9,H1355=$G$10,H1355=$G$11,H1355=$G$12,H1355=$G$13,H1355=$G$14),SottocategorieUscite[[#Headers],[Utenze]],IF(OR(H1355=$H$5,H1355=$H$6,H1355=$H$7,H1355=$H$8,H1355=$H$9,H1355=$H$10,H1355=$H$11,H1355=$H$12,H1355=$H$13,H1355=$H$14),SottocategorieUscite[[#Headers],[Business Uscite]],IF(OR(H1355=$I$5,H1355=$I$6,H1355=$I$7,H1355=$I$8,H1355=$I$9,H1355=$I$10,H1355=$I$11,H1355=$I$12,H1355=$I$13,H1355=$I$14),SottocategorieUscite[[#Headers],[Banca]],IF(OR(H1355=K$5,H1355=K$6,H1355=K$7,H1355=K$8,H1355=K$9,H1355=K$10,H1355=K$11,H1355=K$12,H1355=K$13,H1355=K$14),SottocategorieEntrate[[#Headers],[Business Entrate]],IF(OR(H1355=L$5,H1355=L$6,H1355=L$7,H1355=L$8,H1355=L$9,H1355=L$10,H1355=L$11,H1355=L$12,H1355=L$13,H1355=L$14),SottocategorieEntrate[[#Headers],[Varie Entrate]],IF(OR(H1355=M$5,H1355=M$6,H1355=M$7,H1355=M$8,H1355=M$9,H1355=M$10,H1355=M$11,H1355=M$12,H1355=M$13,H1355=M$14),SottocategorieEntrate[[#Headers],[Real Estate]],IF(OR(H1355=N$5,H1355=N$6,H1355=N$7,H1355=N$8,H1355=N$9,H1355=N$10,H1355=N$11,H1355=N$12,H1355=N$13,H1355=N$14),SottocategorieEntrate[[#Headers],[Other]],""))))))))))))</f>
        <v/>
      </c>
      <c r="J1355" t="str">
        <f>IF(OR(Dati[[#This Row],[Categoria]]="Bollette",Dati[[#This Row],[Categoria]]="Conto &amp; Carte BNL",Dati[[#This Row],[Categoria]]="Prelievo",Dati[[#This Row],[Categoria]]="Affitto",Dati[[#This Row],[Categoria]]="BNL(Interessi Creditori)"),"Carta",IF(Dati[[#This Row],[Categoria]]&lt;&gt;0,"Cash",""))</f>
        <v/>
      </c>
      <c r="K1355" s="59" t="str">
        <f>IF(OR(Data!$I1355=SottocategorieUscite[[#Headers],[Fuori Casa]],Data!$I1355=SottocategorieUscite[[#Headers],[Varie Uscite]],Data!$I1355=SottocategorieUscite[[#Headers],[Personali]],Data!$I1355=SottocategorieUscite[[#Headers],[Lavoro]]),"$ -","")</f>
        <v/>
      </c>
      <c r="L1355" s="59" t="str">
        <f>IF(OR(Data!$I1355=SottocategorieUscite[[#Headers],[Casa]],Data!$I1355=SottocategorieUscite[[#Headers],[Utenze]],Data!$I1355=SottocategorieUscite[[#Headers],[Business Uscite]],Data!$I1355=SottocategorieUscite[[#Headers],[Banca]]),"$ -","")</f>
        <v/>
      </c>
      <c r="M1355" s="59" t="str">
        <f>IF(OR($I1355&lt;&gt;SottocategorieUscite[[#Headers],[Fuori Casa]],$I1355&lt;&gt;SottocategorieUscite[[#Headers],[Varie Uscite]],$I1355&lt;&gt;SottocategorieUscite[[#Headers],[Personali]],$I1355&lt;&gt;SottocategorieUscite[[#Headers],[Lavoro]],$I1355&lt;&gt;SottocategorieUscite[[#Headers],[Casa]],$I1355&lt;&gt;SottocategorieUscite[[#Headers],[Utenze]],$I1355&lt;&gt;SottocategorieUscite[[#Headers],[Business Uscite]],$I1355&lt;&gt;SottocategorieUscite[[#Headers],[Banca]]),"","$ -")</f>
        <v/>
      </c>
      <c r="N1355" s="59" t="str">
        <f>IF(OR(Data!$I1355=SottocategorieEntrate[[#Headers],[Business Entrate]],Data!$I1355=SottocategorieEntrate[[#Headers],[Varie Entrate]]),"$ -","")</f>
        <v/>
      </c>
      <c r="O1355" s="59" t="str">
        <f>IF(OR(Data!$I1355=SottocategorieEntrate[[#Headers],[Real Estate]],SottocategorieEntrate[[#Headers],[Other]]),"$ -","")</f>
        <v/>
      </c>
      <c r="P1355" s="59" t="str">
        <f>IF(OR($I1355&lt;&gt;SottocategorieEntrate[[#Headers],[Business Entrate]],$I1355&lt;&gt;SottocategorieEntrate[[#Headers],[Varie Entrate]],$I1355&lt;&gt;SottocategorieEntrate[[#Headers],[Real Estate]],$I1355&lt;&gt;SottocategorieEntrate[[#Headers],[Other]]),"","$ -")</f>
        <v/>
      </c>
      <c r="Q1355" s="59" t="str">
        <f>IF(Dati[[#This Row],[Categoria]]="Prelievo","€ -","")</f>
        <v/>
      </c>
      <c r="R1355" s="244"/>
      <c r="S1355" s="59" t="str">
        <f>IF(Dati[[#This Row],[Categoria]]="Savings",0,"")</f>
        <v/>
      </c>
      <c r="T1355" s="59"/>
      <c r="U1355" s="59"/>
      <c r="V1355" s="59"/>
      <c r="W1355" s="59"/>
      <c r="X1355" s="59"/>
      <c r="Y1355" s="59"/>
      <c r="Z1355" s="59"/>
      <c r="AA1355" s="59"/>
      <c r="AB1355" s="59"/>
      <c r="AC1355" s="59"/>
      <c r="AD1355" s="59"/>
      <c r="AE1355" s="59"/>
      <c r="AF1355" s="59"/>
      <c r="AG1355" s="59"/>
      <c r="AH1355" s="59"/>
      <c r="AI1355" s="59" t="str">
        <f>IF(SUM(Dati[[#This Row],[Inv. Business]:[Inv. Cryptocurrency]])=0," ",SUM(Dati[[#This Row],[Inv. Business]:[Inv. Cryptocurrency]]))</f>
        <v xml:space="preserve"> </v>
      </c>
      <c r="AJ1355" s="59"/>
      <c r="AK1355" s="59" t="str">
        <f>IF(SUM(Dati[[#This Row],[Inv. Gold]:[Mutuo]])=0," ",SUM(Dati[[#This Row],[Inv. Gold]:[Mutuo]]))</f>
        <v xml:space="preserve"> </v>
      </c>
      <c r="AL1355" s="59"/>
      <c r="AM1355" s="59"/>
    </row>
    <row r="1356" spans="2:39" x14ac:dyDescent="0.35">
      <c r="B1356" s="237">
        <f>ROW(1333:1333)</f>
        <v>1333</v>
      </c>
      <c r="C1356" s="49">
        <f t="shared" si="95"/>
        <v>45914</v>
      </c>
      <c r="D1356" s="29">
        <f>DAY(Dati[[#This Row],[Data]])</f>
        <v>14</v>
      </c>
      <c r="E1356" s="29" t="str">
        <f>IF(DAY(Data!$C$21:$C$1613)&gt;0,TEXT(Data!$C$21:$C$1613, "mmmm"),"")</f>
        <v>settembre</v>
      </c>
      <c r="F1356" s="29" t="str">
        <f>IF(DAY(Data!$C$21:$C$1613)&gt;0,TEXT(Data!$C$21:$C$1613, "aaaa"),"")</f>
        <v>2025</v>
      </c>
      <c r="I1356" t="str">
        <f>IF(OR(H1356=$B$5,H1356=$B$6,H1356=$B$7,H1356=$B$8,H1356=$B$9,H1356=$B$10,H1356=$B$11,H1356=$B$12,H1356=$B$13,H1356=$B$14),SottocategorieUscite[[#Headers],[Fuori Casa]],IF(OR(H1356=$C$5,H1356=$C$6,H1356=$C$7,H1356=$C$8,H1356=$C$9,H1356=$C$10,H1356=$C$11,H1356=$C$12,H1356=$C$13,H1356=$C$14),SottocategorieUscite[[#Headers],[Varie Uscite]],IF(OR(H1356=$D$5,H1356=$D$6,H1356=$D$7,H1356=$D$8,H1356=$D$9,H1356=$D$10,H1356=$D$11,H1356=$D$12,H1356=$D$13,H1356=$D$14),SottocategorieUscite[[#Headers],[Personali]],IF(OR(H1356=$E$5,H1356=$E$6,H1356=$E$7,H1356=$E$8,H1356=$E$9,H1356=$E$10,H1356=$E$11,H1356=$E$12,H1356=$E$13,H1356=$E$14),SottocategorieUscite[[#Headers],[Lavoro]],IF(OR(H1356=$F$5,H1356=$F$6,H1356=$F$7,H1356=$F$8,H1356=$F$9,H1356=$F$10,H1356=$F$11,H1356=$F$12,H1356=$F$13,H1356=$F$14),SottocategorieUscite[[#Headers],[Casa]],IF(OR(H1356=$G$5,H1356=$G$6,H1356=$G$7,H1356=$G$8,H1356=$G$9,H1356=$G$10,H1356=$G$11,H1356=$G$12,H1356=$G$13,H1356=$G$14),SottocategorieUscite[[#Headers],[Utenze]],IF(OR(H1356=$H$5,H1356=$H$6,H1356=$H$7,H1356=$H$8,H1356=$H$9,H1356=$H$10,H1356=$H$11,H1356=$H$12,H1356=$H$13,H1356=$H$14),SottocategorieUscite[[#Headers],[Business Uscite]],IF(OR(H1356=$I$5,H1356=$I$6,H1356=$I$7,H1356=$I$8,H1356=$I$9,H1356=$I$10,H1356=$I$11,H1356=$I$12,H1356=$I$13,H1356=$I$14),SottocategorieUscite[[#Headers],[Banca]],IF(OR(H1356=K$5,H1356=K$6,H1356=K$7,H1356=K$8,H1356=K$9,H1356=K$10,H1356=K$11,H1356=K$12,H1356=K$13,H1356=K$14),SottocategorieEntrate[[#Headers],[Business Entrate]],IF(OR(H1356=L$5,H1356=L$6,H1356=L$7,H1356=L$8,H1356=L$9,H1356=L$10,H1356=L$11,H1356=L$12,H1356=L$13,H1356=L$14),SottocategorieEntrate[[#Headers],[Varie Entrate]],IF(OR(H1356=M$5,H1356=M$6,H1356=M$7,H1356=M$8,H1356=M$9,H1356=M$10,H1356=M$11,H1356=M$12,H1356=M$13,H1356=M$14),SottocategorieEntrate[[#Headers],[Real Estate]],IF(OR(H1356=N$5,H1356=N$6,H1356=N$7,H1356=N$8,H1356=N$9,H1356=N$10,H1356=N$11,H1356=N$12,H1356=N$13,H1356=N$14),SottocategorieEntrate[[#Headers],[Other]],""))))))))))))</f>
        <v/>
      </c>
      <c r="J1356" t="str">
        <f>IF(OR(Dati[[#This Row],[Categoria]]="Bollette",Dati[[#This Row],[Categoria]]="Conto &amp; Carte BNL",Dati[[#This Row],[Categoria]]="Prelievo",Dati[[#This Row],[Categoria]]="Affitto",Dati[[#This Row],[Categoria]]="BNL(Interessi Creditori)"),"Carta",IF(Dati[[#This Row],[Categoria]]&lt;&gt;0,"Cash",""))</f>
        <v/>
      </c>
      <c r="K1356" s="59" t="str">
        <f>IF(OR(Data!$I1356=SottocategorieUscite[[#Headers],[Fuori Casa]],Data!$I1356=SottocategorieUscite[[#Headers],[Varie Uscite]],Data!$I1356=SottocategorieUscite[[#Headers],[Personali]],Data!$I1356=SottocategorieUscite[[#Headers],[Lavoro]]),"$ -","")</f>
        <v/>
      </c>
      <c r="L1356" s="59" t="str">
        <f>IF(OR(Data!$I1356=SottocategorieUscite[[#Headers],[Casa]],Data!$I1356=SottocategorieUscite[[#Headers],[Utenze]],Data!$I1356=SottocategorieUscite[[#Headers],[Business Uscite]],Data!$I1356=SottocategorieUscite[[#Headers],[Banca]]),"$ -","")</f>
        <v/>
      </c>
      <c r="M1356" s="59" t="str">
        <f>IF(OR($I1356&lt;&gt;SottocategorieUscite[[#Headers],[Fuori Casa]],$I1356&lt;&gt;SottocategorieUscite[[#Headers],[Varie Uscite]],$I1356&lt;&gt;SottocategorieUscite[[#Headers],[Personali]],$I1356&lt;&gt;SottocategorieUscite[[#Headers],[Lavoro]],$I1356&lt;&gt;SottocategorieUscite[[#Headers],[Casa]],$I1356&lt;&gt;SottocategorieUscite[[#Headers],[Utenze]],$I1356&lt;&gt;SottocategorieUscite[[#Headers],[Business Uscite]],$I1356&lt;&gt;SottocategorieUscite[[#Headers],[Banca]]),"","$ -")</f>
        <v/>
      </c>
      <c r="N1356" s="59" t="str">
        <f>IF(OR(Data!$I1356=SottocategorieEntrate[[#Headers],[Business Entrate]],Data!$I1356=SottocategorieEntrate[[#Headers],[Varie Entrate]]),"$ -","")</f>
        <v/>
      </c>
      <c r="O1356" s="59" t="str">
        <f>IF(OR(Data!$I1356=SottocategorieEntrate[[#Headers],[Real Estate]],SottocategorieEntrate[[#Headers],[Other]]),"$ -","")</f>
        <v/>
      </c>
      <c r="P1356" s="59" t="str">
        <f>IF(OR($I1356&lt;&gt;SottocategorieEntrate[[#Headers],[Business Entrate]],$I1356&lt;&gt;SottocategorieEntrate[[#Headers],[Varie Entrate]],$I1356&lt;&gt;SottocategorieEntrate[[#Headers],[Real Estate]],$I1356&lt;&gt;SottocategorieEntrate[[#Headers],[Other]]),"","$ -")</f>
        <v/>
      </c>
      <c r="Q1356" s="59" t="str">
        <f>IF(Dati[[#This Row],[Categoria]]="Prelievo","€ -","")</f>
        <v/>
      </c>
      <c r="R1356" s="244"/>
      <c r="S1356" s="59" t="str">
        <f>IF(Dati[[#This Row],[Categoria]]="Savings",0,"")</f>
        <v/>
      </c>
      <c r="T1356" s="59"/>
      <c r="U1356" s="59"/>
      <c r="V1356" s="59"/>
      <c r="W1356" s="59"/>
      <c r="X1356" s="59"/>
      <c r="Y1356" s="59"/>
      <c r="Z1356" s="59"/>
      <c r="AA1356" s="59"/>
      <c r="AB1356" s="59"/>
      <c r="AC1356" s="59"/>
      <c r="AD1356" s="59"/>
      <c r="AE1356" s="59"/>
      <c r="AF1356" s="59"/>
      <c r="AG1356" s="59"/>
      <c r="AH1356" s="59"/>
      <c r="AI1356" s="59" t="str">
        <f>IF(SUM(Dati[[#This Row],[Inv. Business]:[Inv. Cryptocurrency]])=0," ",SUM(Dati[[#This Row],[Inv. Business]:[Inv. Cryptocurrency]]))</f>
        <v xml:space="preserve"> </v>
      </c>
      <c r="AJ1356" s="59"/>
      <c r="AK1356" s="59" t="str">
        <f>IF(SUM(Dati[[#This Row],[Inv. Gold]:[Mutuo]])=0," ",SUM(Dati[[#This Row],[Inv. Gold]:[Mutuo]]))</f>
        <v xml:space="preserve"> </v>
      </c>
      <c r="AL1356" s="59"/>
      <c r="AM1356" s="59"/>
    </row>
    <row r="1357" spans="2:39" x14ac:dyDescent="0.35">
      <c r="B1357" s="237">
        <f>ROW(1334:1334)</f>
        <v>1334</v>
      </c>
      <c r="C1357" s="49">
        <f t="shared" si="95"/>
        <v>45915</v>
      </c>
      <c r="D1357" s="29">
        <f>DAY(Dati[[#This Row],[Data]])</f>
        <v>15</v>
      </c>
      <c r="E1357" s="29" t="str">
        <f>IF(DAY(Data!$C$21:$C$1613)&gt;0,TEXT(Data!$C$21:$C$1613, "mmmm"),"")</f>
        <v>settembre</v>
      </c>
      <c r="F1357" s="29" t="str">
        <f>IF(DAY(Data!$C$21:$C$1613)&gt;0,TEXT(Data!$C$21:$C$1613, "aaaa"),"")</f>
        <v>2025</v>
      </c>
      <c r="I1357" t="str">
        <f>IF(OR(H1357=$B$5,H1357=$B$6,H1357=$B$7,H1357=$B$8,H1357=$B$9,H1357=$B$10,H1357=$B$11,H1357=$B$12,H1357=$B$13,H1357=$B$14),SottocategorieUscite[[#Headers],[Fuori Casa]],IF(OR(H1357=$C$5,H1357=$C$6,H1357=$C$7,H1357=$C$8,H1357=$C$9,H1357=$C$10,H1357=$C$11,H1357=$C$12,H1357=$C$13,H1357=$C$14),SottocategorieUscite[[#Headers],[Varie Uscite]],IF(OR(H1357=$D$5,H1357=$D$6,H1357=$D$7,H1357=$D$8,H1357=$D$9,H1357=$D$10,H1357=$D$11,H1357=$D$12,H1357=$D$13,H1357=$D$14),SottocategorieUscite[[#Headers],[Personali]],IF(OR(H1357=$E$5,H1357=$E$6,H1357=$E$7,H1357=$E$8,H1357=$E$9,H1357=$E$10,H1357=$E$11,H1357=$E$12,H1357=$E$13,H1357=$E$14),SottocategorieUscite[[#Headers],[Lavoro]],IF(OR(H1357=$F$5,H1357=$F$6,H1357=$F$7,H1357=$F$8,H1357=$F$9,H1357=$F$10,H1357=$F$11,H1357=$F$12,H1357=$F$13,H1357=$F$14),SottocategorieUscite[[#Headers],[Casa]],IF(OR(H1357=$G$5,H1357=$G$6,H1357=$G$7,H1357=$G$8,H1357=$G$9,H1357=$G$10,H1357=$G$11,H1357=$G$12,H1357=$G$13,H1357=$G$14),SottocategorieUscite[[#Headers],[Utenze]],IF(OR(H1357=$H$5,H1357=$H$6,H1357=$H$7,H1357=$H$8,H1357=$H$9,H1357=$H$10,H1357=$H$11,H1357=$H$12,H1357=$H$13,H1357=$H$14),SottocategorieUscite[[#Headers],[Business Uscite]],IF(OR(H1357=$I$5,H1357=$I$6,H1357=$I$7,H1357=$I$8,H1357=$I$9,H1357=$I$10,H1357=$I$11,H1357=$I$12,H1357=$I$13,H1357=$I$14),SottocategorieUscite[[#Headers],[Banca]],IF(OR(H1357=K$5,H1357=K$6,H1357=K$7,H1357=K$8,H1357=K$9,H1357=K$10,H1357=K$11,H1357=K$12,H1357=K$13,H1357=K$14),SottocategorieEntrate[[#Headers],[Business Entrate]],IF(OR(H1357=L$5,H1357=L$6,H1357=L$7,H1357=L$8,H1357=L$9,H1357=L$10,H1357=L$11,H1357=L$12,H1357=L$13,H1357=L$14),SottocategorieEntrate[[#Headers],[Varie Entrate]],IF(OR(H1357=M$5,H1357=M$6,H1357=M$7,H1357=M$8,H1357=M$9,H1357=M$10,H1357=M$11,H1357=M$12,H1357=M$13,H1357=M$14),SottocategorieEntrate[[#Headers],[Real Estate]],IF(OR(H1357=N$5,H1357=N$6,H1357=N$7,H1357=N$8,H1357=N$9,H1357=N$10,H1357=N$11,H1357=N$12,H1357=N$13,H1357=N$14),SottocategorieEntrate[[#Headers],[Other]],""))))))))))))</f>
        <v/>
      </c>
      <c r="J1357" t="str">
        <f>IF(OR(Dati[[#This Row],[Categoria]]="Bollette",Dati[[#This Row],[Categoria]]="Conto &amp; Carte BNL",Dati[[#This Row],[Categoria]]="Prelievo",Dati[[#This Row],[Categoria]]="Affitto",Dati[[#This Row],[Categoria]]="BNL(Interessi Creditori)"),"Carta",IF(Dati[[#This Row],[Categoria]]&lt;&gt;0,"Cash",""))</f>
        <v/>
      </c>
      <c r="K1357" s="59" t="str">
        <f>IF(OR(Data!$I1357=SottocategorieUscite[[#Headers],[Fuori Casa]],Data!$I1357=SottocategorieUscite[[#Headers],[Varie Uscite]],Data!$I1357=SottocategorieUscite[[#Headers],[Personali]],Data!$I1357=SottocategorieUscite[[#Headers],[Lavoro]]),"$ -","")</f>
        <v/>
      </c>
      <c r="L1357" s="59" t="str">
        <f>IF(OR(Data!$I1357=SottocategorieUscite[[#Headers],[Casa]],Data!$I1357=SottocategorieUscite[[#Headers],[Utenze]],Data!$I1357=SottocategorieUscite[[#Headers],[Business Uscite]],Data!$I1357=SottocategorieUscite[[#Headers],[Banca]]),"$ -","")</f>
        <v/>
      </c>
      <c r="M1357" s="59" t="str">
        <f>IF(OR($I1357&lt;&gt;SottocategorieUscite[[#Headers],[Fuori Casa]],$I1357&lt;&gt;SottocategorieUscite[[#Headers],[Varie Uscite]],$I1357&lt;&gt;SottocategorieUscite[[#Headers],[Personali]],$I1357&lt;&gt;SottocategorieUscite[[#Headers],[Lavoro]],$I1357&lt;&gt;SottocategorieUscite[[#Headers],[Casa]],$I1357&lt;&gt;SottocategorieUscite[[#Headers],[Utenze]],$I1357&lt;&gt;SottocategorieUscite[[#Headers],[Business Uscite]],$I1357&lt;&gt;SottocategorieUscite[[#Headers],[Banca]]),"","$ -")</f>
        <v/>
      </c>
      <c r="N1357" s="59" t="str">
        <f>IF(OR(Data!$I1357=SottocategorieEntrate[[#Headers],[Business Entrate]],Data!$I1357=SottocategorieEntrate[[#Headers],[Varie Entrate]]),"$ -","")</f>
        <v/>
      </c>
      <c r="O1357" s="59" t="str">
        <f>IF(OR(Data!$I1357=SottocategorieEntrate[[#Headers],[Real Estate]],SottocategorieEntrate[[#Headers],[Other]]),"$ -","")</f>
        <v/>
      </c>
      <c r="P1357" s="59" t="str">
        <f>IF(OR($I1357&lt;&gt;SottocategorieEntrate[[#Headers],[Business Entrate]],$I1357&lt;&gt;SottocategorieEntrate[[#Headers],[Varie Entrate]],$I1357&lt;&gt;SottocategorieEntrate[[#Headers],[Real Estate]],$I1357&lt;&gt;SottocategorieEntrate[[#Headers],[Other]]),"","$ -")</f>
        <v/>
      </c>
      <c r="Q1357" s="59" t="str">
        <f>IF(Dati[[#This Row],[Categoria]]="Prelievo","€ -","")</f>
        <v/>
      </c>
      <c r="R1357" s="244"/>
      <c r="S1357" s="59" t="str">
        <f>IF(Dati[[#This Row],[Categoria]]="Savings",0,"")</f>
        <v/>
      </c>
      <c r="T1357" s="59"/>
      <c r="U1357" s="59"/>
      <c r="V1357" s="59"/>
      <c r="W1357" s="59"/>
      <c r="X1357" s="59"/>
      <c r="Y1357" s="59"/>
      <c r="Z1357" s="59"/>
      <c r="AA1357" s="59"/>
      <c r="AB1357" s="59"/>
      <c r="AC1357" s="59"/>
      <c r="AD1357" s="59"/>
      <c r="AE1357" s="59"/>
      <c r="AF1357" s="59"/>
      <c r="AG1357" s="59"/>
      <c r="AH1357" s="59"/>
      <c r="AI1357" s="59" t="str">
        <f>IF(SUM(Dati[[#This Row],[Inv. Business]:[Inv. Cryptocurrency]])=0," ",SUM(Dati[[#This Row],[Inv. Business]:[Inv. Cryptocurrency]]))</f>
        <v xml:space="preserve"> </v>
      </c>
      <c r="AJ1357" s="59"/>
      <c r="AK1357" s="59" t="str">
        <f>IF(SUM(Dati[[#This Row],[Inv. Gold]:[Mutuo]])=0," ",SUM(Dati[[#This Row],[Inv. Gold]:[Mutuo]]))</f>
        <v xml:space="preserve"> </v>
      </c>
      <c r="AL1357" s="59"/>
      <c r="AM1357" s="59"/>
    </row>
    <row r="1358" spans="2:39" x14ac:dyDescent="0.35">
      <c r="B1358" s="237">
        <f>ROW(1335:1335)</f>
        <v>1335</v>
      </c>
      <c r="C1358" s="49">
        <f t="shared" si="95"/>
        <v>45916</v>
      </c>
      <c r="D1358" s="29">
        <f>DAY(Dati[[#This Row],[Data]])</f>
        <v>16</v>
      </c>
      <c r="E1358" s="29" t="str">
        <f>IF(DAY(Data!$C$21:$C$1613)&gt;0,TEXT(Data!$C$21:$C$1613, "mmmm"),"")</f>
        <v>settembre</v>
      </c>
      <c r="F1358" s="29" t="str">
        <f>IF(DAY(Data!$C$21:$C$1613)&gt;0,TEXT(Data!$C$21:$C$1613, "aaaa"),"")</f>
        <v>2025</v>
      </c>
      <c r="I1358" t="str">
        <f>IF(OR(H1358=$B$5,H1358=$B$6,H1358=$B$7,H1358=$B$8,H1358=$B$9,H1358=$B$10,H1358=$B$11,H1358=$B$12,H1358=$B$13,H1358=$B$14),SottocategorieUscite[[#Headers],[Fuori Casa]],IF(OR(H1358=$C$5,H1358=$C$6,H1358=$C$7,H1358=$C$8,H1358=$C$9,H1358=$C$10,H1358=$C$11,H1358=$C$12,H1358=$C$13,H1358=$C$14),SottocategorieUscite[[#Headers],[Varie Uscite]],IF(OR(H1358=$D$5,H1358=$D$6,H1358=$D$7,H1358=$D$8,H1358=$D$9,H1358=$D$10,H1358=$D$11,H1358=$D$12,H1358=$D$13,H1358=$D$14),SottocategorieUscite[[#Headers],[Personali]],IF(OR(H1358=$E$5,H1358=$E$6,H1358=$E$7,H1358=$E$8,H1358=$E$9,H1358=$E$10,H1358=$E$11,H1358=$E$12,H1358=$E$13,H1358=$E$14),SottocategorieUscite[[#Headers],[Lavoro]],IF(OR(H1358=$F$5,H1358=$F$6,H1358=$F$7,H1358=$F$8,H1358=$F$9,H1358=$F$10,H1358=$F$11,H1358=$F$12,H1358=$F$13,H1358=$F$14),SottocategorieUscite[[#Headers],[Casa]],IF(OR(H1358=$G$5,H1358=$G$6,H1358=$G$7,H1358=$G$8,H1358=$G$9,H1358=$G$10,H1358=$G$11,H1358=$G$12,H1358=$G$13,H1358=$G$14),SottocategorieUscite[[#Headers],[Utenze]],IF(OR(H1358=$H$5,H1358=$H$6,H1358=$H$7,H1358=$H$8,H1358=$H$9,H1358=$H$10,H1358=$H$11,H1358=$H$12,H1358=$H$13,H1358=$H$14),SottocategorieUscite[[#Headers],[Business Uscite]],IF(OR(H1358=$I$5,H1358=$I$6,H1358=$I$7,H1358=$I$8,H1358=$I$9,H1358=$I$10,H1358=$I$11,H1358=$I$12,H1358=$I$13,H1358=$I$14),SottocategorieUscite[[#Headers],[Banca]],IF(OR(H1358=K$5,H1358=K$6,H1358=K$7,H1358=K$8,H1358=K$9,H1358=K$10,H1358=K$11,H1358=K$12,H1358=K$13,H1358=K$14),SottocategorieEntrate[[#Headers],[Business Entrate]],IF(OR(H1358=L$5,H1358=L$6,H1358=L$7,H1358=L$8,H1358=L$9,H1358=L$10,H1358=L$11,H1358=L$12,H1358=L$13,H1358=L$14),SottocategorieEntrate[[#Headers],[Varie Entrate]],IF(OR(H1358=M$5,H1358=M$6,H1358=M$7,H1358=M$8,H1358=M$9,H1358=M$10,H1358=M$11,H1358=M$12,H1358=M$13,H1358=M$14),SottocategorieEntrate[[#Headers],[Real Estate]],IF(OR(H1358=N$5,H1358=N$6,H1358=N$7,H1358=N$8,H1358=N$9,H1358=N$10,H1358=N$11,H1358=N$12,H1358=N$13,H1358=N$14),SottocategorieEntrate[[#Headers],[Other]],""))))))))))))</f>
        <v/>
      </c>
      <c r="J1358" t="str">
        <f>IF(OR(Dati[[#This Row],[Categoria]]="Bollette",Dati[[#This Row],[Categoria]]="Conto &amp; Carte BNL",Dati[[#This Row],[Categoria]]="Prelievo",Dati[[#This Row],[Categoria]]="Affitto",Dati[[#This Row],[Categoria]]="BNL(Interessi Creditori)"),"Carta",IF(Dati[[#This Row],[Categoria]]&lt;&gt;0,"Cash",""))</f>
        <v/>
      </c>
      <c r="K1358" s="59" t="str">
        <f>IF(OR(Data!$I1358=SottocategorieUscite[[#Headers],[Fuori Casa]],Data!$I1358=SottocategorieUscite[[#Headers],[Varie Uscite]],Data!$I1358=SottocategorieUscite[[#Headers],[Personali]],Data!$I1358=SottocategorieUscite[[#Headers],[Lavoro]]),"$ -","")</f>
        <v/>
      </c>
      <c r="L1358" s="59" t="str">
        <f>IF(OR(Data!$I1358=SottocategorieUscite[[#Headers],[Casa]],Data!$I1358=SottocategorieUscite[[#Headers],[Utenze]],Data!$I1358=SottocategorieUscite[[#Headers],[Business Uscite]],Data!$I1358=SottocategorieUscite[[#Headers],[Banca]]),"$ -","")</f>
        <v/>
      </c>
      <c r="M1358" s="59" t="str">
        <f>IF(OR($I1358&lt;&gt;SottocategorieUscite[[#Headers],[Fuori Casa]],$I1358&lt;&gt;SottocategorieUscite[[#Headers],[Varie Uscite]],$I1358&lt;&gt;SottocategorieUscite[[#Headers],[Personali]],$I1358&lt;&gt;SottocategorieUscite[[#Headers],[Lavoro]],$I1358&lt;&gt;SottocategorieUscite[[#Headers],[Casa]],$I1358&lt;&gt;SottocategorieUscite[[#Headers],[Utenze]],$I1358&lt;&gt;SottocategorieUscite[[#Headers],[Business Uscite]],$I1358&lt;&gt;SottocategorieUscite[[#Headers],[Banca]]),"","$ -")</f>
        <v/>
      </c>
      <c r="N1358" s="59" t="str">
        <f>IF(OR(Data!$I1358=SottocategorieEntrate[[#Headers],[Business Entrate]],Data!$I1358=SottocategorieEntrate[[#Headers],[Varie Entrate]]),"$ -","")</f>
        <v/>
      </c>
      <c r="O1358" s="59" t="str">
        <f>IF(OR(Data!$I1358=SottocategorieEntrate[[#Headers],[Real Estate]],SottocategorieEntrate[[#Headers],[Other]]),"$ -","")</f>
        <v/>
      </c>
      <c r="P1358" s="59" t="str">
        <f>IF(OR($I1358&lt;&gt;SottocategorieEntrate[[#Headers],[Business Entrate]],$I1358&lt;&gt;SottocategorieEntrate[[#Headers],[Varie Entrate]],$I1358&lt;&gt;SottocategorieEntrate[[#Headers],[Real Estate]],$I1358&lt;&gt;SottocategorieEntrate[[#Headers],[Other]]),"","$ -")</f>
        <v/>
      </c>
      <c r="Q1358" s="59" t="str">
        <f>IF(Dati[[#This Row],[Categoria]]="Prelievo","€ -","")</f>
        <v/>
      </c>
      <c r="R1358" s="244"/>
      <c r="S1358" s="59" t="str">
        <f>IF(Dati[[#This Row],[Categoria]]="Savings",0,"")</f>
        <v/>
      </c>
      <c r="T1358" s="59"/>
      <c r="U1358" s="59"/>
      <c r="V1358" s="59"/>
      <c r="W1358" s="59"/>
      <c r="X1358" s="59"/>
      <c r="Y1358" s="59"/>
      <c r="Z1358" s="59"/>
      <c r="AA1358" s="59"/>
      <c r="AB1358" s="59"/>
      <c r="AC1358" s="59"/>
      <c r="AD1358" s="59"/>
      <c r="AE1358" s="59"/>
      <c r="AF1358" s="59"/>
      <c r="AG1358" s="59"/>
      <c r="AH1358" s="59"/>
      <c r="AI1358" s="59" t="str">
        <f>IF(SUM(Dati[[#This Row],[Inv. Business]:[Inv. Cryptocurrency]])=0," ",SUM(Dati[[#This Row],[Inv. Business]:[Inv. Cryptocurrency]]))</f>
        <v xml:space="preserve"> </v>
      </c>
      <c r="AJ1358" s="59"/>
      <c r="AK1358" s="59" t="str">
        <f>IF(SUM(Dati[[#This Row],[Inv. Gold]:[Mutuo]])=0," ",SUM(Dati[[#This Row],[Inv. Gold]:[Mutuo]]))</f>
        <v xml:space="preserve"> </v>
      </c>
      <c r="AL1358" s="59"/>
      <c r="AM1358" s="59"/>
    </row>
    <row r="1359" spans="2:39" x14ac:dyDescent="0.35">
      <c r="B1359" s="237">
        <f t="shared" ref="B1359:B1369" si="104">ROW(1339:1339)</f>
        <v>1339</v>
      </c>
      <c r="C1359" s="49">
        <f t="shared" si="95"/>
        <v>45917</v>
      </c>
      <c r="D1359" s="29">
        <f>DAY(Dati[[#This Row],[Data]])</f>
        <v>17</v>
      </c>
      <c r="E1359" s="29" t="str">
        <f>IF(DAY(Data!$C$21:$C$1613)&gt;0,TEXT(Data!$C$21:$C$1613, "mmmm"),"")</f>
        <v>settembre</v>
      </c>
      <c r="F1359" s="29" t="str">
        <f>IF(DAY(Data!$C$21:$C$1613)&gt;0,TEXT(Data!$C$21:$C$1613, "aaaa"),"")</f>
        <v>2025</v>
      </c>
      <c r="I1359" t="str">
        <f>IF(OR(H1359=$B$5,H1359=$B$6,H1359=$B$7,H1359=$B$8,H1359=$B$9,H1359=$B$10,H1359=$B$11,H1359=$B$12,H1359=$B$13,H1359=$B$14),SottocategorieUscite[[#Headers],[Fuori Casa]],IF(OR(H1359=$C$5,H1359=$C$6,H1359=$C$7,H1359=$C$8,H1359=$C$9,H1359=$C$10,H1359=$C$11,H1359=$C$12,H1359=$C$13,H1359=$C$14),SottocategorieUscite[[#Headers],[Varie Uscite]],IF(OR(H1359=$D$5,H1359=$D$6,H1359=$D$7,H1359=$D$8,H1359=$D$9,H1359=$D$10,H1359=$D$11,H1359=$D$12,H1359=$D$13,H1359=$D$14),SottocategorieUscite[[#Headers],[Personali]],IF(OR(H1359=$E$5,H1359=$E$6,H1359=$E$7,H1359=$E$8,H1359=$E$9,H1359=$E$10,H1359=$E$11,H1359=$E$12,H1359=$E$13,H1359=$E$14),SottocategorieUscite[[#Headers],[Lavoro]],IF(OR(H1359=$F$5,H1359=$F$6,H1359=$F$7,H1359=$F$8,H1359=$F$9,H1359=$F$10,H1359=$F$11,H1359=$F$12,H1359=$F$13,H1359=$F$14),SottocategorieUscite[[#Headers],[Casa]],IF(OR(H1359=$G$5,H1359=$G$6,H1359=$G$7,H1359=$G$8,H1359=$G$9,H1359=$G$10,H1359=$G$11,H1359=$G$12,H1359=$G$13,H1359=$G$14),SottocategorieUscite[[#Headers],[Utenze]],IF(OR(H1359=$H$5,H1359=$H$6,H1359=$H$7,H1359=$H$8,H1359=$H$9,H1359=$H$10,H1359=$H$11,H1359=$H$12,H1359=$H$13,H1359=$H$14),SottocategorieUscite[[#Headers],[Business Uscite]],IF(OR(H1359=$I$5,H1359=$I$6,H1359=$I$7,H1359=$I$8,H1359=$I$9,H1359=$I$10,H1359=$I$11,H1359=$I$12,H1359=$I$13,H1359=$I$14),SottocategorieUscite[[#Headers],[Banca]],IF(OR(H1359=K$5,H1359=K$6,H1359=K$7,H1359=K$8,H1359=K$9,H1359=K$10,H1359=K$11,H1359=K$12,H1359=K$13,H1359=K$14),SottocategorieEntrate[[#Headers],[Business Entrate]],IF(OR(H1359=L$5,H1359=L$6,H1359=L$7,H1359=L$8,H1359=L$9,H1359=L$10,H1359=L$11,H1359=L$12,H1359=L$13,H1359=L$14),SottocategorieEntrate[[#Headers],[Varie Entrate]],IF(OR(H1359=M$5,H1359=M$6,H1359=M$7,H1359=M$8,H1359=M$9,H1359=M$10,H1359=M$11,H1359=M$12,H1359=M$13,H1359=M$14),SottocategorieEntrate[[#Headers],[Real Estate]],IF(OR(H1359=N$5,H1359=N$6,H1359=N$7,H1359=N$8,H1359=N$9,H1359=N$10,H1359=N$11,H1359=N$12,H1359=N$13,H1359=N$14),SottocategorieEntrate[[#Headers],[Other]],""))))))))))))</f>
        <v/>
      </c>
      <c r="J1359" t="str">
        <f>IF(OR(Dati[[#This Row],[Categoria]]="Bollette",Dati[[#This Row],[Categoria]]="Conto &amp; Carte BNL",Dati[[#This Row],[Categoria]]="Prelievo",Dati[[#This Row],[Categoria]]="Affitto",Dati[[#This Row],[Categoria]]="BNL(Interessi Creditori)"),"Carta",IF(Dati[[#This Row],[Categoria]]&lt;&gt;0,"Cash",""))</f>
        <v/>
      </c>
      <c r="K1359" s="59" t="str">
        <f>IF(OR(Data!$I1359=SottocategorieUscite[[#Headers],[Fuori Casa]],Data!$I1359=SottocategorieUscite[[#Headers],[Varie Uscite]],Data!$I1359=SottocategorieUscite[[#Headers],[Personali]],Data!$I1359=SottocategorieUscite[[#Headers],[Lavoro]]),"$ -","")</f>
        <v/>
      </c>
      <c r="L1359" s="59" t="str">
        <f>IF(OR(Data!$I1359=SottocategorieUscite[[#Headers],[Casa]],Data!$I1359=SottocategorieUscite[[#Headers],[Utenze]],Data!$I1359=SottocategorieUscite[[#Headers],[Business Uscite]],Data!$I1359=SottocategorieUscite[[#Headers],[Banca]]),"$ -","")</f>
        <v/>
      </c>
      <c r="M1359" s="59" t="str">
        <f>IF(OR($I1359&lt;&gt;SottocategorieUscite[[#Headers],[Fuori Casa]],$I1359&lt;&gt;SottocategorieUscite[[#Headers],[Varie Uscite]],$I1359&lt;&gt;SottocategorieUscite[[#Headers],[Personali]],$I1359&lt;&gt;SottocategorieUscite[[#Headers],[Lavoro]],$I1359&lt;&gt;SottocategorieUscite[[#Headers],[Casa]],$I1359&lt;&gt;SottocategorieUscite[[#Headers],[Utenze]],$I1359&lt;&gt;SottocategorieUscite[[#Headers],[Business Uscite]],$I1359&lt;&gt;SottocategorieUscite[[#Headers],[Banca]]),"","$ -")</f>
        <v/>
      </c>
      <c r="N1359" s="59" t="str">
        <f>IF(OR(Data!$I1359=SottocategorieEntrate[[#Headers],[Business Entrate]],Data!$I1359=SottocategorieEntrate[[#Headers],[Varie Entrate]]),"$ -","")</f>
        <v/>
      </c>
      <c r="O1359" s="59" t="str">
        <f>IF(OR(Data!$I1359=SottocategorieEntrate[[#Headers],[Real Estate]],SottocategorieEntrate[[#Headers],[Other]]),"$ -","")</f>
        <v/>
      </c>
      <c r="P1359" s="59" t="str">
        <f>IF(OR($I1359&lt;&gt;SottocategorieEntrate[[#Headers],[Business Entrate]],$I1359&lt;&gt;SottocategorieEntrate[[#Headers],[Varie Entrate]],$I1359&lt;&gt;SottocategorieEntrate[[#Headers],[Real Estate]],$I1359&lt;&gt;SottocategorieEntrate[[#Headers],[Other]]),"","$ -")</f>
        <v/>
      </c>
      <c r="Q1359" s="59" t="str">
        <f>IF(Dati[[#This Row],[Categoria]]="Prelievo","€ -","")</f>
        <v/>
      </c>
      <c r="R1359" s="244"/>
      <c r="S1359" s="59" t="str">
        <f>IF(Dati[[#This Row],[Categoria]]="Savings",0,"")</f>
        <v/>
      </c>
      <c r="T1359" s="59"/>
      <c r="U1359" s="59"/>
      <c r="V1359" s="59"/>
      <c r="W1359" s="59"/>
      <c r="X1359" s="59"/>
      <c r="Y1359" s="59"/>
      <c r="Z1359" s="59"/>
      <c r="AA1359" s="59"/>
      <c r="AB1359" s="59"/>
      <c r="AC1359" s="59"/>
      <c r="AD1359" s="59"/>
      <c r="AE1359" s="59"/>
      <c r="AF1359" s="59"/>
      <c r="AG1359" s="59"/>
      <c r="AH1359" s="59"/>
      <c r="AI1359" s="59" t="str">
        <f>IF(SUM(Dati[[#This Row],[Inv. Business]:[Inv. Cryptocurrency]])=0," ",SUM(Dati[[#This Row],[Inv. Business]:[Inv. Cryptocurrency]]))</f>
        <v xml:space="preserve"> </v>
      </c>
      <c r="AJ1359" s="59"/>
      <c r="AK1359" s="59" t="str">
        <f>IF(SUM(Dati[[#This Row],[Inv. Gold]:[Mutuo]])=0," ",SUM(Dati[[#This Row],[Inv. Gold]:[Mutuo]]))</f>
        <v xml:space="preserve"> </v>
      </c>
      <c r="AL1359" s="59"/>
      <c r="AM1359" s="59"/>
    </row>
    <row r="1360" spans="2:39" x14ac:dyDescent="0.35">
      <c r="B1360" s="237">
        <f t="shared" si="104"/>
        <v>1340</v>
      </c>
      <c r="C1360" s="49">
        <f t="shared" si="95"/>
        <v>45918</v>
      </c>
      <c r="D1360" s="29">
        <f>DAY(Dati[[#This Row],[Data]])</f>
        <v>18</v>
      </c>
      <c r="E1360" s="29" t="str">
        <f>IF(DAY(Data!$C$21:$C$1613)&gt;0,TEXT(Data!$C$21:$C$1613, "mmmm"),"")</f>
        <v>settembre</v>
      </c>
      <c r="F1360" s="29" t="str">
        <f>IF(DAY(Data!$C$21:$C$1613)&gt;0,TEXT(Data!$C$21:$C$1613, "aaaa"),"")</f>
        <v>2025</v>
      </c>
      <c r="I1360" t="str">
        <f>IF(OR(H1360=$B$5,H1360=$B$6,H1360=$B$7,H1360=$B$8,H1360=$B$9,H1360=$B$10,H1360=$B$11,H1360=$B$12,H1360=$B$13,H1360=$B$14),SottocategorieUscite[[#Headers],[Fuori Casa]],IF(OR(H1360=$C$5,H1360=$C$6,H1360=$C$7,H1360=$C$8,H1360=$C$9,H1360=$C$10,H1360=$C$11,H1360=$C$12,H1360=$C$13,H1360=$C$14),SottocategorieUscite[[#Headers],[Varie Uscite]],IF(OR(H1360=$D$5,H1360=$D$6,H1360=$D$7,H1360=$D$8,H1360=$D$9,H1360=$D$10,H1360=$D$11,H1360=$D$12,H1360=$D$13,H1360=$D$14),SottocategorieUscite[[#Headers],[Personali]],IF(OR(H1360=$E$5,H1360=$E$6,H1360=$E$7,H1360=$E$8,H1360=$E$9,H1360=$E$10,H1360=$E$11,H1360=$E$12,H1360=$E$13,H1360=$E$14),SottocategorieUscite[[#Headers],[Lavoro]],IF(OR(H1360=$F$5,H1360=$F$6,H1360=$F$7,H1360=$F$8,H1360=$F$9,H1360=$F$10,H1360=$F$11,H1360=$F$12,H1360=$F$13,H1360=$F$14),SottocategorieUscite[[#Headers],[Casa]],IF(OR(H1360=$G$5,H1360=$G$6,H1360=$G$7,H1360=$G$8,H1360=$G$9,H1360=$G$10,H1360=$G$11,H1360=$G$12,H1360=$G$13,H1360=$G$14),SottocategorieUscite[[#Headers],[Utenze]],IF(OR(H1360=$H$5,H1360=$H$6,H1360=$H$7,H1360=$H$8,H1360=$H$9,H1360=$H$10,H1360=$H$11,H1360=$H$12,H1360=$H$13,H1360=$H$14),SottocategorieUscite[[#Headers],[Business Uscite]],IF(OR(H1360=$I$5,H1360=$I$6,H1360=$I$7,H1360=$I$8,H1360=$I$9,H1360=$I$10,H1360=$I$11,H1360=$I$12,H1360=$I$13,H1360=$I$14),SottocategorieUscite[[#Headers],[Banca]],IF(OR(H1360=K$5,H1360=K$6,H1360=K$7,H1360=K$8,H1360=K$9,H1360=K$10,H1360=K$11,H1360=K$12,H1360=K$13,H1360=K$14),SottocategorieEntrate[[#Headers],[Business Entrate]],IF(OR(H1360=L$5,H1360=L$6,H1360=L$7,H1360=L$8,H1360=L$9,H1360=L$10,H1360=L$11,H1360=L$12,H1360=L$13,H1360=L$14),SottocategorieEntrate[[#Headers],[Varie Entrate]],IF(OR(H1360=M$5,H1360=M$6,H1360=M$7,H1360=M$8,H1360=M$9,H1360=M$10,H1360=M$11,H1360=M$12,H1360=M$13,H1360=M$14),SottocategorieEntrate[[#Headers],[Real Estate]],IF(OR(H1360=N$5,H1360=N$6,H1360=N$7,H1360=N$8,H1360=N$9,H1360=N$10,H1360=N$11,H1360=N$12,H1360=N$13,H1360=N$14),SottocategorieEntrate[[#Headers],[Other]],""))))))))))))</f>
        <v/>
      </c>
      <c r="J1360" t="str">
        <f>IF(OR(Dati[[#This Row],[Categoria]]="Bollette",Dati[[#This Row],[Categoria]]="Conto &amp; Carte BNL",Dati[[#This Row],[Categoria]]="Prelievo",Dati[[#This Row],[Categoria]]="Affitto",Dati[[#This Row],[Categoria]]="BNL(Interessi Creditori)"),"Carta",IF(Dati[[#This Row],[Categoria]]&lt;&gt;0,"Cash",""))</f>
        <v/>
      </c>
      <c r="K1360" s="59" t="str">
        <f>IF(OR(Data!$I1360=SottocategorieUscite[[#Headers],[Fuori Casa]],Data!$I1360=SottocategorieUscite[[#Headers],[Varie Uscite]],Data!$I1360=SottocategorieUscite[[#Headers],[Personali]],Data!$I1360=SottocategorieUscite[[#Headers],[Lavoro]]),"$ -","")</f>
        <v/>
      </c>
      <c r="L1360" s="59" t="str">
        <f>IF(OR(Data!$I1360=SottocategorieUscite[[#Headers],[Casa]],Data!$I1360=SottocategorieUscite[[#Headers],[Utenze]],Data!$I1360=SottocategorieUscite[[#Headers],[Business Uscite]],Data!$I1360=SottocategorieUscite[[#Headers],[Banca]]),"$ -","")</f>
        <v/>
      </c>
      <c r="M1360" s="59" t="str">
        <f>IF(OR($I1360&lt;&gt;SottocategorieUscite[[#Headers],[Fuori Casa]],$I1360&lt;&gt;SottocategorieUscite[[#Headers],[Varie Uscite]],$I1360&lt;&gt;SottocategorieUscite[[#Headers],[Personali]],$I1360&lt;&gt;SottocategorieUscite[[#Headers],[Lavoro]],$I1360&lt;&gt;SottocategorieUscite[[#Headers],[Casa]],$I1360&lt;&gt;SottocategorieUscite[[#Headers],[Utenze]],$I1360&lt;&gt;SottocategorieUscite[[#Headers],[Business Uscite]],$I1360&lt;&gt;SottocategorieUscite[[#Headers],[Banca]]),"","$ -")</f>
        <v/>
      </c>
      <c r="N1360" s="59" t="str">
        <f>IF(OR(Data!$I1360=SottocategorieEntrate[[#Headers],[Business Entrate]],Data!$I1360=SottocategorieEntrate[[#Headers],[Varie Entrate]]),"$ -","")</f>
        <v/>
      </c>
      <c r="O1360" s="59" t="str">
        <f>IF(OR(Data!$I1360=SottocategorieEntrate[[#Headers],[Real Estate]],SottocategorieEntrate[[#Headers],[Other]]),"$ -","")</f>
        <v/>
      </c>
      <c r="P1360" s="59" t="str">
        <f>IF(OR($I1360&lt;&gt;SottocategorieEntrate[[#Headers],[Business Entrate]],$I1360&lt;&gt;SottocategorieEntrate[[#Headers],[Varie Entrate]],$I1360&lt;&gt;SottocategorieEntrate[[#Headers],[Real Estate]],$I1360&lt;&gt;SottocategorieEntrate[[#Headers],[Other]]),"","$ -")</f>
        <v/>
      </c>
      <c r="Q1360" s="59" t="str">
        <f>IF(Dati[[#This Row],[Categoria]]="Prelievo","€ -","")</f>
        <v/>
      </c>
      <c r="R1360" s="244"/>
      <c r="S1360" s="59" t="str">
        <f>IF(Dati[[#This Row],[Categoria]]="Savings",0,"")</f>
        <v/>
      </c>
      <c r="T1360" s="59"/>
      <c r="U1360" s="59"/>
      <c r="V1360" s="59"/>
      <c r="W1360" s="59"/>
      <c r="X1360" s="59"/>
      <c r="Y1360" s="59"/>
      <c r="Z1360" s="59"/>
      <c r="AA1360" s="59"/>
      <c r="AB1360" s="59"/>
      <c r="AC1360" s="59"/>
      <c r="AD1360" s="59"/>
      <c r="AE1360" s="59"/>
      <c r="AF1360" s="59"/>
      <c r="AG1360" s="59"/>
      <c r="AH1360" s="59"/>
      <c r="AI1360" s="59" t="str">
        <f>IF(SUM(Dati[[#This Row],[Inv. Business]:[Inv. Cryptocurrency]])=0," ",SUM(Dati[[#This Row],[Inv. Business]:[Inv. Cryptocurrency]]))</f>
        <v xml:space="preserve"> </v>
      </c>
      <c r="AJ1360" s="59"/>
      <c r="AK1360" s="59" t="str">
        <f>IF(SUM(Dati[[#This Row],[Inv. Gold]:[Mutuo]])=0," ",SUM(Dati[[#This Row],[Inv. Gold]:[Mutuo]]))</f>
        <v xml:space="preserve"> </v>
      </c>
      <c r="AL1360" s="59"/>
      <c r="AM1360" s="59"/>
    </row>
    <row r="1361" spans="2:39" x14ac:dyDescent="0.35">
      <c r="B1361" s="237">
        <f t="shared" si="104"/>
        <v>1341</v>
      </c>
      <c r="C1361" s="49">
        <f t="shared" si="95"/>
        <v>45919</v>
      </c>
      <c r="D1361" s="29">
        <f>DAY(Dati[[#This Row],[Data]])</f>
        <v>19</v>
      </c>
      <c r="E1361" s="29" t="str">
        <f>IF(DAY(Data!$C$21:$C$1613)&gt;0,TEXT(Data!$C$21:$C$1613, "mmmm"),"")</f>
        <v>settembre</v>
      </c>
      <c r="F1361" s="29" t="str">
        <f>IF(DAY(Data!$C$21:$C$1613)&gt;0,TEXT(Data!$C$21:$C$1613, "aaaa"),"")</f>
        <v>2025</v>
      </c>
      <c r="I1361" t="str">
        <f>IF(OR(H1361=$B$5,H1361=$B$6,H1361=$B$7,H1361=$B$8,H1361=$B$9,H1361=$B$10,H1361=$B$11,H1361=$B$12,H1361=$B$13,H1361=$B$14),SottocategorieUscite[[#Headers],[Fuori Casa]],IF(OR(H1361=$C$5,H1361=$C$6,H1361=$C$7,H1361=$C$8,H1361=$C$9,H1361=$C$10,H1361=$C$11,H1361=$C$12,H1361=$C$13,H1361=$C$14),SottocategorieUscite[[#Headers],[Varie Uscite]],IF(OR(H1361=$D$5,H1361=$D$6,H1361=$D$7,H1361=$D$8,H1361=$D$9,H1361=$D$10,H1361=$D$11,H1361=$D$12,H1361=$D$13,H1361=$D$14),SottocategorieUscite[[#Headers],[Personali]],IF(OR(H1361=$E$5,H1361=$E$6,H1361=$E$7,H1361=$E$8,H1361=$E$9,H1361=$E$10,H1361=$E$11,H1361=$E$12,H1361=$E$13,H1361=$E$14),SottocategorieUscite[[#Headers],[Lavoro]],IF(OR(H1361=$F$5,H1361=$F$6,H1361=$F$7,H1361=$F$8,H1361=$F$9,H1361=$F$10,H1361=$F$11,H1361=$F$12,H1361=$F$13,H1361=$F$14),SottocategorieUscite[[#Headers],[Casa]],IF(OR(H1361=$G$5,H1361=$G$6,H1361=$G$7,H1361=$G$8,H1361=$G$9,H1361=$G$10,H1361=$G$11,H1361=$G$12,H1361=$G$13,H1361=$G$14),SottocategorieUscite[[#Headers],[Utenze]],IF(OR(H1361=$H$5,H1361=$H$6,H1361=$H$7,H1361=$H$8,H1361=$H$9,H1361=$H$10,H1361=$H$11,H1361=$H$12,H1361=$H$13,H1361=$H$14),SottocategorieUscite[[#Headers],[Business Uscite]],IF(OR(H1361=$I$5,H1361=$I$6,H1361=$I$7,H1361=$I$8,H1361=$I$9,H1361=$I$10,H1361=$I$11,H1361=$I$12,H1361=$I$13,H1361=$I$14),SottocategorieUscite[[#Headers],[Banca]],IF(OR(H1361=K$5,H1361=K$6,H1361=K$7,H1361=K$8,H1361=K$9,H1361=K$10,H1361=K$11,H1361=K$12,H1361=K$13,H1361=K$14),SottocategorieEntrate[[#Headers],[Business Entrate]],IF(OR(H1361=L$5,H1361=L$6,H1361=L$7,H1361=L$8,H1361=L$9,H1361=L$10,H1361=L$11,H1361=L$12,H1361=L$13,H1361=L$14),SottocategorieEntrate[[#Headers],[Varie Entrate]],IF(OR(H1361=M$5,H1361=M$6,H1361=M$7,H1361=M$8,H1361=M$9,H1361=M$10,H1361=M$11,H1361=M$12,H1361=M$13,H1361=M$14),SottocategorieEntrate[[#Headers],[Real Estate]],IF(OR(H1361=N$5,H1361=N$6,H1361=N$7,H1361=N$8,H1361=N$9,H1361=N$10,H1361=N$11,H1361=N$12,H1361=N$13,H1361=N$14),SottocategorieEntrate[[#Headers],[Other]],""))))))))))))</f>
        <v/>
      </c>
      <c r="J1361" t="str">
        <f>IF(OR(Dati[[#This Row],[Categoria]]="Bollette",Dati[[#This Row],[Categoria]]="Conto &amp; Carte BNL",Dati[[#This Row],[Categoria]]="Prelievo",Dati[[#This Row],[Categoria]]="Affitto",Dati[[#This Row],[Categoria]]="BNL(Interessi Creditori)"),"Carta",IF(Dati[[#This Row],[Categoria]]&lt;&gt;0,"Cash",""))</f>
        <v/>
      </c>
      <c r="K1361" s="59" t="str">
        <f>IF(OR(Data!$I1361=SottocategorieUscite[[#Headers],[Fuori Casa]],Data!$I1361=SottocategorieUscite[[#Headers],[Varie Uscite]],Data!$I1361=SottocategorieUscite[[#Headers],[Personali]],Data!$I1361=SottocategorieUscite[[#Headers],[Lavoro]]),"$ -","")</f>
        <v/>
      </c>
      <c r="L1361" s="59" t="str">
        <f>IF(OR(Data!$I1361=SottocategorieUscite[[#Headers],[Casa]],Data!$I1361=SottocategorieUscite[[#Headers],[Utenze]],Data!$I1361=SottocategorieUscite[[#Headers],[Business Uscite]],Data!$I1361=SottocategorieUscite[[#Headers],[Banca]]),"$ -","")</f>
        <v/>
      </c>
      <c r="M1361" s="59" t="str">
        <f>IF(OR($I1361&lt;&gt;SottocategorieUscite[[#Headers],[Fuori Casa]],$I1361&lt;&gt;SottocategorieUscite[[#Headers],[Varie Uscite]],$I1361&lt;&gt;SottocategorieUscite[[#Headers],[Personali]],$I1361&lt;&gt;SottocategorieUscite[[#Headers],[Lavoro]],$I1361&lt;&gt;SottocategorieUscite[[#Headers],[Casa]],$I1361&lt;&gt;SottocategorieUscite[[#Headers],[Utenze]],$I1361&lt;&gt;SottocategorieUscite[[#Headers],[Business Uscite]],$I1361&lt;&gt;SottocategorieUscite[[#Headers],[Banca]]),"","$ -")</f>
        <v/>
      </c>
      <c r="N1361" s="59" t="str">
        <f>IF(OR(Data!$I1361=SottocategorieEntrate[[#Headers],[Business Entrate]],Data!$I1361=SottocategorieEntrate[[#Headers],[Varie Entrate]]),"$ -","")</f>
        <v/>
      </c>
      <c r="O1361" s="59" t="str">
        <f>IF(OR(Data!$I1361=SottocategorieEntrate[[#Headers],[Real Estate]],SottocategorieEntrate[[#Headers],[Other]]),"$ -","")</f>
        <v/>
      </c>
      <c r="P1361" s="59" t="str">
        <f>IF(OR($I1361&lt;&gt;SottocategorieEntrate[[#Headers],[Business Entrate]],$I1361&lt;&gt;SottocategorieEntrate[[#Headers],[Varie Entrate]],$I1361&lt;&gt;SottocategorieEntrate[[#Headers],[Real Estate]],$I1361&lt;&gt;SottocategorieEntrate[[#Headers],[Other]]),"","$ -")</f>
        <v/>
      </c>
      <c r="Q1361" s="59" t="str">
        <f>IF(Dati[[#This Row],[Categoria]]="Prelievo","€ -","")</f>
        <v/>
      </c>
      <c r="R1361" s="244"/>
      <c r="S1361" s="59" t="str">
        <f>IF(Dati[[#This Row],[Categoria]]="Savings",0,"")</f>
        <v/>
      </c>
      <c r="T1361" s="59"/>
      <c r="U1361" s="59"/>
      <c r="V1361" s="59"/>
      <c r="W1361" s="59"/>
      <c r="X1361" s="59"/>
      <c r="Y1361" s="59"/>
      <c r="Z1361" s="59"/>
      <c r="AA1361" s="59"/>
      <c r="AB1361" s="59"/>
      <c r="AC1361" s="59"/>
      <c r="AD1361" s="59"/>
      <c r="AE1361" s="59"/>
      <c r="AF1361" s="59"/>
      <c r="AG1361" s="59"/>
      <c r="AH1361" s="59"/>
      <c r="AI1361" s="59" t="str">
        <f>IF(SUM(Dati[[#This Row],[Inv. Business]:[Inv. Cryptocurrency]])=0," ",SUM(Dati[[#This Row],[Inv. Business]:[Inv. Cryptocurrency]]))</f>
        <v xml:space="preserve"> </v>
      </c>
      <c r="AJ1361" s="59"/>
      <c r="AK1361" s="59" t="str">
        <f>IF(SUM(Dati[[#This Row],[Inv. Gold]:[Mutuo]])=0," ",SUM(Dati[[#This Row],[Inv. Gold]:[Mutuo]]))</f>
        <v xml:space="preserve"> </v>
      </c>
      <c r="AL1361" s="59"/>
      <c r="AM1361" s="59"/>
    </row>
    <row r="1362" spans="2:39" x14ac:dyDescent="0.35">
      <c r="B1362" s="237">
        <f t="shared" si="104"/>
        <v>1342</v>
      </c>
      <c r="C1362" s="49">
        <f t="shared" si="95"/>
        <v>45920</v>
      </c>
      <c r="D1362" s="29">
        <f>DAY(Dati[[#This Row],[Data]])</f>
        <v>20</v>
      </c>
      <c r="E1362" s="29" t="str">
        <f>IF(DAY(Data!$C$21:$C$1613)&gt;0,TEXT(Data!$C$21:$C$1613, "mmmm"),"")</f>
        <v>settembre</v>
      </c>
      <c r="F1362" s="29" t="str">
        <f>IF(DAY(Data!$C$21:$C$1613)&gt;0,TEXT(Data!$C$21:$C$1613, "aaaa"),"")</f>
        <v>2025</v>
      </c>
      <c r="I1362" t="str">
        <f>IF(OR(H1362=$B$5,H1362=$B$6,H1362=$B$7,H1362=$B$8,H1362=$B$9,H1362=$B$10,H1362=$B$11,H1362=$B$12,H1362=$B$13,H1362=$B$14),SottocategorieUscite[[#Headers],[Fuori Casa]],IF(OR(H1362=$C$5,H1362=$C$6,H1362=$C$7,H1362=$C$8,H1362=$C$9,H1362=$C$10,H1362=$C$11,H1362=$C$12,H1362=$C$13,H1362=$C$14),SottocategorieUscite[[#Headers],[Varie Uscite]],IF(OR(H1362=$D$5,H1362=$D$6,H1362=$D$7,H1362=$D$8,H1362=$D$9,H1362=$D$10,H1362=$D$11,H1362=$D$12,H1362=$D$13,H1362=$D$14),SottocategorieUscite[[#Headers],[Personali]],IF(OR(H1362=$E$5,H1362=$E$6,H1362=$E$7,H1362=$E$8,H1362=$E$9,H1362=$E$10,H1362=$E$11,H1362=$E$12,H1362=$E$13,H1362=$E$14),SottocategorieUscite[[#Headers],[Lavoro]],IF(OR(H1362=$F$5,H1362=$F$6,H1362=$F$7,H1362=$F$8,H1362=$F$9,H1362=$F$10,H1362=$F$11,H1362=$F$12,H1362=$F$13,H1362=$F$14),SottocategorieUscite[[#Headers],[Casa]],IF(OR(H1362=$G$5,H1362=$G$6,H1362=$G$7,H1362=$G$8,H1362=$G$9,H1362=$G$10,H1362=$G$11,H1362=$G$12,H1362=$G$13,H1362=$G$14),SottocategorieUscite[[#Headers],[Utenze]],IF(OR(H1362=$H$5,H1362=$H$6,H1362=$H$7,H1362=$H$8,H1362=$H$9,H1362=$H$10,H1362=$H$11,H1362=$H$12,H1362=$H$13,H1362=$H$14),SottocategorieUscite[[#Headers],[Business Uscite]],IF(OR(H1362=$I$5,H1362=$I$6,H1362=$I$7,H1362=$I$8,H1362=$I$9,H1362=$I$10,H1362=$I$11,H1362=$I$12,H1362=$I$13,H1362=$I$14),SottocategorieUscite[[#Headers],[Banca]],IF(OR(H1362=K$5,H1362=K$6,H1362=K$7,H1362=K$8,H1362=K$9,H1362=K$10,H1362=K$11,H1362=K$12,H1362=K$13,H1362=K$14),SottocategorieEntrate[[#Headers],[Business Entrate]],IF(OR(H1362=L$5,H1362=L$6,H1362=L$7,H1362=L$8,H1362=L$9,H1362=L$10,H1362=L$11,H1362=L$12,H1362=L$13,H1362=L$14),SottocategorieEntrate[[#Headers],[Varie Entrate]],IF(OR(H1362=M$5,H1362=M$6,H1362=M$7,H1362=M$8,H1362=M$9,H1362=M$10,H1362=M$11,H1362=M$12,H1362=M$13,H1362=M$14),SottocategorieEntrate[[#Headers],[Real Estate]],IF(OR(H1362=N$5,H1362=N$6,H1362=N$7,H1362=N$8,H1362=N$9,H1362=N$10,H1362=N$11,H1362=N$12,H1362=N$13,H1362=N$14),SottocategorieEntrate[[#Headers],[Other]],""))))))))))))</f>
        <v/>
      </c>
      <c r="J1362" t="str">
        <f>IF(OR(Dati[[#This Row],[Categoria]]="Bollette",Dati[[#This Row],[Categoria]]="Conto &amp; Carte BNL",Dati[[#This Row],[Categoria]]="Prelievo",Dati[[#This Row],[Categoria]]="Affitto",Dati[[#This Row],[Categoria]]="BNL(Interessi Creditori)"),"Carta",IF(Dati[[#This Row],[Categoria]]&lt;&gt;0,"Cash",""))</f>
        <v/>
      </c>
      <c r="K1362" s="59" t="str">
        <f>IF(OR(Data!$I1362=SottocategorieUscite[[#Headers],[Fuori Casa]],Data!$I1362=SottocategorieUscite[[#Headers],[Varie Uscite]],Data!$I1362=SottocategorieUscite[[#Headers],[Personali]],Data!$I1362=SottocategorieUscite[[#Headers],[Lavoro]]),"$ -","")</f>
        <v/>
      </c>
      <c r="L1362" s="59" t="str">
        <f>IF(OR(Data!$I1362=SottocategorieUscite[[#Headers],[Casa]],Data!$I1362=SottocategorieUscite[[#Headers],[Utenze]],Data!$I1362=SottocategorieUscite[[#Headers],[Business Uscite]],Data!$I1362=SottocategorieUscite[[#Headers],[Banca]]),"$ -","")</f>
        <v/>
      </c>
      <c r="M1362" s="59" t="str">
        <f>IF(OR($I1362&lt;&gt;SottocategorieUscite[[#Headers],[Fuori Casa]],$I1362&lt;&gt;SottocategorieUscite[[#Headers],[Varie Uscite]],$I1362&lt;&gt;SottocategorieUscite[[#Headers],[Personali]],$I1362&lt;&gt;SottocategorieUscite[[#Headers],[Lavoro]],$I1362&lt;&gt;SottocategorieUscite[[#Headers],[Casa]],$I1362&lt;&gt;SottocategorieUscite[[#Headers],[Utenze]],$I1362&lt;&gt;SottocategorieUscite[[#Headers],[Business Uscite]],$I1362&lt;&gt;SottocategorieUscite[[#Headers],[Banca]]),"","$ -")</f>
        <v/>
      </c>
      <c r="N1362" s="59" t="str">
        <f>IF(OR(Data!$I1362=SottocategorieEntrate[[#Headers],[Business Entrate]],Data!$I1362=SottocategorieEntrate[[#Headers],[Varie Entrate]]),"$ -","")</f>
        <v/>
      </c>
      <c r="O1362" s="59" t="str">
        <f>IF(OR(Data!$I1362=SottocategorieEntrate[[#Headers],[Real Estate]],SottocategorieEntrate[[#Headers],[Other]]),"$ -","")</f>
        <v/>
      </c>
      <c r="P1362" s="59" t="str">
        <f>IF(OR($I1362&lt;&gt;SottocategorieEntrate[[#Headers],[Business Entrate]],$I1362&lt;&gt;SottocategorieEntrate[[#Headers],[Varie Entrate]],$I1362&lt;&gt;SottocategorieEntrate[[#Headers],[Real Estate]],$I1362&lt;&gt;SottocategorieEntrate[[#Headers],[Other]]),"","$ -")</f>
        <v/>
      </c>
      <c r="Q1362" s="59" t="str">
        <f>IF(Dati[[#This Row],[Categoria]]="Prelievo","€ -","")</f>
        <v/>
      </c>
      <c r="R1362" s="244"/>
      <c r="S1362" s="59" t="str">
        <f>IF(Dati[[#This Row],[Categoria]]="Savings",0,"")</f>
        <v/>
      </c>
      <c r="T1362" s="59"/>
      <c r="U1362" s="59"/>
      <c r="V1362" s="59"/>
      <c r="W1362" s="59"/>
      <c r="X1362" s="59"/>
      <c r="Y1362" s="59"/>
      <c r="Z1362" s="59"/>
      <c r="AA1362" s="59"/>
      <c r="AB1362" s="59"/>
      <c r="AC1362" s="59"/>
      <c r="AD1362" s="59"/>
      <c r="AE1362" s="59"/>
      <c r="AF1362" s="59"/>
      <c r="AG1362" s="59"/>
      <c r="AH1362" s="59"/>
      <c r="AI1362" s="59" t="str">
        <f>IF(SUM(Dati[[#This Row],[Inv. Business]:[Inv. Cryptocurrency]])=0," ",SUM(Dati[[#This Row],[Inv. Business]:[Inv. Cryptocurrency]]))</f>
        <v xml:space="preserve"> </v>
      </c>
      <c r="AJ1362" s="59"/>
      <c r="AK1362" s="59" t="str">
        <f>IF(SUM(Dati[[#This Row],[Inv. Gold]:[Mutuo]])=0," ",SUM(Dati[[#This Row],[Inv. Gold]:[Mutuo]]))</f>
        <v xml:space="preserve"> </v>
      </c>
      <c r="AL1362" s="59"/>
      <c r="AM1362" s="59"/>
    </row>
    <row r="1363" spans="2:39" x14ac:dyDescent="0.35">
      <c r="B1363" s="237">
        <f t="shared" si="104"/>
        <v>1343</v>
      </c>
      <c r="C1363" s="49">
        <f t="shared" si="95"/>
        <v>45921</v>
      </c>
      <c r="D1363" s="29">
        <f>DAY(Dati[[#This Row],[Data]])</f>
        <v>21</v>
      </c>
      <c r="E1363" s="29" t="str">
        <f>IF(DAY(Data!$C$21:$C$1613)&gt;0,TEXT(Data!$C$21:$C$1613, "mmmm"),"")</f>
        <v>settembre</v>
      </c>
      <c r="F1363" s="29" t="str">
        <f>IF(DAY(Data!$C$21:$C$1613)&gt;0,TEXT(Data!$C$21:$C$1613, "aaaa"),"")</f>
        <v>2025</v>
      </c>
      <c r="I1363" t="str">
        <f>IF(OR(H1363=$B$5,H1363=$B$6,H1363=$B$7,H1363=$B$8,H1363=$B$9,H1363=$B$10,H1363=$B$11,H1363=$B$12,H1363=$B$13,H1363=$B$14),SottocategorieUscite[[#Headers],[Fuori Casa]],IF(OR(H1363=$C$5,H1363=$C$6,H1363=$C$7,H1363=$C$8,H1363=$C$9,H1363=$C$10,H1363=$C$11,H1363=$C$12,H1363=$C$13,H1363=$C$14),SottocategorieUscite[[#Headers],[Varie Uscite]],IF(OR(H1363=$D$5,H1363=$D$6,H1363=$D$7,H1363=$D$8,H1363=$D$9,H1363=$D$10,H1363=$D$11,H1363=$D$12,H1363=$D$13,H1363=$D$14),SottocategorieUscite[[#Headers],[Personali]],IF(OR(H1363=$E$5,H1363=$E$6,H1363=$E$7,H1363=$E$8,H1363=$E$9,H1363=$E$10,H1363=$E$11,H1363=$E$12,H1363=$E$13,H1363=$E$14),SottocategorieUscite[[#Headers],[Lavoro]],IF(OR(H1363=$F$5,H1363=$F$6,H1363=$F$7,H1363=$F$8,H1363=$F$9,H1363=$F$10,H1363=$F$11,H1363=$F$12,H1363=$F$13,H1363=$F$14),SottocategorieUscite[[#Headers],[Casa]],IF(OR(H1363=$G$5,H1363=$G$6,H1363=$G$7,H1363=$G$8,H1363=$G$9,H1363=$G$10,H1363=$G$11,H1363=$G$12,H1363=$G$13,H1363=$G$14),SottocategorieUscite[[#Headers],[Utenze]],IF(OR(H1363=$H$5,H1363=$H$6,H1363=$H$7,H1363=$H$8,H1363=$H$9,H1363=$H$10,H1363=$H$11,H1363=$H$12,H1363=$H$13,H1363=$H$14),SottocategorieUscite[[#Headers],[Business Uscite]],IF(OR(H1363=$I$5,H1363=$I$6,H1363=$I$7,H1363=$I$8,H1363=$I$9,H1363=$I$10,H1363=$I$11,H1363=$I$12,H1363=$I$13,H1363=$I$14),SottocategorieUscite[[#Headers],[Banca]],IF(OR(H1363=K$5,H1363=K$6,H1363=K$7,H1363=K$8,H1363=K$9,H1363=K$10,H1363=K$11,H1363=K$12,H1363=K$13,H1363=K$14),SottocategorieEntrate[[#Headers],[Business Entrate]],IF(OR(H1363=L$5,H1363=L$6,H1363=L$7,H1363=L$8,H1363=L$9,H1363=L$10,H1363=L$11,H1363=L$12,H1363=L$13,H1363=L$14),SottocategorieEntrate[[#Headers],[Varie Entrate]],IF(OR(H1363=M$5,H1363=M$6,H1363=M$7,H1363=M$8,H1363=M$9,H1363=M$10,H1363=M$11,H1363=M$12,H1363=M$13,H1363=M$14),SottocategorieEntrate[[#Headers],[Real Estate]],IF(OR(H1363=N$5,H1363=N$6,H1363=N$7,H1363=N$8,H1363=N$9,H1363=N$10,H1363=N$11,H1363=N$12,H1363=N$13,H1363=N$14),SottocategorieEntrate[[#Headers],[Other]],""))))))))))))</f>
        <v/>
      </c>
      <c r="J1363" t="str">
        <f>IF(OR(Dati[[#This Row],[Categoria]]="Bollette",Dati[[#This Row],[Categoria]]="Conto &amp; Carte BNL",Dati[[#This Row],[Categoria]]="Prelievo",Dati[[#This Row],[Categoria]]="Affitto",Dati[[#This Row],[Categoria]]="BNL(Interessi Creditori)"),"Carta",IF(Dati[[#This Row],[Categoria]]&lt;&gt;0,"Cash",""))</f>
        <v/>
      </c>
      <c r="K1363" s="59" t="str">
        <f>IF(OR(Data!$I1363=SottocategorieUscite[[#Headers],[Fuori Casa]],Data!$I1363=SottocategorieUscite[[#Headers],[Varie Uscite]],Data!$I1363=SottocategorieUscite[[#Headers],[Personali]],Data!$I1363=SottocategorieUscite[[#Headers],[Lavoro]]),"$ -","")</f>
        <v/>
      </c>
      <c r="L1363" s="59" t="str">
        <f>IF(OR(Data!$I1363=SottocategorieUscite[[#Headers],[Casa]],Data!$I1363=SottocategorieUscite[[#Headers],[Utenze]],Data!$I1363=SottocategorieUscite[[#Headers],[Business Uscite]],Data!$I1363=SottocategorieUscite[[#Headers],[Banca]]),"$ -","")</f>
        <v/>
      </c>
      <c r="M1363" s="59" t="str">
        <f>IF(OR($I1363&lt;&gt;SottocategorieUscite[[#Headers],[Fuori Casa]],$I1363&lt;&gt;SottocategorieUscite[[#Headers],[Varie Uscite]],$I1363&lt;&gt;SottocategorieUscite[[#Headers],[Personali]],$I1363&lt;&gt;SottocategorieUscite[[#Headers],[Lavoro]],$I1363&lt;&gt;SottocategorieUscite[[#Headers],[Casa]],$I1363&lt;&gt;SottocategorieUscite[[#Headers],[Utenze]],$I1363&lt;&gt;SottocategorieUscite[[#Headers],[Business Uscite]],$I1363&lt;&gt;SottocategorieUscite[[#Headers],[Banca]]),"","$ -")</f>
        <v/>
      </c>
      <c r="N1363" s="59" t="str">
        <f>IF(OR(Data!$I1363=SottocategorieEntrate[[#Headers],[Business Entrate]],Data!$I1363=SottocategorieEntrate[[#Headers],[Varie Entrate]]),"$ -","")</f>
        <v/>
      </c>
      <c r="O1363" s="59" t="str">
        <f>IF(OR(Data!$I1363=SottocategorieEntrate[[#Headers],[Real Estate]],SottocategorieEntrate[[#Headers],[Other]]),"$ -","")</f>
        <v/>
      </c>
      <c r="P1363" s="59" t="str">
        <f>IF(OR($I1363&lt;&gt;SottocategorieEntrate[[#Headers],[Business Entrate]],$I1363&lt;&gt;SottocategorieEntrate[[#Headers],[Varie Entrate]],$I1363&lt;&gt;SottocategorieEntrate[[#Headers],[Real Estate]],$I1363&lt;&gt;SottocategorieEntrate[[#Headers],[Other]]),"","$ -")</f>
        <v/>
      </c>
      <c r="Q1363" s="59" t="str">
        <f>IF(Dati[[#This Row],[Categoria]]="Prelievo","€ -","")</f>
        <v/>
      </c>
      <c r="R1363" s="244"/>
      <c r="S1363" s="59" t="str">
        <f>IF(Dati[[#This Row],[Categoria]]="Savings",0,"")</f>
        <v/>
      </c>
      <c r="T1363" s="59"/>
      <c r="U1363" s="59"/>
      <c r="V1363" s="59"/>
      <c r="W1363" s="59"/>
      <c r="X1363" s="59"/>
      <c r="Y1363" s="59"/>
      <c r="Z1363" s="59"/>
      <c r="AA1363" s="59"/>
      <c r="AB1363" s="59"/>
      <c r="AC1363" s="59"/>
      <c r="AD1363" s="59"/>
      <c r="AE1363" s="59"/>
      <c r="AF1363" s="59"/>
      <c r="AG1363" s="59"/>
      <c r="AH1363" s="59"/>
      <c r="AI1363" s="59" t="str">
        <f>IF(SUM(Dati[[#This Row],[Inv. Business]:[Inv. Cryptocurrency]])=0," ",SUM(Dati[[#This Row],[Inv. Business]:[Inv. Cryptocurrency]]))</f>
        <v xml:space="preserve"> </v>
      </c>
      <c r="AJ1363" s="59"/>
      <c r="AK1363" s="59" t="str">
        <f>IF(SUM(Dati[[#This Row],[Inv. Gold]:[Mutuo]])=0," ",SUM(Dati[[#This Row],[Inv. Gold]:[Mutuo]]))</f>
        <v xml:space="preserve"> </v>
      </c>
      <c r="AL1363" s="59"/>
      <c r="AM1363" s="59"/>
    </row>
    <row r="1364" spans="2:39" x14ac:dyDescent="0.35">
      <c r="B1364" s="237">
        <f t="shared" si="104"/>
        <v>1344</v>
      </c>
      <c r="C1364" s="49">
        <f t="shared" si="95"/>
        <v>45922</v>
      </c>
      <c r="D1364" s="29">
        <f>DAY(Dati[[#This Row],[Data]])</f>
        <v>22</v>
      </c>
      <c r="E1364" s="29" t="str">
        <f>IF(DAY(Data!$C$21:$C$1613)&gt;0,TEXT(Data!$C$21:$C$1613, "mmmm"),"")</f>
        <v>settembre</v>
      </c>
      <c r="F1364" s="29" t="str">
        <f>IF(DAY(Data!$C$21:$C$1613)&gt;0,TEXT(Data!$C$21:$C$1613, "aaaa"),"")</f>
        <v>2025</v>
      </c>
      <c r="I1364" t="str">
        <f>IF(OR(H1364=$B$5,H1364=$B$6,H1364=$B$7,H1364=$B$8,H1364=$B$9,H1364=$B$10,H1364=$B$11,H1364=$B$12,H1364=$B$13,H1364=$B$14),SottocategorieUscite[[#Headers],[Fuori Casa]],IF(OR(H1364=$C$5,H1364=$C$6,H1364=$C$7,H1364=$C$8,H1364=$C$9,H1364=$C$10,H1364=$C$11,H1364=$C$12,H1364=$C$13,H1364=$C$14),SottocategorieUscite[[#Headers],[Varie Uscite]],IF(OR(H1364=$D$5,H1364=$D$6,H1364=$D$7,H1364=$D$8,H1364=$D$9,H1364=$D$10,H1364=$D$11,H1364=$D$12,H1364=$D$13,H1364=$D$14),SottocategorieUscite[[#Headers],[Personali]],IF(OR(H1364=$E$5,H1364=$E$6,H1364=$E$7,H1364=$E$8,H1364=$E$9,H1364=$E$10,H1364=$E$11,H1364=$E$12,H1364=$E$13,H1364=$E$14),SottocategorieUscite[[#Headers],[Lavoro]],IF(OR(H1364=$F$5,H1364=$F$6,H1364=$F$7,H1364=$F$8,H1364=$F$9,H1364=$F$10,H1364=$F$11,H1364=$F$12,H1364=$F$13,H1364=$F$14),SottocategorieUscite[[#Headers],[Casa]],IF(OR(H1364=$G$5,H1364=$G$6,H1364=$G$7,H1364=$G$8,H1364=$G$9,H1364=$G$10,H1364=$G$11,H1364=$G$12,H1364=$G$13,H1364=$G$14),SottocategorieUscite[[#Headers],[Utenze]],IF(OR(H1364=$H$5,H1364=$H$6,H1364=$H$7,H1364=$H$8,H1364=$H$9,H1364=$H$10,H1364=$H$11,H1364=$H$12,H1364=$H$13,H1364=$H$14),SottocategorieUscite[[#Headers],[Business Uscite]],IF(OR(H1364=$I$5,H1364=$I$6,H1364=$I$7,H1364=$I$8,H1364=$I$9,H1364=$I$10,H1364=$I$11,H1364=$I$12,H1364=$I$13,H1364=$I$14),SottocategorieUscite[[#Headers],[Banca]],IF(OR(H1364=K$5,H1364=K$6,H1364=K$7,H1364=K$8,H1364=K$9,H1364=K$10,H1364=K$11,H1364=K$12,H1364=K$13,H1364=K$14),SottocategorieEntrate[[#Headers],[Business Entrate]],IF(OR(H1364=L$5,H1364=L$6,H1364=L$7,H1364=L$8,H1364=L$9,H1364=L$10,H1364=L$11,H1364=L$12,H1364=L$13,H1364=L$14),SottocategorieEntrate[[#Headers],[Varie Entrate]],IF(OR(H1364=M$5,H1364=M$6,H1364=M$7,H1364=M$8,H1364=M$9,H1364=M$10,H1364=M$11,H1364=M$12,H1364=M$13,H1364=M$14),SottocategorieEntrate[[#Headers],[Real Estate]],IF(OR(H1364=N$5,H1364=N$6,H1364=N$7,H1364=N$8,H1364=N$9,H1364=N$10,H1364=N$11,H1364=N$12,H1364=N$13,H1364=N$14),SottocategorieEntrate[[#Headers],[Other]],""))))))))))))</f>
        <v/>
      </c>
      <c r="J1364" t="str">
        <f>IF(OR(Dati[[#This Row],[Categoria]]="Bollette",Dati[[#This Row],[Categoria]]="Conto &amp; Carte BNL",Dati[[#This Row],[Categoria]]="Prelievo",Dati[[#This Row],[Categoria]]="Affitto",Dati[[#This Row],[Categoria]]="BNL(Interessi Creditori)"),"Carta",IF(Dati[[#This Row],[Categoria]]&lt;&gt;0,"Cash",""))</f>
        <v/>
      </c>
      <c r="K1364" s="59" t="str">
        <f>IF(OR(Data!$I1364=SottocategorieUscite[[#Headers],[Fuori Casa]],Data!$I1364=SottocategorieUscite[[#Headers],[Varie Uscite]],Data!$I1364=SottocategorieUscite[[#Headers],[Personali]],Data!$I1364=SottocategorieUscite[[#Headers],[Lavoro]]),"$ -","")</f>
        <v/>
      </c>
      <c r="L1364" s="59" t="str">
        <f>IF(OR(Data!$I1364=SottocategorieUscite[[#Headers],[Casa]],Data!$I1364=SottocategorieUscite[[#Headers],[Utenze]],Data!$I1364=SottocategorieUscite[[#Headers],[Business Uscite]],Data!$I1364=SottocategorieUscite[[#Headers],[Banca]]),"$ -","")</f>
        <v/>
      </c>
      <c r="M1364" s="59" t="str">
        <f>IF(OR($I1364&lt;&gt;SottocategorieUscite[[#Headers],[Fuori Casa]],$I1364&lt;&gt;SottocategorieUscite[[#Headers],[Varie Uscite]],$I1364&lt;&gt;SottocategorieUscite[[#Headers],[Personali]],$I1364&lt;&gt;SottocategorieUscite[[#Headers],[Lavoro]],$I1364&lt;&gt;SottocategorieUscite[[#Headers],[Casa]],$I1364&lt;&gt;SottocategorieUscite[[#Headers],[Utenze]],$I1364&lt;&gt;SottocategorieUscite[[#Headers],[Business Uscite]],$I1364&lt;&gt;SottocategorieUscite[[#Headers],[Banca]]),"","$ -")</f>
        <v/>
      </c>
      <c r="N1364" s="59" t="str">
        <f>IF(OR(Data!$I1364=SottocategorieEntrate[[#Headers],[Business Entrate]],Data!$I1364=SottocategorieEntrate[[#Headers],[Varie Entrate]]),"$ -","")</f>
        <v/>
      </c>
      <c r="O1364" s="59" t="str">
        <f>IF(OR(Data!$I1364=SottocategorieEntrate[[#Headers],[Real Estate]],SottocategorieEntrate[[#Headers],[Other]]),"$ -","")</f>
        <v/>
      </c>
      <c r="P1364" s="59" t="str">
        <f>IF(OR($I1364&lt;&gt;SottocategorieEntrate[[#Headers],[Business Entrate]],$I1364&lt;&gt;SottocategorieEntrate[[#Headers],[Varie Entrate]],$I1364&lt;&gt;SottocategorieEntrate[[#Headers],[Real Estate]],$I1364&lt;&gt;SottocategorieEntrate[[#Headers],[Other]]),"","$ -")</f>
        <v/>
      </c>
      <c r="Q1364" s="59" t="str">
        <f>IF(Dati[[#This Row],[Categoria]]="Prelievo","€ -","")</f>
        <v/>
      </c>
      <c r="R1364" s="244"/>
      <c r="S1364" s="59" t="str">
        <f>IF(Dati[[#This Row],[Categoria]]="Savings",0,"")</f>
        <v/>
      </c>
      <c r="T1364" s="59"/>
      <c r="U1364" s="59"/>
      <c r="V1364" s="59"/>
      <c r="W1364" s="59"/>
      <c r="X1364" s="59"/>
      <c r="Y1364" s="59"/>
      <c r="Z1364" s="59"/>
      <c r="AA1364" s="59"/>
      <c r="AB1364" s="59"/>
      <c r="AC1364" s="59"/>
      <c r="AD1364" s="59"/>
      <c r="AE1364" s="59"/>
      <c r="AF1364" s="59"/>
      <c r="AG1364" s="59"/>
      <c r="AH1364" s="59"/>
      <c r="AI1364" s="59" t="str">
        <f>IF(SUM(Dati[[#This Row],[Inv. Business]:[Inv. Cryptocurrency]])=0," ",SUM(Dati[[#This Row],[Inv. Business]:[Inv. Cryptocurrency]]))</f>
        <v xml:space="preserve"> </v>
      </c>
      <c r="AJ1364" s="59"/>
      <c r="AK1364" s="59" t="str">
        <f>IF(SUM(Dati[[#This Row],[Inv. Gold]:[Mutuo]])=0," ",SUM(Dati[[#This Row],[Inv. Gold]:[Mutuo]]))</f>
        <v xml:space="preserve"> </v>
      </c>
      <c r="AL1364" s="59"/>
      <c r="AM1364" s="59"/>
    </row>
    <row r="1365" spans="2:39" x14ac:dyDescent="0.35">
      <c r="B1365" s="237">
        <f t="shared" si="104"/>
        <v>1345</v>
      </c>
      <c r="C1365" s="49">
        <f t="shared" si="95"/>
        <v>45923</v>
      </c>
      <c r="D1365" s="29">
        <f>DAY(Dati[[#This Row],[Data]])</f>
        <v>23</v>
      </c>
      <c r="E1365" s="29" t="str">
        <f>IF(DAY(Data!$C$21:$C$1613)&gt;0,TEXT(Data!$C$21:$C$1613, "mmmm"),"")</f>
        <v>settembre</v>
      </c>
      <c r="F1365" s="29" t="str">
        <f>IF(DAY(Data!$C$21:$C$1613)&gt;0,TEXT(Data!$C$21:$C$1613, "aaaa"),"")</f>
        <v>2025</v>
      </c>
      <c r="I1365" t="str">
        <f>IF(OR(H1365=$B$5,H1365=$B$6,H1365=$B$7,H1365=$B$8,H1365=$B$9,H1365=$B$10,H1365=$B$11,H1365=$B$12,H1365=$B$13,H1365=$B$14),SottocategorieUscite[[#Headers],[Fuori Casa]],IF(OR(H1365=$C$5,H1365=$C$6,H1365=$C$7,H1365=$C$8,H1365=$C$9,H1365=$C$10,H1365=$C$11,H1365=$C$12,H1365=$C$13,H1365=$C$14),SottocategorieUscite[[#Headers],[Varie Uscite]],IF(OR(H1365=$D$5,H1365=$D$6,H1365=$D$7,H1365=$D$8,H1365=$D$9,H1365=$D$10,H1365=$D$11,H1365=$D$12,H1365=$D$13,H1365=$D$14),SottocategorieUscite[[#Headers],[Personali]],IF(OR(H1365=$E$5,H1365=$E$6,H1365=$E$7,H1365=$E$8,H1365=$E$9,H1365=$E$10,H1365=$E$11,H1365=$E$12,H1365=$E$13,H1365=$E$14),SottocategorieUscite[[#Headers],[Lavoro]],IF(OR(H1365=$F$5,H1365=$F$6,H1365=$F$7,H1365=$F$8,H1365=$F$9,H1365=$F$10,H1365=$F$11,H1365=$F$12,H1365=$F$13,H1365=$F$14),SottocategorieUscite[[#Headers],[Casa]],IF(OR(H1365=$G$5,H1365=$G$6,H1365=$G$7,H1365=$G$8,H1365=$G$9,H1365=$G$10,H1365=$G$11,H1365=$G$12,H1365=$G$13,H1365=$G$14),SottocategorieUscite[[#Headers],[Utenze]],IF(OR(H1365=$H$5,H1365=$H$6,H1365=$H$7,H1365=$H$8,H1365=$H$9,H1365=$H$10,H1365=$H$11,H1365=$H$12,H1365=$H$13,H1365=$H$14),SottocategorieUscite[[#Headers],[Business Uscite]],IF(OR(H1365=$I$5,H1365=$I$6,H1365=$I$7,H1365=$I$8,H1365=$I$9,H1365=$I$10,H1365=$I$11,H1365=$I$12,H1365=$I$13,H1365=$I$14),SottocategorieUscite[[#Headers],[Banca]],IF(OR(H1365=K$5,H1365=K$6,H1365=K$7,H1365=K$8,H1365=K$9,H1365=K$10,H1365=K$11,H1365=K$12,H1365=K$13,H1365=K$14),SottocategorieEntrate[[#Headers],[Business Entrate]],IF(OR(H1365=L$5,H1365=L$6,H1365=L$7,H1365=L$8,H1365=L$9,H1365=L$10,H1365=L$11,H1365=L$12,H1365=L$13,H1365=L$14),SottocategorieEntrate[[#Headers],[Varie Entrate]],IF(OR(H1365=M$5,H1365=M$6,H1365=M$7,H1365=M$8,H1365=M$9,H1365=M$10,H1365=M$11,H1365=M$12,H1365=M$13,H1365=M$14),SottocategorieEntrate[[#Headers],[Real Estate]],IF(OR(H1365=N$5,H1365=N$6,H1365=N$7,H1365=N$8,H1365=N$9,H1365=N$10,H1365=N$11,H1365=N$12,H1365=N$13,H1365=N$14),SottocategorieEntrate[[#Headers],[Other]],""))))))))))))</f>
        <v/>
      </c>
      <c r="J1365" t="str">
        <f>IF(OR(Dati[[#This Row],[Categoria]]="Bollette",Dati[[#This Row],[Categoria]]="Conto &amp; Carte BNL",Dati[[#This Row],[Categoria]]="Prelievo",Dati[[#This Row],[Categoria]]="Affitto",Dati[[#This Row],[Categoria]]="BNL(Interessi Creditori)"),"Carta",IF(Dati[[#This Row],[Categoria]]&lt;&gt;0,"Cash",""))</f>
        <v/>
      </c>
      <c r="K1365" s="59" t="str">
        <f>IF(OR(Data!$I1365=SottocategorieUscite[[#Headers],[Fuori Casa]],Data!$I1365=SottocategorieUscite[[#Headers],[Varie Uscite]],Data!$I1365=SottocategorieUscite[[#Headers],[Personali]],Data!$I1365=SottocategorieUscite[[#Headers],[Lavoro]]),"$ -","")</f>
        <v/>
      </c>
      <c r="L1365" s="59" t="str">
        <f>IF(OR(Data!$I1365=SottocategorieUscite[[#Headers],[Casa]],Data!$I1365=SottocategorieUscite[[#Headers],[Utenze]],Data!$I1365=SottocategorieUscite[[#Headers],[Business Uscite]],Data!$I1365=SottocategorieUscite[[#Headers],[Banca]]),"$ -","")</f>
        <v/>
      </c>
      <c r="M1365" s="59" t="str">
        <f>IF(OR($I1365&lt;&gt;SottocategorieUscite[[#Headers],[Fuori Casa]],$I1365&lt;&gt;SottocategorieUscite[[#Headers],[Varie Uscite]],$I1365&lt;&gt;SottocategorieUscite[[#Headers],[Personali]],$I1365&lt;&gt;SottocategorieUscite[[#Headers],[Lavoro]],$I1365&lt;&gt;SottocategorieUscite[[#Headers],[Casa]],$I1365&lt;&gt;SottocategorieUscite[[#Headers],[Utenze]],$I1365&lt;&gt;SottocategorieUscite[[#Headers],[Business Uscite]],$I1365&lt;&gt;SottocategorieUscite[[#Headers],[Banca]]),"","$ -")</f>
        <v/>
      </c>
      <c r="N1365" s="59" t="str">
        <f>IF(OR(Data!$I1365=SottocategorieEntrate[[#Headers],[Business Entrate]],Data!$I1365=SottocategorieEntrate[[#Headers],[Varie Entrate]]),"$ -","")</f>
        <v/>
      </c>
      <c r="O1365" s="59" t="str">
        <f>IF(OR(Data!$I1365=SottocategorieEntrate[[#Headers],[Real Estate]],SottocategorieEntrate[[#Headers],[Other]]),"$ -","")</f>
        <v/>
      </c>
      <c r="P1365" s="59" t="str">
        <f>IF(OR($I1365&lt;&gt;SottocategorieEntrate[[#Headers],[Business Entrate]],$I1365&lt;&gt;SottocategorieEntrate[[#Headers],[Varie Entrate]],$I1365&lt;&gt;SottocategorieEntrate[[#Headers],[Real Estate]],$I1365&lt;&gt;SottocategorieEntrate[[#Headers],[Other]]),"","$ -")</f>
        <v/>
      </c>
      <c r="Q1365" s="59" t="str">
        <f>IF(Dati[[#This Row],[Categoria]]="Prelievo","€ -","")</f>
        <v/>
      </c>
      <c r="R1365" s="244"/>
      <c r="S1365" s="59" t="str">
        <f>IF(Dati[[#This Row],[Categoria]]="Savings",0,"")</f>
        <v/>
      </c>
      <c r="T1365" s="59"/>
      <c r="U1365" s="59"/>
      <c r="V1365" s="59"/>
      <c r="W1365" s="59"/>
      <c r="X1365" s="59"/>
      <c r="Y1365" s="59"/>
      <c r="Z1365" s="59"/>
      <c r="AA1365" s="59"/>
      <c r="AB1365" s="59"/>
      <c r="AC1365" s="59"/>
      <c r="AD1365" s="59"/>
      <c r="AE1365" s="59"/>
      <c r="AF1365" s="59"/>
      <c r="AG1365" s="59"/>
      <c r="AH1365" s="59"/>
      <c r="AI1365" s="59" t="str">
        <f>IF(SUM(Dati[[#This Row],[Inv. Business]:[Inv. Cryptocurrency]])=0," ",SUM(Dati[[#This Row],[Inv. Business]:[Inv. Cryptocurrency]]))</f>
        <v xml:space="preserve"> </v>
      </c>
      <c r="AJ1365" s="59"/>
      <c r="AK1365" s="59" t="str">
        <f>IF(SUM(Dati[[#This Row],[Inv. Gold]:[Mutuo]])=0," ",SUM(Dati[[#This Row],[Inv. Gold]:[Mutuo]]))</f>
        <v xml:space="preserve"> </v>
      </c>
      <c r="AL1365" s="59"/>
      <c r="AM1365" s="59"/>
    </row>
    <row r="1366" spans="2:39" x14ac:dyDescent="0.35">
      <c r="B1366" s="237">
        <f t="shared" si="104"/>
        <v>1346</v>
      </c>
      <c r="C1366" s="49">
        <f t="shared" si="95"/>
        <v>45924</v>
      </c>
      <c r="D1366" s="29">
        <f>DAY(Dati[[#This Row],[Data]])</f>
        <v>24</v>
      </c>
      <c r="E1366" s="29" t="str">
        <f>IF(DAY(Data!$C$21:$C$1613)&gt;0,TEXT(Data!$C$21:$C$1613, "mmmm"),"")</f>
        <v>settembre</v>
      </c>
      <c r="F1366" s="29" t="str">
        <f>IF(DAY(Data!$C$21:$C$1613)&gt;0,TEXT(Data!$C$21:$C$1613, "aaaa"),"")</f>
        <v>2025</v>
      </c>
      <c r="I1366" t="str">
        <f>IF(OR(H1366=$B$5,H1366=$B$6,H1366=$B$7,H1366=$B$8,H1366=$B$9,H1366=$B$10,H1366=$B$11,H1366=$B$12,H1366=$B$13,H1366=$B$14),SottocategorieUscite[[#Headers],[Fuori Casa]],IF(OR(H1366=$C$5,H1366=$C$6,H1366=$C$7,H1366=$C$8,H1366=$C$9,H1366=$C$10,H1366=$C$11,H1366=$C$12,H1366=$C$13,H1366=$C$14),SottocategorieUscite[[#Headers],[Varie Uscite]],IF(OR(H1366=$D$5,H1366=$D$6,H1366=$D$7,H1366=$D$8,H1366=$D$9,H1366=$D$10,H1366=$D$11,H1366=$D$12,H1366=$D$13,H1366=$D$14),SottocategorieUscite[[#Headers],[Personali]],IF(OR(H1366=$E$5,H1366=$E$6,H1366=$E$7,H1366=$E$8,H1366=$E$9,H1366=$E$10,H1366=$E$11,H1366=$E$12,H1366=$E$13,H1366=$E$14),SottocategorieUscite[[#Headers],[Lavoro]],IF(OR(H1366=$F$5,H1366=$F$6,H1366=$F$7,H1366=$F$8,H1366=$F$9,H1366=$F$10,H1366=$F$11,H1366=$F$12,H1366=$F$13,H1366=$F$14),SottocategorieUscite[[#Headers],[Casa]],IF(OR(H1366=$G$5,H1366=$G$6,H1366=$G$7,H1366=$G$8,H1366=$G$9,H1366=$G$10,H1366=$G$11,H1366=$G$12,H1366=$G$13,H1366=$G$14),SottocategorieUscite[[#Headers],[Utenze]],IF(OR(H1366=$H$5,H1366=$H$6,H1366=$H$7,H1366=$H$8,H1366=$H$9,H1366=$H$10,H1366=$H$11,H1366=$H$12,H1366=$H$13,H1366=$H$14),SottocategorieUscite[[#Headers],[Business Uscite]],IF(OR(H1366=$I$5,H1366=$I$6,H1366=$I$7,H1366=$I$8,H1366=$I$9,H1366=$I$10,H1366=$I$11,H1366=$I$12,H1366=$I$13,H1366=$I$14),SottocategorieUscite[[#Headers],[Banca]],IF(OR(H1366=K$5,H1366=K$6,H1366=K$7,H1366=K$8,H1366=K$9,H1366=K$10,H1366=K$11,H1366=K$12,H1366=K$13,H1366=K$14),SottocategorieEntrate[[#Headers],[Business Entrate]],IF(OR(H1366=L$5,H1366=L$6,H1366=L$7,H1366=L$8,H1366=L$9,H1366=L$10,H1366=L$11,H1366=L$12,H1366=L$13,H1366=L$14),SottocategorieEntrate[[#Headers],[Varie Entrate]],IF(OR(H1366=M$5,H1366=M$6,H1366=M$7,H1366=M$8,H1366=M$9,H1366=M$10,H1366=M$11,H1366=M$12,H1366=M$13,H1366=M$14),SottocategorieEntrate[[#Headers],[Real Estate]],IF(OR(H1366=N$5,H1366=N$6,H1366=N$7,H1366=N$8,H1366=N$9,H1366=N$10,H1366=N$11,H1366=N$12,H1366=N$13,H1366=N$14),SottocategorieEntrate[[#Headers],[Other]],""))))))))))))</f>
        <v/>
      </c>
      <c r="J1366" t="str">
        <f>IF(OR(Dati[[#This Row],[Categoria]]="Bollette",Dati[[#This Row],[Categoria]]="Conto &amp; Carte BNL",Dati[[#This Row],[Categoria]]="Prelievo",Dati[[#This Row],[Categoria]]="Affitto",Dati[[#This Row],[Categoria]]="BNL(Interessi Creditori)"),"Carta",IF(Dati[[#This Row],[Categoria]]&lt;&gt;0,"Cash",""))</f>
        <v/>
      </c>
      <c r="K1366" s="59" t="str">
        <f>IF(OR(Data!$I1366=SottocategorieUscite[[#Headers],[Fuori Casa]],Data!$I1366=SottocategorieUscite[[#Headers],[Varie Uscite]],Data!$I1366=SottocategorieUscite[[#Headers],[Personali]],Data!$I1366=SottocategorieUscite[[#Headers],[Lavoro]]),"$ -","")</f>
        <v/>
      </c>
      <c r="L1366" s="59" t="str">
        <f>IF(OR(Data!$I1366=SottocategorieUscite[[#Headers],[Casa]],Data!$I1366=SottocategorieUscite[[#Headers],[Utenze]],Data!$I1366=SottocategorieUscite[[#Headers],[Business Uscite]],Data!$I1366=SottocategorieUscite[[#Headers],[Banca]]),"$ -","")</f>
        <v/>
      </c>
      <c r="M1366" s="59" t="str">
        <f>IF(OR($I1366&lt;&gt;SottocategorieUscite[[#Headers],[Fuori Casa]],$I1366&lt;&gt;SottocategorieUscite[[#Headers],[Varie Uscite]],$I1366&lt;&gt;SottocategorieUscite[[#Headers],[Personali]],$I1366&lt;&gt;SottocategorieUscite[[#Headers],[Lavoro]],$I1366&lt;&gt;SottocategorieUscite[[#Headers],[Casa]],$I1366&lt;&gt;SottocategorieUscite[[#Headers],[Utenze]],$I1366&lt;&gt;SottocategorieUscite[[#Headers],[Business Uscite]],$I1366&lt;&gt;SottocategorieUscite[[#Headers],[Banca]]),"","$ -")</f>
        <v/>
      </c>
      <c r="N1366" s="59" t="str">
        <f>IF(OR(Data!$I1366=SottocategorieEntrate[[#Headers],[Business Entrate]],Data!$I1366=SottocategorieEntrate[[#Headers],[Varie Entrate]]),"$ -","")</f>
        <v/>
      </c>
      <c r="O1366" s="59" t="str">
        <f>IF(OR(Data!$I1366=SottocategorieEntrate[[#Headers],[Real Estate]],SottocategorieEntrate[[#Headers],[Other]]),"$ -","")</f>
        <v/>
      </c>
      <c r="P1366" s="59" t="str">
        <f>IF(OR($I1366&lt;&gt;SottocategorieEntrate[[#Headers],[Business Entrate]],$I1366&lt;&gt;SottocategorieEntrate[[#Headers],[Varie Entrate]],$I1366&lt;&gt;SottocategorieEntrate[[#Headers],[Real Estate]],$I1366&lt;&gt;SottocategorieEntrate[[#Headers],[Other]]),"","$ -")</f>
        <v/>
      </c>
      <c r="Q1366" s="59" t="str">
        <f>IF(Dati[[#This Row],[Categoria]]="Prelievo","€ -","")</f>
        <v/>
      </c>
      <c r="R1366" s="244"/>
      <c r="S1366" s="59" t="str">
        <f>IF(Dati[[#This Row],[Categoria]]="Savings",0,"")</f>
        <v/>
      </c>
      <c r="T1366" s="59"/>
      <c r="U1366" s="59"/>
      <c r="V1366" s="59"/>
      <c r="W1366" s="59"/>
      <c r="X1366" s="59"/>
      <c r="Y1366" s="59"/>
      <c r="Z1366" s="59"/>
      <c r="AA1366" s="59"/>
      <c r="AB1366" s="59"/>
      <c r="AC1366" s="59"/>
      <c r="AD1366" s="59"/>
      <c r="AE1366" s="59"/>
      <c r="AF1366" s="59"/>
      <c r="AG1366" s="59"/>
      <c r="AH1366" s="59"/>
      <c r="AI1366" s="59" t="str">
        <f>IF(SUM(Dati[[#This Row],[Inv. Business]:[Inv. Cryptocurrency]])=0," ",SUM(Dati[[#This Row],[Inv. Business]:[Inv. Cryptocurrency]]))</f>
        <v xml:space="preserve"> </v>
      </c>
      <c r="AJ1366" s="59"/>
      <c r="AK1366" s="59" t="str">
        <f>IF(SUM(Dati[[#This Row],[Inv. Gold]:[Mutuo]])=0," ",SUM(Dati[[#This Row],[Inv. Gold]:[Mutuo]]))</f>
        <v xml:space="preserve"> </v>
      </c>
      <c r="AL1366" s="59"/>
      <c r="AM1366" s="59"/>
    </row>
    <row r="1367" spans="2:39" x14ac:dyDescent="0.35">
      <c r="B1367" s="237">
        <f t="shared" si="104"/>
        <v>1347</v>
      </c>
      <c r="C1367" s="49">
        <f t="shared" si="95"/>
        <v>45925</v>
      </c>
      <c r="D1367" s="29">
        <f>DAY(Dati[[#This Row],[Data]])</f>
        <v>25</v>
      </c>
      <c r="E1367" s="29" t="str">
        <f>IF(DAY(Data!$C$21:$C$1613)&gt;0,TEXT(Data!$C$21:$C$1613, "mmmm"),"")</f>
        <v>settembre</v>
      </c>
      <c r="F1367" s="29" t="str">
        <f>IF(DAY(Data!$C$21:$C$1613)&gt;0,TEXT(Data!$C$21:$C$1613, "aaaa"),"")</f>
        <v>2025</v>
      </c>
      <c r="I1367" t="str">
        <f>IF(OR(H1367=$B$5,H1367=$B$6,H1367=$B$7,H1367=$B$8,H1367=$B$9,H1367=$B$10,H1367=$B$11,H1367=$B$12,H1367=$B$13,H1367=$B$14),SottocategorieUscite[[#Headers],[Fuori Casa]],IF(OR(H1367=$C$5,H1367=$C$6,H1367=$C$7,H1367=$C$8,H1367=$C$9,H1367=$C$10,H1367=$C$11,H1367=$C$12,H1367=$C$13,H1367=$C$14),SottocategorieUscite[[#Headers],[Varie Uscite]],IF(OR(H1367=$D$5,H1367=$D$6,H1367=$D$7,H1367=$D$8,H1367=$D$9,H1367=$D$10,H1367=$D$11,H1367=$D$12,H1367=$D$13,H1367=$D$14),SottocategorieUscite[[#Headers],[Personali]],IF(OR(H1367=$E$5,H1367=$E$6,H1367=$E$7,H1367=$E$8,H1367=$E$9,H1367=$E$10,H1367=$E$11,H1367=$E$12,H1367=$E$13,H1367=$E$14),SottocategorieUscite[[#Headers],[Lavoro]],IF(OR(H1367=$F$5,H1367=$F$6,H1367=$F$7,H1367=$F$8,H1367=$F$9,H1367=$F$10,H1367=$F$11,H1367=$F$12,H1367=$F$13,H1367=$F$14),SottocategorieUscite[[#Headers],[Casa]],IF(OR(H1367=$G$5,H1367=$G$6,H1367=$G$7,H1367=$G$8,H1367=$G$9,H1367=$G$10,H1367=$G$11,H1367=$G$12,H1367=$G$13,H1367=$G$14),SottocategorieUscite[[#Headers],[Utenze]],IF(OR(H1367=$H$5,H1367=$H$6,H1367=$H$7,H1367=$H$8,H1367=$H$9,H1367=$H$10,H1367=$H$11,H1367=$H$12,H1367=$H$13,H1367=$H$14),SottocategorieUscite[[#Headers],[Business Uscite]],IF(OR(H1367=$I$5,H1367=$I$6,H1367=$I$7,H1367=$I$8,H1367=$I$9,H1367=$I$10,H1367=$I$11,H1367=$I$12,H1367=$I$13,H1367=$I$14),SottocategorieUscite[[#Headers],[Banca]],IF(OR(H1367=K$5,H1367=K$6,H1367=K$7,H1367=K$8,H1367=K$9,H1367=K$10,H1367=K$11,H1367=K$12,H1367=K$13,H1367=K$14),SottocategorieEntrate[[#Headers],[Business Entrate]],IF(OR(H1367=L$5,H1367=L$6,H1367=L$7,H1367=L$8,H1367=L$9,H1367=L$10,H1367=L$11,H1367=L$12,H1367=L$13,H1367=L$14),SottocategorieEntrate[[#Headers],[Varie Entrate]],IF(OR(H1367=M$5,H1367=M$6,H1367=M$7,H1367=M$8,H1367=M$9,H1367=M$10,H1367=M$11,H1367=M$12,H1367=M$13,H1367=M$14),SottocategorieEntrate[[#Headers],[Real Estate]],IF(OR(H1367=N$5,H1367=N$6,H1367=N$7,H1367=N$8,H1367=N$9,H1367=N$10,H1367=N$11,H1367=N$12,H1367=N$13,H1367=N$14),SottocategorieEntrate[[#Headers],[Other]],""))))))))))))</f>
        <v/>
      </c>
      <c r="J1367" t="str">
        <f>IF(OR(Dati[[#This Row],[Categoria]]="Bollette",Dati[[#This Row],[Categoria]]="Conto &amp; Carte BNL",Dati[[#This Row],[Categoria]]="Prelievo",Dati[[#This Row],[Categoria]]="Affitto",Dati[[#This Row],[Categoria]]="BNL(Interessi Creditori)"),"Carta",IF(Dati[[#This Row],[Categoria]]&lt;&gt;0,"Cash",""))</f>
        <v/>
      </c>
      <c r="K1367" s="59" t="str">
        <f>IF(OR(Data!$I1367=SottocategorieUscite[[#Headers],[Fuori Casa]],Data!$I1367=SottocategorieUscite[[#Headers],[Varie Uscite]],Data!$I1367=SottocategorieUscite[[#Headers],[Personali]],Data!$I1367=SottocategorieUscite[[#Headers],[Lavoro]]),"$ -","")</f>
        <v/>
      </c>
      <c r="L1367" s="59" t="str">
        <f>IF(OR(Data!$I1367=SottocategorieUscite[[#Headers],[Casa]],Data!$I1367=SottocategorieUscite[[#Headers],[Utenze]],Data!$I1367=SottocategorieUscite[[#Headers],[Business Uscite]],Data!$I1367=SottocategorieUscite[[#Headers],[Banca]]),"$ -","")</f>
        <v/>
      </c>
      <c r="M1367" s="59" t="str">
        <f>IF(OR($I1367&lt;&gt;SottocategorieUscite[[#Headers],[Fuori Casa]],$I1367&lt;&gt;SottocategorieUscite[[#Headers],[Varie Uscite]],$I1367&lt;&gt;SottocategorieUscite[[#Headers],[Personali]],$I1367&lt;&gt;SottocategorieUscite[[#Headers],[Lavoro]],$I1367&lt;&gt;SottocategorieUscite[[#Headers],[Casa]],$I1367&lt;&gt;SottocategorieUscite[[#Headers],[Utenze]],$I1367&lt;&gt;SottocategorieUscite[[#Headers],[Business Uscite]],$I1367&lt;&gt;SottocategorieUscite[[#Headers],[Banca]]),"","$ -")</f>
        <v/>
      </c>
      <c r="N1367" s="59" t="str">
        <f>IF(OR(Data!$I1367=SottocategorieEntrate[[#Headers],[Business Entrate]],Data!$I1367=SottocategorieEntrate[[#Headers],[Varie Entrate]]),"$ -","")</f>
        <v/>
      </c>
      <c r="O1367" s="59" t="str">
        <f>IF(OR(Data!$I1367=SottocategorieEntrate[[#Headers],[Real Estate]],SottocategorieEntrate[[#Headers],[Other]]),"$ -","")</f>
        <v/>
      </c>
      <c r="P1367" s="59" t="str">
        <f>IF(OR($I1367&lt;&gt;SottocategorieEntrate[[#Headers],[Business Entrate]],$I1367&lt;&gt;SottocategorieEntrate[[#Headers],[Varie Entrate]],$I1367&lt;&gt;SottocategorieEntrate[[#Headers],[Real Estate]],$I1367&lt;&gt;SottocategorieEntrate[[#Headers],[Other]]),"","$ -")</f>
        <v/>
      </c>
      <c r="Q1367" s="59" t="str">
        <f>IF(Dati[[#This Row],[Categoria]]="Prelievo","€ -","")</f>
        <v/>
      </c>
      <c r="R1367" s="244"/>
      <c r="S1367" s="59" t="str">
        <f>IF(Dati[[#This Row],[Categoria]]="Savings",0,"")</f>
        <v/>
      </c>
      <c r="T1367" s="59"/>
      <c r="U1367" s="59"/>
      <c r="V1367" s="59"/>
      <c r="W1367" s="59"/>
      <c r="X1367" s="59"/>
      <c r="Y1367" s="59"/>
      <c r="Z1367" s="59"/>
      <c r="AA1367" s="59"/>
      <c r="AB1367" s="59"/>
      <c r="AC1367" s="59"/>
      <c r="AD1367" s="59"/>
      <c r="AE1367" s="59"/>
      <c r="AF1367" s="59"/>
      <c r="AG1367" s="59"/>
      <c r="AH1367" s="59"/>
      <c r="AI1367" s="59" t="str">
        <f>IF(SUM(Dati[[#This Row],[Inv. Business]:[Inv. Cryptocurrency]])=0," ",SUM(Dati[[#This Row],[Inv. Business]:[Inv. Cryptocurrency]]))</f>
        <v xml:space="preserve"> </v>
      </c>
      <c r="AJ1367" s="59"/>
      <c r="AK1367" s="59" t="str">
        <f>IF(SUM(Dati[[#This Row],[Inv. Gold]:[Mutuo]])=0," ",SUM(Dati[[#This Row],[Inv. Gold]:[Mutuo]]))</f>
        <v xml:space="preserve"> </v>
      </c>
      <c r="AL1367" s="59"/>
      <c r="AM1367" s="59"/>
    </row>
    <row r="1368" spans="2:39" x14ac:dyDescent="0.35">
      <c r="B1368" s="237">
        <f t="shared" si="104"/>
        <v>1348</v>
      </c>
      <c r="C1368" s="49">
        <f t="shared" si="95"/>
        <v>45926</v>
      </c>
      <c r="D1368" s="29">
        <f>DAY(Dati[[#This Row],[Data]])</f>
        <v>26</v>
      </c>
      <c r="E1368" s="29" t="str">
        <f>IF(DAY(Data!$C$21:$C$1613)&gt;0,TEXT(Data!$C$21:$C$1613, "mmmm"),"")</f>
        <v>settembre</v>
      </c>
      <c r="F1368" s="29" t="str">
        <f>IF(DAY(Data!$C$21:$C$1613)&gt;0,TEXT(Data!$C$21:$C$1613, "aaaa"),"")</f>
        <v>2025</v>
      </c>
      <c r="I1368" t="str">
        <f>IF(OR(H1368=$B$5,H1368=$B$6,H1368=$B$7,H1368=$B$8,H1368=$B$9,H1368=$B$10,H1368=$B$11,H1368=$B$12,H1368=$B$13,H1368=$B$14),SottocategorieUscite[[#Headers],[Fuori Casa]],IF(OR(H1368=$C$5,H1368=$C$6,H1368=$C$7,H1368=$C$8,H1368=$C$9,H1368=$C$10,H1368=$C$11,H1368=$C$12,H1368=$C$13,H1368=$C$14),SottocategorieUscite[[#Headers],[Varie Uscite]],IF(OR(H1368=$D$5,H1368=$D$6,H1368=$D$7,H1368=$D$8,H1368=$D$9,H1368=$D$10,H1368=$D$11,H1368=$D$12,H1368=$D$13,H1368=$D$14),SottocategorieUscite[[#Headers],[Personali]],IF(OR(H1368=$E$5,H1368=$E$6,H1368=$E$7,H1368=$E$8,H1368=$E$9,H1368=$E$10,H1368=$E$11,H1368=$E$12,H1368=$E$13,H1368=$E$14),SottocategorieUscite[[#Headers],[Lavoro]],IF(OR(H1368=$F$5,H1368=$F$6,H1368=$F$7,H1368=$F$8,H1368=$F$9,H1368=$F$10,H1368=$F$11,H1368=$F$12,H1368=$F$13,H1368=$F$14),SottocategorieUscite[[#Headers],[Casa]],IF(OR(H1368=$G$5,H1368=$G$6,H1368=$G$7,H1368=$G$8,H1368=$G$9,H1368=$G$10,H1368=$G$11,H1368=$G$12,H1368=$G$13,H1368=$G$14),SottocategorieUscite[[#Headers],[Utenze]],IF(OR(H1368=$H$5,H1368=$H$6,H1368=$H$7,H1368=$H$8,H1368=$H$9,H1368=$H$10,H1368=$H$11,H1368=$H$12,H1368=$H$13,H1368=$H$14),SottocategorieUscite[[#Headers],[Business Uscite]],IF(OR(H1368=$I$5,H1368=$I$6,H1368=$I$7,H1368=$I$8,H1368=$I$9,H1368=$I$10,H1368=$I$11,H1368=$I$12,H1368=$I$13,H1368=$I$14),SottocategorieUscite[[#Headers],[Banca]],IF(OR(H1368=K$5,H1368=K$6,H1368=K$7,H1368=K$8,H1368=K$9,H1368=K$10,H1368=K$11,H1368=K$12,H1368=K$13,H1368=K$14),SottocategorieEntrate[[#Headers],[Business Entrate]],IF(OR(H1368=L$5,H1368=L$6,H1368=L$7,H1368=L$8,H1368=L$9,H1368=L$10,H1368=L$11,H1368=L$12,H1368=L$13,H1368=L$14),SottocategorieEntrate[[#Headers],[Varie Entrate]],IF(OR(H1368=M$5,H1368=M$6,H1368=M$7,H1368=M$8,H1368=M$9,H1368=M$10,H1368=M$11,H1368=M$12,H1368=M$13,H1368=M$14),SottocategorieEntrate[[#Headers],[Real Estate]],IF(OR(H1368=N$5,H1368=N$6,H1368=N$7,H1368=N$8,H1368=N$9,H1368=N$10,H1368=N$11,H1368=N$12,H1368=N$13,H1368=N$14),SottocategorieEntrate[[#Headers],[Other]],""))))))))))))</f>
        <v/>
      </c>
      <c r="J1368" t="str">
        <f>IF(OR(Dati[[#This Row],[Categoria]]="Bollette",Dati[[#This Row],[Categoria]]="Conto &amp; Carte BNL",Dati[[#This Row],[Categoria]]="Prelievo",Dati[[#This Row],[Categoria]]="Affitto",Dati[[#This Row],[Categoria]]="BNL(Interessi Creditori)"),"Carta",IF(Dati[[#This Row],[Categoria]]&lt;&gt;0,"Cash",""))</f>
        <v/>
      </c>
      <c r="K1368" s="59" t="str">
        <f>IF(OR(Data!$I1368=SottocategorieUscite[[#Headers],[Fuori Casa]],Data!$I1368=SottocategorieUscite[[#Headers],[Varie Uscite]],Data!$I1368=SottocategorieUscite[[#Headers],[Personali]],Data!$I1368=SottocategorieUscite[[#Headers],[Lavoro]]),"$ -","")</f>
        <v/>
      </c>
      <c r="L1368" s="59" t="str">
        <f>IF(OR(Data!$I1368=SottocategorieUscite[[#Headers],[Casa]],Data!$I1368=SottocategorieUscite[[#Headers],[Utenze]],Data!$I1368=SottocategorieUscite[[#Headers],[Business Uscite]],Data!$I1368=SottocategorieUscite[[#Headers],[Banca]]),"$ -","")</f>
        <v/>
      </c>
      <c r="M1368" s="59" t="str">
        <f>IF(OR($I1368&lt;&gt;SottocategorieUscite[[#Headers],[Fuori Casa]],$I1368&lt;&gt;SottocategorieUscite[[#Headers],[Varie Uscite]],$I1368&lt;&gt;SottocategorieUscite[[#Headers],[Personali]],$I1368&lt;&gt;SottocategorieUscite[[#Headers],[Lavoro]],$I1368&lt;&gt;SottocategorieUscite[[#Headers],[Casa]],$I1368&lt;&gt;SottocategorieUscite[[#Headers],[Utenze]],$I1368&lt;&gt;SottocategorieUscite[[#Headers],[Business Uscite]],$I1368&lt;&gt;SottocategorieUscite[[#Headers],[Banca]]),"","$ -")</f>
        <v/>
      </c>
      <c r="N1368" s="59" t="str">
        <f>IF(OR(Data!$I1368=SottocategorieEntrate[[#Headers],[Business Entrate]],Data!$I1368=SottocategorieEntrate[[#Headers],[Varie Entrate]]),"$ -","")</f>
        <v/>
      </c>
      <c r="O1368" s="59" t="str">
        <f>IF(OR(Data!$I1368=SottocategorieEntrate[[#Headers],[Real Estate]],SottocategorieEntrate[[#Headers],[Other]]),"$ -","")</f>
        <v/>
      </c>
      <c r="P1368" s="59" t="str">
        <f>IF(OR($I1368&lt;&gt;SottocategorieEntrate[[#Headers],[Business Entrate]],$I1368&lt;&gt;SottocategorieEntrate[[#Headers],[Varie Entrate]],$I1368&lt;&gt;SottocategorieEntrate[[#Headers],[Real Estate]],$I1368&lt;&gt;SottocategorieEntrate[[#Headers],[Other]]),"","$ -")</f>
        <v/>
      </c>
      <c r="Q1368" s="59" t="str">
        <f>IF(Dati[[#This Row],[Categoria]]="Prelievo","€ -","")</f>
        <v/>
      </c>
      <c r="R1368" s="244"/>
      <c r="S1368" s="59" t="str">
        <f>IF(Dati[[#This Row],[Categoria]]="Savings",0,"")</f>
        <v/>
      </c>
      <c r="T1368" s="59"/>
      <c r="U1368" s="59"/>
      <c r="V1368" s="59"/>
      <c r="W1368" s="59"/>
      <c r="X1368" s="59"/>
      <c r="Y1368" s="59"/>
      <c r="Z1368" s="59"/>
      <c r="AA1368" s="59"/>
      <c r="AB1368" s="59"/>
      <c r="AC1368" s="59"/>
      <c r="AD1368" s="59"/>
      <c r="AE1368" s="59"/>
      <c r="AF1368" s="59"/>
      <c r="AG1368" s="59"/>
      <c r="AH1368" s="59"/>
      <c r="AI1368" s="59" t="str">
        <f>IF(SUM(Dati[[#This Row],[Inv. Business]:[Inv. Cryptocurrency]])=0," ",SUM(Dati[[#This Row],[Inv. Business]:[Inv. Cryptocurrency]]))</f>
        <v xml:space="preserve"> </v>
      </c>
      <c r="AJ1368" s="59"/>
      <c r="AK1368" s="59" t="str">
        <f>IF(SUM(Dati[[#This Row],[Inv. Gold]:[Mutuo]])=0," ",SUM(Dati[[#This Row],[Inv. Gold]:[Mutuo]]))</f>
        <v xml:space="preserve"> </v>
      </c>
      <c r="AL1368" s="59"/>
      <c r="AM1368" s="59"/>
    </row>
    <row r="1369" spans="2:39" x14ac:dyDescent="0.35">
      <c r="B1369" s="237">
        <f t="shared" si="104"/>
        <v>1349</v>
      </c>
      <c r="C1369" s="49">
        <f t="shared" si="95"/>
        <v>45927</v>
      </c>
      <c r="D1369" s="29">
        <f>DAY(Dati[[#This Row],[Data]])</f>
        <v>27</v>
      </c>
      <c r="E1369" s="29" t="str">
        <f>IF(DAY(Data!$C$21:$C$1613)&gt;0,TEXT(Data!$C$21:$C$1613, "mmmm"),"")</f>
        <v>settembre</v>
      </c>
      <c r="F1369" s="29" t="str">
        <f>IF(DAY(Data!$C$21:$C$1613)&gt;0,TEXT(Data!$C$21:$C$1613, "aaaa"),"")</f>
        <v>2025</v>
      </c>
      <c r="I1369" t="str">
        <f>IF(OR(H1369=$B$5,H1369=$B$6,H1369=$B$7,H1369=$B$8,H1369=$B$9,H1369=$B$10,H1369=$B$11,H1369=$B$12,H1369=$B$13,H1369=$B$14),SottocategorieUscite[[#Headers],[Fuori Casa]],IF(OR(H1369=$C$5,H1369=$C$6,H1369=$C$7,H1369=$C$8,H1369=$C$9,H1369=$C$10,H1369=$C$11,H1369=$C$12,H1369=$C$13,H1369=$C$14),SottocategorieUscite[[#Headers],[Varie Uscite]],IF(OR(H1369=$D$5,H1369=$D$6,H1369=$D$7,H1369=$D$8,H1369=$D$9,H1369=$D$10,H1369=$D$11,H1369=$D$12,H1369=$D$13,H1369=$D$14),SottocategorieUscite[[#Headers],[Personali]],IF(OR(H1369=$E$5,H1369=$E$6,H1369=$E$7,H1369=$E$8,H1369=$E$9,H1369=$E$10,H1369=$E$11,H1369=$E$12,H1369=$E$13,H1369=$E$14),SottocategorieUscite[[#Headers],[Lavoro]],IF(OR(H1369=$F$5,H1369=$F$6,H1369=$F$7,H1369=$F$8,H1369=$F$9,H1369=$F$10,H1369=$F$11,H1369=$F$12,H1369=$F$13,H1369=$F$14),SottocategorieUscite[[#Headers],[Casa]],IF(OR(H1369=$G$5,H1369=$G$6,H1369=$G$7,H1369=$G$8,H1369=$G$9,H1369=$G$10,H1369=$G$11,H1369=$G$12,H1369=$G$13,H1369=$G$14),SottocategorieUscite[[#Headers],[Utenze]],IF(OR(H1369=$H$5,H1369=$H$6,H1369=$H$7,H1369=$H$8,H1369=$H$9,H1369=$H$10,H1369=$H$11,H1369=$H$12,H1369=$H$13,H1369=$H$14),SottocategorieUscite[[#Headers],[Business Uscite]],IF(OR(H1369=$I$5,H1369=$I$6,H1369=$I$7,H1369=$I$8,H1369=$I$9,H1369=$I$10,H1369=$I$11,H1369=$I$12,H1369=$I$13,H1369=$I$14),SottocategorieUscite[[#Headers],[Banca]],IF(OR(H1369=K$5,H1369=K$6,H1369=K$7,H1369=K$8,H1369=K$9,H1369=K$10,H1369=K$11,H1369=K$12,H1369=K$13,H1369=K$14),SottocategorieEntrate[[#Headers],[Business Entrate]],IF(OR(H1369=L$5,H1369=L$6,H1369=L$7,H1369=L$8,H1369=L$9,H1369=L$10,H1369=L$11,H1369=L$12,H1369=L$13,H1369=L$14),SottocategorieEntrate[[#Headers],[Varie Entrate]],IF(OR(H1369=M$5,H1369=M$6,H1369=M$7,H1369=M$8,H1369=M$9,H1369=M$10,H1369=M$11,H1369=M$12,H1369=M$13,H1369=M$14),SottocategorieEntrate[[#Headers],[Real Estate]],IF(OR(H1369=N$5,H1369=N$6,H1369=N$7,H1369=N$8,H1369=N$9,H1369=N$10,H1369=N$11,H1369=N$12,H1369=N$13,H1369=N$14),SottocategorieEntrate[[#Headers],[Other]],""))))))))))))</f>
        <v/>
      </c>
      <c r="J1369" t="str">
        <f>IF(OR(Dati[[#This Row],[Categoria]]="Bollette",Dati[[#This Row],[Categoria]]="Conto &amp; Carte BNL",Dati[[#This Row],[Categoria]]="Prelievo",Dati[[#This Row],[Categoria]]="Affitto",Dati[[#This Row],[Categoria]]="BNL(Interessi Creditori)"),"Carta",IF(Dati[[#This Row],[Categoria]]&lt;&gt;0,"Cash",""))</f>
        <v/>
      </c>
      <c r="K1369" s="59" t="str">
        <f>IF(OR(Data!$I1369=SottocategorieUscite[[#Headers],[Fuori Casa]],Data!$I1369=SottocategorieUscite[[#Headers],[Varie Uscite]],Data!$I1369=SottocategorieUscite[[#Headers],[Personali]],Data!$I1369=SottocategorieUscite[[#Headers],[Lavoro]]),"$ -","")</f>
        <v/>
      </c>
      <c r="L1369" s="59" t="str">
        <f>IF(OR(Data!$I1369=SottocategorieUscite[[#Headers],[Casa]],Data!$I1369=SottocategorieUscite[[#Headers],[Utenze]],Data!$I1369=SottocategorieUscite[[#Headers],[Business Uscite]],Data!$I1369=SottocategorieUscite[[#Headers],[Banca]]),"$ -","")</f>
        <v/>
      </c>
      <c r="M1369" s="59" t="str">
        <f>IF(OR($I1369&lt;&gt;SottocategorieUscite[[#Headers],[Fuori Casa]],$I1369&lt;&gt;SottocategorieUscite[[#Headers],[Varie Uscite]],$I1369&lt;&gt;SottocategorieUscite[[#Headers],[Personali]],$I1369&lt;&gt;SottocategorieUscite[[#Headers],[Lavoro]],$I1369&lt;&gt;SottocategorieUscite[[#Headers],[Casa]],$I1369&lt;&gt;SottocategorieUscite[[#Headers],[Utenze]],$I1369&lt;&gt;SottocategorieUscite[[#Headers],[Business Uscite]],$I1369&lt;&gt;SottocategorieUscite[[#Headers],[Banca]]),"","$ -")</f>
        <v/>
      </c>
      <c r="N1369" s="59" t="str">
        <f>IF(OR(Data!$I1369=SottocategorieEntrate[[#Headers],[Business Entrate]],Data!$I1369=SottocategorieEntrate[[#Headers],[Varie Entrate]]),"$ -","")</f>
        <v/>
      </c>
      <c r="O1369" s="59" t="str">
        <f>IF(OR(Data!$I1369=SottocategorieEntrate[[#Headers],[Real Estate]],SottocategorieEntrate[[#Headers],[Other]]),"$ -","")</f>
        <v/>
      </c>
      <c r="P1369" s="59" t="str">
        <f>IF(OR($I1369&lt;&gt;SottocategorieEntrate[[#Headers],[Business Entrate]],$I1369&lt;&gt;SottocategorieEntrate[[#Headers],[Varie Entrate]],$I1369&lt;&gt;SottocategorieEntrate[[#Headers],[Real Estate]],$I1369&lt;&gt;SottocategorieEntrate[[#Headers],[Other]]),"","$ -")</f>
        <v/>
      </c>
      <c r="Q1369" s="59" t="str">
        <f>IF(Dati[[#This Row],[Categoria]]="Prelievo","€ -","")</f>
        <v/>
      </c>
      <c r="R1369" s="244"/>
      <c r="S1369" s="59" t="str">
        <f>IF(Dati[[#This Row],[Categoria]]="Savings",0,"")</f>
        <v/>
      </c>
      <c r="T1369" s="59"/>
      <c r="U1369" s="59"/>
      <c r="V1369" s="59"/>
      <c r="W1369" s="59"/>
      <c r="X1369" s="59"/>
      <c r="Y1369" s="59"/>
      <c r="Z1369" s="59"/>
      <c r="AA1369" s="59"/>
      <c r="AB1369" s="59"/>
      <c r="AC1369" s="59"/>
      <c r="AD1369" s="59"/>
      <c r="AE1369" s="59"/>
      <c r="AF1369" s="59"/>
      <c r="AG1369" s="59"/>
      <c r="AH1369" s="59"/>
      <c r="AI1369" s="59" t="str">
        <f>IF(SUM(Dati[[#This Row],[Inv. Business]:[Inv. Cryptocurrency]])=0," ",SUM(Dati[[#This Row],[Inv. Business]:[Inv. Cryptocurrency]]))</f>
        <v xml:space="preserve"> </v>
      </c>
      <c r="AJ1369" s="59"/>
      <c r="AK1369" s="59" t="str">
        <f>IF(SUM(Dati[[#This Row],[Inv. Gold]:[Mutuo]])=0," ",SUM(Dati[[#This Row],[Inv. Gold]:[Mutuo]]))</f>
        <v xml:space="preserve"> </v>
      </c>
      <c r="AL1369" s="59"/>
      <c r="AM1369" s="59"/>
    </row>
    <row r="1370" spans="2:39" x14ac:dyDescent="0.35">
      <c r="B1370" s="237">
        <f t="shared" ref="B1370:B1396" si="105">ROW(1350:1350)</f>
        <v>1350</v>
      </c>
      <c r="C1370" s="49">
        <f t="shared" si="95"/>
        <v>45928</v>
      </c>
      <c r="D1370" s="29">
        <f>DAY(Dati[[#This Row],[Data]])</f>
        <v>28</v>
      </c>
      <c r="E1370" s="29" t="str">
        <f>IF(DAY(Data!$C$21:$C$1613)&gt;0,TEXT(Data!$C$21:$C$1613, "mmmm"),"")</f>
        <v>settembre</v>
      </c>
      <c r="F1370" s="29" t="str">
        <f>IF(DAY(Data!$C$21:$C$1613)&gt;0,TEXT(Data!$C$21:$C$1613, "aaaa"),"")</f>
        <v>2025</v>
      </c>
      <c r="I1370" t="str">
        <f>IF(OR(H1370=$B$5,H1370=$B$6,H1370=$B$7,H1370=$B$8,H1370=$B$9,H1370=$B$10,H1370=$B$11,H1370=$B$12,H1370=$B$13,H1370=$B$14),SottocategorieUscite[[#Headers],[Fuori Casa]],IF(OR(H1370=$C$5,H1370=$C$6,H1370=$C$7,H1370=$C$8,H1370=$C$9,H1370=$C$10,H1370=$C$11,H1370=$C$12,H1370=$C$13,H1370=$C$14),SottocategorieUscite[[#Headers],[Varie Uscite]],IF(OR(H1370=$D$5,H1370=$D$6,H1370=$D$7,H1370=$D$8,H1370=$D$9,H1370=$D$10,H1370=$D$11,H1370=$D$12,H1370=$D$13,H1370=$D$14),SottocategorieUscite[[#Headers],[Personali]],IF(OR(H1370=$E$5,H1370=$E$6,H1370=$E$7,H1370=$E$8,H1370=$E$9,H1370=$E$10,H1370=$E$11,H1370=$E$12,H1370=$E$13,H1370=$E$14),SottocategorieUscite[[#Headers],[Lavoro]],IF(OR(H1370=$F$5,H1370=$F$6,H1370=$F$7,H1370=$F$8,H1370=$F$9,H1370=$F$10,H1370=$F$11,H1370=$F$12,H1370=$F$13,H1370=$F$14),SottocategorieUscite[[#Headers],[Casa]],IF(OR(H1370=$G$5,H1370=$G$6,H1370=$G$7,H1370=$G$8,H1370=$G$9,H1370=$G$10,H1370=$G$11,H1370=$G$12,H1370=$G$13,H1370=$G$14),SottocategorieUscite[[#Headers],[Utenze]],IF(OR(H1370=$H$5,H1370=$H$6,H1370=$H$7,H1370=$H$8,H1370=$H$9,H1370=$H$10,H1370=$H$11,H1370=$H$12,H1370=$H$13,H1370=$H$14),SottocategorieUscite[[#Headers],[Business Uscite]],IF(OR(H1370=$I$5,H1370=$I$6,H1370=$I$7,H1370=$I$8,H1370=$I$9,H1370=$I$10,H1370=$I$11,H1370=$I$12,H1370=$I$13,H1370=$I$14),SottocategorieUscite[[#Headers],[Banca]],IF(OR(H1370=K$5,H1370=K$6,H1370=K$7,H1370=K$8,H1370=K$9,H1370=K$10,H1370=K$11,H1370=K$12,H1370=K$13,H1370=K$14),SottocategorieEntrate[[#Headers],[Business Entrate]],IF(OR(H1370=L$5,H1370=L$6,H1370=L$7,H1370=L$8,H1370=L$9,H1370=L$10,H1370=L$11,H1370=L$12,H1370=L$13,H1370=L$14),SottocategorieEntrate[[#Headers],[Varie Entrate]],IF(OR(H1370=M$5,H1370=M$6,H1370=M$7,H1370=M$8,H1370=M$9,H1370=M$10,H1370=M$11,H1370=M$12,H1370=M$13,H1370=M$14),SottocategorieEntrate[[#Headers],[Real Estate]],IF(OR(H1370=N$5,H1370=N$6,H1370=N$7,H1370=N$8,H1370=N$9,H1370=N$10,H1370=N$11,H1370=N$12,H1370=N$13,H1370=N$14),SottocategorieEntrate[[#Headers],[Other]],""))))))))))))</f>
        <v/>
      </c>
      <c r="J1370" t="str">
        <f>IF(OR(Dati[[#This Row],[Categoria]]="Bollette",Dati[[#This Row],[Categoria]]="Conto &amp; Carte BNL",Dati[[#This Row],[Categoria]]="Prelievo",Dati[[#This Row],[Categoria]]="Affitto",Dati[[#This Row],[Categoria]]="BNL(Interessi Creditori)"),"Carta",IF(Dati[[#This Row],[Categoria]]&lt;&gt;0,"Cash",""))</f>
        <v/>
      </c>
      <c r="K1370" s="59" t="str">
        <f>IF(OR(Data!$I1370=SottocategorieUscite[[#Headers],[Fuori Casa]],Data!$I1370=SottocategorieUscite[[#Headers],[Varie Uscite]],Data!$I1370=SottocategorieUscite[[#Headers],[Personali]],Data!$I1370=SottocategorieUscite[[#Headers],[Lavoro]]),"$ -","")</f>
        <v/>
      </c>
      <c r="L1370" s="59" t="str">
        <f>IF(OR(Data!$I1370=SottocategorieUscite[[#Headers],[Casa]],Data!$I1370=SottocategorieUscite[[#Headers],[Utenze]],Data!$I1370=SottocategorieUscite[[#Headers],[Business Uscite]],Data!$I1370=SottocategorieUscite[[#Headers],[Banca]]),"$ -","")</f>
        <v/>
      </c>
      <c r="M1370" s="59" t="str">
        <f>IF(OR($I1370&lt;&gt;SottocategorieUscite[[#Headers],[Fuori Casa]],$I1370&lt;&gt;SottocategorieUscite[[#Headers],[Varie Uscite]],$I1370&lt;&gt;SottocategorieUscite[[#Headers],[Personali]],$I1370&lt;&gt;SottocategorieUscite[[#Headers],[Lavoro]],$I1370&lt;&gt;SottocategorieUscite[[#Headers],[Casa]],$I1370&lt;&gt;SottocategorieUscite[[#Headers],[Utenze]],$I1370&lt;&gt;SottocategorieUscite[[#Headers],[Business Uscite]],$I1370&lt;&gt;SottocategorieUscite[[#Headers],[Banca]]),"","$ -")</f>
        <v/>
      </c>
      <c r="N1370" s="59" t="str">
        <f>IF(OR(Data!$I1370=SottocategorieEntrate[[#Headers],[Business Entrate]],Data!$I1370=SottocategorieEntrate[[#Headers],[Varie Entrate]]),"$ -","")</f>
        <v/>
      </c>
      <c r="O1370" s="59" t="str">
        <f>IF(OR(Data!$I1370=SottocategorieEntrate[[#Headers],[Real Estate]],SottocategorieEntrate[[#Headers],[Other]]),"$ -","")</f>
        <v/>
      </c>
      <c r="P1370" s="59" t="str">
        <f>IF(OR($I1370&lt;&gt;SottocategorieEntrate[[#Headers],[Business Entrate]],$I1370&lt;&gt;SottocategorieEntrate[[#Headers],[Varie Entrate]],$I1370&lt;&gt;SottocategorieEntrate[[#Headers],[Real Estate]],$I1370&lt;&gt;SottocategorieEntrate[[#Headers],[Other]]),"","$ -")</f>
        <v/>
      </c>
      <c r="Q1370" s="59" t="str">
        <f>IF(Dati[[#This Row],[Categoria]]="Prelievo","€ -","")</f>
        <v/>
      </c>
      <c r="R1370" s="244"/>
      <c r="S1370" s="59" t="str">
        <f>IF(Dati[[#This Row],[Categoria]]="Savings",0,"")</f>
        <v/>
      </c>
      <c r="T1370" s="59"/>
      <c r="U1370" s="59"/>
      <c r="V1370" s="59"/>
      <c r="W1370" s="59"/>
      <c r="X1370" s="59"/>
      <c r="Y1370" s="59"/>
      <c r="Z1370" s="59"/>
      <c r="AA1370" s="59"/>
      <c r="AB1370" s="59"/>
      <c r="AC1370" s="59"/>
      <c r="AD1370" s="59"/>
      <c r="AE1370" s="59"/>
      <c r="AF1370" s="59"/>
      <c r="AG1370" s="59"/>
      <c r="AH1370" s="59"/>
      <c r="AI1370" s="59" t="str">
        <f>IF(SUM(Dati[[#This Row],[Inv. Business]:[Inv. Cryptocurrency]])=0," ",SUM(Dati[[#This Row],[Inv. Business]:[Inv. Cryptocurrency]]))</f>
        <v xml:space="preserve"> </v>
      </c>
      <c r="AJ1370" s="59"/>
      <c r="AK1370" s="59" t="str">
        <f>IF(SUM(Dati[[#This Row],[Inv. Gold]:[Mutuo]])=0," ",SUM(Dati[[#This Row],[Inv. Gold]:[Mutuo]]))</f>
        <v xml:space="preserve"> </v>
      </c>
      <c r="AL1370" s="59"/>
      <c r="AM1370" s="59"/>
    </row>
    <row r="1371" spans="2:39" x14ac:dyDescent="0.35">
      <c r="B1371" s="237">
        <f t="shared" si="105"/>
        <v>1351</v>
      </c>
      <c r="C1371" s="49">
        <f t="shared" si="95"/>
        <v>45929</v>
      </c>
      <c r="D1371" s="29">
        <f>DAY(Dati[[#This Row],[Data]])</f>
        <v>29</v>
      </c>
      <c r="E1371" s="29" t="str">
        <f>IF(DAY(Data!$C$21:$C$1613)&gt;0,TEXT(Data!$C$21:$C$1613, "mmmm"),"")</f>
        <v>settembre</v>
      </c>
      <c r="F1371" s="29" t="str">
        <f>IF(DAY(Data!$C$21:$C$1613)&gt;0,TEXT(Data!$C$21:$C$1613, "aaaa"),"")</f>
        <v>2025</v>
      </c>
      <c r="I1371" t="str">
        <f>IF(OR(H1371=$B$5,H1371=$B$6,H1371=$B$7,H1371=$B$8,H1371=$B$9,H1371=$B$10,H1371=$B$11,H1371=$B$12,H1371=$B$13,H1371=$B$14),SottocategorieUscite[[#Headers],[Fuori Casa]],IF(OR(H1371=$C$5,H1371=$C$6,H1371=$C$7,H1371=$C$8,H1371=$C$9,H1371=$C$10,H1371=$C$11,H1371=$C$12,H1371=$C$13,H1371=$C$14),SottocategorieUscite[[#Headers],[Varie Uscite]],IF(OR(H1371=$D$5,H1371=$D$6,H1371=$D$7,H1371=$D$8,H1371=$D$9,H1371=$D$10,H1371=$D$11,H1371=$D$12,H1371=$D$13,H1371=$D$14),SottocategorieUscite[[#Headers],[Personali]],IF(OR(H1371=$E$5,H1371=$E$6,H1371=$E$7,H1371=$E$8,H1371=$E$9,H1371=$E$10,H1371=$E$11,H1371=$E$12,H1371=$E$13,H1371=$E$14),SottocategorieUscite[[#Headers],[Lavoro]],IF(OR(H1371=$F$5,H1371=$F$6,H1371=$F$7,H1371=$F$8,H1371=$F$9,H1371=$F$10,H1371=$F$11,H1371=$F$12,H1371=$F$13,H1371=$F$14),SottocategorieUscite[[#Headers],[Casa]],IF(OR(H1371=$G$5,H1371=$G$6,H1371=$G$7,H1371=$G$8,H1371=$G$9,H1371=$G$10,H1371=$G$11,H1371=$G$12,H1371=$G$13,H1371=$G$14),SottocategorieUscite[[#Headers],[Utenze]],IF(OR(H1371=$H$5,H1371=$H$6,H1371=$H$7,H1371=$H$8,H1371=$H$9,H1371=$H$10,H1371=$H$11,H1371=$H$12,H1371=$H$13,H1371=$H$14),SottocategorieUscite[[#Headers],[Business Uscite]],IF(OR(H1371=$I$5,H1371=$I$6,H1371=$I$7,H1371=$I$8,H1371=$I$9,H1371=$I$10,H1371=$I$11,H1371=$I$12,H1371=$I$13,H1371=$I$14),SottocategorieUscite[[#Headers],[Banca]],IF(OR(H1371=K$5,H1371=K$6,H1371=K$7,H1371=K$8,H1371=K$9,H1371=K$10,H1371=K$11,H1371=K$12,H1371=K$13,H1371=K$14),SottocategorieEntrate[[#Headers],[Business Entrate]],IF(OR(H1371=L$5,H1371=L$6,H1371=L$7,H1371=L$8,H1371=L$9,H1371=L$10,H1371=L$11,H1371=L$12,H1371=L$13,H1371=L$14),SottocategorieEntrate[[#Headers],[Varie Entrate]],IF(OR(H1371=M$5,H1371=M$6,H1371=M$7,H1371=M$8,H1371=M$9,H1371=M$10,H1371=M$11,H1371=M$12,H1371=M$13,H1371=M$14),SottocategorieEntrate[[#Headers],[Real Estate]],IF(OR(H1371=N$5,H1371=N$6,H1371=N$7,H1371=N$8,H1371=N$9,H1371=N$10,H1371=N$11,H1371=N$12,H1371=N$13,H1371=N$14),SottocategorieEntrate[[#Headers],[Other]],""))))))))))))</f>
        <v/>
      </c>
      <c r="J1371" t="str">
        <f>IF(OR(Dati[[#This Row],[Categoria]]="Bollette",Dati[[#This Row],[Categoria]]="Conto &amp; Carte BNL",Dati[[#This Row],[Categoria]]="Prelievo",Dati[[#This Row],[Categoria]]="Affitto",Dati[[#This Row],[Categoria]]="BNL(Interessi Creditori)"),"Carta",IF(Dati[[#This Row],[Categoria]]&lt;&gt;0,"Cash",""))</f>
        <v/>
      </c>
      <c r="K1371" s="59" t="str">
        <f>IF(OR(Data!$I1371=SottocategorieUscite[[#Headers],[Fuori Casa]],Data!$I1371=SottocategorieUscite[[#Headers],[Varie Uscite]],Data!$I1371=SottocategorieUscite[[#Headers],[Personali]],Data!$I1371=SottocategorieUscite[[#Headers],[Lavoro]]),"$ -","")</f>
        <v/>
      </c>
      <c r="L1371" s="59" t="str">
        <f>IF(OR(Data!$I1371=SottocategorieUscite[[#Headers],[Casa]],Data!$I1371=SottocategorieUscite[[#Headers],[Utenze]],Data!$I1371=SottocategorieUscite[[#Headers],[Business Uscite]],Data!$I1371=SottocategorieUscite[[#Headers],[Banca]]),"$ -","")</f>
        <v/>
      </c>
      <c r="M1371" s="59" t="str">
        <f>IF(OR($I1371&lt;&gt;SottocategorieUscite[[#Headers],[Fuori Casa]],$I1371&lt;&gt;SottocategorieUscite[[#Headers],[Varie Uscite]],$I1371&lt;&gt;SottocategorieUscite[[#Headers],[Personali]],$I1371&lt;&gt;SottocategorieUscite[[#Headers],[Lavoro]],$I1371&lt;&gt;SottocategorieUscite[[#Headers],[Casa]],$I1371&lt;&gt;SottocategorieUscite[[#Headers],[Utenze]],$I1371&lt;&gt;SottocategorieUscite[[#Headers],[Business Uscite]],$I1371&lt;&gt;SottocategorieUscite[[#Headers],[Banca]]),"","$ -")</f>
        <v/>
      </c>
      <c r="N1371" s="59" t="str">
        <f>IF(OR(Data!$I1371=SottocategorieEntrate[[#Headers],[Business Entrate]],Data!$I1371=SottocategorieEntrate[[#Headers],[Varie Entrate]]),"$ -","")</f>
        <v/>
      </c>
      <c r="O1371" s="59" t="str">
        <f>IF(OR(Data!$I1371=SottocategorieEntrate[[#Headers],[Real Estate]],SottocategorieEntrate[[#Headers],[Other]]),"$ -","")</f>
        <v/>
      </c>
      <c r="P1371" s="59" t="str">
        <f>IF(OR($I1371&lt;&gt;SottocategorieEntrate[[#Headers],[Business Entrate]],$I1371&lt;&gt;SottocategorieEntrate[[#Headers],[Varie Entrate]],$I1371&lt;&gt;SottocategorieEntrate[[#Headers],[Real Estate]],$I1371&lt;&gt;SottocategorieEntrate[[#Headers],[Other]]),"","$ -")</f>
        <v/>
      </c>
      <c r="Q1371" s="59" t="str">
        <f>IF(Dati[[#This Row],[Categoria]]="Prelievo","€ -","")</f>
        <v/>
      </c>
      <c r="R1371" s="244"/>
      <c r="S1371" s="59" t="str">
        <f>IF(Dati[[#This Row],[Categoria]]="Savings",0,"")</f>
        <v/>
      </c>
      <c r="T1371" s="59"/>
      <c r="U1371" s="59"/>
      <c r="V1371" s="59"/>
      <c r="W1371" s="59"/>
      <c r="X1371" s="59"/>
      <c r="Y1371" s="59"/>
      <c r="Z1371" s="59"/>
      <c r="AA1371" s="59"/>
      <c r="AB1371" s="59"/>
      <c r="AC1371" s="59"/>
      <c r="AD1371" s="59"/>
      <c r="AE1371" s="59"/>
      <c r="AF1371" s="59"/>
      <c r="AG1371" s="59"/>
      <c r="AH1371" s="59"/>
      <c r="AI1371" s="59" t="str">
        <f>IF(SUM(Dati[[#This Row],[Inv. Business]:[Inv. Cryptocurrency]])=0," ",SUM(Dati[[#This Row],[Inv. Business]:[Inv. Cryptocurrency]]))</f>
        <v xml:space="preserve"> </v>
      </c>
      <c r="AJ1371" s="59"/>
      <c r="AK1371" s="59" t="str">
        <f>IF(SUM(Dati[[#This Row],[Inv. Gold]:[Mutuo]])=0," ",SUM(Dati[[#This Row],[Inv. Gold]:[Mutuo]]))</f>
        <v xml:space="preserve"> </v>
      </c>
      <c r="AL1371" s="59"/>
      <c r="AM1371" s="59"/>
    </row>
    <row r="1372" spans="2:39" x14ac:dyDescent="0.35">
      <c r="B1372" s="237">
        <f t="shared" si="105"/>
        <v>1352</v>
      </c>
      <c r="C1372" s="49">
        <f t="shared" si="95"/>
        <v>45930</v>
      </c>
      <c r="D1372" s="29">
        <f>DAY(Dati[[#This Row],[Data]])</f>
        <v>30</v>
      </c>
      <c r="E1372" s="29" t="str">
        <f>IF(DAY(Data!$C$21:$C$1613)&gt;0,TEXT(Data!$C$21:$C$1613, "mmmm"),"")</f>
        <v>settembre</v>
      </c>
      <c r="F1372" s="29" t="str">
        <f>IF(DAY(Data!$C$21:$C$1613)&gt;0,TEXT(Data!$C$21:$C$1613, "aaaa"),"")</f>
        <v>2025</v>
      </c>
      <c r="I1372" t="str">
        <f>IF(OR(H1372=$B$5,H1372=$B$6,H1372=$B$7,H1372=$B$8,H1372=$B$9,H1372=$B$10,H1372=$B$11,H1372=$B$12,H1372=$B$13,H1372=$B$14),SottocategorieUscite[[#Headers],[Fuori Casa]],IF(OR(H1372=$C$5,H1372=$C$6,H1372=$C$7,H1372=$C$8,H1372=$C$9,H1372=$C$10,H1372=$C$11,H1372=$C$12,H1372=$C$13,H1372=$C$14),SottocategorieUscite[[#Headers],[Varie Uscite]],IF(OR(H1372=$D$5,H1372=$D$6,H1372=$D$7,H1372=$D$8,H1372=$D$9,H1372=$D$10,H1372=$D$11,H1372=$D$12,H1372=$D$13,H1372=$D$14),SottocategorieUscite[[#Headers],[Personali]],IF(OR(H1372=$E$5,H1372=$E$6,H1372=$E$7,H1372=$E$8,H1372=$E$9,H1372=$E$10,H1372=$E$11,H1372=$E$12,H1372=$E$13,H1372=$E$14),SottocategorieUscite[[#Headers],[Lavoro]],IF(OR(H1372=$F$5,H1372=$F$6,H1372=$F$7,H1372=$F$8,H1372=$F$9,H1372=$F$10,H1372=$F$11,H1372=$F$12,H1372=$F$13,H1372=$F$14),SottocategorieUscite[[#Headers],[Casa]],IF(OR(H1372=$G$5,H1372=$G$6,H1372=$G$7,H1372=$G$8,H1372=$G$9,H1372=$G$10,H1372=$G$11,H1372=$G$12,H1372=$G$13,H1372=$G$14),SottocategorieUscite[[#Headers],[Utenze]],IF(OR(H1372=$H$5,H1372=$H$6,H1372=$H$7,H1372=$H$8,H1372=$H$9,H1372=$H$10,H1372=$H$11,H1372=$H$12,H1372=$H$13,H1372=$H$14),SottocategorieUscite[[#Headers],[Business Uscite]],IF(OR(H1372=$I$5,H1372=$I$6,H1372=$I$7,H1372=$I$8,H1372=$I$9,H1372=$I$10,H1372=$I$11,H1372=$I$12,H1372=$I$13,H1372=$I$14),SottocategorieUscite[[#Headers],[Banca]],IF(OR(H1372=K$5,H1372=K$6,H1372=K$7,H1372=K$8,H1372=K$9,H1372=K$10,H1372=K$11,H1372=K$12,H1372=K$13,H1372=K$14),SottocategorieEntrate[[#Headers],[Business Entrate]],IF(OR(H1372=L$5,H1372=L$6,H1372=L$7,H1372=L$8,H1372=L$9,H1372=L$10,H1372=L$11,H1372=L$12,H1372=L$13,H1372=L$14),SottocategorieEntrate[[#Headers],[Varie Entrate]],IF(OR(H1372=M$5,H1372=M$6,H1372=M$7,H1372=M$8,H1372=M$9,H1372=M$10,H1372=M$11,H1372=M$12,H1372=M$13,H1372=M$14),SottocategorieEntrate[[#Headers],[Real Estate]],IF(OR(H1372=N$5,H1372=N$6,H1372=N$7,H1372=N$8,H1372=N$9,H1372=N$10,H1372=N$11,H1372=N$12,H1372=N$13,H1372=N$14),SottocategorieEntrate[[#Headers],[Other]],""))))))))))))</f>
        <v/>
      </c>
      <c r="J1372" t="str">
        <f>IF(OR(Dati[[#This Row],[Categoria]]="Bollette",Dati[[#This Row],[Categoria]]="Conto &amp; Carte BNL",Dati[[#This Row],[Categoria]]="Prelievo",Dati[[#This Row],[Categoria]]="Affitto",Dati[[#This Row],[Categoria]]="BNL(Interessi Creditori)"),"Carta",IF(Dati[[#This Row],[Categoria]]&lt;&gt;0,"Cash",""))</f>
        <v/>
      </c>
      <c r="K1372" s="59" t="str">
        <f>IF(OR(Data!$I1372=SottocategorieUscite[[#Headers],[Fuori Casa]],Data!$I1372=SottocategorieUscite[[#Headers],[Varie Uscite]],Data!$I1372=SottocategorieUscite[[#Headers],[Personali]],Data!$I1372=SottocategorieUscite[[#Headers],[Lavoro]]),"$ -","")</f>
        <v/>
      </c>
      <c r="L1372" s="59" t="str">
        <f>IF(OR(Data!$I1372=SottocategorieUscite[[#Headers],[Casa]],Data!$I1372=SottocategorieUscite[[#Headers],[Utenze]],Data!$I1372=SottocategorieUscite[[#Headers],[Business Uscite]],Data!$I1372=SottocategorieUscite[[#Headers],[Banca]]),"$ -","")</f>
        <v/>
      </c>
      <c r="M1372" s="59" t="str">
        <f>IF(OR($I1372&lt;&gt;SottocategorieUscite[[#Headers],[Fuori Casa]],$I1372&lt;&gt;SottocategorieUscite[[#Headers],[Varie Uscite]],$I1372&lt;&gt;SottocategorieUscite[[#Headers],[Personali]],$I1372&lt;&gt;SottocategorieUscite[[#Headers],[Lavoro]],$I1372&lt;&gt;SottocategorieUscite[[#Headers],[Casa]],$I1372&lt;&gt;SottocategorieUscite[[#Headers],[Utenze]],$I1372&lt;&gt;SottocategorieUscite[[#Headers],[Business Uscite]],$I1372&lt;&gt;SottocategorieUscite[[#Headers],[Banca]]),"","$ -")</f>
        <v/>
      </c>
      <c r="N1372" s="59" t="str">
        <f>IF(OR(Data!$I1372=SottocategorieEntrate[[#Headers],[Business Entrate]],Data!$I1372=SottocategorieEntrate[[#Headers],[Varie Entrate]]),"$ -","")</f>
        <v/>
      </c>
      <c r="O1372" s="59" t="str">
        <f>IF(OR(Data!$I1372=SottocategorieEntrate[[#Headers],[Real Estate]],SottocategorieEntrate[[#Headers],[Other]]),"$ -","")</f>
        <v/>
      </c>
      <c r="P1372" s="59" t="str">
        <f>IF(OR($I1372&lt;&gt;SottocategorieEntrate[[#Headers],[Business Entrate]],$I1372&lt;&gt;SottocategorieEntrate[[#Headers],[Varie Entrate]],$I1372&lt;&gt;SottocategorieEntrate[[#Headers],[Real Estate]],$I1372&lt;&gt;SottocategorieEntrate[[#Headers],[Other]]),"","$ -")</f>
        <v/>
      </c>
      <c r="Q1372" s="59" t="str">
        <f>IF(Dati[[#This Row],[Categoria]]="Prelievo","€ -","")</f>
        <v/>
      </c>
      <c r="R1372" s="244"/>
      <c r="S1372" s="59" t="str">
        <f>IF(Dati[[#This Row],[Categoria]]="Savings",0,"")</f>
        <v/>
      </c>
      <c r="T1372" s="59"/>
      <c r="U1372" s="59"/>
      <c r="V1372" s="59"/>
      <c r="W1372" s="59"/>
      <c r="X1372" s="59"/>
      <c r="Y1372" s="59"/>
      <c r="Z1372" s="59"/>
      <c r="AA1372" s="59"/>
      <c r="AB1372" s="59"/>
      <c r="AC1372" s="59"/>
      <c r="AD1372" s="59"/>
      <c r="AE1372" s="59"/>
      <c r="AF1372" s="59"/>
      <c r="AG1372" s="59"/>
      <c r="AH1372" s="59"/>
      <c r="AI1372" s="59" t="str">
        <f>IF(SUM(Dati[[#This Row],[Inv. Business]:[Inv. Cryptocurrency]])=0," ",SUM(Dati[[#This Row],[Inv. Business]:[Inv. Cryptocurrency]]))</f>
        <v xml:space="preserve"> </v>
      </c>
      <c r="AJ1372" s="59"/>
      <c r="AK1372" s="59" t="str">
        <f>IF(SUM(Dati[[#This Row],[Inv. Gold]:[Mutuo]])=0," ",SUM(Dati[[#This Row],[Inv. Gold]:[Mutuo]]))</f>
        <v xml:space="preserve"> </v>
      </c>
      <c r="AL1372" s="59"/>
      <c r="AM1372" s="59"/>
    </row>
    <row r="1373" spans="2:39" x14ac:dyDescent="0.35">
      <c r="B1373" s="237">
        <f t="shared" si="105"/>
        <v>1353</v>
      </c>
      <c r="C1373" s="49">
        <f t="shared" si="95"/>
        <v>45931</v>
      </c>
      <c r="D1373" s="29">
        <f>DAY(Dati[[#This Row],[Data]])</f>
        <v>1</v>
      </c>
      <c r="E1373" s="29" t="str">
        <f>IF(DAY(Data!$C$21:$C$1613)&gt;0,TEXT(Data!$C$21:$C$1613, "mmmm"),"")</f>
        <v>ottobre</v>
      </c>
      <c r="F1373" s="29" t="str">
        <f>IF(DAY(Data!$C$21:$C$1613)&gt;0,TEXT(Data!$C$21:$C$1613, "aaaa"),"")</f>
        <v>2025</v>
      </c>
      <c r="I1373" t="str">
        <f>IF(OR(H1373=$B$5,H1373=$B$6,H1373=$B$7,H1373=$B$8,H1373=$B$9,H1373=$B$10,H1373=$B$11,H1373=$B$12,H1373=$B$13,H1373=$B$14),SottocategorieUscite[[#Headers],[Fuori Casa]],IF(OR(H1373=$C$5,H1373=$C$6,H1373=$C$7,H1373=$C$8,H1373=$C$9,H1373=$C$10,H1373=$C$11,H1373=$C$12,H1373=$C$13,H1373=$C$14),SottocategorieUscite[[#Headers],[Varie Uscite]],IF(OR(H1373=$D$5,H1373=$D$6,H1373=$D$7,H1373=$D$8,H1373=$D$9,H1373=$D$10,H1373=$D$11,H1373=$D$12,H1373=$D$13,H1373=$D$14),SottocategorieUscite[[#Headers],[Personali]],IF(OR(H1373=$E$5,H1373=$E$6,H1373=$E$7,H1373=$E$8,H1373=$E$9,H1373=$E$10,H1373=$E$11,H1373=$E$12,H1373=$E$13,H1373=$E$14),SottocategorieUscite[[#Headers],[Lavoro]],IF(OR(H1373=$F$5,H1373=$F$6,H1373=$F$7,H1373=$F$8,H1373=$F$9,H1373=$F$10,H1373=$F$11,H1373=$F$12,H1373=$F$13,H1373=$F$14),SottocategorieUscite[[#Headers],[Casa]],IF(OR(H1373=$G$5,H1373=$G$6,H1373=$G$7,H1373=$G$8,H1373=$G$9,H1373=$G$10,H1373=$G$11,H1373=$G$12,H1373=$G$13,H1373=$G$14),SottocategorieUscite[[#Headers],[Utenze]],IF(OR(H1373=$H$5,H1373=$H$6,H1373=$H$7,H1373=$H$8,H1373=$H$9,H1373=$H$10,H1373=$H$11,H1373=$H$12,H1373=$H$13,H1373=$H$14),SottocategorieUscite[[#Headers],[Business Uscite]],IF(OR(H1373=$I$5,H1373=$I$6,H1373=$I$7,H1373=$I$8,H1373=$I$9,H1373=$I$10,H1373=$I$11,H1373=$I$12,H1373=$I$13,H1373=$I$14),SottocategorieUscite[[#Headers],[Banca]],IF(OR(H1373=K$5,H1373=K$6,H1373=K$7,H1373=K$8,H1373=K$9,H1373=K$10,H1373=K$11,H1373=K$12,H1373=K$13,H1373=K$14),SottocategorieEntrate[[#Headers],[Business Entrate]],IF(OR(H1373=L$5,H1373=L$6,H1373=L$7,H1373=L$8,H1373=L$9,H1373=L$10,H1373=L$11,H1373=L$12,H1373=L$13,H1373=L$14),SottocategorieEntrate[[#Headers],[Varie Entrate]],IF(OR(H1373=M$5,H1373=M$6,H1373=M$7,H1373=M$8,H1373=M$9,H1373=M$10,H1373=M$11,H1373=M$12,H1373=M$13,H1373=M$14),SottocategorieEntrate[[#Headers],[Real Estate]],IF(OR(H1373=N$5,H1373=N$6,H1373=N$7,H1373=N$8,H1373=N$9,H1373=N$10,H1373=N$11,H1373=N$12,H1373=N$13,H1373=N$14),SottocategorieEntrate[[#Headers],[Other]],""))))))))))))</f>
        <v/>
      </c>
      <c r="J1373" t="str">
        <f>IF(OR(Dati[[#This Row],[Categoria]]="Bollette",Dati[[#This Row],[Categoria]]="Conto &amp; Carte BNL",Dati[[#This Row],[Categoria]]="Prelievo",Dati[[#This Row],[Categoria]]="Affitto",Dati[[#This Row],[Categoria]]="BNL(Interessi Creditori)"),"Carta",IF(Dati[[#This Row],[Categoria]]&lt;&gt;0,"Cash",""))</f>
        <v/>
      </c>
      <c r="K1373" s="59" t="str">
        <f>IF(OR(Data!$I1373=SottocategorieUscite[[#Headers],[Fuori Casa]],Data!$I1373=SottocategorieUscite[[#Headers],[Varie Uscite]],Data!$I1373=SottocategorieUscite[[#Headers],[Personali]],Data!$I1373=SottocategorieUscite[[#Headers],[Lavoro]]),"$ -","")</f>
        <v/>
      </c>
      <c r="L1373" s="59" t="str">
        <f>IF(OR(Data!$I1373=SottocategorieUscite[[#Headers],[Casa]],Data!$I1373=SottocategorieUscite[[#Headers],[Utenze]],Data!$I1373=SottocategorieUscite[[#Headers],[Business Uscite]],Data!$I1373=SottocategorieUscite[[#Headers],[Banca]]),"$ -","")</f>
        <v/>
      </c>
      <c r="M1373" s="59" t="str">
        <f>IF(OR($I1373&lt;&gt;SottocategorieUscite[[#Headers],[Fuori Casa]],$I1373&lt;&gt;SottocategorieUscite[[#Headers],[Varie Uscite]],$I1373&lt;&gt;SottocategorieUscite[[#Headers],[Personali]],$I1373&lt;&gt;SottocategorieUscite[[#Headers],[Lavoro]],$I1373&lt;&gt;SottocategorieUscite[[#Headers],[Casa]],$I1373&lt;&gt;SottocategorieUscite[[#Headers],[Utenze]],$I1373&lt;&gt;SottocategorieUscite[[#Headers],[Business Uscite]],$I1373&lt;&gt;SottocategorieUscite[[#Headers],[Banca]]),"","$ -")</f>
        <v/>
      </c>
      <c r="N1373" s="59" t="str">
        <f>IF(OR(Data!$I1373=SottocategorieEntrate[[#Headers],[Business Entrate]],Data!$I1373=SottocategorieEntrate[[#Headers],[Varie Entrate]]),"$ -","")</f>
        <v/>
      </c>
      <c r="O1373" s="59" t="str">
        <f>IF(OR(Data!$I1373=SottocategorieEntrate[[#Headers],[Real Estate]],SottocategorieEntrate[[#Headers],[Other]]),"$ -","")</f>
        <v/>
      </c>
      <c r="P1373" s="59" t="str">
        <f>IF(OR($I1373&lt;&gt;SottocategorieEntrate[[#Headers],[Business Entrate]],$I1373&lt;&gt;SottocategorieEntrate[[#Headers],[Varie Entrate]],$I1373&lt;&gt;SottocategorieEntrate[[#Headers],[Real Estate]],$I1373&lt;&gt;SottocategorieEntrate[[#Headers],[Other]]),"","$ -")</f>
        <v/>
      </c>
      <c r="Q1373" s="59" t="str">
        <f>IF(Dati[[#This Row],[Categoria]]="Prelievo","€ -","")</f>
        <v/>
      </c>
      <c r="R1373" s="244"/>
      <c r="S1373" s="59" t="str">
        <f>IF(Dati[[#This Row],[Categoria]]="Savings",0,"")</f>
        <v/>
      </c>
      <c r="T1373" s="59"/>
      <c r="U1373" s="59"/>
      <c r="V1373" s="59"/>
      <c r="W1373" s="59"/>
      <c r="X1373" s="59"/>
      <c r="Y1373" s="59"/>
      <c r="Z1373" s="59"/>
      <c r="AA1373" s="59"/>
      <c r="AB1373" s="59"/>
      <c r="AC1373" s="59"/>
      <c r="AD1373" s="59"/>
      <c r="AE1373" s="59"/>
      <c r="AF1373" s="59"/>
      <c r="AG1373" s="59"/>
      <c r="AH1373" s="59"/>
      <c r="AI1373" s="59" t="str">
        <f>IF(SUM(Dati[[#This Row],[Inv. Business]:[Inv. Cryptocurrency]])=0," ",SUM(Dati[[#This Row],[Inv. Business]:[Inv. Cryptocurrency]]))</f>
        <v xml:space="preserve"> </v>
      </c>
      <c r="AJ1373" s="59"/>
      <c r="AK1373" s="59" t="str">
        <f>IF(SUM(Dati[[#This Row],[Inv. Gold]:[Mutuo]])=0," ",SUM(Dati[[#This Row],[Inv. Gold]:[Mutuo]]))</f>
        <v xml:space="preserve"> </v>
      </c>
      <c r="AL1373" s="59"/>
      <c r="AM1373" s="59"/>
    </row>
    <row r="1374" spans="2:39" x14ac:dyDescent="0.35">
      <c r="B1374" s="237">
        <f t="shared" si="105"/>
        <v>1354</v>
      </c>
      <c r="C1374" s="49">
        <f t="shared" si="95"/>
        <v>45932</v>
      </c>
      <c r="D1374" s="29">
        <f>DAY(Dati[[#This Row],[Data]])</f>
        <v>2</v>
      </c>
      <c r="E1374" s="29" t="str">
        <f>IF(DAY(Data!$C$21:$C$1613)&gt;0,TEXT(Data!$C$21:$C$1613, "mmmm"),"")</f>
        <v>ottobre</v>
      </c>
      <c r="F1374" s="29" t="str">
        <f>IF(DAY(Data!$C$21:$C$1613)&gt;0,TEXT(Data!$C$21:$C$1613, "aaaa"),"")</f>
        <v>2025</v>
      </c>
      <c r="I1374" t="str">
        <f>IF(OR(H1374=$B$5,H1374=$B$6,H1374=$B$7,H1374=$B$8,H1374=$B$9,H1374=$B$10,H1374=$B$11,H1374=$B$12,H1374=$B$13,H1374=$B$14),SottocategorieUscite[[#Headers],[Fuori Casa]],IF(OR(H1374=$C$5,H1374=$C$6,H1374=$C$7,H1374=$C$8,H1374=$C$9,H1374=$C$10,H1374=$C$11,H1374=$C$12,H1374=$C$13,H1374=$C$14),SottocategorieUscite[[#Headers],[Varie Uscite]],IF(OR(H1374=$D$5,H1374=$D$6,H1374=$D$7,H1374=$D$8,H1374=$D$9,H1374=$D$10,H1374=$D$11,H1374=$D$12,H1374=$D$13,H1374=$D$14),SottocategorieUscite[[#Headers],[Personali]],IF(OR(H1374=$E$5,H1374=$E$6,H1374=$E$7,H1374=$E$8,H1374=$E$9,H1374=$E$10,H1374=$E$11,H1374=$E$12,H1374=$E$13,H1374=$E$14),SottocategorieUscite[[#Headers],[Lavoro]],IF(OR(H1374=$F$5,H1374=$F$6,H1374=$F$7,H1374=$F$8,H1374=$F$9,H1374=$F$10,H1374=$F$11,H1374=$F$12,H1374=$F$13,H1374=$F$14),SottocategorieUscite[[#Headers],[Casa]],IF(OR(H1374=$G$5,H1374=$G$6,H1374=$G$7,H1374=$G$8,H1374=$G$9,H1374=$G$10,H1374=$G$11,H1374=$G$12,H1374=$G$13,H1374=$G$14),SottocategorieUscite[[#Headers],[Utenze]],IF(OR(H1374=$H$5,H1374=$H$6,H1374=$H$7,H1374=$H$8,H1374=$H$9,H1374=$H$10,H1374=$H$11,H1374=$H$12,H1374=$H$13,H1374=$H$14),SottocategorieUscite[[#Headers],[Business Uscite]],IF(OR(H1374=$I$5,H1374=$I$6,H1374=$I$7,H1374=$I$8,H1374=$I$9,H1374=$I$10,H1374=$I$11,H1374=$I$12,H1374=$I$13,H1374=$I$14),SottocategorieUscite[[#Headers],[Banca]],IF(OR(H1374=K$5,H1374=K$6,H1374=K$7,H1374=K$8,H1374=K$9,H1374=K$10,H1374=K$11,H1374=K$12,H1374=K$13,H1374=K$14),SottocategorieEntrate[[#Headers],[Business Entrate]],IF(OR(H1374=L$5,H1374=L$6,H1374=L$7,H1374=L$8,H1374=L$9,H1374=L$10,H1374=L$11,H1374=L$12,H1374=L$13,H1374=L$14),SottocategorieEntrate[[#Headers],[Varie Entrate]],IF(OR(H1374=M$5,H1374=M$6,H1374=M$7,H1374=M$8,H1374=M$9,H1374=M$10,H1374=M$11,H1374=M$12,H1374=M$13,H1374=M$14),SottocategorieEntrate[[#Headers],[Real Estate]],IF(OR(H1374=N$5,H1374=N$6,H1374=N$7,H1374=N$8,H1374=N$9,H1374=N$10,H1374=N$11,H1374=N$12,H1374=N$13,H1374=N$14),SottocategorieEntrate[[#Headers],[Other]],""))))))))))))</f>
        <v/>
      </c>
      <c r="J1374" t="str">
        <f>IF(OR(Dati[[#This Row],[Categoria]]="Bollette",Dati[[#This Row],[Categoria]]="Conto &amp; Carte BNL",Dati[[#This Row],[Categoria]]="Prelievo",Dati[[#This Row],[Categoria]]="Affitto",Dati[[#This Row],[Categoria]]="BNL(Interessi Creditori)"),"Carta",IF(Dati[[#This Row],[Categoria]]&lt;&gt;0,"Cash",""))</f>
        <v/>
      </c>
      <c r="K1374" s="59" t="str">
        <f>IF(OR(Data!$I1374=SottocategorieUscite[[#Headers],[Fuori Casa]],Data!$I1374=SottocategorieUscite[[#Headers],[Varie Uscite]],Data!$I1374=SottocategorieUscite[[#Headers],[Personali]],Data!$I1374=SottocategorieUscite[[#Headers],[Lavoro]]),"$ -","")</f>
        <v/>
      </c>
      <c r="L1374" s="59" t="str">
        <f>IF(OR(Data!$I1374=SottocategorieUscite[[#Headers],[Casa]],Data!$I1374=SottocategorieUscite[[#Headers],[Utenze]],Data!$I1374=SottocategorieUscite[[#Headers],[Business Uscite]],Data!$I1374=SottocategorieUscite[[#Headers],[Banca]]),"$ -","")</f>
        <v/>
      </c>
      <c r="M1374" s="59" t="str">
        <f>IF(OR($I1374&lt;&gt;SottocategorieUscite[[#Headers],[Fuori Casa]],$I1374&lt;&gt;SottocategorieUscite[[#Headers],[Varie Uscite]],$I1374&lt;&gt;SottocategorieUscite[[#Headers],[Personali]],$I1374&lt;&gt;SottocategorieUscite[[#Headers],[Lavoro]],$I1374&lt;&gt;SottocategorieUscite[[#Headers],[Casa]],$I1374&lt;&gt;SottocategorieUscite[[#Headers],[Utenze]],$I1374&lt;&gt;SottocategorieUscite[[#Headers],[Business Uscite]],$I1374&lt;&gt;SottocategorieUscite[[#Headers],[Banca]]),"","$ -")</f>
        <v/>
      </c>
      <c r="N1374" s="59" t="str">
        <f>IF(OR(Data!$I1374=SottocategorieEntrate[[#Headers],[Business Entrate]],Data!$I1374=SottocategorieEntrate[[#Headers],[Varie Entrate]]),"$ -","")</f>
        <v/>
      </c>
      <c r="O1374" s="59" t="str">
        <f>IF(OR(Data!$I1374=SottocategorieEntrate[[#Headers],[Real Estate]],SottocategorieEntrate[[#Headers],[Other]]),"$ -","")</f>
        <v/>
      </c>
      <c r="P1374" s="59" t="str">
        <f>IF(OR($I1374&lt;&gt;SottocategorieEntrate[[#Headers],[Business Entrate]],$I1374&lt;&gt;SottocategorieEntrate[[#Headers],[Varie Entrate]],$I1374&lt;&gt;SottocategorieEntrate[[#Headers],[Real Estate]],$I1374&lt;&gt;SottocategorieEntrate[[#Headers],[Other]]),"","$ -")</f>
        <v/>
      </c>
      <c r="Q1374" s="59" t="str">
        <f>IF(Dati[[#This Row],[Categoria]]="Prelievo","€ -","")</f>
        <v/>
      </c>
      <c r="R1374" s="244"/>
      <c r="S1374" s="59" t="str">
        <f>IF(Dati[[#This Row],[Categoria]]="Savings",0,"")</f>
        <v/>
      </c>
      <c r="T1374" s="59"/>
      <c r="U1374" s="59"/>
      <c r="V1374" s="59"/>
      <c r="W1374" s="59"/>
      <c r="X1374" s="59"/>
      <c r="Y1374" s="59"/>
      <c r="Z1374" s="59"/>
      <c r="AA1374" s="59"/>
      <c r="AB1374" s="59"/>
      <c r="AC1374" s="59"/>
      <c r="AD1374" s="59"/>
      <c r="AE1374" s="59"/>
      <c r="AF1374" s="59"/>
      <c r="AG1374" s="59"/>
      <c r="AH1374" s="59"/>
      <c r="AI1374" s="59" t="str">
        <f>IF(SUM(Dati[[#This Row],[Inv. Business]:[Inv. Cryptocurrency]])=0," ",SUM(Dati[[#This Row],[Inv. Business]:[Inv. Cryptocurrency]]))</f>
        <v xml:space="preserve"> </v>
      </c>
      <c r="AJ1374" s="59"/>
      <c r="AK1374" s="59" t="str">
        <f>IF(SUM(Dati[[#This Row],[Inv. Gold]:[Mutuo]])=0," ",SUM(Dati[[#This Row],[Inv. Gold]:[Mutuo]]))</f>
        <v xml:space="preserve"> </v>
      </c>
      <c r="AL1374" s="59"/>
      <c r="AM1374" s="59"/>
    </row>
    <row r="1375" spans="2:39" x14ac:dyDescent="0.35">
      <c r="B1375" s="237">
        <f t="shared" si="105"/>
        <v>1355</v>
      </c>
      <c r="C1375" s="49">
        <f t="shared" si="95"/>
        <v>45933</v>
      </c>
      <c r="D1375" s="29">
        <f>DAY(Dati[[#This Row],[Data]])</f>
        <v>3</v>
      </c>
      <c r="E1375" s="29" t="str">
        <f>IF(DAY(Data!$C$21:$C$1613)&gt;0,TEXT(Data!$C$21:$C$1613, "mmmm"),"")</f>
        <v>ottobre</v>
      </c>
      <c r="F1375" s="29" t="str">
        <f>IF(DAY(Data!$C$21:$C$1613)&gt;0,TEXT(Data!$C$21:$C$1613, "aaaa"),"")</f>
        <v>2025</v>
      </c>
      <c r="I1375" t="str">
        <f>IF(OR(H1375=$B$5,H1375=$B$6,H1375=$B$7,H1375=$B$8,H1375=$B$9,H1375=$B$10,H1375=$B$11,H1375=$B$12,H1375=$B$13,H1375=$B$14),SottocategorieUscite[[#Headers],[Fuori Casa]],IF(OR(H1375=$C$5,H1375=$C$6,H1375=$C$7,H1375=$C$8,H1375=$C$9,H1375=$C$10,H1375=$C$11,H1375=$C$12,H1375=$C$13,H1375=$C$14),SottocategorieUscite[[#Headers],[Varie Uscite]],IF(OR(H1375=$D$5,H1375=$D$6,H1375=$D$7,H1375=$D$8,H1375=$D$9,H1375=$D$10,H1375=$D$11,H1375=$D$12,H1375=$D$13,H1375=$D$14),SottocategorieUscite[[#Headers],[Personali]],IF(OR(H1375=$E$5,H1375=$E$6,H1375=$E$7,H1375=$E$8,H1375=$E$9,H1375=$E$10,H1375=$E$11,H1375=$E$12,H1375=$E$13,H1375=$E$14),SottocategorieUscite[[#Headers],[Lavoro]],IF(OR(H1375=$F$5,H1375=$F$6,H1375=$F$7,H1375=$F$8,H1375=$F$9,H1375=$F$10,H1375=$F$11,H1375=$F$12,H1375=$F$13,H1375=$F$14),SottocategorieUscite[[#Headers],[Casa]],IF(OR(H1375=$G$5,H1375=$G$6,H1375=$G$7,H1375=$G$8,H1375=$G$9,H1375=$G$10,H1375=$G$11,H1375=$G$12,H1375=$G$13,H1375=$G$14),SottocategorieUscite[[#Headers],[Utenze]],IF(OR(H1375=$H$5,H1375=$H$6,H1375=$H$7,H1375=$H$8,H1375=$H$9,H1375=$H$10,H1375=$H$11,H1375=$H$12,H1375=$H$13,H1375=$H$14),SottocategorieUscite[[#Headers],[Business Uscite]],IF(OR(H1375=$I$5,H1375=$I$6,H1375=$I$7,H1375=$I$8,H1375=$I$9,H1375=$I$10,H1375=$I$11,H1375=$I$12,H1375=$I$13,H1375=$I$14),SottocategorieUscite[[#Headers],[Banca]],IF(OR(H1375=K$5,H1375=K$6,H1375=K$7,H1375=K$8,H1375=K$9,H1375=K$10,H1375=K$11,H1375=K$12,H1375=K$13,H1375=K$14),SottocategorieEntrate[[#Headers],[Business Entrate]],IF(OR(H1375=L$5,H1375=L$6,H1375=L$7,H1375=L$8,H1375=L$9,H1375=L$10,H1375=L$11,H1375=L$12,H1375=L$13,H1375=L$14),SottocategorieEntrate[[#Headers],[Varie Entrate]],IF(OR(H1375=M$5,H1375=M$6,H1375=M$7,H1375=M$8,H1375=M$9,H1375=M$10,H1375=M$11,H1375=M$12,H1375=M$13,H1375=M$14),SottocategorieEntrate[[#Headers],[Real Estate]],IF(OR(H1375=N$5,H1375=N$6,H1375=N$7,H1375=N$8,H1375=N$9,H1375=N$10,H1375=N$11,H1375=N$12,H1375=N$13,H1375=N$14),SottocategorieEntrate[[#Headers],[Other]],""))))))))))))</f>
        <v/>
      </c>
      <c r="J1375" t="str">
        <f>IF(OR(Dati[[#This Row],[Categoria]]="Bollette",Dati[[#This Row],[Categoria]]="Conto &amp; Carte BNL",Dati[[#This Row],[Categoria]]="Prelievo",Dati[[#This Row],[Categoria]]="Affitto",Dati[[#This Row],[Categoria]]="BNL(Interessi Creditori)"),"Carta",IF(Dati[[#This Row],[Categoria]]&lt;&gt;0,"Cash",""))</f>
        <v/>
      </c>
      <c r="K1375" s="59" t="str">
        <f>IF(OR(Data!$I1375=SottocategorieUscite[[#Headers],[Fuori Casa]],Data!$I1375=SottocategorieUscite[[#Headers],[Varie Uscite]],Data!$I1375=SottocategorieUscite[[#Headers],[Personali]],Data!$I1375=SottocategorieUscite[[#Headers],[Lavoro]]),"$ -","")</f>
        <v/>
      </c>
      <c r="L1375" s="59" t="str">
        <f>IF(OR(Data!$I1375=SottocategorieUscite[[#Headers],[Casa]],Data!$I1375=SottocategorieUscite[[#Headers],[Utenze]],Data!$I1375=SottocategorieUscite[[#Headers],[Business Uscite]],Data!$I1375=SottocategorieUscite[[#Headers],[Banca]]),"$ -","")</f>
        <v/>
      </c>
      <c r="M1375" s="59" t="str">
        <f>IF(OR($I1375&lt;&gt;SottocategorieUscite[[#Headers],[Fuori Casa]],$I1375&lt;&gt;SottocategorieUscite[[#Headers],[Varie Uscite]],$I1375&lt;&gt;SottocategorieUscite[[#Headers],[Personali]],$I1375&lt;&gt;SottocategorieUscite[[#Headers],[Lavoro]],$I1375&lt;&gt;SottocategorieUscite[[#Headers],[Casa]],$I1375&lt;&gt;SottocategorieUscite[[#Headers],[Utenze]],$I1375&lt;&gt;SottocategorieUscite[[#Headers],[Business Uscite]],$I1375&lt;&gt;SottocategorieUscite[[#Headers],[Banca]]),"","$ -")</f>
        <v/>
      </c>
      <c r="N1375" s="59" t="str">
        <f>IF(OR(Data!$I1375=SottocategorieEntrate[[#Headers],[Business Entrate]],Data!$I1375=SottocategorieEntrate[[#Headers],[Varie Entrate]]),"$ -","")</f>
        <v/>
      </c>
      <c r="O1375" s="59" t="str">
        <f>IF(OR(Data!$I1375=SottocategorieEntrate[[#Headers],[Real Estate]],SottocategorieEntrate[[#Headers],[Other]]),"$ -","")</f>
        <v/>
      </c>
      <c r="P1375" s="59" t="str">
        <f>IF(OR($I1375&lt;&gt;SottocategorieEntrate[[#Headers],[Business Entrate]],$I1375&lt;&gt;SottocategorieEntrate[[#Headers],[Varie Entrate]],$I1375&lt;&gt;SottocategorieEntrate[[#Headers],[Real Estate]],$I1375&lt;&gt;SottocategorieEntrate[[#Headers],[Other]]),"","$ -")</f>
        <v/>
      </c>
      <c r="Q1375" s="59" t="str">
        <f>IF(Dati[[#This Row],[Categoria]]="Prelievo","€ -","")</f>
        <v/>
      </c>
      <c r="R1375" s="244"/>
      <c r="S1375" s="59" t="str">
        <f>IF(Dati[[#This Row],[Categoria]]="Savings",0,"")</f>
        <v/>
      </c>
      <c r="T1375" s="59"/>
      <c r="U1375" s="59"/>
      <c r="V1375" s="59"/>
      <c r="W1375" s="59"/>
      <c r="X1375" s="59"/>
      <c r="Y1375" s="59"/>
      <c r="Z1375" s="59"/>
      <c r="AA1375" s="59"/>
      <c r="AB1375" s="59"/>
      <c r="AC1375" s="59"/>
      <c r="AD1375" s="59"/>
      <c r="AE1375" s="59"/>
      <c r="AF1375" s="59"/>
      <c r="AG1375" s="59"/>
      <c r="AH1375" s="59"/>
      <c r="AI1375" s="59" t="str">
        <f>IF(SUM(Dati[[#This Row],[Inv. Business]:[Inv. Cryptocurrency]])=0," ",SUM(Dati[[#This Row],[Inv. Business]:[Inv. Cryptocurrency]]))</f>
        <v xml:space="preserve"> </v>
      </c>
      <c r="AJ1375" s="59"/>
      <c r="AK1375" s="59" t="str">
        <f>IF(SUM(Dati[[#This Row],[Inv. Gold]:[Mutuo]])=0," ",SUM(Dati[[#This Row],[Inv. Gold]:[Mutuo]]))</f>
        <v xml:space="preserve"> </v>
      </c>
      <c r="AL1375" s="59"/>
      <c r="AM1375" s="59"/>
    </row>
    <row r="1376" spans="2:39" x14ac:dyDescent="0.35">
      <c r="B1376" s="237">
        <f t="shared" si="105"/>
        <v>1356</v>
      </c>
      <c r="C1376" s="49">
        <f t="shared" ref="C1376:C1439" si="106">C1375+1</f>
        <v>45934</v>
      </c>
      <c r="D1376" s="29">
        <f>DAY(Dati[[#This Row],[Data]])</f>
        <v>4</v>
      </c>
      <c r="E1376" s="29" t="str">
        <f>IF(DAY(Data!$C$21:$C$1613)&gt;0,TEXT(Data!$C$21:$C$1613, "mmmm"),"")</f>
        <v>ottobre</v>
      </c>
      <c r="F1376" s="29" t="str">
        <f>IF(DAY(Data!$C$21:$C$1613)&gt;0,TEXT(Data!$C$21:$C$1613, "aaaa"),"")</f>
        <v>2025</v>
      </c>
      <c r="I1376" t="str">
        <f>IF(OR(H1376=$B$5,H1376=$B$6,H1376=$B$7,H1376=$B$8,H1376=$B$9,H1376=$B$10,H1376=$B$11,H1376=$B$12,H1376=$B$13,H1376=$B$14),SottocategorieUscite[[#Headers],[Fuori Casa]],IF(OR(H1376=$C$5,H1376=$C$6,H1376=$C$7,H1376=$C$8,H1376=$C$9,H1376=$C$10,H1376=$C$11,H1376=$C$12,H1376=$C$13,H1376=$C$14),SottocategorieUscite[[#Headers],[Varie Uscite]],IF(OR(H1376=$D$5,H1376=$D$6,H1376=$D$7,H1376=$D$8,H1376=$D$9,H1376=$D$10,H1376=$D$11,H1376=$D$12,H1376=$D$13,H1376=$D$14),SottocategorieUscite[[#Headers],[Personali]],IF(OR(H1376=$E$5,H1376=$E$6,H1376=$E$7,H1376=$E$8,H1376=$E$9,H1376=$E$10,H1376=$E$11,H1376=$E$12,H1376=$E$13,H1376=$E$14),SottocategorieUscite[[#Headers],[Lavoro]],IF(OR(H1376=$F$5,H1376=$F$6,H1376=$F$7,H1376=$F$8,H1376=$F$9,H1376=$F$10,H1376=$F$11,H1376=$F$12,H1376=$F$13,H1376=$F$14),SottocategorieUscite[[#Headers],[Casa]],IF(OR(H1376=$G$5,H1376=$G$6,H1376=$G$7,H1376=$G$8,H1376=$G$9,H1376=$G$10,H1376=$G$11,H1376=$G$12,H1376=$G$13,H1376=$G$14),SottocategorieUscite[[#Headers],[Utenze]],IF(OR(H1376=$H$5,H1376=$H$6,H1376=$H$7,H1376=$H$8,H1376=$H$9,H1376=$H$10,H1376=$H$11,H1376=$H$12,H1376=$H$13,H1376=$H$14),SottocategorieUscite[[#Headers],[Business Uscite]],IF(OR(H1376=$I$5,H1376=$I$6,H1376=$I$7,H1376=$I$8,H1376=$I$9,H1376=$I$10,H1376=$I$11,H1376=$I$12,H1376=$I$13,H1376=$I$14),SottocategorieUscite[[#Headers],[Banca]],IF(OR(H1376=K$5,H1376=K$6,H1376=K$7,H1376=K$8,H1376=K$9,H1376=K$10,H1376=K$11,H1376=K$12,H1376=K$13,H1376=K$14),SottocategorieEntrate[[#Headers],[Business Entrate]],IF(OR(H1376=L$5,H1376=L$6,H1376=L$7,H1376=L$8,H1376=L$9,H1376=L$10,H1376=L$11,H1376=L$12,H1376=L$13,H1376=L$14),SottocategorieEntrate[[#Headers],[Varie Entrate]],IF(OR(H1376=M$5,H1376=M$6,H1376=M$7,H1376=M$8,H1376=M$9,H1376=M$10,H1376=M$11,H1376=M$12,H1376=M$13,H1376=M$14),SottocategorieEntrate[[#Headers],[Real Estate]],IF(OR(H1376=N$5,H1376=N$6,H1376=N$7,H1376=N$8,H1376=N$9,H1376=N$10,H1376=N$11,H1376=N$12,H1376=N$13,H1376=N$14),SottocategorieEntrate[[#Headers],[Other]],""))))))))))))</f>
        <v/>
      </c>
      <c r="J1376" t="str">
        <f>IF(OR(Dati[[#This Row],[Categoria]]="Bollette",Dati[[#This Row],[Categoria]]="Conto &amp; Carte BNL",Dati[[#This Row],[Categoria]]="Prelievo",Dati[[#This Row],[Categoria]]="Affitto",Dati[[#This Row],[Categoria]]="BNL(Interessi Creditori)"),"Carta",IF(Dati[[#This Row],[Categoria]]&lt;&gt;0,"Cash",""))</f>
        <v/>
      </c>
      <c r="K1376" s="59" t="str">
        <f>IF(OR(Data!$I1376=SottocategorieUscite[[#Headers],[Fuori Casa]],Data!$I1376=SottocategorieUscite[[#Headers],[Varie Uscite]],Data!$I1376=SottocategorieUscite[[#Headers],[Personali]],Data!$I1376=SottocategorieUscite[[#Headers],[Lavoro]]),"$ -","")</f>
        <v/>
      </c>
      <c r="L1376" s="59" t="str">
        <f>IF(OR(Data!$I1376=SottocategorieUscite[[#Headers],[Casa]],Data!$I1376=SottocategorieUscite[[#Headers],[Utenze]],Data!$I1376=SottocategorieUscite[[#Headers],[Business Uscite]],Data!$I1376=SottocategorieUscite[[#Headers],[Banca]]),"$ -","")</f>
        <v/>
      </c>
      <c r="M1376" s="59" t="str">
        <f>IF(OR($I1376&lt;&gt;SottocategorieUscite[[#Headers],[Fuori Casa]],$I1376&lt;&gt;SottocategorieUscite[[#Headers],[Varie Uscite]],$I1376&lt;&gt;SottocategorieUscite[[#Headers],[Personali]],$I1376&lt;&gt;SottocategorieUscite[[#Headers],[Lavoro]],$I1376&lt;&gt;SottocategorieUscite[[#Headers],[Casa]],$I1376&lt;&gt;SottocategorieUscite[[#Headers],[Utenze]],$I1376&lt;&gt;SottocategorieUscite[[#Headers],[Business Uscite]],$I1376&lt;&gt;SottocategorieUscite[[#Headers],[Banca]]),"","$ -")</f>
        <v/>
      </c>
      <c r="N1376" s="59" t="str">
        <f>IF(OR(Data!$I1376=SottocategorieEntrate[[#Headers],[Business Entrate]],Data!$I1376=SottocategorieEntrate[[#Headers],[Varie Entrate]]),"$ -","")</f>
        <v/>
      </c>
      <c r="O1376" s="59" t="str">
        <f>IF(OR(Data!$I1376=SottocategorieEntrate[[#Headers],[Real Estate]],SottocategorieEntrate[[#Headers],[Other]]),"$ -","")</f>
        <v/>
      </c>
      <c r="P1376" s="59" t="str">
        <f>IF(OR($I1376&lt;&gt;SottocategorieEntrate[[#Headers],[Business Entrate]],$I1376&lt;&gt;SottocategorieEntrate[[#Headers],[Varie Entrate]],$I1376&lt;&gt;SottocategorieEntrate[[#Headers],[Real Estate]],$I1376&lt;&gt;SottocategorieEntrate[[#Headers],[Other]]),"","$ -")</f>
        <v/>
      </c>
      <c r="Q1376" s="59" t="str">
        <f>IF(Dati[[#This Row],[Categoria]]="Prelievo","€ -","")</f>
        <v/>
      </c>
      <c r="R1376" s="244"/>
      <c r="S1376" s="59" t="str">
        <f>IF(Dati[[#This Row],[Categoria]]="Savings",0,"")</f>
        <v/>
      </c>
      <c r="T1376" s="59"/>
      <c r="U1376" s="59"/>
      <c r="V1376" s="59"/>
      <c r="W1376" s="59"/>
      <c r="X1376" s="59"/>
      <c r="Y1376" s="59"/>
      <c r="Z1376" s="59"/>
      <c r="AA1376" s="59"/>
      <c r="AB1376" s="59"/>
      <c r="AC1376" s="59"/>
      <c r="AD1376" s="59"/>
      <c r="AE1376" s="59"/>
      <c r="AF1376" s="59"/>
      <c r="AG1376" s="59"/>
      <c r="AH1376" s="59"/>
      <c r="AI1376" s="59" t="str">
        <f>IF(SUM(Dati[[#This Row],[Inv. Business]:[Inv. Cryptocurrency]])=0," ",SUM(Dati[[#This Row],[Inv. Business]:[Inv. Cryptocurrency]]))</f>
        <v xml:space="preserve"> </v>
      </c>
      <c r="AJ1376" s="59"/>
      <c r="AK1376" s="59" t="str">
        <f>IF(SUM(Dati[[#This Row],[Inv. Gold]:[Mutuo]])=0," ",SUM(Dati[[#This Row],[Inv. Gold]:[Mutuo]]))</f>
        <v xml:space="preserve"> </v>
      </c>
      <c r="AL1376" s="59"/>
      <c r="AM1376" s="59"/>
    </row>
    <row r="1377" spans="2:39" x14ac:dyDescent="0.35">
      <c r="B1377" s="237">
        <f t="shared" si="105"/>
        <v>1357</v>
      </c>
      <c r="C1377" s="49">
        <f t="shared" si="106"/>
        <v>45935</v>
      </c>
      <c r="D1377" s="29">
        <f>DAY(Dati[[#This Row],[Data]])</f>
        <v>5</v>
      </c>
      <c r="E1377" s="29" t="str">
        <f>IF(DAY(Data!$C$21:$C$1613)&gt;0,TEXT(Data!$C$21:$C$1613, "mmmm"),"")</f>
        <v>ottobre</v>
      </c>
      <c r="F1377" s="29" t="str">
        <f>IF(DAY(Data!$C$21:$C$1613)&gt;0,TEXT(Data!$C$21:$C$1613, "aaaa"),"")</f>
        <v>2025</v>
      </c>
      <c r="I1377" t="str">
        <f>IF(OR(H1377=$B$5,H1377=$B$6,H1377=$B$7,H1377=$B$8,H1377=$B$9,H1377=$B$10,H1377=$B$11,H1377=$B$12,H1377=$B$13,H1377=$B$14),SottocategorieUscite[[#Headers],[Fuori Casa]],IF(OR(H1377=$C$5,H1377=$C$6,H1377=$C$7,H1377=$C$8,H1377=$C$9,H1377=$C$10,H1377=$C$11,H1377=$C$12,H1377=$C$13,H1377=$C$14),SottocategorieUscite[[#Headers],[Varie Uscite]],IF(OR(H1377=$D$5,H1377=$D$6,H1377=$D$7,H1377=$D$8,H1377=$D$9,H1377=$D$10,H1377=$D$11,H1377=$D$12,H1377=$D$13,H1377=$D$14),SottocategorieUscite[[#Headers],[Personali]],IF(OR(H1377=$E$5,H1377=$E$6,H1377=$E$7,H1377=$E$8,H1377=$E$9,H1377=$E$10,H1377=$E$11,H1377=$E$12,H1377=$E$13,H1377=$E$14),SottocategorieUscite[[#Headers],[Lavoro]],IF(OR(H1377=$F$5,H1377=$F$6,H1377=$F$7,H1377=$F$8,H1377=$F$9,H1377=$F$10,H1377=$F$11,H1377=$F$12,H1377=$F$13,H1377=$F$14),SottocategorieUscite[[#Headers],[Casa]],IF(OR(H1377=$G$5,H1377=$G$6,H1377=$G$7,H1377=$G$8,H1377=$G$9,H1377=$G$10,H1377=$G$11,H1377=$G$12,H1377=$G$13,H1377=$G$14),SottocategorieUscite[[#Headers],[Utenze]],IF(OR(H1377=$H$5,H1377=$H$6,H1377=$H$7,H1377=$H$8,H1377=$H$9,H1377=$H$10,H1377=$H$11,H1377=$H$12,H1377=$H$13,H1377=$H$14),SottocategorieUscite[[#Headers],[Business Uscite]],IF(OR(H1377=$I$5,H1377=$I$6,H1377=$I$7,H1377=$I$8,H1377=$I$9,H1377=$I$10,H1377=$I$11,H1377=$I$12,H1377=$I$13,H1377=$I$14),SottocategorieUscite[[#Headers],[Banca]],IF(OR(H1377=K$5,H1377=K$6,H1377=K$7,H1377=K$8,H1377=K$9,H1377=K$10,H1377=K$11,H1377=K$12,H1377=K$13,H1377=K$14),SottocategorieEntrate[[#Headers],[Business Entrate]],IF(OR(H1377=L$5,H1377=L$6,H1377=L$7,H1377=L$8,H1377=L$9,H1377=L$10,H1377=L$11,H1377=L$12,H1377=L$13,H1377=L$14),SottocategorieEntrate[[#Headers],[Varie Entrate]],IF(OR(H1377=M$5,H1377=M$6,H1377=M$7,H1377=M$8,H1377=M$9,H1377=M$10,H1377=M$11,H1377=M$12,H1377=M$13,H1377=M$14),SottocategorieEntrate[[#Headers],[Real Estate]],IF(OR(H1377=N$5,H1377=N$6,H1377=N$7,H1377=N$8,H1377=N$9,H1377=N$10,H1377=N$11,H1377=N$12,H1377=N$13,H1377=N$14),SottocategorieEntrate[[#Headers],[Other]],""))))))))))))</f>
        <v/>
      </c>
      <c r="J1377" t="str">
        <f>IF(OR(Dati[[#This Row],[Categoria]]="Bollette",Dati[[#This Row],[Categoria]]="Conto &amp; Carte BNL",Dati[[#This Row],[Categoria]]="Prelievo",Dati[[#This Row],[Categoria]]="Affitto",Dati[[#This Row],[Categoria]]="BNL(Interessi Creditori)"),"Carta",IF(Dati[[#This Row],[Categoria]]&lt;&gt;0,"Cash",""))</f>
        <v/>
      </c>
      <c r="K1377" s="59" t="str">
        <f>IF(OR(Data!$I1377=SottocategorieUscite[[#Headers],[Fuori Casa]],Data!$I1377=SottocategorieUscite[[#Headers],[Varie Uscite]],Data!$I1377=SottocategorieUscite[[#Headers],[Personali]],Data!$I1377=SottocategorieUscite[[#Headers],[Lavoro]]),"$ -","")</f>
        <v/>
      </c>
      <c r="L1377" s="59" t="str">
        <f>IF(OR(Data!$I1377=SottocategorieUscite[[#Headers],[Casa]],Data!$I1377=SottocategorieUscite[[#Headers],[Utenze]],Data!$I1377=SottocategorieUscite[[#Headers],[Business Uscite]],Data!$I1377=SottocategorieUscite[[#Headers],[Banca]]),"$ -","")</f>
        <v/>
      </c>
      <c r="M1377" s="59" t="str">
        <f>IF(OR($I1377&lt;&gt;SottocategorieUscite[[#Headers],[Fuori Casa]],$I1377&lt;&gt;SottocategorieUscite[[#Headers],[Varie Uscite]],$I1377&lt;&gt;SottocategorieUscite[[#Headers],[Personali]],$I1377&lt;&gt;SottocategorieUscite[[#Headers],[Lavoro]],$I1377&lt;&gt;SottocategorieUscite[[#Headers],[Casa]],$I1377&lt;&gt;SottocategorieUscite[[#Headers],[Utenze]],$I1377&lt;&gt;SottocategorieUscite[[#Headers],[Business Uscite]],$I1377&lt;&gt;SottocategorieUscite[[#Headers],[Banca]]),"","$ -")</f>
        <v/>
      </c>
      <c r="N1377" s="59" t="str">
        <f>IF(OR(Data!$I1377=SottocategorieEntrate[[#Headers],[Business Entrate]],Data!$I1377=SottocategorieEntrate[[#Headers],[Varie Entrate]]),"$ -","")</f>
        <v/>
      </c>
      <c r="O1377" s="59" t="str">
        <f>IF(OR(Data!$I1377=SottocategorieEntrate[[#Headers],[Real Estate]],SottocategorieEntrate[[#Headers],[Other]]),"$ -","")</f>
        <v/>
      </c>
      <c r="P1377" s="59" t="str">
        <f>IF(OR($I1377&lt;&gt;SottocategorieEntrate[[#Headers],[Business Entrate]],$I1377&lt;&gt;SottocategorieEntrate[[#Headers],[Varie Entrate]],$I1377&lt;&gt;SottocategorieEntrate[[#Headers],[Real Estate]],$I1377&lt;&gt;SottocategorieEntrate[[#Headers],[Other]]),"","$ -")</f>
        <v/>
      </c>
      <c r="Q1377" s="59" t="str">
        <f>IF(Dati[[#This Row],[Categoria]]="Prelievo","€ -","")</f>
        <v/>
      </c>
      <c r="R1377" s="244"/>
      <c r="S1377" s="59" t="str">
        <f>IF(Dati[[#This Row],[Categoria]]="Savings",0,"")</f>
        <v/>
      </c>
      <c r="T1377" s="59"/>
      <c r="U1377" s="59"/>
      <c r="V1377" s="59"/>
      <c r="W1377" s="59"/>
      <c r="X1377" s="59"/>
      <c r="Y1377" s="59"/>
      <c r="Z1377" s="59"/>
      <c r="AA1377" s="59"/>
      <c r="AB1377" s="59"/>
      <c r="AC1377" s="59"/>
      <c r="AD1377" s="59"/>
      <c r="AE1377" s="59"/>
      <c r="AF1377" s="59"/>
      <c r="AG1377" s="59"/>
      <c r="AH1377" s="59"/>
      <c r="AI1377" s="59" t="str">
        <f>IF(SUM(Dati[[#This Row],[Inv. Business]:[Inv. Cryptocurrency]])=0," ",SUM(Dati[[#This Row],[Inv. Business]:[Inv. Cryptocurrency]]))</f>
        <v xml:space="preserve"> </v>
      </c>
      <c r="AJ1377" s="59"/>
      <c r="AK1377" s="59" t="str">
        <f>IF(SUM(Dati[[#This Row],[Inv. Gold]:[Mutuo]])=0," ",SUM(Dati[[#This Row],[Inv. Gold]:[Mutuo]]))</f>
        <v xml:space="preserve"> </v>
      </c>
      <c r="AL1377" s="59"/>
      <c r="AM1377" s="59"/>
    </row>
    <row r="1378" spans="2:39" x14ac:dyDescent="0.35">
      <c r="B1378" s="237">
        <f t="shared" si="105"/>
        <v>1358</v>
      </c>
      <c r="C1378" s="49">
        <f t="shared" si="106"/>
        <v>45936</v>
      </c>
      <c r="D1378" s="29">
        <f>DAY(Dati[[#This Row],[Data]])</f>
        <v>6</v>
      </c>
      <c r="E1378" s="29" t="str">
        <f>IF(DAY(Data!$C$21:$C$1613)&gt;0,TEXT(Data!$C$21:$C$1613, "mmmm"),"")</f>
        <v>ottobre</v>
      </c>
      <c r="F1378" s="29" t="str">
        <f>IF(DAY(Data!$C$21:$C$1613)&gt;0,TEXT(Data!$C$21:$C$1613, "aaaa"),"")</f>
        <v>2025</v>
      </c>
      <c r="I1378" t="str">
        <f>IF(OR(H1378=$B$5,H1378=$B$6,H1378=$B$7,H1378=$B$8,H1378=$B$9,H1378=$B$10,H1378=$B$11,H1378=$B$12,H1378=$B$13,H1378=$B$14),SottocategorieUscite[[#Headers],[Fuori Casa]],IF(OR(H1378=$C$5,H1378=$C$6,H1378=$C$7,H1378=$C$8,H1378=$C$9,H1378=$C$10,H1378=$C$11,H1378=$C$12,H1378=$C$13,H1378=$C$14),SottocategorieUscite[[#Headers],[Varie Uscite]],IF(OR(H1378=$D$5,H1378=$D$6,H1378=$D$7,H1378=$D$8,H1378=$D$9,H1378=$D$10,H1378=$D$11,H1378=$D$12,H1378=$D$13,H1378=$D$14),SottocategorieUscite[[#Headers],[Personali]],IF(OR(H1378=$E$5,H1378=$E$6,H1378=$E$7,H1378=$E$8,H1378=$E$9,H1378=$E$10,H1378=$E$11,H1378=$E$12,H1378=$E$13,H1378=$E$14),SottocategorieUscite[[#Headers],[Lavoro]],IF(OR(H1378=$F$5,H1378=$F$6,H1378=$F$7,H1378=$F$8,H1378=$F$9,H1378=$F$10,H1378=$F$11,H1378=$F$12,H1378=$F$13,H1378=$F$14),SottocategorieUscite[[#Headers],[Casa]],IF(OR(H1378=$G$5,H1378=$G$6,H1378=$G$7,H1378=$G$8,H1378=$G$9,H1378=$G$10,H1378=$G$11,H1378=$G$12,H1378=$G$13,H1378=$G$14),SottocategorieUscite[[#Headers],[Utenze]],IF(OR(H1378=$H$5,H1378=$H$6,H1378=$H$7,H1378=$H$8,H1378=$H$9,H1378=$H$10,H1378=$H$11,H1378=$H$12,H1378=$H$13,H1378=$H$14),SottocategorieUscite[[#Headers],[Business Uscite]],IF(OR(H1378=$I$5,H1378=$I$6,H1378=$I$7,H1378=$I$8,H1378=$I$9,H1378=$I$10,H1378=$I$11,H1378=$I$12,H1378=$I$13,H1378=$I$14),SottocategorieUscite[[#Headers],[Banca]],IF(OR(H1378=K$5,H1378=K$6,H1378=K$7,H1378=K$8,H1378=K$9,H1378=K$10,H1378=K$11,H1378=K$12,H1378=K$13,H1378=K$14),SottocategorieEntrate[[#Headers],[Business Entrate]],IF(OR(H1378=L$5,H1378=L$6,H1378=L$7,H1378=L$8,H1378=L$9,H1378=L$10,H1378=L$11,H1378=L$12,H1378=L$13,H1378=L$14),SottocategorieEntrate[[#Headers],[Varie Entrate]],IF(OR(H1378=M$5,H1378=M$6,H1378=M$7,H1378=M$8,H1378=M$9,H1378=M$10,H1378=M$11,H1378=M$12,H1378=M$13,H1378=M$14),SottocategorieEntrate[[#Headers],[Real Estate]],IF(OR(H1378=N$5,H1378=N$6,H1378=N$7,H1378=N$8,H1378=N$9,H1378=N$10,H1378=N$11,H1378=N$12,H1378=N$13,H1378=N$14),SottocategorieEntrate[[#Headers],[Other]],""))))))))))))</f>
        <v/>
      </c>
      <c r="J1378" t="str">
        <f>IF(OR(Dati[[#This Row],[Categoria]]="Bollette",Dati[[#This Row],[Categoria]]="Conto &amp; Carte BNL",Dati[[#This Row],[Categoria]]="Prelievo",Dati[[#This Row],[Categoria]]="Affitto",Dati[[#This Row],[Categoria]]="BNL(Interessi Creditori)"),"Carta",IF(Dati[[#This Row],[Categoria]]&lt;&gt;0,"Cash",""))</f>
        <v/>
      </c>
      <c r="K1378" s="59" t="str">
        <f>IF(OR(Data!$I1378=SottocategorieUscite[[#Headers],[Fuori Casa]],Data!$I1378=SottocategorieUscite[[#Headers],[Varie Uscite]],Data!$I1378=SottocategorieUscite[[#Headers],[Personali]],Data!$I1378=SottocategorieUscite[[#Headers],[Lavoro]]),"$ -","")</f>
        <v/>
      </c>
      <c r="L1378" s="59" t="str">
        <f>IF(OR(Data!$I1378=SottocategorieUscite[[#Headers],[Casa]],Data!$I1378=SottocategorieUscite[[#Headers],[Utenze]],Data!$I1378=SottocategorieUscite[[#Headers],[Business Uscite]],Data!$I1378=SottocategorieUscite[[#Headers],[Banca]]),"$ -","")</f>
        <v/>
      </c>
      <c r="M1378" s="59" t="str">
        <f>IF(OR($I1378&lt;&gt;SottocategorieUscite[[#Headers],[Fuori Casa]],$I1378&lt;&gt;SottocategorieUscite[[#Headers],[Varie Uscite]],$I1378&lt;&gt;SottocategorieUscite[[#Headers],[Personali]],$I1378&lt;&gt;SottocategorieUscite[[#Headers],[Lavoro]],$I1378&lt;&gt;SottocategorieUscite[[#Headers],[Casa]],$I1378&lt;&gt;SottocategorieUscite[[#Headers],[Utenze]],$I1378&lt;&gt;SottocategorieUscite[[#Headers],[Business Uscite]],$I1378&lt;&gt;SottocategorieUscite[[#Headers],[Banca]]),"","$ -")</f>
        <v/>
      </c>
      <c r="N1378" s="59" t="str">
        <f>IF(OR(Data!$I1378=SottocategorieEntrate[[#Headers],[Business Entrate]],Data!$I1378=SottocategorieEntrate[[#Headers],[Varie Entrate]]),"$ -","")</f>
        <v/>
      </c>
      <c r="O1378" s="59" t="str">
        <f>IF(OR(Data!$I1378=SottocategorieEntrate[[#Headers],[Real Estate]],SottocategorieEntrate[[#Headers],[Other]]),"$ -","")</f>
        <v/>
      </c>
      <c r="P1378" s="59" t="str">
        <f>IF(OR($I1378&lt;&gt;SottocategorieEntrate[[#Headers],[Business Entrate]],$I1378&lt;&gt;SottocategorieEntrate[[#Headers],[Varie Entrate]],$I1378&lt;&gt;SottocategorieEntrate[[#Headers],[Real Estate]],$I1378&lt;&gt;SottocategorieEntrate[[#Headers],[Other]]),"","$ -")</f>
        <v/>
      </c>
      <c r="Q1378" s="59" t="str">
        <f>IF(Dati[[#This Row],[Categoria]]="Prelievo","€ -","")</f>
        <v/>
      </c>
      <c r="R1378" s="244"/>
      <c r="S1378" s="59" t="str">
        <f>IF(Dati[[#This Row],[Categoria]]="Savings",0,"")</f>
        <v/>
      </c>
      <c r="T1378" s="59"/>
      <c r="U1378" s="59"/>
      <c r="V1378" s="59"/>
      <c r="W1378" s="59"/>
      <c r="X1378" s="59"/>
      <c r="Y1378" s="59"/>
      <c r="Z1378" s="59"/>
      <c r="AA1378" s="59"/>
      <c r="AB1378" s="59"/>
      <c r="AC1378" s="59"/>
      <c r="AD1378" s="59"/>
      <c r="AE1378" s="59"/>
      <c r="AF1378" s="59"/>
      <c r="AG1378" s="59"/>
      <c r="AH1378" s="59"/>
      <c r="AI1378" s="59" t="str">
        <f>IF(SUM(Dati[[#This Row],[Inv. Business]:[Inv. Cryptocurrency]])=0," ",SUM(Dati[[#This Row],[Inv. Business]:[Inv. Cryptocurrency]]))</f>
        <v xml:space="preserve"> </v>
      </c>
      <c r="AJ1378" s="59"/>
      <c r="AK1378" s="59" t="str">
        <f>IF(SUM(Dati[[#This Row],[Inv. Gold]:[Mutuo]])=0," ",SUM(Dati[[#This Row],[Inv. Gold]:[Mutuo]]))</f>
        <v xml:space="preserve"> </v>
      </c>
      <c r="AL1378" s="59"/>
      <c r="AM1378" s="59"/>
    </row>
    <row r="1379" spans="2:39" x14ac:dyDescent="0.35">
      <c r="B1379" s="237">
        <f t="shared" si="105"/>
        <v>1359</v>
      </c>
      <c r="C1379" s="49">
        <f t="shared" si="106"/>
        <v>45937</v>
      </c>
      <c r="D1379" s="29">
        <f>DAY(Dati[[#This Row],[Data]])</f>
        <v>7</v>
      </c>
      <c r="E1379" s="29" t="str">
        <f>IF(DAY(Data!$C$21:$C$1613)&gt;0,TEXT(Data!$C$21:$C$1613, "mmmm"),"")</f>
        <v>ottobre</v>
      </c>
      <c r="F1379" s="29" t="str">
        <f>IF(DAY(Data!$C$21:$C$1613)&gt;0,TEXT(Data!$C$21:$C$1613, "aaaa"),"")</f>
        <v>2025</v>
      </c>
      <c r="I1379" t="str">
        <f>IF(OR(H1379=$B$5,H1379=$B$6,H1379=$B$7,H1379=$B$8,H1379=$B$9,H1379=$B$10,H1379=$B$11,H1379=$B$12,H1379=$B$13,H1379=$B$14),SottocategorieUscite[[#Headers],[Fuori Casa]],IF(OR(H1379=$C$5,H1379=$C$6,H1379=$C$7,H1379=$C$8,H1379=$C$9,H1379=$C$10,H1379=$C$11,H1379=$C$12,H1379=$C$13,H1379=$C$14),SottocategorieUscite[[#Headers],[Varie Uscite]],IF(OR(H1379=$D$5,H1379=$D$6,H1379=$D$7,H1379=$D$8,H1379=$D$9,H1379=$D$10,H1379=$D$11,H1379=$D$12,H1379=$D$13,H1379=$D$14),SottocategorieUscite[[#Headers],[Personali]],IF(OR(H1379=$E$5,H1379=$E$6,H1379=$E$7,H1379=$E$8,H1379=$E$9,H1379=$E$10,H1379=$E$11,H1379=$E$12,H1379=$E$13,H1379=$E$14),SottocategorieUscite[[#Headers],[Lavoro]],IF(OR(H1379=$F$5,H1379=$F$6,H1379=$F$7,H1379=$F$8,H1379=$F$9,H1379=$F$10,H1379=$F$11,H1379=$F$12,H1379=$F$13,H1379=$F$14),SottocategorieUscite[[#Headers],[Casa]],IF(OR(H1379=$G$5,H1379=$G$6,H1379=$G$7,H1379=$G$8,H1379=$G$9,H1379=$G$10,H1379=$G$11,H1379=$G$12,H1379=$G$13,H1379=$G$14),SottocategorieUscite[[#Headers],[Utenze]],IF(OR(H1379=$H$5,H1379=$H$6,H1379=$H$7,H1379=$H$8,H1379=$H$9,H1379=$H$10,H1379=$H$11,H1379=$H$12,H1379=$H$13,H1379=$H$14),SottocategorieUscite[[#Headers],[Business Uscite]],IF(OR(H1379=$I$5,H1379=$I$6,H1379=$I$7,H1379=$I$8,H1379=$I$9,H1379=$I$10,H1379=$I$11,H1379=$I$12,H1379=$I$13,H1379=$I$14),SottocategorieUscite[[#Headers],[Banca]],IF(OR(H1379=K$5,H1379=K$6,H1379=K$7,H1379=K$8,H1379=K$9,H1379=K$10,H1379=K$11,H1379=K$12,H1379=K$13,H1379=K$14),SottocategorieEntrate[[#Headers],[Business Entrate]],IF(OR(H1379=L$5,H1379=L$6,H1379=L$7,H1379=L$8,H1379=L$9,H1379=L$10,H1379=L$11,H1379=L$12,H1379=L$13,H1379=L$14),SottocategorieEntrate[[#Headers],[Varie Entrate]],IF(OR(H1379=M$5,H1379=M$6,H1379=M$7,H1379=M$8,H1379=M$9,H1379=M$10,H1379=M$11,H1379=M$12,H1379=M$13,H1379=M$14),SottocategorieEntrate[[#Headers],[Real Estate]],IF(OR(H1379=N$5,H1379=N$6,H1379=N$7,H1379=N$8,H1379=N$9,H1379=N$10,H1379=N$11,H1379=N$12,H1379=N$13,H1379=N$14),SottocategorieEntrate[[#Headers],[Other]],""))))))))))))</f>
        <v/>
      </c>
      <c r="J1379" t="str">
        <f>IF(OR(Dati[[#This Row],[Categoria]]="Bollette",Dati[[#This Row],[Categoria]]="Conto &amp; Carte BNL",Dati[[#This Row],[Categoria]]="Prelievo",Dati[[#This Row],[Categoria]]="Affitto",Dati[[#This Row],[Categoria]]="BNL(Interessi Creditori)"),"Carta",IF(Dati[[#This Row],[Categoria]]&lt;&gt;0,"Cash",""))</f>
        <v/>
      </c>
      <c r="K1379" s="59" t="str">
        <f>IF(OR(Data!$I1379=SottocategorieUscite[[#Headers],[Fuori Casa]],Data!$I1379=SottocategorieUscite[[#Headers],[Varie Uscite]],Data!$I1379=SottocategorieUscite[[#Headers],[Personali]],Data!$I1379=SottocategorieUscite[[#Headers],[Lavoro]]),"$ -","")</f>
        <v/>
      </c>
      <c r="L1379" s="59" t="str">
        <f>IF(OR(Data!$I1379=SottocategorieUscite[[#Headers],[Casa]],Data!$I1379=SottocategorieUscite[[#Headers],[Utenze]],Data!$I1379=SottocategorieUscite[[#Headers],[Business Uscite]],Data!$I1379=SottocategorieUscite[[#Headers],[Banca]]),"$ -","")</f>
        <v/>
      </c>
      <c r="M1379" s="59" t="str">
        <f>IF(OR($I1379&lt;&gt;SottocategorieUscite[[#Headers],[Fuori Casa]],$I1379&lt;&gt;SottocategorieUscite[[#Headers],[Varie Uscite]],$I1379&lt;&gt;SottocategorieUscite[[#Headers],[Personali]],$I1379&lt;&gt;SottocategorieUscite[[#Headers],[Lavoro]],$I1379&lt;&gt;SottocategorieUscite[[#Headers],[Casa]],$I1379&lt;&gt;SottocategorieUscite[[#Headers],[Utenze]],$I1379&lt;&gt;SottocategorieUscite[[#Headers],[Business Uscite]],$I1379&lt;&gt;SottocategorieUscite[[#Headers],[Banca]]),"","$ -")</f>
        <v/>
      </c>
      <c r="N1379" s="59" t="str">
        <f>IF(OR(Data!$I1379=SottocategorieEntrate[[#Headers],[Business Entrate]],Data!$I1379=SottocategorieEntrate[[#Headers],[Varie Entrate]]),"$ -","")</f>
        <v/>
      </c>
      <c r="O1379" s="59" t="str">
        <f>IF(OR(Data!$I1379=SottocategorieEntrate[[#Headers],[Real Estate]],SottocategorieEntrate[[#Headers],[Other]]),"$ -","")</f>
        <v/>
      </c>
      <c r="P1379" s="59" t="str">
        <f>IF(OR($I1379&lt;&gt;SottocategorieEntrate[[#Headers],[Business Entrate]],$I1379&lt;&gt;SottocategorieEntrate[[#Headers],[Varie Entrate]],$I1379&lt;&gt;SottocategorieEntrate[[#Headers],[Real Estate]],$I1379&lt;&gt;SottocategorieEntrate[[#Headers],[Other]]),"","$ -")</f>
        <v/>
      </c>
      <c r="Q1379" s="59" t="str">
        <f>IF(Dati[[#This Row],[Categoria]]="Prelievo","€ -","")</f>
        <v/>
      </c>
      <c r="R1379" s="244"/>
      <c r="S1379" s="59" t="str">
        <f>IF(Dati[[#This Row],[Categoria]]="Savings",0,"")</f>
        <v/>
      </c>
      <c r="T1379" s="59"/>
      <c r="U1379" s="59"/>
      <c r="V1379" s="59"/>
      <c r="W1379" s="59"/>
      <c r="X1379" s="59"/>
      <c r="Y1379" s="59"/>
      <c r="Z1379" s="59"/>
      <c r="AA1379" s="59"/>
      <c r="AB1379" s="59"/>
      <c r="AC1379" s="59"/>
      <c r="AD1379" s="59"/>
      <c r="AE1379" s="59"/>
      <c r="AF1379" s="59"/>
      <c r="AG1379" s="59"/>
      <c r="AH1379" s="59"/>
      <c r="AI1379" s="59" t="str">
        <f>IF(SUM(Dati[[#This Row],[Inv. Business]:[Inv. Cryptocurrency]])=0," ",SUM(Dati[[#This Row],[Inv. Business]:[Inv. Cryptocurrency]]))</f>
        <v xml:space="preserve"> </v>
      </c>
      <c r="AJ1379" s="59"/>
      <c r="AK1379" s="59" t="str">
        <f>IF(SUM(Dati[[#This Row],[Inv. Gold]:[Mutuo]])=0," ",SUM(Dati[[#This Row],[Inv. Gold]:[Mutuo]]))</f>
        <v xml:space="preserve"> </v>
      </c>
      <c r="AL1379" s="59"/>
      <c r="AM1379" s="59"/>
    </row>
    <row r="1380" spans="2:39" x14ac:dyDescent="0.35">
      <c r="B1380" s="237">
        <f t="shared" si="105"/>
        <v>1360</v>
      </c>
      <c r="C1380" s="49">
        <f t="shared" si="106"/>
        <v>45938</v>
      </c>
      <c r="D1380" s="29">
        <f>DAY(Dati[[#This Row],[Data]])</f>
        <v>8</v>
      </c>
      <c r="E1380" s="29" t="str">
        <f>IF(DAY(Data!$C$21:$C$1613)&gt;0,TEXT(Data!$C$21:$C$1613, "mmmm"),"")</f>
        <v>ottobre</v>
      </c>
      <c r="F1380" s="29" t="str">
        <f>IF(DAY(Data!$C$21:$C$1613)&gt;0,TEXT(Data!$C$21:$C$1613, "aaaa"),"")</f>
        <v>2025</v>
      </c>
      <c r="I1380" t="str">
        <f>IF(OR(H1380=$B$5,H1380=$B$6,H1380=$B$7,H1380=$B$8,H1380=$B$9,H1380=$B$10,H1380=$B$11,H1380=$B$12,H1380=$B$13,H1380=$B$14),SottocategorieUscite[[#Headers],[Fuori Casa]],IF(OR(H1380=$C$5,H1380=$C$6,H1380=$C$7,H1380=$C$8,H1380=$C$9,H1380=$C$10,H1380=$C$11,H1380=$C$12,H1380=$C$13,H1380=$C$14),SottocategorieUscite[[#Headers],[Varie Uscite]],IF(OR(H1380=$D$5,H1380=$D$6,H1380=$D$7,H1380=$D$8,H1380=$D$9,H1380=$D$10,H1380=$D$11,H1380=$D$12,H1380=$D$13,H1380=$D$14),SottocategorieUscite[[#Headers],[Personali]],IF(OR(H1380=$E$5,H1380=$E$6,H1380=$E$7,H1380=$E$8,H1380=$E$9,H1380=$E$10,H1380=$E$11,H1380=$E$12,H1380=$E$13,H1380=$E$14),SottocategorieUscite[[#Headers],[Lavoro]],IF(OR(H1380=$F$5,H1380=$F$6,H1380=$F$7,H1380=$F$8,H1380=$F$9,H1380=$F$10,H1380=$F$11,H1380=$F$12,H1380=$F$13,H1380=$F$14),SottocategorieUscite[[#Headers],[Casa]],IF(OR(H1380=$G$5,H1380=$G$6,H1380=$G$7,H1380=$G$8,H1380=$G$9,H1380=$G$10,H1380=$G$11,H1380=$G$12,H1380=$G$13,H1380=$G$14),SottocategorieUscite[[#Headers],[Utenze]],IF(OR(H1380=$H$5,H1380=$H$6,H1380=$H$7,H1380=$H$8,H1380=$H$9,H1380=$H$10,H1380=$H$11,H1380=$H$12,H1380=$H$13,H1380=$H$14),SottocategorieUscite[[#Headers],[Business Uscite]],IF(OR(H1380=$I$5,H1380=$I$6,H1380=$I$7,H1380=$I$8,H1380=$I$9,H1380=$I$10,H1380=$I$11,H1380=$I$12,H1380=$I$13,H1380=$I$14),SottocategorieUscite[[#Headers],[Banca]],IF(OR(H1380=K$5,H1380=K$6,H1380=K$7,H1380=K$8,H1380=K$9,H1380=K$10,H1380=K$11,H1380=K$12,H1380=K$13,H1380=K$14),SottocategorieEntrate[[#Headers],[Business Entrate]],IF(OR(H1380=L$5,H1380=L$6,H1380=L$7,H1380=L$8,H1380=L$9,H1380=L$10,H1380=L$11,H1380=L$12,H1380=L$13,H1380=L$14),SottocategorieEntrate[[#Headers],[Varie Entrate]],IF(OR(H1380=M$5,H1380=M$6,H1380=M$7,H1380=M$8,H1380=M$9,H1380=M$10,H1380=M$11,H1380=M$12,H1380=M$13,H1380=M$14),SottocategorieEntrate[[#Headers],[Real Estate]],IF(OR(H1380=N$5,H1380=N$6,H1380=N$7,H1380=N$8,H1380=N$9,H1380=N$10,H1380=N$11,H1380=N$12,H1380=N$13,H1380=N$14),SottocategorieEntrate[[#Headers],[Other]],""))))))))))))</f>
        <v/>
      </c>
      <c r="J1380" t="str">
        <f>IF(OR(Dati[[#This Row],[Categoria]]="Bollette",Dati[[#This Row],[Categoria]]="Conto &amp; Carte BNL",Dati[[#This Row],[Categoria]]="Prelievo",Dati[[#This Row],[Categoria]]="Affitto",Dati[[#This Row],[Categoria]]="BNL(Interessi Creditori)"),"Carta",IF(Dati[[#This Row],[Categoria]]&lt;&gt;0,"Cash",""))</f>
        <v/>
      </c>
      <c r="K1380" s="59" t="str">
        <f>IF(OR(Data!$I1380=SottocategorieUscite[[#Headers],[Fuori Casa]],Data!$I1380=SottocategorieUscite[[#Headers],[Varie Uscite]],Data!$I1380=SottocategorieUscite[[#Headers],[Personali]],Data!$I1380=SottocategorieUscite[[#Headers],[Lavoro]]),"$ -","")</f>
        <v/>
      </c>
      <c r="L1380" s="59" t="str">
        <f>IF(OR(Data!$I1380=SottocategorieUscite[[#Headers],[Casa]],Data!$I1380=SottocategorieUscite[[#Headers],[Utenze]],Data!$I1380=SottocategorieUscite[[#Headers],[Business Uscite]],Data!$I1380=SottocategorieUscite[[#Headers],[Banca]]),"$ -","")</f>
        <v/>
      </c>
      <c r="M1380" s="59" t="str">
        <f>IF(OR($I1380&lt;&gt;SottocategorieUscite[[#Headers],[Fuori Casa]],$I1380&lt;&gt;SottocategorieUscite[[#Headers],[Varie Uscite]],$I1380&lt;&gt;SottocategorieUscite[[#Headers],[Personali]],$I1380&lt;&gt;SottocategorieUscite[[#Headers],[Lavoro]],$I1380&lt;&gt;SottocategorieUscite[[#Headers],[Casa]],$I1380&lt;&gt;SottocategorieUscite[[#Headers],[Utenze]],$I1380&lt;&gt;SottocategorieUscite[[#Headers],[Business Uscite]],$I1380&lt;&gt;SottocategorieUscite[[#Headers],[Banca]]),"","$ -")</f>
        <v/>
      </c>
      <c r="N1380" s="59" t="str">
        <f>IF(OR(Data!$I1380=SottocategorieEntrate[[#Headers],[Business Entrate]],Data!$I1380=SottocategorieEntrate[[#Headers],[Varie Entrate]]),"$ -","")</f>
        <v/>
      </c>
      <c r="O1380" s="59" t="str">
        <f>IF(OR(Data!$I1380=SottocategorieEntrate[[#Headers],[Real Estate]],SottocategorieEntrate[[#Headers],[Other]]),"$ -","")</f>
        <v/>
      </c>
      <c r="P1380" s="59" t="str">
        <f>IF(OR($I1380&lt;&gt;SottocategorieEntrate[[#Headers],[Business Entrate]],$I1380&lt;&gt;SottocategorieEntrate[[#Headers],[Varie Entrate]],$I1380&lt;&gt;SottocategorieEntrate[[#Headers],[Real Estate]],$I1380&lt;&gt;SottocategorieEntrate[[#Headers],[Other]]),"","$ -")</f>
        <v/>
      </c>
      <c r="Q1380" s="59" t="str">
        <f>IF(Dati[[#This Row],[Categoria]]="Prelievo","€ -","")</f>
        <v/>
      </c>
      <c r="R1380" s="244"/>
      <c r="S1380" s="59" t="str">
        <f>IF(Dati[[#This Row],[Categoria]]="Savings",0,"")</f>
        <v/>
      </c>
      <c r="T1380" s="59"/>
      <c r="U1380" s="59"/>
      <c r="V1380" s="59"/>
      <c r="W1380" s="59"/>
      <c r="X1380" s="59"/>
      <c r="Y1380" s="59"/>
      <c r="Z1380" s="59"/>
      <c r="AA1380" s="59"/>
      <c r="AB1380" s="59"/>
      <c r="AC1380" s="59"/>
      <c r="AD1380" s="59"/>
      <c r="AE1380" s="59"/>
      <c r="AF1380" s="59"/>
      <c r="AG1380" s="59"/>
      <c r="AH1380" s="59"/>
      <c r="AI1380" s="59" t="str">
        <f>IF(SUM(Dati[[#This Row],[Inv. Business]:[Inv. Cryptocurrency]])=0," ",SUM(Dati[[#This Row],[Inv. Business]:[Inv. Cryptocurrency]]))</f>
        <v xml:space="preserve"> </v>
      </c>
      <c r="AJ1380" s="59"/>
      <c r="AK1380" s="59" t="str">
        <f>IF(SUM(Dati[[#This Row],[Inv. Gold]:[Mutuo]])=0," ",SUM(Dati[[#This Row],[Inv. Gold]:[Mutuo]]))</f>
        <v xml:space="preserve"> </v>
      </c>
      <c r="AL1380" s="59"/>
      <c r="AM1380" s="59"/>
    </row>
    <row r="1381" spans="2:39" x14ac:dyDescent="0.35">
      <c r="B1381" s="237">
        <f t="shared" si="105"/>
        <v>1361</v>
      </c>
      <c r="C1381" s="49">
        <f t="shared" si="106"/>
        <v>45939</v>
      </c>
      <c r="D1381" s="29">
        <f>DAY(Dati[[#This Row],[Data]])</f>
        <v>9</v>
      </c>
      <c r="E1381" s="29" t="str">
        <f>IF(DAY(Data!$C$21:$C$1613)&gt;0,TEXT(Data!$C$21:$C$1613, "mmmm"),"")</f>
        <v>ottobre</v>
      </c>
      <c r="F1381" s="29" t="str">
        <f>IF(DAY(Data!$C$21:$C$1613)&gt;0,TEXT(Data!$C$21:$C$1613, "aaaa"),"")</f>
        <v>2025</v>
      </c>
      <c r="I1381" t="str">
        <f>IF(OR(H1381=$B$5,H1381=$B$6,H1381=$B$7,H1381=$B$8,H1381=$B$9,H1381=$B$10,H1381=$B$11,H1381=$B$12,H1381=$B$13,H1381=$B$14),SottocategorieUscite[[#Headers],[Fuori Casa]],IF(OR(H1381=$C$5,H1381=$C$6,H1381=$C$7,H1381=$C$8,H1381=$C$9,H1381=$C$10,H1381=$C$11,H1381=$C$12,H1381=$C$13,H1381=$C$14),SottocategorieUscite[[#Headers],[Varie Uscite]],IF(OR(H1381=$D$5,H1381=$D$6,H1381=$D$7,H1381=$D$8,H1381=$D$9,H1381=$D$10,H1381=$D$11,H1381=$D$12,H1381=$D$13,H1381=$D$14),SottocategorieUscite[[#Headers],[Personali]],IF(OR(H1381=$E$5,H1381=$E$6,H1381=$E$7,H1381=$E$8,H1381=$E$9,H1381=$E$10,H1381=$E$11,H1381=$E$12,H1381=$E$13,H1381=$E$14),SottocategorieUscite[[#Headers],[Lavoro]],IF(OR(H1381=$F$5,H1381=$F$6,H1381=$F$7,H1381=$F$8,H1381=$F$9,H1381=$F$10,H1381=$F$11,H1381=$F$12,H1381=$F$13,H1381=$F$14),SottocategorieUscite[[#Headers],[Casa]],IF(OR(H1381=$G$5,H1381=$G$6,H1381=$G$7,H1381=$G$8,H1381=$G$9,H1381=$G$10,H1381=$G$11,H1381=$G$12,H1381=$G$13,H1381=$G$14),SottocategorieUscite[[#Headers],[Utenze]],IF(OR(H1381=$H$5,H1381=$H$6,H1381=$H$7,H1381=$H$8,H1381=$H$9,H1381=$H$10,H1381=$H$11,H1381=$H$12,H1381=$H$13,H1381=$H$14),SottocategorieUscite[[#Headers],[Business Uscite]],IF(OR(H1381=$I$5,H1381=$I$6,H1381=$I$7,H1381=$I$8,H1381=$I$9,H1381=$I$10,H1381=$I$11,H1381=$I$12,H1381=$I$13,H1381=$I$14),SottocategorieUscite[[#Headers],[Banca]],IF(OR(H1381=K$5,H1381=K$6,H1381=K$7,H1381=K$8,H1381=K$9,H1381=K$10,H1381=K$11,H1381=K$12,H1381=K$13,H1381=K$14),SottocategorieEntrate[[#Headers],[Business Entrate]],IF(OR(H1381=L$5,H1381=L$6,H1381=L$7,H1381=L$8,H1381=L$9,H1381=L$10,H1381=L$11,H1381=L$12,H1381=L$13,H1381=L$14),SottocategorieEntrate[[#Headers],[Varie Entrate]],IF(OR(H1381=M$5,H1381=M$6,H1381=M$7,H1381=M$8,H1381=M$9,H1381=M$10,H1381=M$11,H1381=M$12,H1381=M$13,H1381=M$14),SottocategorieEntrate[[#Headers],[Real Estate]],IF(OR(H1381=N$5,H1381=N$6,H1381=N$7,H1381=N$8,H1381=N$9,H1381=N$10,H1381=N$11,H1381=N$12,H1381=N$13,H1381=N$14),SottocategorieEntrate[[#Headers],[Other]],""))))))))))))</f>
        <v/>
      </c>
      <c r="J1381" t="str">
        <f>IF(OR(Dati[[#This Row],[Categoria]]="Bollette",Dati[[#This Row],[Categoria]]="Conto &amp; Carte BNL",Dati[[#This Row],[Categoria]]="Prelievo",Dati[[#This Row],[Categoria]]="Affitto",Dati[[#This Row],[Categoria]]="BNL(Interessi Creditori)"),"Carta",IF(Dati[[#This Row],[Categoria]]&lt;&gt;0,"Cash",""))</f>
        <v/>
      </c>
      <c r="K1381" s="59" t="str">
        <f>IF(OR(Data!$I1381=SottocategorieUscite[[#Headers],[Fuori Casa]],Data!$I1381=SottocategorieUscite[[#Headers],[Varie Uscite]],Data!$I1381=SottocategorieUscite[[#Headers],[Personali]],Data!$I1381=SottocategorieUscite[[#Headers],[Lavoro]]),"$ -","")</f>
        <v/>
      </c>
      <c r="L1381" s="59" t="str">
        <f>IF(OR(Data!$I1381=SottocategorieUscite[[#Headers],[Casa]],Data!$I1381=SottocategorieUscite[[#Headers],[Utenze]],Data!$I1381=SottocategorieUscite[[#Headers],[Business Uscite]],Data!$I1381=SottocategorieUscite[[#Headers],[Banca]]),"$ -","")</f>
        <v/>
      </c>
      <c r="M1381" s="59" t="str">
        <f>IF(OR($I1381&lt;&gt;SottocategorieUscite[[#Headers],[Fuori Casa]],$I1381&lt;&gt;SottocategorieUscite[[#Headers],[Varie Uscite]],$I1381&lt;&gt;SottocategorieUscite[[#Headers],[Personali]],$I1381&lt;&gt;SottocategorieUscite[[#Headers],[Lavoro]],$I1381&lt;&gt;SottocategorieUscite[[#Headers],[Casa]],$I1381&lt;&gt;SottocategorieUscite[[#Headers],[Utenze]],$I1381&lt;&gt;SottocategorieUscite[[#Headers],[Business Uscite]],$I1381&lt;&gt;SottocategorieUscite[[#Headers],[Banca]]),"","$ -")</f>
        <v/>
      </c>
      <c r="N1381" s="59" t="str">
        <f>IF(OR(Data!$I1381=SottocategorieEntrate[[#Headers],[Business Entrate]],Data!$I1381=SottocategorieEntrate[[#Headers],[Varie Entrate]]),"$ -","")</f>
        <v/>
      </c>
      <c r="O1381" s="59" t="str">
        <f>IF(OR(Data!$I1381=SottocategorieEntrate[[#Headers],[Real Estate]],SottocategorieEntrate[[#Headers],[Other]]),"$ -","")</f>
        <v/>
      </c>
      <c r="P1381" s="59" t="str">
        <f>IF(OR($I1381&lt;&gt;SottocategorieEntrate[[#Headers],[Business Entrate]],$I1381&lt;&gt;SottocategorieEntrate[[#Headers],[Varie Entrate]],$I1381&lt;&gt;SottocategorieEntrate[[#Headers],[Real Estate]],$I1381&lt;&gt;SottocategorieEntrate[[#Headers],[Other]]),"","$ -")</f>
        <v/>
      </c>
      <c r="Q1381" s="59" t="str">
        <f>IF(Dati[[#This Row],[Categoria]]="Prelievo","€ -","")</f>
        <v/>
      </c>
      <c r="R1381" s="244"/>
      <c r="S1381" s="59" t="str">
        <f>IF(Dati[[#This Row],[Categoria]]="Savings",0,"")</f>
        <v/>
      </c>
      <c r="T1381" s="59"/>
      <c r="U1381" s="59"/>
      <c r="V1381" s="59"/>
      <c r="W1381" s="59"/>
      <c r="X1381" s="59"/>
      <c r="Y1381" s="59"/>
      <c r="Z1381" s="59"/>
      <c r="AA1381" s="59"/>
      <c r="AB1381" s="59"/>
      <c r="AC1381" s="59"/>
      <c r="AD1381" s="59"/>
      <c r="AE1381" s="59"/>
      <c r="AF1381" s="59"/>
      <c r="AG1381" s="59"/>
      <c r="AH1381" s="59"/>
      <c r="AI1381" s="59" t="str">
        <f>IF(SUM(Dati[[#This Row],[Inv. Business]:[Inv. Cryptocurrency]])=0," ",SUM(Dati[[#This Row],[Inv. Business]:[Inv. Cryptocurrency]]))</f>
        <v xml:space="preserve"> </v>
      </c>
      <c r="AJ1381" s="59"/>
      <c r="AK1381" s="59" t="str">
        <f>IF(SUM(Dati[[#This Row],[Inv. Gold]:[Mutuo]])=0," ",SUM(Dati[[#This Row],[Inv. Gold]:[Mutuo]]))</f>
        <v xml:space="preserve"> </v>
      </c>
      <c r="AL1381" s="59"/>
      <c r="AM1381" s="59"/>
    </row>
    <row r="1382" spans="2:39" x14ac:dyDescent="0.35">
      <c r="B1382" s="237">
        <f t="shared" si="105"/>
        <v>1362</v>
      </c>
      <c r="C1382" s="49">
        <f t="shared" si="106"/>
        <v>45940</v>
      </c>
      <c r="D1382" s="29">
        <f>DAY(Dati[[#This Row],[Data]])</f>
        <v>10</v>
      </c>
      <c r="E1382" s="29" t="str">
        <f>IF(DAY(Data!$C$21:$C$1613)&gt;0,TEXT(Data!$C$21:$C$1613, "mmmm"),"")</f>
        <v>ottobre</v>
      </c>
      <c r="F1382" s="29" t="str">
        <f>IF(DAY(Data!$C$21:$C$1613)&gt;0,TEXT(Data!$C$21:$C$1613, "aaaa"),"")</f>
        <v>2025</v>
      </c>
      <c r="I1382" t="str">
        <f>IF(OR(H1382=$B$5,H1382=$B$6,H1382=$B$7,H1382=$B$8,H1382=$B$9,H1382=$B$10,H1382=$B$11,H1382=$B$12,H1382=$B$13,H1382=$B$14),SottocategorieUscite[[#Headers],[Fuori Casa]],IF(OR(H1382=$C$5,H1382=$C$6,H1382=$C$7,H1382=$C$8,H1382=$C$9,H1382=$C$10,H1382=$C$11,H1382=$C$12,H1382=$C$13,H1382=$C$14),SottocategorieUscite[[#Headers],[Varie Uscite]],IF(OR(H1382=$D$5,H1382=$D$6,H1382=$D$7,H1382=$D$8,H1382=$D$9,H1382=$D$10,H1382=$D$11,H1382=$D$12,H1382=$D$13,H1382=$D$14),SottocategorieUscite[[#Headers],[Personali]],IF(OR(H1382=$E$5,H1382=$E$6,H1382=$E$7,H1382=$E$8,H1382=$E$9,H1382=$E$10,H1382=$E$11,H1382=$E$12,H1382=$E$13,H1382=$E$14),SottocategorieUscite[[#Headers],[Lavoro]],IF(OR(H1382=$F$5,H1382=$F$6,H1382=$F$7,H1382=$F$8,H1382=$F$9,H1382=$F$10,H1382=$F$11,H1382=$F$12,H1382=$F$13,H1382=$F$14),SottocategorieUscite[[#Headers],[Casa]],IF(OR(H1382=$G$5,H1382=$G$6,H1382=$G$7,H1382=$G$8,H1382=$G$9,H1382=$G$10,H1382=$G$11,H1382=$G$12,H1382=$G$13,H1382=$G$14),SottocategorieUscite[[#Headers],[Utenze]],IF(OR(H1382=$H$5,H1382=$H$6,H1382=$H$7,H1382=$H$8,H1382=$H$9,H1382=$H$10,H1382=$H$11,H1382=$H$12,H1382=$H$13,H1382=$H$14),SottocategorieUscite[[#Headers],[Business Uscite]],IF(OR(H1382=$I$5,H1382=$I$6,H1382=$I$7,H1382=$I$8,H1382=$I$9,H1382=$I$10,H1382=$I$11,H1382=$I$12,H1382=$I$13,H1382=$I$14),SottocategorieUscite[[#Headers],[Banca]],IF(OR(H1382=K$5,H1382=K$6,H1382=K$7,H1382=K$8,H1382=K$9,H1382=K$10,H1382=K$11,H1382=K$12,H1382=K$13,H1382=K$14),SottocategorieEntrate[[#Headers],[Business Entrate]],IF(OR(H1382=L$5,H1382=L$6,H1382=L$7,H1382=L$8,H1382=L$9,H1382=L$10,H1382=L$11,H1382=L$12,H1382=L$13,H1382=L$14),SottocategorieEntrate[[#Headers],[Varie Entrate]],IF(OR(H1382=M$5,H1382=M$6,H1382=M$7,H1382=M$8,H1382=M$9,H1382=M$10,H1382=M$11,H1382=M$12,H1382=M$13,H1382=M$14),SottocategorieEntrate[[#Headers],[Real Estate]],IF(OR(H1382=N$5,H1382=N$6,H1382=N$7,H1382=N$8,H1382=N$9,H1382=N$10,H1382=N$11,H1382=N$12,H1382=N$13,H1382=N$14),SottocategorieEntrate[[#Headers],[Other]],""))))))))))))</f>
        <v/>
      </c>
      <c r="J1382" t="str">
        <f>IF(OR(Dati[[#This Row],[Categoria]]="Bollette",Dati[[#This Row],[Categoria]]="Conto &amp; Carte BNL",Dati[[#This Row],[Categoria]]="Prelievo",Dati[[#This Row],[Categoria]]="Affitto",Dati[[#This Row],[Categoria]]="BNL(Interessi Creditori)"),"Carta",IF(Dati[[#This Row],[Categoria]]&lt;&gt;0,"Cash",""))</f>
        <v/>
      </c>
      <c r="K1382" s="59" t="str">
        <f>IF(OR(Data!$I1382=SottocategorieUscite[[#Headers],[Fuori Casa]],Data!$I1382=SottocategorieUscite[[#Headers],[Varie Uscite]],Data!$I1382=SottocategorieUscite[[#Headers],[Personali]],Data!$I1382=SottocategorieUscite[[#Headers],[Lavoro]]),"$ -","")</f>
        <v/>
      </c>
      <c r="L1382" s="59" t="str">
        <f>IF(OR(Data!$I1382=SottocategorieUscite[[#Headers],[Casa]],Data!$I1382=SottocategorieUscite[[#Headers],[Utenze]],Data!$I1382=SottocategorieUscite[[#Headers],[Business Uscite]],Data!$I1382=SottocategorieUscite[[#Headers],[Banca]]),"$ -","")</f>
        <v/>
      </c>
      <c r="M1382" s="59" t="str">
        <f>IF(OR($I1382&lt;&gt;SottocategorieUscite[[#Headers],[Fuori Casa]],$I1382&lt;&gt;SottocategorieUscite[[#Headers],[Varie Uscite]],$I1382&lt;&gt;SottocategorieUscite[[#Headers],[Personali]],$I1382&lt;&gt;SottocategorieUscite[[#Headers],[Lavoro]],$I1382&lt;&gt;SottocategorieUscite[[#Headers],[Casa]],$I1382&lt;&gt;SottocategorieUscite[[#Headers],[Utenze]],$I1382&lt;&gt;SottocategorieUscite[[#Headers],[Business Uscite]],$I1382&lt;&gt;SottocategorieUscite[[#Headers],[Banca]]),"","$ -")</f>
        <v/>
      </c>
      <c r="N1382" s="59" t="str">
        <f>IF(OR(Data!$I1382=SottocategorieEntrate[[#Headers],[Business Entrate]],Data!$I1382=SottocategorieEntrate[[#Headers],[Varie Entrate]]),"$ -","")</f>
        <v/>
      </c>
      <c r="O1382" s="59" t="str">
        <f>IF(OR(Data!$I1382=SottocategorieEntrate[[#Headers],[Real Estate]],SottocategorieEntrate[[#Headers],[Other]]),"$ -","")</f>
        <v/>
      </c>
      <c r="P1382" s="59" t="str">
        <f>IF(OR($I1382&lt;&gt;SottocategorieEntrate[[#Headers],[Business Entrate]],$I1382&lt;&gt;SottocategorieEntrate[[#Headers],[Varie Entrate]],$I1382&lt;&gt;SottocategorieEntrate[[#Headers],[Real Estate]],$I1382&lt;&gt;SottocategorieEntrate[[#Headers],[Other]]),"","$ -")</f>
        <v/>
      </c>
      <c r="Q1382" s="59" t="str">
        <f>IF(Dati[[#This Row],[Categoria]]="Prelievo","€ -","")</f>
        <v/>
      </c>
      <c r="R1382" s="244"/>
      <c r="S1382" s="59" t="str">
        <f>IF(Dati[[#This Row],[Categoria]]="Savings",0,"")</f>
        <v/>
      </c>
      <c r="T1382" s="59"/>
      <c r="U1382" s="59"/>
      <c r="V1382" s="59"/>
      <c r="W1382" s="59"/>
      <c r="X1382" s="59"/>
      <c r="Y1382" s="59"/>
      <c r="Z1382" s="59"/>
      <c r="AA1382" s="59"/>
      <c r="AB1382" s="59"/>
      <c r="AC1382" s="59"/>
      <c r="AD1382" s="59"/>
      <c r="AE1382" s="59"/>
      <c r="AF1382" s="59"/>
      <c r="AG1382" s="59"/>
      <c r="AH1382" s="59"/>
      <c r="AI1382" s="59" t="str">
        <f>IF(SUM(Dati[[#This Row],[Inv. Business]:[Inv. Cryptocurrency]])=0," ",SUM(Dati[[#This Row],[Inv. Business]:[Inv. Cryptocurrency]]))</f>
        <v xml:space="preserve"> </v>
      </c>
      <c r="AJ1382" s="59"/>
      <c r="AK1382" s="59" t="str">
        <f>IF(SUM(Dati[[#This Row],[Inv. Gold]:[Mutuo]])=0," ",SUM(Dati[[#This Row],[Inv. Gold]:[Mutuo]]))</f>
        <v xml:space="preserve"> </v>
      </c>
      <c r="AL1382" s="59"/>
      <c r="AM1382" s="59"/>
    </row>
    <row r="1383" spans="2:39" x14ac:dyDescent="0.35">
      <c r="B1383" s="237">
        <f t="shared" si="105"/>
        <v>1363</v>
      </c>
      <c r="C1383" s="49">
        <f t="shared" si="106"/>
        <v>45941</v>
      </c>
      <c r="D1383" s="29">
        <f>DAY(Dati[[#This Row],[Data]])</f>
        <v>11</v>
      </c>
      <c r="E1383" s="29" t="str">
        <f>IF(DAY(Data!$C$21:$C$1613)&gt;0,TEXT(Data!$C$21:$C$1613, "mmmm"),"")</f>
        <v>ottobre</v>
      </c>
      <c r="F1383" s="29" t="str">
        <f>IF(DAY(Data!$C$21:$C$1613)&gt;0,TEXT(Data!$C$21:$C$1613, "aaaa"),"")</f>
        <v>2025</v>
      </c>
      <c r="I1383" t="str">
        <f>IF(OR(H1383=$B$5,H1383=$B$6,H1383=$B$7,H1383=$B$8,H1383=$B$9,H1383=$B$10,H1383=$B$11,H1383=$B$12,H1383=$B$13,H1383=$B$14),SottocategorieUscite[[#Headers],[Fuori Casa]],IF(OR(H1383=$C$5,H1383=$C$6,H1383=$C$7,H1383=$C$8,H1383=$C$9,H1383=$C$10,H1383=$C$11,H1383=$C$12,H1383=$C$13,H1383=$C$14),SottocategorieUscite[[#Headers],[Varie Uscite]],IF(OR(H1383=$D$5,H1383=$D$6,H1383=$D$7,H1383=$D$8,H1383=$D$9,H1383=$D$10,H1383=$D$11,H1383=$D$12,H1383=$D$13,H1383=$D$14),SottocategorieUscite[[#Headers],[Personali]],IF(OR(H1383=$E$5,H1383=$E$6,H1383=$E$7,H1383=$E$8,H1383=$E$9,H1383=$E$10,H1383=$E$11,H1383=$E$12,H1383=$E$13,H1383=$E$14),SottocategorieUscite[[#Headers],[Lavoro]],IF(OR(H1383=$F$5,H1383=$F$6,H1383=$F$7,H1383=$F$8,H1383=$F$9,H1383=$F$10,H1383=$F$11,H1383=$F$12,H1383=$F$13,H1383=$F$14),SottocategorieUscite[[#Headers],[Casa]],IF(OR(H1383=$G$5,H1383=$G$6,H1383=$G$7,H1383=$G$8,H1383=$G$9,H1383=$G$10,H1383=$G$11,H1383=$G$12,H1383=$G$13,H1383=$G$14),SottocategorieUscite[[#Headers],[Utenze]],IF(OR(H1383=$H$5,H1383=$H$6,H1383=$H$7,H1383=$H$8,H1383=$H$9,H1383=$H$10,H1383=$H$11,H1383=$H$12,H1383=$H$13,H1383=$H$14),SottocategorieUscite[[#Headers],[Business Uscite]],IF(OR(H1383=$I$5,H1383=$I$6,H1383=$I$7,H1383=$I$8,H1383=$I$9,H1383=$I$10,H1383=$I$11,H1383=$I$12,H1383=$I$13,H1383=$I$14),SottocategorieUscite[[#Headers],[Banca]],IF(OR(H1383=K$5,H1383=K$6,H1383=K$7,H1383=K$8,H1383=K$9,H1383=K$10,H1383=K$11,H1383=K$12,H1383=K$13,H1383=K$14),SottocategorieEntrate[[#Headers],[Business Entrate]],IF(OR(H1383=L$5,H1383=L$6,H1383=L$7,H1383=L$8,H1383=L$9,H1383=L$10,H1383=L$11,H1383=L$12,H1383=L$13,H1383=L$14),SottocategorieEntrate[[#Headers],[Varie Entrate]],IF(OR(H1383=M$5,H1383=M$6,H1383=M$7,H1383=M$8,H1383=M$9,H1383=M$10,H1383=M$11,H1383=M$12,H1383=M$13,H1383=M$14),SottocategorieEntrate[[#Headers],[Real Estate]],IF(OR(H1383=N$5,H1383=N$6,H1383=N$7,H1383=N$8,H1383=N$9,H1383=N$10,H1383=N$11,H1383=N$12,H1383=N$13,H1383=N$14),SottocategorieEntrate[[#Headers],[Other]],""))))))))))))</f>
        <v/>
      </c>
      <c r="J1383" t="str">
        <f>IF(OR(Dati[[#This Row],[Categoria]]="Bollette",Dati[[#This Row],[Categoria]]="Conto &amp; Carte BNL",Dati[[#This Row],[Categoria]]="Prelievo",Dati[[#This Row],[Categoria]]="Affitto",Dati[[#This Row],[Categoria]]="BNL(Interessi Creditori)"),"Carta",IF(Dati[[#This Row],[Categoria]]&lt;&gt;0,"Cash",""))</f>
        <v/>
      </c>
      <c r="K1383" s="59" t="str">
        <f>IF(OR(Data!$I1383=SottocategorieUscite[[#Headers],[Fuori Casa]],Data!$I1383=SottocategorieUscite[[#Headers],[Varie Uscite]],Data!$I1383=SottocategorieUscite[[#Headers],[Personali]],Data!$I1383=SottocategorieUscite[[#Headers],[Lavoro]]),"$ -","")</f>
        <v/>
      </c>
      <c r="L1383" s="59" t="str">
        <f>IF(OR(Data!$I1383=SottocategorieUscite[[#Headers],[Casa]],Data!$I1383=SottocategorieUscite[[#Headers],[Utenze]],Data!$I1383=SottocategorieUscite[[#Headers],[Business Uscite]],Data!$I1383=SottocategorieUscite[[#Headers],[Banca]]),"$ -","")</f>
        <v/>
      </c>
      <c r="M1383" s="59" t="str">
        <f>IF(OR($I1383&lt;&gt;SottocategorieUscite[[#Headers],[Fuori Casa]],$I1383&lt;&gt;SottocategorieUscite[[#Headers],[Varie Uscite]],$I1383&lt;&gt;SottocategorieUscite[[#Headers],[Personali]],$I1383&lt;&gt;SottocategorieUscite[[#Headers],[Lavoro]],$I1383&lt;&gt;SottocategorieUscite[[#Headers],[Casa]],$I1383&lt;&gt;SottocategorieUscite[[#Headers],[Utenze]],$I1383&lt;&gt;SottocategorieUscite[[#Headers],[Business Uscite]],$I1383&lt;&gt;SottocategorieUscite[[#Headers],[Banca]]),"","$ -")</f>
        <v/>
      </c>
      <c r="N1383" s="59" t="str">
        <f>IF(OR(Data!$I1383=SottocategorieEntrate[[#Headers],[Business Entrate]],Data!$I1383=SottocategorieEntrate[[#Headers],[Varie Entrate]]),"$ -","")</f>
        <v/>
      </c>
      <c r="O1383" s="59" t="str">
        <f>IF(OR(Data!$I1383=SottocategorieEntrate[[#Headers],[Real Estate]],SottocategorieEntrate[[#Headers],[Other]]),"$ -","")</f>
        <v/>
      </c>
      <c r="P1383" s="59" t="str">
        <f>IF(OR($I1383&lt;&gt;SottocategorieEntrate[[#Headers],[Business Entrate]],$I1383&lt;&gt;SottocategorieEntrate[[#Headers],[Varie Entrate]],$I1383&lt;&gt;SottocategorieEntrate[[#Headers],[Real Estate]],$I1383&lt;&gt;SottocategorieEntrate[[#Headers],[Other]]),"","$ -")</f>
        <v/>
      </c>
      <c r="Q1383" s="59" t="str">
        <f>IF(Dati[[#This Row],[Categoria]]="Prelievo","€ -","")</f>
        <v/>
      </c>
      <c r="R1383" s="244"/>
      <c r="S1383" s="59" t="str">
        <f>IF(Dati[[#This Row],[Categoria]]="Savings",0,"")</f>
        <v/>
      </c>
      <c r="T1383" s="59"/>
      <c r="U1383" s="59"/>
      <c r="V1383" s="59"/>
      <c r="W1383" s="59"/>
      <c r="X1383" s="59"/>
      <c r="Y1383" s="59"/>
      <c r="Z1383" s="59"/>
      <c r="AA1383" s="59"/>
      <c r="AB1383" s="59"/>
      <c r="AC1383" s="59"/>
      <c r="AD1383" s="59"/>
      <c r="AE1383" s="59"/>
      <c r="AF1383" s="59"/>
      <c r="AG1383" s="59"/>
      <c r="AH1383" s="59"/>
      <c r="AI1383" s="59" t="str">
        <f>IF(SUM(Dati[[#This Row],[Inv. Business]:[Inv. Cryptocurrency]])=0," ",SUM(Dati[[#This Row],[Inv. Business]:[Inv. Cryptocurrency]]))</f>
        <v xml:space="preserve"> </v>
      </c>
      <c r="AJ1383" s="59"/>
      <c r="AK1383" s="59" t="str">
        <f>IF(SUM(Dati[[#This Row],[Inv. Gold]:[Mutuo]])=0," ",SUM(Dati[[#This Row],[Inv. Gold]:[Mutuo]]))</f>
        <v xml:space="preserve"> </v>
      </c>
      <c r="AL1383" s="59"/>
      <c r="AM1383" s="59"/>
    </row>
    <row r="1384" spans="2:39" x14ac:dyDescent="0.35">
      <c r="B1384" s="237">
        <f t="shared" si="105"/>
        <v>1364</v>
      </c>
      <c r="C1384" s="49">
        <f t="shared" si="106"/>
        <v>45942</v>
      </c>
      <c r="D1384" s="29">
        <f>DAY(Dati[[#This Row],[Data]])</f>
        <v>12</v>
      </c>
      <c r="E1384" s="29" t="str">
        <f>IF(DAY(Data!$C$21:$C$1613)&gt;0,TEXT(Data!$C$21:$C$1613, "mmmm"),"")</f>
        <v>ottobre</v>
      </c>
      <c r="F1384" s="29" t="str">
        <f>IF(DAY(Data!$C$21:$C$1613)&gt;0,TEXT(Data!$C$21:$C$1613, "aaaa"),"")</f>
        <v>2025</v>
      </c>
      <c r="I1384" t="str">
        <f>IF(OR(H1384=$B$5,H1384=$B$6,H1384=$B$7,H1384=$B$8,H1384=$B$9,H1384=$B$10,H1384=$B$11,H1384=$B$12,H1384=$B$13,H1384=$B$14),SottocategorieUscite[[#Headers],[Fuori Casa]],IF(OR(H1384=$C$5,H1384=$C$6,H1384=$C$7,H1384=$C$8,H1384=$C$9,H1384=$C$10,H1384=$C$11,H1384=$C$12,H1384=$C$13,H1384=$C$14),SottocategorieUscite[[#Headers],[Varie Uscite]],IF(OR(H1384=$D$5,H1384=$D$6,H1384=$D$7,H1384=$D$8,H1384=$D$9,H1384=$D$10,H1384=$D$11,H1384=$D$12,H1384=$D$13,H1384=$D$14),SottocategorieUscite[[#Headers],[Personali]],IF(OR(H1384=$E$5,H1384=$E$6,H1384=$E$7,H1384=$E$8,H1384=$E$9,H1384=$E$10,H1384=$E$11,H1384=$E$12,H1384=$E$13,H1384=$E$14),SottocategorieUscite[[#Headers],[Lavoro]],IF(OR(H1384=$F$5,H1384=$F$6,H1384=$F$7,H1384=$F$8,H1384=$F$9,H1384=$F$10,H1384=$F$11,H1384=$F$12,H1384=$F$13,H1384=$F$14),SottocategorieUscite[[#Headers],[Casa]],IF(OR(H1384=$G$5,H1384=$G$6,H1384=$G$7,H1384=$G$8,H1384=$G$9,H1384=$G$10,H1384=$G$11,H1384=$G$12,H1384=$G$13,H1384=$G$14),SottocategorieUscite[[#Headers],[Utenze]],IF(OR(H1384=$H$5,H1384=$H$6,H1384=$H$7,H1384=$H$8,H1384=$H$9,H1384=$H$10,H1384=$H$11,H1384=$H$12,H1384=$H$13,H1384=$H$14),SottocategorieUscite[[#Headers],[Business Uscite]],IF(OR(H1384=$I$5,H1384=$I$6,H1384=$I$7,H1384=$I$8,H1384=$I$9,H1384=$I$10,H1384=$I$11,H1384=$I$12,H1384=$I$13,H1384=$I$14),SottocategorieUscite[[#Headers],[Banca]],IF(OR(H1384=K$5,H1384=K$6,H1384=K$7,H1384=K$8,H1384=K$9,H1384=K$10,H1384=K$11,H1384=K$12,H1384=K$13,H1384=K$14),SottocategorieEntrate[[#Headers],[Business Entrate]],IF(OR(H1384=L$5,H1384=L$6,H1384=L$7,H1384=L$8,H1384=L$9,H1384=L$10,H1384=L$11,H1384=L$12,H1384=L$13,H1384=L$14),SottocategorieEntrate[[#Headers],[Varie Entrate]],IF(OR(H1384=M$5,H1384=M$6,H1384=M$7,H1384=M$8,H1384=M$9,H1384=M$10,H1384=M$11,H1384=M$12,H1384=M$13,H1384=M$14),SottocategorieEntrate[[#Headers],[Real Estate]],IF(OR(H1384=N$5,H1384=N$6,H1384=N$7,H1384=N$8,H1384=N$9,H1384=N$10,H1384=N$11,H1384=N$12,H1384=N$13,H1384=N$14),SottocategorieEntrate[[#Headers],[Other]],""))))))))))))</f>
        <v/>
      </c>
      <c r="J1384" t="str">
        <f>IF(OR(Dati[[#This Row],[Categoria]]="Bollette",Dati[[#This Row],[Categoria]]="Conto &amp; Carte BNL",Dati[[#This Row],[Categoria]]="Prelievo",Dati[[#This Row],[Categoria]]="Affitto",Dati[[#This Row],[Categoria]]="BNL(Interessi Creditori)"),"Carta",IF(Dati[[#This Row],[Categoria]]&lt;&gt;0,"Cash",""))</f>
        <v/>
      </c>
      <c r="K1384" s="59" t="str">
        <f>IF(OR(Data!$I1384=SottocategorieUscite[[#Headers],[Fuori Casa]],Data!$I1384=SottocategorieUscite[[#Headers],[Varie Uscite]],Data!$I1384=SottocategorieUscite[[#Headers],[Personali]],Data!$I1384=SottocategorieUscite[[#Headers],[Lavoro]]),"$ -","")</f>
        <v/>
      </c>
      <c r="L1384" s="59" t="str">
        <f>IF(OR(Data!$I1384=SottocategorieUscite[[#Headers],[Casa]],Data!$I1384=SottocategorieUscite[[#Headers],[Utenze]],Data!$I1384=SottocategorieUscite[[#Headers],[Business Uscite]],Data!$I1384=SottocategorieUscite[[#Headers],[Banca]]),"$ -","")</f>
        <v/>
      </c>
      <c r="M1384" s="59" t="str">
        <f>IF(OR($I1384&lt;&gt;SottocategorieUscite[[#Headers],[Fuori Casa]],$I1384&lt;&gt;SottocategorieUscite[[#Headers],[Varie Uscite]],$I1384&lt;&gt;SottocategorieUscite[[#Headers],[Personali]],$I1384&lt;&gt;SottocategorieUscite[[#Headers],[Lavoro]],$I1384&lt;&gt;SottocategorieUscite[[#Headers],[Casa]],$I1384&lt;&gt;SottocategorieUscite[[#Headers],[Utenze]],$I1384&lt;&gt;SottocategorieUscite[[#Headers],[Business Uscite]],$I1384&lt;&gt;SottocategorieUscite[[#Headers],[Banca]]),"","$ -")</f>
        <v/>
      </c>
      <c r="N1384" s="59" t="str">
        <f>IF(OR(Data!$I1384=SottocategorieEntrate[[#Headers],[Business Entrate]],Data!$I1384=SottocategorieEntrate[[#Headers],[Varie Entrate]]),"$ -","")</f>
        <v/>
      </c>
      <c r="O1384" s="59" t="str">
        <f>IF(OR(Data!$I1384=SottocategorieEntrate[[#Headers],[Real Estate]],SottocategorieEntrate[[#Headers],[Other]]),"$ -","")</f>
        <v/>
      </c>
      <c r="P1384" s="59" t="str">
        <f>IF(OR($I1384&lt;&gt;SottocategorieEntrate[[#Headers],[Business Entrate]],$I1384&lt;&gt;SottocategorieEntrate[[#Headers],[Varie Entrate]],$I1384&lt;&gt;SottocategorieEntrate[[#Headers],[Real Estate]],$I1384&lt;&gt;SottocategorieEntrate[[#Headers],[Other]]),"","$ -")</f>
        <v/>
      </c>
      <c r="Q1384" s="59" t="str">
        <f>IF(Dati[[#This Row],[Categoria]]="Prelievo","€ -","")</f>
        <v/>
      </c>
      <c r="R1384" s="244"/>
      <c r="S1384" s="59" t="str">
        <f>IF(Dati[[#This Row],[Categoria]]="Savings",0,"")</f>
        <v/>
      </c>
      <c r="T1384" s="59"/>
      <c r="U1384" s="59"/>
      <c r="V1384" s="59"/>
      <c r="W1384" s="59"/>
      <c r="X1384" s="59"/>
      <c r="Y1384" s="59"/>
      <c r="Z1384" s="59"/>
      <c r="AA1384" s="59"/>
      <c r="AB1384" s="59"/>
      <c r="AC1384" s="59"/>
      <c r="AD1384" s="59"/>
      <c r="AE1384" s="59"/>
      <c r="AF1384" s="59"/>
      <c r="AG1384" s="59"/>
      <c r="AH1384" s="59"/>
      <c r="AI1384" s="59" t="str">
        <f>IF(SUM(Dati[[#This Row],[Inv. Business]:[Inv. Cryptocurrency]])=0," ",SUM(Dati[[#This Row],[Inv. Business]:[Inv. Cryptocurrency]]))</f>
        <v xml:space="preserve"> </v>
      </c>
      <c r="AJ1384" s="59"/>
      <c r="AK1384" s="59" t="str">
        <f>IF(SUM(Dati[[#This Row],[Inv. Gold]:[Mutuo]])=0," ",SUM(Dati[[#This Row],[Inv. Gold]:[Mutuo]]))</f>
        <v xml:space="preserve"> </v>
      </c>
      <c r="AL1384" s="59"/>
      <c r="AM1384" s="59"/>
    </row>
    <row r="1385" spans="2:39" x14ac:dyDescent="0.35">
      <c r="B1385" s="237">
        <f t="shared" si="105"/>
        <v>1365</v>
      </c>
      <c r="C1385" s="49">
        <f t="shared" si="106"/>
        <v>45943</v>
      </c>
      <c r="D1385" s="29">
        <f>DAY(Dati[[#This Row],[Data]])</f>
        <v>13</v>
      </c>
      <c r="E1385" s="29" t="str">
        <f>IF(DAY(Data!$C$21:$C$1613)&gt;0,TEXT(Data!$C$21:$C$1613, "mmmm"),"")</f>
        <v>ottobre</v>
      </c>
      <c r="F1385" s="29" t="str">
        <f>IF(DAY(Data!$C$21:$C$1613)&gt;0,TEXT(Data!$C$21:$C$1613, "aaaa"),"")</f>
        <v>2025</v>
      </c>
      <c r="I1385" t="str">
        <f>IF(OR(H1385=$B$5,H1385=$B$6,H1385=$B$7,H1385=$B$8,H1385=$B$9,H1385=$B$10,H1385=$B$11,H1385=$B$12,H1385=$B$13,H1385=$B$14),SottocategorieUscite[[#Headers],[Fuori Casa]],IF(OR(H1385=$C$5,H1385=$C$6,H1385=$C$7,H1385=$C$8,H1385=$C$9,H1385=$C$10,H1385=$C$11,H1385=$C$12,H1385=$C$13,H1385=$C$14),SottocategorieUscite[[#Headers],[Varie Uscite]],IF(OR(H1385=$D$5,H1385=$D$6,H1385=$D$7,H1385=$D$8,H1385=$D$9,H1385=$D$10,H1385=$D$11,H1385=$D$12,H1385=$D$13,H1385=$D$14),SottocategorieUscite[[#Headers],[Personali]],IF(OR(H1385=$E$5,H1385=$E$6,H1385=$E$7,H1385=$E$8,H1385=$E$9,H1385=$E$10,H1385=$E$11,H1385=$E$12,H1385=$E$13,H1385=$E$14),SottocategorieUscite[[#Headers],[Lavoro]],IF(OR(H1385=$F$5,H1385=$F$6,H1385=$F$7,H1385=$F$8,H1385=$F$9,H1385=$F$10,H1385=$F$11,H1385=$F$12,H1385=$F$13,H1385=$F$14),SottocategorieUscite[[#Headers],[Casa]],IF(OR(H1385=$G$5,H1385=$G$6,H1385=$G$7,H1385=$G$8,H1385=$G$9,H1385=$G$10,H1385=$G$11,H1385=$G$12,H1385=$G$13,H1385=$G$14),SottocategorieUscite[[#Headers],[Utenze]],IF(OR(H1385=$H$5,H1385=$H$6,H1385=$H$7,H1385=$H$8,H1385=$H$9,H1385=$H$10,H1385=$H$11,H1385=$H$12,H1385=$H$13,H1385=$H$14),SottocategorieUscite[[#Headers],[Business Uscite]],IF(OR(H1385=$I$5,H1385=$I$6,H1385=$I$7,H1385=$I$8,H1385=$I$9,H1385=$I$10,H1385=$I$11,H1385=$I$12,H1385=$I$13,H1385=$I$14),SottocategorieUscite[[#Headers],[Banca]],IF(OR(H1385=K$5,H1385=K$6,H1385=K$7,H1385=K$8,H1385=K$9,H1385=K$10,H1385=K$11,H1385=K$12,H1385=K$13,H1385=K$14),SottocategorieEntrate[[#Headers],[Business Entrate]],IF(OR(H1385=L$5,H1385=L$6,H1385=L$7,H1385=L$8,H1385=L$9,H1385=L$10,H1385=L$11,H1385=L$12,H1385=L$13,H1385=L$14),SottocategorieEntrate[[#Headers],[Varie Entrate]],IF(OR(H1385=M$5,H1385=M$6,H1385=M$7,H1385=M$8,H1385=M$9,H1385=M$10,H1385=M$11,H1385=M$12,H1385=M$13,H1385=M$14),SottocategorieEntrate[[#Headers],[Real Estate]],IF(OR(H1385=N$5,H1385=N$6,H1385=N$7,H1385=N$8,H1385=N$9,H1385=N$10,H1385=N$11,H1385=N$12,H1385=N$13,H1385=N$14),SottocategorieEntrate[[#Headers],[Other]],""))))))))))))</f>
        <v/>
      </c>
      <c r="J1385" t="str">
        <f>IF(OR(Dati[[#This Row],[Categoria]]="Bollette",Dati[[#This Row],[Categoria]]="Conto &amp; Carte BNL",Dati[[#This Row],[Categoria]]="Prelievo",Dati[[#This Row],[Categoria]]="Affitto",Dati[[#This Row],[Categoria]]="BNL(Interessi Creditori)"),"Carta",IF(Dati[[#This Row],[Categoria]]&lt;&gt;0,"Cash",""))</f>
        <v/>
      </c>
      <c r="K1385" s="59" t="str">
        <f>IF(OR(Data!$I1385=SottocategorieUscite[[#Headers],[Fuori Casa]],Data!$I1385=SottocategorieUscite[[#Headers],[Varie Uscite]],Data!$I1385=SottocategorieUscite[[#Headers],[Personali]],Data!$I1385=SottocategorieUscite[[#Headers],[Lavoro]]),"$ -","")</f>
        <v/>
      </c>
      <c r="L1385" s="59" t="str">
        <f>IF(OR(Data!$I1385=SottocategorieUscite[[#Headers],[Casa]],Data!$I1385=SottocategorieUscite[[#Headers],[Utenze]],Data!$I1385=SottocategorieUscite[[#Headers],[Business Uscite]],Data!$I1385=SottocategorieUscite[[#Headers],[Banca]]),"$ -","")</f>
        <v/>
      </c>
      <c r="M1385" s="59" t="str">
        <f>IF(OR($I1385&lt;&gt;SottocategorieUscite[[#Headers],[Fuori Casa]],$I1385&lt;&gt;SottocategorieUscite[[#Headers],[Varie Uscite]],$I1385&lt;&gt;SottocategorieUscite[[#Headers],[Personali]],$I1385&lt;&gt;SottocategorieUscite[[#Headers],[Lavoro]],$I1385&lt;&gt;SottocategorieUscite[[#Headers],[Casa]],$I1385&lt;&gt;SottocategorieUscite[[#Headers],[Utenze]],$I1385&lt;&gt;SottocategorieUscite[[#Headers],[Business Uscite]],$I1385&lt;&gt;SottocategorieUscite[[#Headers],[Banca]]),"","$ -")</f>
        <v/>
      </c>
      <c r="N1385" s="59" t="str">
        <f>IF(OR(Data!$I1385=SottocategorieEntrate[[#Headers],[Business Entrate]],Data!$I1385=SottocategorieEntrate[[#Headers],[Varie Entrate]]),"$ -","")</f>
        <v/>
      </c>
      <c r="O1385" s="59" t="str">
        <f>IF(OR(Data!$I1385=SottocategorieEntrate[[#Headers],[Real Estate]],SottocategorieEntrate[[#Headers],[Other]]),"$ -","")</f>
        <v/>
      </c>
      <c r="P1385" s="59" t="str">
        <f>IF(OR($I1385&lt;&gt;SottocategorieEntrate[[#Headers],[Business Entrate]],$I1385&lt;&gt;SottocategorieEntrate[[#Headers],[Varie Entrate]],$I1385&lt;&gt;SottocategorieEntrate[[#Headers],[Real Estate]],$I1385&lt;&gt;SottocategorieEntrate[[#Headers],[Other]]),"","$ -")</f>
        <v/>
      </c>
      <c r="Q1385" s="59" t="str">
        <f>IF(Dati[[#This Row],[Categoria]]="Prelievo","€ -","")</f>
        <v/>
      </c>
      <c r="R1385" s="244"/>
      <c r="S1385" s="59" t="str">
        <f>IF(Dati[[#This Row],[Categoria]]="Savings",0,"")</f>
        <v/>
      </c>
      <c r="T1385" s="59"/>
      <c r="U1385" s="59"/>
      <c r="V1385" s="59"/>
      <c r="W1385" s="59"/>
      <c r="X1385" s="59"/>
      <c r="Y1385" s="59"/>
      <c r="Z1385" s="59"/>
      <c r="AA1385" s="59"/>
      <c r="AB1385" s="59"/>
      <c r="AC1385" s="59"/>
      <c r="AD1385" s="59"/>
      <c r="AE1385" s="59"/>
      <c r="AF1385" s="59"/>
      <c r="AG1385" s="59"/>
      <c r="AH1385" s="59"/>
      <c r="AI1385" s="59" t="str">
        <f>IF(SUM(Dati[[#This Row],[Inv. Business]:[Inv. Cryptocurrency]])=0," ",SUM(Dati[[#This Row],[Inv. Business]:[Inv. Cryptocurrency]]))</f>
        <v xml:space="preserve"> </v>
      </c>
      <c r="AJ1385" s="59"/>
      <c r="AK1385" s="59" t="str">
        <f>IF(SUM(Dati[[#This Row],[Inv. Gold]:[Mutuo]])=0," ",SUM(Dati[[#This Row],[Inv. Gold]:[Mutuo]]))</f>
        <v xml:space="preserve"> </v>
      </c>
      <c r="AL1385" s="59"/>
      <c r="AM1385" s="59"/>
    </row>
    <row r="1386" spans="2:39" x14ac:dyDescent="0.35">
      <c r="B1386" s="237">
        <f t="shared" si="105"/>
        <v>1366</v>
      </c>
      <c r="C1386" s="49">
        <f t="shared" si="106"/>
        <v>45944</v>
      </c>
      <c r="D1386" s="29">
        <f>DAY(Dati[[#This Row],[Data]])</f>
        <v>14</v>
      </c>
      <c r="E1386" s="29" t="str">
        <f>IF(DAY(Data!$C$21:$C$1613)&gt;0,TEXT(Data!$C$21:$C$1613, "mmmm"),"")</f>
        <v>ottobre</v>
      </c>
      <c r="F1386" s="29" t="str">
        <f>IF(DAY(Data!$C$21:$C$1613)&gt;0,TEXT(Data!$C$21:$C$1613, "aaaa"),"")</f>
        <v>2025</v>
      </c>
      <c r="I1386" t="str">
        <f>IF(OR(H1386=$B$5,H1386=$B$6,H1386=$B$7,H1386=$B$8,H1386=$B$9,H1386=$B$10,H1386=$B$11,H1386=$B$12,H1386=$B$13,H1386=$B$14),SottocategorieUscite[[#Headers],[Fuori Casa]],IF(OR(H1386=$C$5,H1386=$C$6,H1386=$C$7,H1386=$C$8,H1386=$C$9,H1386=$C$10,H1386=$C$11,H1386=$C$12,H1386=$C$13,H1386=$C$14),SottocategorieUscite[[#Headers],[Varie Uscite]],IF(OR(H1386=$D$5,H1386=$D$6,H1386=$D$7,H1386=$D$8,H1386=$D$9,H1386=$D$10,H1386=$D$11,H1386=$D$12,H1386=$D$13,H1386=$D$14),SottocategorieUscite[[#Headers],[Personali]],IF(OR(H1386=$E$5,H1386=$E$6,H1386=$E$7,H1386=$E$8,H1386=$E$9,H1386=$E$10,H1386=$E$11,H1386=$E$12,H1386=$E$13,H1386=$E$14),SottocategorieUscite[[#Headers],[Lavoro]],IF(OR(H1386=$F$5,H1386=$F$6,H1386=$F$7,H1386=$F$8,H1386=$F$9,H1386=$F$10,H1386=$F$11,H1386=$F$12,H1386=$F$13,H1386=$F$14),SottocategorieUscite[[#Headers],[Casa]],IF(OR(H1386=$G$5,H1386=$G$6,H1386=$G$7,H1386=$G$8,H1386=$G$9,H1386=$G$10,H1386=$G$11,H1386=$G$12,H1386=$G$13,H1386=$G$14),SottocategorieUscite[[#Headers],[Utenze]],IF(OR(H1386=$H$5,H1386=$H$6,H1386=$H$7,H1386=$H$8,H1386=$H$9,H1386=$H$10,H1386=$H$11,H1386=$H$12,H1386=$H$13,H1386=$H$14),SottocategorieUscite[[#Headers],[Business Uscite]],IF(OR(H1386=$I$5,H1386=$I$6,H1386=$I$7,H1386=$I$8,H1386=$I$9,H1386=$I$10,H1386=$I$11,H1386=$I$12,H1386=$I$13,H1386=$I$14),SottocategorieUscite[[#Headers],[Banca]],IF(OR(H1386=K$5,H1386=K$6,H1386=K$7,H1386=K$8,H1386=K$9,H1386=K$10,H1386=K$11,H1386=K$12,H1386=K$13,H1386=K$14),SottocategorieEntrate[[#Headers],[Business Entrate]],IF(OR(H1386=L$5,H1386=L$6,H1386=L$7,H1386=L$8,H1386=L$9,H1386=L$10,H1386=L$11,H1386=L$12,H1386=L$13,H1386=L$14),SottocategorieEntrate[[#Headers],[Varie Entrate]],IF(OR(H1386=M$5,H1386=M$6,H1386=M$7,H1386=M$8,H1386=M$9,H1386=M$10,H1386=M$11,H1386=M$12,H1386=M$13,H1386=M$14),SottocategorieEntrate[[#Headers],[Real Estate]],IF(OR(H1386=N$5,H1386=N$6,H1386=N$7,H1386=N$8,H1386=N$9,H1386=N$10,H1386=N$11,H1386=N$12,H1386=N$13,H1386=N$14),SottocategorieEntrate[[#Headers],[Other]],""))))))))))))</f>
        <v/>
      </c>
      <c r="J1386" t="str">
        <f>IF(OR(Dati[[#This Row],[Categoria]]="Bollette",Dati[[#This Row],[Categoria]]="Conto &amp; Carte BNL",Dati[[#This Row],[Categoria]]="Prelievo",Dati[[#This Row],[Categoria]]="Affitto",Dati[[#This Row],[Categoria]]="BNL(Interessi Creditori)"),"Carta",IF(Dati[[#This Row],[Categoria]]&lt;&gt;0,"Cash",""))</f>
        <v/>
      </c>
      <c r="K1386" s="59" t="str">
        <f>IF(OR(Data!$I1386=SottocategorieUscite[[#Headers],[Fuori Casa]],Data!$I1386=SottocategorieUscite[[#Headers],[Varie Uscite]],Data!$I1386=SottocategorieUscite[[#Headers],[Personali]],Data!$I1386=SottocategorieUscite[[#Headers],[Lavoro]]),"$ -","")</f>
        <v/>
      </c>
      <c r="L1386" s="59" t="str">
        <f>IF(OR(Data!$I1386=SottocategorieUscite[[#Headers],[Casa]],Data!$I1386=SottocategorieUscite[[#Headers],[Utenze]],Data!$I1386=SottocategorieUscite[[#Headers],[Business Uscite]],Data!$I1386=SottocategorieUscite[[#Headers],[Banca]]),"$ -","")</f>
        <v/>
      </c>
      <c r="M1386" s="59" t="str">
        <f>IF(OR($I1386&lt;&gt;SottocategorieUscite[[#Headers],[Fuori Casa]],$I1386&lt;&gt;SottocategorieUscite[[#Headers],[Varie Uscite]],$I1386&lt;&gt;SottocategorieUscite[[#Headers],[Personali]],$I1386&lt;&gt;SottocategorieUscite[[#Headers],[Lavoro]],$I1386&lt;&gt;SottocategorieUscite[[#Headers],[Casa]],$I1386&lt;&gt;SottocategorieUscite[[#Headers],[Utenze]],$I1386&lt;&gt;SottocategorieUscite[[#Headers],[Business Uscite]],$I1386&lt;&gt;SottocategorieUscite[[#Headers],[Banca]]),"","$ -")</f>
        <v/>
      </c>
      <c r="N1386" s="59" t="str">
        <f>IF(OR(Data!$I1386=SottocategorieEntrate[[#Headers],[Business Entrate]],Data!$I1386=SottocategorieEntrate[[#Headers],[Varie Entrate]]),"$ -","")</f>
        <v/>
      </c>
      <c r="O1386" s="59" t="str">
        <f>IF(OR(Data!$I1386=SottocategorieEntrate[[#Headers],[Real Estate]],SottocategorieEntrate[[#Headers],[Other]]),"$ -","")</f>
        <v/>
      </c>
      <c r="P1386" s="59" t="str">
        <f>IF(OR($I1386&lt;&gt;SottocategorieEntrate[[#Headers],[Business Entrate]],$I1386&lt;&gt;SottocategorieEntrate[[#Headers],[Varie Entrate]],$I1386&lt;&gt;SottocategorieEntrate[[#Headers],[Real Estate]],$I1386&lt;&gt;SottocategorieEntrate[[#Headers],[Other]]),"","$ -")</f>
        <v/>
      </c>
      <c r="Q1386" s="59" t="str">
        <f>IF(Dati[[#This Row],[Categoria]]="Prelievo","€ -","")</f>
        <v/>
      </c>
      <c r="R1386" s="244"/>
      <c r="S1386" s="59" t="str">
        <f>IF(Dati[[#This Row],[Categoria]]="Savings",0,"")</f>
        <v/>
      </c>
      <c r="T1386" s="59"/>
      <c r="U1386" s="59"/>
      <c r="V1386" s="59"/>
      <c r="W1386" s="59"/>
      <c r="X1386" s="59"/>
      <c r="Y1386" s="59"/>
      <c r="Z1386" s="59"/>
      <c r="AA1386" s="59"/>
      <c r="AB1386" s="59"/>
      <c r="AC1386" s="59"/>
      <c r="AD1386" s="59"/>
      <c r="AE1386" s="59"/>
      <c r="AF1386" s="59"/>
      <c r="AG1386" s="59"/>
      <c r="AH1386" s="59"/>
      <c r="AI1386" s="59" t="str">
        <f>IF(SUM(Dati[[#This Row],[Inv. Business]:[Inv. Cryptocurrency]])=0," ",SUM(Dati[[#This Row],[Inv. Business]:[Inv. Cryptocurrency]]))</f>
        <v xml:space="preserve"> </v>
      </c>
      <c r="AJ1386" s="59"/>
      <c r="AK1386" s="59" t="str">
        <f>IF(SUM(Dati[[#This Row],[Inv. Gold]:[Mutuo]])=0," ",SUM(Dati[[#This Row],[Inv. Gold]:[Mutuo]]))</f>
        <v xml:space="preserve"> </v>
      </c>
      <c r="AL1386" s="59"/>
      <c r="AM1386" s="59"/>
    </row>
    <row r="1387" spans="2:39" x14ac:dyDescent="0.35">
      <c r="B1387" s="237">
        <f t="shared" si="105"/>
        <v>1367</v>
      </c>
      <c r="C1387" s="49">
        <f t="shared" si="106"/>
        <v>45945</v>
      </c>
      <c r="D1387" s="29">
        <f>DAY(Dati[[#This Row],[Data]])</f>
        <v>15</v>
      </c>
      <c r="E1387" s="29" t="str">
        <f>IF(DAY(Data!$C$21:$C$1613)&gt;0,TEXT(Data!$C$21:$C$1613, "mmmm"),"")</f>
        <v>ottobre</v>
      </c>
      <c r="F1387" s="29" t="str">
        <f>IF(DAY(Data!$C$21:$C$1613)&gt;0,TEXT(Data!$C$21:$C$1613, "aaaa"),"")</f>
        <v>2025</v>
      </c>
      <c r="I1387" t="str">
        <f>IF(OR(H1387=$B$5,H1387=$B$6,H1387=$B$7,H1387=$B$8,H1387=$B$9,H1387=$B$10,H1387=$B$11,H1387=$B$12,H1387=$B$13,H1387=$B$14),SottocategorieUscite[[#Headers],[Fuori Casa]],IF(OR(H1387=$C$5,H1387=$C$6,H1387=$C$7,H1387=$C$8,H1387=$C$9,H1387=$C$10,H1387=$C$11,H1387=$C$12,H1387=$C$13,H1387=$C$14),SottocategorieUscite[[#Headers],[Varie Uscite]],IF(OR(H1387=$D$5,H1387=$D$6,H1387=$D$7,H1387=$D$8,H1387=$D$9,H1387=$D$10,H1387=$D$11,H1387=$D$12,H1387=$D$13,H1387=$D$14),SottocategorieUscite[[#Headers],[Personali]],IF(OR(H1387=$E$5,H1387=$E$6,H1387=$E$7,H1387=$E$8,H1387=$E$9,H1387=$E$10,H1387=$E$11,H1387=$E$12,H1387=$E$13,H1387=$E$14),SottocategorieUscite[[#Headers],[Lavoro]],IF(OR(H1387=$F$5,H1387=$F$6,H1387=$F$7,H1387=$F$8,H1387=$F$9,H1387=$F$10,H1387=$F$11,H1387=$F$12,H1387=$F$13,H1387=$F$14),SottocategorieUscite[[#Headers],[Casa]],IF(OR(H1387=$G$5,H1387=$G$6,H1387=$G$7,H1387=$G$8,H1387=$G$9,H1387=$G$10,H1387=$G$11,H1387=$G$12,H1387=$G$13,H1387=$G$14),SottocategorieUscite[[#Headers],[Utenze]],IF(OR(H1387=$H$5,H1387=$H$6,H1387=$H$7,H1387=$H$8,H1387=$H$9,H1387=$H$10,H1387=$H$11,H1387=$H$12,H1387=$H$13,H1387=$H$14),SottocategorieUscite[[#Headers],[Business Uscite]],IF(OR(H1387=$I$5,H1387=$I$6,H1387=$I$7,H1387=$I$8,H1387=$I$9,H1387=$I$10,H1387=$I$11,H1387=$I$12,H1387=$I$13,H1387=$I$14),SottocategorieUscite[[#Headers],[Banca]],IF(OR(H1387=K$5,H1387=K$6,H1387=K$7,H1387=K$8,H1387=K$9,H1387=K$10,H1387=K$11,H1387=K$12,H1387=K$13,H1387=K$14),SottocategorieEntrate[[#Headers],[Business Entrate]],IF(OR(H1387=L$5,H1387=L$6,H1387=L$7,H1387=L$8,H1387=L$9,H1387=L$10,H1387=L$11,H1387=L$12,H1387=L$13,H1387=L$14),SottocategorieEntrate[[#Headers],[Varie Entrate]],IF(OR(H1387=M$5,H1387=M$6,H1387=M$7,H1387=M$8,H1387=M$9,H1387=M$10,H1387=M$11,H1387=M$12,H1387=M$13,H1387=M$14),SottocategorieEntrate[[#Headers],[Real Estate]],IF(OR(H1387=N$5,H1387=N$6,H1387=N$7,H1387=N$8,H1387=N$9,H1387=N$10,H1387=N$11,H1387=N$12,H1387=N$13,H1387=N$14),SottocategorieEntrate[[#Headers],[Other]],""))))))))))))</f>
        <v/>
      </c>
      <c r="J1387" t="str">
        <f>IF(OR(Dati[[#This Row],[Categoria]]="Bollette",Dati[[#This Row],[Categoria]]="Conto &amp; Carte BNL",Dati[[#This Row],[Categoria]]="Prelievo",Dati[[#This Row],[Categoria]]="Affitto",Dati[[#This Row],[Categoria]]="BNL(Interessi Creditori)"),"Carta",IF(Dati[[#This Row],[Categoria]]&lt;&gt;0,"Cash",""))</f>
        <v/>
      </c>
      <c r="K1387" s="59" t="str">
        <f>IF(OR(Data!$I1387=SottocategorieUscite[[#Headers],[Fuori Casa]],Data!$I1387=SottocategorieUscite[[#Headers],[Varie Uscite]],Data!$I1387=SottocategorieUscite[[#Headers],[Personali]],Data!$I1387=SottocategorieUscite[[#Headers],[Lavoro]]),"$ -","")</f>
        <v/>
      </c>
      <c r="L1387" s="59" t="str">
        <f>IF(OR(Data!$I1387=SottocategorieUscite[[#Headers],[Casa]],Data!$I1387=SottocategorieUscite[[#Headers],[Utenze]],Data!$I1387=SottocategorieUscite[[#Headers],[Business Uscite]],Data!$I1387=SottocategorieUscite[[#Headers],[Banca]]),"$ -","")</f>
        <v/>
      </c>
      <c r="M1387" s="59" t="str">
        <f>IF(OR($I1387&lt;&gt;SottocategorieUscite[[#Headers],[Fuori Casa]],$I1387&lt;&gt;SottocategorieUscite[[#Headers],[Varie Uscite]],$I1387&lt;&gt;SottocategorieUscite[[#Headers],[Personali]],$I1387&lt;&gt;SottocategorieUscite[[#Headers],[Lavoro]],$I1387&lt;&gt;SottocategorieUscite[[#Headers],[Casa]],$I1387&lt;&gt;SottocategorieUscite[[#Headers],[Utenze]],$I1387&lt;&gt;SottocategorieUscite[[#Headers],[Business Uscite]],$I1387&lt;&gt;SottocategorieUscite[[#Headers],[Banca]]),"","$ -")</f>
        <v/>
      </c>
      <c r="N1387" s="59" t="str">
        <f>IF(OR(Data!$I1387=SottocategorieEntrate[[#Headers],[Business Entrate]],Data!$I1387=SottocategorieEntrate[[#Headers],[Varie Entrate]]),"$ -","")</f>
        <v/>
      </c>
      <c r="O1387" s="59" t="str">
        <f>IF(OR(Data!$I1387=SottocategorieEntrate[[#Headers],[Real Estate]],SottocategorieEntrate[[#Headers],[Other]]),"$ -","")</f>
        <v/>
      </c>
      <c r="P1387" s="59" t="str">
        <f>IF(OR($I1387&lt;&gt;SottocategorieEntrate[[#Headers],[Business Entrate]],$I1387&lt;&gt;SottocategorieEntrate[[#Headers],[Varie Entrate]],$I1387&lt;&gt;SottocategorieEntrate[[#Headers],[Real Estate]],$I1387&lt;&gt;SottocategorieEntrate[[#Headers],[Other]]),"","$ -")</f>
        <v/>
      </c>
      <c r="Q1387" s="59" t="str">
        <f>IF(Dati[[#This Row],[Categoria]]="Prelievo","€ -","")</f>
        <v/>
      </c>
      <c r="R1387" s="244"/>
      <c r="S1387" s="59" t="str">
        <f>IF(Dati[[#This Row],[Categoria]]="Savings",0,"")</f>
        <v/>
      </c>
      <c r="T1387" s="59"/>
      <c r="U1387" s="59"/>
      <c r="V1387" s="59"/>
      <c r="W1387" s="59"/>
      <c r="X1387" s="59"/>
      <c r="Y1387" s="59"/>
      <c r="Z1387" s="59"/>
      <c r="AA1387" s="59"/>
      <c r="AB1387" s="59"/>
      <c r="AC1387" s="59"/>
      <c r="AD1387" s="59"/>
      <c r="AE1387" s="59"/>
      <c r="AF1387" s="59"/>
      <c r="AG1387" s="59"/>
      <c r="AH1387" s="59"/>
      <c r="AI1387" s="59" t="str">
        <f>IF(SUM(Dati[[#This Row],[Inv. Business]:[Inv. Cryptocurrency]])=0," ",SUM(Dati[[#This Row],[Inv. Business]:[Inv. Cryptocurrency]]))</f>
        <v xml:space="preserve"> </v>
      </c>
      <c r="AJ1387" s="59"/>
      <c r="AK1387" s="59" t="str">
        <f>IF(SUM(Dati[[#This Row],[Inv. Gold]:[Mutuo]])=0," ",SUM(Dati[[#This Row],[Inv. Gold]:[Mutuo]]))</f>
        <v xml:space="preserve"> </v>
      </c>
      <c r="AL1387" s="59"/>
      <c r="AM1387" s="59"/>
    </row>
    <row r="1388" spans="2:39" x14ac:dyDescent="0.35">
      <c r="B1388" s="237">
        <f t="shared" si="105"/>
        <v>1368</v>
      </c>
      <c r="C1388" s="49">
        <f t="shared" si="106"/>
        <v>45946</v>
      </c>
      <c r="D1388" s="29">
        <f>DAY(Dati[[#This Row],[Data]])</f>
        <v>16</v>
      </c>
      <c r="E1388" s="29" t="str">
        <f>IF(DAY(Data!$C$21:$C$1613)&gt;0,TEXT(Data!$C$21:$C$1613, "mmmm"),"")</f>
        <v>ottobre</v>
      </c>
      <c r="F1388" s="29" t="str">
        <f>IF(DAY(Data!$C$21:$C$1613)&gt;0,TEXT(Data!$C$21:$C$1613, "aaaa"),"")</f>
        <v>2025</v>
      </c>
      <c r="I1388" t="str">
        <f>IF(OR(H1388=$B$5,H1388=$B$6,H1388=$B$7,H1388=$B$8,H1388=$B$9,H1388=$B$10,H1388=$B$11,H1388=$B$12,H1388=$B$13,H1388=$B$14),SottocategorieUscite[[#Headers],[Fuori Casa]],IF(OR(H1388=$C$5,H1388=$C$6,H1388=$C$7,H1388=$C$8,H1388=$C$9,H1388=$C$10,H1388=$C$11,H1388=$C$12,H1388=$C$13,H1388=$C$14),SottocategorieUscite[[#Headers],[Varie Uscite]],IF(OR(H1388=$D$5,H1388=$D$6,H1388=$D$7,H1388=$D$8,H1388=$D$9,H1388=$D$10,H1388=$D$11,H1388=$D$12,H1388=$D$13,H1388=$D$14),SottocategorieUscite[[#Headers],[Personali]],IF(OR(H1388=$E$5,H1388=$E$6,H1388=$E$7,H1388=$E$8,H1388=$E$9,H1388=$E$10,H1388=$E$11,H1388=$E$12,H1388=$E$13,H1388=$E$14),SottocategorieUscite[[#Headers],[Lavoro]],IF(OR(H1388=$F$5,H1388=$F$6,H1388=$F$7,H1388=$F$8,H1388=$F$9,H1388=$F$10,H1388=$F$11,H1388=$F$12,H1388=$F$13,H1388=$F$14),SottocategorieUscite[[#Headers],[Casa]],IF(OR(H1388=$G$5,H1388=$G$6,H1388=$G$7,H1388=$G$8,H1388=$G$9,H1388=$G$10,H1388=$G$11,H1388=$G$12,H1388=$G$13,H1388=$G$14),SottocategorieUscite[[#Headers],[Utenze]],IF(OR(H1388=$H$5,H1388=$H$6,H1388=$H$7,H1388=$H$8,H1388=$H$9,H1388=$H$10,H1388=$H$11,H1388=$H$12,H1388=$H$13,H1388=$H$14),SottocategorieUscite[[#Headers],[Business Uscite]],IF(OR(H1388=$I$5,H1388=$I$6,H1388=$I$7,H1388=$I$8,H1388=$I$9,H1388=$I$10,H1388=$I$11,H1388=$I$12,H1388=$I$13,H1388=$I$14),SottocategorieUscite[[#Headers],[Banca]],IF(OR(H1388=K$5,H1388=K$6,H1388=K$7,H1388=K$8,H1388=K$9,H1388=K$10,H1388=K$11,H1388=K$12,H1388=K$13,H1388=K$14),SottocategorieEntrate[[#Headers],[Business Entrate]],IF(OR(H1388=L$5,H1388=L$6,H1388=L$7,H1388=L$8,H1388=L$9,H1388=L$10,H1388=L$11,H1388=L$12,H1388=L$13,H1388=L$14),SottocategorieEntrate[[#Headers],[Varie Entrate]],IF(OR(H1388=M$5,H1388=M$6,H1388=M$7,H1388=M$8,H1388=M$9,H1388=M$10,H1388=M$11,H1388=M$12,H1388=M$13,H1388=M$14),SottocategorieEntrate[[#Headers],[Real Estate]],IF(OR(H1388=N$5,H1388=N$6,H1388=N$7,H1388=N$8,H1388=N$9,H1388=N$10,H1388=N$11,H1388=N$12,H1388=N$13,H1388=N$14),SottocategorieEntrate[[#Headers],[Other]],""))))))))))))</f>
        <v/>
      </c>
      <c r="J1388" t="str">
        <f>IF(OR(Dati[[#This Row],[Categoria]]="Bollette",Dati[[#This Row],[Categoria]]="Conto &amp; Carte BNL",Dati[[#This Row],[Categoria]]="Prelievo",Dati[[#This Row],[Categoria]]="Affitto",Dati[[#This Row],[Categoria]]="BNL(Interessi Creditori)"),"Carta",IF(Dati[[#This Row],[Categoria]]&lt;&gt;0,"Cash",""))</f>
        <v/>
      </c>
      <c r="K1388" s="59" t="str">
        <f>IF(OR(Data!$I1388=SottocategorieUscite[[#Headers],[Fuori Casa]],Data!$I1388=SottocategorieUscite[[#Headers],[Varie Uscite]],Data!$I1388=SottocategorieUscite[[#Headers],[Personali]],Data!$I1388=SottocategorieUscite[[#Headers],[Lavoro]]),"$ -","")</f>
        <v/>
      </c>
      <c r="L1388" s="59" t="str">
        <f>IF(OR(Data!$I1388=SottocategorieUscite[[#Headers],[Casa]],Data!$I1388=SottocategorieUscite[[#Headers],[Utenze]],Data!$I1388=SottocategorieUscite[[#Headers],[Business Uscite]],Data!$I1388=SottocategorieUscite[[#Headers],[Banca]]),"$ -","")</f>
        <v/>
      </c>
      <c r="M1388" s="59" t="str">
        <f>IF(OR($I1388&lt;&gt;SottocategorieUscite[[#Headers],[Fuori Casa]],$I1388&lt;&gt;SottocategorieUscite[[#Headers],[Varie Uscite]],$I1388&lt;&gt;SottocategorieUscite[[#Headers],[Personali]],$I1388&lt;&gt;SottocategorieUscite[[#Headers],[Lavoro]],$I1388&lt;&gt;SottocategorieUscite[[#Headers],[Casa]],$I1388&lt;&gt;SottocategorieUscite[[#Headers],[Utenze]],$I1388&lt;&gt;SottocategorieUscite[[#Headers],[Business Uscite]],$I1388&lt;&gt;SottocategorieUscite[[#Headers],[Banca]]),"","$ -")</f>
        <v/>
      </c>
      <c r="N1388" s="59" t="str">
        <f>IF(OR(Data!$I1388=SottocategorieEntrate[[#Headers],[Business Entrate]],Data!$I1388=SottocategorieEntrate[[#Headers],[Varie Entrate]]),"$ -","")</f>
        <v/>
      </c>
      <c r="O1388" s="59" t="str">
        <f>IF(OR(Data!$I1388=SottocategorieEntrate[[#Headers],[Real Estate]],SottocategorieEntrate[[#Headers],[Other]]),"$ -","")</f>
        <v/>
      </c>
      <c r="P1388" s="59" t="str">
        <f>IF(OR($I1388&lt;&gt;SottocategorieEntrate[[#Headers],[Business Entrate]],$I1388&lt;&gt;SottocategorieEntrate[[#Headers],[Varie Entrate]],$I1388&lt;&gt;SottocategorieEntrate[[#Headers],[Real Estate]],$I1388&lt;&gt;SottocategorieEntrate[[#Headers],[Other]]),"","$ -")</f>
        <v/>
      </c>
      <c r="Q1388" s="59" t="str">
        <f>IF(Dati[[#This Row],[Categoria]]="Prelievo","€ -","")</f>
        <v/>
      </c>
      <c r="R1388" s="244"/>
      <c r="S1388" s="59" t="str">
        <f>IF(Dati[[#This Row],[Categoria]]="Savings",0,"")</f>
        <v/>
      </c>
      <c r="T1388" s="59"/>
      <c r="U1388" s="59"/>
      <c r="V1388" s="59"/>
      <c r="W1388" s="59"/>
      <c r="X1388" s="59"/>
      <c r="Y1388" s="59"/>
      <c r="Z1388" s="59"/>
      <c r="AA1388" s="59"/>
      <c r="AB1388" s="59"/>
      <c r="AC1388" s="59"/>
      <c r="AD1388" s="59"/>
      <c r="AE1388" s="59"/>
      <c r="AF1388" s="59"/>
      <c r="AG1388" s="59"/>
      <c r="AH1388" s="59"/>
      <c r="AI1388" s="59" t="str">
        <f>IF(SUM(Dati[[#This Row],[Inv. Business]:[Inv. Cryptocurrency]])=0," ",SUM(Dati[[#This Row],[Inv. Business]:[Inv. Cryptocurrency]]))</f>
        <v xml:space="preserve"> </v>
      </c>
      <c r="AJ1388" s="59"/>
      <c r="AK1388" s="59" t="str">
        <f>IF(SUM(Dati[[#This Row],[Inv. Gold]:[Mutuo]])=0," ",SUM(Dati[[#This Row],[Inv. Gold]:[Mutuo]]))</f>
        <v xml:space="preserve"> </v>
      </c>
      <c r="AL1388" s="59"/>
      <c r="AM1388" s="59"/>
    </row>
    <row r="1389" spans="2:39" x14ac:dyDescent="0.35">
      <c r="B1389" s="237">
        <f t="shared" si="105"/>
        <v>1369</v>
      </c>
      <c r="C1389" s="49">
        <f t="shared" si="106"/>
        <v>45947</v>
      </c>
      <c r="D1389" s="29">
        <f>DAY(Dati[[#This Row],[Data]])</f>
        <v>17</v>
      </c>
      <c r="E1389" s="29" t="str">
        <f>IF(DAY(Data!$C$21:$C$1613)&gt;0,TEXT(Data!$C$21:$C$1613, "mmmm"),"")</f>
        <v>ottobre</v>
      </c>
      <c r="F1389" s="29" t="str">
        <f>IF(DAY(Data!$C$21:$C$1613)&gt;0,TEXT(Data!$C$21:$C$1613, "aaaa"),"")</f>
        <v>2025</v>
      </c>
      <c r="I1389" t="str">
        <f>IF(OR(H1389=$B$5,H1389=$B$6,H1389=$B$7,H1389=$B$8,H1389=$B$9,H1389=$B$10,H1389=$B$11,H1389=$B$12,H1389=$B$13,H1389=$B$14),SottocategorieUscite[[#Headers],[Fuori Casa]],IF(OR(H1389=$C$5,H1389=$C$6,H1389=$C$7,H1389=$C$8,H1389=$C$9,H1389=$C$10,H1389=$C$11,H1389=$C$12,H1389=$C$13,H1389=$C$14),SottocategorieUscite[[#Headers],[Varie Uscite]],IF(OR(H1389=$D$5,H1389=$D$6,H1389=$D$7,H1389=$D$8,H1389=$D$9,H1389=$D$10,H1389=$D$11,H1389=$D$12,H1389=$D$13,H1389=$D$14),SottocategorieUscite[[#Headers],[Personali]],IF(OR(H1389=$E$5,H1389=$E$6,H1389=$E$7,H1389=$E$8,H1389=$E$9,H1389=$E$10,H1389=$E$11,H1389=$E$12,H1389=$E$13,H1389=$E$14),SottocategorieUscite[[#Headers],[Lavoro]],IF(OR(H1389=$F$5,H1389=$F$6,H1389=$F$7,H1389=$F$8,H1389=$F$9,H1389=$F$10,H1389=$F$11,H1389=$F$12,H1389=$F$13,H1389=$F$14),SottocategorieUscite[[#Headers],[Casa]],IF(OR(H1389=$G$5,H1389=$G$6,H1389=$G$7,H1389=$G$8,H1389=$G$9,H1389=$G$10,H1389=$G$11,H1389=$G$12,H1389=$G$13,H1389=$G$14),SottocategorieUscite[[#Headers],[Utenze]],IF(OR(H1389=$H$5,H1389=$H$6,H1389=$H$7,H1389=$H$8,H1389=$H$9,H1389=$H$10,H1389=$H$11,H1389=$H$12,H1389=$H$13,H1389=$H$14),SottocategorieUscite[[#Headers],[Business Uscite]],IF(OR(H1389=$I$5,H1389=$I$6,H1389=$I$7,H1389=$I$8,H1389=$I$9,H1389=$I$10,H1389=$I$11,H1389=$I$12,H1389=$I$13,H1389=$I$14),SottocategorieUscite[[#Headers],[Banca]],IF(OR(H1389=K$5,H1389=K$6,H1389=K$7,H1389=K$8,H1389=K$9,H1389=K$10,H1389=K$11,H1389=K$12,H1389=K$13,H1389=K$14),SottocategorieEntrate[[#Headers],[Business Entrate]],IF(OR(H1389=L$5,H1389=L$6,H1389=L$7,H1389=L$8,H1389=L$9,H1389=L$10,H1389=L$11,H1389=L$12,H1389=L$13,H1389=L$14),SottocategorieEntrate[[#Headers],[Varie Entrate]],IF(OR(H1389=M$5,H1389=M$6,H1389=M$7,H1389=M$8,H1389=M$9,H1389=M$10,H1389=M$11,H1389=M$12,H1389=M$13,H1389=M$14),SottocategorieEntrate[[#Headers],[Real Estate]],IF(OR(H1389=N$5,H1389=N$6,H1389=N$7,H1389=N$8,H1389=N$9,H1389=N$10,H1389=N$11,H1389=N$12,H1389=N$13,H1389=N$14),SottocategorieEntrate[[#Headers],[Other]],""))))))))))))</f>
        <v/>
      </c>
      <c r="J1389" t="str">
        <f>IF(OR(Dati[[#This Row],[Categoria]]="Bollette",Dati[[#This Row],[Categoria]]="Conto &amp; Carte BNL",Dati[[#This Row],[Categoria]]="Prelievo",Dati[[#This Row],[Categoria]]="Affitto",Dati[[#This Row],[Categoria]]="BNL(Interessi Creditori)"),"Carta",IF(Dati[[#This Row],[Categoria]]&lt;&gt;0,"Cash",""))</f>
        <v/>
      </c>
      <c r="K1389" s="59" t="str">
        <f>IF(OR(Data!$I1389=SottocategorieUscite[[#Headers],[Fuori Casa]],Data!$I1389=SottocategorieUscite[[#Headers],[Varie Uscite]],Data!$I1389=SottocategorieUscite[[#Headers],[Personali]],Data!$I1389=SottocategorieUscite[[#Headers],[Lavoro]]),"$ -","")</f>
        <v/>
      </c>
      <c r="L1389" s="59" t="str">
        <f>IF(OR(Data!$I1389=SottocategorieUscite[[#Headers],[Casa]],Data!$I1389=SottocategorieUscite[[#Headers],[Utenze]],Data!$I1389=SottocategorieUscite[[#Headers],[Business Uscite]],Data!$I1389=SottocategorieUscite[[#Headers],[Banca]]),"$ -","")</f>
        <v/>
      </c>
      <c r="M1389" s="59" t="str">
        <f>IF(OR($I1389&lt;&gt;SottocategorieUscite[[#Headers],[Fuori Casa]],$I1389&lt;&gt;SottocategorieUscite[[#Headers],[Varie Uscite]],$I1389&lt;&gt;SottocategorieUscite[[#Headers],[Personali]],$I1389&lt;&gt;SottocategorieUscite[[#Headers],[Lavoro]],$I1389&lt;&gt;SottocategorieUscite[[#Headers],[Casa]],$I1389&lt;&gt;SottocategorieUscite[[#Headers],[Utenze]],$I1389&lt;&gt;SottocategorieUscite[[#Headers],[Business Uscite]],$I1389&lt;&gt;SottocategorieUscite[[#Headers],[Banca]]),"","$ -")</f>
        <v/>
      </c>
      <c r="N1389" s="59" t="str">
        <f>IF(OR(Data!$I1389=SottocategorieEntrate[[#Headers],[Business Entrate]],Data!$I1389=SottocategorieEntrate[[#Headers],[Varie Entrate]]),"$ -","")</f>
        <v/>
      </c>
      <c r="O1389" s="59" t="str">
        <f>IF(OR(Data!$I1389=SottocategorieEntrate[[#Headers],[Real Estate]],SottocategorieEntrate[[#Headers],[Other]]),"$ -","")</f>
        <v/>
      </c>
      <c r="P1389" s="59" t="str">
        <f>IF(OR($I1389&lt;&gt;SottocategorieEntrate[[#Headers],[Business Entrate]],$I1389&lt;&gt;SottocategorieEntrate[[#Headers],[Varie Entrate]],$I1389&lt;&gt;SottocategorieEntrate[[#Headers],[Real Estate]],$I1389&lt;&gt;SottocategorieEntrate[[#Headers],[Other]]),"","$ -")</f>
        <v/>
      </c>
      <c r="Q1389" s="59" t="str">
        <f>IF(Dati[[#This Row],[Categoria]]="Prelievo","€ -","")</f>
        <v/>
      </c>
      <c r="R1389" s="244"/>
      <c r="S1389" s="59" t="str">
        <f>IF(Dati[[#This Row],[Categoria]]="Savings",0,"")</f>
        <v/>
      </c>
      <c r="T1389" s="59"/>
      <c r="U1389" s="59"/>
      <c r="V1389" s="59"/>
      <c r="W1389" s="59"/>
      <c r="X1389" s="59"/>
      <c r="Y1389" s="59"/>
      <c r="Z1389" s="59"/>
      <c r="AA1389" s="59"/>
      <c r="AB1389" s="59"/>
      <c r="AC1389" s="59"/>
      <c r="AD1389" s="59"/>
      <c r="AE1389" s="59"/>
      <c r="AF1389" s="59"/>
      <c r="AG1389" s="59"/>
      <c r="AH1389" s="59"/>
      <c r="AI1389" s="59" t="str">
        <f>IF(SUM(Dati[[#This Row],[Inv. Business]:[Inv. Cryptocurrency]])=0," ",SUM(Dati[[#This Row],[Inv. Business]:[Inv. Cryptocurrency]]))</f>
        <v xml:space="preserve"> </v>
      </c>
      <c r="AJ1389" s="59"/>
      <c r="AK1389" s="59" t="str">
        <f>IF(SUM(Dati[[#This Row],[Inv. Gold]:[Mutuo]])=0," ",SUM(Dati[[#This Row],[Inv. Gold]:[Mutuo]]))</f>
        <v xml:space="preserve"> </v>
      </c>
      <c r="AL1389" s="59"/>
      <c r="AM1389" s="59"/>
    </row>
    <row r="1390" spans="2:39" x14ac:dyDescent="0.35">
      <c r="B1390" s="237">
        <f t="shared" si="105"/>
        <v>1370</v>
      </c>
      <c r="C1390" s="49">
        <f t="shared" si="106"/>
        <v>45948</v>
      </c>
      <c r="D1390" s="29">
        <f>DAY(Dati[[#This Row],[Data]])</f>
        <v>18</v>
      </c>
      <c r="E1390" s="29" t="str">
        <f>IF(DAY(Data!$C$21:$C$1613)&gt;0,TEXT(Data!$C$21:$C$1613, "mmmm"),"")</f>
        <v>ottobre</v>
      </c>
      <c r="F1390" s="29" t="str">
        <f>IF(DAY(Data!$C$21:$C$1613)&gt;0,TEXT(Data!$C$21:$C$1613, "aaaa"),"")</f>
        <v>2025</v>
      </c>
      <c r="I1390" t="str">
        <f>IF(OR(H1390=$B$5,H1390=$B$6,H1390=$B$7,H1390=$B$8,H1390=$B$9,H1390=$B$10,H1390=$B$11,H1390=$B$12,H1390=$B$13,H1390=$B$14),SottocategorieUscite[[#Headers],[Fuori Casa]],IF(OR(H1390=$C$5,H1390=$C$6,H1390=$C$7,H1390=$C$8,H1390=$C$9,H1390=$C$10,H1390=$C$11,H1390=$C$12,H1390=$C$13,H1390=$C$14),SottocategorieUscite[[#Headers],[Varie Uscite]],IF(OR(H1390=$D$5,H1390=$D$6,H1390=$D$7,H1390=$D$8,H1390=$D$9,H1390=$D$10,H1390=$D$11,H1390=$D$12,H1390=$D$13,H1390=$D$14),SottocategorieUscite[[#Headers],[Personali]],IF(OR(H1390=$E$5,H1390=$E$6,H1390=$E$7,H1390=$E$8,H1390=$E$9,H1390=$E$10,H1390=$E$11,H1390=$E$12,H1390=$E$13,H1390=$E$14),SottocategorieUscite[[#Headers],[Lavoro]],IF(OR(H1390=$F$5,H1390=$F$6,H1390=$F$7,H1390=$F$8,H1390=$F$9,H1390=$F$10,H1390=$F$11,H1390=$F$12,H1390=$F$13,H1390=$F$14),SottocategorieUscite[[#Headers],[Casa]],IF(OR(H1390=$G$5,H1390=$G$6,H1390=$G$7,H1390=$G$8,H1390=$G$9,H1390=$G$10,H1390=$G$11,H1390=$G$12,H1390=$G$13,H1390=$G$14),SottocategorieUscite[[#Headers],[Utenze]],IF(OR(H1390=$H$5,H1390=$H$6,H1390=$H$7,H1390=$H$8,H1390=$H$9,H1390=$H$10,H1390=$H$11,H1390=$H$12,H1390=$H$13,H1390=$H$14),SottocategorieUscite[[#Headers],[Business Uscite]],IF(OR(H1390=$I$5,H1390=$I$6,H1390=$I$7,H1390=$I$8,H1390=$I$9,H1390=$I$10,H1390=$I$11,H1390=$I$12,H1390=$I$13,H1390=$I$14),SottocategorieUscite[[#Headers],[Banca]],IF(OR(H1390=K$5,H1390=K$6,H1390=K$7,H1390=K$8,H1390=K$9,H1390=K$10,H1390=K$11,H1390=K$12,H1390=K$13,H1390=K$14),SottocategorieEntrate[[#Headers],[Business Entrate]],IF(OR(H1390=L$5,H1390=L$6,H1390=L$7,H1390=L$8,H1390=L$9,H1390=L$10,H1390=L$11,H1390=L$12,H1390=L$13,H1390=L$14),SottocategorieEntrate[[#Headers],[Varie Entrate]],IF(OR(H1390=M$5,H1390=M$6,H1390=M$7,H1390=M$8,H1390=M$9,H1390=M$10,H1390=M$11,H1390=M$12,H1390=M$13,H1390=M$14),SottocategorieEntrate[[#Headers],[Real Estate]],IF(OR(H1390=N$5,H1390=N$6,H1390=N$7,H1390=N$8,H1390=N$9,H1390=N$10,H1390=N$11,H1390=N$12,H1390=N$13,H1390=N$14),SottocategorieEntrate[[#Headers],[Other]],""))))))))))))</f>
        <v/>
      </c>
      <c r="J1390" t="str">
        <f>IF(OR(Dati[[#This Row],[Categoria]]="Bollette",Dati[[#This Row],[Categoria]]="Conto &amp; Carte BNL",Dati[[#This Row],[Categoria]]="Prelievo",Dati[[#This Row],[Categoria]]="Affitto",Dati[[#This Row],[Categoria]]="BNL(Interessi Creditori)"),"Carta",IF(Dati[[#This Row],[Categoria]]&lt;&gt;0,"Cash",""))</f>
        <v/>
      </c>
      <c r="K1390" s="59" t="str">
        <f>IF(OR(Data!$I1390=SottocategorieUscite[[#Headers],[Fuori Casa]],Data!$I1390=SottocategorieUscite[[#Headers],[Varie Uscite]],Data!$I1390=SottocategorieUscite[[#Headers],[Personali]],Data!$I1390=SottocategorieUscite[[#Headers],[Lavoro]]),"$ -","")</f>
        <v/>
      </c>
      <c r="L1390" s="59" t="str">
        <f>IF(OR(Data!$I1390=SottocategorieUscite[[#Headers],[Casa]],Data!$I1390=SottocategorieUscite[[#Headers],[Utenze]],Data!$I1390=SottocategorieUscite[[#Headers],[Business Uscite]],Data!$I1390=SottocategorieUscite[[#Headers],[Banca]]),"$ -","")</f>
        <v/>
      </c>
      <c r="M1390" s="59" t="str">
        <f>IF(OR($I1390&lt;&gt;SottocategorieUscite[[#Headers],[Fuori Casa]],$I1390&lt;&gt;SottocategorieUscite[[#Headers],[Varie Uscite]],$I1390&lt;&gt;SottocategorieUscite[[#Headers],[Personali]],$I1390&lt;&gt;SottocategorieUscite[[#Headers],[Lavoro]],$I1390&lt;&gt;SottocategorieUscite[[#Headers],[Casa]],$I1390&lt;&gt;SottocategorieUscite[[#Headers],[Utenze]],$I1390&lt;&gt;SottocategorieUscite[[#Headers],[Business Uscite]],$I1390&lt;&gt;SottocategorieUscite[[#Headers],[Banca]]),"","$ -")</f>
        <v/>
      </c>
      <c r="N1390" s="59" t="str">
        <f>IF(OR(Data!$I1390=SottocategorieEntrate[[#Headers],[Business Entrate]],Data!$I1390=SottocategorieEntrate[[#Headers],[Varie Entrate]]),"$ -","")</f>
        <v/>
      </c>
      <c r="O1390" s="59" t="str">
        <f>IF(OR(Data!$I1390=SottocategorieEntrate[[#Headers],[Real Estate]],SottocategorieEntrate[[#Headers],[Other]]),"$ -","")</f>
        <v/>
      </c>
      <c r="P1390" s="59" t="str">
        <f>IF(OR($I1390&lt;&gt;SottocategorieEntrate[[#Headers],[Business Entrate]],$I1390&lt;&gt;SottocategorieEntrate[[#Headers],[Varie Entrate]],$I1390&lt;&gt;SottocategorieEntrate[[#Headers],[Real Estate]],$I1390&lt;&gt;SottocategorieEntrate[[#Headers],[Other]]),"","$ -")</f>
        <v/>
      </c>
      <c r="Q1390" s="59" t="str">
        <f>IF(Dati[[#This Row],[Categoria]]="Prelievo","€ -","")</f>
        <v/>
      </c>
      <c r="R1390" s="244"/>
      <c r="S1390" s="59" t="str">
        <f>IF(Dati[[#This Row],[Categoria]]="Savings",0,"")</f>
        <v/>
      </c>
      <c r="T1390" s="59"/>
      <c r="U1390" s="59"/>
      <c r="V1390" s="59"/>
      <c r="W1390" s="59"/>
      <c r="X1390" s="59"/>
      <c r="Y1390" s="59"/>
      <c r="Z1390" s="59"/>
      <c r="AA1390" s="59"/>
      <c r="AB1390" s="59"/>
      <c r="AC1390" s="59"/>
      <c r="AD1390" s="59"/>
      <c r="AE1390" s="59"/>
      <c r="AF1390" s="59"/>
      <c r="AG1390" s="59"/>
      <c r="AH1390" s="59"/>
      <c r="AI1390" s="59" t="str">
        <f>IF(SUM(Dati[[#This Row],[Inv. Business]:[Inv. Cryptocurrency]])=0," ",SUM(Dati[[#This Row],[Inv. Business]:[Inv. Cryptocurrency]]))</f>
        <v xml:space="preserve"> </v>
      </c>
      <c r="AJ1390" s="59"/>
      <c r="AK1390" s="59" t="str">
        <f>IF(SUM(Dati[[#This Row],[Inv. Gold]:[Mutuo]])=0," ",SUM(Dati[[#This Row],[Inv. Gold]:[Mutuo]]))</f>
        <v xml:space="preserve"> </v>
      </c>
      <c r="AL1390" s="59"/>
      <c r="AM1390" s="59"/>
    </row>
    <row r="1391" spans="2:39" x14ac:dyDescent="0.35">
      <c r="B1391" s="237">
        <f t="shared" si="105"/>
        <v>1371</v>
      </c>
      <c r="C1391" s="49">
        <f t="shared" si="106"/>
        <v>45949</v>
      </c>
      <c r="D1391" s="29">
        <f>DAY(Dati[[#This Row],[Data]])</f>
        <v>19</v>
      </c>
      <c r="E1391" s="29" t="str">
        <f>IF(DAY(Data!$C$21:$C$1613)&gt;0,TEXT(Data!$C$21:$C$1613, "mmmm"),"")</f>
        <v>ottobre</v>
      </c>
      <c r="F1391" s="29" t="str">
        <f>IF(DAY(Data!$C$21:$C$1613)&gt;0,TEXT(Data!$C$21:$C$1613, "aaaa"),"")</f>
        <v>2025</v>
      </c>
      <c r="I1391" t="str">
        <f>IF(OR(H1391=$B$5,H1391=$B$6,H1391=$B$7,H1391=$B$8,H1391=$B$9,H1391=$B$10,H1391=$B$11,H1391=$B$12,H1391=$B$13,H1391=$B$14),SottocategorieUscite[[#Headers],[Fuori Casa]],IF(OR(H1391=$C$5,H1391=$C$6,H1391=$C$7,H1391=$C$8,H1391=$C$9,H1391=$C$10,H1391=$C$11,H1391=$C$12,H1391=$C$13,H1391=$C$14),SottocategorieUscite[[#Headers],[Varie Uscite]],IF(OR(H1391=$D$5,H1391=$D$6,H1391=$D$7,H1391=$D$8,H1391=$D$9,H1391=$D$10,H1391=$D$11,H1391=$D$12,H1391=$D$13,H1391=$D$14),SottocategorieUscite[[#Headers],[Personali]],IF(OR(H1391=$E$5,H1391=$E$6,H1391=$E$7,H1391=$E$8,H1391=$E$9,H1391=$E$10,H1391=$E$11,H1391=$E$12,H1391=$E$13,H1391=$E$14),SottocategorieUscite[[#Headers],[Lavoro]],IF(OR(H1391=$F$5,H1391=$F$6,H1391=$F$7,H1391=$F$8,H1391=$F$9,H1391=$F$10,H1391=$F$11,H1391=$F$12,H1391=$F$13,H1391=$F$14),SottocategorieUscite[[#Headers],[Casa]],IF(OR(H1391=$G$5,H1391=$G$6,H1391=$G$7,H1391=$G$8,H1391=$G$9,H1391=$G$10,H1391=$G$11,H1391=$G$12,H1391=$G$13,H1391=$G$14),SottocategorieUscite[[#Headers],[Utenze]],IF(OR(H1391=$H$5,H1391=$H$6,H1391=$H$7,H1391=$H$8,H1391=$H$9,H1391=$H$10,H1391=$H$11,H1391=$H$12,H1391=$H$13,H1391=$H$14),SottocategorieUscite[[#Headers],[Business Uscite]],IF(OR(H1391=$I$5,H1391=$I$6,H1391=$I$7,H1391=$I$8,H1391=$I$9,H1391=$I$10,H1391=$I$11,H1391=$I$12,H1391=$I$13,H1391=$I$14),SottocategorieUscite[[#Headers],[Banca]],IF(OR(H1391=K$5,H1391=K$6,H1391=K$7,H1391=K$8,H1391=K$9,H1391=K$10,H1391=K$11,H1391=K$12,H1391=K$13,H1391=K$14),SottocategorieEntrate[[#Headers],[Business Entrate]],IF(OR(H1391=L$5,H1391=L$6,H1391=L$7,H1391=L$8,H1391=L$9,H1391=L$10,H1391=L$11,H1391=L$12,H1391=L$13,H1391=L$14),SottocategorieEntrate[[#Headers],[Varie Entrate]],IF(OR(H1391=M$5,H1391=M$6,H1391=M$7,H1391=M$8,H1391=M$9,H1391=M$10,H1391=M$11,H1391=M$12,H1391=M$13,H1391=M$14),SottocategorieEntrate[[#Headers],[Real Estate]],IF(OR(H1391=N$5,H1391=N$6,H1391=N$7,H1391=N$8,H1391=N$9,H1391=N$10,H1391=N$11,H1391=N$12,H1391=N$13,H1391=N$14),SottocategorieEntrate[[#Headers],[Other]],""))))))))))))</f>
        <v/>
      </c>
      <c r="J1391" t="str">
        <f>IF(OR(Dati[[#This Row],[Categoria]]="Bollette",Dati[[#This Row],[Categoria]]="Conto &amp; Carte BNL",Dati[[#This Row],[Categoria]]="Prelievo",Dati[[#This Row],[Categoria]]="Affitto",Dati[[#This Row],[Categoria]]="BNL(Interessi Creditori)"),"Carta",IF(Dati[[#This Row],[Categoria]]&lt;&gt;0,"Cash",""))</f>
        <v/>
      </c>
      <c r="K1391" s="59" t="str">
        <f>IF(OR(Data!$I1391=SottocategorieUscite[[#Headers],[Fuori Casa]],Data!$I1391=SottocategorieUscite[[#Headers],[Varie Uscite]],Data!$I1391=SottocategorieUscite[[#Headers],[Personali]],Data!$I1391=SottocategorieUscite[[#Headers],[Lavoro]]),"$ -","")</f>
        <v/>
      </c>
      <c r="L1391" s="59" t="str">
        <f>IF(OR(Data!$I1391=SottocategorieUscite[[#Headers],[Casa]],Data!$I1391=SottocategorieUscite[[#Headers],[Utenze]],Data!$I1391=SottocategorieUscite[[#Headers],[Business Uscite]],Data!$I1391=SottocategorieUscite[[#Headers],[Banca]]),"$ -","")</f>
        <v/>
      </c>
      <c r="M1391" s="59" t="str">
        <f>IF(OR($I1391&lt;&gt;SottocategorieUscite[[#Headers],[Fuori Casa]],$I1391&lt;&gt;SottocategorieUscite[[#Headers],[Varie Uscite]],$I1391&lt;&gt;SottocategorieUscite[[#Headers],[Personali]],$I1391&lt;&gt;SottocategorieUscite[[#Headers],[Lavoro]],$I1391&lt;&gt;SottocategorieUscite[[#Headers],[Casa]],$I1391&lt;&gt;SottocategorieUscite[[#Headers],[Utenze]],$I1391&lt;&gt;SottocategorieUscite[[#Headers],[Business Uscite]],$I1391&lt;&gt;SottocategorieUscite[[#Headers],[Banca]]),"","$ -")</f>
        <v/>
      </c>
      <c r="N1391" s="59" t="str">
        <f>IF(OR(Data!$I1391=SottocategorieEntrate[[#Headers],[Business Entrate]],Data!$I1391=SottocategorieEntrate[[#Headers],[Varie Entrate]]),"$ -","")</f>
        <v/>
      </c>
      <c r="O1391" s="59" t="str">
        <f>IF(OR(Data!$I1391=SottocategorieEntrate[[#Headers],[Real Estate]],SottocategorieEntrate[[#Headers],[Other]]),"$ -","")</f>
        <v/>
      </c>
      <c r="P1391" s="59" t="str">
        <f>IF(OR($I1391&lt;&gt;SottocategorieEntrate[[#Headers],[Business Entrate]],$I1391&lt;&gt;SottocategorieEntrate[[#Headers],[Varie Entrate]],$I1391&lt;&gt;SottocategorieEntrate[[#Headers],[Real Estate]],$I1391&lt;&gt;SottocategorieEntrate[[#Headers],[Other]]),"","$ -")</f>
        <v/>
      </c>
      <c r="Q1391" s="59" t="str">
        <f>IF(Dati[[#This Row],[Categoria]]="Prelievo","€ -","")</f>
        <v/>
      </c>
      <c r="R1391" s="244"/>
      <c r="S1391" s="59" t="str">
        <f>IF(Dati[[#This Row],[Categoria]]="Savings",0,"")</f>
        <v/>
      </c>
      <c r="T1391" s="59"/>
      <c r="U1391" s="59"/>
      <c r="V1391" s="59"/>
      <c r="W1391" s="59"/>
      <c r="X1391" s="59"/>
      <c r="Y1391" s="59"/>
      <c r="Z1391" s="59"/>
      <c r="AA1391" s="59"/>
      <c r="AB1391" s="59"/>
      <c r="AC1391" s="59"/>
      <c r="AD1391" s="59"/>
      <c r="AE1391" s="59"/>
      <c r="AF1391" s="59"/>
      <c r="AG1391" s="59"/>
      <c r="AH1391" s="59"/>
      <c r="AI1391" s="59" t="str">
        <f>IF(SUM(Dati[[#This Row],[Inv. Business]:[Inv. Cryptocurrency]])=0," ",SUM(Dati[[#This Row],[Inv. Business]:[Inv. Cryptocurrency]]))</f>
        <v xml:space="preserve"> </v>
      </c>
      <c r="AJ1391" s="59"/>
      <c r="AK1391" s="59" t="str">
        <f>IF(SUM(Dati[[#This Row],[Inv. Gold]:[Mutuo]])=0," ",SUM(Dati[[#This Row],[Inv. Gold]:[Mutuo]]))</f>
        <v xml:space="preserve"> </v>
      </c>
      <c r="AL1391" s="59"/>
      <c r="AM1391" s="59"/>
    </row>
    <row r="1392" spans="2:39" x14ac:dyDescent="0.35">
      <c r="B1392" s="237">
        <f t="shared" si="105"/>
        <v>1372</v>
      </c>
      <c r="C1392" s="49">
        <f t="shared" si="106"/>
        <v>45950</v>
      </c>
      <c r="D1392" s="29">
        <f>DAY(Dati[[#This Row],[Data]])</f>
        <v>20</v>
      </c>
      <c r="E1392" s="29" t="str">
        <f>IF(DAY(Data!$C$21:$C$1613)&gt;0,TEXT(Data!$C$21:$C$1613, "mmmm"),"")</f>
        <v>ottobre</v>
      </c>
      <c r="F1392" s="29" t="str">
        <f>IF(DAY(Data!$C$21:$C$1613)&gt;0,TEXT(Data!$C$21:$C$1613, "aaaa"),"")</f>
        <v>2025</v>
      </c>
      <c r="I1392" t="str">
        <f>IF(OR(H1392=$B$5,H1392=$B$6,H1392=$B$7,H1392=$B$8,H1392=$B$9,H1392=$B$10,H1392=$B$11,H1392=$B$12,H1392=$B$13,H1392=$B$14),SottocategorieUscite[[#Headers],[Fuori Casa]],IF(OR(H1392=$C$5,H1392=$C$6,H1392=$C$7,H1392=$C$8,H1392=$C$9,H1392=$C$10,H1392=$C$11,H1392=$C$12,H1392=$C$13,H1392=$C$14),SottocategorieUscite[[#Headers],[Varie Uscite]],IF(OR(H1392=$D$5,H1392=$D$6,H1392=$D$7,H1392=$D$8,H1392=$D$9,H1392=$D$10,H1392=$D$11,H1392=$D$12,H1392=$D$13,H1392=$D$14),SottocategorieUscite[[#Headers],[Personali]],IF(OR(H1392=$E$5,H1392=$E$6,H1392=$E$7,H1392=$E$8,H1392=$E$9,H1392=$E$10,H1392=$E$11,H1392=$E$12,H1392=$E$13,H1392=$E$14),SottocategorieUscite[[#Headers],[Lavoro]],IF(OR(H1392=$F$5,H1392=$F$6,H1392=$F$7,H1392=$F$8,H1392=$F$9,H1392=$F$10,H1392=$F$11,H1392=$F$12,H1392=$F$13,H1392=$F$14),SottocategorieUscite[[#Headers],[Casa]],IF(OR(H1392=$G$5,H1392=$G$6,H1392=$G$7,H1392=$G$8,H1392=$G$9,H1392=$G$10,H1392=$G$11,H1392=$G$12,H1392=$G$13,H1392=$G$14),SottocategorieUscite[[#Headers],[Utenze]],IF(OR(H1392=$H$5,H1392=$H$6,H1392=$H$7,H1392=$H$8,H1392=$H$9,H1392=$H$10,H1392=$H$11,H1392=$H$12,H1392=$H$13,H1392=$H$14),SottocategorieUscite[[#Headers],[Business Uscite]],IF(OR(H1392=$I$5,H1392=$I$6,H1392=$I$7,H1392=$I$8,H1392=$I$9,H1392=$I$10,H1392=$I$11,H1392=$I$12,H1392=$I$13,H1392=$I$14),SottocategorieUscite[[#Headers],[Banca]],IF(OR(H1392=K$5,H1392=K$6,H1392=K$7,H1392=K$8,H1392=K$9,H1392=K$10,H1392=K$11,H1392=K$12,H1392=K$13,H1392=K$14),SottocategorieEntrate[[#Headers],[Business Entrate]],IF(OR(H1392=L$5,H1392=L$6,H1392=L$7,H1392=L$8,H1392=L$9,H1392=L$10,H1392=L$11,H1392=L$12,H1392=L$13,H1392=L$14),SottocategorieEntrate[[#Headers],[Varie Entrate]],IF(OR(H1392=M$5,H1392=M$6,H1392=M$7,H1392=M$8,H1392=M$9,H1392=M$10,H1392=M$11,H1392=M$12,H1392=M$13,H1392=M$14),SottocategorieEntrate[[#Headers],[Real Estate]],IF(OR(H1392=N$5,H1392=N$6,H1392=N$7,H1392=N$8,H1392=N$9,H1392=N$10,H1392=N$11,H1392=N$12,H1392=N$13,H1392=N$14),SottocategorieEntrate[[#Headers],[Other]],""))))))))))))</f>
        <v/>
      </c>
      <c r="J1392" t="str">
        <f>IF(OR(Dati[[#This Row],[Categoria]]="Bollette",Dati[[#This Row],[Categoria]]="Conto &amp; Carte BNL",Dati[[#This Row],[Categoria]]="Prelievo",Dati[[#This Row],[Categoria]]="Affitto",Dati[[#This Row],[Categoria]]="BNL(Interessi Creditori)"),"Carta",IF(Dati[[#This Row],[Categoria]]&lt;&gt;0,"Cash",""))</f>
        <v/>
      </c>
      <c r="K1392" s="59" t="str">
        <f>IF(OR(Data!$I1392=SottocategorieUscite[[#Headers],[Fuori Casa]],Data!$I1392=SottocategorieUscite[[#Headers],[Varie Uscite]],Data!$I1392=SottocategorieUscite[[#Headers],[Personali]],Data!$I1392=SottocategorieUscite[[#Headers],[Lavoro]]),"$ -","")</f>
        <v/>
      </c>
      <c r="L1392" s="59" t="str">
        <f>IF(OR(Data!$I1392=SottocategorieUscite[[#Headers],[Casa]],Data!$I1392=SottocategorieUscite[[#Headers],[Utenze]],Data!$I1392=SottocategorieUscite[[#Headers],[Business Uscite]],Data!$I1392=SottocategorieUscite[[#Headers],[Banca]]),"$ -","")</f>
        <v/>
      </c>
      <c r="M1392" s="59" t="str">
        <f>IF(OR($I1392&lt;&gt;SottocategorieUscite[[#Headers],[Fuori Casa]],$I1392&lt;&gt;SottocategorieUscite[[#Headers],[Varie Uscite]],$I1392&lt;&gt;SottocategorieUscite[[#Headers],[Personali]],$I1392&lt;&gt;SottocategorieUscite[[#Headers],[Lavoro]],$I1392&lt;&gt;SottocategorieUscite[[#Headers],[Casa]],$I1392&lt;&gt;SottocategorieUscite[[#Headers],[Utenze]],$I1392&lt;&gt;SottocategorieUscite[[#Headers],[Business Uscite]],$I1392&lt;&gt;SottocategorieUscite[[#Headers],[Banca]]),"","$ -")</f>
        <v/>
      </c>
      <c r="N1392" s="59" t="str">
        <f>IF(OR(Data!$I1392=SottocategorieEntrate[[#Headers],[Business Entrate]],Data!$I1392=SottocategorieEntrate[[#Headers],[Varie Entrate]]),"$ -","")</f>
        <v/>
      </c>
      <c r="O1392" s="59" t="str">
        <f>IF(OR(Data!$I1392=SottocategorieEntrate[[#Headers],[Real Estate]],SottocategorieEntrate[[#Headers],[Other]]),"$ -","")</f>
        <v/>
      </c>
      <c r="P1392" s="59" t="str">
        <f>IF(OR($I1392&lt;&gt;SottocategorieEntrate[[#Headers],[Business Entrate]],$I1392&lt;&gt;SottocategorieEntrate[[#Headers],[Varie Entrate]],$I1392&lt;&gt;SottocategorieEntrate[[#Headers],[Real Estate]],$I1392&lt;&gt;SottocategorieEntrate[[#Headers],[Other]]),"","$ -")</f>
        <v/>
      </c>
      <c r="Q1392" s="59" t="str">
        <f>IF(Dati[[#This Row],[Categoria]]="Prelievo","€ -","")</f>
        <v/>
      </c>
      <c r="R1392" s="244"/>
      <c r="S1392" s="59" t="str">
        <f>IF(Dati[[#This Row],[Categoria]]="Savings",0,"")</f>
        <v/>
      </c>
      <c r="T1392" s="59"/>
      <c r="U1392" s="59"/>
      <c r="V1392" s="59"/>
      <c r="W1392" s="59"/>
      <c r="X1392" s="59"/>
      <c r="Y1392" s="59"/>
      <c r="Z1392" s="59"/>
      <c r="AA1392" s="59"/>
      <c r="AB1392" s="59"/>
      <c r="AC1392" s="59"/>
      <c r="AD1392" s="59"/>
      <c r="AE1392" s="59"/>
      <c r="AF1392" s="59"/>
      <c r="AG1392" s="59"/>
      <c r="AH1392" s="59"/>
      <c r="AI1392" s="59" t="str">
        <f>IF(SUM(Dati[[#This Row],[Inv. Business]:[Inv. Cryptocurrency]])=0," ",SUM(Dati[[#This Row],[Inv. Business]:[Inv. Cryptocurrency]]))</f>
        <v xml:space="preserve"> </v>
      </c>
      <c r="AJ1392" s="59"/>
      <c r="AK1392" s="59" t="str">
        <f>IF(SUM(Dati[[#This Row],[Inv. Gold]:[Mutuo]])=0," ",SUM(Dati[[#This Row],[Inv. Gold]:[Mutuo]]))</f>
        <v xml:space="preserve"> </v>
      </c>
      <c r="AL1392" s="59"/>
      <c r="AM1392" s="59"/>
    </row>
    <row r="1393" spans="2:39" x14ac:dyDescent="0.35">
      <c r="B1393" s="237">
        <f t="shared" si="105"/>
        <v>1373</v>
      </c>
      <c r="C1393" s="49">
        <f t="shared" si="106"/>
        <v>45951</v>
      </c>
      <c r="D1393" s="29">
        <f>DAY(Dati[[#This Row],[Data]])</f>
        <v>21</v>
      </c>
      <c r="E1393" s="29" t="str">
        <f>IF(DAY(Data!$C$21:$C$1613)&gt;0,TEXT(Data!$C$21:$C$1613, "mmmm"),"")</f>
        <v>ottobre</v>
      </c>
      <c r="F1393" s="29" t="str">
        <f>IF(DAY(Data!$C$21:$C$1613)&gt;0,TEXT(Data!$C$21:$C$1613, "aaaa"),"")</f>
        <v>2025</v>
      </c>
      <c r="I1393" t="str">
        <f>IF(OR(H1393=$B$5,H1393=$B$6,H1393=$B$7,H1393=$B$8,H1393=$B$9,H1393=$B$10,H1393=$B$11,H1393=$B$12,H1393=$B$13,H1393=$B$14),SottocategorieUscite[[#Headers],[Fuori Casa]],IF(OR(H1393=$C$5,H1393=$C$6,H1393=$C$7,H1393=$C$8,H1393=$C$9,H1393=$C$10,H1393=$C$11,H1393=$C$12,H1393=$C$13,H1393=$C$14),SottocategorieUscite[[#Headers],[Varie Uscite]],IF(OR(H1393=$D$5,H1393=$D$6,H1393=$D$7,H1393=$D$8,H1393=$D$9,H1393=$D$10,H1393=$D$11,H1393=$D$12,H1393=$D$13,H1393=$D$14),SottocategorieUscite[[#Headers],[Personali]],IF(OR(H1393=$E$5,H1393=$E$6,H1393=$E$7,H1393=$E$8,H1393=$E$9,H1393=$E$10,H1393=$E$11,H1393=$E$12,H1393=$E$13,H1393=$E$14),SottocategorieUscite[[#Headers],[Lavoro]],IF(OR(H1393=$F$5,H1393=$F$6,H1393=$F$7,H1393=$F$8,H1393=$F$9,H1393=$F$10,H1393=$F$11,H1393=$F$12,H1393=$F$13,H1393=$F$14),SottocategorieUscite[[#Headers],[Casa]],IF(OR(H1393=$G$5,H1393=$G$6,H1393=$G$7,H1393=$G$8,H1393=$G$9,H1393=$G$10,H1393=$G$11,H1393=$G$12,H1393=$G$13,H1393=$G$14),SottocategorieUscite[[#Headers],[Utenze]],IF(OR(H1393=$H$5,H1393=$H$6,H1393=$H$7,H1393=$H$8,H1393=$H$9,H1393=$H$10,H1393=$H$11,H1393=$H$12,H1393=$H$13,H1393=$H$14),SottocategorieUscite[[#Headers],[Business Uscite]],IF(OR(H1393=$I$5,H1393=$I$6,H1393=$I$7,H1393=$I$8,H1393=$I$9,H1393=$I$10,H1393=$I$11,H1393=$I$12,H1393=$I$13,H1393=$I$14),SottocategorieUscite[[#Headers],[Banca]],IF(OR(H1393=K$5,H1393=K$6,H1393=K$7,H1393=K$8,H1393=K$9,H1393=K$10,H1393=K$11,H1393=K$12,H1393=K$13,H1393=K$14),SottocategorieEntrate[[#Headers],[Business Entrate]],IF(OR(H1393=L$5,H1393=L$6,H1393=L$7,H1393=L$8,H1393=L$9,H1393=L$10,H1393=L$11,H1393=L$12,H1393=L$13,H1393=L$14),SottocategorieEntrate[[#Headers],[Varie Entrate]],IF(OR(H1393=M$5,H1393=M$6,H1393=M$7,H1393=M$8,H1393=M$9,H1393=M$10,H1393=M$11,H1393=M$12,H1393=M$13,H1393=M$14),SottocategorieEntrate[[#Headers],[Real Estate]],IF(OR(H1393=N$5,H1393=N$6,H1393=N$7,H1393=N$8,H1393=N$9,H1393=N$10,H1393=N$11,H1393=N$12,H1393=N$13,H1393=N$14),SottocategorieEntrate[[#Headers],[Other]],""))))))))))))</f>
        <v/>
      </c>
      <c r="J1393" t="str">
        <f>IF(OR(Dati[[#This Row],[Categoria]]="Bollette",Dati[[#This Row],[Categoria]]="Conto &amp; Carte BNL",Dati[[#This Row],[Categoria]]="Prelievo",Dati[[#This Row],[Categoria]]="Affitto",Dati[[#This Row],[Categoria]]="BNL(Interessi Creditori)"),"Carta",IF(Dati[[#This Row],[Categoria]]&lt;&gt;0,"Cash",""))</f>
        <v/>
      </c>
      <c r="K1393" s="59" t="str">
        <f>IF(OR(Data!$I1393=SottocategorieUscite[[#Headers],[Fuori Casa]],Data!$I1393=SottocategorieUscite[[#Headers],[Varie Uscite]],Data!$I1393=SottocategorieUscite[[#Headers],[Personali]],Data!$I1393=SottocategorieUscite[[#Headers],[Lavoro]]),"$ -","")</f>
        <v/>
      </c>
      <c r="L1393" s="59" t="str">
        <f>IF(OR(Data!$I1393=SottocategorieUscite[[#Headers],[Casa]],Data!$I1393=SottocategorieUscite[[#Headers],[Utenze]],Data!$I1393=SottocategorieUscite[[#Headers],[Business Uscite]],Data!$I1393=SottocategorieUscite[[#Headers],[Banca]]),"$ -","")</f>
        <v/>
      </c>
      <c r="M1393" s="59" t="str">
        <f>IF(OR($I1393&lt;&gt;SottocategorieUscite[[#Headers],[Fuori Casa]],$I1393&lt;&gt;SottocategorieUscite[[#Headers],[Varie Uscite]],$I1393&lt;&gt;SottocategorieUscite[[#Headers],[Personali]],$I1393&lt;&gt;SottocategorieUscite[[#Headers],[Lavoro]],$I1393&lt;&gt;SottocategorieUscite[[#Headers],[Casa]],$I1393&lt;&gt;SottocategorieUscite[[#Headers],[Utenze]],$I1393&lt;&gt;SottocategorieUscite[[#Headers],[Business Uscite]],$I1393&lt;&gt;SottocategorieUscite[[#Headers],[Banca]]),"","$ -")</f>
        <v/>
      </c>
      <c r="N1393" s="59" t="str">
        <f>IF(OR(Data!$I1393=SottocategorieEntrate[[#Headers],[Business Entrate]],Data!$I1393=SottocategorieEntrate[[#Headers],[Varie Entrate]]),"$ -","")</f>
        <v/>
      </c>
      <c r="O1393" s="59" t="str">
        <f>IF(OR(Data!$I1393=SottocategorieEntrate[[#Headers],[Real Estate]],SottocategorieEntrate[[#Headers],[Other]]),"$ -","")</f>
        <v/>
      </c>
      <c r="P1393" s="59" t="str">
        <f>IF(OR($I1393&lt;&gt;SottocategorieEntrate[[#Headers],[Business Entrate]],$I1393&lt;&gt;SottocategorieEntrate[[#Headers],[Varie Entrate]],$I1393&lt;&gt;SottocategorieEntrate[[#Headers],[Real Estate]],$I1393&lt;&gt;SottocategorieEntrate[[#Headers],[Other]]),"","$ -")</f>
        <v/>
      </c>
      <c r="Q1393" s="59" t="str">
        <f>IF(Dati[[#This Row],[Categoria]]="Prelievo","€ -","")</f>
        <v/>
      </c>
      <c r="R1393" s="244"/>
      <c r="S1393" s="59" t="str">
        <f>IF(Dati[[#This Row],[Categoria]]="Savings",0,"")</f>
        <v/>
      </c>
      <c r="T1393" s="59"/>
      <c r="U1393" s="59"/>
      <c r="V1393" s="59"/>
      <c r="W1393" s="59"/>
      <c r="X1393" s="59"/>
      <c r="Y1393" s="59"/>
      <c r="Z1393" s="59"/>
      <c r="AA1393" s="59"/>
      <c r="AB1393" s="59"/>
      <c r="AC1393" s="59"/>
      <c r="AD1393" s="59"/>
      <c r="AE1393" s="59"/>
      <c r="AF1393" s="59"/>
      <c r="AG1393" s="59"/>
      <c r="AH1393" s="59"/>
      <c r="AI1393" s="59" t="str">
        <f>IF(SUM(Dati[[#This Row],[Inv. Business]:[Inv. Cryptocurrency]])=0," ",SUM(Dati[[#This Row],[Inv. Business]:[Inv. Cryptocurrency]]))</f>
        <v xml:space="preserve"> </v>
      </c>
      <c r="AJ1393" s="59"/>
      <c r="AK1393" s="59" t="str">
        <f>IF(SUM(Dati[[#This Row],[Inv. Gold]:[Mutuo]])=0," ",SUM(Dati[[#This Row],[Inv. Gold]:[Mutuo]]))</f>
        <v xml:space="preserve"> </v>
      </c>
      <c r="AL1393" s="59"/>
      <c r="AM1393" s="59"/>
    </row>
    <row r="1394" spans="2:39" x14ac:dyDescent="0.35">
      <c r="B1394" s="237">
        <f t="shared" si="105"/>
        <v>1374</v>
      </c>
      <c r="C1394" s="49">
        <f t="shared" si="106"/>
        <v>45952</v>
      </c>
      <c r="D1394" s="29">
        <f>DAY(Dati[[#This Row],[Data]])</f>
        <v>22</v>
      </c>
      <c r="E1394" s="29" t="str">
        <f>IF(DAY(Data!$C$21:$C$1613)&gt;0,TEXT(Data!$C$21:$C$1613, "mmmm"),"")</f>
        <v>ottobre</v>
      </c>
      <c r="F1394" s="29" t="str">
        <f>IF(DAY(Data!$C$21:$C$1613)&gt;0,TEXT(Data!$C$21:$C$1613, "aaaa"),"")</f>
        <v>2025</v>
      </c>
      <c r="I1394" t="str">
        <f>IF(OR(H1394=$B$5,H1394=$B$6,H1394=$B$7,H1394=$B$8,H1394=$B$9,H1394=$B$10,H1394=$B$11,H1394=$B$12,H1394=$B$13,H1394=$B$14),SottocategorieUscite[[#Headers],[Fuori Casa]],IF(OR(H1394=$C$5,H1394=$C$6,H1394=$C$7,H1394=$C$8,H1394=$C$9,H1394=$C$10,H1394=$C$11,H1394=$C$12,H1394=$C$13,H1394=$C$14),SottocategorieUscite[[#Headers],[Varie Uscite]],IF(OR(H1394=$D$5,H1394=$D$6,H1394=$D$7,H1394=$D$8,H1394=$D$9,H1394=$D$10,H1394=$D$11,H1394=$D$12,H1394=$D$13,H1394=$D$14),SottocategorieUscite[[#Headers],[Personali]],IF(OR(H1394=$E$5,H1394=$E$6,H1394=$E$7,H1394=$E$8,H1394=$E$9,H1394=$E$10,H1394=$E$11,H1394=$E$12,H1394=$E$13,H1394=$E$14),SottocategorieUscite[[#Headers],[Lavoro]],IF(OR(H1394=$F$5,H1394=$F$6,H1394=$F$7,H1394=$F$8,H1394=$F$9,H1394=$F$10,H1394=$F$11,H1394=$F$12,H1394=$F$13,H1394=$F$14),SottocategorieUscite[[#Headers],[Casa]],IF(OR(H1394=$G$5,H1394=$G$6,H1394=$G$7,H1394=$G$8,H1394=$G$9,H1394=$G$10,H1394=$G$11,H1394=$G$12,H1394=$G$13,H1394=$G$14),SottocategorieUscite[[#Headers],[Utenze]],IF(OR(H1394=$H$5,H1394=$H$6,H1394=$H$7,H1394=$H$8,H1394=$H$9,H1394=$H$10,H1394=$H$11,H1394=$H$12,H1394=$H$13,H1394=$H$14),SottocategorieUscite[[#Headers],[Business Uscite]],IF(OR(H1394=$I$5,H1394=$I$6,H1394=$I$7,H1394=$I$8,H1394=$I$9,H1394=$I$10,H1394=$I$11,H1394=$I$12,H1394=$I$13,H1394=$I$14),SottocategorieUscite[[#Headers],[Banca]],IF(OR(H1394=K$5,H1394=K$6,H1394=K$7,H1394=K$8,H1394=K$9,H1394=K$10,H1394=K$11,H1394=K$12,H1394=K$13,H1394=K$14),SottocategorieEntrate[[#Headers],[Business Entrate]],IF(OR(H1394=L$5,H1394=L$6,H1394=L$7,H1394=L$8,H1394=L$9,H1394=L$10,H1394=L$11,H1394=L$12,H1394=L$13,H1394=L$14),SottocategorieEntrate[[#Headers],[Varie Entrate]],IF(OR(H1394=M$5,H1394=M$6,H1394=M$7,H1394=M$8,H1394=M$9,H1394=M$10,H1394=M$11,H1394=M$12,H1394=M$13,H1394=M$14),SottocategorieEntrate[[#Headers],[Real Estate]],IF(OR(H1394=N$5,H1394=N$6,H1394=N$7,H1394=N$8,H1394=N$9,H1394=N$10,H1394=N$11,H1394=N$12,H1394=N$13,H1394=N$14),SottocategorieEntrate[[#Headers],[Other]],""))))))))))))</f>
        <v/>
      </c>
      <c r="J1394" t="str">
        <f>IF(OR(Dati[[#This Row],[Categoria]]="Bollette",Dati[[#This Row],[Categoria]]="Conto &amp; Carte BNL",Dati[[#This Row],[Categoria]]="Prelievo",Dati[[#This Row],[Categoria]]="Affitto",Dati[[#This Row],[Categoria]]="BNL(Interessi Creditori)"),"Carta",IF(Dati[[#This Row],[Categoria]]&lt;&gt;0,"Cash",""))</f>
        <v/>
      </c>
      <c r="K1394" s="59" t="str">
        <f>IF(OR(Data!$I1394=SottocategorieUscite[[#Headers],[Fuori Casa]],Data!$I1394=SottocategorieUscite[[#Headers],[Varie Uscite]],Data!$I1394=SottocategorieUscite[[#Headers],[Personali]],Data!$I1394=SottocategorieUscite[[#Headers],[Lavoro]]),"$ -","")</f>
        <v/>
      </c>
      <c r="L1394" s="59" t="str">
        <f>IF(OR(Data!$I1394=SottocategorieUscite[[#Headers],[Casa]],Data!$I1394=SottocategorieUscite[[#Headers],[Utenze]],Data!$I1394=SottocategorieUscite[[#Headers],[Business Uscite]],Data!$I1394=SottocategorieUscite[[#Headers],[Banca]]),"$ -","")</f>
        <v/>
      </c>
      <c r="M1394" s="59" t="str">
        <f>IF(OR($I1394&lt;&gt;SottocategorieUscite[[#Headers],[Fuori Casa]],$I1394&lt;&gt;SottocategorieUscite[[#Headers],[Varie Uscite]],$I1394&lt;&gt;SottocategorieUscite[[#Headers],[Personali]],$I1394&lt;&gt;SottocategorieUscite[[#Headers],[Lavoro]],$I1394&lt;&gt;SottocategorieUscite[[#Headers],[Casa]],$I1394&lt;&gt;SottocategorieUscite[[#Headers],[Utenze]],$I1394&lt;&gt;SottocategorieUscite[[#Headers],[Business Uscite]],$I1394&lt;&gt;SottocategorieUscite[[#Headers],[Banca]]),"","$ -")</f>
        <v/>
      </c>
      <c r="N1394" s="59" t="str">
        <f>IF(OR(Data!$I1394=SottocategorieEntrate[[#Headers],[Business Entrate]],Data!$I1394=SottocategorieEntrate[[#Headers],[Varie Entrate]]),"$ -","")</f>
        <v/>
      </c>
      <c r="O1394" s="59" t="str">
        <f>IF(OR(Data!$I1394=SottocategorieEntrate[[#Headers],[Real Estate]],SottocategorieEntrate[[#Headers],[Other]]),"$ -","")</f>
        <v/>
      </c>
      <c r="P1394" s="59" t="str">
        <f>IF(OR($I1394&lt;&gt;SottocategorieEntrate[[#Headers],[Business Entrate]],$I1394&lt;&gt;SottocategorieEntrate[[#Headers],[Varie Entrate]],$I1394&lt;&gt;SottocategorieEntrate[[#Headers],[Real Estate]],$I1394&lt;&gt;SottocategorieEntrate[[#Headers],[Other]]),"","$ -")</f>
        <v/>
      </c>
      <c r="Q1394" s="59" t="str">
        <f>IF(Dati[[#This Row],[Categoria]]="Prelievo","€ -","")</f>
        <v/>
      </c>
      <c r="R1394" s="244"/>
      <c r="S1394" s="59" t="str">
        <f>IF(Dati[[#This Row],[Categoria]]="Savings",0,"")</f>
        <v/>
      </c>
      <c r="T1394" s="59"/>
      <c r="U1394" s="59"/>
      <c r="V1394" s="59"/>
      <c r="W1394" s="59"/>
      <c r="X1394" s="59"/>
      <c r="Y1394" s="59"/>
      <c r="Z1394" s="59"/>
      <c r="AA1394" s="59"/>
      <c r="AB1394" s="59"/>
      <c r="AC1394" s="59"/>
      <c r="AD1394" s="59"/>
      <c r="AE1394" s="59"/>
      <c r="AF1394" s="59"/>
      <c r="AG1394" s="59"/>
      <c r="AH1394" s="59"/>
      <c r="AI1394" s="59" t="str">
        <f>IF(SUM(Dati[[#This Row],[Inv. Business]:[Inv. Cryptocurrency]])=0," ",SUM(Dati[[#This Row],[Inv. Business]:[Inv. Cryptocurrency]]))</f>
        <v xml:space="preserve"> </v>
      </c>
      <c r="AJ1394" s="59"/>
      <c r="AK1394" s="59" t="str">
        <f>IF(SUM(Dati[[#This Row],[Inv. Gold]:[Mutuo]])=0," ",SUM(Dati[[#This Row],[Inv. Gold]:[Mutuo]]))</f>
        <v xml:space="preserve"> </v>
      </c>
      <c r="AL1394" s="59"/>
      <c r="AM1394" s="59"/>
    </row>
    <row r="1395" spans="2:39" x14ac:dyDescent="0.35">
      <c r="B1395" s="237">
        <f t="shared" si="105"/>
        <v>1375</v>
      </c>
      <c r="C1395" s="49">
        <f t="shared" si="106"/>
        <v>45953</v>
      </c>
      <c r="D1395" s="29">
        <f>DAY(Dati[[#This Row],[Data]])</f>
        <v>23</v>
      </c>
      <c r="E1395" s="29" t="str">
        <f>IF(DAY(Data!$C$21:$C$1613)&gt;0,TEXT(Data!$C$21:$C$1613, "mmmm"),"")</f>
        <v>ottobre</v>
      </c>
      <c r="F1395" s="29" t="str">
        <f>IF(DAY(Data!$C$21:$C$1613)&gt;0,TEXT(Data!$C$21:$C$1613, "aaaa"),"")</f>
        <v>2025</v>
      </c>
      <c r="I1395" t="str">
        <f>IF(OR(H1395=$B$5,H1395=$B$6,H1395=$B$7,H1395=$B$8,H1395=$B$9,H1395=$B$10,H1395=$B$11,H1395=$B$12,H1395=$B$13,H1395=$B$14),SottocategorieUscite[[#Headers],[Fuori Casa]],IF(OR(H1395=$C$5,H1395=$C$6,H1395=$C$7,H1395=$C$8,H1395=$C$9,H1395=$C$10,H1395=$C$11,H1395=$C$12,H1395=$C$13,H1395=$C$14),SottocategorieUscite[[#Headers],[Varie Uscite]],IF(OR(H1395=$D$5,H1395=$D$6,H1395=$D$7,H1395=$D$8,H1395=$D$9,H1395=$D$10,H1395=$D$11,H1395=$D$12,H1395=$D$13,H1395=$D$14),SottocategorieUscite[[#Headers],[Personali]],IF(OR(H1395=$E$5,H1395=$E$6,H1395=$E$7,H1395=$E$8,H1395=$E$9,H1395=$E$10,H1395=$E$11,H1395=$E$12,H1395=$E$13,H1395=$E$14),SottocategorieUscite[[#Headers],[Lavoro]],IF(OR(H1395=$F$5,H1395=$F$6,H1395=$F$7,H1395=$F$8,H1395=$F$9,H1395=$F$10,H1395=$F$11,H1395=$F$12,H1395=$F$13,H1395=$F$14),SottocategorieUscite[[#Headers],[Casa]],IF(OR(H1395=$G$5,H1395=$G$6,H1395=$G$7,H1395=$G$8,H1395=$G$9,H1395=$G$10,H1395=$G$11,H1395=$G$12,H1395=$G$13,H1395=$G$14),SottocategorieUscite[[#Headers],[Utenze]],IF(OR(H1395=$H$5,H1395=$H$6,H1395=$H$7,H1395=$H$8,H1395=$H$9,H1395=$H$10,H1395=$H$11,H1395=$H$12,H1395=$H$13,H1395=$H$14),SottocategorieUscite[[#Headers],[Business Uscite]],IF(OR(H1395=$I$5,H1395=$I$6,H1395=$I$7,H1395=$I$8,H1395=$I$9,H1395=$I$10,H1395=$I$11,H1395=$I$12,H1395=$I$13,H1395=$I$14),SottocategorieUscite[[#Headers],[Banca]],IF(OR(H1395=K$5,H1395=K$6,H1395=K$7,H1395=K$8,H1395=K$9,H1395=K$10,H1395=K$11,H1395=K$12,H1395=K$13,H1395=K$14),SottocategorieEntrate[[#Headers],[Business Entrate]],IF(OR(H1395=L$5,H1395=L$6,H1395=L$7,H1395=L$8,H1395=L$9,H1395=L$10,H1395=L$11,H1395=L$12,H1395=L$13,H1395=L$14),SottocategorieEntrate[[#Headers],[Varie Entrate]],IF(OR(H1395=M$5,H1395=M$6,H1395=M$7,H1395=M$8,H1395=M$9,H1395=M$10,H1395=M$11,H1395=M$12,H1395=M$13,H1395=M$14),SottocategorieEntrate[[#Headers],[Real Estate]],IF(OR(H1395=N$5,H1395=N$6,H1395=N$7,H1395=N$8,H1395=N$9,H1395=N$10,H1395=N$11,H1395=N$12,H1395=N$13,H1395=N$14),SottocategorieEntrate[[#Headers],[Other]],""))))))))))))</f>
        <v/>
      </c>
      <c r="J1395" t="str">
        <f>IF(OR(Dati[[#This Row],[Categoria]]="Bollette",Dati[[#This Row],[Categoria]]="Conto &amp; Carte BNL",Dati[[#This Row],[Categoria]]="Prelievo",Dati[[#This Row],[Categoria]]="Affitto",Dati[[#This Row],[Categoria]]="BNL(Interessi Creditori)"),"Carta",IF(Dati[[#This Row],[Categoria]]&lt;&gt;0,"Cash",""))</f>
        <v/>
      </c>
      <c r="K1395" s="59" t="str">
        <f>IF(OR(Data!$I1395=SottocategorieUscite[[#Headers],[Fuori Casa]],Data!$I1395=SottocategorieUscite[[#Headers],[Varie Uscite]],Data!$I1395=SottocategorieUscite[[#Headers],[Personali]],Data!$I1395=SottocategorieUscite[[#Headers],[Lavoro]]),"$ -","")</f>
        <v/>
      </c>
      <c r="L1395" s="59" t="str">
        <f>IF(OR(Data!$I1395=SottocategorieUscite[[#Headers],[Casa]],Data!$I1395=SottocategorieUscite[[#Headers],[Utenze]],Data!$I1395=SottocategorieUscite[[#Headers],[Business Uscite]],Data!$I1395=SottocategorieUscite[[#Headers],[Banca]]),"$ -","")</f>
        <v/>
      </c>
      <c r="M1395" s="59" t="str">
        <f>IF(OR($I1395&lt;&gt;SottocategorieUscite[[#Headers],[Fuori Casa]],$I1395&lt;&gt;SottocategorieUscite[[#Headers],[Varie Uscite]],$I1395&lt;&gt;SottocategorieUscite[[#Headers],[Personali]],$I1395&lt;&gt;SottocategorieUscite[[#Headers],[Lavoro]],$I1395&lt;&gt;SottocategorieUscite[[#Headers],[Casa]],$I1395&lt;&gt;SottocategorieUscite[[#Headers],[Utenze]],$I1395&lt;&gt;SottocategorieUscite[[#Headers],[Business Uscite]],$I1395&lt;&gt;SottocategorieUscite[[#Headers],[Banca]]),"","$ -")</f>
        <v/>
      </c>
      <c r="N1395" s="59" t="str">
        <f>IF(OR(Data!$I1395=SottocategorieEntrate[[#Headers],[Business Entrate]],Data!$I1395=SottocategorieEntrate[[#Headers],[Varie Entrate]]),"$ -","")</f>
        <v/>
      </c>
      <c r="O1395" s="59" t="str">
        <f>IF(OR(Data!$I1395=SottocategorieEntrate[[#Headers],[Real Estate]],SottocategorieEntrate[[#Headers],[Other]]),"$ -","")</f>
        <v/>
      </c>
      <c r="P1395" s="59" t="str">
        <f>IF(OR($I1395&lt;&gt;SottocategorieEntrate[[#Headers],[Business Entrate]],$I1395&lt;&gt;SottocategorieEntrate[[#Headers],[Varie Entrate]],$I1395&lt;&gt;SottocategorieEntrate[[#Headers],[Real Estate]],$I1395&lt;&gt;SottocategorieEntrate[[#Headers],[Other]]),"","$ -")</f>
        <v/>
      </c>
      <c r="Q1395" s="59" t="str">
        <f>IF(Dati[[#This Row],[Categoria]]="Prelievo","€ -","")</f>
        <v/>
      </c>
      <c r="R1395" s="244"/>
      <c r="S1395" s="59" t="str">
        <f>IF(Dati[[#This Row],[Categoria]]="Savings",0,"")</f>
        <v/>
      </c>
      <c r="T1395" s="59"/>
      <c r="U1395" s="59"/>
      <c r="V1395" s="59"/>
      <c r="W1395" s="59"/>
      <c r="X1395" s="59"/>
      <c r="Y1395" s="59"/>
      <c r="Z1395" s="59"/>
      <c r="AA1395" s="59"/>
      <c r="AB1395" s="59"/>
      <c r="AC1395" s="59"/>
      <c r="AD1395" s="59"/>
      <c r="AE1395" s="59"/>
      <c r="AF1395" s="59"/>
      <c r="AG1395" s="59"/>
      <c r="AH1395" s="59"/>
      <c r="AI1395" s="59" t="str">
        <f>IF(SUM(Dati[[#This Row],[Inv. Business]:[Inv. Cryptocurrency]])=0," ",SUM(Dati[[#This Row],[Inv. Business]:[Inv. Cryptocurrency]]))</f>
        <v xml:space="preserve"> </v>
      </c>
      <c r="AJ1395" s="59"/>
      <c r="AK1395" s="59" t="str">
        <f>IF(SUM(Dati[[#This Row],[Inv. Gold]:[Mutuo]])=0," ",SUM(Dati[[#This Row],[Inv. Gold]:[Mutuo]]))</f>
        <v xml:space="preserve"> </v>
      </c>
      <c r="AL1395" s="59"/>
      <c r="AM1395" s="59"/>
    </row>
    <row r="1396" spans="2:39" x14ac:dyDescent="0.35">
      <c r="B1396" s="237">
        <f t="shared" si="105"/>
        <v>1376</v>
      </c>
      <c r="C1396" s="49">
        <f t="shared" si="106"/>
        <v>45954</v>
      </c>
      <c r="D1396" s="29">
        <f>DAY(Dati[[#This Row],[Data]])</f>
        <v>24</v>
      </c>
      <c r="E1396" s="29" t="str">
        <f>IF(DAY(Data!$C$21:$C$1613)&gt;0,TEXT(Data!$C$21:$C$1613, "mmmm"),"")</f>
        <v>ottobre</v>
      </c>
      <c r="F1396" s="29" t="str">
        <f>IF(DAY(Data!$C$21:$C$1613)&gt;0,TEXT(Data!$C$21:$C$1613, "aaaa"),"")</f>
        <v>2025</v>
      </c>
      <c r="I1396" t="str">
        <f>IF(OR(H1396=$B$5,H1396=$B$6,H1396=$B$7,H1396=$B$8,H1396=$B$9,H1396=$B$10,H1396=$B$11,H1396=$B$12,H1396=$B$13,H1396=$B$14),SottocategorieUscite[[#Headers],[Fuori Casa]],IF(OR(H1396=$C$5,H1396=$C$6,H1396=$C$7,H1396=$C$8,H1396=$C$9,H1396=$C$10,H1396=$C$11,H1396=$C$12,H1396=$C$13,H1396=$C$14),SottocategorieUscite[[#Headers],[Varie Uscite]],IF(OR(H1396=$D$5,H1396=$D$6,H1396=$D$7,H1396=$D$8,H1396=$D$9,H1396=$D$10,H1396=$D$11,H1396=$D$12,H1396=$D$13,H1396=$D$14),SottocategorieUscite[[#Headers],[Personali]],IF(OR(H1396=$E$5,H1396=$E$6,H1396=$E$7,H1396=$E$8,H1396=$E$9,H1396=$E$10,H1396=$E$11,H1396=$E$12,H1396=$E$13,H1396=$E$14),SottocategorieUscite[[#Headers],[Lavoro]],IF(OR(H1396=$F$5,H1396=$F$6,H1396=$F$7,H1396=$F$8,H1396=$F$9,H1396=$F$10,H1396=$F$11,H1396=$F$12,H1396=$F$13,H1396=$F$14),SottocategorieUscite[[#Headers],[Casa]],IF(OR(H1396=$G$5,H1396=$G$6,H1396=$G$7,H1396=$G$8,H1396=$G$9,H1396=$G$10,H1396=$G$11,H1396=$G$12,H1396=$G$13,H1396=$G$14),SottocategorieUscite[[#Headers],[Utenze]],IF(OR(H1396=$H$5,H1396=$H$6,H1396=$H$7,H1396=$H$8,H1396=$H$9,H1396=$H$10,H1396=$H$11,H1396=$H$12,H1396=$H$13,H1396=$H$14),SottocategorieUscite[[#Headers],[Business Uscite]],IF(OR(H1396=$I$5,H1396=$I$6,H1396=$I$7,H1396=$I$8,H1396=$I$9,H1396=$I$10,H1396=$I$11,H1396=$I$12,H1396=$I$13,H1396=$I$14),SottocategorieUscite[[#Headers],[Banca]],IF(OR(H1396=K$5,H1396=K$6,H1396=K$7,H1396=K$8,H1396=K$9,H1396=K$10,H1396=K$11,H1396=K$12,H1396=K$13,H1396=K$14),SottocategorieEntrate[[#Headers],[Business Entrate]],IF(OR(H1396=L$5,H1396=L$6,H1396=L$7,H1396=L$8,H1396=L$9,H1396=L$10,H1396=L$11,H1396=L$12,H1396=L$13,H1396=L$14),SottocategorieEntrate[[#Headers],[Varie Entrate]],IF(OR(H1396=M$5,H1396=M$6,H1396=M$7,H1396=M$8,H1396=M$9,H1396=M$10,H1396=M$11,H1396=M$12,H1396=M$13,H1396=M$14),SottocategorieEntrate[[#Headers],[Real Estate]],IF(OR(H1396=N$5,H1396=N$6,H1396=N$7,H1396=N$8,H1396=N$9,H1396=N$10,H1396=N$11,H1396=N$12,H1396=N$13,H1396=N$14),SottocategorieEntrate[[#Headers],[Other]],""))))))))))))</f>
        <v/>
      </c>
      <c r="J1396" t="str">
        <f>IF(OR(Dati[[#This Row],[Categoria]]="Bollette",Dati[[#This Row],[Categoria]]="Conto &amp; Carte BNL",Dati[[#This Row],[Categoria]]="Prelievo",Dati[[#This Row],[Categoria]]="Affitto",Dati[[#This Row],[Categoria]]="BNL(Interessi Creditori)"),"Carta",IF(Dati[[#This Row],[Categoria]]&lt;&gt;0,"Cash",""))</f>
        <v/>
      </c>
      <c r="K1396" s="59" t="str">
        <f>IF(OR(Data!$I1396=SottocategorieUscite[[#Headers],[Fuori Casa]],Data!$I1396=SottocategorieUscite[[#Headers],[Varie Uscite]],Data!$I1396=SottocategorieUscite[[#Headers],[Personali]],Data!$I1396=SottocategorieUscite[[#Headers],[Lavoro]]),"$ -","")</f>
        <v/>
      </c>
      <c r="L1396" s="59" t="str">
        <f>IF(OR(Data!$I1396=SottocategorieUscite[[#Headers],[Casa]],Data!$I1396=SottocategorieUscite[[#Headers],[Utenze]],Data!$I1396=SottocategorieUscite[[#Headers],[Business Uscite]],Data!$I1396=SottocategorieUscite[[#Headers],[Banca]]),"$ -","")</f>
        <v/>
      </c>
      <c r="M1396" s="59" t="str">
        <f>IF(OR($I1396&lt;&gt;SottocategorieUscite[[#Headers],[Fuori Casa]],$I1396&lt;&gt;SottocategorieUscite[[#Headers],[Varie Uscite]],$I1396&lt;&gt;SottocategorieUscite[[#Headers],[Personali]],$I1396&lt;&gt;SottocategorieUscite[[#Headers],[Lavoro]],$I1396&lt;&gt;SottocategorieUscite[[#Headers],[Casa]],$I1396&lt;&gt;SottocategorieUscite[[#Headers],[Utenze]],$I1396&lt;&gt;SottocategorieUscite[[#Headers],[Business Uscite]],$I1396&lt;&gt;SottocategorieUscite[[#Headers],[Banca]]),"","$ -")</f>
        <v/>
      </c>
      <c r="N1396" s="59" t="str">
        <f>IF(OR(Data!$I1396=SottocategorieEntrate[[#Headers],[Business Entrate]],Data!$I1396=SottocategorieEntrate[[#Headers],[Varie Entrate]]),"$ -","")</f>
        <v/>
      </c>
      <c r="O1396" s="59" t="str">
        <f>IF(OR(Data!$I1396=SottocategorieEntrate[[#Headers],[Real Estate]],SottocategorieEntrate[[#Headers],[Other]]),"$ -","")</f>
        <v/>
      </c>
      <c r="P1396" s="59" t="str">
        <f>IF(OR($I1396&lt;&gt;SottocategorieEntrate[[#Headers],[Business Entrate]],$I1396&lt;&gt;SottocategorieEntrate[[#Headers],[Varie Entrate]],$I1396&lt;&gt;SottocategorieEntrate[[#Headers],[Real Estate]],$I1396&lt;&gt;SottocategorieEntrate[[#Headers],[Other]]),"","$ -")</f>
        <v/>
      </c>
      <c r="Q1396" s="59" t="str">
        <f>IF(Dati[[#This Row],[Categoria]]="Prelievo","€ -","")</f>
        <v/>
      </c>
      <c r="R1396" s="244"/>
      <c r="S1396" s="59" t="str">
        <f>IF(Dati[[#This Row],[Categoria]]="Savings",0,"")</f>
        <v/>
      </c>
      <c r="T1396" s="59"/>
      <c r="U1396" s="59"/>
      <c r="V1396" s="59"/>
      <c r="W1396" s="59"/>
      <c r="X1396" s="59"/>
      <c r="Y1396" s="59"/>
      <c r="Z1396" s="59"/>
      <c r="AA1396" s="59"/>
      <c r="AB1396" s="59"/>
      <c r="AC1396" s="59"/>
      <c r="AD1396" s="59"/>
      <c r="AE1396" s="59"/>
      <c r="AF1396" s="59"/>
      <c r="AG1396" s="59"/>
      <c r="AH1396" s="59"/>
      <c r="AI1396" s="59" t="str">
        <f>IF(SUM(Dati[[#This Row],[Inv. Business]:[Inv. Cryptocurrency]])=0," ",SUM(Dati[[#This Row],[Inv. Business]:[Inv. Cryptocurrency]]))</f>
        <v xml:space="preserve"> </v>
      </c>
      <c r="AJ1396" s="59"/>
      <c r="AK1396" s="59" t="str">
        <f>IF(SUM(Dati[[#This Row],[Inv. Gold]:[Mutuo]])=0," ",SUM(Dati[[#This Row],[Inv. Gold]:[Mutuo]]))</f>
        <v xml:space="preserve"> </v>
      </c>
      <c r="AL1396" s="59"/>
      <c r="AM1396" s="59"/>
    </row>
    <row r="1397" spans="2:39" x14ac:dyDescent="0.35">
      <c r="B1397" s="237">
        <f t="shared" ref="B1397:B1460" si="107">ROW(1377:1377)</f>
        <v>1377</v>
      </c>
      <c r="C1397" s="49">
        <f t="shared" si="106"/>
        <v>45955</v>
      </c>
      <c r="D1397" s="29">
        <f>DAY(Dati[[#This Row],[Data]])</f>
        <v>25</v>
      </c>
      <c r="E1397" s="29" t="str">
        <f>IF(DAY(Data!$C$21:$C$1613)&gt;0,TEXT(Data!$C$21:$C$1613, "mmmm"),"")</f>
        <v>ottobre</v>
      </c>
      <c r="F1397" s="29" t="str">
        <f>IF(DAY(Data!$C$21:$C$1613)&gt;0,TEXT(Data!$C$21:$C$1613, "aaaa"),"")</f>
        <v>2025</v>
      </c>
      <c r="I1397" t="str">
        <f>IF(OR(H1397=$B$5,H1397=$B$6,H1397=$B$7,H1397=$B$8,H1397=$B$9,H1397=$B$10,H1397=$B$11,H1397=$B$12,H1397=$B$13,H1397=$B$14),SottocategorieUscite[[#Headers],[Fuori Casa]],IF(OR(H1397=$C$5,H1397=$C$6,H1397=$C$7,H1397=$C$8,H1397=$C$9,H1397=$C$10,H1397=$C$11,H1397=$C$12,H1397=$C$13,H1397=$C$14),SottocategorieUscite[[#Headers],[Varie Uscite]],IF(OR(H1397=$D$5,H1397=$D$6,H1397=$D$7,H1397=$D$8,H1397=$D$9,H1397=$D$10,H1397=$D$11,H1397=$D$12,H1397=$D$13,H1397=$D$14),SottocategorieUscite[[#Headers],[Personali]],IF(OR(H1397=$E$5,H1397=$E$6,H1397=$E$7,H1397=$E$8,H1397=$E$9,H1397=$E$10,H1397=$E$11,H1397=$E$12,H1397=$E$13,H1397=$E$14),SottocategorieUscite[[#Headers],[Lavoro]],IF(OR(H1397=$F$5,H1397=$F$6,H1397=$F$7,H1397=$F$8,H1397=$F$9,H1397=$F$10,H1397=$F$11,H1397=$F$12,H1397=$F$13,H1397=$F$14),SottocategorieUscite[[#Headers],[Casa]],IF(OR(H1397=$G$5,H1397=$G$6,H1397=$G$7,H1397=$G$8,H1397=$G$9,H1397=$G$10,H1397=$G$11,H1397=$G$12,H1397=$G$13,H1397=$G$14),SottocategorieUscite[[#Headers],[Utenze]],IF(OR(H1397=$H$5,H1397=$H$6,H1397=$H$7,H1397=$H$8,H1397=$H$9,H1397=$H$10,H1397=$H$11,H1397=$H$12,H1397=$H$13,H1397=$H$14),SottocategorieUscite[[#Headers],[Business Uscite]],IF(OR(H1397=$I$5,H1397=$I$6,H1397=$I$7,H1397=$I$8,H1397=$I$9,H1397=$I$10,H1397=$I$11,H1397=$I$12,H1397=$I$13,H1397=$I$14),SottocategorieUscite[[#Headers],[Banca]],IF(OR(H1397=K$5,H1397=K$6,H1397=K$7,H1397=K$8,H1397=K$9,H1397=K$10,H1397=K$11,H1397=K$12,H1397=K$13,H1397=K$14),SottocategorieEntrate[[#Headers],[Business Entrate]],IF(OR(H1397=L$5,H1397=L$6,H1397=L$7,H1397=L$8,H1397=L$9,H1397=L$10,H1397=L$11,H1397=L$12,H1397=L$13,H1397=L$14),SottocategorieEntrate[[#Headers],[Varie Entrate]],IF(OR(H1397=M$5,H1397=M$6,H1397=M$7,H1397=M$8,H1397=M$9,H1397=M$10,H1397=M$11,H1397=M$12,H1397=M$13,H1397=M$14),SottocategorieEntrate[[#Headers],[Real Estate]],IF(OR(H1397=N$5,H1397=N$6,H1397=N$7,H1397=N$8,H1397=N$9,H1397=N$10,H1397=N$11,H1397=N$12,H1397=N$13,H1397=N$14),SottocategorieEntrate[[#Headers],[Other]],""))))))))))))</f>
        <v/>
      </c>
      <c r="J1397" t="str">
        <f>IF(OR(Dati[[#This Row],[Categoria]]="Bollette",Dati[[#This Row],[Categoria]]="Conto &amp; Carte BNL",Dati[[#This Row],[Categoria]]="Prelievo",Dati[[#This Row],[Categoria]]="Affitto",Dati[[#This Row],[Categoria]]="BNL(Interessi Creditori)"),"Carta",IF(Dati[[#This Row],[Categoria]]&lt;&gt;0,"Cash",""))</f>
        <v/>
      </c>
      <c r="K1397" s="59" t="str">
        <f>IF(OR(Data!$I1397=SottocategorieUscite[[#Headers],[Fuori Casa]],Data!$I1397=SottocategorieUscite[[#Headers],[Varie Uscite]],Data!$I1397=SottocategorieUscite[[#Headers],[Personali]],Data!$I1397=SottocategorieUscite[[#Headers],[Lavoro]]),"$ -","")</f>
        <v/>
      </c>
      <c r="L1397" s="59" t="str">
        <f>IF(OR(Data!$I1397=SottocategorieUscite[[#Headers],[Casa]],Data!$I1397=SottocategorieUscite[[#Headers],[Utenze]],Data!$I1397=SottocategorieUscite[[#Headers],[Business Uscite]],Data!$I1397=SottocategorieUscite[[#Headers],[Banca]]),"$ -","")</f>
        <v/>
      </c>
      <c r="M1397" s="59" t="str">
        <f>IF(OR($I1397&lt;&gt;SottocategorieUscite[[#Headers],[Fuori Casa]],$I1397&lt;&gt;SottocategorieUscite[[#Headers],[Varie Uscite]],$I1397&lt;&gt;SottocategorieUscite[[#Headers],[Personali]],$I1397&lt;&gt;SottocategorieUscite[[#Headers],[Lavoro]],$I1397&lt;&gt;SottocategorieUscite[[#Headers],[Casa]],$I1397&lt;&gt;SottocategorieUscite[[#Headers],[Utenze]],$I1397&lt;&gt;SottocategorieUscite[[#Headers],[Business Uscite]],$I1397&lt;&gt;SottocategorieUscite[[#Headers],[Banca]]),"","$ -")</f>
        <v/>
      </c>
      <c r="N1397" s="59" t="str">
        <f>IF(OR(Data!$I1397=SottocategorieEntrate[[#Headers],[Business Entrate]],Data!$I1397=SottocategorieEntrate[[#Headers],[Varie Entrate]]),"$ -","")</f>
        <v/>
      </c>
      <c r="O1397" s="59" t="str">
        <f>IF(OR(Data!$I1397=SottocategorieEntrate[[#Headers],[Real Estate]],SottocategorieEntrate[[#Headers],[Other]]),"$ -","")</f>
        <v/>
      </c>
      <c r="P1397" s="59" t="str">
        <f>IF(OR($I1397&lt;&gt;SottocategorieEntrate[[#Headers],[Business Entrate]],$I1397&lt;&gt;SottocategorieEntrate[[#Headers],[Varie Entrate]],$I1397&lt;&gt;SottocategorieEntrate[[#Headers],[Real Estate]],$I1397&lt;&gt;SottocategorieEntrate[[#Headers],[Other]]),"","$ -")</f>
        <v/>
      </c>
      <c r="Q1397" s="59" t="str">
        <f>IF(Dati[[#This Row],[Categoria]]="Prelievo","€ -","")</f>
        <v/>
      </c>
      <c r="R1397" s="244"/>
      <c r="S1397" s="59" t="str">
        <f>IF(Dati[[#This Row],[Categoria]]="Savings",0,"")</f>
        <v/>
      </c>
      <c r="T1397" s="59"/>
      <c r="U1397" s="59"/>
      <c r="V1397" s="59"/>
      <c r="W1397" s="59"/>
      <c r="X1397" s="59"/>
      <c r="Y1397" s="59"/>
      <c r="Z1397" s="59"/>
      <c r="AA1397" s="59"/>
      <c r="AB1397" s="59"/>
      <c r="AC1397" s="59"/>
      <c r="AD1397" s="59"/>
      <c r="AE1397" s="59"/>
      <c r="AF1397" s="59"/>
      <c r="AG1397" s="59"/>
      <c r="AH1397" s="59"/>
      <c r="AI1397" s="59" t="str">
        <f>IF(SUM(Dati[[#This Row],[Inv. Business]:[Inv. Cryptocurrency]])=0," ",SUM(Dati[[#This Row],[Inv. Business]:[Inv. Cryptocurrency]]))</f>
        <v xml:space="preserve"> </v>
      </c>
      <c r="AJ1397" s="59"/>
      <c r="AK1397" s="59" t="str">
        <f>IF(SUM(Dati[[#This Row],[Inv. Gold]:[Mutuo]])=0," ",SUM(Dati[[#This Row],[Inv. Gold]:[Mutuo]]))</f>
        <v xml:space="preserve"> </v>
      </c>
      <c r="AL1397" s="59"/>
      <c r="AM1397" s="59"/>
    </row>
    <row r="1398" spans="2:39" x14ac:dyDescent="0.35">
      <c r="B1398" s="237">
        <f t="shared" si="107"/>
        <v>1378</v>
      </c>
      <c r="C1398" s="49">
        <f t="shared" si="106"/>
        <v>45956</v>
      </c>
      <c r="D1398" s="29">
        <f>DAY(Dati[[#This Row],[Data]])</f>
        <v>26</v>
      </c>
      <c r="E1398" s="29" t="str">
        <f>IF(DAY(Data!$C$21:$C$1613)&gt;0,TEXT(Data!$C$21:$C$1613, "mmmm"),"")</f>
        <v>ottobre</v>
      </c>
      <c r="F1398" s="29" t="str">
        <f>IF(DAY(Data!$C$21:$C$1613)&gt;0,TEXT(Data!$C$21:$C$1613, "aaaa"),"")</f>
        <v>2025</v>
      </c>
      <c r="I1398" t="str">
        <f>IF(OR(H1398=$B$5,H1398=$B$6,H1398=$B$7,H1398=$B$8,H1398=$B$9,H1398=$B$10,H1398=$B$11,H1398=$B$12,H1398=$B$13,H1398=$B$14),SottocategorieUscite[[#Headers],[Fuori Casa]],IF(OR(H1398=$C$5,H1398=$C$6,H1398=$C$7,H1398=$C$8,H1398=$C$9,H1398=$C$10,H1398=$C$11,H1398=$C$12,H1398=$C$13,H1398=$C$14),SottocategorieUscite[[#Headers],[Varie Uscite]],IF(OR(H1398=$D$5,H1398=$D$6,H1398=$D$7,H1398=$D$8,H1398=$D$9,H1398=$D$10,H1398=$D$11,H1398=$D$12,H1398=$D$13,H1398=$D$14),SottocategorieUscite[[#Headers],[Personali]],IF(OR(H1398=$E$5,H1398=$E$6,H1398=$E$7,H1398=$E$8,H1398=$E$9,H1398=$E$10,H1398=$E$11,H1398=$E$12,H1398=$E$13,H1398=$E$14),SottocategorieUscite[[#Headers],[Lavoro]],IF(OR(H1398=$F$5,H1398=$F$6,H1398=$F$7,H1398=$F$8,H1398=$F$9,H1398=$F$10,H1398=$F$11,H1398=$F$12,H1398=$F$13,H1398=$F$14),SottocategorieUscite[[#Headers],[Casa]],IF(OR(H1398=$G$5,H1398=$G$6,H1398=$G$7,H1398=$G$8,H1398=$G$9,H1398=$G$10,H1398=$G$11,H1398=$G$12,H1398=$G$13,H1398=$G$14),SottocategorieUscite[[#Headers],[Utenze]],IF(OR(H1398=$H$5,H1398=$H$6,H1398=$H$7,H1398=$H$8,H1398=$H$9,H1398=$H$10,H1398=$H$11,H1398=$H$12,H1398=$H$13,H1398=$H$14),SottocategorieUscite[[#Headers],[Business Uscite]],IF(OR(H1398=$I$5,H1398=$I$6,H1398=$I$7,H1398=$I$8,H1398=$I$9,H1398=$I$10,H1398=$I$11,H1398=$I$12,H1398=$I$13,H1398=$I$14),SottocategorieUscite[[#Headers],[Banca]],IF(OR(H1398=K$5,H1398=K$6,H1398=K$7,H1398=K$8,H1398=K$9,H1398=K$10,H1398=K$11,H1398=K$12,H1398=K$13,H1398=K$14),SottocategorieEntrate[[#Headers],[Business Entrate]],IF(OR(H1398=L$5,H1398=L$6,H1398=L$7,H1398=L$8,H1398=L$9,H1398=L$10,H1398=L$11,H1398=L$12,H1398=L$13,H1398=L$14),SottocategorieEntrate[[#Headers],[Varie Entrate]],IF(OR(H1398=M$5,H1398=M$6,H1398=M$7,H1398=M$8,H1398=M$9,H1398=M$10,H1398=M$11,H1398=M$12,H1398=M$13,H1398=M$14),SottocategorieEntrate[[#Headers],[Real Estate]],IF(OR(H1398=N$5,H1398=N$6,H1398=N$7,H1398=N$8,H1398=N$9,H1398=N$10,H1398=N$11,H1398=N$12,H1398=N$13,H1398=N$14),SottocategorieEntrate[[#Headers],[Other]],""))))))))))))</f>
        <v/>
      </c>
      <c r="J1398" t="str">
        <f>IF(OR(Dati[[#This Row],[Categoria]]="Bollette",Dati[[#This Row],[Categoria]]="Conto &amp; Carte BNL",Dati[[#This Row],[Categoria]]="Prelievo",Dati[[#This Row],[Categoria]]="Affitto",Dati[[#This Row],[Categoria]]="BNL(Interessi Creditori)"),"Carta",IF(Dati[[#This Row],[Categoria]]&lt;&gt;0,"Cash",""))</f>
        <v/>
      </c>
      <c r="K1398" s="59" t="str">
        <f>IF(OR(Data!$I1398=SottocategorieUscite[[#Headers],[Fuori Casa]],Data!$I1398=SottocategorieUscite[[#Headers],[Varie Uscite]],Data!$I1398=SottocategorieUscite[[#Headers],[Personali]],Data!$I1398=SottocategorieUscite[[#Headers],[Lavoro]]),"$ -","")</f>
        <v/>
      </c>
      <c r="L1398" s="59" t="str">
        <f>IF(OR(Data!$I1398=SottocategorieUscite[[#Headers],[Casa]],Data!$I1398=SottocategorieUscite[[#Headers],[Utenze]],Data!$I1398=SottocategorieUscite[[#Headers],[Business Uscite]],Data!$I1398=SottocategorieUscite[[#Headers],[Banca]]),"$ -","")</f>
        <v/>
      </c>
      <c r="M1398" s="59" t="str">
        <f>IF(OR($I1398&lt;&gt;SottocategorieUscite[[#Headers],[Fuori Casa]],$I1398&lt;&gt;SottocategorieUscite[[#Headers],[Varie Uscite]],$I1398&lt;&gt;SottocategorieUscite[[#Headers],[Personali]],$I1398&lt;&gt;SottocategorieUscite[[#Headers],[Lavoro]],$I1398&lt;&gt;SottocategorieUscite[[#Headers],[Casa]],$I1398&lt;&gt;SottocategorieUscite[[#Headers],[Utenze]],$I1398&lt;&gt;SottocategorieUscite[[#Headers],[Business Uscite]],$I1398&lt;&gt;SottocategorieUscite[[#Headers],[Banca]]),"","$ -")</f>
        <v/>
      </c>
      <c r="N1398" s="59" t="str">
        <f>IF(OR(Data!$I1398=SottocategorieEntrate[[#Headers],[Business Entrate]],Data!$I1398=SottocategorieEntrate[[#Headers],[Varie Entrate]]),"$ -","")</f>
        <v/>
      </c>
      <c r="O1398" s="59" t="str">
        <f>IF(OR(Data!$I1398=SottocategorieEntrate[[#Headers],[Real Estate]],SottocategorieEntrate[[#Headers],[Other]]),"$ -","")</f>
        <v/>
      </c>
      <c r="P1398" s="59" t="str">
        <f>IF(OR($I1398&lt;&gt;SottocategorieEntrate[[#Headers],[Business Entrate]],$I1398&lt;&gt;SottocategorieEntrate[[#Headers],[Varie Entrate]],$I1398&lt;&gt;SottocategorieEntrate[[#Headers],[Real Estate]],$I1398&lt;&gt;SottocategorieEntrate[[#Headers],[Other]]),"","$ -")</f>
        <v/>
      </c>
      <c r="Q1398" s="59" t="str">
        <f>IF(Dati[[#This Row],[Categoria]]="Prelievo","€ -","")</f>
        <v/>
      </c>
      <c r="R1398" s="244"/>
      <c r="S1398" s="59" t="str">
        <f>IF(Dati[[#This Row],[Categoria]]="Savings",0,"")</f>
        <v/>
      </c>
      <c r="T1398" s="59"/>
      <c r="U1398" s="59"/>
      <c r="V1398" s="59"/>
      <c r="W1398" s="59"/>
      <c r="X1398" s="59"/>
      <c r="Y1398" s="59"/>
      <c r="Z1398" s="59"/>
      <c r="AA1398" s="59"/>
      <c r="AB1398" s="59"/>
      <c r="AC1398" s="59"/>
      <c r="AD1398" s="59"/>
      <c r="AE1398" s="59"/>
      <c r="AF1398" s="59"/>
      <c r="AG1398" s="59"/>
      <c r="AH1398" s="59"/>
      <c r="AI1398" s="59" t="str">
        <f>IF(SUM(Dati[[#This Row],[Inv. Business]:[Inv. Cryptocurrency]])=0," ",SUM(Dati[[#This Row],[Inv. Business]:[Inv. Cryptocurrency]]))</f>
        <v xml:space="preserve"> </v>
      </c>
      <c r="AJ1398" s="59"/>
      <c r="AK1398" s="59" t="str">
        <f>IF(SUM(Dati[[#This Row],[Inv. Gold]:[Mutuo]])=0," ",SUM(Dati[[#This Row],[Inv. Gold]:[Mutuo]]))</f>
        <v xml:space="preserve"> </v>
      </c>
      <c r="AL1398" s="59"/>
      <c r="AM1398" s="59"/>
    </row>
    <row r="1399" spans="2:39" x14ac:dyDescent="0.35">
      <c r="B1399" s="237">
        <f t="shared" si="107"/>
        <v>1379</v>
      </c>
      <c r="C1399" s="49">
        <f t="shared" si="106"/>
        <v>45957</v>
      </c>
      <c r="D1399" s="29">
        <f>DAY(Dati[[#This Row],[Data]])</f>
        <v>27</v>
      </c>
      <c r="E1399" s="29" t="str">
        <f>IF(DAY(Data!$C$21:$C$1613)&gt;0,TEXT(Data!$C$21:$C$1613, "mmmm"),"")</f>
        <v>ottobre</v>
      </c>
      <c r="F1399" s="29" t="str">
        <f>IF(DAY(Data!$C$21:$C$1613)&gt;0,TEXT(Data!$C$21:$C$1613, "aaaa"),"")</f>
        <v>2025</v>
      </c>
      <c r="I1399" t="str">
        <f>IF(OR(H1399=$B$5,H1399=$B$6,H1399=$B$7,H1399=$B$8,H1399=$B$9,H1399=$B$10,H1399=$B$11,H1399=$B$12,H1399=$B$13,H1399=$B$14),SottocategorieUscite[[#Headers],[Fuori Casa]],IF(OR(H1399=$C$5,H1399=$C$6,H1399=$C$7,H1399=$C$8,H1399=$C$9,H1399=$C$10,H1399=$C$11,H1399=$C$12,H1399=$C$13,H1399=$C$14),SottocategorieUscite[[#Headers],[Varie Uscite]],IF(OR(H1399=$D$5,H1399=$D$6,H1399=$D$7,H1399=$D$8,H1399=$D$9,H1399=$D$10,H1399=$D$11,H1399=$D$12,H1399=$D$13,H1399=$D$14),SottocategorieUscite[[#Headers],[Personali]],IF(OR(H1399=$E$5,H1399=$E$6,H1399=$E$7,H1399=$E$8,H1399=$E$9,H1399=$E$10,H1399=$E$11,H1399=$E$12,H1399=$E$13,H1399=$E$14),SottocategorieUscite[[#Headers],[Lavoro]],IF(OR(H1399=$F$5,H1399=$F$6,H1399=$F$7,H1399=$F$8,H1399=$F$9,H1399=$F$10,H1399=$F$11,H1399=$F$12,H1399=$F$13,H1399=$F$14),SottocategorieUscite[[#Headers],[Casa]],IF(OR(H1399=$G$5,H1399=$G$6,H1399=$G$7,H1399=$G$8,H1399=$G$9,H1399=$G$10,H1399=$G$11,H1399=$G$12,H1399=$G$13,H1399=$G$14),SottocategorieUscite[[#Headers],[Utenze]],IF(OR(H1399=$H$5,H1399=$H$6,H1399=$H$7,H1399=$H$8,H1399=$H$9,H1399=$H$10,H1399=$H$11,H1399=$H$12,H1399=$H$13,H1399=$H$14),SottocategorieUscite[[#Headers],[Business Uscite]],IF(OR(H1399=$I$5,H1399=$I$6,H1399=$I$7,H1399=$I$8,H1399=$I$9,H1399=$I$10,H1399=$I$11,H1399=$I$12,H1399=$I$13,H1399=$I$14),SottocategorieUscite[[#Headers],[Banca]],IF(OR(H1399=K$5,H1399=K$6,H1399=K$7,H1399=K$8,H1399=K$9,H1399=K$10,H1399=K$11,H1399=K$12,H1399=K$13,H1399=K$14),SottocategorieEntrate[[#Headers],[Business Entrate]],IF(OR(H1399=L$5,H1399=L$6,H1399=L$7,H1399=L$8,H1399=L$9,H1399=L$10,H1399=L$11,H1399=L$12,H1399=L$13,H1399=L$14),SottocategorieEntrate[[#Headers],[Varie Entrate]],IF(OR(H1399=M$5,H1399=M$6,H1399=M$7,H1399=M$8,H1399=M$9,H1399=M$10,H1399=M$11,H1399=M$12,H1399=M$13,H1399=M$14),SottocategorieEntrate[[#Headers],[Real Estate]],IF(OR(H1399=N$5,H1399=N$6,H1399=N$7,H1399=N$8,H1399=N$9,H1399=N$10,H1399=N$11,H1399=N$12,H1399=N$13,H1399=N$14),SottocategorieEntrate[[#Headers],[Other]],""))))))))))))</f>
        <v/>
      </c>
      <c r="J1399" t="str">
        <f>IF(OR(Dati[[#This Row],[Categoria]]="Bollette",Dati[[#This Row],[Categoria]]="Conto &amp; Carte BNL",Dati[[#This Row],[Categoria]]="Prelievo",Dati[[#This Row],[Categoria]]="Affitto",Dati[[#This Row],[Categoria]]="BNL(Interessi Creditori)"),"Carta",IF(Dati[[#This Row],[Categoria]]&lt;&gt;0,"Cash",""))</f>
        <v/>
      </c>
      <c r="K1399" s="59" t="str">
        <f>IF(OR(Data!$I1399=SottocategorieUscite[[#Headers],[Fuori Casa]],Data!$I1399=SottocategorieUscite[[#Headers],[Varie Uscite]],Data!$I1399=SottocategorieUscite[[#Headers],[Personali]],Data!$I1399=SottocategorieUscite[[#Headers],[Lavoro]]),"$ -","")</f>
        <v/>
      </c>
      <c r="L1399" s="59" t="str">
        <f>IF(OR(Data!$I1399=SottocategorieUscite[[#Headers],[Casa]],Data!$I1399=SottocategorieUscite[[#Headers],[Utenze]],Data!$I1399=SottocategorieUscite[[#Headers],[Business Uscite]],Data!$I1399=SottocategorieUscite[[#Headers],[Banca]]),"$ -","")</f>
        <v/>
      </c>
      <c r="M1399" s="59" t="str">
        <f>IF(OR($I1399&lt;&gt;SottocategorieUscite[[#Headers],[Fuori Casa]],$I1399&lt;&gt;SottocategorieUscite[[#Headers],[Varie Uscite]],$I1399&lt;&gt;SottocategorieUscite[[#Headers],[Personali]],$I1399&lt;&gt;SottocategorieUscite[[#Headers],[Lavoro]],$I1399&lt;&gt;SottocategorieUscite[[#Headers],[Casa]],$I1399&lt;&gt;SottocategorieUscite[[#Headers],[Utenze]],$I1399&lt;&gt;SottocategorieUscite[[#Headers],[Business Uscite]],$I1399&lt;&gt;SottocategorieUscite[[#Headers],[Banca]]),"","$ -")</f>
        <v/>
      </c>
      <c r="N1399" s="59" t="str">
        <f>IF(OR(Data!$I1399=SottocategorieEntrate[[#Headers],[Business Entrate]],Data!$I1399=SottocategorieEntrate[[#Headers],[Varie Entrate]]),"$ -","")</f>
        <v/>
      </c>
      <c r="O1399" s="59" t="str">
        <f>IF(OR(Data!$I1399=SottocategorieEntrate[[#Headers],[Real Estate]],SottocategorieEntrate[[#Headers],[Other]]),"$ -","")</f>
        <v/>
      </c>
      <c r="P1399" s="59" t="str">
        <f>IF(OR($I1399&lt;&gt;SottocategorieEntrate[[#Headers],[Business Entrate]],$I1399&lt;&gt;SottocategorieEntrate[[#Headers],[Varie Entrate]],$I1399&lt;&gt;SottocategorieEntrate[[#Headers],[Real Estate]],$I1399&lt;&gt;SottocategorieEntrate[[#Headers],[Other]]),"","$ -")</f>
        <v/>
      </c>
      <c r="Q1399" s="59" t="str">
        <f>IF(Dati[[#This Row],[Categoria]]="Prelievo","€ -","")</f>
        <v/>
      </c>
      <c r="R1399" s="244"/>
      <c r="S1399" s="59" t="str">
        <f>IF(Dati[[#This Row],[Categoria]]="Savings",0,"")</f>
        <v/>
      </c>
      <c r="T1399" s="59"/>
      <c r="U1399" s="59"/>
      <c r="V1399" s="59"/>
      <c r="W1399" s="59"/>
      <c r="X1399" s="59"/>
      <c r="Y1399" s="59"/>
      <c r="Z1399" s="59"/>
      <c r="AA1399" s="59"/>
      <c r="AB1399" s="59"/>
      <c r="AC1399" s="59"/>
      <c r="AD1399" s="59"/>
      <c r="AE1399" s="59"/>
      <c r="AF1399" s="59"/>
      <c r="AG1399" s="59"/>
      <c r="AH1399" s="59"/>
      <c r="AI1399" s="59" t="str">
        <f>IF(SUM(Dati[[#This Row],[Inv. Business]:[Inv. Cryptocurrency]])=0," ",SUM(Dati[[#This Row],[Inv. Business]:[Inv. Cryptocurrency]]))</f>
        <v xml:space="preserve"> </v>
      </c>
      <c r="AJ1399" s="59"/>
      <c r="AK1399" s="59" t="str">
        <f>IF(SUM(Dati[[#This Row],[Inv. Gold]:[Mutuo]])=0," ",SUM(Dati[[#This Row],[Inv. Gold]:[Mutuo]]))</f>
        <v xml:space="preserve"> </v>
      </c>
      <c r="AL1399" s="59"/>
      <c r="AM1399" s="59"/>
    </row>
    <row r="1400" spans="2:39" x14ac:dyDescent="0.35">
      <c r="B1400" s="237">
        <f t="shared" si="107"/>
        <v>1380</v>
      </c>
      <c r="C1400" s="49">
        <f t="shared" si="106"/>
        <v>45958</v>
      </c>
      <c r="D1400" s="29">
        <f>DAY(Dati[[#This Row],[Data]])</f>
        <v>28</v>
      </c>
      <c r="E1400" s="29" t="str">
        <f>IF(DAY(Data!$C$21:$C$1613)&gt;0,TEXT(Data!$C$21:$C$1613, "mmmm"),"")</f>
        <v>ottobre</v>
      </c>
      <c r="F1400" s="29" t="str">
        <f>IF(DAY(Data!$C$21:$C$1613)&gt;0,TEXT(Data!$C$21:$C$1613, "aaaa"),"")</f>
        <v>2025</v>
      </c>
      <c r="I1400" t="str">
        <f>IF(OR(H1400=$B$5,H1400=$B$6,H1400=$B$7,H1400=$B$8,H1400=$B$9,H1400=$B$10,H1400=$B$11,H1400=$B$12,H1400=$B$13,H1400=$B$14),SottocategorieUscite[[#Headers],[Fuori Casa]],IF(OR(H1400=$C$5,H1400=$C$6,H1400=$C$7,H1400=$C$8,H1400=$C$9,H1400=$C$10,H1400=$C$11,H1400=$C$12,H1400=$C$13,H1400=$C$14),SottocategorieUscite[[#Headers],[Varie Uscite]],IF(OR(H1400=$D$5,H1400=$D$6,H1400=$D$7,H1400=$D$8,H1400=$D$9,H1400=$D$10,H1400=$D$11,H1400=$D$12,H1400=$D$13,H1400=$D$14),SottocategorieUscite[[#Headers],[Personali]],IF(OR(H1400=$E$5,H1400=$E$6,H1400=$E$7,H1400=$E$8,H1400=$E$9,H1400=$E$10,H1400=$E$11,H1400=$E$12,H1400=$E$13,H1400=$E$14),SottocategorieUscite[[#Headers],[Lavoro]],IF(OR(H1400=$F$5,H1400=$F$6,H1400=$F$7,H1400=$F$8,H1400=$F$9,H1400=$F$10,H1400=$F$11,H1400=$F$12,H1400=$F$13,H1400=$F$14),SottocategorieUscite[[#Headers],[Casa]],IF(OR(H1400=$G$5,H1400=$G$6,H1400=$G$7,H1400=$G$8,H1400=$G$9,H1400=$G$10,H1400=$G$11,H1400=$G$12,H1400=$G$13,H1400=$G$14),SottocategorieUscite[[#Headers],[Utenze]],IF(OR(H1400=$H$5,H1400=$H$6,H1400=$H$7,H1400=$H$8,H1400=$H$9,H1400=$H$10,H1400=$H$11,H1400=$H$12,H1400=$H$13,H1400=$H$14),SottocategorieUscite[[#Headers],[Business Uscite]],IF(OR(H1400=$I$5,H1400=$I$6,H1400=$I$7,H1400=$I$8,H1400=$I$9,H1400=$I$10,H1400=$I$11,H1400=$I$12,H1400=$I$13,H1400=$I$14),SottocategorieUscite[[#Headers],[Banca]],IF(OR(H1400=K$5,H1400=K$6,H1400=K$7,H1400=K$8,H1400=K$9,H1400=K$10,H1400=K$11,H1400=K$12,H1400=K$13,H1400=K$14),SottocategorieEntrate[[#Headers],[Business Entrate]],IF(OR(H1400=L$5,H1400=L$6,H1400=L$7,H1400=L$8,H1400=L$9,H1400=L$10,H1400=L$11,H1400=L$12,H1400=L$13,H1400=L$14),SottocategorieEntrate[[#Headers],[Varie Entrate]],IF(OR(H1400=M$5,H1400=M$6,H1400=M$7,H1400=M$8,H1400=M$9,H1400=M$10,H1400=M$11,H1400=M$12,H1400=M$13,H1400=M$14),SottocategorieEntrate[[#Headers],[Real Estate]],IF(OR(H1400=N$5,H1400=N$6,H1400=N$7,H1400=N$8,H1400=N$9,H1400=N$10,H1400=N$11,H1400=N$12,H1400=N$13,H1400=N$14),SottocategorieEntrate[[#Headers],[Other]],""))))))))))))</f>
        <v/>
      </c>
      <c r="J1400" t="str">
        <f>IF(OR(Dati[[#This Row],[Categoria]]="Bollette",Dati[[#This Row],[Categoria]]="Conto &amp; Carte BNL",Dati[[#This Row],[Categoria]]="Prelievo",Dati[[#This Row],[Categoria]]="Affitto",Dati[[#This Row],[Categoria]]="BNL(Interessi Creditori)"),"Carta",IF(Dati[[#This Row],[Categoria]]&lt;&gt;0,"Cash",""))</f>
        <v/>
      </c>
      <c r="K1400" s="59" t="str">
        <f>IF(OR(Data!$I1400=SottocategorieUscite[[#Headers],[Fuori Casa]],Data!$I1400=SottocategorieUscite[[#Headers],[Varie Uscite]],Data!$I1400=SottocategorieUscite[[#Headers],[Personali]],Data!$I1400=SottocategorieUscite[[#Headers],[Lavoro]]),"$ -","")</f>
        <v/>
      </c>
      <c r="L1400" s="59" t="str">
        <f>IF(OR(Data!$I1400=SottocategorieUscite[[#Headers],[Casa]],Data!$I1400=SottocategorieUscite[[#Headers],[Utenze]],Data!$I1400=SottocategorieUscite[[#Headers],[Business Uscite]],Data!$I1400=SottocategorieUscite[[#Headers],[Banca]]),"$ -","")</f>
        <v/>
      </c>
      <c r="M1400" s="59" t="str">
        <f>IF(OR($I1400&lt;&gt;SottocategorieUscite[[#Headers],[Fuori Casa]],$I1400&lt;&gt;SottocategorieUscite[[#Headers],[Varie Uscite]],$I1400&lt;&gt;SottocategorieUscite[[#Headers],[Personali]],$I1400&lt;&gt;SottocategorieUscite[[#Headers],[Lavoro]],$I1400&lt;&gt;SottocategorieUscite[[#Headers],[Casa]],$I1400&lt;&gt;SottocategorieUscite[[#Headers],[Utenze]],$I1400&lt;&gt;SottocategorieUscite[[#Headers],[Business Uscite]],$I1400&lt;&gt;SottocategorieUscite[[#Headers],[Banca]]),"","$ -")</f>
        <v/>
      </c>
      <c r="N1400" s="59" t="str">
        <f>IF(OR(Data!$I1400=SottocategorieEntrate[[#Headers],[Business Entrate]],Data!$I1400=SottocategorieEntrate[[#Headers],[Varie Entrate]]),"$ -","")</f>
        <v/>
      </c>
      <c r="O1400" s="59" t="str">
        <f>IF(OR(Data!$I1400=SottocategorieEntrate[[#Headers],[Real Estate]],SottocategorieEntrate[[#Headers],[Other]]),"$ -","")</f>
        <v/>
      </c>
      <c r="P1400" s="59" t="str">
        <f>IF(OR($I1400&lt;&gt;SottocategorieEntrate[[#Headers],[Business Entrate]],$I1400&lt;&gt;SottocategorieEntrate[[#Headers],[Varie Entrate]],$I1400&lt;&gt;SottocategorieEntrate[[#Headers],[Real Estate]],$I1400&lt;&gt;SottocategorieEntrate[[#Headers],[Other]]),"","$ -")</f>
        <v/>
      </c>
      <c r="Q1400" s="59" t="str">
        <f>IF(Dati[[#This Row],[Categoria]]="Prelievo","€ -","")</f>
        <v/>
      </c>
      <c r="R1400" s="244"/>
      <c r="S1400" s="59" t="str">
        <f>IF(Dati[[#This Row],[Categoria]]="Savings",0,"")</f>
        <v/>
      </c>
      <c r="T1400" s="59"/>
      <c r="U1400" s="59"/>
      <c r="V1400" s="59"/>
      <c r="W1400" s="59"/>
      <c r="X1400" s="59"/>
      <c r="Y1400" s="59"/>
      <c r="Z1400" s="59"/>
      <c r="AA1400" s="59"/>
      <c r="AB1400" s="59"/>
      <c r="AC1400" s="59"/>
      <c r="AD1400" s="59"/>
      <c r="AE1400" s="59"/>
      <c r="AF1400" s="59"/>
      <c r="AG1400" s="59"/>
      <c r="AH1400" s="59"/>
      <c r="AI1400" s="59" t="str">
        <f>IF(SUM(Dati[[#This Row],[Inv. Business]:[Inv. Cryptocurrency]])=0," ",SUM(Dati[[#This Row],[Inv. Business]:[Inv. Cryptocurrency]]))</f>
        <v xml:space="preserve"> </v>
      </c>
      <c r="AJ1400" s="59"/>
      <c r="AK1400" s="59" t="str">
        <f>IF(SUM(Dati[[#This Row],[Inv. Gold]:[Mutuo]])=0," ",SUM(Dati[[#This Row],[Inv. Gold]:[Mutuo]]))</f>
        <v xml:space="preserve"> </v>
      </c>
      <c r="AL1400" s="59"/>
      <c r="AM1400" s="59"/>
    </row>
    <row r="1401" spans="2:39" x14ac:dyDescent="0.35">
      <c r="B1401" s="237">
        <f t="shared" si="107"/>
        <v>1381</v>
      </c>
      <c r="C1401" s="49">
        <f t="shared" si="106"/>
        <v>45959</v>
      </c>
      <c r="D1401" s="29">
        <f>DAY(Dati[[#This Row],[Data]])</f>
        <v>29</v>
      </c>
      <c r="E1401" s="29" t="str">
        <f>IF(DAY(Data!$C$21:$C$1613)&gt;0,TEXT(Data!$C$21:$C$1613, "mmmm"),"")</f>
        <v>ottobre</v>
      </c>
      <c r="F1401" s="29" t="str">
        <f>IF(DAY(Data!$C$21:$C$1613)&gt;0,TEXT(Data!$C$21:$C$1613, "aaaa"),"")</f>
        <v>2025</v>
      </c>
      <c r="I1401" t="str">
        <f>IF(OR(H1401=$B$5,H1401=$B$6,H1401=$B$7,H1401=$B$8,H1401=$B$9,H1401=$B$10,H1401=$B$11,H1401=$B$12,H1401=$B$13,H1401=$B$14),SottocategorieUscite[[#Headers],[Fuori Casa]],IF(OR(H1401=$C$5,H1401=$C$6,H1401=$C$7,H1401=$C$8,H1401=$C$9,H1401=$C$10,H1401=$C$11,H1401=$C$12,H1401=$C$13,H1401=$C$14),SottocategorieUscite[[#Headers],[Varie Uscite]],IF(OR(H1401=$D$5,H1401=$D$6,H1401=$D$7,H1401=$D$8,H1401=$D$9,H1401=$D$10,H1401=$D$11,H1401=$D$12,H1401=$D$13,H1401=$D$14),SottocategorieUscite[[#Headers],[Personali]],IF(OR(H1401=$E$5,H1401=$E$6,H1401=$E$7,H1401=$E$8,H1401=$E$9,H1401=$E$10,H1401=$E$11,H1401=$E$12,H1401=$E$13,H1401=$E$14),SottocategorieUscite[[#Headers],[Lavoro]],IF(OR(H1401=$F$5,H1401=$F$6,H1401=$F$7,H1401=$F$8,H1401=$F$9,H1401=$F$10,H1401=$F$11,H1401=$F$12,H1401=$F$13,H1401=$F$14),SottocategorieUscite[[#Headers],[Casa]],IF(OR(H1401=$G$5,H1401=$G$6,H1401=$G$7,H1401=$G$8,H1401=$G$9,H1401=$G$10,H1401=$G$11,H1401=$G$12,H1401=$G$13,H1401=$G$14),SottocategorieUscite[[#Headers],[Utenze]],IF(OR(H1401=$H$5,H1401=$H$6,H1401=$H$7,H1401=$H$8,H1401=$H$9,H1401=$H$10,H1401=$H$11,H1401=$H$12,H1401=$H$13,H1401=$H$14),SottocategorieUscite[[#Headers],[Business Uscite]],IF(OR(H1401=$I$5,H1401=$I$6,H1401=$I$7,H1401=$I$8,H1401=$I$9,H1401=$I$10,H1401=$I$11,H1401=$I$12,H1401=$I$13,H1401=$I$14),SottocategorieUscite[[#Headers],[Banca]],IF(OR(H1401=K$5,H1401=K$6,H1401=K$7,H1401=K$8,H1401=K$9,H1401=K$10,H1401=K$11,H1401=K$12,H1401=K$13,H1401=K$14),SottocategorieEntrate[[#Headers],[Business Entrate]],IF(OR(H1401=L$5,H1401=L$6,H1401=L$7,H1401=L$8,H1401=L$9,H1401=L$10,H1401=L$11,H1401=L$12,H1401=L$13,H1401=L$14),SottocategorieEntrate[[#Headers],[Varie Entrate]],IF(OR(H1401=M$5,H1401=M$6,H1401=M$7,H1401=M$8,H1401=M$9,H1401=M$10,H1401=M$11,H1401=M$12,H1401=M$13,H1401=M$14),SottocategorieEntrate[[#Headers],[Real Estate]],IF(OR(H1401=N$5,H1401=N$6,H1401=N$7,H1401=N$8,H1401=N$9,H1401=N$10,H1401=N$11,H1401=N$12,H1401=N$13,H1401=N$14),SottocategorieEntrate[[#Headers],[Other]],""))))))))))))</f>
        <v/>
      </c>
      <c r="J1401" t="str">
        <f>IF(OR(Dati[[#This Row],[Categoria]]="Bollette",Dati[[#This Row],[Categoria]]="Conto &amp; Carte BNL",Dati[[#This Row],[Categoria]]="Prelievo",Dati[[#This Row],[Categoria]]="Affitto",Dati[[#This Row],[Categoria]]="BNL(Interessi Creditori)"),"Carta",IF(Dati[[#This Row],[Categoria]]&lt;&gt;0,"Cash",""))</f>
        <v/>
      </c>
      <c r="K1401" s="59" t="str">
        <f>IF(OR(Data!$I1401=SottocategorieUscite[[#Headers],[Fuori Casa]],Data!$I1401=SottocategorieUscite[[#Headers],[Varie Uscite]],Data!$I1401=SottocategorieUscite[[#Headers],[Personali]],Data!$I1401=SottocategorieUscite[[#Headers],[Lavoro]]),"$ -","")</f>
        <v/>
      </c>
      <c r="L1401" s="59" t="str">
        <f>IF(OR(Data!$I1401=SottocategorieUscite[[#Headers],[Casa]],Data!$I1401=SottocategorieUscite[[#Headers],[Utenze]],Data!$I1401=SottocategorieUscite[[#Headers],[Business Uscite]],Data!$I1401=SottocategorieUscite[[#Headers],[Banca]]),"$ -","")</f>
        <v/>
      </c>
      <c r="M1401" s="59" t="str">
        <f>IF(OR($I1401&lt;&gt;SottocategorieUscite[[#Headers],[Fuori Casa]],$I1401&lt;&gt;SottocategorieUscite[[#Headers],[Varie Uscite]],$I1401&lt;&gt;SottocategorieUscite[[#Headers],[Personali]],$I1401&lt;&gt;SottocategorieUscite[[#Headers],[Lavoro]],$I1401&lt;&gt;SottocategorieUscite[[#Headers],[Casa]],$I1401&lt;&gt;SottocategorieUscite[[#Headers],[Utenze]],$I1401&lt;&gt;SottocategorieUscite[[#Headers],[Business Uscite]],$I1401&lt;&gt;SottocategorieUscite[[#Headers],[Banca]]),"","$ -")</f>
        <v/>
      </c>
      <c r="N1401" s="59" t="str">
        <f>IF(OR(Data!$I1401=SottocategorieEntrate[[#Headers],[Business Entrate]],Data!$I1401=SottocategorieEntrate[[#Headers],[Varie Entrate]]),"$ -","")</f>
        <v/>
      </c>
      <c r="O1401" s="59" t="str">
        <f>IF(OR(Data!$I1401=SottocategorieEntrate[[#Headers],[Real Estate]],SottocategorieEntrate[[#Headers],[Other]]),"$ -","")</f>
        <v/>
      </c>
      <c r="P1401" s="59" t="str">
        <f>IF(OR($I1401&lt;&gt;SottocategorieEntrate[[#Headers],[Business Entrate]],$I1401&lt;&gt;SottocategorieEntrate[[#Headers],[Varie Entrate]],$I1401&lt;&gt;SottocategorieEntrate[[#Headers],[Real Estate]],$I1401&lt;&gt;SottocategorieEntrate[[#Headers],[Other]]),"","$ -")</f>
        <v/>
      </c>
      <c r="Q1401" s="59" t="str">
        <f>IF(Dati[[#This Row],[Categoria]]="Prelievo","€ -","")</f>
        <v/>
      </c>
      <c r="R1401" s="244"/>
      <c r="S1401" s="59" t="str">
        <f>IF(Dati[[#This Row],[Categoria]]="Savings",0,"")</f>
        <v/>
      </c>
      <c r="T1401" s="59"/>
      <c r="U1401" s="59"/>
      <c r="V1401" s="59"/>
      <c r="W1401" s="59"/>
      <c r="X1401" s="59"/>
      <c r="Y1401" s="59"/>
      <c r="Z1401" s="59"/>
      <c r="AA1401" s="59"/>
      <c r="AB1401" s="59"/>
      <c r="AC1401" s="59"/>
      <c r="AD1401" s="59"/>
      <c r="AE1401" s="59"/>
      <c r="AF1401" s="59"/>
      <c r="AG1401" s="59"/>
      <c r="AH1401" s="59"/>
      <c r="AI1401" s="59" t="str">
        <f>IF(SUM(Dati[[#This Row],[Inv. Business]:[Inv. Cryptocurrency]])=0," ",SUM(Dati[[#This Row],[Inv. Business]:[Inv. Cryptocurrency]]))</f>
        <v xml:space="preserve"> </v>
      </c>
      <c r="AJ1401" s="59"/>
      <c r="AK1401" s="59" t="str">
        <f>IF(SUM(Dati[[#This Row],[Inv. Gold]:[Mutuo]])=0," ",SUM(Dati[[#This Row],[Inv. Gold]:[Mutuo]]))</f>
        <v xml:space="preserve"> </v>
      </c>
      <c r="AL1401" s="59"/>
      <c r="AM1401" s="59"/>
    </row>
    <row r="1402" spans="2:39" x14ac:dyDescent="0.35">
      <c r="B1402" s="237">
        <f t="shared" si="107"/>
        <v>1382</v>
      </c>
      <c r="C1402" s="49">
        <f t="shared" si="106"/>
        <v>45960</v>
      </c>
      <c r="D1402" s="29">
        <f>DAY(Dati[[#This Row],[Data]])</f>
        <v>30</v>
      </c>
      <c r="E1402" s="29" t="str">
        <f>IF(DAY(Data!$C$21:$C$1613)&gt;0,TEXT(Data!$C$21:$C$1613, "mmmm"),"")</f>
        <v>ottobre</v>
      </c>
      <c r="F1402" s="29" t="str">
        <f>IF(DAY(Data!$C$21:$C$1613)&gt;0,TEXT(Data!$C$21:$C$1613, "aaaa"),"")</f>
        <v>2025</v>
      </c>
      <c r="I1402" t="str">
        <f>IF(OR(H1402=$B$5,H1402=$B$6,H1402=$B$7,H1402=$B$8,H1402=$B$9,H1402=$B$10,H1402=$B$11,H1402=$B$12,H1402=$B$13,H1402=$B$14),SottocategorieUscite[[#Headers],[Fuori Casa]],IF(OR(H1402=$C$5,H1402=$C$6,H1402=$C$7,H1402=$C$8,H1402=$C$9,H1402=$C$10,H1402=$C$11,H1402=$C$12,H1402=$C$13,H1402=$C$14),SottocategorieUscite[[#Headers],[Varie Uscite]],IF(OR(H1402=$D$5,H1402=$D$6,H1402=$D$7,H1402=$D$8,H1402=$D$9,H1402=$D$10,H1402=$D$11,H1402=$D$12,H1402=$D$13,H1402=$D$14),SottocategorieUscite[[#Headers],[Personali]],IF(OR(H1402=$E$5,H1402=$E$6,H1402=$E$7,H1402=$E$8,H1402=$E$9,H1402=$E$10,H1402=$E$11,H1402=$E$12,H1402=$E$13,H1402=$E$14),SottocategorieUscite[[#Headers],[Lavoro]],IF(OR(H1402=$F$5,H1402=$F$6,H1402=$F$7,H1402=$F$8,H1402=$F$9,H1402=$F$10,H1402=$F$11,H1402=$F$12,H1402=$F$13,H1402=$F$14),SottocategorieUscite[[#Headers],[Casa]],IF(OR(H1402=$G$5,H1402=$G$6,H1402=$G$7,H1402=$G$8,H1402=$G$9,H1402=$G$10,H1402=$G$11,H1402=$G$12,H1402=$G$13,H1402=$G$14),SottocategorieUscite[[#Headers],[Utenze]],IF(OR(H1402=$H$5,H1402=$H$6,H1402=$H$7,H1402=$H$8,H1402=$H$9,H1402=$H$10,H1402=$H$11,H1402=$H$12,H1402=$H$13,H1402=$H$14),SottocategorieUscite[[#Headers],[Business Uscite]],IF(OR(H1402=$I$5,H1402=$I$6,H1402=$I$7,H1402=$I$8,H1402=$I$9,H1402=$I$10,H1402=$I$11,H1402=$I$12,H1402=$I$13,H1402=$I$14),SottocategorieUscite[[#Headers],[Banca]],IF(OR(H1402=K$5,H1402=K$6,H1402=K$7,H1402=K$8,H1402=K$9,H1402=K$10,H1402=K$11,H1402=K$12,H1402=K$13,H1402=K$14),SottocategorieEntrate[[#Headers],[Business Entrate]],IF(OR(H1402=L$5,H1402=L$6,H1402=L$7,H1402=L$8,H1402=L$9,H1402=L$10,H1402=L$11,H1402=L$12,H1402=L$13,H1402=L$14),SottocategorieEntrate[[#Headers],[Varie Entrate]],IF(OR(H1402=M$5,H1402=M$6,H1402=M$7,H1402=M$8,H1402=M$9,H1402=M$10,H1402=M$11,H1402=M$12,H1402=M$13,H1402=M$14),SottocategorieEntrate[[#Headers],[Real Estate]],IF(OR(H1402=N$5,H1402=N$6,H1402=N$7,H1402=N$8,H1402=N$9,H1402=N$10,H1402=N$11,H1402=N$12,H1402=N$13,H1402=N$14),SottocategorieEntrate[[#Headers],[Other]],""))))))))))))</f>
        <v/>
      </c>
      <c r="J1402" t="str">
        <f>IF(OR(Dati[[#This Row],[Categoria]]="Bollette",Dati[[#This Row],[Categoria]]="Conto &amp; Carte BNL",Dati[[#This Row],[Categoria]]="Prelievo",Dati[[#This Row],[Categoria]]="Affitto",Dati[[#This Row],[Categoria]]="BNL(Interessi Creditori)"),"Carta",IF(Dati[[#This Row],[Categoria]]&lt;&gt;0,"Cash",""))</f>
        <v/>
      </c>
      <c r="K1402" s="59" t="str">
        <f>IF(OR(Data!$I1402=SottocategorieUscite[[#Headers],[Fuori Casa]],Data!$I1402=SottocategorieUscite[[#Headers],[Varie Uscite]],Data!$I1402=SottocategorieUscite[[#Headers],[Personali]],Data!$I1402=SottocategorieUscite[[#Headers],[Lavoro]]),"$ -","")</f>
        <v/>
      </c>
      <c r="L1402" s="59" t="str">
        <f>IF(OR(Data!$I1402=SottocategorieUscite[[#Headers],[Casa]],Data!$I1402=SottocategorieUscite[[#Headers],[Utenze]],Data!$I1402=SottocategorieUscite[[#Headers],[Business Uscite]],Data!$I1402=SottocategorieUscite[[#Headers],[Banca]]),"$ -","")</f>
        <v/>
      </c>
      <c r="M1402" s="59" t="str">
        <f>IF(OR($I1402&lt;&gt;SottocategorieUscite[[#Headers],[Fuori Casa]],$I1402&lt;&gt;SottocategorieUscite[[#Headers],[Varie Uscite]],$I1402&lt;&gt;SottocategorieUscite[[#Headers],[Personali]],$I1402&lt;&gt;SottocategorieUscite[[#Headers],[Lavoro]],$I1402&lt;&gt;SottocategorieUscite[[#Headers],[Casa]],$I1402&lt;&gt;SottocategorieUscite[[#Headers],[Utenze]],$I1402&lt;&gt;SottocategorieUscite[[#Headers],[Business Uscite]],$I1402&lt;&gt;SottocategorieUscite[[#Headers],[Banca]]),"","$ -")</f>
        <v/>
      </c>
      <c r="N1402" s="59" t="str">
        <f>IF(OR(Data!$I1402=SottocategorieEntrate[[#Headers],[Business Entrate]],Data!$I1402=SottocategorieEntrate[[#Headers],[Varie Entrate]]),"$ -","")</f>
        <v/>
      </c>
      <c r="O1402" s="59" t="str">
        <f>IF(OR(Data!$I1402=SottocategorieEntrate[[#Headers],[Real Estate]],SottocategorieEntrate[[#Headers],[Other]]),"$ -","")</f>
        <v/>
      </c>
      <c r="P1402" s="59" t="str">
        <f>IF(OR($I1402&lt;&gt;SottocategorieEntrate[[#Headers],[Business Entrate]],$I1402&lt;&gt;SottocategorieEntrate[[#Headers],[Varie Entrate]],$I1402&lt;&gt;SottocategorieEntrate[[#Headers],[Real Estate]],$I1402&lt;&gt;SottocategorieEntrate[[#Headers],[Other]]),"","$ -")</f>
        <v/>
      </c>
      <c r="Q1402" s="59" t="str">
        <f>IF(Dati[[#This Row],[Categoria]]="Prelievo","€ -","")</f>
        <v/>
      </c>
      <c r="R1402" s="244"/>
      <c r="S1402" s="59" t="str">
        <f>IF(Dati[[#This Row],[Categoria]]="Savings",0,"")</f>
        <v/>
      </c>
      <c r="T1402" s="59"/>
      <c r="U1402" s="59"/>
      <c r="V1402" s="59"/>
      <c r="W1402" s="59"/>
      <c r="X1402" s="59"/>
      <c r="Y1402" s="59"/>
      <c r="Z1402" s="59"/>
      <c r="AA1402" s="59"/>
      <c r="AB1402" s="59"/>
      <c r="AC1402" s="59"/>
      <c r="AD1402" s="59"/>
      <c r="AE1402" s="59"/>
      <c r="AF1402" s="59"/>
      <c r="AG1402" s="59"/>
      <c r="AH1402" s="59"/>
      <c r="AI1402" s="59" t="str">
        <f>IF(SUM(Dati[[#This Row],[Inv. Business]:[Inv. Cryptocurrency]])=0," ",SUM(Dati[[#This Row],[Inv. Business]:[Inv. Cryptocurrency]]))</f>
        <v xml:space="preserve"> </v>
      </c>
      <c r="AJ1402" s="59"/>
      <c r="AK1402" s="59" t="str">
        <f>IF(SUM(Dati[[#This Row],[Inv. Gold]:[Mutuo]])=0," ",SUM(Dati[[#This Row],[Inv. Gold]:[Mutuo]]))</f>
        <v xml:space="preserve"> </v>
      </c>
      <c r="AL1402" s="59"/>
      <c r="AM1402" s="59"/>
    </row>
    <row r="1403" spans="2:39" x14ac:dyDescent="0.35">
      <c r="B1403" s="237">
        <f t="shared" si="107"/>
        <v>1383</v>
      </c>
      <c r="C1403" s="49">
        <f t="shared" si="106"/>
        <v>45961</v>
      </c>
      <c r="D1403" s="29">
        <f>DAY(Dati[[#This Row],[Data]])</f>
        <v>31</v>
      </c>
      <c r="E1403" s="29" t="str">
        <f>IF(DAY(Data!$C$21:$C$1613)&gt;0,TEXT(Data!$C$21:$C$1613, "mmmm"),"")</f>
        <v>ottobre</v>
      </c>
      <c r="F1403" s="29" t="str">
        <f>IF(DAY(Data!$C$21:$C$1613)&gt;0,TEXT(Data!$C$21:$C$1613, "aaaa"),"")</f>
        <v>2025</v>
      </c>
      <c r="I1403" t="str">
        <f>IF(OR(H1403=$B$5,H1403=$B$6,H1403=$B$7,H1403=$B$8,H1403=$B$9,H1403=$B$10,H1403=$B$11,H1403=$B$12,H1403=$B$13,H1403=$B$14),SottocategorieUscite[[#Headers],[Fuori Casa]],IF(OR(H1403=$C$5,H1403=$C$6,H1403=$C$7,H1403=$C$8,H1403=$C$9,H1403=$C$10,H1403=$C$11,H1403=$C$12,H1403=$C$13,H1403=$C$14),SottocategorieUscite[[#Headers],[Varie Uscite]],IF(OR(H1403=$D$5,H1403=$D$6,H1403=$D$7,H1403=$D$8,H1403=$D$9,H1403=$D$10,H1403=$D$11,H1403=$D$12,H1403=$D$13,H1403=$D$14),SottocategorieUscite[[#Headers],[Personali]],IF(OR(H1403=$E$5,H1403=$E$6,H1403=$E$7,H1403=$E$8,H1403=$E$9,H1403=$E$10,H1403=$E$11,H1403=$E$12,H1403=$E$13,H1403=$E$14),SottocategorieUscite[[#Headers],[Lavoro]],IF(OR(H1403=$F$5,H1403=$F$6,H1403=$F$7,H1403=$F$8,H1403=$F$9,H1403=$F$10,H1403=$F$11,H1403=$F$12,H1403=$F$13,H1403=$F$14),SottocategorieUscite[[#Headers],[Casa]],IF(OR(H1403=$G$5,H1403=$G$6,H1403=$G$7,H1403=$G$8,H1403=$G$9,H1403=$G$10,H1403=$G$11,H1403=$G$12,H1403=$G$13,H1403=$G$14),SottocategorieUscite[[#Headers],[Utenze]],IF(OR(H1403=$H$5,H1403=$H$6,H1403=$H$7,H1403=$H$8,H1403=$H$9,H1403=$H$10,H1403=$H$11,H1403=$H$12,H1403=$H$13,H1403=$H$14),SottocategorieUscite[[#Headers],[Business Uscite]],IF(OR(H1403=$I$5,H1403=$I$6,H1403=$I$7,H1403=$I$8,H1403=$I$9,H1403=$I$10,H1403=$I$11,H1403=$I$12,H1403=$I$13,H1403=$I$14),SottocategorieUscite[[#Headers],[Banca]],IF(OR(H1403=K$5,H1403=K$6,H1403=K$7,H1403=K$8,H1403=K$9,H1403=K$10,H1403=K$11,H1403=K$12,H1403=K$13,H1403=K$14),SottocategorieEntrate[[#Headers],[Business Entrate]],IF(OR(H1403=L$5,H1403=L$6,H1403=L$7,H1403=L$8,H1403=L$9,H1403=L$10,H1403=L$11,H1403=L$12,H1403=L$13,H1403=L$14),SottocategorieEntrate[[#Headers],[Varie Entrate]],IF(OR(H1403=M$5,H1403=M$6,H1403=M$7,H1403=M$8,H1403=M$9,H1403=M$10,H1403=M$11,H1403=M$12,H1403=M$13,H1403=M$14),SottocategorieEntrate[[#Headers],[Real Estate]],IF(OR(H1403=N$5,H1403=N$6,H1403=N$7,H1403=N$8,H1403=N$9,H1403=N$10,H1403=N$11,H1403=N$12,H1403=N$13,H1403=N$14),SottocategorieEntrate[[#Headers],[Other]],""))))))))))))</f>
        <v/>
      </c>
      <c r="J1403" t="str">
        <f>IF(OR(Dati[[#This Row],[Categoria]]="Bollette",Dati[[#This Row],[Categoria]]="Conto &amp; Carte BNL",Dati[[#This Row],[Categoria]]="Prelievo",Dati[[#This Row],[Categoria]]="Affitto",Dati[[#This Row],[Categoria]]="BNL(Interessi Creditori)"),"Carta",IF(Dati[[#This Row],[Categoria]]&lt;&gt;0,"Cash",""))</f>
        <v/>
      </c>
      <c r="K1403" s="59" t="str">
        <f>IF(OR(Data!$I1403=SottocategorieUscite[[#Headers],[Fuori Casa]],Data!$I1403=SottocategorieUscite[[#Headers],[Varie Uscite]],Data!$I1403=SottocategorieUscite[[#Headers],[Personali]],Data!$I1403=SottocategorieUscite[[#Headers],[Lavoro]]),"$ -","")</f>
        <v/>
      </c>
      <c r="L1403" s="59" t="str">
        <f>IF(OR(Data!$I1403=SottocategorieUscite[[#Headers],[Casa]],Data!$I1403=SottocategorieUscite[[#Headers],[Utenze]],Data!$I1403=SottocategorieUscite[[#Headers],[Business Uscite]],Data!$I1403=SottocategorieUscite[[#Headers],[Banca]]),"$ -","")</f>
        <v/>
      </c>
      <c r="M1403" s="59" t="str">
        <f>IF(OR($I1403&lt;&gt;SottocategorieUscite[[#Headers],[Fuori Casa]],$I1403&lt;&gt;SottocategorieUscite[[#Headers],[Varie Uscite]],$I1403&lt;&gt;SottocategorieUscite[[#Headers],[Personali]],$I1403&lt;&gt;SottocategorieUscite[[#Headers],[Lavoro]],$I1403&lt;&gt;SottocategorieUscite[[#Headers],[Casa]],$I1403&lt;&gt;SottocategorieUscite[[#Headers],[Utenze]],$I1403&lt;&gt;SottocategorieUscite[[#Headers],[Business Uscite]],$I1403&lt;&gt;SottocategorieUscite[[#Headers],[Banca]]),"","$ -")</f>
        <v/>
      </c>
      <c r="N1403" s="59" t="str">
        <f>IF(OR(Data!$I1403=SottocategorieEntrate[[#Headers],[Business Entrate]],Data!$I1403=SottocategorieEntrate[[#Headers],[Varie Entrate]]),"$ -","")</f>
        <v/>
      </c>
      <c r="O1403" s="59" t="str">
        <f>IF(OR(Data!$I1403=SottocategorieEntrate[[#Headers],[Real Estate]],SottocategorieEntrate[[#Headers],[Other]]),"$ -","")</f>
        <v/>
      </c>
      <c r="P1403" s="59" t="str">
        <f>IF(OR($I1403&lt;&gt;SottocategorieEntrate[[#Headers],[Business Entrate]],$I1403&lt;&gt;SottocategorieEntrate[[#Headers],[Varie Entrate]],$I1403&lt;&gt;SottocategorieEntrate[[#Headers],[Real Estate]],$I1403&lt;&gt;SottocategorieEntrate[[#Headers],[Other]]),"","$ -")</f>
        <v/>
      </c>
      <c r="Q1403" s="59" t="str">
        <f>IF(Dati[[#This Row],[Categoria]]="Prelievo","€ -","")</f>
        <v/>
      </c>
      <c r="R1403" s="244"/>
      <c r="S1403" s="59" t="str">
        <f>IF(Dati[[#This Row],[Categoria]]="Savings",0,"")</f>
        <v/>
      </c>
      <c r="T1403" s="59"/>
      <c r="U1403" s="59"/>
      <c r="V1403" s="59"/>
      <c r="W1403" s="59"/>
      <c r="X1403" s="59"/>
      <c r="Y1403" s="59"/>
      <c r="Z1403" s="59"/>
      <c r="AA1403" s="59"/>
      <c r="AB1403" s="59"/>
      <c r="AC1403" s="59"/>
      <c r="AD1403" s="59"/>
      <c r="AE1403" s="59"/>
      <c r="AF1403" s="59"/>
      <c r="AG1403" s="59"/>
      <c r="AH1403" s="59"/>
      <c r="AI1403" s="59" t="str">
        <f>IF(SUM(Dati[[#This Row],[Inv. Business]:[Inv. Cryptocurrency]])=0," ",SUM(Dati[[#This Row],[Inv. Business]:[Inv. Cryptocurrency]]))</f>
        <v xml:space="preserve"> </v>
      </c>
      <c r="AJ1403" s="59"/>
      <c r="AK1403" s="59" t="str">
        <f>IF(SUM(Dati[[#This Row],[Inv. Gold]:[Mutuo]])=0," ",SUM(Dati[[#This Row],[Inv. Gold]:[Mutuo]]))</f>
        <v xml:space="preserve"> </v>
      </c>
      <c r="AL1403" s="59"/>
      <c r="AM1403" s="59"/>
    </row>
    <row r="1404" spans="2:39" x14ac:dyDescent="0.35">
      <c r="B1404" s="237">
        <f t="shared" si="107"/>
        <v>1384</v>
      </c>
      <c r="C1404" s="49">
        <f t="shared" si="106"/>
        <v>45962</v>
      </c>
      <c r="D1404" s="29">
        <f>DAY(Dati[[#This Row],[Data]])</f>
        <v>1</v>
      </c>
      <c r="E1404" s="29" t="str">
        <f>IF(DAY(Data!$C$21:$C$1613)&gt;0,TEXT(Data!$C$21:$C$1613, "mmmm"),"")</f>
        <v>novembre</v>
      </c>
      <c r="F1404" s="29" t="str">
        <f>IF(DAY(Data!$C$21:$C$1613)&gt;0,TEXT(Data!$C$21:$C$1613, "aaaa"),"")</f>
        <v>2025</v>
      </c>
      <c r="I1404" t="str">
        <f>IF(OR(H1404=$B$5,H1404=$B$6,H1404=$B$7,H1404=$B$8,H1404=$B$9,H1404=$B$10,H1404=$B$11,H1404=$B$12,H1404=$B$13,H1404=$B$14),SottocategorieUscite[[#Headers],[Fuori Casa]],IF(OR(H1404=$C$5,H1404=$C$6,H1404=$C$7,H1404=$C$8,H1404=$C$9,H1404=$C$10,H1404=$C$11,H1404=$C$12,H1404=$C$13,H1404=$C$14),SottocategorieUscite[[#Headers],[Varie Uscite]],IF(OR(H1404=$D$5,H1404=$D$6,H1404=$D$7,H1404=$D$8,H1404=$D$9,H1404=$D$10,H1404=$D$11,H1404=$D$12,H1404=$D$13,H1404=$D$14),SottocategorieUscite[[#Headers],[Personali]],IF(OR(H1404=$E$5,H1404=$E$6,H1404=$E$7,H1404=$E$8,H1404=$E$9,H1404=$E$10,H1404=$E$11,H1404=$E$12,H1404=$E$13,H1404=$E$14),SottocategorieUscite[[#Headers],[Lavoro]],IF(OR(H1404=$F$5,H1404=$F$6,H1404=$F$7,H1404=$F$8,H1404=$F$9,H1404=$F$10,H1404=$F$11,H1404=$F$12,H1404=$F$13,H1404=$F$14),SottocategorieUscite[[#Headers],[Casa]],IF(OR(H1404=$G$5,H1404=$G$6,H1404=$G$7,H1404=$G$8,H1404=$G$9,H1404=$G$10,H1404=$G$11,H1404=$G$12,H1404=$G$13,H1404=$G$14),SottocategorieUscite[[#Headers],[Utenze]],IF(OR(H1404=$H$5,H1404=$H$6,H1404=$H$7,H1404=$H$8,H1404=$H$9,H1404=$H$10,H1404=$H$11,H1404=$H$12,H1404=$H$13,H1404=$H$14),SottocategorieUscite[[#Headers],[Business Uscite]],IF(OR(H1404=$I$5,H1404=$I$6,H1404=$I$7,H1404=$I$8,H1404=$I$9,H1404=$I$10,H1404=$I$11,H1404=$I$12,H1404=$I$13,H1404=$I$14),SottocategorieUscite[[#Headers],[Banca]],IF(OR(H1404=K$5,H1404=K$6,H1404=K$7,H1404=K$8,H1404=K$9,H1404=K$10,H1404=K$11,H1404=K$12,H1404=K$13,H1404=K$14),SottocategorieEntrate[[#Headers],[Business Entrate]],IF(OR(H1404=L$5,H1404=L$6,H1404=L$7,H1404=L$8,H1404=L$9,H1404=L$10,H1404=L$11,H1404=L$12,H1404=L$13,H1404=L$14),SottocategorieEntrate[[#Headers],[Varie Entrate]],IF(OR(H1404=M$5,H1404=M$6,H1404=M$7,H1404=M$8,H1404=M$9,H1404=M$10,H1404=M$11,H1404=M$12,H1404=M$13,H1404=M$14),SottocategorieEntrate[[#Headers],[Real Estate]],IF(OR(H1404=N$5,H1404=N$6,H1404=N$7,H1404=N$8,H1404=N$9,H1404=N$10,H1404=N$11,H1404=N$12,H1404=N$13,H1404=N$14),SottocategorieEntrate[[#Headers],[Other]],""))))))))))))</f>
        <v/>
      </c>
      <c r="J1404" t="str">
        <f>IF(OR(Dati[[#This Row],[Categoria]]="Bollette",Dati[[#This Row],[Categoria]]="Conto &amp; Carte BNL",Dati[[#This Row],[Categoria]]="Prelievo",Dati[[#This Row],[Categoria]]="Affitto",Dati[[#This Row],[Categoria]]="BNL(Interessi Creditori)"),"Carta",IF(Dati[[#This Row],[Categoria]]&lt;&gt;0,"Cash",""))</f>
        <v/>
      </c>
      <c r="K1404" s="59" t="str">
        <f>IF(OR(Data!$I1404=SottocategorieUscite[[#Headers],[Fuori Casa]],Data!$I1404=SottocategorieUscite[[#Headers],[Varie Uscite]],Data!$I1404=SottocategorieUscite[[#Headers],[Personali]],Data!$I1404=SottocategorieUscite[[#Headers],[Lavoro]]),"$ -","")</f>
        <v/>
      </c>
      <c r="L1404" s="59" t="str">
        <f>IF(OR(Data!$I1404=SottocategorieUscite[[#Headers],[Casa]],Data!$I1404=SottocategorieUscite[[#Headers],[Utenze]],Data!$I1404=SottocategorieUscite[[#Headers],[Business Uscite]],Data!$I1404=SottocategorieUscite[[#Headers],[Banca]]),"$ -","")</f>
        <v/>
      </c>
      <c r="M1404" s="59" t="str">
        <f>IF(OR($I1404&lt;&gt;SottocategorieUscite[[#Headers],[Fuori Casa]],$I1404&lt;&gt;SottocategorieUscite[[#Headers],[Varie Uscite]],$I1404&lt;&gt;SottocategorieUscite[[#Headers],[Personali]],$I1404&lt;&gt;SottocategorieUscite[[#Headers],[Lavoro]],$I1404&lt;&gt;SottocategorieUscite[[#Headers],[Casa]],$I1404&lt;&gt;SottocategorieUscite[[#Headers],[Utenze]],$I1404&lt;&gt;SottocategorieUscite[[#Headers],[Business Uscite]],$I1404&lt;&gt;SottocategorieUscite[[#Headers],[Banca]]),"","$ -")</f>
        <v/>
      </c>
      <c r="N1404" s="59" t="str">
        <f>IF(OR(Data!$I1404=SottocategorieEntrate[[#Headers],[Business Entrate]],Data!$I1404=SottocategorieEntrate[[#Headers],[Varie Entrate]]),"$ -","")</f>
        <v/>
      </c>
      <c r="O1404" s="59" t="str">
        <f>IF(OR(Data!$I1404=SottocategorieEntrate[[#Headers],[Real Estate]],SottocategorieEntrate[[#Headers],[Other]]),"$ -","")</f>
        <v/>
      </c>
      <c r="P1404" s="59" t="str">
        <f>IF(OR($I1404&lt;&gt;SottocategorieEntrate[[#Headers],[Business Entrate]],$I1404&lt;&gt;SottocategorieEntrate[[#Headers],[Varie Entrate]],$I1404&lt;&gt;SottocategorieEntrate[[#Headers],[Real Estate]],$I1404&lt;&gt;SottocategorieEntrate[[#Headers],[Other]]),"","$ -")</f>
        <v/>
      </c>
      <c r="Q1404" s="59" t="str">
        <f>IF(Dati[[#This Row],[Categoria]]="Prelievo","€ -","")</f>
        <v/>
      </c>
      <c r="R1404" s="244"/>
      <c r="S1404" s="59" t="str">
        <f>IF(Dati[[#This Row],[Categoria]]="Savings",0,"")</f>
        <v/>
      </c>
      <c r="T1404" s="59"/>
      <c r="U1404" s="59"/>
      <c r="V1404" s="59"/>
      <c r="W1404" s="59"/>
      <c r="X1404" s="59"/>
      <c r="Y1404" s="59"/>
      <c r="Z1404" s="59"/>
      <c r="AA1404" s="59"/>
      <c r="AB1404" s="59"/>
      <c r="AC1404" s="59"/>
      <c r="AD1404" s="59"/>
      <c r="AE1404" s="59"/>
      <c r="AF1404" s="59"/>
      <c r="AG1404" s="59"/>
      <c r="AH1404" s="59"/>
      <c r="AI1404" s="59" t="str">
        <f>IF(SUM(Dati[[#This Row],[Inv. Business]:[Inv. Cryptocurrency]])=0," ",SUM(Dati[[#This Row],[Inv. Business]:[Inv. Cryptocurrency]]))</f>
        <v xml:space="preserve"> </v>
      </c>
      <c r="AJ1404" s="59"/>
      <c r="AK1404" s="59" t="str">
        <f>IF(SUM(Dati[[#This Row],[Inv. Gold]:[Mutuo]])=0," ",SUM(Dati[[#This Row],[Inv. Gold]:[Mutuo]]))</f>
        <v xml:space="preserve"> </v>
      </c>
      <c r="AL1404" s="59"/>
      <c r="AM1404" s="59"/>
    </row>
    <row r="1405" spans="2:39" x14ac:dyDescent="0.35">
      <c r="B1405" s="237">
        <f t="shared" si="107"/>
        <v>1385</v>
      </c>
      <c r="C1405" s="49">
        <f t="shared" si="106"/>
        <v>45963</v>
      </c>
      <c r="D1405" s="29">
        <f>DAY(Dati[[#This Row],[Data]])</f>
        <v>2</v>
      </c>
      <c r="E1405" s="29" t="str">
        <f>IF(DAY(Data!$C$21:$C$1613)&gt;0,TEXT(Data!$C$21:$C$1613, "mmmm"),"")</f>
        <v>novembre</v>
      </c>
      <c r="F1405" s="29" t="str">
        <f>IF(DAY(Data!$C$21:$C$1613)&gt;0,TEXT(Data!$C$21:$C$1613, "aaaa"),"")</f>
        <v>2025</v>
      </c>
      <c r="I1405" t="str">
        <f>IF(OR(H1405=$B$5,H1405=$B$6,H1405=$B$7,H1405=$B$8,H1405=$B$9,H1405=$B$10,H1405=$B$11,H1405=$B$12,H1405=$B$13,H1405=$B$14),SottocategorieUscite[[#Headers],[Fuori Casa]],IF(OR(H1405=$C$5,H1405=$C$6,H1405=$C$7,H1405=$C$8,H1405=$C$9,H1405=$C$10,H1405=$C$11,H1405=$C$12,H1405=$C$13,H1405=$C$14),SottocategorieUscite[[#Headers],[Varie Uscite]],IF(OR(H1405=$D$5,H1405=$D$6,H1405=$D$7,H1405=$D$8,H1405=$D$9,H1405=$D$10,H1405=$D$11,H1405=$D$12,H1405=$D$13,H1405=$D$14),SottocategorieUscite[[#Headers],[Personali]],IF(OR(H1405=$E$5,H1405=$E$6,H1405=$E$7,H1405=$E$8,H1405=$E$9,H1405=$E$10,H1405=$E$11,H1405=$E$12,H1405=$E$13,H1405=$E$14),SottocategorieUscite[[#Headers],[Lavoro]],IF(OR(H1405=$F$5,H1405=$F$6,H1405=$F$7,H1405=$F$8,H1405=$F$9,H1405=$F$10,H1405=$F$11,H1405=$F$12,H1405=$F$13,H1405=$F$14),SottocategorieUscite[[#Headers],[Casa]],IF(OR(H1405=$G$5,H1405=$G$6,H1405=$G$7,H1405=$G$8,H1405=$G$9,H1405=$G$10,H1405=$G$11,H1405=$G$12,H1405=$G$13,H1405=$G$14),SottocategorieUscite[[#Headers],[Utenze]],IF(OR(H1405=$H$5,H1405=$H$6,H1405=$H$7,H1405=$H$8,H1405=$H$9,H1405=$H$10,H1405=$H$11,H1405=$H$12,H1405=$H$13,H1405=$H$14),SottocategorieUscite[[#Headers],[Business Uscite]],IF(OR(H1405=$I$5,H1405=$I$6,H1405=$I$7,H1405=$I$8,H1405=$I$9,H1405=$I$10,H1405=$I$11,H1405=$I$12,H1405=$I$13,H1405=$I$14),SottocategorieUscite[[#Headers],[Banca]],IF(OR(H1405=K$5,H1405=K$6,H1405=K$7,H1405=K$8,H1405=K$9,H1405=K$10,H1405=K$11,H1405=K$12,H1405=K$13,H1405=K$14),SottocategorieEntrate[[#Headers],[Business Entrate]],IF(OR(H1405=L$5,H1405=L$6,H1405=L$7,H1405=L$8,H1405=L$9,H1405=L$10,H1405=L$11,H1405=L$12,H1405=L$13,H1405=L$14),SottocategorieEntrate[[#Headers],[Varie Entrate]],IF(OR(H1405=M$5,H1405=M$6,H1405=M$7,H1405=M$8,H1405=M$9,H1405=M$10,H1405=M$11,H1405=M$12,H1405=M$13,H1405=M$14),SottocategorieEntrate[[#Headers],[Real Estate]],IF(OR(H1405=N$5,H1405=N$6,H1405=N$7,H1405=N$8,H1405=N$9,H1405=N$10,H1405=N$11,H1405=N$12,H1405=N$13,H1405=N$14),SottocategorieEntrate[[#Headers],[Other]],""))))))))))))</f>
        <v/>
      </c>
      <c r="J1405" t="str">
        <f>IF(OR(Dati[[#This Row],[Categoria]]="Bollette",Dati[[#This Row],[Categoria]]="Conto &amp; Carte BNL",Dati[[#This Row],[Categoria]]="Prelievo",Dati[[#This Row],[Categoria]]="Affitto",Dati[[#This Row],[Categoria]]="BNL(Interessi Creditori)"),"Carta",IF(Dati[[#This Row],[Categoria]]&lt;&gt;0,"Cash",""))</f>
        <v/>
      </c>
      <c r="K1405" s="59" t="str">
        <f>IF(OR(Data!$I1405=SottocategorieUscite[[#Headers],[Fuori Casa]],Data!$I1405=SottocategorieUscite[[#Headers],[Varie Uscite]],Data!$I1405=SottocategorieUscite[[#Headers],[Personali]],Data!$I1405=SottocategorieUscite[[#Headers],[Lavoro]]),"$ -","")</f>
        <v/>
      </c>
      <c r="L1405" s="59" t="str">
        <f>IF(OR(Data!$I1405=SottocategorieUscite[[#Headers],[Casa]],Data!$I1405=SottocategorieUscite[[#Headers],[Utenze]],Data!$I1405=SottocategorieUscite[[#Headers],[Business Uscite]],Data!$I1405=SottocategorieUscite[[#Headers],[Banca]]),"$ -","")</f>
        <v/>
      </c>
      <c r="M1405" s="59" t="str">
        <f>IF(OR($I1405&lt;&gt;SottocategorieUscite[[#Headers],[Fuori Casa]],$I1405&lt;&gt;SottocategorieUscite[[#Headers],[Varie Uscite]],$I1405&lt;&gt;SottocategorieUscite[[#Headers],[Personali]],$I1405&lt;&gt;SottocategorieUscite[[#Headers],[Lavoro]],$I1405&lt;&gt;SottocategorieUscite[[#Headers],[Casa]],$I1405&lt;&gt;SottocategorieUscite[[#Headers],[Utenze]],$I1405&lt;&gt;SottocategorieUscite[[#Headers],[Business Uscite]],$I1405&lt;&gt;SottocategorieUscite[[#Headers],[Banca]]),"","$ -")</f>
        <v/>
      </c>
      <c r="N1405" s="59" t="str">
        <f>IF(OR(Data!$I1405=SottocategorieEntrate[[#Headers],[Business Entrate]],Data!$I1405=SottocategorieEntrate[[#Headers],[Varie Entrate]]),"$ -","")</f>
        <v/>
      </c>
      <c r="O1405" s="59" t="str">
        <f>IF(OR(Data!$I1405=SottocategorieEntrate[[#Headers],[Real Estate]],SottocategorieEntrate[[#Headers],[Other]]),"$ -","")</f>
        <v/>
      </c>
      <c r="P1405" s="59" t="str">
        <f>IF(OR($I1405&lt;&gt;SottocategorieEntrate[[#Headers],[Business Entrate]],$I1405&lt;&gt;SottocategorieEntrate[[#Headers],[Varie Entrate]],$I1405&lt;&gt;SottocategorieEntrate[[#Headers],[Real Estate]],$I1405&lt;&gt;SottocategorieEntrate[[#Headers],[Other]]),"","$ -")</f>
        <v/>
      </c>
      <c r="Q1405" s="59" t="str">
        <f>IF(Dati[[#This Row],[Categoria]]="Prelievo","€ -","")</f>
        <v/>
      </c>
      <c r="R1405" s="244"/>
      <c r="S1405" s="59" t="str">
        <f>IF(Dati[[#This Row],[Categoria]]="Savings",0,"")</f>
        <v/>
      </c>
      <c r="T1405" s="59"/>
      <c r="U1405" s="59"/>
      <c r="V1405" s="59"/>
      <c r="W1405" s="59"/>
      <c r="X1405" s="59"/>
      <c r="Y1405" s="59"/>
      <c r="Z1405" s="59"/>
      <c r="AA1405" s="59"/>
      <c r="AB1405" s="59"/>
      <c r="AC1405" s="59"/>
      <c r="AD1405" s="59"/>
      <c r="AE1405" s="59"/>
      <c r="AF1405" s="59"/>
      <c r="AG1405" s="59"/>
      <c r="AH1405" s="59"/>
      <c r="AI1405" s="59" t="str">
        <f>IF(SUM(Dati[[#This Row],[Inv. Business]:[Inv. Cryptocurrency]])=0," ",SUM(Dati[[#This Row],[Inv. Business]:[Inv. Cryptocurrency]]))</f>
        <v xml:space="preserve"> </v>
      </c>
      <c r="AJ1405" s="59"/>
      <c r="AK1405" s="59" t="str">
        <f>IF(SUM(Dati[[#This Row],[Inv. Gold]:[Mutuo]])=0," ",SUM(Dati[[#This Row],[Inv. Gold]:[Mutuo]]))</f>
        <v xml:space="preserve"> </v>
      </c>
      <c r="AL1405" s="59"/>
      <c r="AM1405" s="59"/>
    </row>
    <row r="1406" spans="2:39" x14ac:dyDescent="0.35">
      <c r="B1406" s="237">
        <f t="shared" si="107"/>
        <v>1386</v>
      </c>
      <c r="C1406" s="49">
        <f t="shared" si="106"/>
        <v>45964</v>
      </c>
      <c r="D1406" s="29">
        <f>DAY(Dati[[#This Row],[Data]])</f>
        <v>3</v>
      </c>
      <c r="E1406" s="29" t="str">
        <f>IF(DAY(Data!$C$21:$C$1613)&gt;0,TEXT(Data!$C$21:$C$1613, "mmmm"),"")</f>
        <v>novembre</v>
      </c>
      <c r="F1406" s="29" t="str">
        <f>IF(DAY(Data!$C$21:$C$1613)&gt;0,TEXT(Data!$C$21:$C$1613, "aaaa"),"")</f>
        <v>2025</v>
      </c>
      <c r="I1406" t="str">
        <f>IF(OR(H1406=$B$5,H1406=$B$6,H1406=$B$7,H1406=$B$8,H1406=$B$9,H1406=$B$10,H1406=$B$11,H1406=$B$12,H1406=$B$13,H1406=$B$14),SottocategorieUscite[[#Headers],[Fuori Casa]],IF(OR(H1406=$C$5,H1406=$C$6,H1406=$C$7,H1406=$C$8,H1406=$C$9,H1406=$C$10,H1406=$C$11,H1406=$C$12,H1406=$C$13,H1406=$C$14),SottocategorieUscite[[#Headers],[Varie Uscite]],IF(OR(H1406=$D$5,H1406=$D$6,H1406=$D$7,H1406=$D$8,H1406=$D$9,H1406=$D$10,H1406=$D$11,H1406=$D$12,H1406=$D$13,H1406=$D$14),SottocategorieUscite[[#Headers],[Personali]],IF(OR(H1406=$E$5,H1406=$E$6,H1406=$E$7,H1406=$E$8,H1406=$E$9,H1406=$E$10,H1406=$E$11,H1406=$E$12,H1406=$E$13,H1406=$E$14),SottocategorieUscite[[#Headers],[Lavoro]],IF(OR(H1406=$F$5,H1406=$F$6,H1406=$F$7,H1406=$F$8,H1406=$F$9,H1406=$F$10,H1406=$F$11,H1406=$F$12,H1406=$F$13,H1406=$F$14),SottocategorieUscite[[#Headers],[Casa]],IF(OR(H1406=$G$5,H1406=$G$6,H1406=$G$7,H1406=$G$8,H1406=$G$9,H1406=$G$10,H1406=$G$11,H1406=$G$12,H1406=$G$13,H1406=$G$14),SottocategorieUscite[[#Headers],[Utenze]],IF(OR(H1406=$H$5,H1406=$H$6,H1406=$H$7,H1406=$H$8,H1406=$H$9,H1406=$H$10,H1406=$H$11,H1406=$H$12,H1406=$H$13,H1406=$H$14),SottocategorieUscite[[#Headers],[Business Uscite]],IF(OR(H1406=$I$5,H1406=$I$6,H1406=$I$7,H1406=$I$8,H1406=$I$9,H1406=$I$10,H1406=$I$11,H1406=$I$12,H1406=$I$13,H1406=$I$14),SottocategorieUscite[[#Headers],[Banca]],IF(OR(H1406=K$5,H1406=K$6,H1406=K$7,H1406=K$8,H1406=K$9,H1406=K$10,H1406=K$11,H1406=K$12,H1406=K$13,H1406=K$14),SottocategorieEntrate[[#Headers],[Business Entrate]],IF(OR(H1406=L$5,H1406=L$6,H1406=L$7,H1406=L$8,H1406=L$9,H1406=L$10,H1406=L$11,H1406=L$12,H1406=L$13,H1406=L$14),SottocategorieEntrate[[#Headers],[Varie Entrate]],IF(OR(H1406=M$5,H1406=M$6,H1406=M$7,H1406=M$8,H1406=M$9,H1406=M$10,H1406=M$11,H1406=M$12,H1406=M$13,H1406=M$14),SottocategorieEntrate[[#Headers],[Real Estate]],IF(OR(H1406=N$5,H1406=N$6,H1406=N$7,H1406=N$8,H1406=N$9,H1406=N$10,H1406=N$11,H1406=N$12,H1406=N$13,H1406=N$14),SottocategorieEntrate[[#Headers],[Other]],""))))))))))))</f>
        <v/>
      </c>
      <c r="J1406" t="str">
        <f>IF(OR(Dati[[#This Row],[Categoria]]="Bollette",Dati[[#This Row],[Categoria]]="Conto &amp; Carte BNL",Dati[[#This Row],[Categoria]]="Prelievo",Dati[[#This Row],[Categoria]]="Affitto",Dati[[#This Row],[Categoria]]="BNL(Interessi Creditori)"),"Carta",IF(Dati[[#This Row],[Categoria]]&lt;&gt;0,"Cash",""))</f>
        <v/>
      </c>
      <c r="K1406" s="59" t="str">
        <f>IF(OR(Data!$I1406=SottocategorieUscite[[#Headers],[Fuori Casa]],Data!$I1406=SottocategorieUscite[[#Headers],[Varie Uscite]],Data!$I1406=SottocategorieUscite[[#Headers],[Personali]],Data!$I1406=SottocategorieUscite[[#Headers],[Lavoro]]),"$ -","")</f>
        <v/>
      </c>
      <c r="L1406" s="59" t="str">
        <f>IF(OR(Data!$I1406=SottocategorieUscite[[#Headers],[Casa]],Data!$I1406=SottocategorieUscite[[#Headers],[Utenze]],Data!$I1406=SottocategorieUscite[[#Headers],[Business Uscite]],Data!$I1406=SottocategorieUscite[[#Headers],[Banca]]),"$ -","")</f>
        <v/>
      </c>
      <c r="M1406" s="59" t="str">
        <f>IF(OR($I1406&lt;&gt;SottocategorieUscite[[#Headers],[Fuori Casa]],$I1406&lt;&gt;SottocategorieUscite[[#Headers],[Varie Uscite]],$I1406&lt;&gt;SottocategorieUscite[[#Headers],[Personali]],$I1406&lt;&gt;SottocategorieUscite[[#Headers],[Lavoro]],$I1406&lt;&gt;SottocategorieUscite[[#Headers],[Casa]],$I1406&lt;&gt;SottocategorieUscite[[#Headers],[Utenze]],$I1406&lt;&gt;SottocategorieUscite[[#Headers],[Business Uscite]],$I1406&lt;&gt;SottocategorieUscite[[#Headers],[Banca]]),"","$ -")</f>
        <v/>
      </c>
      <c r="N1406" s="59" t="str">
        <f>IF(OR(Data!$I1406=SottocategorieEntrate[[#Headers],[Business Entrate]],Data!$I1406=SottocategorieEntrate[[#Headers],[Varie Entrate]]),"$ -","")</f>
        <v/>
      </c>
      <c r="O1406" s="59" t="str">
        <f>IF(OR(Data!$I1406=SottocategorieEntrate[[#Headers],[Real Estate]],SottocategorieEntrate[[#Headers],[Other]]),"$ -","")</f>
        <v/>
      </c>
      <c r="P1406" s="59" t="str">
        <f>IF(OR($I1406&lt;&gt;SottocategorieEntrate[[#Headers],[Business Entrate]],$I1406&lt;&gt;SottocategorieEntrate[[#Headers],[Varie Entrate]],$I1406&lt;&gt;SottocategorieEntrate[[#Headers],[Real Estate]],$I1406&lt;&gt;SottocategorieEntrate[[#Headers],[Other]]),"","$ -")</f>
        <v/>
      </c>
      <c r="Q1406" s="59" t="str">
        <f>IF(Dati[[#This Row],[Categoria]]="Prelievo","€ -","")</f>
        <v/>
      </c>
      <c r="R1406" s="244"/>
      <c r="S1406" s="59" t="str">
        <f>IF(Dati[[#This Row],[Categoria]]="Savings",0,"")</f>
        <v/>
      </c>
      <c r="T1406" s="59"/>
      <c r="U1406" s="59"/>
      <c r="V1406" s="59"/>
      <c r="W1406" s="59"/>
      <c r="X1406" s="59"/>
      <c r="Y1406" s="59"/>
      <c r="Z1406" s="59"/>
      <c r="AA1406" s="59"/>
      <c r="AB1406" s="59"/>
      <c r="AC1406" s="59"/>
      <c r="AD1406" s="59"/>
      <c r="AE1406" s="59"/>
      <c r="AF1406" s="59"/>
      <c r="AG1406" s="59"/>
      <c r="AH1406" s="59"/>
      <c r="AI1406" s="59" t="str">
        <f>IF(SUM(Dati[[#This Row],[Inv. Business]:[Inv. Cryptocurrency]])=0," ",SUM(Dati[[#This Row],[Inv. Business]:[Inv. Cryptocurrency]]))</f>
        <v xml:space="preserve"> </v>
      </c>
      <c r="AJ1406" s="59"/>
      <c r="AK1406" s="59" t="str">
        <f>IF(SUM(Dati[[#This Row],[Inv. Gold]:[Mutuo]])=0," ",SUM(Dati[[#This Row],[Inv. Gold]:[Mutuo]]))</f>
        <v xml:space="preserve"> </v>
      </c>
      <c r="AL1406" s="59"/>
      <c r="AM1406" s="59"/>
    </row>
    <row r="1407" spans="2:39" x14ac:dyDescent="0.35">
      <c r="B1407" s="237">
        <f t="shared" si="107"/>
        <v>1387</v>
      </c>
      <c r="C1407" s="49">
        <f t="shared" si="106"/>
        <v>45965</v>
      </c>
      <c r="D1407" s="29">
        <f>DAY(Dati[[#This Row],[Data]])</f>
        <v>4</v>
      </c>
      <c r="E1407" s="29" t="str">
        <f>IF(DAY(Data!$C$21:$C$1613)&gt;0,TEXT(Data!$C$21:$C$1613, "mmmm"),"")</f>
        <v>novembre</v>
      </c>
      <c r="F1407" s="29" t="str">
        <f>IF(DAY(Data!$C$21:$C$1613)&gt;0,TEXT(Data!$C$21:$C$1613, "aaaa"),"")</f>
        <v>2025</v>
      </c>
      <c r="I1407" t="str">
        <f>IF(OR(H1407=$B$5,H1407=$B$6,H1407=$B$7,H1407=$B$8,H1407=$B$9,H1407=$B$10,H1407=$B$11,H1407=$B$12,H1407=$B$13,H1407=$B$14),SottocategorieUscite[[#Headers],[Fuori Casa]],IF(OR(H1407=$C$5,H1407=$C$6,H1407=$C$7,H1407=$C$8,H1407=$C$9,H1407=$C$10,H1407=$C$11,H1407=$C$12,H1407=$C$13,H1407=$C$14),SottocategorieUscite[[#Headers],[Varie Uscite]],IF(OR(H1407=$D$5,H1407=$D$6,H1407=$D$7,H1407=$D$8,H1407=$D$9,H1407=$D$10,H1407=$D$11,H1407=$D$12,H1407=$D$13,H1407=$D$14),SottocategorieUscite[[#Headers],[Personali]],IF(OR(H1407=$E$5,H1407=$E$6,H1407=$E$7,H1407=$E$8,H1407=$E$9,H1407=$E$10,H1407=$E$11,H1407=$E$12,H1407=$E$13,H1407=$E$14),SottocategorieUscite[[#Headers],[Lavoro]],IF(OR(H1407=$F$5,H1407=$F$6,H1407=$F$7,H1407=$F$8,H1407=$F$9,H1407=$F$10,H1407=$F$11,H1407=$F$12,H1407=$F$13,H1407=$F$14),SottocategorieUscite[[#Headers],[Casa]],IF(OR(H1407=$G$5,H1407=$G$6,H1407=$G$7,H1407=$G$8,H1407=$G$9,H1407=$G$10,H1407=$G$11,H1407=$G$12,H1407=$G$13,H1407=$G$14),SottocategorieUscite[[#Headers],[Utenze]],IF(OR(H1407=$H$5,H1407=$H$6,H1407=$H$7,H1407=$H$8,H1407=$H$9,H1407=$H$10,H1407=$H$11,H1407=$H$12,H1407=$H$13,H1407=$H$14),SottocategorieUscite[[#Headers],[Business Uscite]],IF(OR(H1407=$I$5,H1407=$I$6,H1407=$I$7,H1407=$I$8,H1407=$I$9,H1407=$I$10,H1407=$I$11,H1407=$I$12,H1407=$I$13,H1407=$I$14),SottocategorieUscite[[#Headers],[Banca]],IF(OR(H1407=K$5,H1407=K$6,H1407=K$7,H1407=K$8,H1407=K$9,H1407=K$10,H1407=K$11,H1407=K$12,H1407=K$13,H1407=K$14),SottocategorieEntrate[[#Headers],[Business Entrate]],IF(OR(H1407=L$5,H1407=L$6,H1407=L$7,H1407=L$8,H1407=L$9,H1407=L$10,H1407=L$11,H1407=L$12,H1407=L$13,H1407=L$14),SottocategorieEntrate[[#Headers],[Varie Entrate]],IF(OR(H1407=M$5,H1407=M$6,H1407=M$7,H1407=M$8,H1407=M$9,H1407=M$10,H1407=M$11,H1407=M$12,H1407=M$13,H1407=M$14),SottocategorieEntrate[[#Headers],[Real Estate]],IF(OR(H1407=N$5,H1407=N$6,H1407=N$7,H1407=N$8,H1407=N$9,H1407=N$10,H1407=N$11,H1407=N$12,H1407=N$13,H1407=N$14),SottocategorieEntrate[[#Headers],[Other]],""))))))))))))</f>
        <v/>
      </c>
      <c r="J1407" t="str">
        <f>IF(OR(Dati[[#This Row],[Categoria]]="Bollette",Dati[[#This Row],[Categoria]]="Conto &amp; Carte BNL",Dati[[#This Row],[Categoria]]="Prelievo",Dati[[#This Row],[Categoria]]="Affitto",Dati[[#This Row],[Categoria]]="BNL(Interessi Creditori)"),"Carta",IF(Dati[[#This Row],[Categoria]]&lt;&gt;0,"Cash",""))</f>
        <v/>
      </c>
      <c r="K1407" s="59" t="str">
        <f>IF(OR(Data!$I1407=SottocategorieUscite[[#Headers],[Fuori Casa]],Data!$I1407=SottocategorieUscite[[#Headers],[Varie Uscite]],Data!$I1407=SottocategorieUscite[[#Headers],[Personali]],Data!$I1407=SottocategorieUscite[[#Headers],[Lavoro]]),"$ -","")</f>
        <v/>
      </c>
      <c r="L1407" s="59" t="str">
        <f>IF(OR(Data!$I1407=SottocategorieUscite[[#Headers],[Casa]],Data!$I1407=SottocategorieUscite[[#Headers],[Utenze]],Data!$I1407=SottocategorieUscite[[#Headers],[Business Uscite]],Data!$I1407=SottocategorieUscite[[#Headers],[Banca]]),"$ -","")</f>
        <v/>
      </c>
      <c r="M1407" s="59" t="str">
        <f>IF(OR($I1407&lt;&gt;SottocategorieUscite[[#Headers],[Fuori Casa]],$I1407&lt;&gt;SottocategorieUscite[[#Headers],[Varie Uscite]],$I1407&lt;&gt;SottocategorieUscite[[#Headers],[Personali]],$I1407&lt;&gt;SottocategorieUscite[[#Headers],[Lavoro]],$I1407&lt;&gt;SottocategorieUscite[[#Headers],[Casa]],$I1407&lt;&gt;SottocategorieUscite[[#Headers],[Utenze]],$I1407&lt;&gt;SottocategorieUscite[[#Headers],[Business Uscite]],$I1407&lt;&gt;SottocategorieUscite[[#Headers],[Banca]]),"","$ -")</f>
        <v/>
      </c>
      <c r="N1407" s="59" t="str">
        <f>IF(OR(Data!$I1407=SottocategorieEntrate[[#Headers],[Business Entrate]],Data!$I1407=SottocategorieEntrate[[#Headers],[Varie Entrate]]),"$ -","")</f>
        <v/>
      </c>
      <c r="O1407" s="59" t="str">
        <f>IF(OR(Data!$I1407=SottocategorieEntrate[[#Headers],[Real Estate]],SottocategorieEntrate[[#Headers],[Other]]),"$ -","")</f>
        <v/>
      </c>
      <c r="P1407" s="59" t="str">
        <f>IF(OR($I1407&lt;&gt;SottocategorieEntrate[[#Headers],[Business Entrate]],$I1407&lt;&gt;SottocategorieEntrate[[#Headers],[Varie Entrate]],$I1407&lt;&gt;SottocategorieEntrate[[#Headers],[Real Estate]],$I1407&lt;&gt;SottocategorieEntrate[[#Headers],[Other]]),"","$ -")</f>
        <v/>
      </c>
      <c r="Q1407" s="59" t="str">
        <f>IF(Dati[[#This Row],[Categoria]]="Prelievo","€ -","")</f>
        <v/>
      </c>
      <c r="R1407" s="244"/>
      <c r="S1407" s="59" t="str">
        <f>IF(Dati[[#This Row],[Categoria]]="Savings",0,"")</f>
        <v/>
      </c>
      <c r="T1407" s="59"/>
      <c r="U1407" s="59"/>
      <c r="V1407" s="59"/>
      <c r="W1407" s="59"/>
      <c r="X1407" s="59"/>
      <c r="Y1407" s="59"/>
      <c r="Z1407" s="59"/>
      <c r="AA1407" s="59"/>
      <c r="AB1407" s="59"/>
      <c r="AC1407" s="59"/>
      <c r="AD1407" s="59"/>
      <c r="AE1407" s="59"/>
      <c r="AF1407" s="59"/>
      <c r="AG1407" s="59"/>
      <c r="AH1407" s="59"/>
      <c r="AI1407" s="59" t="str">
        <f>IF(SUM(Dati[[#This Row],[Inv. Business]:[Inv. Cryptocurrency]])=0," ",SUM(Dati[[#This Row],[Inv. Business]:[Inv. Cryptocurrency]]))</f>
        <v xml:space="preserve"> </v>
      </c>
      <c r="AJ1407" s="59"/>
      <c r="AK1407" s="59" t="str">
        <f>IF(SUM(Dati[[#This Row],[Inv. Gold]:[Mutuo]])=0," ",SUM(Dati[[#This Row],[Inv. Gold]:[Mutuo]]))</f>
        <v xml:space="preserve"> </v>
      </c>
      <c r="AL1407" s="59"/>
      <c r="AM1407" s="59"/>
    </row>
    <row r="1408" spans="2:39" x14ac:dyDescent="0.35">
      <c r="B1408" s="237">
        <f t="shared" si="107"/>
        <v>1388</v>
      </c>
      <c r="C1408" s="49">
        <f t="shared" si="106"/>
        <v>45966</v>
      </c>
      <c r="D1408" s="29">
        <f>DAY(Dati[[#This Row],[Data]])</f>
        <v>5</v>
      </c>
      <c r="E1408" s="29" t="str">
        <f>IF(DAY(Data!$C$21:$C$1613)&gt;0,TEXT(Data!$C$21:$C$1613, "mmmm"),"")</f>
        <v>novembre</v>
      </c>
      <c r="F1408" s="29" t="str">
        <f>IF(DAY(Data!$C$21:$C$1613)&gt;0,TEXT(Data!$C$21:$C$1613, "aaaa"),"")</f>
        <v>2025</v>
      </c>
      <c r="I1408" t="str">
        <f>IF(OR(H1408=$B$5,H1408=$B$6,H1408=$B$7,H1408=$B$8,H1408=$B$9,H1408=$B$10,H1408=$B$11,H1408=$B$12,H1408=$B$13,H1408=$B$14),SottocategorieUscite[[#Headers],[Fuori Casa]],IF(OR(H1408=$C$5,H1408=$C$6,H1408=$C$7,H1408=$C$8,H1408=$C$9,H1408=$C$10,H1408=$C$11,H1408=$C$12,H1408=$C$13,H1408=$C$14),SottocategorieUscite[[#Headers],[Varie Uscite]],IF(OR(H1408=$D$5,H1408=$D$6,H1408=$D$7,H1408=$D$8,H1408=$D$9,H1408=$D$10,H1408=$D$11,H1408=$D$12,H1408=$D$13,H1408=$D$14),SottocategorieUscite[[#Headers],[Personali]],IF(OR(H1408=$E$5,H1408=$E$6,H1408=$E$7,H1408=$E$8,H1408=$E$9,H1408=$E$10,H1408=$E$11,H1408=$E$12,H1408=$E$13,H1408=$E$14),SottocategorieUscite[[#Headers],[Lavoro]],IF(OR(H1408=$F$5,H1408=$F$6,H1408=$F$7,H1408=$F$8,H1408=$F$9,H1408=$F$10,H1408=$F$11,H1408=$F$12,H1408=$F$13,H1408=$F$14),SottocategorieUscite[[#Headers],[Casa]],IF(OR(H1408=$G$5,H1408=$G$6,H1408=$G$7,H1408=$G$8,H1408=$G$9,H1408=$G$10,H1408=$G$11,H1408=$G$12,H1408=$G$13,H1408=$G$14),SottocategorieUscite[[#Headers],[Utenze]],IF(OR(H1408=$H$5,H1408=$H$6,H1408=$H$7,H1408=$H$8,H1408=$H$9,H1408=$H$10,H1408=$H$11,H1408=$H$12,H1408=$H$13,H1408=$H$14),SottocategorieUscite[[#Headers],[Business Uscite]],IF(OR(H1408=$I$5,H1408=$I$6,H1408=$I$7,H1408=$I$8,H1408=$I$9,H1408=$I$10,H1408=$I$11,H1408=$I$12,H1408=$I$13,H1408=$I$14),SottocategorieUscite[[#Headers],[Banca]],IF(OR(H1408=K$5,H1408=K$6,H1408=K$7,H1408=K$8,H1408=K$9,H1408=K$10,H1408=K$11,H1408=K$12,H1408=K$13,H1408=K$14),SottocategorieEntrate[[#Headers],[Business Entrate]],IF(OR(H1408=L$5,H1408=L$6,H1408=L$7,H1408=L$8,H1408=L$9,H1408=L$10,H1408=L$11,H1408=L$12,H1408=L$13,H1408=L$14),SottocategorieEntrate[[#Headers],[Varie Entrate]],IF(OR(H1408=M$5,H1408=M$6,H1408=M$7,H1408=M$8,H1408=M$9,H1408=M$10,H1408=M$11,H1408=M$12,H1408=M$13,H1408=M$14),SottocategorieEntrate[[#Headers],[Real Estate]],IF(OR(H1408=N$5,H1408=N$6,H1408=N$7,H1408=N$8,H1408=N$9,H1408=N$10,H1408=N$11,H1408=N$12,H1408=N$13,H1408=N$14),SottocategorieEntrate[[#Headers],[Other]],""))))))))))))</f>
        <v/>
      </c>
      <c r="J1408" t="str">
        <f>IF(OR(Dati[[#This Row],[Categoria]]="Bollette",Dati[[#This Row],[Categoria]]="Conto &amp; Carte BNL",Dati[[#This Row],[Categoria]]="Prelievo",Dati[[#This Row],[Categoria]]="Affitto",Dati[[#This Row],[Categoria]]="BNL(Interessi Creditori)"),"Carta",IF(Dati[[#This Row],[Categoria]]&lt;&gt;0,"Cash",""))</f>
        <v/>
      </c>
      <c r="K1408" s="59" t="str">
        <f>IF(OR(Data!$I1408=SottocategorieUscite[[#Headers],[Fuori Casa]],Data!$I1408=SottocategorieUscite[[#Headers],[Varie Uscite]],Data!$I1408=SottocategorieUscite[[#Headers],[Personali]],Data!$I1408=SottocategorieUscite[[#Headers],[Lavoro]]),"$ -","")</f>
        <v/>
      </c>
      <c r="L1408" s="59" t="str">
        <f>IF(OR(Data!$I1408=SottocategorieUscite[[#Headers],[Casa]],Data!$I1408=SottocategorieUscite[[#Headers],[Utenze]],Data!$I1408=SottocategorieUscite[[#Headers],[Business Uscite]],Data!$I1408=SottocategorieUscite[[#Headers],[Banca]]),"$ -","")</f>
        <v/>
      </c>
      <c r="M1408" s="59" t="str">
        <f>IF(OR($I1408&lt;&gt;SottocategorieUscite[[#Headers],[Fuori Casa]],$I1408&lt;&gt;SottocategorieUscite[[#Headers],[Varie Uscite]],$I1408&lt;&gt;SottocategorieUscite[[#Headers],[Personali]],$I1408&lt;&gt;SottocategorieUscite[[#Headers],[Lavoro]],$I1408&lt;&gt;SottocategorieUscite[[#Headers],[Casa]],$I1408&lt;&gt;SottocategorieUscite[[#Headers],[Utenze]],$I1408&lt;&gt;SottocategorieUscite[[#Headers],[Business Uscite]],$I1408&lt;&gt;SottocategorieUscite[[#Headers],[Banca]]),"","$ -")</f>
        <v/>
      </c>
      <c r="N1408" s="59" t="str">
        <f>IF(OR(Data!$I1408=SottocategorieEntrate[[#Headers],[Business Entrate]],Data!$I1408=SottocategorieEntrate[[#Headers],[Varie Entrate]]),"$ -","")</f>
        <v/>
      </c>
      <c r="O1408" s="59" t="str">
        <f>IF(OR(Data!$I1408=SottocategorieEntrate[[#Headers],[Real Estate]],SottocategorieEntrate[[#Headers],[Other]]),"$ -","")</f>
        <v/>
      </c>
      <c r="P1408" s="59" t="str">
        <f>IF(OR($I1408&lt;&gt;SottocategorieEntrate[[#Headers],[Business Entrate]],$I1408&lt;&gt;SottocategorieEntrate[[#Headers],[Varie Entrate]],$I1408&lt;&gt;SottocategorieEntrate[[#Headers],[Real Estate]],$I1408&lt;&gt;SottocategorieEntrate[[#Headers],[Other]]),"","$ -")</f>
        <v/>
      </c>
      <c r="Q1408" s="59" t="str">
        <f>IF(Dati[[#This Row],[Categoria]]="Prelievo","€ -","")</f>
        <v/>
      </c>
      <c r="R1408" s="244"/>
      <c r="S1408" s="59" t="str">
        <f>IF(Dati[[#This Row],[Categoria]]="Savings",0,"")</f>
        <v/>
      </c>
      <c r="T1408" s="59"/>
      <c r="U1408" s="59"/>
      <c r="V1408" s="59"/>
      <c r="W1408" s="59"/>
      <c r="X1408" s="59"/>
      <c r="Y1408" s="59"/>
      <c r="Z1408" s="59"/>
      <c r="AA1408" s="59"/>
      <c r="AB1408" s="59"/>
      <c r="AC1408" s="59"/>
      <c r="AD1408" s="59"/>
      <c r="AE1408" s="59"/>
      <c r="AF1408" s="59"/>
      <c r="AG1408" s="59"/>
      <c r="AH1408" s="59"/>
      <c r="AI1408" s="59" t="str">
        <f>IF(SUM(Dati[[#This Row],[Inv. Business]:[Inv. Cryptocurrency]])=0," ",SUM(Dati[[#This Row],[Inv. Business]:[Inv. Cryptocurrency]]))</f>
        <v xml:space="preserve"> </v>
      </c>
      <c r="AJ1408" s="59"/>
      <c r="AK1408" s="59" t="str">
        <f>IF(SUM(Dati[[#This Row],[Inv. Gold]:[Mutuo]])=0," ",SUM(Dati[[#This Row],[Inv. Gold]:[Mutuo]]))</f>
        <v xml:space="preserve"> </v>
      </c>
      <c r="AL1408" s="59"/>
      <c r="AM1408" s="59"/>
    </row>
    <row r="1409" spans="2:39" x14ac:dyDescent="0.35">
      <c r="B1409" s="237">
        <f t="shared" si="107"/>
        <v>1389</v>
      </c>
      <c r="C1409" s="49">
        <f t="shared" si="106"/>
        <v>45967</v>
      </c>
      <c r="D1409" s="29">
        <f>DAY(Dati[[#This Row],[Data]])</f>
        <v>6</v>
      </c>
      <c r="E1409" s="29" t="str">
        <f>IF(DAY(Data!$C$21:$C$1613)&gt;0,TEXT(Data!$C$21:$C$1613, "mmmm"),"")</f>
        <v>novembre</v>
      </c>
      <c r="F1409" s="29" t="str">
        <f>IF(DAY(Data!$C$21:$C$1613)&gt;0,TEXT(Data!$C$21:$C$1613, "aaaa"),"")</f>
        <v>2025</v>
      </c>
      <c r="I1409" t="str">
        <f>IF(OR(H1409=$B$5,H1409=$B$6,H1409=$B$7,H1409=$B$8,H1409=$B$9,H1409=$B$10,H1409=$B$11,H1409=$B$12,H1409=$B$13,H1409=$B$14),SottocategorieUscite[[#Headers],[Fuori Casa]],IF(OR(H1409=$C$5,H1409=$C$6,H1409=$C$7,H1409=$C$8,H1409=$C$9,H1409=$C$10,H1409=$C$11,H1409=$C$12,H1409=$C$13,H1409=$C$14),SottocategorieUscite[[#Headers],[Varie Uscite]],IF(OR(H1409=$D$5,H1409=$D$6,H1409=$D$7,H1409=$D$8,H1409=$D$9,H1409=$D$10,H1409=$D$11,H1409=$D$12,H1409=$D$13,H1409=$D$14),SottocategorieUscite[[#Headers],[Personali]],IF(OR(H1409=$E$5,H1409=$E$6,H1409=$E$7,H1409=$E$8,H1409=$E$9,H1409=$E$10,H1409=$E$11,H1409=$E$12,H1409=$E$13,H1409=$E$14),SottocategorieUscite[[#Headers],[Lavoro]],IF(OR(H1409=$F$5,H1409=$F$6,H1409=$F$7,H1409=$F$8,H1409=$F$9,H1409=$F$10,H1409=$F$11,H1409=$F$12,H1409=$F$13,H1409=$F$14),SottocategorieUscite[[#Headers],[Casa]],IF(OR(H1409=$G$5,H1409=$G$6,H1409=$G$7,H1409=$G$8,H1409=$G$9,H1409=$G$10,H1409=$G$11,H1409=$G$12,H1409=$G$13,H1409=$G$14),SottocategorieUscite[[#Headers],[Utenze]],IF(OR(H1409=$H$5,H1409=$H$6,H1409=$H$7,H1409=$H$8,H1409=$H$9,H1409=$H$10,H1409=$H$11,H1409=$H$12,H1409=$H$13,H1409=$H$14),SottocategorieUscite[[#Headers],[Business Uscite]],IF(OR(H1409=$I$5,H1409=$I$6,H1409=$I$7,H1409=$I$8,H1409=$I$9,H1409=$I$10,H1409=$I$11,H1409=$I$12,H1409=$I$13,H1409=$I$14),SottocategorieUscite[[#Headers],[Banca]],IF(OR(H1409=K$5,H1409=K$6,H1409=K$7,H1409=K$8,H1409=K$9,H1409=K$10,H1409=K$11,H1409=K$12,H1409=K$13,H1409=K$14),SottocategorieEntrate[[#Headers],[Business Entrate]],IF(OR(H1409=L$5,H1409=L$6,H1409=L$7,H1409=L$8,H1409=L$9,H1409=L$10,H1409=L$11,H1409=L$12,H1409=L$13,H1409=L$14),SottocategorieEntrate[[#Headers],[Varie Entrate]],IF(OR(H1409=M$5,H1409=M$6,H1409=M$7,H1409=M$8,H1409=M$9,H1409=M$10,H1409=M$11,H1409=M$12,H1409=M$13,H1409=M$14),SottocategorieEntrate[[#Headers],[Real Estate]],IF(OR(H1409=N$5,H1409=N$6,H1409=N$7,H1409=N$8,H1409=N$9,H1409=N$10,H1409=N$11,H1409=N$12,H1409=N$13,H1409=N$14),SottocategorieEntrate[[#Headers],[Other]],""))))))))))))</f>
        <v/>
      </c>
      <c r="J1409" t="str">
        <f>IF(OR(Dati[[#This Row],[Categoria]]="Bollette",Dati[[#This Row],[Categoria]]="Conto &amp; Carte BNL",Dati[[#This Row],[Categoria]]="Prelievo",Dati[[#This Row],[Categoria]]="Affitto",Dati[[#This Row],[Categoria]]="BNL(Interessi Creditori)"),"Carta",IF(Dati[[#This Row],[Categoria]]&lt;&gt;0,"Cash",""))</f>
        <v/>
      </c>
      <c r="K1409" s="59" t="str">
        <f>IF(OR(Data!$I1409=SottocategorieUscite[[#Headers],[Fuori Casa]],Data!$I1409=SottocategorieUscite[[#Headers],[Varie Uscite]],Data!$I1409=SottocategorieUscite[[#Headers],[Personali]],Data!$I1409=SottocategorieUscite[[#Headers],[Lavoro]]),"$ -","")</f>
        <v/>
      </c>
      <c r="L1409" s="59" t="str">
        <f>IF(OR(Data!$I1409=SottocategorieUscite[[#Headers],[Casa]],Data!$I1409=SottocategorieUscite[[#Headers],[Utenze]],Data!$I1409=SottocategorieUscite[[#Headers],[Business Uscite]],Data!$I1409=SottocategorieUscite[[#Headers],[Banca]]),"$ -","")</f>
        <v/>
      </c>
      <c r="M1409" s="59" t="str">
        <f>IF(OR($I1409&lt;&gt;SottocategorieUscite[[#Headers],[Fuori Casa]],$I1409&lt;&gt;SottocategorieUscite[[#Headers],[Varie Uscite]],$I1409&lt;&gt;SottocategorieUscite[[#Headers],[Personali]],$I1409&lt;&gt;SottocategorieUscite[[#Headers],[Lavoro]],$I1409&lt;&gt;SottocategorieUscite[[#Headers],[Casa]],$I1409&lt;&gt;SottocategorieUscite[[#Headers],[Utenze]],$I1409&lt;&gt;SottocategorieUscite[[#Headers],[Business Uscite]],$I1409&lt;&gt;SottocategorieUscite[[#Headers],[Banca]]),"","$ -")</f>
        <v/>
      </c>
      <c r="N1409" s="59" t="str">
        <f>IF(OR(Data!$I1409=SottocategorieEntrate[[#Headers],[Business Entrate]],Data!$I1409=SottocategorieEntrate[[#Headers],[Varie Entrate]]),"$ -","")</f>
        <v/>
      </c>
      <c r="O1409" s="59" t="str">
        <f>IF(OR(Data!$I1409=SottocategorieEntrate[[#Headers],[Real Estate]],SottocategorieEntrate[[#Headers],[Other]]),"$ -","")</f>
        <v/>
      </c>
      <c r="P1409" s="59" t="str">
        <f>IF(OR($I1409&lt;&gt;SottocategorieEntrate[[#Headers],[Business Entrate]],$I1409&lt;&gt;SottocategorieEntrate[[#Headers],[Varie Entrate]],$I1409&lt;&gt;SottocategorieEntrate[[#Headers],[Real Estate]],$I1409&lt;&gt;SottocategorieEntrate[[#Headers],[Other]]),"","$ -")</f>
        <v/>
      </c>
      <c r="Q1409" s="59" t="str">
        <f>IF(Dati[[#This Row],[Categoria]]="Prelievo","€ -","")</f>
        <v/>
      </c>
      <c r="R1409" s="244"/>
      <c r="S1409" s="59" t="str">
        <f>IF(Dati[[#This Row],[Categoria]]="Savings",0,"")</f>
        <v/>
      </c>
      <c r="T1409" s="59"/>
      <c r="U1409" s="59"/>
      <c r="V1409" s="59"/>
      <c r="W1409" s="59"/>
      <c r="X1409" s="59"/>
      <c r="Y1409" s="59"/>
      <c r="Z1409" s="59"/>
      <c r="AA1409" s="59"/>
      <c r="AB1409" s="59"/>
      <c r="AC1409" s="59"/>
      <c r="AD1409" s="59"/>
      <c r="AE1409" s="59"/>
      <c r="AF1409" s="59"/>
      <c r="AG1409" s="59"/>
      <c r="AH1409" s="59"/>
      <c r="AI1409" s="59" t="str">
        <f>IF(SUM(Dati[[#This Row],[Inv. Business]:[Inv. Cryptocurrency]])=0," ",SUM(Dati[[#This Row],[Inv. Business]:[Inv. Cryptocurrency]]))</f>
        <v xml:space="preserve"> </v>
      </c>
      <c r="AJ1409" s="59"/>
      <c r="AK1409" s="59" t="str">
        <f>IF(SUM(Dati[[#This Row],[Inv. Gold]:[Mutuo]])=0," ",SUM(Dati[[#This Row],[Inv. Gold]:[Mutuo]]))</f>
        <v xml:space="preserve"> </v>
      </c>
      <c r="AL1409" s="59"/>
      <c r="AM1409" s="59"/>
    </row>
    <row r="1410" spans="2:39" x14ac:dyDescent="0.35">
      <c r="B1410" s="237">
        <f t="shared" si="107"/>
        <v>1390</v>
      </c>
      <c r="C1410" s="49">
        <f t="shared" si="106"/>
        <v>45968</v>
      </c>
      <c r="D1410" s="29">
        <f>DAY(Dati[[#This Row],[Data]])</f>
        <v>7</v>
      </c>
      <c r="E1410" s="29" t="str">
        <f>IF(DAY(Data!$C$21:$C$1613)&gt;0,TEXT(Data!$C$21:$C$1613, "mmmm"),"")</f>
        <v>novembre</v>
      </c>
      <c r="F1410" s="29" t="str">
        <f>IF(DAY(Data!$C$21:$C$1613)&gt;0,TEXT(Data!$C$21:$C$1613, "aaaa"),"")</f>
        <v>2025</v>
      </c>
      <c r="I1410" t="str">
        <f>IF(OR(H1410=$B$5,H1410=$B$6,H1410=$B$7,H1410=$B$8,H1410=$B$9,H1410=$B$10,H1410=$B$11,H1410=$B$12,H1410=$B$13,H1410=$B$14),SottocategorieUscite[[#Headers],[Fuori Casa]],IF(OR(H1410=$C$5,H1410=$C$6,H1410=$C$7,H1410=$C$8,H1410=$C$9,H1410=$C$10,H1410=$C$11,H1410=$C$12,H1410=$C$13,H1410=$C$14),SottocategorieUscite[[#Headers],[Varie Uscite]],IF(OR(H1410=$D$5,H1410=$D$6,H1410=$D$7,H1410=$D$8,H1410=$D$9,H1410=$D$10,H1410=$D$11,H1410=$D$12,H1410=$D$13,H1410=$D$14),SottocategorieUscite[[#Headers],[Personali]],IF(OR(H1410=$E$5,H1410=$E$6,H1410=$E$7,H1410=$E$8,H1410=$E$9,H1410=$E$10,H1410=$E$11,H1410=$E$12,H1410=$E$13,H1410=$E$14),SottocategorieUscite[[#Headers],[Lavoro]],IF(OR(H1410=$F$5,H1410=$F$6,H1410=$F$7,H1410=$F$8,H1410=$F$9,H1410=$F$10,H1410=$F$11,H1410=$F$12,H1410=$F$13,H1410=$F$14),SottocategorieUscite[[#Headers],[Casa]],IF(OR(H1410=$G$5,H1410=$G$6,H1410=$G$7,H1410=$G$8,H1410=$G$9,H1410=$G$10,H1410=$G$11,H1410=$G$12,H1410=$G$13,H1410=$G$14),SottocategorieUscite[[#Headers],[Utenze]],IF(OR(H1410=$H$5,H1410=$H$6,H1410=$H$7,H1410=$H$8,H1410=$H$9,H1410=$H$10,H1410=$H$11,H1410=$H$12,H1410=$H$13,H1410=$H$14),SottocategorieUscite[[#Headers],[Business Uscite]],IF(OR(H1410=$I$5,H1410=$I$6,H1410=$I$7,H1410=$I$8,H1410=$I$9,H1410=$I$10,H1410=$I$11,H1410=$I$12,H1410=$I$13,H1410=$I$14),SottocategorieUscite[[#Headers],[Banca]],IF(OR(H1410=K$5,H1410=K$6,H1410=K$7,H1410=K$8,H1410=K$9,H1410=K$10,H1410=K$11,H1410=K$12,H1410=K$13,H1410=K$14),SottocategorieEntrate[[#Headers],[Business Entrate]],IF(OR(H1410=L$5,H1410=L$6,H1410=L$7,H1410=L$8,H1410=L$9,H1410=L$10,H1410=L$11,H1410=L$12,H1410=L$13,H1410=L$14),SottocategorieEntrate[[#Headers],[Varie Entrate]],IF(OR(H1410=M$5,H1410=M$6,H1410=M$7,H1410=M$8,H1410=M$9,H1410=M$10,H1410=M$11,H1410=M$12,H1410=M$13,H1410=M$14),SottocategorieEntrate[[#Headers],[Real Estate]],IF(OR(H1410=N$5,H1410=N$6,H1410=N$7,H1410=N$8,H1410=N$9,H1410=N$10,H1410=N$11,H1410=N$12,H1410=N$13,H1410=N$14),SottocategorieEntrate[[#Headers],[Other]],""))))))))))))</f>
        <v/>
      </c>
      <c r="J1410" t="str">
        <f>IF(OR(Dati[[#This Row],[Categoria]]="Bollette",Dati[[#This Row],[Categoria]]="Conto &amp; Carte BNL",Dati[[#This Row],[Categoria]]="Prelievo",Dati[[#This Row],[Categoria]]="Affitto",Dati[[#This Row],[Categoria]]="BNL(Interessi Creditori)"),"Carta",IF(Dati[[#This Row],[Categoria]]&lt;&gt;0,"Cash",""))</f>
        <v/>
      </c>
      <c r="K1410" s="59" t="str">
        <f>IF(OR(Data!$I1410=SottocategorieUscite[[#Headers],[Fuori Casa]],Data!$I1410=SottocategorieUscite[[#Headers],[Varie Uscite]],Data!$I1410=SottocategorieUscite[[#Headers],[Personali]],Data!$I1410=SottocategorieUscite[[#Headers],[Lavoro]]),"$ -","")</f>
        <v/>
      </c>
      <c r="L1410" s="59" t="str">
        <f>IF(OR(Data!$I1410=SottocategorieUscite[[#Headers],[Casa]],Data!$I1410=SottocategorieUscite[[#Headers],[Utenze]],Data!$I1410=SottocategorieUscite[[#Headers],[Business Uscite]],Data!$I1410=SottocategorieUscite[[#Headers],[Banca]]),"$ -","")</f>
        <v/>
      </c>
      <c r="M1410" s="59" t="str">
        <f>IF(OR($I1410&lt;&gt;SottocategorieUscite[[#Headers],[Fuori Casa]],$I1410&lt;&gt;SottocategorieUscite[[#Headers],[Varie Uscite]],$I1410&lt;&gt;SottocategorieUscite[[#Headers],[Personali]],$I1410&lt;&gt;SottocategorieUscite[[#Headers],[Lavoro]],$I1410&lt;&gt;SottocategorieUscite[[#Headers],[Casa]],$I1410&lt;&gt;SottocategorieUscite[[#Headers],[Utenze]],$I1410&lt;&gt;SottocategorieUscite[[#Headers],[Business Uscite]],$I1410&lt;&gt;SottocategorieUscite[[#Headers],[Banca]]),"","$ -")</f>
        <v/>
      </c>
      <c r="N1410" s="59" t="str">
        <f>IF(OR(Data!$I1410=SottocategorieEntrate[[#Headers],[Business Entrate]],Data!$I1410=SottocategorieEntrate[[#Headers],[Varie Entrate]]),"$ -","")</f>
        <v/>
      </c>
      <c r="O1410" s="59" t="str">
        <f>IF(OR(Data!$I1410=SottocategorieEntrate[[#Headers],[Real Estate]],SottocategorieEntrate[[#Headers],[Other]]),"$ -","")</f>
        <v/>
      </c>
      <c r="P1410" s="59" t="str">
        <f>IF(OR($I1410&lt;&gt;SottocategorieEntrate[[#Headers],[Business Entrate]],$I1410&lt;&gt;SottocategorieEntrate[[#Headers],[Varie Entrate]],$I1410&lt;&gt;SottocategorieEntrate[[#Headers],[Real Estate]],$I1410&lt;&gt;SottocategorieEntrate[[#Headers],[Other]]),"","$ -")</f>
        <v/>
      </c>
      <c r="Q1410" s="59" t="str">
        <f>IF(Dati[[#This Row],[Categoria]]="Prelievo","€ -","")</f>
        <v/>
      </c>
      <c r="R1410" s="244"/>
      <c r="S1410" s="59" t="str">
        <f>IF(Dati[[#This Row],[Categoria]]="Savings",0,"")</f>
        <v/>
      </c>
      <c r="T1410" s="59"/>
      <c r="U1410" s="59"/>
      <c r="V1410" s="59"/>
      <c r="W1410" s="59"/>
      <c r="X1410" s="59"/>
      <c r="Y1410" s="59"/>
      <c r="Z1410" s="59"/>
      <c r="AA1410" s="59"/>
      <c r="AB1410" s="59"/>
      <c r="AC1410" s="59"/>
      <c r="AD1410" s="59"/>
      <c r="AE1410" s="59"/>
      <c r="AF1410" s="59"/>
      <c r="AG1410" s="59"/>
      <c r="AH1410" s="59"/>
      <c r="AI1410" s="59" t="str">
        <f>IF(SUM(Dati[[#This Row],[Inv. Business]:[Inv. Cryptocurrency]])=0," ",SUM(Dati[[#This Row],[Inv. Business]:[Inv. Cryptocurrency]]))</f>
        <v xml:space="preserve"> </v>
      </c>
      <c r="AJ1410" s="59"/>
      <c r="AK1410" s="59" t="str">
        <f>IF(SUM(Dati[[#This Row],[Inv. Gold]:[Mutuo]])=0," ",SUM(Dati[[#This Row],[Inv. Gold]:[Mutuo]]))</f>
        <v xml:space="preserve"> </v>
      </c>
      <c r="AL1410" s="59"/>
      <c r="AM1410" s="59"/>
    </row>
    <row r="1411" spans="2:39" x14ac:dyDescent="0.35">
      <c r="B1411" s="237">
        <f t="shared" si="107"/>
        <v>1391</v>
      </c>
      <c r="C1411" s="49">
        <f t="shared" si="106"/>
        <v>45969</v>
      </c>
      <c r="D1411" s="29">
        <f>DAY(Dati[[#This Row],[Data]])</f>
        <v>8</v>
      </c>
      <c r="E1411" s="29" t="str">
        <f>IF(DAY(Data!$C$21:$C$1613)&gt;0,TEXT(Data!$C$21:$C$1613, "mmmm"),"")</f>
        <v>novembre</v>
      </c>
      <c r="F1411" s="29" t="str">
        <f>IF(DAY(Data!$C$21:$C$1613)&gt;0,TEXT(Data!$C$21:$C$1613, "aaaa"),"")</f>
        <v>2025</v>
      </c>
      <c r="I1411" t="str">
        <f>IF(OR(H1411=$B$5,H1411=$B$6,H1411=$B$7,H1411=$B$8,H1411=$B$9,H1411=$B$10,H1411=$B$11,H1411=$B$12,H1411=$B$13,H1411=$B$14),SottocategorieUscite[[#Headers],[Fuori Casa]],IF(OR(H1411=$C$5,H1411=$C$6,H1411=$C$7,H1411=$C$8,H1411=$C$9,H1411=$C$10,H1411=$C$11,H1411=$C$12,H1411=$C$13,H1411=$C$14),SottocategorieUscite[[#Headers],[Varie Uscite]],IF(OR(H1411=$D$5,H1411=$D$6,H1411=$D$7,H1411=$D$8,H1411=$D$9,H1411=$D$10,H1411=$D$11,H1411=$D$12,H1411=$D$13,H1411=$D$14),SottocategorieUscite[[#Headers],[Personali]],IF(OR(H1411=$E$5,H1411=$E$6,H1411=$E$7,H1411=$E$8,H1411=$E$9,H1411=$E$10,H1411=$E$11,H1411=$E$12,H1411=$E$13,H1411=$E$14),SottocategorieUscite[[#Headers],[Lavoro]],IF(OR(H1411=$F$5,H1411=$F$6,H1411=$F$7,H1411=$F$8,H1411=$F$9,H1411=$F$10,H1411=$F$11,H1411=$F$12,H1411=$F$13,H1411=$F$14),SottocategorieUscite[[#Headers],[Casa]],IF(OR(H1411=$G$5,H1411=$G$6,H1411=$G$7,H1411=$G$8,H1411=$G$9,H1411=$G$10,H1411=$G$11,H1411=$G$12,H1411=$G$13,H1411=$G$14),SottocategorieUscite[[#Headers],[Utenze]],IF(OR(H1411=$H$5,H1411=$H$6,H1411=$H$7,H1411=$H$8,H1411=$H$9,H1411=$H$10,H1411=$H$11,H1411=$H$12,H1411=$H$13,H1411=$H$14),SottocategorieUscite[[#Headers],[Business Uscite]],IF(OR(H1411=$I$5,H1411=$I$6,H1411=$I$7,H1411=$I$8,H1411=$I$9,H1411=$I$10,H1411=$I$11,H1411=$I$12,H1411=$I$13,H1411=$I$14),SottocategorieUscite[[#Headers],[Banca]],IF(OR(H1411=K$5,H1411=K$6,H1411=K$7,H1411=K$8,H1411=K$9,H1411=K$10,H1411=K$11,H1411=K$12,H1411=K$13,H1411=K$14),SottocategorieEntrate[[#Headers],[Business Entrate]],IF(OR(H1411=L$5,H1411=L$6,H1411=L$7,H1411=L$8,H1411=L$9,H1411=L$10,H1411=L$11,H1411=L$12,H1411=L$13,H1411=L$14),SottocategorieEntrate[[#Headers],[Varie Entrate]],IF(OR(H1411=M$5,H1411=M$6,H1411=M$7,H1411=M$8,H1411=M$9,H1411=M$10,H1411=M$11,H1411=M$12,H1411=M$13,H1411=M$14),SottocategorieEntrate[[#Headers],[Real Estate]],IF(OR(H1411=N$5,H1411=N$6,H1411=N$7,H1411=N$8,H1411=N$9,H1411=N$10,H1411=N$11,H1411=N$12,H1411=N$13,H1411=N$14),SottocategorieEntrate[[#Headers],[Other]],""))))))))))))</f>
        <v/>
      </c>
      <c r="J1411" t="str">
        <f>IF(OR(Dati[[#This Row],[Categoria]]="Bollette",Dati[[#This Row],[Categoria]]="Conto &amp; Carte BNL",Dati[[#This Row],[Categoria]]="Prelievo",Dati[[#This Row],[Categoria]]="Affitto",Dati[[#This Row],[Categoria]]="BNL(Interessi Creditori)"),"Carta",IF(Dati[[#This Row],[Categoria]]&lt;&gt;0,"Cash",""))</f>
        <v/>
      </c>
      <c r="K1411" s="59" t="str">
        <f>IF(OR(Data!$I1411=SottocategorieUscite[[#Headers],[Fuori Casa]],Data!$I1411=SottocategorieUscite[[#Headers],[Varie Uscite]],Data!$I1411=SottocategorieUscite[[#Headers],[Personali]],Data!$I1411=SottocategorieUscite[[#Headers],[Lavoro]]),"$ -","")</f>
        <v/>
      </c>
      <c r="L1411" s="59" t="str">
        <f>IF(OR(Data!$I1411=SottocategorieUscite[[#Headers],[Casa]],Data!$I1411=SottocategorieUscite[[#Headers],[Utenze]],Data!$I1411=SottocategorieUscite[[#Headers],[Business Uscite]],Data!$I1411=SottocategorieUscite[[#Headers],[Banca]]),"$ -","")</f>
        <v/>
      </c>
      <c r="M1411" s="59" t="str">
        <f>IF(OR($I1411&lt;&gt;SottocategorieUscite[[#Headers],[Fuori Casa]],$I1411&lt;&gt;SottocategorieUscite[[#Headers],[Varie Uscite]],$I1411&lt;&gt;SottocategorieUscite[[#Headers],[Personali]],$I1411&lt;&gt;SottocategorieUscite[[#Headers],[Lavoro]],$I1411&lt;&gt;SottocategorieUscite[[#Headers],[Casa]],$I1411&lt;&gt;SottocategorieUscite[[#Headers],[Utenze]],$I1411&lt;&gt;SottocategorieUscite[[#Headers],[Business Uscite]],$I1411&lt;&gt;SottocategorieUscite[[#Headers],[Banca]]),"","$ -")</f>
        <v/>
      </c>
      <c r="N1411" s="59" t="str">
        <f>IF(OR(Data!$I1411=SottocategorieEntrate[[#Headers],[Business Entrate]],Data!$I1411=SottocategorieEntrate[[#Headers],[Varie Entrate]]),"$ -","")</f>
        <v/>
      </c>
      <c r="O1411" s="59" t="str">
        <f>IF(OR(Data!$I1411=SottocategorieEntrate[[#Headers],[Real Estate]],SottocategorieEntrate[[#Headers],[Other]]),"$ -","")</f>
        <v/>
      </c>
      <c r="P1411" s="59" t="str">
        <f>IF(OR($I1411&lt;&gt;SottocategorieEntrate[[#Headers],[Business Entrate]],$I1411&lt;&gt;SottocategorieEntrate[[#Headers],[Varie Entrate]],$I1411&lt;&gt;SottocategorieEntrate[[#Headers],[Real Estate]],$I1411&lt;&gt;SottocategorieEntrate[[#Headers],[Other]]),"","$ -")</f>
        <v/>
      </c>
      <c r="Q1411" s="59" t="str">
        <f>IF(Dati[[#This Row],[Categoria]]="Prelievo","€ -","")</f>
        <v/>
      </c>
      <c r="R1411" s="244"/>
      <c r="S1411" s="59" t="str">
        <f>IF(Dati[[#This Row],[Categoria]]="Savings",0,"")</f>
        <v/>
      </c>
      <c r="T1411" s="59"/>
      <c r="U1411" s="59"/>
      <c r="V1411" s="59"/>
      <c r="W1411" s="59"/>
      <c r="X1411" s="59"/>
      <c r="Y1411" s="59"/>
      <c r="Z1411" s="59"/>
      <c r="AA1411" s="59"/>
      <c r="AB1411" s="59"/>
      <c r="AC1411" s="59"/>
      <c r="AD1411" s="59"/>
      <c r="AE1411" s="59"/>
      <c r="AF1411" s="59"/>
      <c r="AG1411" s="59"/>
      <c r="AH1411" s="59"/>
      <c r="AI1411" s="59" t="str">
        <f>IF(SUM(Dati[[#This Row],[Inv. Business]:[Inv. Cryptocurrency]])=0," ",SUM(Dati[[#This Row],[Inv. Business]:[Inv. Cryptocurrency]]))</f>
        <v xml:space="preserve"> </v>
      </c>
      <c r="AJ1411" s="59"/>
      <c r="AK1411" s="59" t="str">
        <f>IF(SUM(Dati[[#This Row],[Inv. Gold]:[Mutuo]])=0," ",SUM(Dati[[#This Row],[Inv. Gold]:[Mutuo]]))</f>
        <v xml:space="preserve"> </v>
      </c>
      <c r="AL1411" s="59"/>
      <c r="AM1411" s="59"/>
    </row>
    <row r="1412" spans="2:39" x14ac:dyDescent="0.35">
      <c r="B1412" s="237">
        <f t="shared" si="107"/>
        <v>1392</v>
      </c>
      <c r="C1412" s="49">
        <f t="shared" si="106"/>
        <v>45970</v>
      </c>
      <c r="D1412" s="29">
        <f>DAY(Dati[[#This Row],[Data]])</f>
        <v>9</v>
      </c>
      <c r="E1412" s="29" t="str">
        <f>IF(DAY(Data!$C$21:$C$1613)&gt;0,TEXT(Data!$C$21:$C$1613, "mmmm"),"")</f>
        <v>novembre</v>
      </c>
      <c r="F1412" s="29" t="str">
        <f>IF(DAY(Data!$C$21:$C$1613)&gt;0,TEXT(Data!$C$21:$C$1613, "aaaa"),"")</f>
        <v>2025</v>
      </c>
      <c r="I1412" t="str">
        <f>IF(OR(H1412=$B$5,H1412=$B$6,H1412=$B$7,H1412=$B$8,H1412=$B$9,H1412=$B$10,H1412=$B$11,H1412=$B$12,H1412=$B$13,H1412=$B$14),SottocategorieUscite[[#Headers],[Fuori Casa]],IF(OR(H1412=$C$5,H1412=$C$6,H1412=$C$7,H1412=$C$8,H1412=$C$9,H1412=$C$10,H1412=$C$11,H1412=$C$12,H1412=$C$13,H1412=$C$14),SottocategorieUscite[[#Headers],[Varie Uscite]],IF(OR(H1412=$D$5,H1412=$D$6,H1412=$D$7,H1412=$D$8,H1412=$D$9,H1412=$D$10,H1412=$D$11,H1412=$D$12,H1412=$D$13,H1412=$D$14),SottocategorieUscite[[#Headers],[Personali]],IF(OR(H1412=$E$5,H1412=$E$6,H1412=$E$7,H1412=$E$8,H1412=$E$9,H1412=$E$10,H1412=$E$11,H1412=$E$12,H1412=$E$13,H1412=$E$14),SottocategorieUscite[[#Headers],[Lavoro]],IF(OR(H1412=$F$5,H1412=$F$6,H1412=$F$7,H1412=$F$8,H1412=$F$9,H1412=$F$10,H1412=$F$11,H1412=$F$12,H1412=$F$13,H1412=$F$14),SottocategorieUscite[[#Headers],[Casa]],IF(OR(H1412=$G$5,H1412=$G$6,H1412=$G$7,H1412=$G$8,H1412=$G$9,H1412=$G$10,H1412=$G$11,H1412=$G$12,H1412=$G$13,H1412=$G$14),SottocategorieUscite[[#Headers],[Utenze]],IF(OR(H1412=$H$5,H1412=$H$6,H1412=$H$7,H1412=$H$8,H1412=$H$9,H1412=$H$10,H1412=$H$11,H1412=$H$12,H1412=$H$13,H1412=$H$14),SottocategorieUscite[[#Headers],[Business Uscite]],IF(OR(H1412=$I$5,H1412=$I$6,H1412=$I$7,H1412=$I$8,H1412=$I$9,H1412=$I$10,H1412=$I$11,H1412=$I$12,H1412=$I$13,H1412=$I$14),SottocategorieUscite[[#Headers],[Banca]],IF(OR(H1412=K$5,H1412=K$6,H1412=K$7,H1412=K$8,H1412=K$9,H1412=K$10,H1412=K$11,H1412=K$12,H1412=K$13,H1412=K$14),SottocategorieEntrate[[#Headers],[Business Entrate]],IF(OR(H1412=L$5,H1412=L$6,H1412=L$7,H1412=L$8,H1412=L$9,H1412=L$10,H1412=L$11,H1412=L$12,H1412=L$13,H1412=L$14),SottocategorieEntrate[[#Headers],[Varie Entrate]],IF(OR(H1412=M$5,H1412=M$6,H1412=M$7,H1412=M$8,H1412=M$9,H1412=M$10,H1412=M$11,H1412=M$12,H1412=M$13,H1412=M$14),SottocategorieEntrate[[#Headers],[Real Estate]],IF(OR(H1412=N$5,H1412=N$6,H1412=N$7,H1412=N$8,H1412=N$9,H1412=N$10,H1412=N$11,H1412=N$12,H1412=N$13,H1412=N$14),SottocategorieEntrate[[#Headers],[Other]],""))))))))))))</f>
        <v/>
      </c>
      <c r="J1412" t="str">
        <f>IF(OR(Dati[[#This Row],[Categoria]]="Bollette",Dati[[#This Row],[Categoria]]="Conto &amp; Carte BNL",Dati[[#This Row],[Categoria]]="Prelievo",Dati[[#This Row],[Categoria]]="Affitto",Dati[[#This Row],[Categoria]]="BNL(Interessi Creditori)"),"Carta",IF(Dati[[#This Row],[Categoria]]&lt;&gt;0,"Cash",""))</f>
        <v/>
      </c>
      <c r="K1412" s="59" t="str">
        <f>IF(OR(Data!$I1412=SottocategorieUscite[[#Headers],[Fuori Casa]],Data!$I1412=SottocategorieUscite[[#Headers],[Varie Uscite]],Data!$I1412=SottocategorieUscite[[#Headers],[Personali]],Data!$I1412=SottocategorieUscite[[#Headers],[Lavoro]]),"$ -","")</f>
        <v/>
      </c>
      <c r="L1412" s="59" t="str">
        <f>IF(OR(Data!$I1412=SottocategorieUscite[[#Headers],[Casa]],Data!$I1412=SottocategorieUscite[[#Headers],[Utenze]],Data!$I1412=SottocategorieUscite[[#Headers],[Business Uscite]],Data!$I1412=SottocategorieUscite[[#Headers],[Banca]]),"$ -","")</f>
        <v/>
      </c>
      <c r="M1412" s="59" t="str">
        <f>IF(OR($I1412&lt;&gt;SottocategorieUscite[[#Headers],[Fuori Casa]],$I1412&lt;&gt;SottocategorieUscite[[#Headers],[Varie Uscite]],$I1412&lt;&gt;SottocategorieUscite[[#Headers],[Personali]],$I1412&lt;&gt;SottocategorieUscite[[#Headers],[Lavoro]],$I1412&lt;&gt;SottocategorieUscite[[#Headers],[Casa]],$I1412&lt;&gt;SottocategorieUscite[[#Headers],[Utenze]],$I1412&lt;&gt;SottocategorieUscite[[#Headers],[Business Uscite]],$I1412&lt;&gt;SottocategorieUscite[[#Headers],[Banca]]),"","$ -")</f>
        <v/>
      </c>
      <c r="N1412" s="59" t="str">
        <f>IF(OR(Data!$I1412=SottocategorieEntrate[[#Headers],[Business Entrate]],Data!$I1412=SottocategorieEntrate[[#Headers],[Varie Entrate]]),"$ -","")</f>
        <v/>
      </c>
      <c r="O1412" s="59" t="str">
        <f>IF(OR(Data!$I1412=SottocategorieEntrate[[#Headers],[Real Estate]],SottocategorieEntrate[[#Headers],[Other]]),"$ -","")</f>
        <v/>
      </c>
      <c r="P1412" s="59" t="str">
        <f>IF(OR($I1412&lt;&gt;SottocategorieEntrate[[#Headers],[Business Entrate]],$I1412&lt;&gt;SottocategorieEntrate[[#Headers],[Varie Entrate]],$I1412&lt;&gt;SottocategorieEntrate[[#Headers],[Real Estate]],$I1412&lt;&gt;SottocategorieEntrate[[#Headers],[Other]]),"","$ -")</f>
        <v/>
      </c>
      <c r="Q1412" s="59" t="str">
        <f>IF(Dati[[#This Row],[Categoria]]="Prelievo","€ -","")</f>
        <v/>
      </c>
      <c r="R1412" s="244"/>
      <c r="S1412" s="59" t="str">
        <f>IF(Dati[[#This Row],[Categoria]]="Savings",0,"")</f>
        <v/>
      </c>
      <c r="T1412" s="59"/>
      <c r="U1412" s="59"/>
      <c r="V1412" s="59"/>
      <c r="W1412" s="59"/>
      <c r="X1412" s="59"/>
      <c r="Y1412" s="59"/>
      <c r="Z1412" s="59"/>
      <c r="AA1412" s="59"/>
      <c r="AB1412" s="59"/>
      <c r="AC1412" s="59"/>
      <c r="AD1412" s="59"/>
      <c r="AE1412" s="59"/>
      <c r="AF1412" s="59"/>
      <c r="AG1412" s="59"/>
      <c r="AH1412" s="59"/>
      <c r="AI1412" s="59" t="str">
        <f>IF(SUM(Dati[[#This Row],[Inv. Business]:[Inv. Cryptocurrency]])=0," ",SUM(Dati[[#This Row],[Inv. Business]:[Inv. Cryptocurrency]]))</f>
        <v xml:space="preserve"> </v>
      </c>
      <c r="AJ1412" s="59"/>
      <c r="AK1412" s="59" t="str">
        <f>IF(SUM(Dati[[#This Row],[Inv. Gold]:[Mutuo]])=0," ",SUM(Dati[[#This Row],[Inv. Gold]:[Mutuo]]))</f>
        <v xml:space="preserve"> </v>
      </c>
      <c r="AL1412" s="59"/>
      <c r="AM1412" s="59"/>
    </row>
    <row r="1413" spans="2:39" x14ac:dyDescent="0.35">
      <c r="B1413" s="237">
        <f t="shared" si="107"/>
        <v>1393</v>
      </c>
      <c r="C1413" s="49">
        <f t="shared" si="106"/>
        <v>45971</v>
      </c>
      <c r="D1413" s="29">
        <f>DAY(Dati[[#This Row],[Data]])</f>
        <v>10</v>
      </c>
      <c r="E1413" s="29" t="str">
        <f>IF(DAY(Data!$C$21:$C$1613)&gt;0,TEXT(Data!$C$21:$C$1613, "mmmm"),"")</f>
        <v>novembre</v>
      </c>
      <c r="F1413" s="29" t="str">
        <f>IF(DAY(Data!$C$21:$C$1613)&gt;0,TEXT(Data!$C$21:$C$1613, "aaaa"),"")</f>
        <v>2025</v>
      </c>
      <c r="I1413" t="str">
        <f>IF(OR(H1413=$B$5,H1413=$B$6,H1413=$B$7,H1413=$B$8,H1413=$B$9,H1413=$B$10,H1413=$B$11,H1413=$B$12,H1413=$B$13,H1413=$B$14),SottocategorieUscite[[#Headers],[Fuori Casa]],IF(OR(H1413=$C$5,H1413=$C$6,H1413=$C$7,H1413=$C$8,H1413=$C$9,H1413=$C$10,H1413=$C$11,H1413=$C$12,H1413=$C$13,H1413=$C$14),SottocategorieUscite[[#Headers],[Varie Uscite]],IF(OR(H1413=$D$5,H1413=$D$6,H1413=$D$7,H1413=$D$8,H1413=$D$9,H1413=$D$10,H1413=$D$11,H1413=$D$12,H1413=$D$13,H1413=$D$14),SottocategorieUscite[[#Headers],[Personali]],IF(OR(H1413=$E$5,H1413=$E$6,H1413=$E$7,H1413=$E$8,H1413=$E$9,H1413=$E$10,H1413=$E$11,H1413=$E$12,H1413=$E$13,H1413=$E$14),SottocategorieUscite[[#Headers],[Lavoro]],IF(OR(H1413=$F$5,H1413=$F$6,H1413=$F$7,H1413=$F$8,H1413=$F$9,H1413=$F$10,H1413=$F$11,H1413=$F$12,H1413=$F$13,H1413=$F$14),SottocategorieUscite[[#Headers],[Casa]],IF(OR(H1413=$G$5,H1413=$G$6,H1413=$G$7,H1413=$G$8,H1413=$G$9,H1413=$G$10,H1413=$G$11,H1413=$G$12,H1413=$G$13,H1413=$G$14),SottocategorieUscite[[#Headers],[Utenze]],IF(OR(H1413=$H$5,H1413=$H$6,H1413=$H$7,H1413=$H$8,H1413=$H$9,H1413=$H$10,H1413=$H$11,H1413=$H$12,H1413=$H$13,H1413=$H$14),SottocategorieUscite[[#Headers],[Business Uscite]],IF(OR(H1413=$I$5,H1413=$I$6,H1413=$I$7,H1413=$I$8,H1413=$I$9,H1413=$I$10,H1413=$I$11,H1413=$I$12,H1413=$I$13,H1413=$I$14),SottocategorieUscite[[#Headers],[Banca]],IF(OR(H1413=K$5,H1413=K$6,H1413=K$7,H1413=K$8,H1413=K$9,H1413=K$10,H1413=K$11,H1413=K$12,H1413=K$13,H1413=K$14),SottocategorieEntrate[[#Headers],[Business Entrate]],IF(OR(H1413=L$5,H1413=L$6,H1413=L$7,H1413=L$8,H1413=L$9,H1413=L$10,H1413=L$11,H1413=L$12,H1413=L$13,H1413=L$14),SottocategorieEntrate[[#Headers],[Varie Entrate]],IF(OR(H1413=M$5,H1413=M$6,H1413=M$7,H1413=M$8,H1413=M$9,H1413=M$10,H1413=M$11,H1413=M$12,H1413=M$13,H1413=M$14),SottocategorieEntrate[[#Headers],[Real Estate]],IF(OR(H1413=N$5,H1413=N$6,H1413=N$7,H1413=N$8,H1413=N$9,H1413=N$10,H1413=N$11,H1413=N$12,H1413=N$13,H1413=N$14),SottocategorieEntrate[[#Headers],[Other]],""))))))))))))</f>
        <v/>
      </c>
      <c r="J1413" t="str">
        <f>IF(OR(Dati[[#This Row],[Categoria]]="Bollette",Dati[[#This Row],[Categoria]]="Conto &amp; Carte BNL",Dati[[#This Row],[Categoria]]="Prelievo",Dati[[#This Row],[Categoria]]="Affitto",Dati[[#This Row],[Categoria]]="BNL(Interessi Creditori)"),"Carta",IF(Dati[[#This Row],[Categoria]]&lt;&gt;0,"Cash",""))</f>
        <v/>
      </c>
      <c r="K1413" s="59" t="str">
        <f>IF(OR(Data!$I1413=SottocategorieUscite[[#Headers],[Fuori Casa]],Data!$I1413=SottocategorieUscite[[#Headers],[Varie Uscite]],Data!$I1413=SottocategorieUscite[[#Headers],[Personali]],Data!$I1413=SottocategorieUscite[[#Headers],[Lavoro]]),"$ -","")</f>
        <v/>
      </c>
      <c r="L1413" s="59" t="str">
        <f>IF(OR(Data!$I1413=SottocategorieUscite[[#Headers],[Casa]],Data!$I1413=SottocategorieUscite[[#Headers],[Utenze]],Data!$I1413=SottocategorieUscite[[#Headers],[Business Uscite]],Data!$I1413=SottocategorieUscite[[#Headers],[Banca]]),"$ -","")</f>
        <v/>
      </c>
      <c r="M1413" s="59" t="str">
        <f>IF(OR($I1413&lt;&gt;SottocategorieUscite[[#Headers],[Fuori Casa]],$I1413&lt;&gt;SottocategorieUscite[[#Headers],[Varie Uscite]],$I1413&lt;&gt;SottocategorieUscite[[#Headers],[Personali]],$I1413&lt;&gt;SottocategorieUscite[[#Headers],[Lavoro]],$I1413&lt;&gt;SottocategorieUscite[[#Headers],[Casa]],$I1413&lt;&gt;SottocategorieUscite[[#Headers],[Utenze]],$I1413&lt;&gt;SottocategorieUscite[[#Headers],[Business Uscite]],$I1413&lt;&gt;SottocategorieUscite[[#Headers],[Banca]]),"","$ -")</f>
        <v/>
      </c>
      <c r="N1413" s="59" t="str">
        <f>IF(OR(Data!$I1413=SottocategorieEntrate[[#Headers],[Business Entrate]],Data!$I1413=SottocategorieEntrate[[#Headers],[Varie Entrate]]),"$ -","")</f>
        <v/>
      </c>
      <c r="O1413" s="59" t="str">
        <f>IF(OR(Data!$I1413=SottocategorieEntrate[[#Headers],[Real Estate]],SottocategorieEntrate[[#Headers],[Other]]),"$ -","")</f>
        <v/>
      </c>
      <c r="P1413" s="59" t="str">
        <f>IF(OR($I1413&lt;&gt;SottocategorieEntrate[[#Headers],[Business Entrate]],$I1413&lt;&gt;SottocategorieEntrate[[#Headers],[Varie Entrate]],$I1413&lt;&gt;SottocategorieEntrate[[#Headers],[Real Estate]],$I1413&lt;&gt;SottocategorieEntrate[[#Headers],[Other]]),"","$ -")</f>
        <v/>
      </c>
      <c r="Q1413" s="59" t="str">
        <f>IF(Dati[[#This Row],[Categoria]]="Prelievo","€ -","")</f>
        <v/>
      </c>
      <c r="R1413" s="244"/>
      <c r="S1413" s="59" t="str">
        <f>IF(Dati[[#This Row],[Categoria]]="Savings",0,"")</f>
        <v/>
      </c>
      <c r="T1413" s="59"/>
      <c r="U1413" s="59"/>
      <c r="V1413" s="59"/>
      <c r="W1413" s="59"/>
      <c r="X1413" s="59"/>
      <c r="Y1413" s="59"/>
      <c r="Z1413" s="59"/>
      <c r="AA1413" s="59"/>
      <c r="AB1413" s="59"/>
      <c r="AC1413" s="59"/>
      <c r="AD1413" s="59"/>
      <c r="AE1413" s="59"/>
      <c r="AF1413" s="59"/>
      <c r="AG1413" s="59"/>
      <c r="AH1413" s="59"/>
      <c r="AI1413" s="59" t="str">
        <f>IF(SUM(Dati[[#This Row],[Inv. Business]:[Inv. Cryptocurrency]])=0," ",SUM(Dati[[#This Row],[Inv. Business]:[Inv. Cryptocurrency]]))</f>
        <v xml:space="preserve"> </v>
      </c>
      <c r="AJ1413" s="59"/>
      <c r="AK1413" s="59" t="str">
        <f>IF(SUM(Dati[[#This Row],[Inv. Gold]:[Mutuo]])=0," ",SUM(Dati[[#This Row],[Inv. Gold]:[Mutuo]]))</f>
        <v xml:space="preserve"> </v>
      </c>
      <c r="AL1413" s="59"/>
      <c r="AM1413" s="59"/>
    </row>
    <row r="1414" spans="2:39" x14ac:dyDescent="0.35">
      <c r="B1414" s="237">
        <f t="shared" si="107"/>
        <v>1394</v>
      </c>
      <c r="C1414" s="49">
        <f t="shared" si="106"/>
        <v>45972</v>
      </c>
      <c r="D1414" s="29">
        <f>DAY(Dati[[#This Row],[Data]])</f>
        <v>11</v>
      </c>
      <c r="E1414" s="29" t="str">
        <f>IF(DAY(Data!$C$21:$C$1613)&gt;0,TEXT(Data!$C$21:$C$1613, "mmmm"),"")</f>
        <v>novembre</v>
      </c>
      <c r="F1414" s="29" t="str">
        <f>IF(DAY(Data!$C$21:$C$1613)&gt;0,TEXT(Data!$C$21:$C$1613, "aaaa"),"")</f>
        <v>2025</v>
      </c>
      <c r="I1414" t="str">
        <f>IF(OR(H1414=$B$5,H1414=$B$6,H1414=$B$7,H1414=$B$8,H1414=$B$9,H1414=$B$10,H1414=$B$11,H1414=$B$12,H1414=$B$13,H1414=$B$14),SottocategorieUscite[[#Headers],[Fuori Casa]],IF(OR(H1414=$C$5,H1414=$C$6,H1414=$C$7,H1414=$C$8,H1414=$C$9,H1414=$C$10,H1414=$C$11,H1414=$C$12,H1414=$C$13,H1414=$C$14),SottocategorieUscite[[#Headers],[Varie Uscite]],IF(OR(H1414=$D$5,H1414=$D$6,H1414=$D$7,H1414=$D$8,H1414=$D$9,H1414=$D$10,H1414=$D$11,H1414=$D$12,H1414=$D$13,H1414=$D$14),SottocategorieUscite[[#Headers],[Personali]],IF(OR(H1414=$E$5,H1414=$E$6,H1414=$E$7,H1414=$E$8,H1414=$E$9,H1414=$E$10,H1414=$E$11,H1414=$E$12,H1414=$E$13,H1414=$E$14),SottocategorieUscite[[#Headers],[Lavoro]],IF(OR(H1414=$F$5,H1414=$F$6,H1414=$F$7,H1414=$F$8,H1414=$F$9,H1414=$F$10,H1414=$F$11,H1414=$F$12,H1414=$F$13,H1414=$F$14),SottocategorieUscite[[#Headers],[Casa]],IF(OR(H1414=$G$5,H1414=$G$6,H1414=$G$7,H1414=$G$8,H1414=$G$9,H1414=$G$10,H1414=$G$11,H1414=$G$12,H1414=$G$13,H1414=$G$14),SottocategorieUscite[[#Headers],[Utenze]],IF(OR(H1414=$H$5,H1414=$H$6,H1414=$H$7,H1414=$H$8,H1414=$H$9,H1414=$H$10,H1414=$H$11,H1414=$H$12,H1414=$H$13,H1414=$H$14),SottocategorieUscite[[#Headers],[Business Uscite]],IF(OR(H1414=$I$5,H1414=$I$6,H1414=$I$7,H1414=$I$8,H1414=$I$9,H1414=$I$10,H1414=$I$11,H1414=$I$12,H1414=$I$13,H1414=$I$14),SottocategorieUscite[[#Headers],[Banca]],IF(OR(H1414=K$5,H1414=K$6,H1414=K$7,H1414=K$8,H1414=K$9,H1414=K$10,H1414=K$11,H1414=K$12,H1414=K$13,H1414=K$14),SottocategorieEntrate[[#Headers],[Business Entrate]],IF(OR(H1414=L$5,H1414=L$6,H1414=L$7,H1414=L$8,H1414=L$9,H1414=L$10,H1414=L$11,H1414=L$12,H1414=L$13,H1414=L$14),SottocategorieEntrate[[#Headers],[Varie Entrate]],IF(OR(H1414=M$5,H1414=M$6,H1414=M$7,H1414=M$8,H1414=M$9,H1414=M$10,H1414=M$11,H1414=M$12,H1414=M$13,H1414=M$14),SottocategorieEntrate[[#Headers],[Real Estate]],IF(OR(H1414=N$5,H1414=N$6,H1414=N$7,H1414=N$8,H1414=N$9,H1414=N$10,H1414=N$11,H1414=N$12,H1414=N$13,H1414=N$14),SottocategorieEntrate[[#Headers],[Other]],""))))))))))))</f>
        <v/>
      </c>
      <c r="J1414" t="str">
        <f>IF(OR(Dati[[#This Row],[Categoria]]="Bollette",Dati[[#This Row],[Categoria]]="Conto &amp; Carte BNL",Dati[[#This Row],[Categoria]]="Prelievo",Dati[[#This Row],[Categoria]]="Affitto",Dati[[#This Row],[Categoria]]="BNL(Interessi Creditori)"),"Carta",IF(Dati[[#This Row],[Categoria]]&lt;&gt;0,"Cash",""))</f>
        <v/>
      </c>
      <c r="K1414" s="59" t="str">
        <f>IF(OR(Data!$I1414=SottocategorieUscite[[#Headers],[Fuori Casa]],Data!$I1414=SottocategorieUscite[[#Headers],[Varie Uscite]],Data!$I1414=SottocategorieUscite[[#Headers],[Personali]],Data!$I1414=SottocategorieUscite[[#Headers],[Lavoro]]),"$ -","")</f>
        <v/>
      </c>
      <c r="L1414" s="59" t="str">
        <f>IF(OR(Data!$I1414=SottocategorieUscite[[#Headers],[Casa]],Data!$I1414=SottocategorieUscite[[#Headers],[Utenze]],Data!$I1414=SottocategorieUscite[[#Headers],[Business Uscite]],Data!$I1414=SottocategorieUscite[[#Headers],[Banca]]),"$ -","")</f>
        <v/>
      </c>
      <c r="M1414" s="59" t="str">
        <f>IF(OR($I1414&lt;&gt;SottocategorieUscite[[#Headers],[Fuori Casa]],$I1414&lt;&gt;SottocategorieUscite[[#Headers],[Varie Uscite]],$I1414&lt;&gt;SottocategorieUscite[[#Headers],[Personali]],$I1414&lt;&gt;SottocategorieUscite[[#Headers],[Lavoro]],$I1414&lt;&gt;SottocategorieUscite[[#Headers],[Casa]],$I1414&lt;&gt;SottocategorieUscite[[#Headers],[Utenze]],$I1414&lt;&gt;SottocategorieUscite[[#Headers],[Business Uscite]],$I1414&lt;&gt;SottocategorieUscite[[#Headers],[Banca]]),"","$ -")</f>
        <v/>
      </c>
      <c r="N1414" s="59" t="str">
        <f>IF(OR(Data!$I1414=SottocategorieEntrate[[#Headers],[Business Entrate]],Data!$I1414=SottocategorieEntrate[[#Headers],[Varie Entrate]]),"$ -","")</f>
        <v/>
      </c>
      <c r="O1414" s="59" t="str">
        <f>IF(OR(Data!$I1414=SottocategorieEntrate[[#Headers],[Real Estate]],SottocategorieEntrate[[#Headers],[Other]]),"$ -","")</f>
        <v/>
      </c>
      <c r="P1414" s="59" t="str">
        <f>IF(OR($I1414&lt;&gt;SottocategorieEntrate[[#Headers],[Business Entrate]],$I1414&lt;&gt;SottocategorieEntrate[[#Headers],[Varie Entrate]],$I1414&lt;&gt;SottocategorieEntrate[[#Headers],[Real Estate]],$I1414&lt;&gt;SottocategorieEntrate[[#Headers],[Other]]),"","$ -")</f>
        <v/>
      </c>
      <c r="Q1414" s="59" t="str">
        <f>IF(Dati[[#This Row],[Categoria]]="Prelievo","€ -","")</f>
        <v/>
      </c>
      <c r="R1414" s="244"/>
      <c r="S1414" s="59" t="str">
        <f>IF(Dati[[#This Row],[Categoria]]="Savings",0,"")</f>
        <v/>
      </c>
      <c r="T1414" s="59"/>
      <c r="U1414" s="59"/>
      <c r="V1414" s="59"/>
      <c r="W1414" s="59"/>
      <c r="X1414" s="59"/>
      <c r="Y1414" s="59"/>
      <c r="Z1414" s="59"/>
      <c r="AA1414" s="59"/>
      <c r="AB1414" s="59"/>
      <c r="AC1414" s="59"/>
      <c r="AD1414" s="59"/>
      <c r="AE1414" s="59"/>
      <c r="AF1414" s="59"/>
      <c r="AG1414" s="59"/>
      <c r="AH1414" s="59"/>
      <c r="AI1414" s="59" t="str">
        <f>IF(SUM(Dati[[#This Row],[Inv. Business]:[Inv. Cryptocurrency]])=0," ",SUM(Dati[[#This Row],[Inv. Business]:[Inv. Cryptocurrency]]))</f>
        <v xml:space="preserve"> </v>
      </c>
      <c r="AJ1414" s="59"/>
      <c r="AK1414" s="59" t="str">
        <f>IF(SUM(Dati[[#This Row],[Inv. Gold]:[Mutuo]])=0," ",SUM(Dati[[#This Row],[Inv. Gold]:[Mutuo]]))</f>
        <v xml:space="preserve"> </v>
      </c>
      <c r="AL1414" s="59"/>
      <c r="AM1414" s="59"/>
    </row>
    <row r="1415" spans="2:39" x14ac:dyDescent="0.35">
      <c r="B1415" s="237">
        <f t="shared" si="107"/>
        <v>1395</v>
      </c>
      <c r="C1415" s="49">
        <f t="shared" si="106"/>
        <v>45973</v>
      </c>
      <c r="D1415" s="29">
        <f>DAY(Dati[[#This Row],[Data]])</f>
        <v>12</v>
      </c>
      <c r="E1415" s="29" t="str">
        <f>IF(DAY(Data!$C$21:$C$1613)&gt;0,TEXT(Data!$C$21:$C$1613, "mmmm"),"")</f>
        <v>novembre</v>
      </c>
      <c r="F1415" s="29" t="str">
        <f>IF(DAY(Data!$C$21:$C$1613)&gt;0,TEXT(Data!$C$21:$C$1613, "aaaa"),"")</f>
        <v>2025</v>
      </c>
      <c r="I1415" t="str">
        <f>IF(OR(H1415=$B$5,H1415=$B$6,H1415=$B$7,H1415=$B$8,H1415=$B$9,H1415=$B$10,H1415=$B$11,H1415=$B$12,H1415=$B$13,H1415=$B$14),SottocategorieUscite[[#Headers],[Fuori Casa]],IF(OR(H1415=$C$5,H1415=$C$6,H1415=$C$7,H1415=$C$8,H1415=$C$9,H1415=$C$10,H1415=$C$11,H1415=$C$12,H1415=$C$13,H1415=$C$14),SottocategorieUscite[[#Headers],[Varie Uscite]],IF(OR(H1415=$D$5,H1415=$D$6,H1415=$D$7,H1415=$D$8,H1415=$D$9,H1415=$D$10,H1415=$D$11,H1415=$D$12,H1415=$D$13,H1415=$D$14),SottocategorieUscite[[#Headers],[Personali]],IF(OR(H1415=$E$5,H1415=$E$6,H1415=$E$7,H1415=$E$8,H1415=$E$9,H1415=$E$10,H1415=$E$11,H1415=$E$12,H1415=$E$13,H1415=$E$14),SottocategorieUscite[[#Headers],[Lavoro]],IF(OR(H1415=$F$5,H1415=$F$6,H1415=$F$7,H1415=$F$8,H1415=$F$9,H1415=$F$10,H1415=$F$11,H1415=$F$12,H1415=$F$13,H1415=$F$14),SottocategorieUscite[[#Headers],[Casa]],IF(OR(H1415=$G$5,H1415=$G$6,H1415=$G$7,H1415=$G$8,H1415=$G$9,H1415=$G$10,H1415=$G$11,H1415=$G$12,H1415=$G$13,H1415=$G$14),SottocategorieUscite[[#Headers],[Utenze]],IF(OR(H1415=$H$5,H1415=$H$6,H1415=$H$7,H1415=$H$8,H1415=$H$9,H1415=$H$10,H1415=$H$11,H1415=$H$12,H1415=$H$13,H1415=$H$14),SottocategorieUscite[[#Headers],[Business Uscite]],IF(OR(H1415=$I$5,H1415=$I$6,H1415=$I$7,H1415=$I$8,H1415=$I$9,H1415=$I$10,H1415=$I$11,H1415=$I$12,H1415=$I$13,H1415=$I$14),SottocategorieUscite[[#Headers],[Banca]],IF(OR(H1415=K$5,H1415=K$6,H1415=K$7,H1415=K$8,H1415=K$9,H1415=K$10,H1415=K$11,H1415=K$12,H1415=K$13,H1415=K$14),SottocategorieEntrate[[#Headers],[Business Entrate]],IF(OR(H1415=L$5,H1415=L$6,H1415=L$7,H1415=L$8,H1415=L$9,H1415=L$10,H1415=L$11,H1415=L$12,H1415=L$13,H1415=L$14),SottocategorieEntrate[[#Headers],[Varie Entrate]],IF(OR(H1415=M$5,H1415=M$6,H1415=M$7,H1415=M$8,H1415=M$9,H1415=M$10,H1415=M$11,H1415=M$12,H1415=M$13,H1415=M$14),SottocategorieEntrate[[#Headers],[Real Estate]],IF(OR(H1415=N$5,H1415=N$6,H1415=N$7,H1415=N$8,H1415=N$9,H1415=N$10,H1415=N$11,H1415=N$12,H1415=N$13,H1415=N$14),SottocategorieEntrate[[#Headers],[Other]],""))))))))))))</f>
        <v/>
      </c>
      <c r="J1415" t="str">
        <f>IF(OR(Dati[[#This Row],[Categoria]]="Bollette",Dati[[#This Row],[Categoria]]="Conto &amp; Carte BNL",Dati[[#This Row],[Categoria]]="Prelievo",Dati[[#This Row],[Categoria]]="Affitto",Dati[[#This Row],[Categoria]]="BNL(Interessi Creditori)"),"Carta",IF(Dati[[#This Row],[Categoria]]&lt;&gt;0,"Cash",""))</f>
        <v/>
      </c>
      <c r="K1415" s="59" t="str">
        <f>IF(OR(Data!$I1415=SottocategorieUscite[[#Headers],[Fuori Casa]],Data!$I1415=SottocategorieUscite[[#Headers],[Varie Uscite]],Data!$I1415=SottocategorieUscite[[#Headers],[Personali]],Data!$I1415=SottocategorieUscite[[#Headers],[Lavoro]]),"$ -","")</f>
        <v/>
      </c>
      <c r="L1415" s="59" t="str">
        <f>IF(OR(Data!$I1415=SottocategorieUscite[[#Headers],[Casa]],Data!$I1415=SottocategorieUscite[[#Headers],[Utenze]],Data!$I1415=SottocategorieUscite[[#Headers],[Business Uscite]],Data!$I1415=SottocategorieUscite[[#Headers],[Banca]]),"$ -","")</f>
        <v/>
      </c>
      <c r="M1415" s="59" t="str">
        <f>IF(OR($I1415&lt;&gt;SottocategorieUscite[[#Headers],[Fuori Casa]],$I1415&lt;&gt;SottocategorieUscite[[#Headers],[Varie Uscite]],$I1415&lt;&gt;SottocategorieUscite[[#Headers],[Personali]],$I1415&lt;&gt;SottocategorieUscite[[#Headers],[Lavoro]],$I1415&lt;&gt;SottocategorieUscite[[#Headers],[Casa]],$I1415&lt;&gt;SottocategorieUscite[[#Headers],[Utenze]],$I1415&lt;&gt;SottocategorieUscite[[#Headers],[Business Uscite]],$I1415&lt;&gt;SottocategorieUscite[[#Headers],[Banca]]),"","$ -")</f>
        <v/>
      </c>
      <c r="N1415" s="59" t="str">
        <f>IF(OR(Data!$I1415=SottocategorieEntrate[[#Headers],[Business Entrate]],Data!$I1415=SottocategorieEntrate[[#Headers],[Varie Entrate]]),"$ -","")</f>
        <v/>
      </c>
      <c r="O1415" s="59" t="str">
        <f>IF(OR(Data!$I1415=SottocategorieEntrate[[#Headers],[Real Estate]],SottocategorieEntrate[[#Headers],[Other]]),"$ -","")</f>
        <v/>
      </c>
      <c r="P1415" s="59" t="str">
        <f>IF(OR($I1415&lt;&gt;SottocategorieEntrate[[#Headers],[Business Entrate]],$I1415&lt;&gt;SottocategorieEntrate[[#Headers],[Varie Entrate]],$I1415&lt;&gt;SottocategorieEntrate[[#Headers],[Real Estate]],$I1415&lt;&gt;SottocategorieEntrate[[#Headers],[Other]]),"","$ -")</f>
        <v/>
      </c>
      <c r="Q1415" s="59" t="str">
        <f>IF(Dati[[#This Row],[Categoria]]="Prelievo","€ -","")</f>
        <v/>
      </c>
      <c r="R1415" s="244"/>
      <c r="S1415" s="59" t="str">
        <f>IF(Dati[[#This Row],[Categoria]]="Savings",0,"")</f>
        <v/>
      </c>
      <c r="T1415" s="59"/>
      <c r="U1415" s="59"/>
      <c r="V1415" s="59"/>
      <c r="W1415" s="59"/>
      <c r="X1415" s="59"/>
      <c r="Y1415" s="59"/>
      <c r="Z1415" s="59"/>
      <c r="AA1415" s="59"/>
      <c r="AB1415" s="59"/>
      <c r="AC1415" s="59"/>
      <c r="AD1415" s="59"/>
      <c r="AE1415" s="59"/>
      <c r="AF1415" s="59"/>
      <c r="AG1415" s="59"/>
      <c r="AH1415" s="59"/>
      <c r="AI1415" s="59" t="str">
        <f>IF(SUM(Dati[[#This Row],[Inv. Business]:[Inv. Cryptocurrency]])=0," ",SUM(Dati[[#This Row],[Inv. Business]:[Inv. Cryptocurrency]]))</f>
        <v xml:space="preserve"> </v>
      </c>
      <c r="AJ1415" s="59"/>
      <c r="AK1415" s="59" t="str">
        <f>IF(SUM(Dati[[#This Row],[Inv. Gold]:[Mutuo]])=0," ",SUM(Dati[[#This Row],[Inv. Gold]:[Mutuo]]))</f>
        <v xml:space="preserve"> </v>
      </c>
      <c r="AL1415" s="59"/>
      <c r="AM1415" s="59"/>
    </row>
    <row r="1416" spans="2:39" x14ac:dyDescent="0.35">
      <c r="B1416" s="237">
        <f t="shared" si="107"/>
        <v>1396</v>
      </c>
      <c r="C1416" s="49">
        <f t="shared" si="106"/>
        <v>45974</v>
      </c>
      <c r="D1416" s="29">
        <f>DAY(Dati[[#This Row],[Data]])</f>
        <v>13</v>
      </c>
      <c r="E1416" s="29" t="str">
        <f>IF(DAY(Data!$C$21:$C$1613)&gt;0,TEXT(Data!$C$21:$C$1613, "mmmm"),"")</f>
        <v>novembre</v>
      </c>
      <c r="F1416" s="29" t="str">
        <f>IF(DAY(Data!$C$21:$C$1613)&gt;0,TEXT(Data!$C$21:$C$1613, "aaaa"),"")</f>
        <v>2025</v>
      </c>
      <c r="I1416" t="str">
        <f>IF(OR(H1416=$B$5,H1416=$B$6,H1416=$B$7,H1416=$B$8,H1416=$B$9,H1416=$B$10,H1416=$B$11,H1416=$B$12,H1416=$B$13,H1416=$B$14),SottocategorieUscite[[#Headers],[Fuori Casa]],IF(OR(H1416=$C$5,H1416=$C$6,H1416=$C$7,H1416=$C$8,H1416=$C$9,H1416=$C$10,H1416=$C$11,H1416=$C$12,H1416=$C$13,H1416=$C$14),SottocategorieUscite[[#Headers],[Varie Uscite]],IF(OR(H1416=$D$5,H1416=$D$6,H1416=$D$7,H1416=$D$8,H1416=$D$9,H1416=$D$10,H1416=$D$11,H1416=$D$12,H1416=$D$13,H1416=$D$14),SottocategorieUscite[[#Headers],[Personali]],IF(OR(H1416=$E$5,H1416=$E$6,H1416=$E$7,H1416=$E$8,H1416=$E$9,H1416=$E$10,H1416=$E$11,H1416=$E$12,H1416=$E$13,H1416=$E$14),SottocategorieUscite[[#Headers],[Lavoro]],IF(OR(H1416=$F$5,H1416=$F$6,H1416=$F$7,H1416=$F$8,H1416=$F$9,H1416=$F$10,H1416=$F$11,H1416=$F$12,H1416=$F$13,H1416=$F$14),SottocategorieUscite[[#Headers],[Casa]],IF(OR(H1416=$G$5,H1416=$G$6,H1416=$G$7,H1416=$G$8,H1416=$G$9,H1416=$G$10,H1416=$G$11,H1416=$G$12,H1416=$G$13,H1416=$G$14),SottocategorieUscite[[#Headers],[Utenze]],IF(OR(H1416=$H$5,H1416=$H$6,H1416=$H$7,H1416=$H$8,H1416=$H$9,H1416=$H$10,H1416=$H$11,H1416=$H$12,H1416=$H$13,H1416=$H$14),SottocategorieUscite[[#Headers],[Business Uscite]],IF(OR(H1416=$I$5,H1416=$I$6,H1416=$I$7,H1416=$I$8,H1416=$I$9,H1416=$I$10,H1416=$I$11,H1416=$I$12,H1416=$I$13,H1416=$I$14),SottocategorieUscite[[#Headers],[Banca]],IF(OR(H1416=K$5,H1416=K$6,H1416=K$7,H1416=K$8,H1416=K$9,H1416=K$10,H1416=K$11,H1416=K$12,H1416=K$13,H1416=K$14),SottocategorieEntrate[[#Headers],[Business Entrate]],IF(OR(H1416=L$5,H1416=L$6,H1416=L$7,H1416=L$8,H1416=L$9,H1416=L$10,H1416=L$11,H1416=L$12,H1416=L$13,H1416=L$14),SottocategorieEntrate[[#Headers],[Varie Entrate]],IF(OR(H1416=M$5,H1416=M$6,H1416=M$7,H1416=M$8,H1416=M$9,H1416=M$10,H1416=M$11,H1416=M$12,H1416=M$13,H1416=M$14),SottocategorieEntrate[[#Headers],[Real Estate]],IF(OR(H1416=N$5,H1416=N$6,H1416=N$7,H1416=N$8,H1416=N$9,H1416=N$10,H1416=N$11,H1416=N$12,H1416=N$13,H1416=N$14),SottocategorieEntrate[[#Headers],[Other]],""))))))))))))</f>
        <v/>
      </c>
      <c r="J1416" t="str">
        <f>IF(OR(Dati[[#This Row],[Categoria]]="Bollette",Dati[[#This Row],[Categoria]]="Conto &amp; Carte BNL",Dati[[#This Row],[Categoria]]="Prelievo",Dati[[#This Row],[Categoria]]="Affitto",Dati[[#This Row],[Categoria]]="BNL(Interessi Creditori)"),"Carta",IF(Dati[[#This Row],[Categoria]]&lt;&gt;0,"Cash",""))</f>
        <v/>
      </c>
      <c r="K1416" s="59" t="str">
        <f>IF(OR(Data!$I1416=SottocategorieUscite[[#Headers],[Fuori Casa]],Data!$I1416=SottocategorieUscite[[#Headers],[Varie Uscite]],Data!$I1416=SottocategorieUscite[[#Headers],[Personali]],Data!$I1416=SottocategorieUscite[[#Headers],[Lavoro]]),"$ -","")</f>
        <v/>
      </c>
      <c r="L1416" s="59" t="str">
        <f>IF(OR(Data!$I1416=SottocategorieUscite[[#Headers],[Casa]],Data!$I1416=SottocategorieUscite[[#Headers],[Utenze]],Data!$I1416=SottocategorieUscite[[#Headers],[Business Uscite]],Data!$I1416=SottocategorieUscite[[#Headers],[Banca]]),"$ -","")</f>
        <v/>
      </c>
      <c r="M1416" s="59" t="str">
        <f>IF(OR($I1416&lt;&gt;SottocategorieUscite[[#Headers],[Fuori Casa]],$I1416&lt;&gt;SottocategorieUscite[[#Headers],[Varie Uscite]],$I1416&lt;&gt;SottocategorieUscite[[#Headers],[Personali]],$I1416&lt;&gt;SottocategorieUscite[[#Headers],[Lavoro]],$I1416&lt;&gt;SottocategorieUscite[[#Headers],[Casa]],$I1416&lt;&gt;SottocategorieUscite[[#Headers],[Utenze]],$I1416&lt;&gt;SottocategorieUscite[[#Headers],[Business Uscite]],$I1416&lt;&gt;SottocategorieUscite[[#Headers],[Banca]]),"","$ -")</f>
        <v/>
      </c>
      <c r="N1416" s="59" t="str">
        <f>IF(OR(Data!$I1416=SottocategorieEntrate[[#Headers],[Business Entrate]],Data!$I1416=SottocategorieEntrate[[#Headers],[Varie Entrate]]),"$ -","")</f>
        <v/>
      </c>
      <c r="O1416" s="59" t="str">
        <f>IF(OR(Data!$I1416=SottocategorieEntrate[[#Headers],[Real Estate]],SottocategorieEntrate[[#Headers],[Other]]),"$ -","")</f>
        <v/>
      </c>
      <c r="P1416" s="59" t="str">
        <f>IF(OR($I1416&lt;&gt;SottocategorieEntrate[[#Headers],[Business Entrate]],$I1416&lt;&gt;SottocategorieEntrate[[#Headers],[Varie Entrate]],$I1416&lt;&gt;SottocategorieEntrate[[#Headers],[Real Estate]],$I1416&lt;&gt;SottocategorieEntrate[[#Headers],[Other]]),"","$ -")</f>
        <v/>
      </c>
      <c r="Q1416" s="59" t="str">
        <f>IF(Dati[[#This Row],[Categoria]]="Prelievo","€ -","")</f>
        <v/>
      </c>
      <c r="R1416" s="244"/>
      <c r="S1416" s="59" t="str">
        <f>IF(Dati[[#This Row],[Categoria]]="Savings",0,"")</f>
        <v/>
      </c>
      <c r="T1416" s="59"/>
      <c r="U1416" s="59"/>
      <c r="V1416" s="59"/>
      <c r="W1416" s="59"/>
      <c r="X1416" s="59"/>
      <c r="Y1416" s="59"/>
      <c r="Z1416" s="59"/>
      <c r="AA1416" s="59"/>
      <c r="AB1416" s="59"/>
      <c r="AC1416" s="59"/>
      <c r="AD1416" s="59"/>
      <c r="AE1416" s="59"/>
      <c r="AF1416" s="59"/>
      <c r="AG1416" s="59"/>
      <c r="AH1416" s="59"/>
      <c r="AI1416" s="59" t="str">
        <f>IF(SUM(Dati[[#This Row],[Inv. Business]:[Inv. Cryptocurrency]])=0," ",SUM(Dati[[#This Row],[Inv. Business]:[Inv. Cryptocurrency]]))</f>
        <v xml:space="preserve"> </v>
      </c>
      <c r="AJ1416" s="59"/>
      <c r="AK1416" s="59" t="str">
        <f>IF(SUM(Dati[[#This Row],[Inv. Gold]:[Mutuo]])=0," ",SUM(Dati[[#This Row],[Inv. Gold]:[Mutuo]]))</f>
        <v xml:space="preserve"> </v>
      </c>
      <c r="AL1416" s="59"/>
      <c r="AM1416" s="59"/>
    </row>
    <row r="1417" spans="2:39" x14ac:dyDescent="0.35">
      <c r="B1417" s="237">
        <f t="shared" si="107"/>
        <v>1397</v>
      </c>
      <c r="C1417" s="49">
        <f t="shared" si="106"/>
        <v>45975</v>
      </c>
      <c r="D1417" s="29">
        <f>DAY(Dati[[#This Row],[Data]])</f>
        <v>14</v>
      </c>
      <c r="E1417" s="29" t="str">
        <f>IF(DAY(Data!$C$21:$C$1613)&gt;0,TEXT(Data!$C$21:$C$1613, "mmmm"),"")</f>
        <v>novembre</v>
      </c>
      <c r="F1417" s="29" t="str">
        <f>IF(DAY(Data!$C$21:$C$1613)&gt;0,TEXT(Data!$C$21:$C$1613, "aaaa"),"")</f>
        <v>2025</v>
      </c>
      <c r="I1417" t="str">
        <f>IF(OR(H1417=$B$5,H1417=$B$6,H1417=$B$7,H1417=$B$8,H1417=$B$9,H1417=$B$10,H1417=$B$11,H1417=$B$12,H1417=$B$13,H1417=$B$14),SottocategorieUscite[[#Headers],[Fuori Casa]],IF(OR(H1417=$C$5,H1417=$C$6,H1417=$C$7,H1417=$C$8,H1417=$C$9,H1417=$C$10,H1417=$C$11,H1417=$C$12,H1417=$C$13,H1417=$C$14),SottocategorieUscite[[#Headers],[Varie Uscite]],IF(OR(H1417=$D$5,H1417=$D$6,H1417=$D$7,H1417=$D$8,H1417=$D$9,H1417=$D$10,H1417=$D$11,H1417=$D$12,H1417=$D$13,H1417=$D$14),SottocategorieUscite[[#Headers],[Personali]],IF(OR(H1417=$E$5,H1417=$E$6,H1417=$E$7,H1417=$E$8,H1417=$E$9,H1417=$E$10,H1417=$E$11,H1417=$E$12,H1417=$E$13,H1417=$E$14),SottocategorieUscite[[#Headers],[Lavoro]],IF(OR(H1417=$F$5,H1417=$F$6,H1417=$F$7,H1417=$F$8,H1417=$F$9,H1417=$F$10,H1417=$F$11,H1417=$F$12,H1417=$F$13,H1417=$F$14),SottocategorieUscite[[#Headers],[Casa]],IF(OR(H1417=$G$5,H1417=$G$6,H1417=$G$7,H1417=$G$8,H1417=$G$9,H1417=$G$10,H1417=$G$11,H1417=$G$12,H1417=$G$13,H1417=$G$14),SottocategorieUscite[[#Headers],[Utenze]],IF(OR(H1417=$H$5,H1417=$H$6,H1417=$H$7,H1417=$H$8,H1417=$H$9,H1417=$H$10,H1417=$H$11,H1417=$H$12,H1417=$H$13,H1417=$H$14),SottocategorieUscite[[#Headers],[Business Uscite]],IF(OR(H1417=$I$5,H1417=$I$6,H1417=$I$7,H1417=$I$8,H1417=$I$9,H1417=$I$10,H1417=$I$11,H1417=$I$12,H1417=$I$13,H1417=$I$14),SottocategorieUscite[[#Headers],[Banca]],IF(OR(H1417=K$5,H1417=K$6,H1417=K$7,H1417=K$8,H1417=K$9,H1417=K$10,H1417=K$11,H1417=K$12,H1417=K$13,H1417=K$14),SottocategorieEntrate[[#Headers],[Business Entrate]],IF(OR(H1417=L$5,H1417=L$6,H1417=L$7,H1417=L$8,H1417=L$9,H1417=L$10,H1417=L$11,H1417=L$12,H1417=L$13,H1417=L$14),SottocategorieEntrate[[#Headers],[Varie Entrate]],IF(OR(H1417=M$5,H1417=M$6,H1417=M$7,H1417=M$8,H1417=M$9,H1417=M$10,H1417=M$11,H1417=M$12,H1417=M$13,H1417=M$14),SottocategorieEntrate[[#Headers],[Real Estate]],IF(OR(H1417=N$5,H1417=N$6,H1417=N$7,H1417=N$8,H1417=N$9,H1417=N$10,H1417=N$11,H1417=N$12,H1417=N$13,H1417=N$14),SottocategorieEntrate[[#Headers],[Other]],""))))))))))))</f>
        <v/>
      </c>
      <c r="J1417" t="str">
        <f>IF(OR(Dati[[#This Row],[Categoria]]="Bollette",Dati[[#This Row],[Categoria]]="Conto &amp; Carte BNL",Dati[[#This Row],[Categoria]]="Prelievo",Dati[[#This Row],[Categoria]]="Affitto",Dati[[#This Row],[Categoria]]="BNL(Interessi Creditori)"),"Carta",IF(Dati[[#This Row],[Categoria]]&lt;&gt;0,"Cash",""))</f>
        <v/>
      </c>
      <c r="K1417" s="59" t="str">
        <f>IF(OR(Data!$I1417=SottocategorieUscite[[#Headers],[Fuori Casa]],Data!$I1417=SottocategorieUscite[[#Headers],[Varie Uscite]],Data!$I1417=SottocategorieUscite[[#Headers],[Personali]],Data!$I1417=SottocategorieUscite[[#Headers],[Lavoro]]),"$ -","")</f>
        <v/>
      </c>
      <c r="L1417" s="59" t="str">
        <f>IF(OR(Data!$I1417=SottocategorieUscite[[#Headers],[Casa]],Data!$I1417=SottocategorieUscite[[#Headers],[Utenze]],Data!$I1417=SottocategorieUscite[[#Headers],[Business Uscite]],Data!$I1417=SottocategorieUscite[[#Headers],[Banca]]),"$ -","")</f>
        <v/>
      </c>
      <c r="M1417" s="59" t="str">
        <f>IF(OR($I1417&lt;&gt;SottocategorieUscite[[#Headers],[Fuori Casa]],$I1417&lt;&gt;SottocategorieUscite[[#Headers],[Varie Uscite]],$I1417&lt;&gt;SottocategorieUscite[[#Headers],[Personali]],$I1417&lt;&gt;SottocategorieUscite[[#Headers],[Lavoro]],$I1417&lt;&gt;SottocategorieUscite[[#Headers],[Casa]],$I1417&lt;&gt;SottocategorieUscite[[#Headers],[Utenze]],$I1417&lt;&gt;SottocategorieUscite[[#Headers],[Business Uscite]],$I1417&lt;&gt;SottocategorieUscite[[#Headers],[Banca]]),"","$ -")</f>
        <v/>
      </c>
      <c r="N1417" s="59" t="str">
        <f>IF(OR(Data!$I1417=SottocategorieEntrate[[#Headers],[Business Entrate]],Data!$I1417=SottocategorieEntrate[[#Headers],[Varie Entrate]]),"$ -","")</f>
        <v/>
      </c>
      <c r="O1417" s="59" t="str">
        <f>IF(OR(Data!$I1417=SottocategorieEntrate[[#Headers],[Real Estate]],SottocategorieEntrate[[#Headers],[Other]]),"$ -","")</f>
        <v/>
      </c>
      <c r="P1417" s="59" t="str">
        <f>IF(OR($I1417&lt;&gt;SottocategorieEntrate[[#Headers],[Business Entrate]],$I1417&lt;&gt;SottocategorieEntrate[[#Headers],[Varie Entrate]],$I1417&lt;&gt;SottocategorieEntrate[[#Headers],[Real Estate]],$I1417&lt;&gt;SottocategorieEntrate[[#Headers],[Other]]),"","$ -")</f>
        <v/>
      </c>
      <c r="Q1417" s="59" t="str">
        <f>IF(Dati[[#This Row],[Categoria]]="Prelievo","€ -","")</f>
        <v/>
      </c>
      <c r="R1417" s="244"/>
      <c r="S1417" s="59" t="str">
        <f>IF(Dati[[#This Row],[Categoria]]="Savings",0,"")</f>
        <v/>
      </c>
      <c r="T1417" s="59"/>
      <c r="U1417" s="59"/>
      <c r="V1417" s="59"/>
      <c r="W1417" s="59"/>
      <c r="X1417" s="59"/>
      <c r="Y1417" s="59"/>
      <c r="Z1417" s="59"/>
      <c r="AA1417" s="59"/>
      <c r="AB1417" s="59"/>
      <c r="AC1417" s="59"/>
      <c r="AD1417" s="59"/>
      <c r="AE1417" s="59"/>
      <c r="AF1417" s="59"/>
      <c r="AG1417" s="59"/>
      <c r="AH1417" s="59"/>
      <c r="AI1417" s="59" t="str">
        <f>IF(SUM(Dati[[#This Row],[Inv. Business]:[Inv. Cryptocurrency]])=0," ",SUM(Dati[[#This Row],[Inv. Business]:[Inv. Cryptocurrency]]))</f>
        <v xml:space="preserve"> </v>
      </c>
      <c r="AJ1417" s="59"/>
      <c r="AK1417" s="59" t="str">
        <f>IF(SUM(Dati[[#This Row],[Inv. Gold]:[Mutuo]])=0," ",SUM(Dati[[#This Row],[Inv. Gold]:[Mutuo]]))</f>
        <v xml:space="preserve"> </v>
      </c>
      <c r="AL1417" s="59"/>
      <c r="AM1417" s="59"/>
    </row>
    <row r="1418" spans="2:39" x14ac:dyDescent="0.35">
      <c r="B1418" s="237">
        <f t="shared" si="107"/>
        <v>1398</v>
      </c>
      <c r="C1418" s="49">
        <f t="shared" si="106"/>
        <v>45976</v>
      </c>
      <c r="D1418" s="29">
        <f>DAY(Dati[[#This Row],[Data]])</f>
        <v>15</v>
      </c>
      <c r="E1418" s="29" t="str">
        <f>IF(DAY(Data!$C$21:$C$1613)&gt;0,TEXT(Data!$C$21:$C$1613, "mmmm"),"")</f>
        <v>novembre</v>
      </c>
      <c r="F1418" s="29" t="str">
        <f>IF(DAY(Data!$C$21:$C$1613)&gt;0,TEXT(Data!$C$21:$C$1613, "aaaa"),"")</f>
        <v>2025</v>
      </c>
      <c r="I1418" t="str">
        <f>IF(OR(H1418=$B$5,H1418=$B$6,H1418=$B$7,H1418=$B$8,H1418=$B$9,H1418=$B$10,H1418=$B$11,H1418=$B$12,H1418=$B$13,H1418=$B$14),SottocategorieUscite[[#Headers],[Fuori Casa]],IF(OR(H1418=$C$5,H1418=$C$6,H1418=$C$7,H1418=$C$8,H1418=$C$9,H1418=$C$10,H1418=$C$11,H1418=$C$12,H1418=$C$13,H1418=$C$14),SottocategorieUscite[[#Headers],[Varie Uscite]],IF(OR(H1418=$D$5,H1418=$D$6,H1418=$D$7,H1418=$D$8,H1418=$D$9,H1418=$D$10,H1418=$D$11,H1418=$D$12,H1418=$D$13,H1418=$D$14),SottocategorieUscite[[#Headers],[Personali]],IF(OR(H1418=$E$5,H1418=$E$6,H1418=$E$7,H1418=$E$8,H1418=$E$9,H1418=$E$10,H1418=$E$11,H1418=$E$12,H1418=$E$13,H1418=$E$14),SottocategorieUscite[[#Headers],[Lavoro]],IF(OR(H1418=$F$5,H1418=$F$6,H1418=$F$7,H1418=$F$8,H1418=$F$9,H1418=$F$10,H1418=$F$11,H1418=$F$12,H1418=$F$13,H1418=$F$14),SottocategorieUscite[[#Headers],[Casa]],IF(OR(H1418=$G$5,H1418=$G$6,H1418=$G$7,H1418=$G$8,H1418=$G$9,H1418=$G$10,H1418=$G$11,H1418=$G$12,H1418=$G$13,H1418=$G$14),SottocategorieUscite[[#Headers],[Utenze]],IF(OR(H1418=$H$5,H1418=$H$6,H1418=$H$7,H1418=$H$8,H1418=$H$9,H1418=$H$10,H1418=$H$11,H1418=$H$12,H1418=$H$13,H1418=$H$14),SottocategorieUscite[[#Headers],[Business Uscite]],IF(OR(H1418=$I$5,H1418=$I$6,H1418=$I$7,H1418=$I$8,H1418=$I$9,H1418=$I$10,H1418=$I$11,H1418=$I$12,H1418=$I$13,H1418=$I$14),SottocategorieUscite[[#Headers],[Banca]],IF(OR(H1418=K$5,H1418=K$6,H1418=K$7,H1418=K$8,H1418=K$9,H1418=K$10,H1418=K$11,H1418=K$12,H1418=K$13,H1418=K$14),SottocategorieEntrate[[#Headers],[Business Entrate]],IF(OR(H1418=L$5,H1418=L$6,H1418=L$7,H1418=L$8,H1418=L$9,H1418=L$10,H1418=L$11,H1418=L$12,H1418=L$13,H1418=L$14),SottocategorieEntrate[[#Headers],[Varie Entrate]],IF(OR(H1418=M$5,H1418=M$6,H1418=M$7,H1418=M$8,H1418=M$9,H1418=M$10,H1418=M$11,H1418=M$12,H1418=M$13,H1418=M$14),SottocategorieEntrate[[#Headers],[Real Estate]],IF(OR(H1418=N$5,H1418=N$6,H1418=N$7,H1418=N$8,H1418=N$9,H1418=N$10,H1418=N$11,H1418=N$12,H1418=N$13,H1418=N$14),SottocategorieEntrate[[#Headers],[Other]],""))))))))))))</f>
        <v/>
      </c>
      <c r="J1418" t="str">
        <f>IF(OR(Dati[[#This Row],[Categoria]]="Bollette",Dati[[#This Row],[Categoria]]="Conto &amp; Carte BNL",Dati[[#This Row],[Categoria]]="Prelievo",Dati[[#This Row],[Categoria]]="Affitto",Dati[[#This Row],[Categoria]]="BNL(Interessi Creditori)"),"Carta",IF(Dati[[#This Row],[Categoria]]&lt;&gt;0,"Cash",""))</f>
        <v/>
      </c>
      <c r="K1418" s="59" t="str">
        <f>IF(OR(Data!$I1418=SottocategorieUscite[[#Headers],[Fuori Casa]],Data!$I1418=SottocategorieUscite[[#Headers],[Varie Uscite]],Data!$I1418=SottocategorieUscite[[#Headers],[Personali]],Data!$I1418=SottocategorieUscite[[#Headers],[Lavoro]]),"$ -","")</f>
        <v/>
      </c>
      <c r="L1418" s="59" t="str">
        <f>IF(OR(Data!$I1418=SottocategorieUscite[[#Headers],[Casa]],Data!$I1418=SottocategorieUscite[[#Headers],[Utenze]],Data!$I1418=SottocategorieUscite[[#Headers],[Business Uscite]],Data!$I1418=SottocategorieUscite[[#Headers],[Banca]]),"$ -","")</f>
        <v/>
      </c>
      <c r="M1418" s="59" t="str">
        <f>IF(OR($I1418&lt;&gt;SottocategorieUscite[[#Headers],[Fuori Casa]],$I1418&lt;&gt;SottocategorieUscite[[#Headers],[Varie Uscite]],$I1418&lt;&gt;SottocategorieUscite[[#Headers],[Personali]],$I1418&lt;&gt;SottocategorieUscite[[#Headers],[Lavoro]],$I1418&lt;&gt;SottocategorieUscite[[#Headers],[Casa]],$I1418&lt;&gt;SottocategorieUscite[[#Headers],[Utenze]],$I1418&lt;&gt;SottocategorieUscite[[#Headers],[Business Uscite]],$I1418&lt;&gt;SottocategorieUscite[[#Headers],[Banca]]),"","$ -")</f>
        <v/>
      </c>
      <c r="N1418" s="59" t="str">
        <f>IF(OR(Data!$I1418=SottocategorieEntrate[[#Headers],[Business Entrate]],Data!$I1418=SottocategorieEntrate[[#Headers],[Varie Entrate]]),"$ -","")</f>
        <v/>
      </c>
      <c r="O1418" s="59" t="str">
        <f>IF(OR(Data!$I1418=SottocategorieEntrate[[#Headers],[Real Estate]],SottocategorieEntrate[[#Headers],[Other]]),"$ -","")</f>
        <v/>
      </c>
      <c r="P1418" s="59" t="str">
        <f>IF(OR($I1418&lt;&gt;SottocategorieEntrate[[#Headers],[Business Entrate]],$I1418&lt;&gt;SottocategorieEntrate[[#Headers],[Varie Entrate]],$I1418&lt;&gt;SottocategorieEntrate[[#Headers],[Real Estate]],$I1418&lt;&gt;SottocategorieEntrate[[#Headers],[Other]]),"","$ -")</f>
        <v/>
      </c>
      <c r="Q1418" s="59" t="str">
        <f>IF(Dati[[#This Row],[Categoria]]="Prelievo","€ -","")</f>
        <v/>
      </c>
      <c r="R1418" s="244"/>
      <c r="S1418" s="59" t="str">
        <f>IF(Dati[[#This Row],[Categoria]]="Savings",0,"")</f>
        <v/>
      </c>
      <c r="T1418" s="59"/>
      <c r="U1418" s="59"/>
      <c r="V1418" s="59"/>
      <c r="W1418" s="59"/>
      <c r="X1418" s="59"/>
      <c r="Y1418" s="59"/>
      <c r="Z1418" s="59"/>
      <c r="AA1418" s="59"/>
      <c r="AB1418" s="59"/>
      <c r="AC1418" s="59"/>
      <c r="AD1418" s="59"/>
      <c r="AE1418" s="59"/>
      <c r="AF1418" s="59"/>
      <c r="AG1418" s="59"/>
      <c r="AH1418" s="59"/>
      <c r="AI1418" s="59" t="str">
        <f>IF(SUM(Dati[[#This Row],[Inv. Business]:[Inv. Cryptocurrency]])=0," ",SUM(Dati[[#This Row],[Inv. Business]:[Inv. Cryptocurrency]]))</f>
        <v xml:space="preserve"> </v>
      </c>
      <c r="AJ1418" s="59"/>
      <c r="AK1418" s="59" t="str">
        <f>IF(SUM(Dati[[#This Row],[Inv. Gold]:[Mutuo]])=0," ",SUM(Dati[[#This Row],[Inv. Gold]:[Mutuo]]))</f>
        <v xml:space="preserve"> </v>
      </c>
      <c r="AL1418" s="59"/>
      <c r="AM1418" s="59"/>
    </row>
    <row r="1419" spans="2:39" x14ac:dyDescent="0.35">
      <c r="B1419" s="237">
        <f t="shared" si="107"/>
        <v>1399</v>
      </c>
      <c r="C1419" s="49">
        <f t="shared" si="106"/>
        <v>45977</v>
      </c>
      <c r="D1419" s="29">
        <f>DAY(Dati[[#This Row],[Data]])</f>
        <v>16</v>
      </c>
      <c r="E1419" s="29" t="str">
        <f>IF(DAY(Data!$C$21:$C$1613)&gt;0,TEXT(Data!$C$21:$C$1613, "mmmm"),"")</f>
        <v>novembre</v>
      </c>
      <c r="F1419" s="29" t="str">
        <f>IF(DAY(Data!$C$21:$C$1613)&gt;0,TEXT(Data!$C$21:$C$1613, "aaaa"),"")</f>
        <v>2025</v>
      </c>
      <c r="I1419" t="str">
        <f>IF(OR(H1419=$B$5,H1419=$B$6,H1419=$B$7,H1419=$B$8,H1419=$B$9,H1419=$B$10,H1419=$B$11,H1419=$B$12,H1419=$B$13,H1419=$B$14),SottocategorieUscite[[#Headers],[Fuori Casa]],IF(OR(H1419=$C$5,H1419=$C$6,H1419=$C$7,H1419=$C$8,H1419=$C$9,H1419=$C$10,H1419=$C$11,H1419=$C$12,H1419=$C$13,H1419=$C$14),SottocategorieUscite[[#Headers],[Varie Uscite]],IF(OR(H1419=$D$5,H1419=$D$6,H1419=$D$7,H1419=$D$8,H1419=$D$9,H1419=$D$10,H1419=$D$11,H1419=$D$12,H1419=$D$13,H1419=$D$14),SottocategorieUscite[[#Headers],[Personali]],IF(OR(H1419=$E$5,H1419=$E$6,H1419=$E$7,H1419=$E$8,H1419=$E$9,H1419=$E$10,H1419=$E$11,H1419=$E$12,H1419=$E$13,H1419=$E$14),SottocategorieUscite[[#Headers],[Lavoro]],IF(OR(H1419=$F$5,H1419=$F$6,H1419=$F$7,H1419=$F$8,H1419=$F$9,H1419=$F$10,H1419=$F$11,H1419=$F$12,H1419=$F$13,H1419=$F$14),SottocategorieUscite[[#Headers],[Casa]],IF(OR(H1419=$G$5,H1419=$G$6,H1419=$G$7,H1419=$G$8,H1419=$G$9,H1419=$G$10,H1419=$G$11,H1419=$G$12,H1419=$G$13,H1419=$G$14),SottocategorieUscite[[#Headers],[Utenze]],IF(OR(H1419=$H$5,H1419=$H$6,H1419=$H$7,H1419=$H$8,H1419=$H$9,H1419=$H$10,H1419=$H$11,H1419=$H$12,H1419=$H$13,H1419=$H$14),SottocategorieUscite[[#Headers],[Business Uscite]],IF(OR(H1419=$I$5,H1419=$I$6,H1419=$I$7,H1419=$I$8,H1419=$I$9,H1419=$I$10,H1419=$I$11,H1419=$I$12,H1419=$I$13,H1419=$I$14),SottocategorieUscite[[#Headers],[Banca]],IF(OR(H1419=K$5,H1419=K$6,H1419=K$7,H1419=K$8,H1419=K$9,H1419=K$10,H1419=K$11,H1419=K$12,H1419=K$13,H1419=K$14),SottocategorieEntrate[[#Headers],[Business Entrate]],IF(OR(H1419=L$5,H1419=L$6,H1419=L$7,H1419=L$8,H1419=L$9,H1419=L$10,H1419=L$11,H1419=L$12,H1419=L$13,H1419=L$14),SottocategorieEntrate[[#Headers],[Varie Entrate]],IF(OR(H1419=M$5,H1419=M$6,H1419=M$7,H1419=M$8,H1419=M$9,H1419=M$10,H1419=M$11,H1419=M$12,H1419=M$13,H1419=M$14),SottocategorieEntrate[[#Headers],[Real Estate]],IF(OR(H1419=N$5,H1419=N$6,H1419=N$7,H1419=N$8,H1419=N$9,H1419=N$10,H1419=N$11,H1419=N$12,H1419=N$13,H1419=N$14),SottocategorieEntrate[[#Headers],[Other]],""))))))))))))</f>
        <v/>
      </c>
      <c r="J1419" t="str">
        <f>IF(OR(Dati[[#This Row],[Categoria]]="Bollette",Dati[[#This Row],[Categoria]]="Conto &amp; Carte BNL",Dati[[#This Row],[Categoria]]="Prelievo",Dati[[#This Row],[Categoria]]="Affitto",Dati[[#This Row],[Categoria]]="BNL(Interessi Creditori)"),"Carta",IF(Dati[[#This Row],[Categoria]]&lt;&gt;0,"Cash",""))</f>
        <v/>
      </c>
      <c r="K1419" s="59" t="str">
        <f>IF(OR(Data!$I1419=SottocategorieUscite[[#Headers],[Fuori Casa]],Data!$I1419=SottocategorieUscite[[#Headers],[Varie Uscite]],Data!$I1419=SottocategorieUscite[[#Headers],[Personali]],Data!$I1419=SottocategorieUscite[[#Headers],[Lavoro]]),"$ -","")</f>
        <v/>
      </c>
      <c r="L1419" s="59" t="str">
        <f>IF(OR(Data!$I1419=SottocategorieUscite[[#Headers],[Casa]],Data!$I1419=SottocategorieUscite[[#Headers],[Utenze]],Data!$I1419=SottocategorieUscite[[#Headers],[Business Uscite]],Data!$I1419=SottocategorieUscite[[#Headers],[Banca]]),"$ -","")</f>
        <v/>
      </c>
      <c r="M1419" s="59" t="str">
        <f>IF(OR($I1419&lt;&gt;SottocategorieUscite[[#Headers],[Fuori Casa]],$I1419&lt;&gt;SottocategorieUscite[[#Headers],[Varie Uscite]],$I1419&lt;&gt;SottocategorieUscite[[#Headers],[Personali]],$I1419&lt;&gt;SottocategorieUscite[[#Headers],[Lavoro]],$I1419&lt;&gt;SottocategorieUscite[[#Headers],[Casa]],$I1419&lt;&gt;SottocategorieUscite[[#Headers],[Utenze]],$I1419&lt;&gt;SottocategorieUscite[[#Headers],[Business Uscite]],$I1419&lt;&gt;SottocategorieUscite[[#Headers],[Banca]]),"","$ -")</f>
        <v/>
      </c>
      <c r="N1419" s="59" t="str">
        <f>IF(OR(Data!$I1419=SottocategorieEntrate[[#Headers],[Business Entrate]],Data!$I1419=SottocategorieEntrate[[#Headers],[Varie Entrate]]),"$ -","")</f>
        <v/>
      </c>
      <c r="O1419" s="59" t="str">
        <f>IF(OR(Data!$I1419=SottocategorieEntrate[[#Headers],[Real Estate]],SottocategorieEntrate[[#Headers],[Other]]),"$ -","")</f>
        <v/>
      </c>
      <c r="P1419" s="59" t="str">
        <f>IF(OR($I1419&lt;&gt;SottocategorieEntrate[[#Headers],[Business Entrate]],$I1419&lt;&gt;SottocategorieEntrate[[#Headers],[Varie Entrate]],$I1419&lt;&gt;SottocategorieEntrate[[#Headers],[Real Estate]],$I1419&lt;&gt;SottocategorieEntrate[[#Headers],[Other]]),"","$ -")</f>
        <v/>
      </c>
      <c r="Q1419" s="59" t="str">
        <f>IF(Dati[[#This Row],[Categoria]]="Prelievo","€ -","")</f>
        <v/>
      </c>
      <c r="R1419" s="244"/>
      <c r="S1419" s="59" t="str">
        <f>IF(Dati[[#This Row],[Categoria]]="Savings",0,"")</f>
        <v/>
      </c>
      <c r="T1419" s="59"/>
      <c r="U1419" s="59"/>
      <c r="V1419" s="59"/>
      <c r="W1419" s="59"/>
      <c r="X1419" s="59"/>
      <c r="Y1419" s="59"/>
      <c r="Z1419" s="59"/>
      <c r="AA1419" s="59"/>
      <c r="AB1419" s="59"/>
      <c r="AC1419" s="59"/>
      <c r="AD1419" s="59"/>
      <c r="AE1419" s="59"/>
      <c r="AF1419" s="59"/>
      <c r="AG1419" s="59"/>
      <c r="AH1419" s="59"/>
      <c r="AI1419" s="59" t="str">
        <f>IF(SUM(Dati[[#This Row],[Inv. Business]:[Inv. Cryptocurrency]])=0," ",SUM(Dati[[#This Row],[Inv. Business]:[Inv. Cryptocurrency]]))</f>
        <v xml:space="preserve"> </v>
      </c>
      <c r="AJ1419" s="59"/>
      <c r="AK1419" s="59" t="str">
        <f>IF(SUM(Dati[[#This Row],[Inv. Gold]:[Mutuo]])=0," ",SUM(Dati[[#This Row],[Inv. Gold]:[Mutuo]]))</f>
        <v xml:space="preserve"> </v>
      </c>
      <c r="AL1419" s="59"/>
      <c r="AM1419" s="59"/>
    </row>
    <row r="1420" spans="2:39" x14ac:dyDescent="0.35">
      <c r="B1420" s="237">
        <f t="shared" si="107"/>
        <v>1400</v>
      </c>
      <c r="C1420" s="49">
        <f t="shared" si="106"/>
        <v>45978</v>
      </c>
      <c r="D1420" s="29">
        <f>DAY(Dati[[#This Row],[Data]])</f>
        <v>17</v>
      </c>
      <c r="E1420" s="29" t="str">
        <f>IF(DAY(Data!$C$21:$C$1613)&gt;0,TEXT(Data!$C$21:$C$1613, "mmmm"),"")</f>
        <v>novembre</v>
      </c>
      <c r="F1420" s="29" t="str">
        <f>IF(DAY(Data!$C$21:$C$1613)&gt;0,TEXT(Data!$C$21:$C$1613, "aaaa"),"")</f>
        <v>2025</v>
      </c>
      <c r="I1420" t="str">
        <f>IF(OR(H1420=$B$5,H1420=$B$6,H1420=$B$7,H1420=$B$8,H1420=$B$9,H1420=$B$10,H1420=$B$11,H1420=$B$12,H1420=$B$13,H1420=$B$14),SottocategorieUscite[[#Headers],[Fuori Casa]],IF(OR(H1420=$C$5,H1420=$C$6,H1420=$C$7,H1420=$C$8,H1420=$C$9,H1420=$C$10,H1420=$C$11,H1420=$C$12,H1420=$C$13,H1420=$C$14),SottocategorieUscite[[#Headers],[Varie Uscite]],IF(OR(H1420=$D$5,H1420=$D$6,H1420=$D$7,H1420=$D$8,H1420=$D$9,H1420=$D$10,H1420=$D$11,H1420=$D$12,H1420=$D$13,H1420=$D$14),SottocategorieUscite[[#Headers],[Personali]],IF(OR(H1420=$E$5,H1420=$E$6,H1420=$E$7,H1420=$E$8,H1420=$E$9,H1420=$E$10,H1420=$E$11,H1420=$E$12,H1420=$E$13,H1420=$E$14),SottocategorieUscite[[#Headers],[Lavoro]],IF(OR(H1420=$F$5,H1420=$F$6,H1420=$F$7,H1420=$F$8,H1420=$F$9,H1420=$F$10,H1420=$F$11,H1420=$F$12,H1420=$F$13,H1420=$F$14),SottocategorieUscite[[#Headers],[Casa]],IF(OR(H1420=$G$5,H1420=$G$6,H1420=$G$7,H1420=$G$8,H1420=$G$9,H1420=$G$10,H1420=$G$11,H1420=$G$12,H1420=$G$13,H1420=$G$14),SottocategorieUscite[[#Headers],[Utenze]],IF(OR(H1420=$H$5,H1420=$H$6,H1420=$H$7,H1420=$H$8,H1420=$H$9,H1420=$H$10,H1420=$H$11,H1420=$H$12,H1420=$H$13,H1420=$H$14),SottocategorieUscite[[#Headers],[Business Uscite]],IF(OR(H1420=$I$5,H1420=$I$6,H1420=$I$7,H1420=$I$8,H1420=$I$9,H1420=$I$10,H1420=$I$11,H1420=$I$12,H1420=$I$13,H1420=$I$14),SottocategorieUscite[[#Headers],[Banca]],IF(OR(H1420=K$5,H1420=K$6,H1420=K$7,H1420=K$8,H1420=K$9,H1420=K$10,H1420=K$11,H1420=K$12,H1420=K$13,H1420=K$14),SottocategorieEntrate[[#Headers],[Business Entrate]],IF(OR(H1420=L$5,H1420=L$6,H1420=L$7,H1420=L$8,H1420=L$9,H1420=L$10,H1420=L$11,H1420=L$12,H1420=L$13,H1420=L$14),SottocategorieEntrate[[#Headers],[Varie Entrate]],IF(OR(H1420=M$5,H1420=M$6,H1420=M$7,H1420=M$8,H1420=M$9,H1420=M$10,H1420=M$11,H1420=M$12,H1420=M$13,H1420=M$14),SottocategorieEntrate[[#Headers],[Real Estate]],IF(OR(H1420=N$5,H1420=N$6,H1420=N$7,H1420=N$8,H1420=N$9,H1420=N$10,H1420=N$11,H1420=N$12,H1420=N$13,H1420=N$14),SottocategorieEntrate[[#Headers],[Other]],""))))))))))))</f>
        <v/>
      </c>
      <c r="J1420" t="str">
        <f>IF(OR(Dati[[#This Row],[Categoria]]="Bollette",Dati[[#This Row],[Categoria]]="Conto &amp; Carte BNL",Dati[[#This Row],[Categoria]]="Prelievo",Dati[[#This Row],[Categoria]]="Affitto",Dati[[#This Row],[Categoria]]="BNL(Interessi Creditori)"),"Carta",IF(Dati[[#This Row],[Categoria]]&lt;&gt;0,"Cash",""))</f>
        <v/>
      </c>
      <c r="K1420" s="59" t="str">
        <f>IF(OR(Data!$I1420=SottocategorieUscite[[#Headers],[Fuori Casa]],Data!$I1420=SottocategorieUscite[[#Headers],[Varie Uscite]],Data!$I1420=SottocategorieUscite[[#Headers],[Personali]],Data!$I1420=SottocategorieUscite[[#Headers],[Lavoro]]),"$ -","")</f>
        <v/>
      </c>
      <c r="L1420" s="59" t="str">
        <f>IF(OR(Data!$I1420=SottocategorieUscite[[#Headers],[Casa]],Data!$I1420=SottocategorieUscite[[#Headers],[Utenze]],Data!$I1420=SottocategorieUscite[[#Headers],[Business Uscite]],Data!$I1420=SottocategorieUscite[[#Headers],[Banca]]),"$ -","")</f>
        <v/>
      </c>
      <c r="M1420" s="59" t="str">
        <f>IF(OR($I1420&lt;&gt;SottocategorieUscite[[#Headers],[Fuori Casa]],$I1420&lt;&gt;SottocategorieUscite[[#Headers],[Varie Uscite]],$I1420&lt;&gt;SottocategorieUscite[[#Headers],[Personali]],$I1420&lt;&gt;SottocategorieUscite[[#Headers],[Lavoro]],$I1420&lt;&gt;SottocategorieUscite[[#Headers],[Casa]],$I1420&lt;&gt;SottocategorieUscite[[#Headers],[Utenze]],$I1420&lt;&gt;SottocategorieUscite[[#Headers],[Business Uscite]],$I1420&lt;&gt;SottocategorieUscite[[#Headers],[Banca]]),"","$ -")</f>
        <v/>
      </c>
      <c r="N1420" s="59" t="str">
        <f>IF(OR(Data!$I1420=SottocategorieEntrate[[#Headers],[Business Entrate]],Data!$I1420=SottocategorieEntrate[[#Headers],[Varie Entrate]]),"$ -","")</f>
        <v/>
      </c>
      <c r="O1420" s="59" t="str">
        <f>IF(OR(Data!$I1420=SottocategorieEntrate[[#Headers],[Real Estate]],SottocategorieEntrate[[#Headers],[Other]]),"$ -","")</f>
        <v/>
      </c>
      <c r="P1420" s="59" t="str">
        <f>IF(OR($I1420&lt;&gt;SottocategorieEntrate[[#Headers],[Business Entrate]],$I1420&lt;&gt;SottocategorieEntrate[[#Headers],[Varie Entrate]],$I1420&lt;&gt;SottocategorieEntrate[[#Headers],[Real Estate]],$I1420&lt;&gt;SottocategorieEntrate[[#Headers],[Other]]),"","$ -")</f>
        <v/>
      </c>
      <c r="Q1420" s="59" t="str">
        <f>IF(Dati[[#This Row],[Categoria]]="Prelievo","€ -","")</f>
        <v/>
      </c>
      <c r="R1420" s="244"/>
      <c r="S1420" s="59" t="str">
        <f>IF(Dati[[#This Row],[Categoria]]="Savings",0,"")</f>
        <v/>
      </c>
      <c r="T1420" s="59"/>
      <c r="U1420" s="59"/>
      <c r="V1420" s="59"/>
      <c r="W1420" s="59"/>
      <c r="X1420" s="59"/>
      <c r="Y1420" s="59"/>
      <c r="Z1420" s="59"/>
      <c r="AA1420" s="59"/>
      <c r="AB1420" s="59"/>
      <c r="AC1420" s="59"/>
      <c r="AD1420" s="59"/>
      <c r="AE1420" s="59"/>
      <c r="AF1420" s="59"/>
      <c r="AG1420" s="59"/>
      <c r="AH1420" s="59"/>
      <c r="AI1420" s="59" t="str">
        <f>IF(SUM(Dati[[#This Row],[Inv. Business]:[Inv. Cryptocurrency]])=0," ",SUM(Dati[[#This Row],[Inv. Business]:[Inv. Cryptocurrency]]))</f>
        <v xml:space="preserve"> </v>
      </c>
      <c r="AJ1420" s="59"/>
      <c r="AK1420" s="59" t="str">
        <f>IF(SUM(Dati[[#This Row],[Inv. Gold]:[Mutuo]])=0," ",SUM(Dati[[#This Row],[Inv. Gold]:[Mutuo]]))</f>
        <v xml:space="preserve"> </v>
      </c>
      <c r="AL1420" s="59"/>
      <c r="AM1420" s="59"/>
    </row>
    <row r="1421" spans="2:39" x14ac:dyDescent="0.35">
      <c r="B1421" s="237">
        <f t="shared" si="107"/>
        <v>1401</v>
      </c>
      <c r="C1421" s="49">
        <f t="shared" si="106"/>
        <v>45979</v>
      </c>
      <c r="D1421" s="29">
        <f>DAY(Dati[[#This Row],[Data]])</f>
        <v>18</v>
      </c>
      <c r="E1421" s="29" t="str">
        <f>IF(DAY(Data!$C$21:$C$1613)&gt;0,TEXT(Data!$C$21:$C$1613, "mmmm"),"")</f>
        <v>novembre</v>
      </c>
      <c r="F1421" s="29" t="str">
        <f>IF(DAY(Data!$C$21:$C$1613)&gt;0,TEXT(Data!$C$21:$C$1613, "aaaa"),"")</f>
        <v>2025</v>
      </c>
      <c r="I1421" t="str">
        <f>IF(OR(H1421=$B$5,H1421=$B$6,H1421=$B$7,H1421=$B$8,H1421=$B$9,H1421=$B$10,H1421=$B$11,H1421=$B$12,H1421=$B$13,H1421=$B$14),SottocategorieUscite[[#Headers],[Fuori Casa]],IF(OR(H1421=$C$5,H1421=$C$6,H1421=$C$7,H1421=$C$8,H1421=$C$9,H1421=$C$10,H1421=$C$11,H1421=$C$12,H1421=$C$13,H1421=$C$14),SottocategorieUscite[[#Headers],[Varie Uscite]],IF(OR(H1421=$D$5,H1421=$D$6,H1421=$D$7,H1421=$D$8,H1421=$D$9,H1421=$D$10,H1421=$D$11,H1421=$D$12,H1421=$D$13,H1421=$D$14),SottocategorieUscite[[#Headers],[Personali]],IF(OR(H1421=$E$5,H1421=$E$6,H1421=$E$7,H1421=$E$8,H1421=$E$9,H1421=$E$10,H1421=$E$11,H1421=$E$12,H1421=$E$13,H1421=$E$14),SottocategorieUscite[[#Headers],[Lavoro]],IF(OR(H1421=$F$5,H1421=$F$6,H1421=$F$7,H1421=$F$8,H1421=$F$9,H1421=$F$10,H1421=$F$11,H1421=$F$12,H1421=$F$13,H1421=$F$14),SottocategorieUscite[[#Headers],[Casa]],IF(OR(H1421=$G$5,H1421=$G$6,H1421=$G$7,H1421=$G$8,H1421=$G$9,H1421=$G$10,H1421=$G$11,H1421=$G$12,H1421=$G$13,H1421=$G$14),SottocategorieUscite[[#Headers],[Utenze]],IF(OR(H1421=$H$5,H1421=$H$6,H1421=$H$7,H1421=$H$8,H1421=$H$9,H1421=$H$10,H1421=$H$11,H1421=$H$12,H1421=$H$13,H1421=$H$14),SottocategorieUscite[[#Headers],[Business Uscite]],IF(OR(H1421=$I$5,H1421=$I$6,H1421=$I$7,H1421=$I$8,H1421=$I$9,H1421=$I$10,H1421=$I$11,H1421=$I$12,H1421=$I$13,H1421=$I$14),SottocategorieUscite[[#Headers],[Banca]],IF(OR(H1421=K$5,H1421=K$6,H1421=K$7,H1421=K$8,H1421=K$9,H1421=K$10,H1421=K$11,H1421=K$12,H1421=K$13,H1421=K$14),SottocategorieEntrate[[#Headers],[Business Entrate]],IF(OR(H1421=L$5,H1421=L$6,H1421=L$7,H1421=L$8,H1421=L$9,H1421=L$10,H1421=L$11,H1421=L$12,H1421=L$13,H1421=L$14),SottocategorieEntrate[[#Headers],[Varie Entrate]],IF(OR(H1421=M$5,H1421=M$6,H1421=M$7,H1421=M$8,H1421=M$9,H1421=M$10,H1421=M$11,H1421=M$12,H1421=M$13,H1421=M$14),SottocategorieEntrate[[#Headers],[Real Estate]],IF(OR(H1421=N$5,H1421=N$6,H1421=N$7,H1421=N$8,H1421=N$9,H1421=N$10,H1421=N$11,H1421=N$12,H1421=N$13,H1421=N$14),SottocategorieEntrate[[#Headers],[Other]],""))))))))))))</f>
        <v/>
      </c>
      <c r="J1421" t="str">
        <f>IF(OR(Dati[[#This Row],[Categoria]]="Bollette",Dati[[#This Row],[Categoria]]="Conto &amp; Carte BNL",Dati[[#This Row],[Categoria]]="Prelievo",Dati[[#This Row],[Categoria]]="Affitto",Dati[[#This Row],[Categoria]]="BNL(Interessi Creditori)"),"Carta",IF(Dati[[#This Row],[Categoria]]&lt;&gt;0,"Cash",""))</f>
        <v/>
      </c>
      <c r="K1421" s="59" t="str">
        <f>IF(OR(Data!$I1421=SottocategorieUscite[[#Headers],[Fuori Casa]],Data!$I1421=SottocategorieUscite[[#Headers],[Varie Uscite]],Data!$I1421=SottocategorieUscite[[#Headers],[Personali]],Data!$I1421=SottocategorieUscite[[#Headers],[Lavoro]]),"$ -","")</f>
        <v/>
      </c>
      <c r="L1421" s="59" t="str">
        <f>IF(OR(Data!$I1421=SottocategorieUscite[[#Headers],[Casa]],Data!$I1421=SottocategorieUscite[[#Headers],[Utenze]],Data!$I1421=SottocategorieUscite[[#Headers],[Business Uscite]],Data!$I1421=SottocategorieUscite[[#Headers],[Banca]]),"$ -","")</f>
        <v/>
      </c>
      <c r="M1421" s="59" t="str">
        <f>IF(OR($I1421&lt;&gt;SottocategorieUscite[[#Headers],[Fuori Casa]],$I1421&lt;&gt;SottocategorieUscite[[#Headers],[Varie Uscite]],$I1421&lt;&gt;SottocategorieUscite[[#Headers],[Personali]],$I1421&lt;&gt;SottocategorieUscite[[#Headers],[Lavoro]],$I1421&lt;&gt;SottocategorieUscite[[#Headers],[Casa]],$I1421&lt;&gt;SottocategorieUscite[[#Headers],[Utenze]],$I1421&lt;&gt;SottocategorieUscite[[#Headers],[Business Uscite]],$I1421&lt;&gt;SottocategorieUscite[[#Headers],[Banca]]),"","$ -")</f>
        <v/>
      </c>
      <c r="N1421" s="59" t="str">
        <f>IF(OR(Data!$I1421=SottocategorieEntrate[[#Headers],[Business Entrate]],Data!$I1421=SottocategorieEntrate[[#Headers],[Varie Entrate]]),"$ -","")</f>
        <v/>
      </c>
      <c r="O1421" s="59" t="str">
        <f>IF(OR(Data!$I1421=SottocategorieEntrate[[#Headers],[Real Estate]],SottocategorieEntrate[[#Headers],[Other]]),"$ -","")</f>
        <v/>
      </c>
      <c r="P1421" s="59" t="str">
        <f>IF(OR($I1421&lt;&gt;SottocategorieEntrate[[#Headers],[Business Entrate]],$I1421&lt;&gt;SottocategorieEntrate[[#Headers],[Varie Entrate]],$I1421&lt;&gt;SottocategorieEntrate[[#Headers],[Real Estate]],$I1421&lt;&gt;SottocategorieEntrate[[#Headers],[Other]]),"","$ -")</f>
        <v/>
      </c>
      <c r="Q1421" s="59" t="str">
        <f>IF(Dati[[#This Row],[Categoria]]="Prelievo","€ -","")</f>
        <v/>
      </c>
      <c r="R1421" s="244"/>
      <c r="S1421" s="59" t="str">
        <f>IF(Dati[[#This Row],[Categoria]]="Savings",0,"")</f>
        <v/>
      </c>
      <c r="T1421" s="59"/>
      <c r="U1421" s="59"/>
      <c r="V1421" s="59"/>
      <c r="W1421" s="59"/>
      <c r="X1421" s="59"/>
      <c r="Y1421" s="59"/>
      <c r="Z1421" s="59"/>
      <c r="AA1421" s="59"/>
      <c r="AB1421" s="59"/>
      <c r="AC1421" s="59"/>
      <c r="AD1421" s="59"/>
      <c r="AE1421" s="59"/>
      <c r="AF1421" s="59"/>
      <c r="AG1421" s="59"/>
      <c r="AH1421" s="59"/>
      <c r="AI1421" s="59" t="str">
        <f>IF(SUM(Dati[[#This Row],[Inv. Business]:[Inv. Cryptocurrency]])=0," ",SUM(Dati[[#This Row],[Inv. Business]:[Inv. Cryptocurrency]]))</f>
        <v xml:space="preserve"> </v>
      </c>
      <c r="AJ1421" s="59"/>
      <c r="AK1421" s="59" t="str">
        <f>IF(SUM(Dati[[#This Row],[Inv. Gold]:[Mutuo]])=0," ",SUM(Dati[[#This Row],[Inv. Gold]:[Mutuo]]))</f>
        <v xml:space="preserve"> </v>
      </c>
      <c r="AL1421" s="59"/>
      <c r="AM1421" s="59"/>
    </row>
    <row r="1422" spans="2:39" x14ac:dyDescent="0.35">
      <c r="B1422" s="237">
        <f t="shared" si="107"/>
        <v>1402</v>
      </c>
      <c r="C1422" s="49">
        <f t="shared" si="106"/>
        <v>45980</v>
      </c>
      <c r="D1422" s="29">
        <f>DAY(Dati[[#This Row],[Data]])</f>
        <v>19</v>
      </c>
      <c r="E1422" s="29" t="str">
        <f>IF(DAY(Data!$C$21:$C$1613)&gt;0,TEXT(Data!$C$21:$C$1613, "mmmm"),"")</f>
        <v>novembre</v>
      </c>
      <c r="F1422" s="29" t="str">
        <f>IF(DAY(Data!$C$21:$C$1613)&gt;0,TEXT(Data!$C$21:$C$1613, "aaaa"),"")</f>
        <v>2025</v>
      </c>
      <c r="I1422" t="str">
        <f>IF(OR(H1422=$B$5,H1422=$B$6,H1422=$B$7,H1422=$B$8,H1422=$B$9,H1422=$B$10,H1422=$B$11,H1422=$B$12,H1422=$B$13,H1422=$B$14),SottocategorieUscite[[#Headers],[Fuori Casa]],IF(OR(H1422=$C$5,H1422=$C$6,H1422=$C$7,H1422=$C$8,H1422=$C$9,H1422=$C$10,H1422=$C$11,H1422=$C$12,H1422=$C$13,H1422=$C$14),SottocategorieUscite[[#Headers],[Varie Uscite]],IF(OR(H1422=$D$5,H1422=$D$6,H1422=$D$7,H1422=$D$8,H1422=$D$9,H1422=$D$10,H1422=$D$11,H1422=$D$12,H1422=$D$13,H1422=$D$14),SottocategorieUscite[[#Headers],[Personali]],IF(OR(H1422=$E$5,H1422=$E$6,H1422=$E$7,H1422=$E$8,H1422=$E$9,H1422=$E$10,H1422=$E$11,H1422=$E$12,H1422=$E$13,H1422=$E$14),SottocategorieUscite[[#Headers],[Lavoro]],IF(OR(H1422=$F$5,H1422=$F$6,H1422=$F$7,H1422=$F$8,H1422=$F$9,H1422=$F$10,H1422=$F$11,H1422=$F$12,H1422=$F$13,H1422=$F$14),SottocategorieUscite[[#Headers],[Casa]],IF(OR(H1422=$G$5,H1422=$G$6,H1422=$G$7,H1422=$G$8,H1422=$G$9,H1422=$G$10,H1422=$G$11,H1422=$G$12,H1422=$G$13,H1422=$G$14),SottocategorieUscite[[#Headers],[Utenze]],IF(OR(H1422=$H$5,H1422=$H$6,H1422=$H$7,H1422=$H$8,H1422=$H$9,H1422=$H$10,H1422=$H$11,H1422=$H$12,H1422=$H$13,H1422=$H$14),SottocategorieUscite[[#Headers],[Business Uscite]],IF(OR(H1422=$I$5,H1422=$I$6,H1422=$I$7,H1422=$I$8,H1422=$I$9,H1422=$I$10,H1422=$I$11,H1422=$I$12,H1422=$I$13,H1422=$I$14),SottocategorieUscite[[#Headers],[Banca]],IF(OR(H1422=K$5,H1422=K$6,H1422=K$7,H1422=K$8,H1422=K$9,H1422=K$10,H1422=K$11,H1422=K$12,H1422=K$13,H1422=K$14),SottocategorieEntrate[[#Headers],[Business Entrate]],IF(OR(H1422=L$5,H1422=L$6,H1422=L$7,H1422=L$8,H1422=L$9,H1422=L$10,H1422=L$11,H1422=L$12,H1422=L$13,H1422=L$14),SottocategorieEntrate[[#Headers],[Varie Entrate]],IF(OR(H1422=M$5,H1422=M$6,H1422=M$7,H1422=M$8,H1422=M$9,H1422=M$10,H1422=M$11,H1422=M$12,H1422=M$13,H1422=M$14),SottocategorieEntrate[[#Headers],[Real Estate]],IF(OR(H1422=N$5,H1422=N$6,H1422=N$7,H1422=N$8,H1422=N$9,H1422=N$10,H1422=N$11,H1422=N$12,H1422=N$13,H1422=N$14),SottocategorieEntrate[[#Headers],[Other]],""))))))))))))</f>
        <v/>
      </c>
      <c r="J1422" t="str">
        <f>IF(OR(Dati[[#This Row],[Categoria]]="Bollette",Dati[[#This Row],[Categoria]]="Conto &amp; Carte BNL",Dati[[#This Row],[Categoria]]="Prelievo",Dati[[#This Row],[Categoria]]="Affitto",Dati[[#This Row],[Categoria]]="BNL(Interessi Creditori)"),"Carta",IF(Dati[[#This Row],[Categoria]]&lt;&gt;0,"Cash",""))</f>
        <v/>
      </c>
      <c r="K1422" s="59" t="str">
        <f>IF(OR(Data!$I1422=SottocategorieUscite[[#Headers],[Fuori Casa]],Data!$I1422=SottocategorieUscite[[#Headers],[Varie Uscite]],Data!$I1422=SottocategorieUscite[[#Headers],[Personali]],Data!$I1422=SottocategorieUscite[[#Headers],[Lavoro]]),"$ -","")</f>
        <v/>
      </c>
      <c r="L1422" s="59" t="str">
        <f>IF(OR(Data!$I1422=SottocategorieUscite[[#Headers],[Casa]],Data!$I1422=SottocategorieUscite[[#Headers],[Utenze]],Data!$I1422=SottocategorieUscite[[#Headers],[Business Uscite]],Data!$I1422=SottocategorieUscite[[#Headers],[Banca]]),"$ -","")</f>
        <v/>
      </c>
      <c r="M1422" s="59" t="str">
        <f>IF(OR($I1422&lt;&gt;SottocategorieUscite[[#Headers],[Fuori Casa]],$I1422&lt;&gt;SottocategorieUscite[[#Headers],[Varie Uscite]],$I1422&lt;&gt;SottocategorieUscite[[#Headers],[Personali]],$I1422&lt;&gt;SottocategorieUscite[[#Headers],[Lavoro]],$I1422&lt;&gt;SottocategorieUscite[[#Headers],[Casa]],$I1422&lt;&gt;SottocategorieUscite[[#Headers],[Utenze]],$I1422&lt;&gt;SottocategorieUscite[[#Headers],[Business Uscite]],$I1422&lt;&gt;SottocategorieUscite[[#Headers],[Banca]]),"","$ -")</f>
        <v/>
      </c>
      <c r="N1422" s="59" t="str">
        <f>IF(OR(Data!$I1422=SottocategorieEntrate[[#Headers],[Business Entrate]],Data!$I1422=SottocategorieEntrate[[#Headers],[Varie Entrate]]),"$ -","")</f>
        <v/>
      </c>
      <c r="O1422" s="59" t="str">
        <f>IF(OR(Data!$I1422=SottocategorieEntrate[[#Headers],[Real Estate]],SottocategorieEntrate[[#Headers],[Other]]),"$ -","")</f>
        <v/>
      </c>
      <c r="P1422" s="59" t="str">
        <f>IF(OR($I1422&lt;&gt;SottocategorieEntrate[[#Headers],[Business Entrate]],$I1422&lt;&gt;SottocategorieEntrate[[#Headers],[Varie Entrate]],$I1422&lt;&gt;SottocategorieEntrate[[#Headers],[Real Estate]],$I1422&lt;&gt;SottocategorieEntrate[[#Headers],[Other]]),"","$ -")</f>
        <v/>
      </c>
      <c r="Q1422" s="59" t="str">
        <f>IF(Dati[[#This Row],[Categoria]]="Prelievo","€ -","")</f>
        <v/>
      </c>
      <c r="R1422" s="244"/>
      <c r="S1422" s="59" t="str">
        <f>IF(Dati[[#This Row],[Categoria]]="Savings",0,"")</f>
        <v/>
      </c>
      <c r="T1422" s="59"/>
      <c r="U1422" s="59"/>
      <c r="V1422" s="59"/>
      <c r="W1422" s="59"/>
      <c r="X1422" s="59"/>
      <c r="Y1422" s="59"/>
      <c r="Z1422" s="59"/>
      <c r="AA1422" s="59"/>
      <c r="AB1422" s="59"/>
      <c r="AC1422" s="59"/>
      <c r="AD1422" s="59"/>
      <c r="AE1422" s="59"/>
      <c r="AF1422" s="59"/>
      <c r="AG1422" s="59"/>
      <c r="AH1422" s="59"/>
      <c r="AI1422" s="59" t="str">
        <f>IF(SUM(Dati[[#This Row],[Inv. Business]:[Inv. Cryptocurrency]])=0," ",SUM(Dati[[#This Row],[Inv. Business]:[Inv. Cryptocurrency]]))</f>
        <v xml:space="preserve"> </v>
      </c>
      <c r="AJ1422" s="59"/>
      <c r="AK1422" s="59" t="str">
        <f>IF(SUM(Dati[[#This Row],[Inv. Gold]:[Mutuo]])=0," ",SUM(Dati[[#This Row],[Inv. Gold]:[Mutuo]]))</f>
        <v xml:space="preserve"> </v>
      </c>
      <c r="AL1422" s="59"/>
      <c r="AM1422" s="59"/>
    </row>
    <row r="1423" spans="2:39" x14ac:dyDescent="0.35">
      <c r="B1423" s="237">
        <f t="shared" si="107"/>
        <v>1403</v>
      </c>
      <c r="C1423" s="49">
        <f t="shared" si="106"/>
        <v>45981</v>
      </c>
      <c r="D1423" s="29">
        <f>DAY(Dati[[#This Row],[Data]])</f>
        <v>20</v>
      </c>
      <c r="E1423" s="29" t="str">
        <f>IF(DAY(Data!$C$21:$C$1613)&gt;0,TEXT(Data!$C$21:$C$1613, "mmmm"),"")</f>
        <v>novembre</v>
      </c>
      <c r="F1423" s="29" t="str">
        <f>IF(DAY(Data!$C$21:$C$1613)&gt;0,TEXT(Data!$C$21:$C$1613, "aaaa"),"")</f>
        <v>2025</v>
      </c>
      <c r="I1423" t="str">
        <f>IF(OR(H1423=$B$5,H1423=$B$6,H1423=$B$7,H1423=$B$8,H1423=$B$9,H1423=$B$10,H1423=$B$11,H1423=$B$12,H1423=$B$13,H1423=$B$14),SottocategorieUscite[[#Headers],[Fuori Casa]],IF(OR(H1423=$C$5,H1423=$C$6,H1423=$C$7,H1423=$C$8,H1423=$C$9,H1423=$C$10,H1423=$C$11,H1423=$C$12,H1423=$C$13,H1423=$C$14),SottocategorieUscite[[#Headers],[Varie Uscite]],IF(OR(H1423=$D$5,H1423=$D$6,H1423=$D$7,H1423=$D$8,H1423=$D$9,H1423=$D$10,H1423=$D$11,H1423=$D$12,H1423=$D$13,H1423=$D$14),SottocategorieUscite[[#Headers],[Personali]],IF(OR(H1423=$E$5,H1423=$E$6,H1423=$E$7,H1423=$E$8,H1423=$E$9,H1423=$E$10,H1423=$E$11,H1423=$E$12,H1423=$E$13,H1423=$E$14),SottocategorieUscite[[#Headers],[Lavoro]],IF(OR(H1423=$F$5,H1423=$F$6,H1423=$F$7,H1423=$F$8,H1423=$F$9,H1423=$F$10,H1423=$F$11,H1423=$F$12,H1423=$F$13,H1423=$F$14),SottocategorieUscite[[#Headers],[Casa]],IF(OR(H1423=$G$5,H1423=$G$6,H1423=$G$7,H1423=$G$8,H1423=$G$9,H1423=$G$10,H1423=$G$11,H1423=$G$12,H1423=$G$13,H1423=$G$14),SottocategorieUscite[[#Headers],[Utenze]],IF(OR(H1423=$H$5,H1423=$H$6,H1423=$H$7,H1423=$H$8,H1423=$H$9,H1423=$H$10,H1423=$H$11,H1423=$H$12,H1423=$H$13,H1423=$H$14),SottocategorieUscite[[#Headers],[Business Uscite]],IF(OR(H1423=$I$5,H1423=$I$6,H1423=$I$7,H1423=$I$8,H1423=$I$9,H1423=$I$10,H1423=$I$11,H1423=$I$12,H1423=$I$13,H1423=$I$14),SottocategorieUscite[[#Headers],[Banca]],IF(OR(H1423=K$5,H1423=K$6,H1423=K$7,H1423=K$8,H1423=K$9,H1423=K$10,H1423=K$11,H1423=K$12,H1423=K$13,H1423=K$14),SottocategorieEntrate[[#Headers],[Business Entrate]],IF(OR(H1423=L$5,H1423=L$6,H1423=L$7,H1423=L$8,H1423=L$9,H1423=L$10,H1423=L$11,H1423=L$12,H1423=L$13,H1423=L$14),SottocategorieEntrate[[#Headers],[Varie Entrate]],IF(OR(H1423=M$5,H1423=M$6,H1423=M$7,H1423=M$8,H1423=M$9,H1423=M$10,H1423=M$11,H1423=M$12,H1423=M$13,H1423=M$14),SottocategorieEntrate[[#Headers],[Real Estate]],IF(OR(H1423=N$5,H1423=N$6,H1423=N$7,H1423=N$8,H1423=N$9,H1423=N$10,H1423=N$11,H1423=N$12,H1423=N$13,H1423=N$14),SottocategorieEntrate[[#Headers],[Other]],""))))))))))))</f>
        <v/>
      </c>
      <c r="J1423" t="str">
        <f>IF(OR(Dati[[#This Row],[Categoria]]="Bollette",Dati[[#This Row],[Categoria]]="Conto &amp; Carte BNL",Dati[[#This Row],[Categoria]]="Prelievo",Dati[[#This Row],[Categoria]]="Affitto",Dati[[#This Row],[Categoria]]="BNL(Interessi Creditori)"),"Carta",IF(Dati[[#This Row],[Categoria]]&lt;&gt;0,"Cash",""))</f>
        <v/>
      </c>
      <c r="K1423" s="59" t="str">
        <f>IF(OR(Data!$I1423=SottocategorieUscite[[#Headers],[Fuori Casa]],Data!$I1423=SottocategorieUscite[[#Headers],[Varie Uscite]],Data!$I1423=SottocategorieUscite[[#Headers],[Personali]],Data!$I1423=SottocategorieUscite[[#Headers],[Lavoro]]),"$ -","")</f>
        <v/>
      </c>
      <c r="L1423" s="59" t="str">
        <f>IF(OR(Data!$I1423=SottocategorieUscite[[#Headers],[Casa]],Data!$I1423=SottocategorieUscite[[#Headers],[Utenze]],Data!$I1423=SottocategorieUscite[[#Headers],[Business Uscite]],Data!$I1423=SottocategorieUscite[[#Headers],[Banca]]),"$ -","")</f>
        <v/>
      </c>
      <c r="M1423" s="59" t="str">
        <f>IF(OR($I1423&lt;&gt;SottocategorieUscite[[#Headers],[Fuori Casa]],$I1423&lt;&gt;SottocategorieUscite[[#Headers],[Varie Uscite]],$I1423&lt;&gt;SottocategorieUscite[[#Headers],[Personali]],$I1423&lt;&gt;SottocategorieUscite[[#Headers],[Lavoro]],$I1423&lt;&gt;SottocategorieUscite[[#Headers],[Casa]],$I1423&lt;&gt;SottocategorieUscite[[#Headers],[Utenze]],$I1423&lt;&gt;SottocategorieUscite[[#Headers],[Business Uscite]],$I1423&lt;&gt;SottocategorieUscite[[#Headers],[Banca]]),"","$ -")</f>
        <v/>
      </c>
      <c r="N1423" s="59" t="str">
        <f>IF(OR(Data!$I1423=SottocategorieEntrate[[#Headers],[Business Entrate]],Data!$I1423=SottocategorieEntrate[[#Headers],[Varie Entrate]]),"$ -","")</f>
        <v/>
      </c>
      <c r="O1423" s="59" t="str">
        <f>IF(OR(Data!$I1423=SottocategorieEntrate[[#Headers],[Real Estate]],SottocategorieEntrate[[#Headers],[Other]]),"$ -","")</f>
        <v/>
      </c>
      <c r="P1423" s="59" t="str">
        <f>IF(OR($I1423&lt;&gt;SottocategorieEntrate[[#Headers],[Business Entrate]],$I1423&lt;&gt;SottocategorieEntrate[[#Headers],[Varie Entrate]],$I1423&lt;&gt;SottocategorieEntrate[[#Headers],[Real Estate]],$I1423&lt;&gt;SottocategorieEntrate[[#Headers],[Other]]),"","$ -")</f>
        <v/>
      </c>
      <c r="Q1423" s="59" t="str">
        <f>IF(Dati[[#This Row],[Categoria]]="Prelievo","€ -","")</f>
        <v/>
      </c>
      <c r="R1423" s="244"/>
      <c r="S1423" s="59" t="str">
        <f>IF(Dati[[#This Row],[Categoria]]="Savings",0,"")</f>
        <v/>
      </c>
      <c r="T1423" s="59"/>
      <c r="U1423" s="59"/>
      <c r="V1423" s="59"/>
      <c r="W1423" s="59"/>
      <c r="X1423" s="59"/>
      <c r="Y1423" s="59"/>
      <c r="Z1423" s="59"/>
      <c r="AA1423" s="59"/>
      <c r="AB1423" s="59"/>
      <c r="AC1423" s="59"/>
      <c r="AD1423" s="59"/>
      <c r="AE1423" s="59"/>
      <c r="AF1423" s="59"/>
      <c r="AG1423" s="59"/>
      <c r="AH1423" s="59"/>
      <c r="AI1423" s="59" t="str">
        <f>IF(SUM(Dati[[#This Row],[Inv. Business]:[Inv. Cryptocurrency]])=0," ",SUM(Dati[[#This Row],[Inv. Business]:[Inv. Cryptocurrency]]))</f>
        <v xml:space="preserve"> </v>
      </c>
      <c r="AJ1423" s="59"/>
      <c r="AK1423" s="59" t="str">
        <f>IF(SUM(Dati[[#This Row],[Inv. Gold]:[Mutuo]])=0," ",SUM(Dati[[#This Row],[Inv. Gold]:[Mutuo]]))</f>
        <v xml:space="preserve"> </v>
      </c>
      <c r="AL1423" s="59"/>
      <c r="AM1423" s="59"/>
    </row>
    <row r="1424" spans="2:39" x14ac:dyDescent="0.35">
      <c r="B1424" s="237">
        <f t="shared" si="107"/>
        <v>1404</v>
      </c>
      <c r="C1424" s="49">
        <f t="shared" si="106"/>
        <v>45982</v>
      </c>
      <c r="D1424" s="29">
        <f>DAY(Dati[[#This Row],[Data]])</f>
        <v>21</v>
      </c>
      <c r="E1424" s="29" t="str">
        <f>IF(DAY(Data!$C$21:$C$1613)&gt;0,TEXT(Data!$C$21:$C$1613, "mmmm"),"")</f>
        <v>novembre</v>
      </c>
      <c r="F1424" s="29" t="str">
        <f>IF(DAY(Data!$C$21:$C$1613)&gt;0,TEXT(Data!$C$21:$C$1613, "aaaa"),"")</f>
        <v>2025</v>
      </c>
      <c r="I1424" t="str">
        <f>IF(OR(H1424=$B$5,H1424=$B$6,H1424=$B$7,H1424=$B$8,H1424=$B$9,H1424=$B$10,H1424=$B$11,H1424=$B$12,H1424=$B$13,H1424=$B$14),SottocategorieUscite[[#Headers],[Fuori Casa]],IF(OR(H1424=$C$5,H1424=$C$6,H1424=$C$7,H1424=$C$8,H1424=$C$9,H1424=$C$10,H1424=$C$11,H1424=$C$12,H1424=$C$13,H1424=$C$14),SottocategorieUscite[[#Headers],[Varie Uscite]],IF(OR(H1424=$D$5,H1424=$D$6,H1424=$D$7,H1424=$D$8,H1424=$D$9,H1424=$D$10,H1424=$D$11,H1424=$D$12,H1424=$D$13,H1424=$D$14),SottocategorieUscite[[#Headers],[Personali]],IF(OR(H1424=$E$5,H1424=$E$6,H1424=$E$7,H1424=$E$8,H1424=$E$9,H1424=$E$10,H1424=$E$11,H1424=$E$12,H1424=$E$13,H1424=$E$14),SottocategorieUscite[[#Headers],[Lavoro]],IF(OR(H1424=$F$5,H1424=$F$6,H1424=$F$7,H1424=$F$8,H1424=$F$9,H1424=$F$10,H1424=$F$11,H1424=$F$12,H1424=$F$13,H1424=$F$14),SottocategorieUscite[[#Headers],[Casa]],IF(OR(H1424=$G$5,H1424=$G$6,H1424=$G$7,H1424=$G$8,H1424=$G$9,H1424=$G$10,H1424=$G$11,H1424=$G$12,H1424=$G$13,H1424=$G$14),SottocategorieUscite[[#Headers],[Utenze]],IF(OR(H1424=$H$5,H1424=$H$6,H1424=$H$7,H1424=$H$8,H1424=$H$9,H1424=$H$10,H1424=$H$11,H1424=$H$12,H1424=$H$13,H1424=$H$14),SottocategorieUscite[[#Headers],[Business Uscite]],IF(OR(H1424=$I$5,H1424=$I$6,H1424=$I$7,H1424=$I$8,H1424=$I$9,H1424=$I$10,H1424=$I$11,H1424=$I$12,H1424=$I$13,H1424=$I$14),SottocategorieUscite[[#Headers],[Banca]],IF(OR(H1424=K$5,H1424=K$6,H1424=K$7,H1424=K$8,H1424=K$9,H1424=K$10,H1424=K$11,H1424=K$12,H1424=K$13,H1424=K$14),SottocategorieEntrate[[#Headers],[Business Entrate]],IF(OR(H1424=L$5,H1424=L$6,H1424=L$7,H1424=L$8,H1424=L$9,H1424=L$10,H1424=L$11,H1424=L$12,H1424=L$13,H1424=L$14),SottocategorieEntrate[[#Headers],[Varie Entrate]],IF(OR(H1424=M$5,H1424=M$6,H1424=M$7,H1424=M$8,H1424=M$9,H1424=M$10,H1424=M$11,H1424=M$12,H1424=M$13,H1424=M$14),SottocategorieEntrate[[#Headers],[Real Estate]],IF(OR(H1424=N$5,H1424=N$6,H1424=N$7,H1424=N$8,H1424=N$9,H1424=N$10,H1424=N$11,H1424=N$12,H1424=N$13,H1424=N$14),SottocategorieEntrate[[#Headers],[Other]],""))))))))))))</f>
        <v/>
      </c>
      <c r="J1424" t="str">
        <f>IF(OR(Dati[[#This Row],[Categoria]]="Bollette",Dati[[#This Row],[Categoria]]="Conto &amp; Carte BNL",Dati[[#This Row],[Categoria]]="Prelievo",Dati[[#This Row],[Categoria]]="Affitto",Dati[[#This Row],[Categoria]]="BNL(Interessi Creditori)"),"Carta",IF(Dati[[#This Row],[Categoria]]&lt;&gt;0,"Cash",""))</f>
        <v/>
      </c>
      <c r="K1424" s="59" t="str">
        <f>IF(OR(Data!$I1424=SottocategorieUscite[[#Headers],[Fuori Casa]],Data!$I1424=SottocategorieUscite[[#Headers],[Varie Uscite]],Data!$I1424=SottocategorieUscite[[#Headers],[Personali]],Data!$I1424=SottocategorieUscite[[#Headers],[Lavoro]]),"$ -","")</f>
        <v/>
      </c>
      <c r="L1424" s="59" t="str">
        <f>IF(OR(Data!$I1424=SottocategorieUscite[[#Headers],[Casa]],Data!$I1424=SottocategorieUscite[[#Headers],[Utenze]],Data!$I1424=SottocategorieUscite[[#Headers],[Business Uscite]],Data!$I1424=SottocategorieUscite[[#Headers],[Banca]]),"$ -","")</f>
        <v/>
      </c>
      <c r="M1424" s="59" t="str">
        <f>IF(OR($I1424&lt;&gt;SottocategorieUscite[[#Headers],[Fuori Casa]],$I1424&lt;&gt;SottocategorieUscite[[#Headers],[Varie Uscite]],$I1424&lt;&gt;SottocategorieUscite[[#Headers],[Personali]],$I1424&lt;&gt;SottocategorieUscite[[#Headers],[Lavoro]],$I1424&lt;&gt;SottocategorieUscite[[#Headers],[Casa]],$I1424&lt;&gt;SottocategorieUscite[[#Headers],[Utenze]],$I1424&lt;&gt;SottocategorieUscite[[#Headers],[Business Uscite]],$I1424&lt;&gt;SottocategorieUscite[[#Headers],[Banca]]),"","$ -")</f>
        <v/>
      </c>
      <c r="N1424" s="59" t="str">
        <f>IF(OR(Data!$I1424=SottocategorieEntrate[[#Headers],[Business Entrate]],Data!$I1424=SottocategorieEntrate[[#Headers],[Varie Entrate]]),"$ -","")</f>
        <v/>
      </c>
      <c r="O1424" s="59" t="str">
        <f>IF(OR(Data!$I1424=SottocategorieEntrate[[#Headers],[Real Estate]],SottocategorieEntrate[[#Headers],[Other]]),"$ -","")</f>
        <v/>
      </c>
      <c r="P1424" s="59" t="str">
        <f>IF(OR($I1424&lt;&gt;SottocategorieEntrate[[#Headers],[Business Entrate]],$I1424&lt;&gt;SottocategorieEntrate[[#Headers],[Varie Entrate]],$I1424&lt;&gt;SottocategorieEntrate[[#Headers],[Real Estate]],$I1424&lt;&gt;SottocategorieEntrate[[#Headers],[Other]]),"","$ -")</f>
        <v/>
      </c>
      <c r="Q1424" s="59" t="str">
        <f>IF(Dati[[#This Row],[Categoria]]="Prelievo","€ -","")</f>
        <v/>
      </c>
      <c r="R1424" s="244"/>
      <c r="S1424" s="59" t="str">
        <f>IF(Dati[[#This Row],[Categoria]]="Savings",0,"")</f>
        <v/>
      </c>
      <c r="T1424" s="59"/>
      <c r="U1424" s="59"/>
      <c r="V1424" s="59"/>
      <c r="W1424" s="59"/>
      <c r="X1424" s="59"/>
      <c r="Y1424" s="59"/>
      <c r="Z1424" s="59"/>
      <c r="AA1424" s="59"/>
      <c r="AB1424" s="59"/>
      <c r="AC1424" s="59"/>
      <c r="AD1424" s="59"/>
      <c r="AE1424" s="59"/>
      <c r="AF1424" s="59"/>
      <c r="AG1424" s="59"/>
      <c r="AH1424" s="59"/>
      <c r="AI1424" s="59" t="str">
        <f>IF(SUM(Dati[[#This Row],[Inv. Business]:[Inv. Cryptocurrency]])=0," ",SUM(Dati[[#This Row],[Inv. Business]:[Inv. Cryptocurrency]]))</f>
        <v xml:space="preserve"> </v>
      </c>
      <c r="AJ1424" s="59"/>
      <c r="AK1424" s="59" t="str">
        <f>IF(SUM(Dati[[#This Row],[Inv. Gold]:[Mutuo]])=0," ",SUM(Dati[[#This Row],[Inv. Gold]:[Mutuo]]))</f>
        <v xml:space="preserve"> </v>
      </c>
      <c r="AL1424" s="59"/>
      <c r="AM1424" s="59"/>
    </row>
    <row r="1425" spans="2:39" x14ac:dyDescent="0.35">
      <c r="B1425" s="237">
        <f t="shared" si="107"/>
        <v>1405</v>
      </c>
      <c r="C1425" s="49">
        <f t="shared" si="106"/>
        <v>45983</v>
      </c>
      <c r="D1425" s="29">
        <f>DAY(Dati[[#This Row],[Data]])</f>
        <v>22</v>
      </c>
      <c r="E1425" s="29" t="str">
        <f>IF(DAY(Data!$C$21:$C$1613)&gt;0,TEXT(Data!$C$21:$C$1613, "mmmm"),"")</f>
        <v>novembre</v>
      </c>
      <c r="F1425" s="29" t="str">
        <f>IF(DAY(Data!$C$21:$C$1613)&gt;0,TEXT(Data!$C$21:$C$1613, "aaaa"),"")</f>
        <v>2025</v>
      </c>
      <c r="I1425" t="str">
        <f>IF(OR(H1425=$B$5,H1425=$B$6,H1425=$B$7,H1425=$B$8,H1425=$B$9,H1425=$B$10,H1425=$B$11,H1425=$B$12,H1425=$B$13,H1425=$B$14),SottocategorieUscite[[#Headers],[Fuori Casa]],IF(OR(H1425=$C$5,H1425=$C$6,H1425=$C$7,H1425=$C$8,H1425=$C$9,H1425=$C$10,H1425=$C$11,H1425=$C$12,H1425=$C$13,H1425=$C$14),SottocategorieUscite[[#Headers],[Varie Uscite]],IF(OR(H1425=$D$5,H1425=$D$6,H1425=$D$7,H1425=$D$8,H1425=$D$9,H1425=$D$10,H1425=$D$11,H1425=$D$12,H1425=$D$13,H1425=$D$14),SottocategorieUscite[[#Headers],[Personali]],IF(OR(H1425=$E$5,H1425=$E$6,H1425=$E$7,H1425=$E$8,H1425=$E$9,H1425=$E$10,H1425=$E$11,H1425=$E$12,H1425=$E$13,H1425=$E$14),SottocategorieUscite[[#Headers],[Lavoro]],IF(OR(H1425=$F$5,H1425=$F$6,H1425=$F$7,H1425=$F$8,H1425=$F$9,H1425=$F$10,H1425=$F$11,H1425=$F$12,H1425=$F$13,H1425=$F$14),SottocategorieUscite[[#Headers],[Casa]],IF(OR(H1425=$G$5,H1425=$G$6,H1425=$G$7,H1425=$G$8,H1425=$G$9,H1425=$G$10,H1425=$G$11,H1425=$G$12,H1425=$G$13,H1425=$G$14),SottocategorieUscite[[#Headers],[Utenze]],IF(OR(H1425=$H$5,H1425=$H$6,H1425=$H$7,H1425=$H$8,H1425=$H$9,H1425=$H$10,H1425=$H$11,H1425=$H$12,H1425=$H$13,H1425=$H$14),SottocategorieUscite[[#Headers],[Business Uscite]],IF(OR(H1425=$I$5,H1425=$I$6,H1425=$I$7,H1425=$I$8,H1425=$I$9,H1425=$I$10,H1425=$I$11,H1425=$I$12,H1425=$I$13,H1425=$I$14),SottocategorieUscite[[#Headers],[Banca]],IF(OR(H1425=K$5,H1425=K$6,H1425=K$7,H1425=K$8,H1425=K$9,H1425=K$10,H1425=K$11,H1425=K$12,H1425=K$13,H1425=K$14),SottocategorieEntrate[[#Headers],[Business Entrate]],IF(OR(H1425=L$5,H1425=L$6,H1425=L$7,H1425=L$8,H1425=L$9,H1425=L$10,H1425=L$11,H1425=L$12,H1425=L$13,H1425=L$14),SottocategorieEntrate[[#Headers],[Varie Entrate]],IF(OR(H1425=M$5,H1425=M$6,H1425=M$7,H1425=M$8,H1425=M$9,H1425=M$10,H1425=M$11,H1425=M$12,H1425=M$13,H1425=M$14),SottocategorieEntrate[[#Headers],[Real Estate]],IF(OR(H1425=N$5,H1425=N$6,H1425=N$7,H1425=N$8,H1425=N$9,H1425=N$10,H1425=N$11,H1425=N$12,H1425=N$13,H1425=N$14),SottocategorieEntrate[[#Headers],[Other]],""))))))))))))</f>
        <v/>
      </c>
      <c r="J1425" t="str">
        <f>IF(OR(Dati[[#This Row],[Categoria]]="Bollette",Dati[[#This Row],[Categoria]]="Conto &amp; Carte BNL",Dati[[#This Row],[Categoria]]="Prelievo",Dati[[#This Row],[Categoria]]="Affitto",Dati[[#This Row],[Categoria]]="BNL(Interessi Creditori)"),"Carta",IF(Dati[[#This Row],[Categoria]]&lt;&gt;0,"Cash",""))</f>
        <v/>
      </c>
      <c r="K1425" s="59" t="str">
        <f>IF(OR(Data!$I1425=SottocategorieUscite[[#Headers],[Fuori Casa]],Data!$I1425=SottocategorieUscite[[#Headers],[Varie Uscite]],Data!$I1425=SottocategorieUscite[[#Headers],[Personali]],Data!$I1425=SottocategorieUscite[[#Headers],[Lavoro]]),"$ -","")</f>
        <v/>
      </c>
      <c r="L1425" s="59" t="str">
        <f>IF(OR(Data!$I1425=SottocategorieUscite[[#Headers],[Casa]],Data!$I1425=SottocategorieUscite[[#Headers],[Utenze]],Data!$I1425=SottocategorieUscite[[#Headers],[Business Uscite]],Data!$I1425=SottocategorieUscite[[#Headers],[Banca]]),"$ -","")</f>
        <v/>
      </c>
      <c r="M1425" s="59" t="str">
        <f>IF(OR($I1425&lt;&gt;SottocategorieUscite[[#Headers],[Fuori Casa]],$I1425&lt;&gt;SottocategorieUscite[[#Headers],[Varie Uscite]],$I1425&lt;&gt;SottocategorieUscite[[#Headers],[Personali]],$I1425&lt;&gt;SottocategorieUscite[[#Headers],[Lavoro]],$I1425&lt;&gt;SottocategorieUscite[[#Headers],[Casa]],$I1425&lt;&gt;SottocategorieUscite[[#Headers],[Utenze]],$I1425&lt;&gt;SottocategorieUscite[[#Headers],[Business Uscite]],$I1425&lt;&gt;SottocategorieUscite[[#Headers],[Banca]]),"","$ -")</f>
        <v/>
      </c>
      <c r="N1425" s="59" t="str">
        <f>IF(OR(Data!$I1425=SottocategorieEntrate[[#Headers],[Business Entrate]],Data!$I1425=SottocategorieEntrate[[#Headers],[Varie Entrate]]),"$ -","")</f>
        <v/>
      </c>
      <c r="O1425" s="59" t="str">
        <f>IF(OR(Data!$I1425=SottocategorieEntrate[[#Headers],[Real Estate]],SottocategorieEntrate[[#Headers],[Other]]),"$ -","")</f>
        <v/>
      </c>
      <c r="P1425" s="59" t="str">
        <f>IF(OR($I1425&lt;&gt;SottocategorieEntrate[[#Headers],[Business Entrate]],$I1425&lt;&gt;SottocategorieEntrate[[#Headers],[Varie Entrate]],$I1425&lt;&gt;SottocategorieEntrate[[#Headers],[Real Estate]],$I1425&lt;&gt;SottocategorieEntrate[[#Headers],[Other]]),"","$ -")</f>
        <v/>
      </c>
      <c r="Q1425" s="59" t="str">
        <f>IF(Dati[[#This Row],[Categoria]]="Prelievo","€ -","")</f>
        <v/>
      </c>
      <c r="R1425" s="244"/>
      <c r="S1425" s="59" t="str">
        <f>IF(Dati[[#This Row],[Categoria]]="Savings",0,"")</f>
        <v/>
      </c>
      <c r="T1425" s="59"/>
      <c r="U1425" s="59"/>
      <c r="V1425" s="59"/>
      <c r="W1425" s="59"/>
      <c r="X1425" s="59"/>
      <c r="Y1425" s="59"/>
      <c r="Z1425" s="59"/>
      <c r="AA1425" s="59"/>
      <c r="AB1425" s="59"/>
      <c r="AC1425" s="59"/>
      <c r="AD1425" s="59"/>
      <c r="AE1425" s="59"/>
      <c r="AF1425" s="59"/>
      <c r="AG1425" s="59"/>
      <c r="AH1425" s="59"/>
      <c r="AI1425" s="59" t="str">
        <f>IF(SUM(Dati[[#This Row],[Inv. Business]:[Inv. Cryptocurrency]])=0," ",SUM(Dati[[#This Row],[Inv. Business]:[Inv. Cryptocurrency]]))</f>
        <v xml:space="preserve"> </v>
      </c>
      <c r="AJ1425" s="59"/>
      <c r="AK1425" s="59" t="str">
        <f>IF(SUM(Dati[[#This Row],[Inv. Gold]:[Mutuo]])=0," ",SUM(Dati[[#This Row],[Inv. Gold]:[Mutuo]]))</f>
        <v xml:space="preserve"> </v>
      </c>
      <c r="AL1425" s="59"/>
      <c r="AM1425" s="59"/>
    </row>
    <row r="1426" spans="2:39" x14ac:dyDescent="0.35">
      <c r="B1426" s="237">
        <f t="shared" si="107"/>
        <v>1406</v>
      </c>
      <c r="C1426" s="49">
        <f t="shared" si="106"/>
        <v>45984</v>
      </c>
      <c r="D1426" s="29">
        <f>DAY(Dati[[#This Row],[Data]])</f>
        <v>23</v>
      </c>
      <c r="E1426" s="29" t="str">
        <f>IF(DAY(Data!$C$21:$C$1613)&gt;0,TEXT(Data!$C$21:$C$1613, "mmmm"),"")</f>
        <v>novembre</v>
      </c>
      <c r="F1426" s="29" t="str">
        <f>IF(DAY(Data!$C$21:$C$1613)&gt;0,TEXT(Data!$C$21:$C$1613, "aaaa"),"")</f>
        <v>2025</v>
      </c>
      <c r="I1426" t="str">
        <f>IF(OR(H1426=$B$5,H1426=$B$6,H1426=$B$7,H1426=$B$8,H1426=$B$9,H1426=$B$10,H1426=$B$11,H1426=$B$12,H1426=$B$13,H1426=$B$14),SottocategorieUscite[[#Headers],[Fuori Casa]],IF(OR(H1426=$C$5,H1426=$C$6,H1426=$C$7,H1426=$C$8,H1426=$C$9,H1426=$C$10,H1426=$C$11,H1426=$C$12,H1426=$C$13,H1426=$C$14),SottocategorieUscite[[#Headers],[Varie Uscite]],IF(OR(H1426=$D$5,H1426=$D$6,H1426=$D$7,H1426=$D$8,H1426=$D$9,H1426=$D$10,H1426=$D$11,H1426=$D$12,H1426=$D$13,H1426=$D$14),SottocategorieUscite[[#Headers],[Personali]],IF(OR(H1426=$E$5,H1426=$E$6,H1426=$E$7,H1426=$E$8,H1426=$E$9,H1426=$E$10,H1426=$E$11,H1426=$E$12,H1426=$E$13,H1426=$E$14),SottocategorieUscite[[#Headers],[Lavoro]],IF(OR(H1426=$F$5,H1426=$F$6,H1426=$F$7,H1426=$F$8,H1426=$F$9,H1426=$F$10,H1426=$F$11,H1426=$F$12,H1426=$F$13,H1426=$F$14),SottocategorieUscite[[#Headers],[Casa]],IF(OR(H1426=$G$5,H1426=$G$6,H1426=$G$7,H1426=$G$8,H1426=$G$9,H1426=$G$10,H1426=$G$11,H1426=$G$12,H1426=$G$13,H1426=$G$14),SottocategorieUscite[[#Headers],[Utenze]],IF(OR(H1426=$H$5,H1426=$H$6,H1426=$H$7,H1426=$H$8,H1426=$H$9,H1426=$H$10,H1426=$H$11,H1426=$H$12,H1426=$H$13,H1426=$H$14),SottocategorieUscite[[#Headers],[Business Uscite]],IF(OR(H1426=$I$5,H1426=$I$6,H1426=$I$7,H1426=$I$8,H1426=$I$9,H1426=$I$10,H1426=$I$11,H1426=$I$12,H1426=$I$13,H1426=$I$14),SottocategorieUscite[[#Headers],[Banca]],IF(OR(H1426=K$5,H1426=K$6,H1426=K$7,H1426=K$8,H1426=K$9,H1426=K$10,H1426=K$11,H1426=K$12,H1426=K$13,H1426=K$14),SottocategorieEntrate[[#Headers],[Business Entrate]],IF(OR(H1426=L$5,H1426=L$6,H1426=L$7,H1426=L$8,H1426=L$9,H1426=L$10,H1426=L$11,H1426=L$12,H1426=L$13,H1426=L$14),SottocategorieEntrate[[#Headers],[Varie Entrate]],IF(OR(H1426=M$5,H1426=M$6,H1426=M$7,H1426=M$8,H1426=M$9,H1426=M$10,H1426=M$11,H1426=M$12,H1426=M$13,H1426=M$14),SottocategorieEntrate[[#Headers],[Real Estate]],IF(OR(H1426=N$5,H1426=N$6,H1426=N$7,H1426=N$8,H1426=N$9,H1426=N$10,H1426=N$11,H1426=N$12,H1426=N$13,H1426=N$14),SottocategorieEntrate[[#Headers],[Other]],""))))))))))))</f>
        <v/>
      </c>
      <c r="J1426" t="str">
        <f>IF(OR(Dati[[#This Row],[Categoria]]="Bollette",Dati[[#This Row],[Categoria]]="Conto &amp; Carte BNL",Dati[[#This Row],[Categoria]]="Prelievo",Dati[[#This Row],[Categoria]]="Affitto",Dati[[#This Row],[Categoria]]="BNL(Interessi Creditori)"),"Carta",IF(Dati[[#This Row],[Categoria]]&lt;&gt;0,"Cash",""))</f>
        <v/>
      </c>
      <c r="K1426" s="59" t="str">
        <f>IF(OR(Data!$I1426=SottocategorieUscite[[#Headers],[Fuori Casa]],Data!$I1426=SottocategorieUscite[[#Headers],[Varie Uscite]],Data!$I1426=SottocategorieUscite[[#Headers],[Personali]],Data!$I1426=SottocategorieUscite[[#Headers],[Lavoro]]),"$ -","")</f>
        <v/>
      </c>
      <c r="L1426" s="59" t="str">
        <f>IF(OR(Data!$I1426=SottocategorieUscite[[#Headers],[Casa]],Data!$I1426=SottocategorieUscite[[#Headers],[Utenze]],Data!$I1426=SottocategorieUscite[[#Headers],[Business Uscite]],Data!$I1426=SottocategorieUscite[[#Headers],[Banca]]),"$ -","")</f>
        <v/>
      </c>
      <c r="M1426" s="59" t="str">
        <f>IF(OR($I1426&lt;&gt;SottocategorieUscite[[#Headers],[Fuori Casa]],$I1426&lt;&gt;SottocategorieUscite[[#Headers],[Varie Uscite]],$I1426&lt;&gt;SottocategorieUscite[[#Headers],[Personali]],$I1426&lt;&gt;SottocategorieUscite[[#Headers],[Lavoro]],$I1426&lt;&gt;SottocategorieUscite[[#Headers],[Casa]],$I1426&lt;&gt;SottocategorieUscite[[#Headers],[Utenze]],$I1426&lt;&gt;SottocategorieUscite[[#Headers],[Business Uscite]],$I1426&lt;&gt;SottocategorieUscite[[#Headers],[Banca]]),"","$ -")</f>
        <v/>
      </c>
      <c r="N1426" s="59" t="str">
        <f>IF(OR(Data!$I1426=SottocategorieEntrate[[#Headers],[Business Entrate]],Data!$I1426=SottocategorieEntrate[[#Headers],[Varie Entrate]]),"$ -","")</f>
        <v/>
      </c>
      <c r="O1426" s="59" t="str">
        <f>IF(OR(Data!$I1426=SottocategorieEntrate[[#Headers],[Real Estate]],SottocategorieEntrate[[#Headers],[Other]]),"$ -","")</f>
        <v/>
      </c>
      <c r="P1426" s="59" t="str">
        <f>IF(OR($I1426&lt;&gt;SottocategorieEntrate[[#Headers],[Business Entrate]],$I1426&lt;&gt;SottocategorieEntrate[[#Headers],[Varie Entrate]],$I1426&lt;&gt;SottocategorieEntrate[[#Headers],[Real Estate]],$I1426&lt;&gt;SottocategorieEntrate[[#Headers],[Other]]),"","$ -")</f>
        <v/>
      </c>
      <c r="Q1426" s="59" t="str">
        <f>IF(Dati[[#This Row],[Categoria]]="Prelievo","€ -","")</f>
        <v/>
      </c>
      <c r="R1426" s="244"/>
      <c r="S1426" s="59" t="str">
        <f>IF(Dati[[#This Row],[Categoria]]="Savings",0,"")</f>
        <v/>
      </c>
      <c r="T1426" s="59"/>
      <c r="U1426" s="59"/>
      <c r="V1426" s="59"/>
      <c r="W1426" s="59"/>
      <c r="X1426" s="59"/>
      <c r="Y1426" s="59"/>
      <c r="Z1426" s="59"/>
      <c r="AA1426" s="59"/>
      <c r="AB1426" s="59"/>
      <c r="AC1426" s="59"/>
      <c r="AD1426" s="59"/>
      <c r="AE1426" s="59"/>
      <c r="AF1426" s="59"/>
      <c r="AG1426" s="59"/>
      <c r="AH1426" s="59"/>
      <c r="AI1426" s="59" t="str">
        <f>IF(SUM(Dati[[#This Row],[Inv. Business]:[Inv. Cryptocurrency]])=0," ",SUM(Dati[[#This Row],[Inv. Business]:[Inv. Cryptocurrency]]))</f>
        <v xml:space="preserve"> </v>
      </c>
      <c r="AJ1426" s="59"/>
      <c r="AK1426" s="59" t="str">
        <f>IF(SUM(Dati[[#This Row],[Inv. Gold]:[Mutuo]])=0," ",SUM(Dati[[#This Row],[Inv. Gold]:[Mutuo]]))</f>
        <v xml:space="preserve"> </v>
      </c>
      <c r="AL1426" s="59"/>
      <c r="AM1426" s="59"/>
    </row>
    <row r="1427" spans="2:39" x14ac:dyDescent="0.35">
      <c r="B1427" s="237">
        <f t="shared" si="107"/>
        <v>1407</v>
      </c>
      <c r="C1427" s="49">
        <f t="shared" si="106"/>
        <v>45985</v>
      </c>
      <c r="D1427" s="29">
        <f>DAY(Dati[[#This Row],[Data]])</f>
        <v>24</v>
      </c>
      <c r="E1427" s="29" t="str">
        <f>IF(DAY(Data!$C$21:$C$1613)&gt;0,TEXT(Data!$C$21:$C$1613, "mmmm"),"")</f>
        <v>novembre</v>
      </c>
      <c r="F1427" s="29" t="str">
        <f>IF(DAY(Data!$C$21:$C$1613)&gt;0,TEXT(Data!$C$21:$C$1613, "aaaa"),"")</f>
        <v>2025</v>
      </c>
      <c r="I1427" t="str">
        <f>IF(OR(H1427=$B$5,H1427=$B$6,H1427=$B$7,H1427=$B$8,H1427=$B$9,H1427=$B$10,H1427=$B$11,H1427=$B$12,H1427=$B$13,H1427=$B$14),SottocategorieUscite[[#Headers],[Fuori Casa]],IF(OR(H1427=$C$5,H1427=$C$6,H1427=$C$7,H1427=$C$8,H1427=$C$9,H1427=$C$10,H1427=$C$11,H1427=$C$12,H1427=$C$13,H1427=$C$14),SottocategorieUscite[[#Headers],[Varie Uscite]],IF(OR(H1427=$D$5,H1427=$D$6,H1427=$D$7,H1427=$D$8,H1427=$D$9,H1427=$D$10,H1427=$D$11,H1427=$D$12,H1427=$D$13,H1427=$D$14),SottocategorieUscite[[#Headers],[Personali]],IF(OR(H1427=$E$5,H1427=$E$6,H1427=$E$7,H1427=$E$8,H1427=$E$9,H1427=$E$10,H1427=$E$11,H1427=$E$12,H1427=$E$13,H1427=$E$14),SottocategorieUscite[[#Headers],[Lavoro]],IF(OR(H1427=$F$5,H1427=$F$6,H1427=$F$7,H1427=$F$8,H1427=$F$9,H1427=$F$10,H1427=$F$11,H1427=$F$12,H1427=$F$13,H1427=$F$14),SottocategorieUscite[[#Headers],[Casa]],IF(OR(H1427=$G$5,H1427=$G$6,H1427=$G$7,H1427=$G$8,H1427=$G$9,H1427=$G$10,H1427=$G$11,H1427=$G$12,H1427=$G$13,H1427=$G$14),SottocategorieUscite[[#Headers],[Utenze]],IF(OR(H1427=$H$5,H1427=$H$6,H1427=$H$7,H1427=$H$8,H1427=$H$9,H1427=$H$10,H1427=$H$11,H1427=$H$12,H1427=$H$13,H1427=$H$14),SottocategorieUscite[[#Headers],[Business Uscite]],IF(OR(H1427=$I$5,H1427=$I$6,H1427=$I$7,H1427=$I$8,H1427=$I$9,H1427=$I$10,H1427=$I$11,H1427=$I$12,H1427=$I$13,H1427=$I$14),SottocategorieUscite[[#Headers],[Banca]],IF(OR(H1427=K$5,H1427=K$6,H1427=K$7,H1427=K$8,H1427=K$9,H1427=K$10,H1427=K$11,H1427=K$12,H1427=K$13,H1427=K$14),SottocategorieEntrate[[#Headers],[Business Entrate]],IF(OR(H1427=L$5,H1427=L$6,H1427=L$7,H1427=L$8,H1427=L$9,H1427=L$10,H1427=L$11,H1427=L$12,H1427=L$13,H1427=L$14),SottocategorieEntrate[[#Headers],[Varie Entrate]],IF(OR(H1427=M$5,H1427=M$6,H1427=M$7,H1427=M$8,H1427=M$9,H1427=M$10,H1427=M$11,H1427=M$12,H1427=M$13,H1427=M$14),SottocategorieEntrate[[#Headers],[Real Estate]],IF(OR(H1427=N$5,H1427=N$6,H1427=N$7,H1427=N$8,H1427=N$9,H1427=N$10,H1427=N$11,H1427=N$12,H1427=N$13,H1427=N$14),SottocategorieEntrate[[#Headers],[Other]],""))))))))))))</f>
        <v/>
      </c>
      <c r="J1427" t="str">
        <f>IF(OR(Dati[[#This Row],[Categoria]]="Bollette",Dati[[#This Row],[Categoria]]="Conto &amp; Carte BNL",Dati[[#This Row],[Categoria]]="Prelievo",Dati[[#This Row],[Categoria]]="Affitto",Dati[[#This Row],[Categoria]]="BNL(Interessi Creditori)"),"Carta",IF(Dati[[#This Row],[Categoria]]&lt;&gt;0,"Cash",""))</f>
        <v/>
      </c>
      <c r="K1427" s="59" t="str">
        <f>IF(OR(Data!$I1427=SottocategorieUscite[[#Headers],[Fuori Casa]],Data!$I1427=SottocategorieUscite[[#Headers],[Varie Uscite]],Data!$I1427=SottocategorieUscite[[#Headers],[Personali]],Data!$I1427=SottocategorieUscite[[#Headers],[Lavoro]]),"$ -","")</f>
        <v/>
      </c>
      <c r="L1427" s="59" t="str">
        <f>IF(OR(Data!$I1427=SottocategorieUscite[[#Headers],[Casa]],Data!$I1427=SottocategorieUscite[[#Headers],[Utenze]],Data!$I1427=SottocategorieUscite[[#Headers],[Business Uscite]],Data!$I1427=SottocategorieUscite[[#Headers],[Banca]]),"$ -","")</f>
        <v/>
      </c>
      <c r="M1427" s="59" t="str">
        <f>IF(OR($I1427&lt;&gt;SottocategorieUscite[[#Headers],[Fuori Casa]],$I1427&lt;&gt;SottocategorieUscite[[#Headers],[Varie Uscite]],$I1427&lt;&gt;SottocategorieUscite[[#Headers],[Personali]],$I1427&lt;&gt;SottocategorieUscite[[#Headers],[Lavoro]],$I1427&lt;&gt;SottocategorieUscite[[#Headers],[Casa]],$I1427&lt;&gt;SottocategorieUscite[[#Headers],[Utenze]],$I1427&lt;&gt;SottocategorieUscite[[#Headers],[Business Uscite]],$I1427&lt;&gt;SottocategorieUscite[[#Headers],[Banca]]),"","$ -")</f>
        <v/>
      </c>
      <c r="N1427" s="59" t="str">
        <f>IF(OR(Data!$I1427=SottocategorieEntrate[[#Headers],[Business Entrate]],Data!$I1427=SottocategorieEntrate[[#Headers],[Varie Entrate]]),"$ -","")</f>
        <v/>
      </c>
      <c r="O1427" s="59" t="str">
        <f>IF(OR(Data!$I1427=SottocategorieEntrate[[#Headers],[Real Estate]],SottocategorieEntrate[[#Headers],[Other]]),"$ -","")</f>
        <v/>
      </c>
      <c r="P1427" s="59" t="str">
        <f>IF(OR($I1427&lt;&gt;SottocategorieEntrate[[#Headers],[Business Entrate]],$I1427&lt;&gt;SottocategorieEntrate[[#Headers],[Varie Entrate]],$I1427&lt;&gt;SottocategorieEntrate[[#Headers],[Real Estate]],$I1427&lt;&gt;SottocategorieEntrate[[#Headers],[Other]]),"","$ -")</f>
        <v/>
      </c>
      <c r="Q1427" s="59" t="str">
        <f>IF(Dati[[#This Row],[Categoria]]="Prelievo","€ -","")</f>
        <v/>
      </c>
      <c r="R1427" s="244"/>
      <c r="S1427" s="59" t="str">
        <f>IF(Dati[[#This Row],[Categoria]]="Savings",0,"")</f>
        <v/>
      </c>
      <c r="T1427" s="59"/>
      <c r="U1427" s="59"/>
      <c r="V1427" s="59"/>
      <c r="W1427" s="59"/>
      <c r="X1427" s="59"/>
      <c r="Y1427" s="59"/>
      <c r="Z1427" s="59"/>
      <c r="AA1427" s="59"/>
      <c r="AB1427" s="59"/>
      <c r="AC1427" s="59"/>
      <c r="AD1427" s="59"/>
      <c r="AE1427" s="59"/>
      <c r="AF1427" s="59"/>
      <c r="AG1427" s="59"/>
      <c r="AH1427" s="59"/>
      <c r="AI1427" s="59" t="str">
        <f>IF(SUM(Dati[[#This Row],[Inv. Business]:[Inv. Cryptocurrency]])=0," ",SUM(Dati[[#This Row],[Inv. Business]:[Inv. Cryptocurrency]]))</f>
        <v xml:space="preserve"> </v>
      </c>
      <c r="AJ1427" s="59"/>
      <c r="AK1427" s="59" t="str">
        <f>IF(SUM(Dati[[#This Row],[Inv. Gold]:[Mutuo]])=0," ",SUM(Dati[[#This Row],[Inv. Gold]:[Mutuo]]))</f>
        <v xml:space="preserve"> </v>
      </c>
      <c r="AL1427" s="59"/>
      <c r="AM1427" s="59"/>
    </row>
    <row r="1428" spans="2:39" x14ac:dyDescent="0.35">
      <c r="B1428" s="237">
        <f t="shared" si="107"/>
        <v>1408</v>
      </c>
      <c r="C1428" s="49">
        <f t="shared" si="106"/>
        <v>45986</v>
      </c>
      <c r="D1428" s="29">
        <f>DAY(Dati[[#This Row],[Data]])</f>
        <v>25</v>
      </c>
      <c r="E1428" s="29" t="str">
        <f>IF(DAY(Data!$C$21:$C$1613)&gt;0,TEXT(Data!$C$21:$C$1613, "mmmm"),"")</f>
        <v>novembre</v>
      </c>
      <c r="F1428" s="29" t="str">
        <f>IF(DAY(Data!$C$21:$C$1613)&gt;0,TEXT(Data!$C$21:$C$1613, "aaaa"),"")</f>
        <v>2025</v>
      </c>
      <c r="I1428" t="str">
        <f>IF(OR(H1428=$B$5,H1428=$B$6,H1428=$B$7,H1428=$B$8,H1428=$B$9,H1428=$B$10,H1428=$B$11,H1428=$B$12,H1428=$B$13,H1428=$B$14),SottocategorieUscite[[#Headers],[Fuori Casa]],IF(OR(H1428=$C$5,H1428=$C$6,H1428=$C$7,H1428=$C$8,H1428=$C$9,H1428=$C$10,H1428=$C$11,H1428=$C$12,H1428=$C$13,H1428=$C$14),SottocategorieUscite[[#Headers],[Varie Uscite]],IF(OR(H1428=$D$5,H1428=$D$6,H1428=$D$7,H1428=$D$8,H1428=$D$9,H1428=$D$10,H1428=$D$11,H1428=$D$12,H1428=$D$13,H1428=$D$14),SottocategorieUscite[[#Headers],[Personali]],IF(OR(H1428=$E$5,H1428=$E$6,H1428=$E$7,H1428=$E$8,H1428=$E$9,H1428=$E$10,H1428=$E$11,H1428=$E$12,H1428=$E$13,H1428=$E$14),SottocategorieUscite[[#Headers],[Lavoro]],IF(OR(H1428=$F$5,H1428=$F$6,H1428=$F$7,H1428=$F$8,H1428=$F$9,H1428=$F$10,H1428=$F$11,H1428=$F$12,H1428=$F$13,H1428=$F$14),SottocategorieUscite[[#Headers],[Casa]],IF(OR(H1428=$G$5,H1428=$G$6,H1428=$G$7,H1428=$G$8,H1428=$G$9,H1428=$G$10,H1428=$G$11,H1428=$G$12,H1428=$G$13,H1428=$G$14),SottocategorieUscite[[#Headers],[Utenze]],IF(OR(H1428=$H$5,H1428=$H$6,H1428=$H$7,H1428=$H$8,H1428=$H$9,H1428=$H$10,H1428=$H$11,H1428=$H$12,H1428=$H$13,H1428=$H$14),SottocategorieUscite[[#Headers],[Business Uscite]],IF(OR(H1428=$I$5,H1428=$I$6,H1428=$I$7,H1428=$I$8,H1428=$I$9,H1428=$I$10,H1428=$I$11,H1428=$I$12,H1428=$I$13,H1428=$I$14),SottocategorieUscite[[#Headers],[Banca]],IF(OR(H1428=K$5,H1428=K$6,H1428=K$7,H1428=K$8,H1428=K$9,H1428=K$10,H1428=K$11,H1428=K$12,H1428=K$13,H1428=K$14),SottocategorieEntrate[[#Headers],[Business Entrate]],IF(OR(H1428=L$5,H1428=L$6,H1428=L$7,H1428=L$8,H1428=L$9,H1428=L$10,H1428=L$11,H1428=L$12,H1428=L$13,H1428=L$14),SottocategorieEntrate[[#Headers],[Varie Entrate]],IF(OR(H1428=M$5,H1428=M$6,H1428=M$7,H1428=M$8,H1428=M$9,H1428=M$10,H1428=M$11,H1428=M$12,H1428=M$13,H1428=M$14),SottocategorieEntrate[[#Headers],[Real Estate]],IF(OR(H1428=N$5,H1428=N$6,H1428=N$7,H1428=N$8,H1428=N$9,H1428=N$10,H1428=N$11,H1428=N$12,H1428=N$13,H1428=N$14),SottocategorieEntrate[[#Headers],[Other]],""))))))))))))</f>
        <v/>
      </c>
      <c r="J1428" t="str">
        <f>IF(OR(Dati[[#This Row],[Categoria]]="Bollette",Dati[[#This Row],[Categoria]]="Conto &amp; Carte BNL",Dati[[#This Row],[Categoria]]="Prelievo",Dati[[#This Row],[Categoria]]="Affitto",Dati[[#This Row],[Categoria]]="BNL(Interessi Creditori)"),"Carta",IF(Dati[[#This Row],[Categoria]]&lt;&gt;0,"Cash",""))</f>
        <v/>
      </c>
      <c r="K1428" s="59" t="str">
        <f>IF(OR(Data!$I1428=SottocategorieUscite[[#Headers],[Fuori Casa]],Data!$I1428=SottocategorieUscite[[#Headers],[Varie Uscite]],Data!$I1428=SottocategorieUscite[[#Headers],[Personali]],Data!$I1428=SottocategorieUscite[[#Headers],[Lavoro]]),"$ -","")</f>
        <v/>
      </c>
      <c r="L1428" s="59" t="str">
        <f>IF(OR(Data!$I1428=SottocategorieUscite[[#Headers],[Casa]],Data!$I1428=SottocategorieUscite[[#Headers],[Utenze]],Data!$I1428=SottocategorieUscite[[#Headers],[Business Uscite]],Data!$I1428=SottocategorieUscite[[#Headers],[Banca]]),"$ -","")</f>
        <v/>
      </c>
      <c r="M1428" s="59" t="str">
        <f>IF(OR($I1428&lt;&gt;SottocategorieUscite[[#Headers],[Fuori Casa]],$I1428&lt;&gt;SottocategorieUscite[[#Headers],[Varie Uscite]],$I1428&lt;&gt;SottocategorieUscite[[#Headers],[Personali]],$I1428&lt;&gt;SottocategorieUscite[[#Headers],[Lavoro]],$I1428&lt;&gt;SottocategorieUscite[[#Headers],[Casa]],$I1428&lt;&gt;SottocategorieUscite[[#Headers],[Utenze]],$I1428&lt;&gt;SottocategorieUscite[[#Headers],[Business Uscite]],$I1428&lt;&gt;SottocategorieUscite[[#Headers],[Banca]]),"","$ -")</f>
        <v/>
      </c>
      <c r="N1428" s="59" t="str">
        <f>IF(OR(Data!$I1428=SottocategorieEntrate[[#Headers],[Business Entrate]],Data!$I1428=SottocategorieEntrate[[#Headers],[Varie Entrate]]),"$ -","")</f>
        <v/>
      </c>
      <c r="O1428" s="59" t="str">
        <f>IF(OR(Data!$I1428=SottocategorieEntrate[[#Headers],[Real Estate]],SottocategorieEntrate[[#Headers],[Other]]),"$ -","")</f>
        <v/>
      </c>
      <c r="P1428" s="59" t="str">
        <f>IF(OR($I1428&lt;&gt;SottocategorieEntrate[[#Headers],[Business Entrate]],$I1428&lt;&gt;SottocategorieEntrate[[#Headers],[Varie Entrate]],$I1428&lt;&gt;SottocategorieEntrate[[#Headers],[Real Estate]],$I1428&lt;&gt;SottocategorieEntrate[[#Headers],[Other]]),"","$ -")</f>
        <v/>
      </c>
      <c r="Q1428" s="59" t="str">
        <f>IF(Dati[[#This Row],[Categoria]]="Prelievo","€ -","")</f>
        <v/>
      </c>
      <c r="R1428" s="244"/>
      <c r="S1428" s="59" t="str">
        <f>IF(Dati[[#This Row],[Categoria]]="Savings",0,"")</f>
        <v/>
      </c>
      <c r="T1428" s="59"/>
      <c r="U1428" s="59"/>
      <c r="V1428" s="59"/>
      <c r="W1428" s="59"/>
      <c r="X1428" s="59"/>
      <c r="Y1428" s="59"/>
      <c r="Z1428" s="59"/>
      <c r="AA1428" s="59"/>
      <c r="AB1428" s="59"/>
      <c r="AC1428" s="59"/>
      <c r="AD1428" s="59"/>
      <c r="AE1428" s="59"/>
      <c r="AF1428" s="59"/>
      <c r="AG1428" s="59"/>
      <c r="AH1428" s="59"/>
      <c r="AI1428" s="59" t="str">
        <f>IF(SUM(Dati[[#This Row],[Inv. Business]:[Inv. Cryptocurrency]])=0," ",SUM(Dati[[#This Row],[Inv. Business]:[Inv. Cryptocurrency]]))</f>
        <v xml:space="preserve"> </v>
      </c>
      <c r="AJ1428" s="59"/>
      <c r="AK1428" s="59" t="str">
        <f>IF(SUM(Dati[[#This Row],[Inv. Gold]:[Mutuo]])=0," ",SUM(Dati[[#This Row],[Inv. Gold]:[Mutuo]]))</f>
        <v xml:space="preserve"> </v>
      </c>
      <c r="AL1428" s="59"/>
      <c r="AM1428" s="59"/>
    </row>
    <row r="1429" spans="2:39" x14ac:dyDescent="0.35">
      <c r="B1429" s="237">
        <f t="shared" si="107"/>
        <v>1409</v>
      </c>
      <c r="C1429" s="49">
        <f t="shared" si="106"/>
        <v>45987</v>
      </c>
      <c r="D1429" s="29">
        <f>DAY(Dati[[#This Row],[Data]])</f>
        <v>26</v>
      </c>
      <c r="E1429" s="29" t="str">
        <f>IF(DAY(Data!$C$21:$C$1613)&gt;0,TEXT(Data!$C$21:$C$1613, "mmmm"),"")</f>
        <v>novembre</v>
      </c>
      <c r="F1429" s="29" t="str">
        <f>IF(DAY(Data!$C$21:$C$1613)&gt;0,TEXT(Data!$C$21:$C$1613, "aaaa"),"")</f>
        <v>2025</v>
      </c>
      <c r="I1429" t="str">
        <f>IF(OR(H1429=$B$5,H1429=$B$6,H1429=$B$7,H1429=$B$8,H1429=$B$9,H1429=$B$10,H1429=$B$11,H1429=$B$12,H1429=$B$13,H1429=$B$14),SottocategorieUscite[[#Headers],[Fuori Casa]],IF(OR(H1429=$C$5,H1429=$C$6,H1429=$C$7,H1429=$C$8,H1429=$C$9,H1429=$C$10,H1429=$C$11,H1429=$C$12,H1429=$C$13,H1429=$C$14),SottocategorieUscite[[#Headers],[Varie Uscite]],IF(OR(H1429=$D$5,H1429=$D$6,H1429=$D$7,H1429=$D$8,H1429=$D$9,H1429=$D$10,H1429=$D$11,H1429=$D$12,H1429=$D$13,H1429=$D$14),SottocategorieUscite[[#Headers],[Personali]],IF(OR(H1429=$E$5,H1429=$E$6,H1429=$E$7,H1429=$E$8,H1429=$E$9,H1429=$E$10,H1429=$E$11,H1429=$E$12,H1429=$E$13,H1429=$E$14),SottocategorieUscite[[#Headers],[Lavoro]],IF(OR(H1429=$F$5,H1429=$F$6,H1429=$F$7,H1429=$F$8,H1429=$F$9,H1429=$F$10,H1429=$F$11,H1429=$F$12,H1429=$F$13,H1429=$F$14),SottocategorieUscite[[#Headers],[Casa]],IF(OR(H1429=$G$5,H1429=$G$6,H1429=$G$7,H1429=$G$8,H1429=$G$9,H1429=$G$10,H1429=$G$11,H1429=$G$12,H1429=$G$13,H1429=$G$14),SottocategorieUscite[[#Headers],[Utenze]],IF(OR(H1429=$H$5,H1429=$H$6,H1429=$H$7,H1429=$H$8,H1429=$H$9,H1429=$H$10,H1429=$H$11,H1429=$H$12,H1429=$H$13,H1429=$H$14),SottocategorieUscite[[#Headers],[Business Uscite]],IF(OR(H1429=$I$5,H1429=$I$6,H1429=$I$7,H1429=$I$8,H1429=$I$9,H1429=$I$10,H1429=$I$11,H1429=$I$12,H1429=$I$13,H1429=$I$14),SottocategorieUscite[[#Headers],[Banca]],IF(OR(H1429=K$5,H1429=K$6,H1429=K$7,H1429=K$8,H1429=K$9,H1429=K$10,H1429=K$11,H1429=K$12,H1429=K$13,H1429=K$14),SottocategorieEntrate[[#Headers],[Business Entrate]],IF(OR(H1429=L$5,H1429=L$6,H1429=L$7,H1429=L$8,H1429=L$9,H1429=L$10,H1429=L$11,H1429=L$12,H1429=L$13,H1429=L$14),SottocategorieEntrate[[#Headers],[Varie Entrate]],IF(OR(H1429=M$5,H1429=M$6,H1429=M$7,H1429=M$8,H1429=M$9,H1429=M$10,H1429=M$11,H1429=M$12,H1429=M$13,H1429=M$14),SottocategorieEntrate[[#Headers],[Real Estate]],IF(OR(H1429=N$5,H1429=N$6,H1429=N$7,H1429=N$8,H1429=N$9,H1429=N$10,H1429=N$11,H1429=N$12,H1429=N$13,H1429=N$14),SottocategorieEntrate[[#Headers],[Other]],""))))))))))))</f>
        <v/>
      </c>
      <c r="J1429" t="str">
        <f>IF(OR(Dati[[#This Row],[Categoria]]="Bollette",Dati[[#This Row],[Categoria]]="Conto &amp; Carte BNL",Dati[[#This Row],[Categoria]]="Prelievo",Dati[[#This Row],[Categoria]]="Affitto",Dati[[#This Row],[Categoria]]="BNL(Interessi Creditori)"),"Carta",IF(Dati[[#This Row],[Categoria]]&lt;&gt;0,"Cash",""))</f>
        <v/>
      </c>
      <c r="K1429" s="59" t="str">
        <f>IF(OR(Data!$I1429=SottocategorieUscite[[#Headers],[Fuori Casa]],Data!$I1429=SottocategorieUscite[[#Headers],[Varie Uscite]],Data!$I1429=SottocategorieUscite[[#Headers],[Personali]],Data!$I1429=SottocategorieUscite[[#Headers],[Lavoro]]),"$ -","")</f>
        <v/>
      </c>
      <c r="L1429" s="59" t="str">
        <f>IF(OR(Data!$I1429=SottocategorieUscite[[#Headers],[Casa]],Data!$I1429=SottocategorieUscite[[#Headers],[Utenze]],Data!$I1429=SottocategorieUscite[[#Headers],[Business Uscite]],Data!$I1429=SottocategorieUscite[[#Headers],[Banca]]),"$ -","")</f>
        <v/>
      </c>
      <c r="M1429" s="59" t="str">
        <f>IF(OR($I1429&lt;&gt;SottocategorieUscite[[#Headers],[Fuori Casa]],$I1429&lt;&gt;SottocategorieUscite[[#Headers],[Varie Uscite]],$I1429&lt;&gt;SottocategorieUscite[[#Headers],[Personali]],$I1429&lt;&gt;SottocategorieUscite[[#Headers],[Lavoro]],$I1429&lt;&gt;SottocategorieUscite[[#Headers],[Casa]],$I1429&lt;&gt;SottocategorieUscite[[#Headers],[Utenze]],$I1429&lt;&gt;SottocategorieUscite[[#Headers],[Business Uscite]],$I1429&lt;&gt;SottocategorieUscite[[#Headers],[Banca]]),"","$ -")</f>
        <v/>
      </c>
      <c r="N1429" s="59" t="str">
        <f>IF(OR(Data!$I1429=SottocategorieEntrate[[#Headers],[Business Entrate]],Data!$I1429=SottocategorieEntrate[[#Headers],[Varie Entrate]]),"$ -","")</f>
        <v/>
      </c>
      <c r="O1429" s="59" t="str">
        <f>IF(OR(Data!$I1429=SottocategorieEntrate[[#Headers],[Real Estate]],SottocategorieEntrate[[#Headers],[Other]]),"$ -","")</f>
        <v/>
      </c>
      <c r="P1429" s="59" t="str">
        <f>IF(OR($I1429&lt;&gt;SottocategorieEntrate[[#Headers],[Business Entrate]],$I1429&lt;&gt;SottocategorieEntrate[[#Headers],[Varie Entrate]],$I1429&lt;&gt;SottocategorieEntrate[[#Headers],[Real Estate]],$I1429&lt;&gt;SottocategorieEntrate[[#Headers],[Other]]),"","$ -")</f>
        <v/>
      </c>
      <c r="Q1429" s="59" t="str">
        <f>IF(Dati[[#This Row],[Categoria]]="Prelievo","€ -","")</f>
        <v/>
      </c>
      <c r="R1429" s="244"/>
      <c r="S1429" s="59" t="str">
        <f>IF(Dati[[#This Row],[Categoria]]="Savings",0,"")</f>
        <v/>
      </c>
      <c r="T1429" s="59"/>
      <c r="U1429" s="59"/>
      <c r="V1429" s="59"/>
      <c r="W1429" s="59"/>
      <c r="X1429" s="59"/>
      <c r="Y1429" s="59"/>
      <c r="Z1429" s="59"/>
      <c r="AA1429" s="59"/>
      <c r="AB1429" s="59"/>
      <c r="AC1429" s="59"/>
      <c r="AD1429" s="59"/>
      <c r="AE1429" s="59"/>
      <c r="AF1429" s="59"/>
      <c r="AG1429" s="59"/>
      <c r="AH1429" s="59"/>
      <c r="AI1429" s="59" t="str">
        <f>IF(SUM(Dati[[#This Row],[Inv. Business]:[Inv. Cryptocurrency]])=0," ",SUM(Dati[[#This Row],[Inv. Business]:[Inv. Cryptocurrency]]))</f>
        <v xml:space="preserve"> </v>
      </c>
      <c r="AJ1429" s="59"/>
      <c r="AK1429" s="59" t="str">
        <f>IF(SUM(Dati[[#This Row],[Inv. Gold]:[Mutuo]])=0," ",SUM(Dati[[#This Row],[Inv. Gold]:[Mutuo]]))</f>
        <v xml:space="preserve"> </v>
      </c>
      <c r="AL1429" s="59"/>
      <c r="AM1429" s="59"/>
    </row>
    <row r="1430" spans="2:39" x14ac:dyDescent="0.35">
      <c r="B1430" s="237">
        <f t="shared" si="107"/>
        <v>1410</v>
      </c>
      <c r="C1430" s="49">
        <f t="shared" si="106"/>
        <v>45988</v>
      </c>
      <c r="D1430" s="29">
        <f>DAY(Dati[[#This Row],[Data]])</f>
        <v>27</v>
      </c>
      <c r="E1430" s="29" t="str">
        <f>IF(DAY(Data!$C$21:$C$1613)&gt;0,TEXT(Data!$C$21:$C$1613, "mmmm"),"")</f>
        <v>novembre</v>
      </c>
      <c r="F1430" s="29" t="str">
        <f>IF(DAY(Data!$C$21:$C$1613)&gt;0,TEXT(Data!$C$21:$C$1613, "aaaa"),"")</f>
        <v>2025</v>
      </c>
      <c r="I1430" t="str">
        <f>IF(OR(H1430=$B$5,H1430=$B$6,H1430=$B$7,H1430=$B$8,H1430=$B$9,H1430=$B$10,H1430=$B$11,H1430=$B$12,H1430=$B$13,H1430=$B$14),SottocategorieUscite[[#Headers],[Fuori Casa]],IF(OR(H1430=$C$5,H1430=$C$6,H1430=$C$7,H1430=$C$8,H1430=$C$9,H1430=$C$10,H1430=$C$11,H1430=$C$12,H1430=$C$13,H1430=$C$14),SottocategorieUscite[[#Headers],[Varie Uscite]],IF(OR(H1430=$D$5,H1430=$D$6,H1430=$D$7,H1430=$D$8,H1430=$D$9,H1430=$D$10,H1430=$D$11,H1430=$D$12,H1430=$D$13,H1430=$D$14),SottocategorieUscite[[#Headers],[Personali]],IF(OR(H1430=$E$5,H1430=$E$6,H1430=$E$7,H1430=$E$8,H1430=$E$9,H1430=$E$10,H1430=$E$11,H1430=$E$12,H1430=$E$13,H1430=$E$14),SottocategorieUscite[[#Headers],[Lavoro]],IF(OR(H1430=$F$5,H1430=$F$6,H1430=$F$7,H1430=$F$8,H1430=$F$9,H1430=$F$10,H1430=$F$11,H1430=$F$12,H1430=$F$13,H1430=$F$14),SottocategorieUscite[[#Headers],[Casa]],IF(OR(H1430=$G$5,H1430=$G$6,H1430=$G$7,H1430=$G$8,H1430=$G$9,H1430=$G$10,H1430=$G$11,H1430=$G$12,H1430=$G$13,H1430=$G$14),SottocategorieUscite[[#Headers],[Utenze]],IF(OR(H1430=$H$5,H1430=$H$6,H1430=$H$7,H1430=$H$8,H1430=$H$9,H1430=$H$10,H1430=$H$11,H1430=$H$12,H1430=$H$13,H1430=$H$14),SottocategorieUscite[[#Headers],[Business Uscite]],IF(OR(H1430=$I$5,H1430=$I$6,H1430=$I$7,H1430=$I$8,H1430=$I$9,H1430=$I$10,H1430=$I$11,H1430=$I$12,H1430=$I$13,H1430=$I$14),SottocategorieUscite[[#Headers],[Banca]],IF(OR(H1430=K$5,H1430=K$6,H1430=K$7,H1430=K$8,H1430=K$9,H1430=K$10,H1430=K$11,H1430=K$12,H1430=K$13,H1430=K$14),SottocategorieEntrate[[#Headers],[Business Entrate]],IF(OR(H1430=L$5,H1430=L$6,H1430=L$7,H1430=L$8,H1430=L$9,H1430=L$10,H1430=L$11,H1430=L$12,H1430=L$13,H1430=L$14),SottocategorieEntrate[[#Headers],[Varie Entrate]],IF(OR(H1430=M$5,H1430=M$6,H1430=M$7,H1430=M$8,H1430=M$9,H1430=M$10,H1430=M$11,H1430=M$12,H1430=M$13,H1430=M$14),SottocategorieEntrate[[#Headers],[Real Estate]],IF(OR(H1430=N$5,H1430=N$6,H1430=N$7,H1430=N$8,H1430=N$9,H1430=N$10,H1430=N$11,H1430=N$12,H1430=N$13,H1430=N$14),SottocategorieEntrate[[#Headers],[Other]],""))))))))))))</f>
        <v/>
      </c>
      <c r="J1430" t="str">
        <f>IF(OR(Dati[[#This Row],[Categoria]]="Bollette",Dati[[#This Row],[Categoria]]="Conto &amp; Carte BNL",Dati[[#This Row],[Categoria]]="Prelievo",Dati[[#This Row],[Categoria]]="Affitto",Dati[[#This Row],[Categoria]]="BNL(Interessi Creditori)"),"Carta",IF(Dati[[#This Row],[Categoria]]&lt;&gt;0,"Cash",""))</f>
        <v/>
      </c>
      <c r="K1430" s="59" t="str">
        <f>IF(OR(Data!$I1430=SottocategorieUscite[[#Headers],[Fuori Casa]],Data!$I1430=SottocategorieUscite[[#Headers],[Varie Uscite]],Data!$I1430=SottocategorieUscite[[#Headers],[Personali]],Data!$I1430=SottocategorieUscite[[#Headers],[Lavoro]]),"$ -","")</f>
        <v/>
      </c>
      <c r="L1430" s="59" t="str">
        <f>IF(OR(Data!$I1430=SottocategorieUscite[[#Headers],[Casa]],Data!$I1430=SottocategorieUscite[[#Headers],[Utenze]],Data!$I1430=SottocategorieUscite[[#Headers],[Business Uscite]],Data!$I1430=SottocategorieUscite[[#Headers],[Banca]]),"$ -","")</f>
        <v/>
      </c>
      <c r="M1430" s="59" t="str">
        <f>IF(OR($I1430&lt;&gt;SottocategorieUscite[[#Headers],[Fuori Casa]],$I1430&lt;&gt;SottocategorieUscite[[#Headers],[Varie Uscite]],$I1430&lt;&gt;SottocategorieUscite[[#Headers],[Personali]],$I1430&lt;&gt;SottocategorieUscite[[#Headers],[Lavoro]],$I1430&lt;&gt;SottocategorieUscite[[#Headers],[Casa]],$I1430&lt;&gt;SottocategorieUscite[[#Headers],[Utenze]],$I1430&lt;&gt;SottocategorieUscite[[#Headers],[Business Uscite]],$I1430&lt;&gt;SottocategorieUscite[[#Headers],[Banca]]),"","$ -")</f>
        <v/>
      </c>
      <c r="N1430" s="59" t="str">
        <f>IF(OR(Data!$I1430=SottocategorieEntrate[[#Headers],[Business Entrate]],Data!$I1430=SottocategorieEntrate[[#Headers],[Varie Entrate]]),"$ -","")</f>
        <v/>
      </c>
      <c r="O1430" s="59" t="str">
        <f>IF(OR(Data!$I1430=SottocategorieEntrate[[#Headers],[Real Estate]],SottocategorieEntrate[[#Headers],[Other]]),"$ -","")</f>
        <v/>
      </c>
      <c r="P1430" s="59" t="str">
        <f>IF(OR($I1430&lt;&gt;SottocategorieEntrate[[#Headers],[Business Entrate]],$I1430&lt;&gt;SottocategorieEntrate[[#Headers],[Varie Entrate]],$I1430&lt;&gt;SottocategorieEntrate[[#Headers],[Real Estate]],$I1430&lt;&gt;SottocategorieEntrate[[#Headers],[Other]]),"","$ -")</f>
        <v/>
      </c>
      <c r="Q1430" s="59" t="str">
        <f>IF(Dati[[#This Row],[Categoria]]="Prelievo","€ -","")</f>
        <v/>
      </c>
      <c r="R1430" s="244"/>
      <c r="S1430" s="59" t="str">
        <f>IF(Dati[[#This Row],[Categoria]]="Savings",0,"")</f>
        <v/>
      </c>
      <c r="T1430" s="59"/>
      <c r="U1430" s="59"/>
      <c r="V1430" s="59"/>
      <c r="W1430" s="59"/>
      <c r="X1430" s="59"/>
      <c r="Y1430" s="59"/>
      <c r="Z1430" s="59"/>
      <c r="AA1430" s="59"/>
      <c r="AB1430" s="59"/>
      <c r="AC1430" s="59"/>
      <c r="AD1430" s="59"/>
      <c r="AE1430" s="59"/>
      <c r="AF1430" s="59"/>
      <c r="AG1430" s="59"/>
      <c r="AH1430" s="59"/>
      <c r="AI1430" s="59" t="str">
        <f>IF(SUM(Dati[[#This Row],[Inv. Business]:[Inv. Cryptocurrency]])=0," ",SUM(Dati[[#This Row],[Inv. Business]:[Inv. Cryptocurrency]]))</f>
        <v xml:space="preserve"> </v>
      </c>
      <c r="AJ1430" s="59"/>
      <c r="AK1430" s="59" t="str">
        <f>IF(SUM(Dati[[#This Row],[Inv. Gold]:[Mutuo]])=0," ",SUM(Dati[[#This Row],[Inv. Gold]:[Mutuo]]))</f>
        <v xml:space="preserve"> </v>
      </c>
      <c r="AL1430" s="59"/>
      <c r="AM1430" s="59"/>
    </row>
    <row r="1431" spans="2:39" x14ac:dyDescent="0.35">
      <c r="B1431" s="237">
        <f t="shared" si="107"/>
        <v>1411</v>
      </c>
      <c r="C1431" s="49">
        <f t="shared" si="106"/>
        <v>45989</v>
      </c>
      <c r="D1431" s="29">
        <f>DAY(Dati[[#This Row],[Data]])</f>
        <v>28</v>
      </c>
      <c r="E1431" s="29" t="str">
        <f>IF(DAY(Data!$C$21:$C$1613)&gt;0,TEXT(Data!$C$21:$C$1613, "mmmm"),"")</f>
        <v>novembre</v>
      </c>
      <c r="F1431" s="29" t="str">
        <f>IF(DAY(Data!$C$21:$C$1613)&gt;0,TEXT(Data!$C$21:$C$1613, "aaaa"),"")</f>
        <v>2025</v>
      </c>
      <c r="I1431" t="str">
        <f>IF(OR(H1431=$B$5,H1431=$B$6,H1431=$B$7,H1431=$B$8,H1431=$B$9,H1431=$B$10,H1431=$B$11,H1431=$B$12,H1431=$B$13,H1431=$B$14),SottocategorieUscite[[#Headers],[Fuori Casa]],IF(OR(H1431=$C$5,H1431=$C$6,H1431=$C$7,H1431=$C$8,H1431=$C$9,H1431=$C$10,H1431=$C$11,H1431=$C$12,H1431=$C$13,H1431=$C$14),SottocategorieUscite[[#Headers],[Varie Uscite]],IF(OR(H1431=$D$5,H1431=$D$6,H1431=$D$7,H1431=$D$8,H1431=$D$9,H1431=$D$10,H1431=$D$11,H1431=$D$12,H1431=$D$13,H1431=$D$14),SottocategorieUscite[[#Headers],[Personali]],IF(OR(H1431=$E$5,H1431=$E$6,H1431=$E$7,H1431=$E$8,H1431=$E$9,H1431=$E$10,H1431=$E$11,H1431=$E$12,H1431=$E$13,H1431=$E$14),SottocategorieUscite[[#Headers],[Lavoro]],IF(OR(H1431=$F$5,H1431=$F$6,H1431=$F$7,H1431=$F$8,H1431=$F$9,H1431=$F$10,H1431=$F$11,H1431=$F$12,H1431=$F$13,H1431=$F$14),SottocategorieUscite[[#Headers],[Casa]],IF(OR(H1431=$G$5,H1431=$G$6,H1431=$G$7,H1431=$G$8,H1431=$G$9,H1431=$G$10,H1431=$G$11,H1431=$G$12,H1431=$G$13,H1431=$G$14),SottocategorieUscite[[#Headers],[Utenze]],IF(OR(H1431=$H$5,H1431=$H$6,H1431=$H$7,H1431=$H$8,H1431=$H$9,H1431=$H$10,H1431=$H$11,H1431=$H$12,H1431=$H$13,H1431=$H$14),SottocategorieUscite[[#Headers],[Business Uscite]],IF(OR(H1431=$I$5,H1431=$I$6,H1431=$I$7,H1431=$I$8,H1431=$I$9,H1431=$I$10,H1431=$I$11,H1431=$I$12,H1431=$I$13,H1431=$I$14),SottocategorieUscite[[#Headers],[Banca]],IF(OR(H1431=K$5,H1431=K$6,H1431=K$7,H1431=K$8,H1431=K$9,H1431=K$10,H1431=K$11,H1431=K$12,H1431=K$13,H1431=K$14),SottocategorieEntrate[[#Headers],[Business Entrate]],IF(OR(H1431=L$5,H1431=L$6,H1431=L$7,H1431=L$8,H1431=L$9,H1431=L$10,H1431=L$11,H1431=L$12,H1431=L$13,H1431=L$14),SottocategorieEntrate[[#Headers],[Varie Entrate]],IF(OR(H1431=M$5,H1431=M$6,H1431=M$7,H1431=M$8,H1431=M$9,H1431=M$10,H1431=M$11,H1431=M$12,H1431=M$13,H1431=M$14),SottocategorieEntrate[[#Headers],[Real Estate]],IF(OR(H1431=N$5,H1431=N$6,H1431=N$7,H1431=N$8,H1431=N$9,H1431=N$10,H1431=N$11,H1431=N$12,H1431=N$13,H1431=N$14),SottocategorieEntrate[[#Headers],[Other]],""))))))))))))</f>
        <v/>
      </c>
      <c r="J1431" t="str">
        <f>IF(OR(Dati[[#This Row],[Categoria]]="Bollette",Dati[[#This Row],[Categoria]]="Conto &amp; Carte BNL",Dati[[#This Row],[Categoria]]="Prelievo",Dati[[#This Row],[Categoria]]="Affitto",Dati[[#This Row],[Categoria]]="BNL(Interessi Creditori)"),"Carta",IF(Dati[[#This Row],[Categoria]]&lt;&gt;0,"Cash",""))</f>
        <v/>
      </c>
      <c r="K1431" s="59" t="str">
        <f>IF(OR(Data!$I1431=SottocategorieUscite[[#Headers],[Fuori Casa]],Data!$I1431=SottocategorieUscite[[#Headers],[Varie Uscite]],Data!$I1431=SottocategorieUscite[[#Headers],[Personali]],Data!$I1431=SottocategorieUscite[[#Headers],[Lavoro]]),"$ -","")</f>
        <v/>
      </c>
      <c r="L1431" s="59" t="str">
        <f>IF(OR(Data!$I1431=SottocategorieUscite[[#Headers],[Casa]],Data!$I1431=SottocategorieUscite[[#Headers],[Utenze]],Data!$I1431=SottocategorieUscite[[#Headers],[Business Uscite]],Data!$I1431=SottocategorieUscite[[#Headers],[Banca]]),"$ -","")</f>
        <v/>
      </c>
      <c r="M1431" s="59" t="str">
        <f>IF(OR($I1431&lt;&gt;SottocategorieUscite[[#Headers],[Fuori Casa]],$I1431&lt;&gt;SottocategorieUscite[[#Headers],[Varie Uscite]],$I1431&lt;&gt;SottocategorieUscite[[#Headers],[Personali]],$I1431&lt;&gt;SottocategorieUscite[[#Headers],[Lavoro]],$I1431&lt;&gt;SottocategorieUscite[[#Headers],[Casa]],$I1431&lt;&gt;SottocategorieUscite[[#Headers],[Utenze]],$I1431&lt;&gt;SottocategorieUscite[[#Headers],[Business Uscite]],$I1431&lt;&gt;SottocategorieUscite[[#Headers],[Banca]]),"","$ -")</f>
        <v/>
      </c>
      <c r="N1431" s="59" t="str">
        <f>IF(OR(Data!$I1431=SottocategorieEntrate[[#Headers],[Business Entrate]],Data!$I1431=SottocategorieEntrate[[#Headers],[Varie Entrate]]),"$ -","")</f>
        <v/>
      </c>
      <c r="O1431" s="59" t="str">
        <f>IF(OR(Data!$I1431=SottocategorieEntrate[[#Headers],[Real Estate]],SottocategorieEntrate[[#Headers],[Other]]),"$ -","")</f>
        <v/>
      </c>
      <c r="P1431" s="59" t="str">
        <f>IF(OR($I1431&lt;&gt;SottocategorieEntrate[[#Headers],[Business Entrate]],$I1431&lt;&gt;SottocategorieEntrate[[#Headers],[Varie Entrate]],$I1431&lt;&gt;SottocategorieEntrate[[#Headers],[Real Estate]],$I1431&lt;&gt;SottocategorieEntrate[[#Headers],[Other]]),"","$ -")</f>
        <v/>
      </c>
      <c r="Q1431" s="59" t="str">
        <f>IF(Dati[[#This Row],[Categoria]]="Prelievo","€ -","")</f>
        <v/>
      </c>
      <c r="R1431" s="244"/>
      <c r="S1431" s="59" t="str">
        <f>IF(Dati[[#This Row],[Categoria]]="Savings",0,"")</f>
        <v/>
      </c>
      <c r="T1431" s="59"/>
      <c r="U1431" s="59"/>
      <c r="V1431" s="59"/>
      <c r="W1431" s="59"/>
      <c r="X1431" s="59"/>
      <c r="Y1431" s="59"/>
      <c r="Z1431" s="59"/>
      <c r="AA1431" s="59"/>
      <c r="AB1431" s="59"/>
      <c r="AC1431" s="59"/>
      <c r="AD1431" s="59"/>
      <c r="AE1431" s="59"/>
      <c r="AF1431" s="59"/>
      <c r="AG1431" s="59"/>
      <c r="AH1431" s="59"/>
      <c r="AI1431" s="59" t="str">
        <f>IF(SUM(Dati[[#This Row],[Inv. Business]:[Inv. Cryptocurrency]])=0," ",SUM(Dati[[#This Row],[Inv. Business]:[Inv. Cryptocurrency]]))</f>
        <v xml:space="preserve"> </v>
      </c>
      <c r="AJ1431" s="59"/>
      <c r="AK1431" s="59" t="str">
        <f>IF(SUM(Dati[[#This Row],[Inv. Gold]:[Mutuo]])=0," ",SUM(Dati[[#This Row],[Inv. Gold]:[Mutuo]]))</f>
        <v xml:space="preserve"> </v>
      </c>
      <c r="AL1431" s="59"/>
      <c r="AM1431" s="59"/>
    </row>
    <row r="1432" spans="2:39" x14ac:dyDescent="0.35">
      <c r="B1432" s="237">
        <f t="shared" si="107"/>
        <v>1412</v>
      </c>
      <c r="C1432" s="49">
        <f t="shared" si="106"/>
        <v>45990</v>
      </c>
      <c r="D1432" s="29">
        <f>DAY(Dati[[#This Row],[Data]])</f>
        <v>29</v>
      </c>
      <c r="E1432" s="29" t="str">
        <f>IF(DAY(Data!$C$21:$C$1613)&gt;0,TEXT(Data!$C$21:$C$1613, "mmmm"),"")</f>
        <v>novembre</v>
      </c>
      <c r="F1432" s="29" t="str">
        <f>IF(DAY(Data!$C$21:$C$1613)&gt;0,TEXT(Data!$C$21:$C$1613, "aaaa"),"")</f>
        <v>2025</v>
      </c>
      <c r="I1432" t="str">
        <f>IF(OR(H1432=$B$5,H1432=$B$6,H1432=$B$7,H1432=$B$8,H1432=$B$9,H1432=$B$10,H1432=$B$11,H1432=$B$12,H1432=$B$13,H1432=$B$14),SottocategorieUscite[[#Headers],[Fuori Casa]],IF(OR(H1432=$C$5,H1432=$C$6,H1432=$C$7,H1432=$C$8,H1432=$C$9,H1432=$C$10,H1432=$C$11,H1432=$C$12,H1432=$C$13,H1432=$C$14),SottocategorieUscite[[#Headers],[Varie Uscite]],IF(OR(H1432=$D$5,H1432=$D$6,H1432=$D$7,H1432=$D$8,H1432=$D$9,H1432=$D$10,H1432=$D$11,H1432=$D$12,H1432=$D$13,H1432=$D$14),SottocategorieUscite[[#Headers],[Personali]],IF(OR(H1432=$E$5,H1432=$E$6,H1432=$E$7,H1432=$E$8,H1432=$E$9,H1432=$E$10,H1432=$E$11,H1432=$E$12,H1432=$E$13,H1432=$E$14),SottocategorieUscite[[#Headers],[Lavoro]],IF(OR(H1432=$F$5,H1432=$F$6,H1432=$F$7,H1432=$F$8,H1432=$F$9,H1432=$F$10,H1432=$F$11,H1432=$F$12,H1432=$F$13,H1432=$F$14),SottocategorieUscite[[#Headers],[Casa]],IF(OR(H1432=$G$5,H1432=$G$6,H1432=$G$7,H1432=$G$8,H1432=$G$9,H1432=$G$10,H1432=$G$11,H1432=$G$12,H1432=$G$13,H1432=$G$14),SottocategorieUscite[[#Headers],[Utenze]],IF(OR(H1432=$H$5,H1432=$H$6,H1432=$H$7,H1432=$H$8,H1432=$H$9,H1432=$H$10,H1432=$H$11,H1432=$H$12,H1432=$H$13,H1432=$H$14),SottocategorieUscite[[#Headers],[Business Uscite]],IF(OR(H1432=$I$5,H1432=$I$6,H1432=$I$7,H1432=$I$8,H1432=$I$9,H1432=$I$10,H1432=$I$11,H1432=$I$12,H1432=$I$13,H1432=$I$14),SottocategorieUscite[[#Headers],[Banca]],IF(OR(H1432=K$5,H1432=K$6,H1432=K$7,H1432=K$8,H1432=K$9,H1432=K$10,H1432=K$11,H1432=K$12,H1432=K$13,H1432=K$14),SottocategorieEntrate[[#Headers],[Business Entrate]],IF(OR(H1432=L$5,H1432=L$6,H1432=L$7,H1432=L$8,H1432=L$9,H1432=L$10,H1432=L$11,H1432=L$12,H1432=L$13,H1432=L$14),SottocategorieEntrate[[#Headers],[Varie Entrate]],IF(OR(H1432=M$5,H1432=M$6,H1432=M$7,H1432=M$8,H1432=M$9,H1432=M$10,H1432=M$11,H1432=M$12,H1432=M$13,H1432=M$14),SottocategorieEntrate[[#Headers],[Real Estate]],IF(OR(H1432=N$5,H1432=N$6,H1432=N$7,H1432=N$8,H1432=N$9,H1432=N$10,H1432=N$11,H1432=N$12,H1432=N$13,H1432=N$14),SottocategorieEntrate[[#Headers],[Other]],""))))))))))))</f>
        <v/>
      </c>
      <c r="J1432" t="str">
        <f>IF(OR(Dati[[#This Row],[Categoria]]="Bollette",Dati[[#This Row],[Categoria]]="Conto &amp; Carte BNL",Dati[[#This Row],[Categoria]]="Prelievo",Dati[[#This Row],[Categoria]]="Affitto",Dati[[#This Row],[Categoria]]="BNL(Interessi Creditori)"),"Carta",IF(Dati[[#This Row],[Categoria]]&lt;&gt;0,"Cash",""))</f>
        <v/>
      </c>
      <c r="K1432" s="59" t="str">
        <f>IF(OR(Data!$I1432=SottocategorieUscite[[#Headers],[Fuori Casa]],Data!$I1432=SottocategorieUscite[[#Headers],[Varie Uscite]],Data!$I1432=SottocategorieUscite[[#Headers],[Personali]],Data!$I1432=SottocategorieUscite[[#Headers],[Lavoro]]),"$ -","")</f>
        <v/>
      </c>
      <c r="L1432" s="59" t="str">
        <f>IF(OR(Data!$I1432=SottocategorieUscite[[#Headers],[Casa]],Data!$I1432=SottocategorieUscite[[#Headers],[Utenze]],Data!$I1432=SottocategorieUscite[[#Headers],[Business Uscite]],Data!$I1432=SottocategorieUscite[[#Headers],[Banca]]),"$ -","")</f>
        <v/>
      </c>
      <c r="M1432" s="59" t="str">
        <f>IF(OR($I1432&lt;&gt;SottocategorieUscite[[#Headers],[Fuori Casa]],$I1432&lt;&gt;SottocategorieUscite[[#Headers],[Varie Uscite]],$I1432&lt;&gt;SottocategorieUscite[[#Headers],[Personali]],$I1432&lt;&gt;SottocategorieUscite[[#Headers],[Lavoro]],$I1432&lt;&gt;SottocategorieUscite[[#Headers],[Casa]],$I1432&lt;&gt;SottocategorieUscite[[#Headers],[Utenze]],$I1432&lt;&gt;SottocategorieUscite[[#Headers],[Business Uscite]],$I1432&lt;&gt;SottocategorieUscite[[#Headers],[Banca]]),"","$ -")</f>
        <v/>
      </c>
      <c r="N1432" s="59" t="str">
        <f>IF(OR(Data!$I1432=SottocategorieEntrate[[#Headers],[Business Entrate]],Data!$I1432=SottocategorieEntrate[[#Headers],[Varie Entrate]]),"$ -","")</f>
        <v/>
      </c>
      <c r="O1432" s="59" t="str">
        <f>IF(OR(Data!$I1432=SottocategorieEntrate[[#Headers],[Real Estate]],SottocategorieEntrate[[#Headers],[Other]]),"$ -","")</f>
        <v/>
      </c>
      <c r="P1432" s="59" t="str">
        <f>IF(OR($I1432&lt;&gt;SottocategorieEntrate[[#Headers],[Business Entrate]],$I1432&lt;&gt;SottocategorieEntrate[[#Headers],[Varie Entrate]],$I1432&lt;&gt;SottocategorieEntrate[[#Headers],[Real Estate]],$I1432&lt;&gt;SottocategorieEntrate[[#Headers],[Other]]),"","$ -")</f>
        <v/>
      </c>
      <c r="Q1432" s="59" t="str">
        <f>IF(Dati[[#This Row],[Categoria]]="Prelievo","€ -","")</f>
        <v/>
      </c>
      <c r="R1432" s="244"/>
      <c r="S1432" s="59" t="str">
        <f>IF(Dati[[#This Row],[Categoria]]="Savings",0,"")</f>
        <v/>
      </c>
      <c r="T1432" s="59"/>
      <c r="U1432" s="59"/>
      <c r="V1432" s="59"/>
      <c r="W1432" s="59"/>
      <c r="X1432" s="59"/>
      <c r="Y1432" s="59"/>
      <c r="Z1432" s="59"/>
      <c r="AA1432" s="59"/>
      <c r="AB1432" s="59"/>
      <c r="AC1432" s="59"/>
      <c r="AD1432" s="59"/>
      <c r="AE1432" s="59"/>
      <c r="AF1432" s="59"/>
      <c r="AG1432" s="59"/>
      <c r="AH1432" s="59"/>
      <c r="AI1432" s="59" t="str">
        <f>IF(SUM(Dati[[#This Row],[Inv. Business]:[Inv. Cryptocurrency]])=0," ",SUM(Dati[[#This Row],[Inv. Business]:[Inv. Cryptocurrency]]))</f>
        <v xml:space="preserve"> </v>
      </c>
      <c r="AJ1432" s="59"/>
      <c r="AK1432" s="59" t="str">
        <f>IF(SUM(Dati[[#This Row],[Inv. Gold]:[Mutuo]])=0," ",SUM(Dati[[#This Row],[Inv. Gold]:[Mutuo]]))</f>
        <v xml:space="preserve"> </v>
      </c>
      <c r="AL1432" s="59"/>
      <c r="AM1432" s="59"/>
    </row>
    <row r="1433" spans="2:39" x14ac:dyDescent="0.35">
      <c r="B1433" s="237">
        <f t="shared" si="107"/>
        <v>1413</v>
      </c>
      <c r="C1433" s="49">
        <f t="shared" si="106"/>
        <v>45991</v>
      </c>
      <c r="D1433" s="29">
        <f>DAY(Dati[[#This Row],[Data]])</f>
        <v>30</v>
      </c>
      <c r="E1433" s="29" t="str">
        <f>IF(DAY(Data!$C$21:$C$1613)&gt;0,TEXT(Data!$C$21:$C$1613, "mmmm"),"")</f>
        <v>novembre</v>
      </c>
      <c r="F1433" s="29" t="str">
        <f>IF(DAY(Data!$C$21:$C$1613)&gt;0,TEXT(Data!$C$21:$C$1613, "aaaa"),"")</f>
        <v>2025</v>
      </c>
      <c r="I1433" t="str">
        <f>IF(OR(H1433=$B$5,H1433=$B$6,H1433=$B$7,H1433=$B$8,H1433=$B$9,H1433=$B$10,H1433=$B$11,H1433=$B$12,H1433=$B$13,H1433=$B$14),SottocategorieUscite[[#Headers],[Fuori Casa]],IF(OR(H1433=$C$5,H1433=$C$6,H1433=$C$7,H1433=$C$8,H1433=$C$9,H1433=$C$10,H1433=$C$11,H1433=$C$12,H1433=$C$13,H1433=$C$14),SottocategorieUscite[[#Headers],[Varie Uscite]],IF(OR(H1433=$D$5,H1433=$D$6,H1433=$D$7,H1433=$D$8,H1433=$D$9,H1433=$D$10,H1433=$D$11,H1433=$D$12,H1433=$D$13,H1433=$D$14),SottocategorieUscite[[#Headers],[Personali]],IF(OR(H1433=$E$5,H1433=$E$6,H1433=$E$7,H1433=$E$8,H1433=$E$9,H1433=$E$10,H1433=$E$11,H1433=$E$12,H1433=$E$13,H1433=$E$14),SottocategorieUscite[[#Headers],[Lavoro]],IF(OR(H1433=$F$5,H1433=$F$6,H1433=$F$7,H1433=$F$8,H1433=$F$9,H1433=$F$10,H1433=$F$11,H1433=$F$12,H1433=$F$13,H1433=$F$14),SottocategorieUscite[[#Headers],[Casa]],IF(OR(H1433=$G$5,H1433=$G$6,H1433=$G$7,H1433=$G$8,H1433=$G$9,H1433=$G$10,H1433=$G$11,H1433=$G$12,H1433=$G$13,H1433=$G$14),SottocategorieUscite[[#Headers],[Utenze]],IF(OR(H1433=$H$5,H1433=$H$6,H1433=$H$7,H1433=$H$8,H1433=$H$9,H1433=$H$10,H1433=$H$11,H1433=$H$12,H1433=$H$13,H1433=$H$14),SottocategorieUscite[[#Headers],[Business Uscite]],IF(OR(H1433=$I$5,H1433=$I$6,H1433=$I$7,H1433=$I$8,H1433=$I$9,H1433=$I$10,H1433=$I$11,H1433=$I$12,H1433=$I$13,H1433=$I$14),SottocategorieUscite[[#Headers],[Banca]],IF(OR(H1433=K$5,H1433=K$6,H1433=K$7,H1433=K$8,H1433=K$9,H1433=K$10,H1433=K$11,H1433=K$12,H1433=K$13,H1433=K$14),SottocategorieEntrate[[#Headers],[Business Entrate]],IF(OR(H1433=L$5,H1433=L$6,H1433=L$7,H1433=L$8,H1433=L$9,H1433=L$10,H1433=L$11,H1433=L$12,H1433=L$13,H1433=L$14),SottocategorieEntrate[[#Headers],[Varie Entrate]],IF(OR(H1433=M$5,H1433=M$6,H1433=M$7,H1433=M$8,H1433=M$9,H1433=M$10,H1433=M$11,H1433=M$12,H1433=M$13,H1433=M$14),SottocategorieEntrate[[#Headers],[Real Estate]],IF(OR(H1433=N$5,H1433=N$6,H1433=N$7,H1433=N$8,H1433=N$9,H1433=N$10,H1433=N$11,H1433=N$12,H1433=N$13,H1433=N$14),SottocategorieEntrate[[#Headers],[Other]],""))))))))))))</f>
        <v/>
      </c>
      <c r="J1433" t="str">
        <f>IF(OR(Dati[[#This Row],[Categoria]]="Bollette",Dati[[#This Row],[Categoria]]="Conto &amp; Carte BNL",Dati[[#This Row],[Categoria]]="Prelievo",Dati[[#This Row],[Categoria]]="Affitto",Dati[[#This Row],[Categoria]]="BNL(Interessi Creditori)"),"Carta",IF(Dati[[#This Row],[Categoria]]&lt;&gt;0,"Cash",""))</f>
        <v/>
      </c>
      <c r="K1433" s="59" t="str">
        <f>IF(OR(Data!$I1433=SottocategorieUscite[[#Headers],[Fuori Casa]],Data!$I1433=SottocategorieUscite[[#Headers],[Varie Uscite]],Data!$I1433=SottocategorieUscite[[#Headers],[Personali]],Data!$I1433=SottocategorieUscite[[#Headers],[Lavoro]]),"$ -","")</f>
        <v/>
      </c>
      <c r="L1433" s="59" t="str">
        <f>IF(OR(Data!$I1433=SottocategorieUscite[[#Headers],[Casa]],Data!$I1433=SottocategorieUscite[[#Headers],[Utenze]],Data!$I1433=SottocategorieUscite[[#Headers],[Business Uscite]],Data!$I1433=SottocategorieUscite[[#Headers],[Banca]]),"$ -","")</f>
        <v/>
      </c>
      <c r="M1433" s="59" t="str">
        <f>IF(OR($I1433&lt;&gt;SottocategorieUscite[[#Headers],[Fuori Casa]],$I1433&lt;&gt;SottocategorieUscite[[#Headers],[Varie Uscite]],$I1433&lt;&gt;SottocategorieUscite[[#Headers],[Personali]],$I1433&lt;&gt;SottocategorieUscite[[#Headers],[Lavoro]],$I1433&lt;&gt;SottocategorieUscite[[#Headers],[Casa]],$I1433&lt;&gt;SottocategorieUscite[[#Headers],[Utenze]],$I1433&lt;&gt;SottocategorieUscite[[#Headers],[Business Uscite]],$I1433&lt;&gt;SottocategorieUscite[[#Headers],[Banca]]),"","$ -")</f>
        <v/>
      </c>
      <c r="N1433" s="59" t="str">
        <f>IF(OR(Data!$I1433=SottocategorieEntrate[[#Headers],[Business Entrate]],Data!$I1433=SottocategorieEntrate[[#Headers],[Varie Entrate]]),"$ -","")</f>
        <v/>
      </c>
      <c r="O1433" s="59" t="str">
        <f>IF(OR(Data!$I1433=SottocategorieEntrate[[#Headers],[Real Estate]],SottocategorieEntrate[[#Headers],[Other]]),"$ -","")</f>
        <v/>
      </c>
      <c r="P1433" s="59" t="str">
        <f>IF(OR($I1433&lt;&gt;SottocategorieEntrate[[#Headers],[Business Entrate]],$I1433&lt;&gt;SottocategorieEntrate[[#Headers],[Varie Entrate]],$I1433&lt;&gt;SottocategorieEntrate[[#Headers],[Real Estate]],$I1433&lt;&gt;SottocategorieEntrate[[#Headers],[Other]]),"","$ -")</f>
        <v/>
      </c>
      <c r="Q1433" s="59" t="str">
        <f>IF(Dati[[#This Row],[Categoria]]="Prelievo","€ -","")</f>
        <v/>
      </c>
      <c r="R1433" s="244"/>
      <c r="S1433" s="59" t="str">
        <f>IF(Dati[[#This Row],[Categoria]]="Savings",0,"")</f>
        <v/>
      </c>
      <c r="T1433" s="59"/>
      <c r="U1433" s="59"/>
      <c r="V1433" s="59"/>
      <c r="W1433" s="59"/>
      <c r="X1433" s="59"/>
      <c r="Y1433" s="59"/>
      <c r="Z1433" s="59"/>
      <c r="AA1433" s="59"/>
      <c r="AB1433" s="59"/>
      <c r="AC1433" s="59"/>
      <c r="AD1433" s="59"/>
      <c r="AE1433" s="59"/>
      <c r="AF1433" s="59"/>
      <c r="AG1433" s="59"/>
      <c r="AH1433" s="59"/>
      <c r="AI1433" s="59" t="str">
        <f>IF(SUM(Dati[[#This Row],[Inv. Business]:[Inv. Cryptocurrency]])=0," ",SUM(Dati[[#This Row],[Inv. Business]:[Inv. Cryptocurrency]]))</f>
        <v xml:space="preserve"> </v>
      </c>
      <c r="AJ1433" s="59"/>
      <c r="AK1433" s="59" t="str">
        <f>IF(SUM(Dati[[#This Row],[Inv. Gold]:[Mutuo]])=0," ",SUM(Dati[[#This Row],[Inv. Gold]:[Mutuo]]))</f>
        <v xml:space="preserve"> </v>
      </c>
      <c r="AL1433" s="59"/>
      <c r="AM1433" s="59"/>
    </row>
    <row r="1434" spans="2:39" x14ac:dyDescent="0.35">
      <c r="B1434" s="237">
        <f t="shared" si="107"/>
        <v>1414</v>
      </c>
      <c r="C1434" s="49">
        <f t="shared" si="106"/>
        <v>45992</v>
      </c>
      <c r="D1434" s="29">
        <f>DAY(Dati[[#This Row],[Data]])</f>
        <v>1</v>
      </c>
      <c r="E1434" s="29" t="str">
        <f>IF(DAY(Data!$C$21:$C$1613)&gt;0,TEXT(Data!$C$21:$C$1613, "mmmm"),"")</f>
        <v>dicembre</v>
      </c>
      <c r="F1434" s="29" t="str">
        <f>IF(DAY(Data!$C$21:$C$1613)&gt;0,TEXT(Data!$C$21:$C$1613, "aaaa"),"")</f>
        <v>2025</v>
      </c>
      <c r="I1434" t="str">
        <f>IF(OR(H1434=$B$5,H1434=$B$6,H1434=$B$7,H1434=$B$8,H1434=$B$9,H1434=$B$10,H1434=$B$11,H1434=$B$12,H1434=$B$13,H1434=$B$14),SottocategorieUscite[[#Headers],[Fuori Casa]],IF(OR(H1434=$C$5,H1434=$C$6,H1434=$C$7,H1434=$C$8,H1434=$C$9,H1434=$C$10,H1434=$C$11,H1434=$C$12,H1434=$C$13,H1434=$C$14),SottocategorieUscite[[#Headers],[Varie Uscite]],IF(OR(H1434=$D$5,H1434=$D$6,H1434=$D$7,H1434=$D$8,H1434=$D$9,H1434=$D$10,H1434=$D$11,H1434=$D$12,H1434=$D$13,H1434=$D$14),SottocategorieUscite[[#Headers],[Personali]],IF(OR(H1434=$E$5,H1434=$E$6,H1434=$E$7,H1434=$E$8,H1434=$E$9,H1434=$E$10,H1434=$E$11,H1434=$E$12,H1434=$E$13,H1434=$E$14),SottocategorieUscite[[#Headers],[Lavoro]],IF(OR(H1434=$F$5,H1434=$F$6,H1434=$F$7,H1434=$F$8,H1434=$F$9,H1434=$F$10,H1434=$F$11,H1434=$F$12,H1434=$F$13,H1434=$F$14),SottocategorieUscite[[#Headers],[Casa]],IF(OR(H1434=$G$5,H1434=$G$6,H1434=$G$7,H1434=$G$8,H1434=$G$9,H1434=$G$10,H1434=$G$11,H1434=$G$12,H1434=$G$13,H1434=$G$14),SottocategorieUscite[[#Headers],[Utenze]],IF(OR(H1434=$H$5,H1434=$H$6,H1434=$H$7,H1434=$H$8,H1434=$H$9,H1434=$H$10,H1434=$H$11,H1434=$H$12,H1434=$H$13,H1434=$H$14),SottocategorieUscite[[#Headers],[Business Uscite]],IF(OR(H1434=$I$5,H1434=$I$6,H1434=$I$7,H1434=$I$8,H1434=$I$9,H1434=$I$10,H1434=$I$11,H1434=$I$12,H1434=$I$13,H1434=$I$14),SottocategorieUscite[[#Headers],[Banca]],IF(OR(H1434=K$5,H1434=K$6,H1434=K$7,H1434=K$8,H1434=K$9,H1434=K$10,H1434=K$11,H1434=K$12,H1434=K$13,H1434=K$14),SottocategorieEntrate[[#Headers],[Business Entrate]],IF(OR(H1434=L$5,H1434=L$6,H1434=L$7,H1434=L$8,H1434=L$9,H1434=L$10,H1434=L$11,H1434=L$12,H1434=L$13,H1434=L$14),SottocategorieEntrate[[#Headers],[Varie Entrate]],IF(OR(H1434=M$5,H1434=M$6,H1434=M$7,H1434=M$8,H1434=M$9,H1434=M$10,H1434=M$11,H1434=M$12,H1434=M$13,H1434=M$14),SottocategorieEntrate[[#Headers],[Real Estate]],IF(OR(H1434=N$5,H1434=N$6,H1434=N$7,H1434=N$8,H1434=N$9,H1434=N$10,H1434=N$11,H1434=N$12,H1434=N$13,H1434=N$14),SottocategorieEntrate[[#Headers],[Other]],""))))))))))))</f>
        <v/>
      </c>
      <c r="J1434" t="str">
        <f>IF(OR(Dati[[#This Row],[Categoria]]="Bollette",Dati[[#This Row],[Categoria]]="Conto &amp; Carte BNL",Dati[[#This Row],[Categoria]]="Prelievo",Dati[[#This Row],[Categoria]]="Affitto",Dati[[#This Row],[Categoria]]="BNL(Interessi Creditori)"),"Carta",IF(Dati[[#This Row],[Categoria]]&lt;&gt;0,"Cash",""))</f>
        <v/>
      </c>
      <c r="K1434" s="59" t="str">
        <f>IF(OR(Data!$I1434=SottocategorieUscite[[#Headers],[Fuori Casa]],Data!$I1434=SottocategorieUscite[[#Headers],[Varie Uscite]],Data!$I1434=SottocategorieUscite[[#Headers],[Personali]],Data!$I1434=SottocategorieUscite[[#Headers],[Lavoro]]),"$ -","")</f>
        <v/>
      </c>
      <c r="L1434" s="59" t="str">
        <f>IF(OR(Data!$I1434=SottocategorieUscite[[#Headers],[Casa]],Data!$I1434=SottocategorieUscite[[#Headers],[Utenze]],Data!$I1434=SottocategorieUscite[[#Headers],[Business Uscite]],Data!$I1434=SottocategorieUscite[[#Headers],[Banca]]),"$ -","")</f>
        <v/>
      </c>
      <c r="M1434" s="59" t="str">
        <f>IF(OR($I1434&lt;&gt;SottocategorieUscite[[#Headers],[Fuori Casa]],$I1434&lt;&gt;SottocategorieUscite[[#Headers],[Varie Uscite]],$I1434&lt;&gt;SottocategorieUscite[[#Headers],[Personali]],$I1434&lt;&gt;SottocategorieUscite[[#Headers],[Lavoro]],$I1434&lt;&gt;SottocategorieUscite[[#Headers],[Casa]],$I1434&lt;&gt;SottocategorieUscite[[#Headers],[Utenze]],$I1434&lt;&gt;SottocategorieUscite[[#Headers],[Business Uscite]],$I1434&lt;&gt;SottocategorieUscite[[#Headers],[Banca]]),"","$ -")</f>
        <v/>
      </c>
      <c r="N1434" s="59" t="str">
        <f>IF(OR(Data!$I1434=SottocategorieEntrate[[#Headers],[Business Entrate]],Data!$I1434=SottocategorieEntrate[[#Headers],[Varie Entrate]]),"$ -","")</f>
        <v/>
      </c>
      <c r="O1434" s="59" t="str">
        <f>IF(OR(Data!$I1434=SottocategorieEntrate[[#Headers],[Real Estate]],SottocategorieEntrate[[#Headers],[Other]]),"$ -","")</f>
        <v/>
      </c>
      <c r="P1434" s="59" t="str">
        <f>IF(OR($I1434&lt;&gt;SottocategorieEntrate[[#Headers],[Business Entrate]],$I1434&lt;&gt;SottocategorieEntrate[[#Headers],[Varie Entrate]],$I1434&lt;&gt;SottocategorieEntrate[[#Headers],[Real Estate]],$I1434&lt;&gt;SottocategorieEntrate[[#Headers],[Other]]),"","$ -")</f>
        <v/>
      </c>
      <c r="Q1434" s="59" t="str">
        <f>IF(Dati[[#This Row],[Categoria]]="Prelievo","€ -","")</f>
        <v/>
      </c>
      <c r="R1434" s="244"/>
      <c r="S1434" s="59" t="str">
        <f>IF(Dati[[#This Row],[Categoria]]="Savings",0,"")</f>
        <v/>
      </c>
      <c r="T1434" s="59"/>
      <c r="U1434" s="59"/>
      <c r="V1434" s="59"/>
      <c r="W1434" s="59"/>
      <c r="X1434" s="59"/>
      <c r="Y1434" s="59"/>
      <c r="Z1434" s="59"/>
      <c r="AA1434" s="59"/>
      <c r="AB1434" s="59"/>
      <c r="AC1434" s="59"/>
      <c r="AD1434" s="59"/>
      <c r="AE1434" s="59"/>
      <c r="AF1434" s="59"/>
      <c r="AG1434" s="59"/>
      <c r="AH1434" s="59"/>
      <c r="AI1434" s="59" t="str">
        <f>IF(SUM(Dati[[#This Row],[Inv. Business]:[Inv. Cryptocurrency]])=0," ",SUM(Dati[[#This Row],[Inv. Business]:[Inv. Cryptocurrency]]))</f>
        <v xml:space="preserve"> </v>
      </c>
      <c r="AJ1434" s="59"/>
      <c r="AK1434" s="59" t="str">
        <f>IF(SUM(Dati[[#This Row],[Inv. Gold]:[Mutuo]])=0," ",SUM(Dati[[#This Row],[Inv. Gold]:[Mutuo]]))</f>
        <v xml:space="preserve"> </v>
      </c>
      <c r="AL1434" s="59"/>
      <c r="AM1434" s="59"/>
    </row>
    <row r="1435" spans="2:39" x14ac:dyDescent="0.35">
      <c r="B1435" s="237">
        <f t="shared" si="107"/>
        <v>1415</v>
      </c>
      <c r="C1435" s="49">
        <f t="shared" si="106"/>
        <v>45993</v>
      </c>
      <c r="D1435" s="29">
        <f>DAY(Dati[[#This Row],[Data]])</f>
        <v>2</v>
      </c>
      <c r="E1435" s="29" t="str">
        <f>IF(DAY(Data!$C$21:$C$1613)&gt;0,TEXT(Data!$C$21:$C$1613, "mmmm"),"")</f>
        <v>dicembre</v>
      </c>
      <c r="F1435" s="29" t="str">
        <f>IF(DAY(Data!$C$21:$C$1613)&gt;0,TEXT(Data!$C$21:$C$1613, "aaaa"),"")</f>
        <v>2025</v>
      </c>
      <c r="I1435" t="str">
        <f>IF(OR(H1435=$B$5,H1435=$B$6,H1435=$B$7,H1435=$B$8,H1435=$B$9,H1435=$B$10,H1435=$B$11,H1435=$B$12,H1435=$B$13,H1435=$B$14),SottocategorieUscite[[#Headers],[Fuori Casa]],IF(OR(H1435=$C$5,H1435=$C$6,H1435=$C$7,H1435=$C$8,H1435=$C$9,H1435=$C$10,H1435=$C$11,H1435=$C$12,H1435=$C$13,H1435=$C$14),SottocategorieUscite[[#Headers],[Varie Uscite]],IF(OR(H1435=$D$5,H1435=$D$6,H1435=$D$7,H1435=$D$8,H1435=$D$9,H1435=$D$10,H1435=$D$11,H1435=$D$12,H1435=$D$13,H1435=$D$14),SottocategorieUscite[[#Headers],[Personali]],IF(OR(H1435=$E$5,H1435=$E$6,H1435=$E$7,H1435=$E$8,H1435=$E$9,H1435=$E$10,H1435=$E$11,H1435=$E$12,H1435=$E$13,H1435=$E$14),SottocategorieUscite[[#Headers],[Lavoro]],IF(OR(H1435=$F$5,H1435=$F$6,H1435=$F$7,H1435=$F$8,H1435=$F$9,H1435=$F$10,H1435=$F$11,H1435=$F$12,H1435=$F$13,H1435=$F$14),SottocategorieUscite[[#Headers],[Casa]],IF(OR(H1435=$G$5,H1435=$G$6,H1435=$G$7,H1435=$G$8,H1435=$G$9,H1435=$G$10,H1435=$G$11,H1435=$G$12,H1435=$G$13,H1435=$G$14),SottocategorieUscite[[#Headers],[Utenze]],IF(OR(H1435=$H$5,H1435=$H$6,H1435=$H$7,H1435=$H$8,H1435=$H$9,H1435=$H$10,H1435=$H$11,H1435=$H$12,H1435=$H$13,H1435=$H$14),SottocategorieUscite[[#Headers],[Business Uscite]],IF(OR(H1435=$I$5,H1435=$I$6,H1435=$I$7,H1435=$I$8,H1435=$I$9,H1435=$I$10,H1435=$I$11,H1435=$I$12,H1435=$I$13,H1435=$I$14),SottocategorieUscite[[#Headers],[Banca]],IF(OR(H1435=K$5,H1435=K$6,H1435=K$7,H1435=K$8,H1435=K$9,H1435=K$10,H1435=K$11,H1435=K$12,H1435=K$13,H1435=K$14),SottocategorieEntrate[[#Headers],[Business Entrate]],IF(OR(H1435=L$5,H1435=L$6,H1435=L$7,H1435=L$8,H1435=L$9,H1435=L$10,H1435=L$11,H1435=L$12,H1435=L$13,H1435=L$14),SottocategorieEntrate[[#Headers],[Varie Entrate]],IF(OR(H1435=M$5,H1435=M$6,H1435=M$7,H1435=M$8,H1435=M$9,H1435=M$10,H1435=M$11,H1435=M$12,H1435=M$13,H1435=M$14),SottocategorieEntrate[[#Headers],[Real Estate]],IF(OR(H1435=N$5,H1435=N$6,H1435=N$7,H1435=N$8,H1435=N$9,H1435=N$10,H1435=N$11,H1435=N$12,H1435=N$13,H1435=N$14),SottocategorieEntrate[[#Headers],[Other]],""))))))))))))</f>
        <v/>
      </c>
      <c r="J1435" t="str">
        <f>IF(OR(Dati[[#This Row],[Categoria]]="Bollette",Dati[[#This Row],[Categoria]]="Conto &amp; Carte BNL",Dati[[#This Row],[Categoria]]="Prelievo",Dati[[#This Row],[Categoria]]="Affitto",Dati[[#This Row],[Categoria]]="BNL(Interessi Creditori)"),"Carta",IF(Dati[[#This Row],[Categoria]]&lt;&gt;0,"Cash",""))</f>
        <v/>
      </c>
      <c r="K1435" s="59" t="str">
        <f>IF(OR(Data!$I1435=SottocategorieUscite[[#Headers],[Fuori Casa]],Data!$I1435=SottocategorieUscite[[#Headers],[Varie Uscite]],Data!$I1435=SottocategorieUscite[[#Headers],[Personali]],Data!$I1435=SottocategorieUscite[[#Headers],[Lavoro]]),"$ -","")</f>
        <v/>
      </c>
      <c r="L1435" s="59" t="str">
        <f>IF(OR(Data!$I1435=SottocategorieUscite[[#Headers],[Casa]],Data!$I1435=SottocategorieUscite[[#Headers],[Utenze]],Data!$I1435=SottocategorieUscite[[#Headers],[Business Uscite]],Data!$I1435=SottocategorieUscite[[#Headers],[Banca]]),"$ -","")</f>
        <v/>
      </c>
      <c r="M1435" s="59" t="str">
        <f>IF(OR($I1435&lt;&gt;SottocategorieUscite[[#Headers],[Fuori Casa]],$I1435&lt;&gt;SottocategorieUscite[[#Headers],[Varie Uscite]],$I1435&lt;&gt;SottocategorieUscite[[#Headers],[Personali]],$I1435&lt;&gt;SottocategorieUscite[[#Headers],[Lavoro]],$I1435&lt;&gt;SottocategorieUscite[[#Headers],[Casa]],$I1435&lt;&gt;SottocategorieUscite[[#Headers],[Utenze]],$I1435&lt;&gt;SottocategorieUscite[[#Headers],[Business Uscite]],$I1435&lt;&gt;SottocategorieUscite[[#Headers],[Banca]]),"","$ -")</f>
        <v/>
      </c>
      <c r="N1435" s="59" t="str">
        <f>IF(OR(Data!$I1435=SottocategorieEntrate[[#Headers],[Business Entrate]],Data!$I1435=SottocategorieEntrate[[#Headers],[Varie Entrate]]),"$ -","")</f>
        <v/>
      </c>
      <c r="O1435" s="59" t="str">
        <f>IF(OR(Data!$I1435=SottocategorieEntrate[[#Headers],[Real Estate]],SottocategorieEntrate[[#Headers],[Other]]),"$ -","")</f>
        <v/>
      </c>
      <c r="P1435" s="59" t="str">
        <f>IF(OR($I1435&lt;&gt;SottocategorieEntrate[[#Headers],[Business Entrate]],$I1435&lt;&gt;SottocategorieEntrate[[#Headers],[Varie Entrate]],$I1435&lt;&gt;SottocategorieEntrate[[#Headers],[Real Estate]],$I1435&lt;&gt;SottocategorieEntrate[[#Headers],[Other]]),"","$ -")</f>
        <v/>
      </c>
      <c r="Q1435" s="59" t="str">
        <f>IF(Dati[[#This Row],[Categoria]]="Prelievo","€ -","")</f>
        <v/>
      </c>
      <c r="R1435" s="244"/>
      <c r="S1435" s="59" t="str">
        <f>IF(Dati[[#This Row],[Categoria]]="Savings",0,"")</f>
        <v/>
      </c>
      <c r="T1435" s="59"/>
      <c r="U1435" s="59"/>
      <c r="V1435" s="59"/>
      <c r="W1435" s="59"/>
      <c r="X1435" s="59"/>
      <c r="Y1435" s="59"/>
      <c r="Z1435" s="59"/>
      <c r="AA1435" s="59"/>
      <c r="AB1435" s="59"/>
      <c r="AC1435" s="59"/>
      <c r="AD1435" s="59"/>
      <c r="AE1435" s="59"/>
      <c r="AF1435" s="59"/>
      <c r="AG1435" s="59"/>
      <c r="AH1435" s="59"/>
      <c r="AI1435" s="59" t="str">
        <f>IF(SUM(Dati[[#This Row],[Inv. Business]:[Inv. Cryptocurrency]])=0," ",SUM(Dati[[#This Row],[Inv. Business]:[Inv. Cryptocurrency]]))</f>
        <v xml:space="preserve"> </v>
      </c>
      <c r="AJ1435" s="59"/>
      <c r="AK1435" s="59" t="str">
        <f>IF(SUM(Dati[[#This Row],[Inv. Gold]:[Mutuo]])=0," ",SUM(Dati[[#This Row],[Inv. Gold]:[Mutuo]]))</f>
        <v xml:space="preserve"> </v>
      </c>
      <c r="AL1435" s="59"/>
      <c r="AM1435" s="59"/>
    </row>
    <row r="1436" spans="2:39" x14ac:dyDescent="0.35">
      <c r="B1436" s="237">
        <f t="shared" si="107"/>
        <v>1416</v>
      </c>
      <c r="C1436" s="49">
        <f t="shared" si="106"/>
        <v>45994</v>
      </c>
      <c r="D1436" s="29">
        <f>DAY(Dati[[#This Row],[Data]])</f>
        <v>3</v>
      </c>
      <c r="E1436" s="29" t="str">
        <f>IF(DAY(Data!$C$21:$C$1613)&gt;0,TEXT(Data!$C$21:$C$1613, "mmmm"),"")</f>
        <v>dicembre</v>
      </c>
      <c r="F1436" s="29" t="str">
        <f>IF(DAY(Data!$C$21:$C$1613)&gt;0,TEXT(Data!$C$21:$C$1613, "aaaa"),"")</f>
        <v>2025</v>
      </c>
      <c r="I1436" t="str">
        <f>IF(OR(H1436=$B$5,H1436=$B$6,H1436=$B$7,H1436=$B$8,H1436=$B$9,H1436=$B$10,H1436=$B$11,H1436=$B$12,H1436=$B$13,H1436=$B$14),SottocategorieUscite[[#Headers],[Fuori Casa]],IF(OR(H1436=$C$5,H1436=$C$6,H1436=$C$7,H1436=$C$8,H1436=$C$9,H1436=$C$10,H1436=$C$11,H1436=$C$12,H1436=$C$13,H1436=$C$14),SottocategorieUscite[[#Headers],[Varie Uscite]],IF(OR(H1436=$D$5,H1436=$D$6,H1436=$D$7,H1436=$D$8,H1436=$D$9,H1436=$D$10,H1436=$D$11,H1436=$D$12,H1436=$D$13,H1436=$D$14),SottocategorieUscite[[#Headers],[Personali]],IF(OR(H1436=$E$5,H1436=$E$6,H1436=$E$7,H1436=$E$8,H1436=$E$9,H1436=$E$10,H1436=$E$11,H1436=$E$12,H1436=$E$13,H1436=$E$14),SottocategorieUscite[[#Headers],[Lavoro]],IF(OR(H1436=$F$5,H1436=$F$6,H1436=$F$7,H1436=$F$8,H1436=$F$9,H1436=$F$10,H1436=$F$11,H1436=$F$12,H1436=$F$13,H1436=$F$14),SottocategorieUscite[[#Headers],[Casa]],IF(OR(H1436=$G$5,H1436=$G$6,H1436=$G$7,H1436=$G$8,H1436=$G$9,H1436=$G$10,H1436=$G$11,H1436=$G$12,H1436=$G$13,H1436=$G$14),SottocategorieUscite[[#Headers],[Utenze]],IF(OR(H1436=$H$5,H1436=$H$6,H1436=$H$7,H1436=$H$8,H1436=$H$9,H1436=$H$10,H1436=$H$11,H1436=$H$12,H1436=$H$13,H1436=$H$14),SottocategorieUscite[[#Headers],[Business Uscite]],IF(OR(H1436=$I$5,H1436=$I$6,H1436=$I$7,H1436=$I$8,H1436=$I$9,H1436=$I$10,H1436=$I$11,H1436=$I$12,H1436=$I$13,H1436=$I$14),SottocategorieUscite[[#Headers],[Banca]],IF(OR(H1436=K$5,H1436=K$6,H1436=K$7,H1436=K$8,H1436=K$9,H1436=K$10,H1436=K$11,H1436=K$12,H1436=K$13,H1436=K$14),SottocategorieEntrate[[#Headers],[Business Entrate]],IF(OR(H1436=L$5,H1436=L$6,H1436=L$7,H1436=L$8,H1436=L$9,H1436=L$10,H1436=L$11,H1436=L$12,H1436=L$13,H1436=L$14),SottocategorieEntrate[[#Headers],[Varie Entrate]],IF(OR(H1436=M$5,H1436=M$6,H1436=M$7,H1436=M$8,H1436=M$9,H1436=M$10,H1436=M$11,H1436=M$12,H1436=M$13,H1436=M$14),SottocategorieEntrate[[#Headers],[Real Estate]],IF(OR(H1436=N$5,H1436=N$6,H1436=N$7,H1436=N$8,H1436=N$9,H1436=N$10,H1436=N$11,H1436=N$12,H1436=N$13,H1436=N$14),SottocategorieEntrate[[#Headers],[Other]],""))))))))))))</f>
        <v/>
      </c>
      <c r="J1436" t="str">
        <f>IF(OR(Dati[[#This Row],[Categoria]]="Bollette",Dati[[#This Row],[Categoria]]="Conto &amp; Carte BNL",Dati[[#This Row],[Categoria]]="Prelievo",Dati[[#This Row],[Categoria]]="Affitto",Dati[[#This Row],[Categoria]]="BNL(Interessi Creditori)"),"Carta",IF(Dati[[#This Row],[Categoria]]&lt;&gt;0,"Cash",""))</f>
        <v/>
      </c>
      <c r="K1436" s="59" t="str">
        <f>IF(OR(Data!$I1436=SottocategorieUscite[[#Headers],[Fuori Casa]],Data!$I1436=SottocategorieUscite[[#Headers],[Varie Uscite]],Data!$I1436=SottocategorieUscite[[#Headers],[Personali]],Data!$I1436=SottocategorieUscite[[#Headers],[Lavoro]]),"$ -","")</f>
        <v/>
      </c>
      <c r="L1436" s="59" t="str">
        <f>IF(OR(Data!$I1436=SottocategorieUscite[[#Headers],[Casa]],Data!$I1436=SottocategorieUscite[[#Headers],[Utenze]],Data!$I1436=SottocategorieUscite[[#Headers],[Business Uscite]],Data!$I1436=SottocategorieUscite[[#Headers],[Banca]]),"$ -","")</f>
        <v/>
      </c>
      <c r="M1436" s="59" t="str">
        <f>IF(OR($I1436&lt;&gt;SottocategorieUscite[[#Headers],[Fuori Casa]],$I1436&lt;&gt;SottocategorieUscite[[#Headers],[Varie Uscite]],$I1436&lt;&gt;SottocategorieUscite[[#Headers],[Personali]],$I1436&lt;&gt;SottocategorieUscite[[#Headers],[Lavoro]],$I1436&lt;&gt;SottocategorieUscite[[#Headers],[Casa]],$I1436&lt;&gt;SottocategorieUscite[[#Headers],[Utenze]],$I1436&lt;&gt;SottocategorieUscite[[#Headers],[Business Uscite]],$I1436&lt;&gt;SottocategorieUscite[[#Headers],[Banca]]),"","$ -")</f>
        <v/>
      </c>
      <c r="N1436" s="59" t="str">
        <f>IF(OR(Data!$I1436=SottocategorieEntrate[[#Headers],[Business Entrate]],Data!$I1436=SottocategorieEntrate[[#Headers],[Varie Entrate]]),"$ -","")</f>
        <v/>
      </c>
      <c r="O1436" s="59" t="str">
        <f>IF(OR(Data!$I1436=SottocategorieEntrate[[#Headers],[Real Estate]],SottocategorieEntrate[[#Headers],[Other]]),"$ -","")</f>
        <v/>
      </c>
      <c r="P1436" s="59" t="str">
        <f>IF(OR($I1436&lt;&gt;SottocategorieEntrate[[#Headers],[Business Entrate]],$I1436&lt;&gt;SottocategorieEntrate[[#Headers],[Varie Entrate]],$I1436&lt;&gt;SottocategorieEntrate[[#Headers],[Real Estate]],$I1436&lt;&gt;SottocategorieEntrate[[#Headers],[Other]]),"","$ -")</f>
        <v/>
      </c>
      <c r="Q1436" s="59" t="str">
        <f>IF(Dati[[#This Row],[Categoria]]="Prelievo","€ -","")</f>
        <v/>
      </c>
      <c r="R1436" s="244"/>
      <c r="S1436" s="59" t="str">
        <f>IF(Dati[[#This Row],[Categoria]]="Savings",0,"")</f>
        <v/>
      </c>
      <c r="T1436" s="59"/>
      <c r="U1436" s="59"/>
      <c r="V1436" s="59"/>
      <c r="W1436" s="59"/>
      <c r="X1436" s="59"/>
      <c r="Y1436" s="59"/>
      <c r="Z1436" s="59"/>
      <c r="AA1436" s="59"/>
      <c r="AB1436" s="59"/>
      <c r="AC1436" s="59"/>
      <c r="AD1436" s="59"/>
      <c r="AE1436" s="59"/>
      <c r="AF1436" s="59"/>
      <c r="AG1436" s="59"/>
      <c r="AH1436" s="59"/>
      <c r="AI1436" s="59" t="str">
        <f>IF(SUM(Dati[[#This Row],[Inv. Business]:[Inv. Cryptocurrency]])=0," ",SUM(Dati[[#This Row],[Inv. Business]:[Inv. Cryptocurrency]]))</f>
        <v xml:space="preserve"> </v>
      </c>
      <c r="AJ1436" s="59"/>
      <c r="AK1436" s="59" t="str">
        <f>IF(SUM(Dati[[#This Row],[Inv. Gold]:[Mutuo]])=0," ",SUM(Dati[[#This Row],[Inv. Gold]:[Mutuo]]))</f>
        <v xml:space="preserve"> </v>
      </c>
      <c r="AL1436" s="59"/>
      <c r="AM1436" s="59"/>
    </row>
    <row r="1437" spans="2:39" x14ac:dyDescent="0.35">
      <c r="B1437" s="237">
        <f t="shared" si="107"/>
        <v>1417</v>
      </c>
      <c r="C1437" s="49">
        <f t="shared" si="106"/>
        <v>45995</v>
      </c>
      <c r="D1437" s="29">
        <f>DAY(Dati[[#This Row],[Data]])</f>
        <v>4</v>
      </c>
      <c r="E1437" s="29" t="str">
        <f>IF(DAY(Data!$C$21:$C$1613)&gt;0,TEXT(Data!$C$21:$C$1613, "mmmm"),"")</f>
        <v>dicembre</v>
      </c>
      <c r="F1437" s="29" t="str">
        <f>IF(DAY(Data!$C$21:$C$1613)&gt;0,TEXT(Data!$C$21:$C$1613, "aaaa"),"")</f>
        <v>2025</v>
      </c>
      <c r="I1437" t="str">
        <f>IF(OR(H1437=$B$5,H1437=$B$6,H1437=$B$7,H1437=$B$8,H1437=$B$9,H1437=$B$10,H1437=$B$11,H1437=$B$12,H1437=$B$13,H1437=$B$14),SottocategorieUscite[[#Headers],[Fuori Casa]],IF(OR(H1437=$C$5,H1437=$C$6,H1437=$C$7,H1437=$C$8,H1437=$C$9,H1437=$C$10,H1437=$C$11,H1437=$C$12,H1437=$C$13,H1437=$C$14),SottocategorieUscite[[#Headers],[Varie Uscite]],IF(OR(H1437=$D$5,H1437=$D$6,H1437=$D$7,H1437=$D$8,H1437=$D$9,H1437=$D$10,H1437=$D$11,H1437=$D$12,H1437=$D$13,H1437=$D$14),SottocategorieUscite[[#Headers],[Personali]],IF(OR(H1437=$E$5,H1437=$E$6,H1437=$E$7,H1437=$E$8,H1437=$E$9,H1437=$E$10,H1437=$E$11,H1437=$E$12,H1437=$E$13,H1437=$E$14),SottocategorieUscite[[#Headers],[Lavoro]],IF(OR(H1437=$F$5,H1437=$F$6,H1437=$F$7,H1437=$F$8,H1437=$F$9,H1437=$F$10,H1437=$F$11,H1437=$F$12,H1437=$F$13,H1437=$F$14),SottocategorieUscite[[#Headers],[Casa]],IF(OR(H1437=$G$5,H1437=$G$6,H1437=$G$7,H1437=$G$8,H1437=$G$9,H1437=$G$10,H1437=$G$11,H1437=$G$12,H1437=$G$13,H1437=$G$14),SottocategorieUscite[[#Headers],[Utenze]],IF(OR(H1437=$H$5,H1437=$H$6,H1437=$H$7,H1437=$H$8,H1437=$H$9,H1437=$H$10,H1437=$H$11,H1437=$H$12,H1437=$H$13,H1437=$H$14),SottocategorieUscite[[#Headers],[Business Uscite]],IF(OR(H1437=$I$5,H1437=$I$6,H1437=$I$7,H1437=$I$8,H1437=$I$9,H1437=$I$10,H1437=$I$11,H1437=$I$12,H1437=$I$13,H1437=$I$14),SottocategorieUscite[[#Headers],[Banca]],IF(OR(H1437=K$5,H1437=K$6,H1437=K$7,H1437=K$8,H1437=K$9,H1437=K$10,H1437=K$11,H1437=K$12,H1437=K$13,H1437=K$14),SottocategorieEntrate[[#Headers],[Business Entrate]],IF(OR(H1437=L$5,H1437=L$6,H1437=L$7,H1437=L$8,H1437=L$9,H1437=L$10,H1437=L$11,H1437=L$12,H1437=L$13,H1437=L$14),SottocategorieEntrate[[#Headers],[Varie Entrate]],IF(OR(H1437=M$5,H1437=M$6,H1437=M$7,H1437=M$8,H1437=M$9,H1437=M$10,H1437=M$11,H1437=M$12,H1437=M$13,H1437=M$14),SottocategorieEntrate[[#Headers],[Real Estate]],IF(OR(H1437=N$5,H1437=N$6,H1437=N$7,H1437=N$8,H1437=N$9,H1437=N$10,H1437=N$11,H1437=N$12,H1437=N$13,H1437=N$14),SottocategorieEntrate[[#Headers],[Other]],""))))))))))))</f>
        <v/>
      </c>
      <c r="J1437" t="str">
        <f>IF(OR(Dati[[#This Row],[Categoria]]="Bollette",Dati[[#This Row],[Categoria]]="Conto &amp; Carte BNL",Dati[[#This Row],[Categoria]]="Prelievo",Dati[[#This Row],[Categoria]]="Affitto",Dati[[#This Row],[Categoria]]="BNL(Interessi Creditori)"),"Carta",IF(Dati[[#This Row],[Categoria]]&lt;&gt;0,"Cash",""))</f>
        <v/>
      </c>
      <c r="K1437" s="59" t="str">
        <f>IF(OR(Data!$I1437=SottocategorieUscite[[#Headers],[Fuori Casa]],Data!$I1437=SottocategorieUscite[[#Headers],[Varie Uscite]],Data!$I1437=SottocategorieUscite[[#Headers],[Personali]],Data!$I1437=SottocategorieUscite[[#Headers],[Lavoro]]),"$ -","")</f>
        <v/>
      </c>
      <c r="L1437" s="59" t="str">
        <f>IF(OR(Data!$I1437=SottocategorieUscite[[#Headers],[Casa]],Data!$I1437=SottocategorieUscite[[#Headers],[Utenze]],Data!$I1437=SottocategorieUscite[[#Headers],[Business Uscite]],Data!$I1437=SottocategorieUscite[[#Headers],[Banca]]),"$ -","")</f>
        <v/>
      </c>
      <c r="M1437" s="59" t="str">
        <f>IF(OR($I1437&lt;&gt;SottocategorieUscite[[#Headers],[Fuori Casa]],$I1437&lt;&gt;SottocategorieUscite[[#Headers],[Varie Uscite]],$I1437&lt;&gt;SottocategorieUscite[[#Headers],[Personali]],$I1437&lt;&gt;SottocategorieUscite[[#Headers],[Lavoro]],$I1437&lt;&gt;SottocategorieUscite[[#Headers],[Casa]],$I1437&lt;&gt;SottocategorieUscite[[#Headers],[Utenze]],$I1437&lt;&gt;SottocategorieUscite[[#Headers],[Business Uscite]],$I1437&lt;&gt;SottocategorieUscite[[#Headers],[Banca]]),"","$ -")</f>
        <v/>
      </c>
      <c r="N1437" s="59" t="str">
        <f>IF(OR(Data!$I1437=SottocategorieEntrate[[#Headers],[Business Entrate]],Data!$I1437=SottocategorieEntrate[[#Headers],[Varie Entrate]]),"$ -","")</f>
        <v/>
      </c>
      <c r="O1437" s="59" t="str">
        <f>IF(OR(Data!$I1437=SottocategorieEntrate[[#Headers],[Real Estate]],SottocategorieEntrate[[#Headers],[Other]]),"$ -","")</f>
        <v/>
      </c>
      <c r="P1437" s="59" t="str">
        <f>IF(OR($I1437&lt;&gt;SottocategorieEntrate[[#Headers],[Business Entrate]],$I1437&lt;&gt;SottocategorieEntrate[[#Headers],[Varie Entrate]],$I1437&lt;&gt;SottocategorieEntrate[[#Headers],[Real Estate]],$I1437&lt;&gt;SottocategorieEntrate[[#Headers],[Other]]),"","$ -")</f>
        <v/>
      </c>
      <c r="Q1437" s="59" t="str">
        <f>IF(Dati[[#This Row],[Categoria]]="Prelievo","€ -","")</f>
        <v/>
      </c>
      <c r="R1437" s="244"/>
      <c r="S1437" s="59" t="str">
        <f>IF(Dati[[#This Row],[Categoria]]="Savings",0,"")</f>
        <v/>
      </c>
      <c r="T1437" s="59"/>
      <c r="U1437" s="59"/>
      <c r="V1437" s="59"/>
      <c r="W1437" s="59"/>
      <c r="X1437" s="59"/>
      <c r="Y1437" s="59"/>
      <c r="Z1437" s="59"/>
      <c r="AA1437" s="59"/>
      <c r="AB1437" s="59"/>
      <c r="AC1437" s="59"/>
      <c r="AD1437" s="59"/>
      <c r="AE1437" s="59"/>
      <c r="AF1437" s="59"/>
      <c r="AG1437" s="59"/>
      <c r="AH1437" s="59"/>
      <c r="AI1437" s="59" t="str">
        <f>IF(SUM(Dati[[#This Row],[Inv. Business]:[Inv. Cryptocurrency]])=0," ",SUM(Dati[[#This Row],[Inv. Business]:[Inv. Cryptocurrency]]))</f>
        <v xml:space="preserve"> </v>
      </c>
      <c r="AJ1437" s="59"/>
      <c r="AK1437" s="59" t="str">
        <f>IF(SUM(Dati[[#This Row],[Inv. Gold]:[Mutuo]])=0," ",SUM(Dati[[#This Row],[Inv. Gold]:[Mutuo]]))</f>
        <v xml:space="preserve"> </v>
      </c>
      <c r="AL1437" s="59"/>
      <c r="AM1437" s="59"/>
    </row>
    <row r="1438" spans="2:39" x14ac:dyDescent="0.35">
      <c r="B1438" s="237">
        <f t="shared" si="107"/>
        <v>1418</v>
      </c>
      <c r="C1438" s="49">
        <f t="shared" si="106"/>
        <v>45996</v>
      </c>
      <c r="D1438" s="29">
        <f>DAY(Dati[[#This Row],[Data]])</f>
        <v>5</v>
      </c>
      <c r="E1438" s="29" t="str">
        <f>IF(DAY(Data!$C$21:$C$1613)&gt;0,TEXT(Data!$C$21:$C$1613, "mmmm"),"")</f>
        <v>dicembre</v>
      </c>
      <c r="F1438" s="29" t="str">
        <f>IF(DAY(Data!$C$21:$C$1613)&gt;0,TEXT(Data!$C$21:$C$1613, "aaaa"),"")</f>
        <v>2025</v>
      </c>
      <c r="I1438" t="str">
        <f>IF(OR(H1438=$B$5,H1438=$B$6,H1438=$B$7,H1438=$B$8,H1438=$B$9,H1438=$B$10,H1438=$B$11,H1438=$B$12,H1438=$B$13,H1438=$B$14),SottocategorieUscite[[#Headers],[Fuori Casa]],IF(OR(H1438=$C$5,H1438=$C$6,H1438=$C$7,H1438=$C$8,H1438=$C$9,H1438=$C$10,H1438=$C$11,H1438=$C$12,H1438=$C$13,H1438=$C$14),SottocategorieUscite[[#Headers],[Varie Uscite]],IF(OR(H1438=$D$5,H1438=$D$6,H1438=$D$7,H1438=$D$8,H1438=$D$9,H1438=$D$10,H1438=$D$11,H1438=$D$12,H1438=$D$13,H1438=$D$14),SottocategorieUscite[[#Headers],[Personali]],IF(OR(H1438=$E$5,H1438=$E$6,H1438=$E$7,H1438=$E$8,H1438=$E$9,H1438=$E$10,H1438=$E$11,H1438=$E$12,H1438=$E$13,H1438=$E$14),SottocategorieUscite[[#Headers],[Lavoro]],IF(OR(H1438=$F$5,H1438=$F$6,H1438=$F$7,H1438=$F$8,H1438=$F$9,H1438=$F$10,H1438=$F$11,H1438=$F$12,H1438=$F$13,H1438=$F$14),SottocategorieUscite[[#Headers],[Casa]],IF(OR(H1438=$G$5,H1438=$G$6,H1438=$G$7,H1438=$G$8,H1438=$G$9,H1438=$G$10,H1438=$G$11,H1438=$G$12,H1438=$G$13,H1438=$G$14),SottocategorieUscite[[#Headers],[Utenze]],IF(OR(H1438=$H$5,H1438=$H$6,H1438=$H$7,H1438=$H$8,H1438=$H$9,H1438=$H$10,H1438=$H$11,H1438=$H$12,H1438=$H$13,H1438=$H$14),SottocategorieUscite[[#Headers],[Business Uscite]],IF(OR(H1438=$I$5,H1438=$I$6,H1438=$I$7,H1438=$I$8,H1438=$I$9,H1438=$I$10,H1438=$I$11,H1438=$I$12,H1438=$I$13,H1438=$I$14),SottocategorieUscite[[#Headers],[Banca]],IF(OR(H1438=K$5,H1438=K$6,H1438=K$7,H1438=K$8,H1438=K$9,H1438=K$10,H1438=K$11,H1438=K$12,H1438=K$13,H1438=K$14),SottocategorieEntrate[[#Headers],[Business Entrate]],IF(OR(H1438=L$5,H1438=L$6,H1438=L$7,H1438=L$8,H1438=L$9,H1438=L$10,H1438=L$11,H1438=L$12,H1438=L$13,H1438=L$14),SottocategorieEntrate[[#Headers],[Varie Entrate]],IF(OR(H1438=M$5,H1438=M$6,H1438=M$7,H1438=M$8,H1438=M$9,H1438=M$10,H1438=M$11,H1438=M$12,H1438=M$13,H1438=M$14),SottocategorieEntrate[[#Headers],[Real Estate]],IF(OR(H1438=N$5,H1438=N$6,H1438=N$7,H1438=N$8,H1438=N$9,H1438=N$10,H1438=N$11,H1438=N$12,H1438=N$13,H1438=N$14),SottocategorieEntrate[[#Headers],[Other]],""))))))))))))</f>
        <v/>
      </c>
      <c r="J1438" t="str">
        <f>IF(OR(Dati[[#This Row],[Categoria]]="Bollette",Dati[[#This Row],[Categoria]]="Conto &amp; Carte BNL",Dati[[#This Row],[Categoria]]="Prelievo",Dati[[#This Row],[Categoria]]="Affitto",Dati[[#This Row],[Categoria]]="BNL(Interessi Creditori)"),"Carta",IF(Dati[[#This Row],[Categoria]]&lt;&gt;0,"Cash",""))</f>
        <v/>
      </c>
      <c r="K1438" s="59" t="str">
        <f>IF(OR(Data!$I1438=SottocategorieUscite[[#Headers],[Fuori Casa]],Data!$I1438=SottocategorieUscite[[#Headers],[Varie Uscite]],Data!$I1438=SottocategorieUscite[[#Headers],[Personali]],Data!$I1438=SottocategorieUscite[[#Headers],[Lavoro]]),"$ -","")</f>
        <v/>
      </c>
      <c r="L1438" s="59" t="str">
        <f>IF(OR(Data!$I1438=SottocategorieUscite[[#Headers],[Casa]],Data!$I1438=SottocategorieUscite[[#Headers],[Utenze]],Data!$I1438=SottocategorieUscite[[#Headers],[Business Uscite]],Data!$I1438=SottocategorieUscite[[#Headers],[Banca]]),"$ -","")</f>
        <v/>
      </c>
      <c r="M1438" s="59" t="str">
        <f>IF(OR($I1438&lt;&gt;SottocategorieUscite[[#Headers],[Fuori Casa]],$I1438&lt;&gt;SottocategorieUscite[[#Headers],[Varie Uscite]],$I1438&lt;&gt;SottocategorieUscite[[#Headers],[Personali]],$I1438&lt;&gt;SottocategorieUscite[[#Headers],[Lavoro]],$I1438&lt;&gt;SottocategorieUscite[[#Headers],[Casa]],$I1438&lt;&gt;SottocategorieUscite[[#Headers],[Utenze]],$I1438&lt;&gt;SottocategorieUscite[[#Headers],[Business Uscite]],$I1438&lt;&gt;SottocategorieUscite[[#Headers],[Banca]]),"","$ -")</f>
        <v/>
      </c>
      <c r="N1438" s="59" t="str">
        <f>IF(OR(Data!$I1438=SottocategorieEntrate[[#Headers],[Business Entrate]],Data!$I1438=SottocategorieEntrate[[#Headers],[Varie Entrate]]),"$ -","")</f>
        <v/>
      </c>
      <c r="O1438" s="59" t="str">
        <f>IF(OR(Data!$I1438=SottocategorieEntrate[[#Headers],[Real Estate]],SottocategorieEntrate[[#Headers],[Other]]),"$ -","")</f>
        <v/>
      </c>
      <c r="P1438" s="59" t="str">
        <f>IF(OR($I1438&lt;&gt;SottocategorieEntrate[[#Headers],[Business Entrate]],$I1438&lt;&gt;SottocategorieEntrate[[#Headers],[Varie Entrate]],$I1438&lt;&gt;SottocategorieEntrate[[#Headers],[Real Estate]],$I1438&lt;&gt;SottocategorieEntrate[[#Headers],[Other]]),"","$ -")</f>
        <v/>
      </c>
      <c r="Q1438" s="59" t="str">
        <f>IF(Dati[[#This Row],[Categoria]]="Prelievo","€ -","")</f>
        <v/>
      </c>
      <c r="R1438" s="244"/>
      <c r="S1438" s="59" t="str">
        <f>IF(Dati[[#This Row],[Categoria]]="Savings",0,"")</f>
        <v/>
      </c>
      <c r="T1438" s="59"/>
      <c r="U1438" s="59"/>
      <c r="V1438" s="59"/>
      <c r="W1438" s="59"/>
      <c r="X1438" s="59"/>
      <c r="Y1438" s="59"/>
      <c r="Z1438" s="59"/>
      <c r="AA1438" s="59"/>
      <c r="AB1438" s="59"/>
      <c r="AC1438" s="59"/>
      <c r="AD1438" s="59"/>
      <c r="AE1438" s="59"/>
      <c r="AF1438" s="59"/>
      <c r="AG1438" s="59"/>
      <c r="AH1438" s="59"/>
      <c r="AI1438" s="59" t="str">
        <f>IF(SUM(Dati[[#This Row],[Inv. Business]:[Inv. Cryptocurrency]])=0," ",SUM(Dati[[#This Row],[Inv. Business]:[Inv. Cryptocurrency]]))</f>
        <v xml:space="preserve"> </v>
      </c>
      <c r="AJ1438" s="59"/>
      <c r="AK1438" s="59" t="str">
        <f>IF(SUM(Dati[[#This Row],[Inv. Gold]:[Mutuo]])=0," ",SUM(Dati[[#This Row],[Inv. Gold]:[Mutuo]]))</f>
        <v xml:space="preserve"> </v>
      </c>
      <c r="AL1438" s="59"/>
      <c r="AM1438" s="59"/>
    </row>
    <row r="1439" spans="2:39" x14ac:dyDescent="0.35">
      <c r="B1439" s="237">
        <f t="shared" si="107"/>
        <v>1419</v>
      </c>
      <c r="C1439" s="49">
        <f t="shared" si="106"/>
        <v>45997</v>
      </c>
      <c r="D1439" s="29">
        <f>DAY(Dati[[#This Row],[Data]])</f>
        <v>6</v>
      </c>
      <c r="E1439" s="29" t="str">
        <f>IF(DAY(Data!$C$21:$C$1613)&gt;0,TEXT(Data!$C$21:$C$1613, "mmmm"),"")</f>
        <v>dicembre</v>
      </c>
      <c r="F1439" s="29" t="str">
        <f>IF(DAY(Data!$C$21:$C$1613)&gt;0,TEXT(Data!$C$21:$C$1613, "aaaa"),"")</f>
        <v>2025</v>
      </c>
      <c r="I1439" t="str">
        <f>IF(OR(H1439=$B$5,H1439=$B$6,H1439=$B$7,H1439=$B$8,H1439=$B$9,H1439=$B$10,H1439=$B$11,H1439=$B$12,H1439=$B$13,H1439=$B$14),SottocategorieUscite[[#Headers],[Fuori Casa]],IF(OR(H1439=$C$5,H1439=$C$6,H1439=$C$7,H1439=$C$8,H1439=$C$9,H1439=$C$10,H1439=$C$11,H1439=$C$12,H1439=$C$13,H1439=$C$14),SottocategorieUscite[[#Headers],[Varie Uscite]],IF(OR(H1439=$D$5,H1439=$D$6,H1439=$D$7,H1439=$D$8,H1439=$D$9,H1439=$D$10,H1439=$D$11,H1439=$D$12,H1439=$D$13,H1439=$D$14),SottocategorieUscite[[#Headers],[Personali]],IF(OR(H1439=$E$5,H1439=$E$6,H1439=$E$7,H1439=$E$8,H1439=$E$9,H1439=$E$10,H1439=$E$11,H1439=$E$12,H1439=$E$13,H1439=$E$14),SottocategorieUscite[[#Headers],[Lavoro]],IF(OR(H1439=$F$5,H1439=$F$6,H1439=$F$7,H1439=$F$8,H1439=$F$9,H1439=$F$10,H1439=$F$11,H1439=$F$12,H1439=$F$13,H1439=$F$14),SottocategorieUscite[[#Headers],[Casa]],IF(OR(H1439=$G$5,H1439=$G$6,H1439=$G$7,H1439=$G$8,H1439=$G$9,H1439=$G$10,H1439=$G$11,H1439=$G$12,H1439=$G$13,H1439=$G$14),SottocategorieUscite[[#Headers],[Utenze]],IF(OR(H1439=$H$5,H1439=$H$6,H1439=$H$7,H1439=$H$8,H1439=$H$9,H1439=$H$10,H1439=$H$11,H1439=$H$12,H1439=$H$13,H1439=$H$14),SottocategorieUscite[[#Headers],[Business Uscite]],IF(OR(H1439=$I$5,H1439=$I$6,H1439=$I$7,H1439=$I$8,H1439=$I$9,H1439=$I$10,H1439=$I$11,H1439=$I$12,H1439=$I$13,H1439=$I$14),SottocategorieUscite[[#Headers],[Banca]],IF(OR(H1439=K$5,H1439=K$6,H1439=K$7,H1439=K$8,H1439=K$9,H1439=K$10,H1439=K$11,H1439=K$12,H1439=K$13,H1439=K$14),SottocategorieEntrate[[#Headers],[Business Entrate]],IF(OR(H1439=L$5,H1439=L$6,H1439=L$7,H1439=L$8,H1439=L$9,H1439=L$10,H1439=L$11,H1439=L$12,H1439=L$13,H1439=L$14),SottocategorieEntrate[[#Headers],[Varie Entrate]],IF(OR(H1439=M$5,H1439=M$6,H1439=M$7,H1439=M$8,H1439=M$9,H1439=M$10,H1439=M$11,H1439=M$12,H1439=M$13,H1439=M$14),SottocategorieEntrate[[#Headers],[Real Estate]],IF(OR(H1439=N$5,H1439=N$6,H1439=N$7,H1439=N$8,H1439=N$9,H1439=N$10,H1439=N$11,H1439=N$12,H1439=N$13,H1439=N$14),SottocategorieEntrate[[#Headers],[Other]],""))))))))))))</f>
        <v/>
      </c>
      <c r="J1439" t="str">
        <f>IF(OR(Dati[[#This Row],[Categoria]]="Bollette",Dati[[#This Row],[Categoria]]="Conto &amp; Carte BNL",Dati[[#This Row],[Categoria]]="Prelievo",Dati[[#This Row],[Categoria]]="Affitto",Dati[[#This Row],[Categoria]]="BNL(Interessi Creditori)"),"Carta",IF(Dati[[#This Row],[Categoria]]&lt;&gt;0,"Cash",""))</f>
        <v/>
      </c>
      <c r="K1439" s="59" t="str">
        <f>IF(OR(Data!$I1439=SottocategorieUscite[[#Headers],[Fuori Casa]],Data!$I1439=SottocategorieUscite[[#Headers],[Varie Uscite]],Data!$I1439=SottocategorieUscite[[#Headers],[Personali]],Data!$I1439=SottocategorieUscite[[#Headers],[Lavoro]]),"$ -","")</f>
        <v/>
      </c>
      <c r="L1439" s="59" t="str">
        <f>IF(OR(Data!$I1439=SottocategorieUscite[[#Headers],[Casa]],Data!$I1439=SottocategorieUscite[[#Headers],[Utenze]],Data!$I1439=SottocategorieUscite[[#Headers],[Business Uscite]],Data!$I1439=SottocategorieUscite[[#Headers],[Banca]]),"$ -","")</f>
        <v/>
      </c>
      <c r="M1439" s="59" t="str">
        <f>IF(OR($I1439&lt;&gt;SottocategorieUscite[[#Headers],[Fuori Casa]],$I1439&lt;&gt;SottocategorieUscite[[#Headers],[Varie Uscite]],$I1439&lt;&gt;SottocategorieUscite[[#Headers],[Personali]],$I1439&lt;&gt;SottocategorieUscite[[#Headers],[Lavoro]],$I1439&lt;&gt;SottocategorieUscite[[#Headers],[Casa]],$I1439&lt;&gt;SottocategorieUscite[[#Headers],[Utenze]],$I1439&lt;&gt;SottocategorieUscite[[#Headers],[Business Uscite]],$I1439&lt;&gt;SottocategorieUscite[[#Headers],[Banca]]),"","$ -")</f>
        <v/>
      </c>
      <c r="N1439" s="59" t="str">
        <f>IF(OR(Data!$I1439=SottocategorieEntrate[[#Headers],[Business Entrate]],Data!$I1439=SottocategorieEntrate[[#Headers],[Varie Entrate]]),"$ -","")</f>
        <v/>
      </c>
      <c r="O1439" s="59" t="str">
        <f>IF(OR(Data!$I1439=SottocategorieEntrate[[#Headers],[Real Estate]],SottocategorieEntrate[[#Headers],[Other]]),"$ -","")</f>
        <v/>
      </c>
      <c r="P1439" s="59" t="str">
        <f>IF(OR($I1439&lt;&gt;SottocategorieEntrate[[#Headers],[Business Entrate]],$I1439&lt;&gt;SottocategorieEntrate[[#Headers],[Varie Entrate]],$I1439&lt;&gt;SottocategorieEntrate[[#Headers],[Real Estate]],$I1439&lt;&gt;SottocategorieEntrate[[#Headers],[Other]]),"","$ -")</f>
        <v/>
      </c>
      <c r="Q1439" s="59" t="str">
        <f>IF(Dati[[#This Row],[Categoria]]="Prelievo","€ -","")</f>
        <v/>
      </c>
      <c r="R1439" s="244"/>
      <c r="S1439" s="59" t="str">
        <f>IF(Dati[[#This Row],[Categoria]]="Savings",0,"")</f>
        <v/>
      </c>
      <c r="T1439" s="59"/>
      <c r="U1439" s="59"/>
      <c r="V1439" s="59"/>
      <c r="W1439" s="59"/>
      <c r="X1439" s="59"/>
      <c r="Y1439" s="59"/>
      <c r="Z1439" s="59"/>
      <c r="AA1439" s="59"/>
      <c r="AB1439" s="59"/>
      <c r="AC1439" s="59"/>
      <c r="AD1439" s="59"/>
      <c r="AE1439" s="59"/>
      <c r="AF1439" s="59"/>
      <c r="AG1439" s="59"/>
      <c r="AH1439" s="59"/>
      <c r="AI1439" s="59" t="str">
        <f>IF(SUM(Dati[[#This Row],[Inv. Business]:[Inv. Cryptocurrency]])=0," ",SUM(Dati[[#This Row],[Inv. Business]:[Inv. Cryptocurrency]]))</f>
        <v xml:space="preserve"> </v>
      </c>
      <c r="AJ1439" s="59"/>
      <c r="AK1439" s="59" t="str">
        <f>IF(SUM(Dati[[#This Row],[Inv. Gold]:[Mutuo]])=0," ",SUM(Dati[[#This Row],[Inv. Gold]:[Mutuo]]))</f>
        <v xml:space="preserve"> </v>
      </c>
      <c r="AL1439" s="59"/>
      <c r="AM1439" s="59"/>
    </row>
    <row r="1440" spans="2:39" x14ac:dyDescent="0.35">
      <c r="B1440" s="237">
        <f t="shared" si="107"/>
        <v>1420</v>
      </c>
      <c r="C1440" s="49">
        <f t="shared" ref="C1440:C1503" si="108">C1439+1</f>
        <v>45998</v>
      </c>
      <c r="D1440" s="29">
        <f>DAY(Dati[[#This Row],[Data]])</f>
        <v>7</v>
      </c>
      <c r="E1440" s="29" t="str">
        <f>IF(DAY(Data!$C$21:$C$1613)&gt;0,TEXT(Data!$C$21:$C$1613, "mmmm"),"")</f>
        <v>dicembre</v>
      </c>
      <c r="F1440" s="29" t="str">
        <f>IF(DAY(Data!$C$21:$C$1613)&gt;0,TEXT(Data!$C$21:$C$1613, "aaaa"),"")</f>
        <v>2025</v>
      </c>
      <c r="I1440" t="str">
        <f>IF(OR(H1440=$B$5,H1440=$B$6,H1440=$B$7,H1440=$B$8,H1440=$B$9,H1440=$B$10,H1440=$B$11,H1440=$B$12,H1440=$B$13,H1440=$B$14),SottocategorieUscite[[#Headers],[Fuori Casa]],IF(OR(H1440=$C$5,H1440=$C$6,H1440=$C$7,H1440=$C$8,H1440=$C$9,H1440=$C$10,H1440=$C$11,H1440=$C$12,H1440=$C$13,H1440=$C$14),SottocategorieUscite[[#Headers],[Varie Uscite]],IF(OR(H1440=$D$5,H1440=$D$6,H1440=$D$7,H1440=$D$8,H1440=$D$9,H1440=$D$10,H1440=$D$11,H1440=$D$12,H1440=$D$13,H1440=$D$14),SottocategorieUscite[[#Headers],[Personali]],IF(OR(H1440=$E$5,H1440=$E$6,H1440=$E$7,H1440=$E$8,H1440=$E$9,H1440=$E$10,H1440=$E$11,H1440=$E$12,H1440=$E$13,H1440=$E$14),SottocategorieUscite[[#Headers],[Lavoro]],IF(OR(H1440=$F$5,H1440=$F$6,H1440=$F$7,H1440=$F$8,H1440=$F$9,H1440=$F$10,H1440=$F$11,H1440=$F$12,H1440=$F$13,H1440=$F$14),SottocategorieUscite[[#Headers],[Casa]],IF(OR(H1440=$G$5,H1440=$G$6,H1440=$G$7,H1440=$G$8,H1440=$G$9,H1440=$G$10,H1440=$G$11,H1440=$G$12,H1440=$G$13,H1440=$G$14),SottocategorieUscite[[#Headers],[Utenze]],IF(OR(H1440=$H$5,H1440=$H$6,H1440=$H$7,H1440=$H$8,H1440=$H$9,H1440=$H$10,H1440=$H$11,H1440=$H$12,H1440=$H$13,H1440=$H$14),SottocategorieUscite[[#Headers],[Business Uscite]],IF(OR(H1440=$I$5,H1440=$I$6,H1440=$I$7,H1440=$I$8,H1440=$I$9,H1440=$I$10,H1440=$I$11,H1440=$I$12,H1440=$I$13,H1440=$I$14),SottocategorieUscite[[#Headers],[Banca]],IF(OR(H1440=K$5,H1440=K$6,H1440=K$7,H1440=K$8,H1440=K$9,H1440=K$10,H1440=K$11,H1440=K$12,H1440=K$13,H1440=K$14),SottocategorieEntrate[[#Headers],[Business Entrate]],IF(OR(H1440=L$5,H1440=L$6,H1440=L$7,H1440=L$8,H1440=L$9,H1440=L$10,H1440=L$11,H1440=L$12,H1440=L$13,H1440=L$14),SottocategorieEntrate[[#Headers],[Varie Entrate]],IF(OR(H1440=M$5,H1440=M$6,H1440=M$7,H1440=M$8,H1440=M$9,H1440=M$10,H1440=M$11,H1440=M$12,H1440=M$13,H1440=M$14),SottocategorieEntrate[[#Headers],[Real Estate]],IF(OR(H1440=N$5,H1440=N$6,H1440=N$7,H1440=N$8,H1440=N$9,H1440=N$10,H1440=N$11,H1440=N$12,H1440=N$13,H1440=N$14),SottocategorieEntrate[[#Headers],[Other]],""))))))))))))</f>
        <v/>
      </c>
      <c r="J1440" t="str">
        <f>IF(OR(Dati[[#This Row],[Categoria]]="Bollette",Dati[[#This Row],[Categoria]]="Conto &amp; Carte BNL",Dati[[#This Row],[Categoria]]="Prelievo",Dati[[#This Row],[Categoria]]="Affitto",Dati[[#This Row],[Categoria]]="BNL(Interessi Creditori)"),"Carta",IF(Dati[[#This Row],[Categoria]]&lt;&gt;0,"Cash",""))</f>
        <v/>
      </c>
      <c r="K1440" s="59" t="str">
        <f>IF(OR(Data!$I1440=SottocategorieUscite[[#Headers],[Fuori Casa]],Data!$I1440=SottocategorieUscite[[#Headers],[Varie Uscite]],Data!$I1440=SottocategorieUscite[[#Headers],[Personali]],Data!$I1440=SottocategorieUscite[[#Headers],[Lavoro]]),"$ -","")</f>
        <v/>
      </c>
      <c r="L1440" s="59" t="str">
        <f>IF(OR(Data!$I1440=SottocategorieUscite[[#Headers],[Casa]],Data!$I1440=SottocategorieUscite[[#Headers],[Utenze]],Data!$I1440=SottocategorieUscite[[#Headers],[Business Uscite]],Data!$I1440=SottocategorieUscite[[#Headers],[Banca]]),"$ -","")</f>
        <v/>
      </c>
      <c r="M1440" s="59" t="str">
        <f>IF(OR($I1440&lt;&gt;SottocategorieUscite[[#Headers],[Fuori Casa]],$I1440&lt;&gt;SottocategorieUscite[[#Headers],[Varie Uscite]],$I1440&lt;&gt;SottocategorieUscite[[#Headers],[Personali]],$I1440&lt;&gt;SottocategorieUscite[[#Headers],[Lavoro]],$I1440&lt;&gt;SottocategorieUscite[[#Headers],[Casa]],$I1440&lt;&gt;SottocategorieUscite[[#Headers],[Utenze]],$I1440&lt;&gt;SottocategorieUscite[[#Headers],[Business Uscite]],$I1440&lt;&gt;SottocategorieUscite[[#Headers],[Banca]]),"","$ -")</f>
        <v/>
      </c>
      <c r="N1440" s="59" t="str">
        <f>IF(OR(Data!$I1440=SottocategorieEntrate[[#Headers],[Business Entrate]],Data!$I1440=SottocategorieEntrate[[#Headers],[Varie Entrate]]),"$ -","")</f>
        <v/>
      </c>
      <c r="O1440" s="59" t="str">
        <f>IF(OR(Data!$I1440=SottocategorieEntrate[[#Headers],[Real Estate]],SottocategorieEntrate[[#Headers],[Other]]),"$ -","")</f>
        <v/>
      </c>
      <c r="P1440" s="59" t="str">
        <f>IF(OR($I1440&lt;&gt;SottocategorieEntrate[[#Headers],[Business Entrate]],$I1440&lt;&gt;SottocategorieEntrate[[#Headers],[Varie Entrate]],$I1440&lt;&gt;SottocategorieEntrate[[#Headers],[Real Estate]],$I1440&lt;&gt;SottocategorieEntrate[[#Headers],[Other]]),"","$ -")</f>
        <v/>
      </c>
      <c r="Q1440" s="59" t="str">
        <f>IF(Dati[[#This Row],[Categoria]]="Prelievo","€ -","")</f>
        <v/>
      </c>
      <c r="R1440" s="244"/>
      <c r="S1440" s="59" t="str">
        <f>IF(Dati[[#This Row],[Categoria]]="Savings",0,"")</f>
        <v/>
      </c>
      <c r="T1440" s="59"/>
      <c r="U1440" s="59"/>
      <c r="V1440" s="59"/>
      <c r="W1440" s="59"/>
      <c r="X1440" s="59"/>
      <c r="Y1440" s="59"/>
      <c r="Z1440" s="59"/>
      <c r="AA1440" s="59"/>
      <c r="AB1440" s="59"/>
      <c r="AC1440" s="59"/>
      <c r="AD1440" s="59"/>
      <c r="AE1440" s="59"/>
      <c r="AF1440" s="59"/>
      <c r="AG1440" s="59"/>
      <c r="AH1440" s="59"/>
      <c r="AI1440" s="59" t="str">
        <f>IF(SUM(Dati[[#This Row],[Inv. Business]:[Inv. Cryptocurrency]])=0," ",SUM(Dati[[#This Row],[Inv. Business]:[Inv. Cryptocurrency]]))</f>
        <v xml:space="preserve"> </v>
      </c>
      <c r="AJ1440" s="59"/>
      <c r="AK1440" s="59" t="str">
        <f>IF(SUM(Dati[[#This Row],[Inv. Gold]:[Mutuo]])=0," ",SUM(Dati[[#This Row],[Inv. Gold]:[Mutuo]]))</f>
        <v xml:space="preserve"> </v>
      </c>
      <c r="AL1440" s="59"/>
      <c r="AM1440" s="59"/>
    </row>
    <row r="1441" spans="2:39" x14ac:dyDescent="0.35">
      <c r="B1441" s="237">
        <f t="shared" si="107"/>
        <v>1421</v>
      </c>
      <c r="C1441" s="49">
        <f t="shared" si="108"/>
        <v>45999</v>
      </c>
      <c r="D1441" s="29">
        <f>DAY(Dati[[#This Row],[Data]])</f>
        <v>8</v>
      </c>
      <c r="E1441" s="29" t="str">
        <f>IF(DAY(Data!$C$21:$C$1613)&gt;0,TEXT(Data!$C$21:$C$1613, "mmmm"),"")</f>
        <v>dicembre</v>
      </c>
      <c r="F1441" s="29" t="str">
        <f>IF(DAY(Data!$C$21:$C$1613)&gt;0,TEXT(Data!$C$21:$C$1613, "aaaa"),"")</f>
        <v>2025</v>
      </c>
      <c r="I1441" t="str">
        <f>IF(OR(H1441=$B$5,H1441=$B$6,H1441=$B$7,H1441=$B$8,H1441=$B$9,H1441=$B$10,H1441=$B$11,H1441=$B$12,H1441=$B$13,H1441=$B$14),SottocategorieUscite[[#Headers],[Fuori Casa]],IF(OR(H1441=$C$5,H1441=$C$6,H1441=$C$7,H1441=$C$8,H1441=$C$9,H1441=$C$10,H1441=$C$11,H1441=$C$12,H1441=$C$13,H1441=$C$14),SottocategorieUscite[[#Headers],[Varie Uscite]],IF(OR(H1441=$D$5,H1441=$D$6,H1441=$D$7,H1441=$D$8,H1441=$D$9,H1441=$D$10,H1441=$D$11,H1441=$D$12,H1441=$D$13,H1441=$D$14),SottocategorieUscite[[#Headers],[Personali]],IF(OR(H1441=$E$5,H1441=$E$6,H1441=$E$7,H1441=$E$8,H1441=$E$9,H1441=$E$10,H1441=$E$11,H1441=$E$12,H1441=$E$13,H1441=$E$14),SottocategorieUscite[[#Headers],[Lavoro]],IF(OR(H1441=$F$5,H1441=$F$6,H1441=$F$7,H1441=$F$8,H1441=$F$9,H1441=$F$10,H1441=$F$11,H1441=$F$12,H1441=$F$13,H1441=$F$14),SottocategorieUscite[[#Headers],[Casa]],IF(OR(H1441=$G$5,H1441=$G$6,H1441=$G$7,H1441=$G$8,H1441=$G$9,H1441=$G$10,H1441=$G$11,H1441=$G$12,H1441=$G$13,H1441=$G$14),SottocategorieUscite[[#Headers],[Utenze]],IF(OR(H1441=$H$5,H1441=$H$6,H1441=$H$7,H1441=$H$8,H1441=$H$9,H1441=$H$10,H1441=$H$11,H1441=$H$12,H1441=$H$13,H1441=$H$14),SottocategorieUscite[[#Headers],[Business Uscite]],IF(OR(H1441=$I$5,H1441=$I$6,H1441=$I$7,H1441=$I$8,H1441=$I$9,H1441=$I$10,H1441=$I$11,H1441=$I$12,H1441=$I$13,H1441=$I$14),SottocategorieUscite[[#Headers],[Banca]],IF(OR(H1441=K$5,H1441=K$6,H1441=K$7,H1441=K$8,H1441=K$9,H1441=K$10,H1441=K$11,H1441=K$12,H1441=K$13,H1441=K$14),SottocategorieEntrate[[#Headers],[Business Entrate]],IF(OR(H1441=L$5,H1441=L$6,H1441=L$7,H1441=L$8,H1441=L$9,H1441=L$10,H1441=L$11,H1441=L$12,H1441=L$13,H1441=L$14),SottocategorieEntrate[[#Headers],[Varie Entrate]],IF(OR(H1441=M$5,H1441=M$6,H1441=M$7,H1441=M$8,H1441=M$9,H1441=M$10,H1441=M$11,H1441=M$12,H1441=M$13,H1441=M$14),SottocategorieEntrate[[#Headers],[Real Estate]],IF(OR(H1441=N$5,H1441=N$6,H1441=N$7,H1441=N$8,H1441=N$9,H1441=N$10,H1441=N$11,H1441=N$12,H1441=N$13,H1441=N$14),SottocategorieEntrate[[#Headers],[Other]],""))))))))))))</f>
        <v/>
      </c>
      <c r="J1441" t="str">
        <f>IF(OR(Dati[[#This Row],[Categoria]]="Bollette",Dati[[#This Row],[Categoria]]="Conto &amp; Carte BNL",Dati[[#This Row],[Categoria]]="Prelievo",Dati[[#This Row],[Categoria]]="Affitto",Dati[[#This Row],[Categoria]]="BNL(Interessi Creditori)"),"Carta",IF(Dati[[#This Row],[Categoria]]&lt;&gt;0,"Cash",""))</f>
        <v/>
      </c>
      <c r="K1441" s="59" t="str">
        <f>IF(OR(Data!$I1441=SottocategorieUscite[[#Headers],[Fuori Casa]],Data!$I1441=SottocategorieUscite[[#Headers],[Varie Uscite]],Data!$I1441=SottocategorieUscite[[#Headers],[Personali]],Data!$I1441=SottocategorieUscite[[#Headers],[Lavoro]]),"$ -","")</f>
        <v/>
      </c>
      <c r="L1441" s="59" t="str">
        <f>IF(OR(Data!$I1441=SottocategorieUscite[[#Headers],[Casa]],Data!$I1441=SottocategorieUscite[[#Headers],[Utenze]],Data!$I1441=SottocategorieUscite[[#Headers],[Business Uscite]],Data!$I1441=SottocategorieUscite[[#Headers],[Banca]]),"$ -","")</f>
        <v/>
      </c>
      <c r="M1441" s="59" t="str">
        <f>IF(OR($I1441&lt;&gt;SottocategorieUscite[[#Headers],[Fuori Casa]],$I1441&lt;&gt;SottocategorieUscite[[#Headers],[Varie Uscite]],$I1441&lt;&gt;SottocategorieUscite[[#Headers],[Personali]],$I1441&lt;&gt;SottocategorieUscite[[#Headers],[Lavoro]],$I1441&lt;&gt;SottocategorieUscite[[#Headers],[Casa]],$I1441&lt;&gt;SottocategorieUscite[[#Headers],[Utenze]],$I1441&lt;&gt;SottocategorieUscite[[#Headers],[Business Uscite]],$I1441&lt;&gt;SottocategorieUscite[[#Headers],[Banca]]),"","$ -")</f>
        <v/>
      </c>
      <c r="N1441" s="59" t="str">
        <f>IF(OR(Data!$I1441=SottocategorieEntrate[[#Headers],[Business Entrate]],Data!$I1441=SottocategorieEntrate[[#Headers],[Varie Entrate]]),"$ -","")</f>
        <v/>
      </c>
      <c r="O1441" s="59" t="str">
        <f>IF(OR(Data!$I1441=SottocategorieEntrate[[#Headers],[Real Estate]],SottocategorieEntrate[[#Headers],[Other]]),"$ -","")</f>
        <v/>
      </c>
      <c r="P1441" s="59" t="str">
        <f>IF(OR($I1441&lt;&gt;SottocategorieEntrate[[#Headers],[Business Entrate]],$I1441&lt;&gt;SottocategorieEntrate[[#Headers],[Varie Entrate]],$I1441&lt;&gt;SottocategorieEntrate[[#Headers],[Real Estate]],$I1441&lt;&gt;SottocategorieEntrate[[#Headers],[Other]]),"","$ -")</f>
        <v/>
      </c>
      <c r="Q1441" s="59" t="str">
        <f>IF(Dati[[#This Row],[Categoria]]="Prelievo","€ -","")</f>
        <v/>
      </c>
      <c r="R1441" s="244"/>
      <c r="S1441" s="59" t="str">
        <f>IF(Dati[[#This Row],[Categoria]]="Savings",0,"")</f>
        <v/>
      </c>
      <c r="T1441" s="59"/>
      <c r="U1441" s="59"/>
      <c r="V1441" s="59"/>
      <c r="W1441" s="59"/>
      <c r="X1441" s="59"/>
      <c r="Y1441" s="59"/>
      <c r="Z1441" s="59"/>
      <c r="AA1441" s="59"/>
      <c r="AB1441" s="59"/>
      <c r="AC1441" s="59"/>
      <c r="AD1441" s="59"/>
      <c r="AE1441" s="59"/>
      <c r="AF1441" s="59"/>
      <c r="AG1441" s="59"/>
      <c r="AH1441" s="59"/>
      <c r="AI1441" s="59" t="str">
        <f>IF(SUM(Dati[[#This Row],[Inv. Business]:[Inv. Cryptocurrency]])=0," ",SUM(Dati[[#This Row],[Inv. Business]:[Inv. Cryptocurrency]]))</f>
        <v xml:space="preserve"> </v>
      </c>
      <c r="AJ1441" s="59"/>
      <c r="AK1441" s="59" t="str">
        <f>IF(SUM(Dati[[#This Row],[Inv. Gold]:[Mutuo]])=0," ",SUM(Dati[[#This Row],[Inv. Gold]:[Mutuo]]))</f>
        <v xml:space="preserve"> </v>
      </c>
      <c r="AL1441" s="59"/>
      <c r="AM1441" s="59"/>
    </row>
    <row r="1442" spans="2:39" x14ac:dyDescent="0.35">
      <c r="B1442" s="237">
        <f t="shared" si="107"/>
        <v>1422</v>
      </c>
      <c r="C1442" s="49">
        <f t="shared" si="108"/>
        <v>46000</v>
      </c>
      <c r="D1442" s="29">
        <f>DAY(Dati[[#This Row],[Data]])</f>
        <v>9</v>
      </c>
      <c r="E1442" s="29" t="str">
        <f>IF(DAY(Data!$C$21:$C$1613)&gt;0,TEXT(Data!$C$21:$C$1613, "mmmm"),"")</f>
        <v>dicembre</v>
      </c>
      <c r="F1442" s="29" t="str">
        <f>IF(DAY(Data!$C$21:$C$1613)&gt;0,TEXT(Data!$C$21:$C$1613, "aaaa"),"")</f>
        <v>2025</v>
      </c>
      <c r="I1442" t="str">
        <f>IF(OR(H1442=$B$5,H1442=$B$6,H1442=$B$7,H1442=$B$8,H1442=$B$9,H1442=$B$10,H1442=$B$11,H1442=$B$12,H1442=$B$13,H1442=$B$14),SottocategorieUscite[[#Headers],[Fuori Casa]],IF(OR(H1442=$C$5,H1442=$C$6,H1442=$C$7,H1442=$C$8,H1442=$C$9,H1442=$C$10,H1442=$C$11,H1442=$C$12,H1442=$C$13,H1442=$C$14),SottocategorieUscite[[#Headers],[Varie Uscite]],IF(OR(H1442=$D$5,H1442=$D$6,H1442=$D$7,H1442=$D$8,H1442=$D$9,H1442=$D$10,H1442=$D$11,H1442=$D$12,H1442=$D$13,H1442=$D$14),SottocategorieUscite[[#Headers],[Personali]],IF(OR(H1442=$E$5,H1442=$E$6,H1442=$E$7,H1442=$E$8,H1442=$E$9,H1442=$E$10,H1442=$E$11,H1442=$E$12,H1442=$E$13,H1442=$E$14),SottocategorieUscite[[#Headers],[Lavoro]],IF(OR(H1442=$F$5,H1442=$F$6,H1442=$F$7,H1442=$F$8,H1442=$F$9,H1442=$F$10,H1442=$F$11,H1442=$F$12,H1442=$F$13,H1442=$F$14),SottocategorieUscite[[#Headers],[Casa]],IF(OR(H1442=$G$5,H1442=$G$6,H1442=$G$7,H1442=$G$8,H1442=$G$9,H1442=$G$10,H1442=$G$11,H1442=$G$12,H1442=$G$13,H1442=$G$14),SottocategorieUscite[[#Headers],[Utenze]],IF(OR(H1442=$H$5,H1442=$H$6,H1442=$H$7,H1442=$H$8,H1442=$H$9,H1442=$H$10,H1442=$H$11,H1442=$H$12,H1442=$H$13,H1442=$H$14),SottocategorieUscite[[#Headers],[Business Uscite]],IF(OR(H1442=$I$5,H1442=$I$6,H1442=$I$7,H1442=$I$8,H1442=$I$9,H1442=$I$10,H1442=$I$11,H1442=$I$12,H1442=$I$13,H1442=$I$14),SottocategorieUscite[[#Headers],[Banca]],IF(OR(H1442=K$5,H1442=K$6,H1442=K$7,H1442=K$8,H1442=K$9,H1442=K$10,H1442=K$11,H1442=K$12,H1442=K$13,H1442=K$14),SottocategorieEntrate[[#Headers],[Business Entrate]],IF(OR(H1442=L$5,H1442=L$6,H1442=L$7,H1442=L$8,H1442=L$9,H1442=L$10,H1442=L$11,H1442=L$12,H1442=L$13,H1442=L$14),SottocategorieEntrate[[#Headers],[Varie Entrate]],IF(OR(H1442=M$5,H1442=M$6,H1442=M$7,H1442=M$8,H1442=M$9,H1442=M$10,H1442=M$11,H1442=M$12,H1442=M$13,H1442=M$14),SottocategorieEntrate[[#Headers],[Real Estate]],IF(OR(H1442=N$5,H1442=N$6,H1442=N$7,H1442=N$8,H1442=N$9,H1442=N$10,H1442=N$11,H1442=N$12,H1442=N$13,H1442=N$14),SottocategorieEntrate[[#Headers],[Other]],""))))))))))))</f>
        <v/>
      </c>
      <c r="J1442" t="str">
        <f>IF(OR(Dati[[#This Row],[Categoria]]="Bollette",Dati[[#This Row],[Categoria]]="Conto &amp; Carte BNL",Dati[[#This Row],[Categoria]]="Prelievo",Dati[[#This Row],[Categoria]]="Affitto",Dati[[#This Row],[Categoria]]="BNL(Interessi Creditori)"),"Carta",IF(Dati[[#This Row],[Categoria]]&lt;&gt;0,"Cash",""))</f>
        <v/>
      </c>
      <c r="K1442" s="59" t="str">
        <f>IF(OR(Data!$I1442=SottocategorieUscite[[#Headers],[Fuori Casa]],Data!$I1442=SottocategorieUscite[[#Headers],[Varie Uscite]],Data!$I1442=SottocategorieUscite[[#Headers],[Personali]],Data!$I1442=SottocategorieUscite[[#Headers],[Lavoro]]),"$ -","")</f>
        <v/>
      </c>
      <c r="L1442" s="59" t="str">
        <f>IF(OR(Data!$I1442=SottocategorieUscite[[#Headers],[Casa]],Data!$I1442=SottocategorieUscite[[#Headers],[Utenze]],Data!$I1442=SottocategorieUscite[[#Headers],[Business Uscite]],Data!$I1442=SottocategorieUscite[[#Headers],[Banca]]),"$ -","")</f>
        <v/>
      </c>
      <c r="M1442" s="59" t="str">
        <f>IF(OR($I1442&lt;&gt;SottocategorieUscite[[#Headers],[Fuori Casa]],$I1442&lt;&gt;SottocategorieUscite[[#Headers],[Varie Uscite]],$I1442&lt;&gt;SottocategorieUscite[[#Headers],[Personali]],$I1442&lt;&gt;SottocategorieUscite[[#Headers],[Lavoro]],$I1442&lt;&gt;SottocategorieUscite[[#Headers],[Casa]],$I1442&lt;&gt;SottocategorieUscite[[#Headers],[Utenze]],$I1442&lt;&gt;SottocategorieUscite[[#Headers],[Business Uscite]],$I1442&lt;&gt;SottocategorieUscite[[#Headers],[Banca]]),"","$ -")</f>
        <v/>
      </c>
      <c r="N1442" s="59" t="str">
        <f>IF(OR(Data!$I1442=SottocategorieEntrate[[#Headers],[Business Entrate]],Data!$I1442=SottocategorieEntrate[[#Headers],[Varie Entrate]]),"$ -","")</f>
        <v/>
      </c>
      <c r="O1442" s="59" t="str">
        <f>IF(OR(Data!$I1442=SottocategorieEntrate[[#Headers],[Real Estate]],SottocategorieEntrate[[#Headers],[Other]]),"$ -","")</f>
        <v/>
      </c>
      <c r="P1442" s="59" t="str">
        <f>IF(OR($I1442&lt;&gt;SottocategorieEntrate[[#Headers],[Business Entrate]],$I1442&lt;&gt;SottocategorieEntrate[[#Headers],[Varie Entrate]],$I1442&lt;&gt;SottocategorieEntrate[[#Headers],[Real Estate]],$I1442&lt;&gt;SottocategorieEntrate[[#Headers],[Other]]),"","$ -")</f>
        <v/>
      </c>
      <c r="Q1442" s="59" t="str">
        <f>IF(Dati[[#This Row],[Categoria]]="Prelievo","€ -","")</f>
        <v/>
      </c>
      <c r="R1442" s="244"/>
      <c r="S1442" s="59" t="str">
        <f>IF(Dati[[#This Row],[Categoria]]="Savings",0,"")</f>
        <v/>
      </c>
      <c r="T1442" s="59"/>
      <c r="U1442" s="59"/>
      <c r="V1442" s="59"/>
      <c r="W1442" s="59"/>
      <c r="X1442" s="59"/>
      <c r="Y1442" s="59"/>
      <c r="Z1442" s="59"/>
      <c r="AA1442" s="59"/>
      <c r="AB1442" s="59"/>
      <c r="AC1442" s="59"/>
      <c r="AD1442" s="59"/>
      <c r="AE1442" s="59"/>
      <c r="AF1442" s="59"/>
      <c r="AG1442" s="59"/>
      <c r="AH1442" s="59"/>
      <c r="AI1442" s="59" t="str">
        <f>IF(SUM(Dati[[#This Row],[Inv. Business]:[Inv. Cryptocurrency]])=0," ",SUM(Dati[[#This Row],[Inv. Business]:[Inv. Cryptocurrency]]))</f>
        <v xml:space="preserve"> </v>
      </c>
      <c r="AJ1442" s="59"/>
      <c r="AK1442" s="59" t="str">
        <f>IF(SUM(Dati[[#This Row],[Inv. Gold]:[Mutuo]])=0," ",SUM(Dati[[#This Row],[Inv. Gold]:[Mutuo]]))</f>
        <v xml:space="preserve"> </v>
      </c>
      <c r="AL1442" s="59"/>
      <c r="AM1442" s="59"/>
    </row>
    <row r="1443" spans="2:39" x14ac:dyDescent="0.35">
      <c r="B1443" s="237">
        <f t="shared" si="107"/>
        <v>1423</v>
      </c>
      <c r="C1443" s="49">
        <f t="shared" si="108"/>
        <v>46001</v>
      </c>
      <c r="D1443" s="29">
        <f>DAY(Dati[[#This Row],[Data]])</f>
        <v>10</v>
      </c>
      <c r="E1443" s="29" t="str">
        <f>IF(DAY(Data!$C$21:$C$1613)&gt;0,TEXT(Data!$C$21:$C$1613, "mmmm"),"")</f>
        <v>dicembre</v>
      </c>
      <c r="F1443" s="29" t="str">
        <f>IF(DAY(Data!$C$21:$C$1613)&gt;0,TEXT(Data!$C$21:$C$1613, "aaaa"),"")</f>
        <v>2025</v>
      </c>
      <c r="I1443" t="str">
        <f>IF(OR(H1443=$B$5,H1443=$B$6,H1443=$B$7,H1443=$B$8,H1443=$B$9,H1443=$B$10,H1443=$B$11,H1443=$B$12,H1443=$B$13,H1443=$B$14),SottocategorieUscite[[#Headers],[Fuori Casa]],IF(OR(H1443=$C$5,H1443=$C$6,H1443=$C$7,H1443=$C$8,H1443=$C$9,H1443=$C$10,H1443=$C$11,H1443=$C$12,H1443=$C$13,H1443=$C$14),SottocategorieUscite[[#Headers],[Varie Uscite]],IF(OR(H1443=$D$5,H1443=$D$6,H1443=$D$7,H1443=$D$8,H1443=$D$9,H1443=$D$10,H1443=$D$11,H1443=$D$12,H1443=$D$13,H1443=$D$14),SottocategorieUscite[[#Headers],[Personali]],IF(OR(H1443=$E$5,H1443=$E$6,H1443=$E$7,H1443=$E$8,H1443=$E$9,H1443=$E$10,H1443=$E$11,H1443=$E$12,H1443=$E$13,H1443=$E$14),SottocategorieUscite[[#Headers],[Lavoro]],IF(OR(H1443=$F$5,H1443=$F$6,H1443=$F$7,H1443=$F$8,H1443=$F$9,H1443=$F$10,H1443=$F$11,H1443=$F$12,H1443=$F$13,H1443=$F$14),SottocategorieUscite[[#Headers],[Casa]],IF(OR(H1443=$G$5,H1443=$G$6,H1443=$G$7,H1443=$G$8,H1443=$G$9,H1443=$G$10,H1443=$G$11,H1443=$G$12,H1443=$G$13,H1443=$G$14),SottocategorieUscite[[#Headers],[Utenze]],IF(OR(H1443=$H$5,H1443=$H$6,H1443=$H$7,H1443=$H$8,H1443=$H$9,H1443=$H$10,H1443=$H$11,H1443=$H$12,H1443=$H$13,H1443=$H$14),SottocategorieUscite[[#Headers],[Business Uscite]],IF(OR(H1443=$I$5,H1443=$I$6,H1443=$I$7,H1443=$I$8,H1443=$I$9,H1443=$I$10,H1443=$I$11,H1443=$I$12,H1443=$I$13,H1443=$I$14),SottocategorieUscite[[#Headers],[Banca]],IF(OR(H1443=K$5,H1443=K$6,H1443=K$7,H1443=K$8,H1443=K$9,H1443=K$10,H1443=K$11,H1443=K$12,H1443=K$13,H1443=K$14),SottocategorieEntrate[[#Headers],[Business Entrate]],IF(OR(H1443=L$5,H1443=L$6,H1443=L$7,H1443=L$8,H1443=L$9,H1443=L$10,H1443=L$11,H1443=L$12,H1443=L$13,H1443=L$14),SottocategorieEntrate[[#Headers],[Varie Entrate]],IF(OR(H1443=M$5,H1443=M$6,H1443=M$7,H1443=M$8,H1443=M$9,H1443=M$10,H1443=M$11,H1443=M$12,H1443=M$13,H1443=M$14),SottocategorieEntrate[[#Headers],[Real Estate]],IF(OR(H1443=N$5,H1443=N$6,H1443=N$7,H1443=N$8,H1443=N$9,H1443=N$10,H1443=N$11,H1443=N$12,H1443=N$13,H1443=N$14),SottocategorieEntrate[[#Headers],[Other]],""))))))))))))</f>
        <v/>
      </c>
      <c r="J1443" t="str">
        <f>IF(OR(Dati[[#This Row],[Categoria]]="Bollette",Dati[[#This Row],[Categoria]]="Conto &amp; Carte BNL",Dati[[#This Row],[Categoria]]="Prelievo",Dati[[#This Row],[Categoria]]="Affitto",Dati[[#This Row],[Categoria]]="BNL(Interessi Creditori)"),"Carta",IF(Dati[[#This Row],[Categoria]]&lt;&gt;0,"Cash",""))</f>
        <v/>
      </c>
      <c r="K1443" s="59" t="str">
        <f>IF(OR(Data!$I1443=SottocategorieUscite[[#Headers],[Fuori Casa]],Data!$I1443=SottocategorieUscite[[#Headers],[Varie Uscite]],Data!$I1443=SottocategorieUscite[[#Headers],[Personali]],Data!$I1443=SottocategorieUscite[[#Headers],[Lavoro]]),"$ -","")</f>
        <v/>
      </c>
      <c r="L1443" s="59" t="str">
        <f>IF(OR(Data!$I1443=SottocategorieUscite[[#Headers],[Casa]],Data!$I1443=SottocategorieUscite[[#Headers],[Utenze]],Data!$I1443=SottocategorieUscite[[#Headers],[Business Uscite]],Data!$I1443=SottocategorieUscite[[#Headers],[Banca]]),"$ -","")</f>
        <v/>
      </c>
      <c r="M1443" s="59" t="str">
        <f>IF(OR($I1443&lt;&gt;SottocategorieUscite[[#Headers],[Fuori Casa]],$I1443&lt;&gt;SottocategorieUscite[[#Headers],[Varie Uscite]],$I1443&lt;&gt;SottocategorieUscite[[#Headers],[Personali]],$I1443&lt;&gt;SottocategorieUscite[[#Headers],[Lavoro]],$I1443&lt;&gt;SottocategorieUscite[[#Headers],[Casa]],$I1443&lt;&gt;SottocategorieUscite[[#Headers],[Utenze]],$I1443&lt;&gt;SottocategorieUscite[[#Headers],[Business Uscite]],$I1443&lt;&gt;SottocategorieUscite[[#Headers],[Banca]]),"","$ -")</f>
        <v/>
      </c>
      <c r="N1443" s="59" t="str">
        <f>IF(OR(Data!$I1443=SottocategorieEntrate[[#Headers],[Business Entrate]],Data!$I1443=SottocategorieEntrate[[#Headers],[Varie Entrate]]),"$ -","")</f>
        <v/>
      </c>
      <c r="O1443" s="59" t="str">
        <f>IF(OR(Data!$I1443=SottocategorieEntrate[[#Headers],[Real Estate]],SottocategorieEntrate[[#Headers],[Other]]),"$ -","")</f>
        <v/>
      </c>
      <c r="P1443" s="59" t="str">
        <f>IF(OR($I1443&lt;&gt;SottocategorieEntrate[[#Headers],[Business Entrate]],$I1443&lt;&gt;SottocategorieEntrate[[#Headers],[Varie Entrate]],$I1443&lt;&gt;SottocategorieEntrate[[#Headers],[Real Estate]],$I1443&lt;&gt;SottocategorieEntrate[[#Headers],[Other]]),"","$ -")</f>
        <v/>
      </c>
      <c r="Q1443" s="59" t="str">
        <f>IF(Dati[[#This Row],[Categoria]]="Prelievo","€ -","")</f>
        <v/>
      </c>
      <c r="R1443" s="244"/>
      <c r="S1443" s="59" t="str">
        <f>IF(Dati[[#This Row],[Categoria]]="Savings",0,"")</f>
        <v/>
      </c>
      <c r="T1443" s="59"/>
      <c r="U1443" s="59"/>
      <c r="V1443" s="59"/>
      <c r="W1443" s="59"/>
      <c r="X1443" s="59"/>
      <c r="Y1443" s="59"/>
      <c r="Z1443" s="59"/>
      <c r="AA1443" s="59"/>
      <c r="AB1443" s="59"/>
      <c r="AC1443" s="59"/>
      <c r="AD1443" s="59"/>
      <c r="AE1443" s="59"/>
      <c r="AF1443" s="59"/>
      <c r="AG1443" s="59"/>
      <c r="AH1443" s="59"/>
      <c r="AI1443" s="59" t="str">
        <f>IF(SUM(Dati[[#This Row],[Inv. Business]:[Inv. Cryptocurrency]])=0," ",SUM(Dati[[#This Row],[Inv. Business]:[Inv. Cryptocurrency]]))</f>
        <v xml:space="preserve"> </v>
      </c>
      <c r="AJ1443" s="59"/>
      <c r="AK1443" s="59" t="str">
        <f>IF(SUM(Dati[[#This Row],[Inv. Gold]:[Mutuo]])=0," ",SUM(Dati[[#This Row],[Inv. Gold]:[Mutuo]]))</f>
        <v xml:space="preserve"> </v>
      </c>
      <c r="AL1443" s="59"/>
      <c r="AM1443" s="59"/>
    </row>
    <row r="1444" spans="2:39" x14ac:dyDescent="0.35">
      <c r="B1444" s="237">
        <f t="shared" si="107"/>
        <v>1424</v>
      </c>
      <c r="C1444" s="49">
        <f t="shared" si="108"/>
        <v>46002</v>
      </c>
      <c r="D1444" s="29">
        <f>DAY(Dati[[#This Row],[Data]])</f>
        <v>11</v>
      </c>
      <c r="E1444" s="29" t="str">
        <f>IF(DAY(Data!$C$21:$C$1613)&gt;0,TEXT(Data!$C$21:$C$1613, "mmmm"),"")</f>
        <v>dicembre</v>
      </c>
      <c r="F1444" s="29" t="str">
        <f>IF(DAY(Data!$C$21:$C$1613)&gt;0,TEXT(Data!$C$21:$C$1613, "aaaa"),"")</f>
        <v>2025</v>
      </c>
      <c r="I1444" t="str">
        <f>IF(OR(H1444=$B$5,H1444=$B$6,H1444=$B$7,H1444=$B$8,H1444=$B$9,H1444=$B$10,H1444=$B$11,H1444=$B$12,H1444=$B$13,H1444=$B$14),SottocategorieUscite[[#Headers],[Fuori Casa]],IF(OR(H1444=$C$5,H1444=$C$6,H1444=$C$7,H1444=$C$8,H1444=$C$9,H1444=$C$10,H1444=$C$11,H1444=$C$12,H1444=$C$13,H1444=$C$14),SottocategorieUscite[[#Headers],[Varie Uscite]],IF(OR(H1444=$D$5,H1444=$D$6,H1444=$D$7,H1444=$D$8,H1444=$D$9,H1444=$D$10,H1444=$D$11,H1444=$D$12,H1444=$D$13,H1444=$D$14),SottocategorieUscite[[#Headers],[Personali]],IF(OR(H1444=$E$5,H1444=$E$6,H1444=$E$7,H1444=$E$8,H1444=$E$9,H1444=$E$10,H1444=$E$11,H1444=$E$12,H1444=$E$13,H1444=$E$14),SottocategorieUscite[[#Headers],[Lavoro]],IF(OR(H1444=$F$5,H1444=$F$6,H1444=$F$7,H1444=$F$8,H1444=$F$9,H1444=$F$10,H1444=$F$11,H1444=$F$12,H1444=$F$13,H1444=$F$14),SottocategorieUscite[[#Headers],[Casa]],IF(OR(H1444=$G$5,H1444=$G$6,H1444=$G$7,H1444=$G$8,H1444=$G$9,H1444=$G$10,H1444=$G$11,H1444=$G$12,H1444=$G$13,H1444=$G$14),SottocategorieUscite[[#Headers],[Utenze]],IF(OR(H1444=$H$5,H1444=$H$6,H1444=$H$7,H1444=$H$8,H1444=$H$9,H1444=$H$10,H1444=$H$11,H1444=$H$12,H1444=$H$13,H1444=$H$14),SottocategorieUscite[[#Headers],[Business Uscite]],IF(OR(H1444=$I$5,H1444=$I$6,H1444=$I$7,H1444=$I$8,H1444=$I$9,H1444=$I$10,H1444=$I$11,H1444=$I$12,H1444=$I$13,H1444=$I$14),SottocategorieUscite[[#Headers],[Banca]],IF(OR(H1444=K$5,H1444=K$6,H1444=K$7,H1444=K$8,H1444=K$9,H1444=K$10,H1444=K$11,H1444=K$12,H1444=K$13,H1444=K$14),SottocategorieEntrate[[#Headers],[Business Entrate]],IF(OR(H1444=L$5,H1444=L$6,H1444=L$7,H1444=L$8,H1444=L$9,H1444=L$10,H1444=L$11,H1444=L$12,H1444=L$13,H1444=L$14),SottocategorieEntrate[[#Headers],[Varie Entrate]],IF(OR(H1444=M$5,H1444=M$6,H1444=M$7,H1444=M$8,H1444=M$9,H1444=M$10,H1444=M$11,H1444=M$12,H1444=M$13,H1444=M$14),SottocategorieEntrate[[#Headers],[Real Estate]],IF(OR(H1444=N$5,H1444=N$6,H1444=N$7,H1444=N$8,H1444=N$9,H1444=N$10,H1444=N$11,H1444=N$12,H1444=N$13,H1444=N$14),SottocategorieEntrate[[#Headers],[Other]],""))))))))))))</f>
        <v/>
      </c>
      <c r="J1444" t="str">
        <f>IF(OR(Dati[[#This Row],[Categoria]]="Bollette",Dati[[#This Row],[Categoria]]="Conto &amp; Carte BNL",Dati[[#This Row],[Categoria]]="Prelievo",Dati[[#This Row],[Categoria]]="Affitto",Dati[[#This Row],[Categoria]]="BNL(Interessi Creditori)"),"Carta",IF(Dati[[#This Row],[Categoria]]&lt;&gt;0,"Cash",""))</f>
        <v/>
      </c>
      <c r="K1444" s="59" t="str">
        <f>IF(OR(Data!$I1444=SottocategorieUscite[[#Headers],[Fuori Casa]],Data!$I1444=SottocategorieUscite[[#Headers],[Varie Uscite]],Data!$I1444=SottocategorieUscite[[#Headers],[Personali]],Data!$I1444=SottocategorieUscite[[#Headers],[Lavoro]]),"$ -","")</f>
        <v/>
      </c>
      <c r="L1444" s="59" t="str">
        <f>IF(OR(Data!$I1444=SottocategorieUscite[[#Headers],[Casa]],Data!$I1444=SottocategorieUscite[[#Headers],[Utenze]],Data!$I1444=SottocategorieUscite[[#Headers],[Business Uscite]],Data!$I1444=SottocategorieUscite[[#Headers],[Banca]]),"$ -","")</f>
        <v/>
      </c>
      <c r="M1444" s="59" t="str">
        <f>IF(OR($I1444&lt;&gt;SottocategorieUscite[[#Headers],[Fuori Casa]],$I1444&lt;&gt;SottocategorieUscite[[#Headers],[Varie Uscite]],$I1444&lt;&gt;SottocategorieUscite[[#Headers],[Personali]],$I1444&lt;&gt;SottocategorieUscite[[#Headers],[Lavoro]],$I1444&lt;&gt;SottocategorieUscite[[#Headers],[Casa]],$I1444&lt;&gt;SottocategorieUscite[[#Headers],[Utenze]],$I1444&lt;&gt;SottocategorieUscite[[#Headers],[Business Uscite]],$I1444&lt;&gt;SottocategorieUscite[[#Headers],[Banca]]),"","$ -")</f>
        <v/>
      </c>
      <c r="N1444" s="59" t="str">
        <f>IF(OR(Data!$I1444=SottocategorieEntrate[[#Headers],[Business Entrate]],Data!$I1444=SottocategorieEntrate[[#Headers],[Varie Entrate]]),"$ -","")</f>
        <v/>
      </c>
      <c r="O1444" s="59" t="str">
        <f>IF(OR(Data!$I1444=SottocategorieEntrate[[#Headers],[Real Estate]],SottocategorieEntrate[[#Headers],[Other]]),"$ -","")</f>
        <v/>
      </c>
      <c r="P1444" s="59" t="str">
        <f>IF(OR($I1444&lt;&gt;SottocategorieEntrate[[#Headers],[Business Entrate]],$I1444&lt;&gt;SottocategorieEntrate[[#Headers],[Varie Entrate]],$I1444&lt;&gt;SottocategorieEntrate[[#Headers],[Real Estate]],$I1444&lt;&gt;SottocategorieEntrate[[#Headers],[Other]]),"","$ -")</f>
        <v/>
      </c>
      <c r="Q1444" s="59" t="str">
        <f>IF(Dati[[#This Row],[Categoria]]="Prelievo","€ -","")</f>
        <v/>
      </c>
      <c r="R1444" s="244"/>
      <c r="S1444" s="59" t="str">
        <f>IF(Dati[[#This Row],[Categoria]]="Savings",0,"")</f>
        <v/>
      </c>
      <c r="T1444" s="59"/>
      <c r="U1444" s="59"/>
      <c r="V1444" s="59"/>
      <c r="W1444" s="59"/>
      <c r="X1444" s="59"/>
      <c r="Y1444" s="59"/>
      <c r="Z1444" s="59"/>
      <c r="AA1444" s="59"/>
      <c r="AB1444" s="59"/>
      <c r="AC1444" s="59"/>
      <c r="AD1444" s="59"/>
      <c r="AE1444" s="59"/>
      <c r="AF1444" s="59"/>
      <c r="AG1444" s="59"/>
      <c r="AH1444" s="59"/>
      <c r="AI1444" s="59" t="str">
        <f>IF(SUM(Dati[[#This Row],[Inv. Business]:[Inv. Cryptocurrency]])=0," ",SUM(Dati[[#This Row],[Inv. Business]:[Inv. Cryptocurrency]]))</f>
        <v xml:space="preserve"> </v>
      </c>
      <c r="AJ1444" s="59"/>
      <c r="AK1444" s="59" t="str">
        <f>IF(SUM(Dati[[#This Row],[Inv. Gold]:[Mutuo]])=0," ",SUM(Dati[[#This Row],[Inv. Gold]:[Mutuo]]))</f>
        <v xml:space="preserve"> </v>
      </c>
      <c r="AL1444" s="59"/>
      <c r="AM1444" s="59"/>
    </row>
    <row r="1445" spans="2:39" x14ac:dyDescent="0.35">
      <c r="B1445" s="237">
        <f t="shared" si="107"/>
        <v>1425</v>
      </c>
      <c r="C1445" s="49">
        <f t="shared" si="108"/>
        <v>46003</v>
      </c>
      <c r="D1445" s="29">
        <f>DAY(Dati[[#This Row],[Data]])</f>
        <v>12</v>
      </c>
      <c r="E1445" s="29" t="str">
        <f>IF(DAY(Data!$C$21:$C$1613)&gt;0,TEXT(Data!$C$21:$C$1613, "mmmm"),"")</f>
        <v>dicembre</v>
      </c>
      <c r="F1445" s="29" t="str">
        <f>IF(DAY(Data!$C$21:$C$1613)&gt;0,TEXT(Data!$C$21:$C$1613, "aaaa"),"")</f>
        <v>2025</v>
      </c>
      <c r="I1445" t="str">
        <f>IF(OR(H1445=$B$5,H1445=$B$6,H1445=$B$7,H1445=$B$8,H1445=$B$9,H1445=$B$10,H1445=$B$11,H1445=$B$12,H1445=$B$13,H1445=$B$14),SottocategorieUscite[[#Headers],[Fuori Casa]],IF(OR(H1445=$C$5,H1445=$C$6,H1445=$C$7,H1445=$C$8,H1445=$C$9,H1445=$C$10,H1445=$C$11,H1445=$C$12,H1445=$C$13,H1445=$C$14),SottocategorieUscite[[#Headers],[Varie Uscite]],IF(OR(H1445=$D$5,H1445=$D$6,H1445=$D$7,H1445=$D$8,H1445=$D$9,H1445=$D$10,H1445=$D$11,H1445=$D$12,H1445=$D$13,H1445=$D$14),SottocategorieUscite[[#Headers],[Personali]],IF(OR(H1445=$E$5,H1445=$E$6,H1445=$E$7,H1445=$E$8,H1445=$E$9,H1445=$E$10,H1445=$E$11,H1445=$E$12,H1445=$E$13,H1445=$E$14),SottocategorieUscite[[#Headers],[Lavoro]],IF(OR(H1445=$F$5,H1445=$F$6,H1445=$F$7,H1445=$F$8,H1445=$F$9,H1445=$F$10,H1445=$F$11,H1445=$F$12,H1445=$F$13,H1445=$F$14),SottocategorieUscite[[#Headers],[Casa]],IF(OR(H1445=$G$5,H1445=$G$6,H1445=$G$7,H1445=$G$8,H1445=$G$9,H1445=$G$10,H1445=$G$11,H1445=$G$12,H1445=$G$13,H1445=$G$14),SottocategorieUscite[[#Headers],[Utenze]],IF(OR(H1445=$H$5,H1445=$H$6,H1445=$H$7,H1445=$H$8,H1445=$H$9,H1445=$H$10,H1445=$H$11,H1445=$H$12,H1445=$H$13,H1445=$H$14),SottocategorieUscite[[#Headers],[Business Uscite]],IF(OR(H1445=$I$5,H1445=$I$6,H1445=$I$7,H1445=$I$8,H1445=$I$9,H1445=$I$10,H1445=$I$11,H1445=$I$12,H1445=$I$13,H1445=$I$14),SottocategorieUscite[[#Headers],[Banca]],IF(OR(H1445=K$5,H1445=K$6,H1445=K$7,H1445=K$8,H1445=K$9,H1445=K$10,H1445=K$11,H1445=K$12,H1445=K$13,H1445=K$14),SottocategorieEntrate[[#Headers],[Business Entrate]],IF(OR(H1445=L$5,H1445=L$6,H1445=L$7,H1445=L$8,H1445=L$9,H1445=L$10,H1445=L$11,H1445=L$12,H1445=L$13,H1445=L$14),SottocategorieEntrate[[#Headers],[Varie Entrate]],IF(OR(H1445=M$5,H1445=M$6,H1445=M$7,H1445=M$8,H1445=M$9,H1445=M$10,H1445=M$11,H1445=M$12,H1445=M$13,H1445=M$14),SottocategorieEntrate[[#Headers],[Real Estate]],IF(OR(H1445=N$5,H1445=N$6,H1445=N$7,H1445=N$8,H1445=N$9,H1445=N$10,H1445=N$11,H1445=N$12,H1445=N$13,H1445=N$14),SottocategorieEntrate[[#Headers],[Other]],""))))))))))))</f>
        <v/>
      </c>
      <c r="J1445" t="str">
        <f>IF(OR(Dati[[#This Row],[Categoria]]="Bollette",Dati[[#This Row],[Categoria]]="Conto &amp; Carte BNL",Dati[[#This Row],[Categoria]]="Prelievo",Dati[[#This Row],[Categoria]]="Affitto",Dati[[#This Row],[Categoria]]="BNL(Interessi Creditori)"),"Carta",IF(Dati[[#This Row],[Categoria]]&lt;&gt;0,"Cash",""))</f>
        <v/>
      </c>
      <c r="K1445" s="59" t="str">
        <f>IF(OR(Data!$I1445=SottocategorieUscite[[#Headers],[Fuori Casa]],Data!$I1445=SottocategorieUscite[[#Headers],[Varie Uscite]],Data!$I1445=SottocategorieUscite[[#Headers],[Personali]],Data!$I1445=SottocategorieUscite[[#Headers],[Lavoro]]),"$ -","")</f>
        <v/>
      </c>
      <c r="L1445" s="59" t="str">
        <f>IF(OR(Data!$I1445=SottocategorieUscite[[#Headers],[Casa]],Data!$I1445=SottocategorieUscite[[#Headers],[Utenze]],Data!$I1445=SottocategorieUscite[[#Headers],[Business Uscite]],Data!$I1445=SottocategorieUscite[[#Headers],[Banca]]),"$ -","")</f>
        <v/>
      </c>
      <c r="M1445" s="59" t="str">
        <f>IF(OR($I1445&lt;&gt;SottocategorieUscite[[#Headers],[Fuori Casa]],$I1445&lt;&gt;SottocategorieUscite[[#Headers],[Varie Uscite]],$I1445&lt;&gt;SottocategorieUscite[[#Headers],[Personali]],$I1445&lt;&gt;SottocategorieUscite[[#Headers],[Lavoro]],$I1445&lt;&gt;SottocategorieUscite[[#Headers],[Casa]],$I1445&lt;&gt;SottocategorieUscite[[#Headers],[Utenze]],$I1445&lt;&gt;SottocategorieUscite[[#Headers],[Business Uscite]],$I1445&lt;&gt;SottocategorieUscite[[#Headers],[Banca]]),"","$ -")</f>
        <v/>
      </c>
      <c r="N1445" s="59" t="str">
        <f>IF(OR(Data!$I1445=SottocategorieEntrate[[#Headers],[Business Entrate]],Data!$I1445=SottocategorieEntrate[[#Headers],[Varie Entrate]]),"$ -","")</f>
        <v/>
      </c>
      <c r="O1445" s="59" t="str">
        <f>IF(OR(Data!$I1445=SottocategorieEntrate[[#Headers],[Real Estate]],SottocategorieEntrate[[#Headers],[Other]]),"$ -","")</f>
        <v/>
      </c>
      <c r="P1445" s="59" t="str">
        <f>IF(OR($I1445&lt;&gt;SottocategorieEntrate[[#Headers],[Business Entrate]],$I1445&lt;&gt;SottocategorieEntrate[[#Headers],[Varie Entrate]],$I1445&lt;&gt;SottocategorieEntrate[[#Headers],[Real Estate]],$I1445&lt;&gt;SottocategorieEntrate[[#Headers],[Other]]),"","$ -")</f>
        <v/>
      </c>
      <c r="Q1445" s="59" t="str">
        <f>IF(Dati[[#This Row],[Categoria]]="Prelievo","€ -","")</f>
        <v/>
      </c>
      <c r="R1445" s="244"/>
      <c r="S1445" s="59" t="str">
        <f>IF(Dati[[#This Row],[Categoria]]="Savings",0,"")</f>
        <v/>
      </c>
      <c r="T1445" s="59"/>
      <c r="U1445" s="59"/>
      <c r="V1445" s="59"/>
      <c r="W1445" s="59"/>
      <c r="X1445" s="59"/>
      <c r="Y1445" s="59"/>
      <c r="Z1445" s="59"/>
      <c r="AA1445" s="59"/>
      <c r="AB1445" s="59"/>
      <c r="AC1445" s="59"/>
      <c r="AD1445" s="59"/>
      <c r="AE1445" s="59"/>
      <c r="AF1445" s="59"/>
      <c r="AG1445" s="59"/>
      <c r="AH1445" s="59"/>
      <c r="AI1445" s="59" t="str">
        <f>IF(SUM(Dati[[#This Row],[Inv. Business]:[Inv. Cryptocurrency]])=0," ",SUM(Dati[[#This Row],[Inv. Business]:[Inv. Cryptocurrency]]))</f>
        <v xml:space="preserve"> </v>
      </c>
      <c r="AJ1445" s="59"/>
      <c r="AK1445" s="59" t="str">
        <f>IF(SUM(Dati[[#This Row],[Inv. Gold]:[Mutuo]])=0," ",SUM(Dati[[#This Row],[Inv. Gold]:[Mutuo]]))</f>
        <v xml:space="preserve"> </v>
      </c>
      <c r="AL1445" s="59"/>
      <c r="AM1445" s="59"/>
    </row>
    <row r="1446" spans="2:39" x14ac:dyDescent="0.35">
      <c r="B1446" s="237">
        <f t="shared" si="107"/>
        <v>1426</v>
      </c>
      <c r="C1446" s="49">
        <f t="shared" si="108"/>
        <v>46004</v>
      </c>
      <c r="D1446" s="29">
        <f>DAY(Dati[[#This Row],[Data]])</f>
        <v>13</v>
      </c>
      <c r="E1446" s="29" t="str">
        <f>IF(DAY(Data!$C$21:$C$1613)&gt;0,TEXT(Data!$C$21:$C$1613, "mmmm"),"")</f>
        <v>dicembre</v>
      </c>
      <c r="F1446" s="29" t="str">
        <f>IF(DAY(Data!$C$21:$C$1613)&gt;0,TEXT(Data!$C$21:$C$1613, "aaaa"),"")</f>
        <v>2025</v>
      </c>
      <c r="I1446" t="str">
        <f>IF(OR(H1446=$B$5,H1446=$B$6,H1446=$B$7,H1446=$B$8,H1446=$B$9,H1446=$B$10,H1446=$B$11,H1446=$B$12,H1446=$B$13,H1446=$B$14),SottocategorieUscite[[#Headers],[Fuori Casa]],IF(OR(H1446=$C$5,H1446=$C$6,H1446=$C$7,H1446=$C$8,H1446=$C$9,H1446=$C$10,H1446=$C$11,H1446=$C$12,H1446=$C$13,H1446=$C$14),SottocategorieUscite[[#Headers],[Varie Uscite]],IF(OR(H1446=$D$5,H1446=$D$6,H1446=$D$7,H1446=$D$8,H1446=$D$9,H1446=$D$10,H1446=$D$11,H1446=$D$12,H1446=$D$13,H1446=$D$14),SottocategorieUscite[[#Headers],[Personali]],IF(OR(H1446=$E$5,H1446=$E$6,H1446=$E$7,H1446=$E$8,H1446=$E$9,H1446=$E$10,H1446=$E$11,H1446=$E$12,H1446=$E$13,H1446=$E$14),SottocategorieUscite[[#Headers],[Lavoro]],IF(OR(H1446=$F$5,H1446=$F$6,H1446=$F$7,H1446=$F$8,H1446=$F$9,H1446=$F$10,H1446=$F$11,H1446=$F$12,H1446=$F$13,H1446=$F$14),SottocategorieUscite[[#Headers],[Casa]],IF(OR(H1446=$G$5,H1446=$G$6,H1446=$G$7,H1446=$G$8,H1446=$G$9,H1446=$G$10,H1446=$G$11,H1446=$G$12,H1446=$G$13,H1446=$G$14),SottocategorieUscite[[#Headers],[Utenze]],IF(OR(H1446=$H$5,H1446=$H$6,H1446=$H$7,H1446=$H$8,H1446=$H$9,H1446=$H$10,H1446=$H$11,H1446=$H$12,H1446=$H$13,H1446=$H$14),SottocategorieUscite[[#Headers],[Business Uscite]],IF(OR(H1446=$I$5,H1446=$I$6,H1446=$I$7,H1446=$I$8,H1446=$I$9,H1446=$I$10,H1446=$I$11,H1446=$I$12,H1446=$I$13,H1446=$I$14),SottocategorieUscite[[#Headers],[Banca]],IF(OR(H1446=K$5,H1446=K$6,H1446=K$7,H1446=K$8,H1446=K$9,H1446=K$10,H1446=K$11,H1446=K$12,H1446=K$13,H1446=K$14),SottocategorieEntrate[[#Headers],[Business Entrate]],IF(OR(H1446=L$5,H1446=L$6,H1446=L$7,H1446=L$8,H1446=L$9,H1446=L$10,H1446=L$11,H1446=L$12,H1446=L$13,H1446=L$14),SottocategorieEntrate[[#Headers],[Varie Entrate]],IF(OR(H1446=M$5,H1446=M$6,H1446=M$7,H1446=M$8,H1446=M$9,H1446=M$10,H1446=M$11,H1446=M$12,H1446=M$13,H1446=M$14),SottocategorieEntrate[[#Headers],[Real Estate]],IF(OR(H1446=N$5,H1446=N$6,H1446=N$7,H1446=N$8,H1446=N$9,H1446=N$10,H1446=N$11,H1446=N$12,H1446=N$13,H1446=N$14),SottocategorieEntrate[[#Headers],[Other]],""))))))))))))</f>
        <v/>
      </c>
      <c r="J1446" t="str">
        <f>IF(OR(Dati[[#This Row],[Categoria]]="Bollette",Dati[[#This Row],[Categoria]]="Conto &amp; Carte BNL",Dati[[#This Row],[Categoria]]="Prelievo",Dati[[#This Row],[Categoria]]="Affitto",Dati[[#This Row],[Categoria]]="BNL(Interessi Creditori)"),"Carta",IF(Dati[[#This Row],[Categoria]]&lt;&gt;0,"Cash",""))</f>
        <v/>
      </c>
      <c r="K1446" s="59" t="str">
        <f>IF(OR(Data!$I1446=SottocategorieUscite[[#Headers],[Fuori Casa]],Data!$I1446=SottocategorieUscite[[#Headers],[Varie Uscite]],Data!$I1446=SottocategorieUscite[[#Headers],[Personali]],Data!$I1446=SottocategorieUscite[[#Headers],[Lavoro]]),"$ -","")</f>
        <v/>
      </c>
      <c r="L1446" s="59" t="str">
        <f>IF(OR(Data!$I1446=SottocategorieUscite[[#Headers],[Casa]],Data!$I1446=SottocategorieUscite[[#Headers],[Utenze]],Data!$I1446=SottocategorieUscite[[#Headers],[Business Uscite]],Data!$I1446=SottocategorieUscite[[#Headers],[Banca]]),"$ -","")</f>
        <v/>
      </c>
      <c r="M1446" s="59" t="str">
        <f>IF(OR($I1446&lt;&gt;SottocategorieUscite[[#Headers],[Fuori Casa]],$I1446&lt;&gt;SottocategorieUscite[[#Headers],[Varie Uscite]],$I1446&lt;&gt;SottocategorieUscite[[#Headers],[Personali]],$I1446&lt;&gt;SottocategorieUscite[[#Headers],[Lavoro]],$I1446&lt;&gt;SottocategorieUscite[[#Headers],[Casa]],$I1446&lt;&gt;SottocategorieUscite[[#Headers],[Utenze]],$I1446&lt;&gt;SottocategorieUscite[[#Headers],[Business Uscite]],$I1446&lt;&gt;SottocategorieUscite[[#Headers],[Banca]]),"","$ -")</f>
        <v/>
      </c>
      <c r="N1446" s="59" t="str">
        <f>IF(OR(Data!$I1446=SottocategorieEntrate[[#Headers],[Business Entrate]],Data!$I1446=SottocategorieEntrate[[#Headers],[Varie Entrate]]),"$ -","")</f>
        <v/>
      </c>
      <c r="O1446" s="59" t="str">
        <f>IF(OR(Data!$I1446=SottocategorieEntrate[[#Headers],[Real Estate]],SottocategorieEntrate[[#Headers],[Other]]),"$ -","")</f>
        <v/>
      </c>
      <c r="P1446" s="59" t="str">
        <f>IF(OR($I1446&lt;&gt;SottocategorieEntrate[[#Headers],[Business Entrate]],$I1446&lt;&gt;SottocategorieEntrate[[#Headers],[Varie Entrate]],$I1446&lt;&gt;SottocategorieEntrate[[#Headers],[Real Estate]],$I1446&lt;&gt;SottocategorieEntrate[[#Headers],[Other]]),"","$ -")</f>
        <v/>
      </c>
      <c r="Q1446" s="59" t="str">
        <f>IF(Dati[[#This Row],[Categoria]]="Prelievo","€ -","")</f>
        <v/>
      </c>
      <c r="R1446" s="244"/>
      <c r="S1446" s="59" t="str">
        <f>IF(Dati[[#This Row],[Categoria]]="Savings",0,"")</f>
        <v/>
      </c>
      <c r="T1446" s="59"/>
      <c r="U1446" s="59"/>
      <c r="V1446" s="59"/>
      <c r="W1446" s="59"/>
      <c r="X1446" s="59"/>
      <c r="Y1446" s="59"/>
      <c r="Z1446" s="59"/>
      <c r="AA1446" s="59"/>
      <c r="AB1446" s="59"/>
      <c r="AC1446" s="59"/>
      <c r="AD1446" s="59"/>
      <c r="AE1446" s="59"/>
      <c r="AF1446" s="59"/>
      <c r="AG1446" s="59"/>
      <c r="AH1446" s="59"/>
      <c r="AI1446" s="59" t="str">
        <f>IF(SUM(Dati[[#This Row],[Inv. Business]:[Inv. Cryptocurrency]])=0," ",SUM(Dati[[#This Row],[Inv. Business]:[Inv. Cryptocurrency]]))</f>
        <v xml:space="preserve"> </v>
      </c>
      <c r="AJ1446" s="59"/>
      <c r="AK1446" s="59" t="str">
        <f>IF(SUM(Dati[[#This Row],[Inv. Gold]:[Mutuo]])=0," ",SUM(Dati[[#This Row],[Inv. Gold]:[Mutuo]]))</f>
        <v xml:space="preserve"> </v>
      </c>
      <c r="AL1446" s="59"/>
      <c r="AM1446" s="59"/>
    </row>
    <row r="1447" spans="2:39" x14ac:dyDescent="0.35">
      <c r="B1447" s="237">
        <f t="shared" si="107"/>
        <v>1427</v>
      </c>
      <c r="C1447" s="49">
        <f t="shared" si="108"/>
        <v>46005</v>
      </c>
      <c r="D1447" s="29">
        <f>DAY(Dati[[#This Row],[Data]])</f>
        <v>14</v>
      </c>
      <c r="E1447" s="29" t="str">
        <f>IF(DAY(Data!$C$21:$C$1613)&gt;0,TEXT(Data!$C$21:$C$1613, "mmmm"),"")</f>
        <v>dicembre</v>
      </c>
      <c r="F1447" s="29" t="str">
        <f>IF(DAY(Data!$C$21:$C$1613)&gt;0,TEXT(Data!$C$21:$C$1613, "aaaa"),"")</f>
        <v>2025</v>
      </c>
      <c r="I1447" t="str">
        <f>IF(OR(H1447=$B$5,H1447=$B$6,H1447=$B$7,H1447=$B$8,H1447=$B$9,H1447=$B$10,H1447=$B$11,H1447=$B$12,H1447=$B$13,H1447=$B$14),SottocategorieUscite[[#Headers],[Fuori Casa]],IF(OR(H1447=$C$5,H1447=$C$6,H1447=$C$7,H1447=$C$8,H1447=$C$9,H1447=$C$10,H1447=$C$11,H1447=$C$12,H1447=$C$13,H1447=$C$14),SottocategorieUscite[[#Headers],[Varie Uscite]],IF(OR(H1447=$D$5,H1447=$D$6,H1447=$D$7,H1447=$D$8,H1447=$D$9,H1447=$D$10,H1447=$D$11,H1447=$D$12,H1447=$D$13,H1447=$D$14),SottocategorieUscite[[#Headers],[Personali]],IF(OR(H1447=$E$5,H1447=$E$6,H1447=$E$7,H1447=$E$8,H1447=$E$9,H1447=$E$10,H1447=$E$11,H1447=$E$12,H1447=$E$13,H1447=$E$14),SottocategorieUscite[[#Headers],[Lavoro]],IF(OR(H1447=$F$5,H1447=$F$6,H1447=$F$7,H1447=$F$8,H1447=$F$9,H1447=$F$10,H1447=$F$11,H1447=$F$12,H1447=$F$13,H1447=$F$14),SottocategorieUscite[[#Headers],[Casa]],IF(OR(H1447=$G$5,H1447=$G$6,H1447=$G$7,H1447=$G$8,H1447=$G$9,H1447=$G$10,H1447=$G$11,H1447=$G$12,H1447=$G$13,H1447=$G$14),SottocategorieUscite[[#Headers],[Utenze]],IF(OR(H1447=$H$5,H1447=$H$6,H1447=$H$7,H1447=$H$8,H1447=$H$9,H1447=$H$10,H1447=$H$11,H1447=$H$12,H1447=$H$13,H1447=$H$14),SottocategorieUscite[[#Headers],[Business Uscite]],IF(OR(H1447=$I$5,H1447=$I$6,H1447=$I$7,H1447=$I$8,H1447=$I$9,H1447=$I$10,H1447=$I$11,H1447=$I$12,H1447=$I$13,H1447=$I$14),SottocategorieUscite[[#Headers],[Banca]],IF(OR(H1447=K$5,H1447=K$6,H1447=K$7,H1447=K$8,H1447=K$9,H1447=K$10,H1447=K$11,H1447=K$12,H1447=K$13,H1447=K$14),SottocategorieEntrate[[#Headers],[Business Entrate]],IF(OR(H1447=L$5,H1447=L$6,H1447=L$7,H1447=L$8,H1447=L$9,H1447=L$10,H1447=L$11,H1447=L$12,H1447=L$13,H1447=L$14),SottocategorieEntrate[[#Headers],[Varie Entrate]],IF(OR(H1447=M$5,H1447=M$6,H1447=M$7,H1447=M$8,H1447=M$9,H1447=M$10,H1447=M$11,H1447=M$12,H1447=M$13,H1447=M$14),SottocategorieEntrate[[#Headers],[Real Estate]],IF(OR(H1447=N$5,H1447=N$6,H1447=N$7,H1447=N$8,H1447=N$9,H1447=N$10,H1447=N$11,H1447=N$12,H1447=N$13,H1447=N$14),SottocategorieEntrate[[#Headers],[Other]],""))))))))))))</f>
        <v/>
      </c>
      <c r="J1447" t="str">
        <f>IF(OR(Dati[[#This Row],[Categoria]]="Bollette",Dati[[#This Row],[Categoria]]="Conto &amp; Carte BNL",Dati[[#This Row],[Categoria]]="Prelievo",Dati[[#This Row],[Categoria]]="Affitto",Dati[[#This Row],[Categoria]]="BNL(Interessi Creditori)"),"Carta",IF(Dati[[#This Row],[Categoria]]&lt;&gt;0,"Cash",""))</f>
        <v/>
      </c>
      <c r="K1447" s="59" t="str">
        <f>IF(OR(Data!$I1447=SottocategorieUscite[[#Headers],[Fuori Casa]],Data!$I1447=SottocategorieUscite[[#Headers],[Varie Uscite]],Data!$I1447=SottocategorieUscite[[#Headers],[Personali]],Data!$I1447=SottocategorieUscite[[#Headers],[Lavoro]]),"$ -","")</f>
        <v/>
      </c>
      <c r="L1447" s="59" t="str">
        <f>IF(OR(Data!$I1447=SottocategorieUscite[[#Headers],[Casa]],Data!$I1447=SottocategorieUscite[[#Headers],[Utenze]],Data!$I1447=SottocategorieUscite[[#Headers],[Business Uscite]],Data!$I1447=SottocategorieUscite[[#Headers],[Banca]]),"$ -","")</f>
        <v/>
      </c>
      <c r="M1447" s="59" t="str">
        <f>IF(OR($I1447&lt;&gt;SottocategorieUscite[[#Headers],[Fuori Casa]],$I1447&lt;&gt;SottocategorieUscite[[#Headers],[Varie Uscite]],$I1447&lt;&gt;SottocategorieUscite[[#Headers],[Personali]],$I1447&lt;&gt;SottocategorieUscite[[#Headers],[Lavoro]],$I1447&lt;&gt;SottocategorieUscite[[#Headers],[Casa]],$I1447&lt;&gt;SottocategorieUscite[[#Headers],[Utenze]],$I1447&lt;&gt;SottocategorieUscite[[#Headers],[Business Uscite]],$I1447&lt;&gt;SottocategorieUscite[[#Headers],[Banca]]),"","$ -")</f>
        <v/>
      </c>
      <c r="N1447" s="59" t="str">
        <f>IF(OR(Data!$I1447=SottocategorieEntrate[[#Headers],[Business Entrate]],Data!$I1447=SottocategorieEntrate[[#Headers],[Varie Entrate]]),"$ -","")</f>
        <v/>
      </c>
      <c r="O1447" s="59" t="str">
        <f>IF(OR(Data!$I1447=SottocategorieEntrate[[#Headers],[Real Estate]],SottocategorieEntrate[[#Headers],[Other]]),"$ -","")</f>
        <v/>
      </c>
      <c r="P1447" s="59" t="str">
        <f>IF(OR($I1447&lt;&gt;SottocategorieEntrate[[#Headers],[Business Entrate]],$I1447&lt;&gt;SottocategorieEntrate[[#Headers],[Varie Entrate]],$I1447&lt;&gt;SottocategorieEntrate[[#Headers],[Real Estate]],$I1447&lt;&gt;SottocategorieEntrate[[#Headers],[Other]]),"","$ -")</f>
        <v/>
      </c>
      <c r="Q1447" s="59" t="str">
        <f>IF(Dati[[#This Row],[Categoria]]="Prelievo","€ -","")</f>
        <v/>
      </c>
      <c r="R1447" s="244"/>
      <c r="S1447" s="59" t="str">
        <f>IF(Dati[[#This Row],[Categoria]]="Savings",0,"")</f>
        <v/>
      </c>
      <c r="T1447" s="59"/>
      <c r="U1447" s="59"/>
      <c r="V1447" s="59"/>
      <c r="W1447" s="59"/>
      <c r="X1447" s="59"/>
      <c r="Y1447" s="59"/>
      <c r="Z1447" s="59"/>
      <c r="AA1447" s="59"/>
      <c r="AB1447" s="59"/>
      <c r="AC1447" s="59"/>
      <c r="AD1447" s="59"/>
      <c r="AE1447" s="59"/>
      <c r="AF1447" s="59"/>
      <c r="AG1447" s="59"/>
      <c r="AH1447" s="59"/>
      <c r="AI1447" s="59" t="str">
        <f>IF(SUM(Dati[[#This Row],[Inv. Business]:[Inv. Cryptocurrency]])=0," ",SUM(Dati[[#This Row],[Inv. Business]:[Inv. Cryptocurrency]]))</f>
        <v xml:space="preserve"> </v>
      </c>
      <c r="AJ1447" s="59"/>
      <c r="AK1447" s="59" t="str">
        <f>IF(SUM(Dati[[#This Row],[Inv. Gold]:[Mutuo]])=0," ",SUM(Dati[[#This Row],[Inv. Gold]:[Mutuo]]))</f>
        <v xml:space="preserve"> </v>
      </c>
      <c r="AL1447" s="59"/>
      <c r="AM1447" s="59"/>
    </row>
    <row r="1448" spans="2:39" x14ac:dyDescent="0.35">
      <c r="B1448" s="237">
        <f t="shared" si="107"/>
        <v>1428</v>
      </c>
      <c r="C1448" s="49">
        <f t="shared" si="108"/>
        <v>46006</v>
      </c>
      <c r="D1448" s="29">
        <f>DAY(Dati[[#This Row],[Data]])</f>
        <v>15</v>
      </c>
      <c r="E1448" s="29" t="str">
        <f>IF(DAY(Data!$C$21:$C$1613)&gt;0,TEXT(Data!$C$21:$C$1613, "mmmm"),"")</f>
        <v>dicembre</v>
      </c>
      <c r="F1448" s="29" t="str">
        <f>IF(DAY(Data!$C$21:$C$1613)&gt;0,TEXT(Data!$C$21:$C$1613, "aaaa"),"")</f>
        <v>2025</v>
      </c>
      <c r="I1448" t="str">
        <f>IF(OR(H1448=$B$5,H1448=$B$6,H1448=$B$7,H1448=$B$8,H1448=$B$9,H1448=$B$10,H1448=$B$11,H1448=$B$12,H1448=$B$13,H1448=$B$14),SottocategorieUscite[[#Headers],[Fuori Casa]],IF(OR(H1448=$C$5,H1448=$C$6,H1448=$C$7,H1448=$C$8,H1448=$C$9,H1448=$C$10,H1448=$C$11,H1448=$C$12,H1448=$C$13,H1448=$C$14),SottocategorieUscite[[#Headers],[Varie Uscite]],IF(OR(H1448=$D$5,H1448=$D$6,H1448=$D$7,H1448=$D$8,H1448=$D$9,H1448=$D$10,H1448=$D$11,H1448=$D$12,H1448=$D$13,H1448=$D$14),SottocategorieUscite[[#Headers],[Personali]],IF(OR(H1448=$E$5,H1448=$E$6,H1448=$E$7,H1448=$E$8,H1448=$E$9,H1448=$E$10,H1448=$E$11,H1448=$E$12,H1448=$E$13,H1448=$E$14),SottocategorieUscite[[#Headers],[Lavoro]],IF(OR(H1448=$F$5,H1448=$F$6,H1448=$F$7,H1448=$F$8,H1448=$F$9,H1448=$F$10,H1448=$F$11,H1448=$F$12,H1448=$F$13,H1448=$F$14),SottocategorieUscite[[#Headers],[Casa]],IF(OR(H1448=$G$5,H1448=$G$6,H1448=$G$7,H1448=$G$8,H1448=$G$9,H1448=$G$10,H1448=$G$11,H1448=$G$12,H1448=$G$13,H1448=$G$14),SottocategorieUscite[[#Headers],[Utenze]],IF(OR(H1448=$H$5,H1448=$H$6,H1448=$H$7,H1448=$H$8,H1448=$H$9,H1448=$H$10,H1448=$H$11,H1448=$H$12,H1448=$H$13,H1448=$H$14),SottocategorieUscite[[#Headers],[Business Uscite]],IF(OR(H1448=$I$5,H1448=$I$6,H1448=$I$7,H1448=$I$8,H1448=$I$9,H1448=$I$10,H1448=$I$11,H1448=$I$12,H1448=$I$13,H1448=$I$14),SottocategorieUscite[[#Headers],[Banca]],IF(OR(H1448=K$5,H1448=K$6,H1448=K$7,H1448=K$8,H1448=K$9,H1448=K$10,H1448=K$11,H1448=K$12,H1448=K$13,H1448=K$14),SottocategorieEntrate[[#Headers],[Business Entrate]],IF(OR(H1448=L$5,H1448=L$6,H1448=L$7,H1448=L$8,H1448=L$9,H1448=L$10,H1448=L$11,H1448=L$12,H1448=L$13,H1448=L$14),SottocategorieEntrate[[#Headers],[Varie Entrate]],IF(OR(H1448=M$5,H1448=M$6,H1448=M$7,H1448=M$8,H1448=M$9,H1448=M$10,H1448=M$11,H1448=M$12,H1448=M$13,H1448=M$14),SottocategorieEntrate[[#Headers],[Real Estate]],IF(OR(H1448=N$5,H1448=N$6,H1448=N$7,H1448=N$8,H1448=N$9,H1448=N$10,H1448=N$11,H1448=N$12,H1448=N$13,H1448=N$14),SottocategorieEntrate[[#Headers],[Other]],""))))))))))))</f>
        <v/>
      </c>
      <c r="J1448" t="str">
        <f>IF(OR(Dati[[#This Row],[Categoria]]="Bollette",Dati[[#This Row],[Categoria]]="Conto &amp; Carte BNL",Dati[[#This Row],[Categoria]]="Prelievo",Dati[[#This Row],[Categoria]]="Affitto",Dati[[#This Row],[Categoria]]="BNL(Interessi Creditori)"),"Carta",IF(Dati[[#This Row],[Categoria]]&lt;&gt;0,"Cash",""))</f>
        <v/>
      </c>
      <c r="K1448" s="59" t="str">
        <f>IF(OR(Data!$I1448=SottocategorieUscite[[#Headers],[Fuori Casa]],Data!$I1448=SottocategorieUscite[[#Headers],[Varie Uscite]],Data!$I1448=SottocategorieUscite[[#Headers],[Personali]],Data!$I1448=SottocategorieUscite[[#Headers],[Lavoro]]),"$ -","")</f>
        <v/>
      </c>
      <c r="L1448" s="59" t="str">
        <f>IF(OR(Data!$I1448=SottocategorieUscite[[#Headers],[Casa]],Data!$I1448=SottocategorieUscite[[#Headers],[Utenze]],Data!$I1448=SottocategorieUscite[[#Headers],[Business Uscite]],Data!$I1448=SottocategorieUscite[[#Headers],[Banca]]),"$ -","")</f>
        <v/>
      </c>
      <c r="M1448" s="59" t="str">
        <f>IF(OR($I1448&lt;&gt;SottocategorieUscite[[#Headers],[Fuori Casa]],$I1448&lt;&gt;SottocategorieUscite[[#Headers],[Varie Uscite]],$I1448&lt;&gt;SottocategorieUscite[[#Headers],[Personali]],$I1448&lt;&gt;SottocategorieUscite[[#Headers],[Lavoro]],$I1448&lt;&gt;SottocategorieUscite[[#Headers],[Casa]],$I1448&lt;&gt;SottocategorieUscite[[#Headers],[Utenze]],$I1448&lt;&gt;SottocategorieUscite[[#Headers],[Business Uscite]],$I1448&lt;&gt;SottocategorieUscite[[#Headers],[Banca]]),"","$ -")</f>
        <v/>
      </c>
      <c r="N1448" s="59" t="str">
        <f>IF(OR(Data!$I1448=SottocategorieEntrate[[#Headers],[Business Entrate]],Data!$I1448=SottocategorieEntrate[[#Headers],[Varie Entrate]]),"$ -","")</f>
        <v/>
      </c>
      <c r="O1448" s="59" t="str">
        <f>IF(OR(Data!$I1448=SottocategorieEntrate[[#Headers],[Real Estate]],SottocategorieEntrate[[#Headers],[Other]]),"$ -","")</f>
        <v/>
      </c>
      <c r="P1448" s="59" t="str">
        <f>IF(OR($I1448&lt;&gt;SottocategorieEntrate[[#Headers],[Business Entrate]],$I1448&lt;&gt;SottocategorieEntrate[[#Headers],[Varie Entrate]],$I1448&lt;&gt;SottocategorieEntrate[[#Headers],[Real Estate]],$I1448&lt;&gt;SottocategorieEntrate[[#Headers],[Other]]),"","$ -")</f>
        <v/>
      </c>
      <c r="Q1448" s="59" t="str">
        <f>IF(Dati[[#This Row],[Categoria]]="Prelievo","€ -","")</f>
        <v/>
      </c>
      <c r="R1448" s="244"/>
      <c r="S1448" s="59" t="str">
        <f>IF(Dati[[#This Row],[Categoria]]="Savings",0,"")</f>
        <v/>
      </c>
      <c r="T1448" s="59"/>
      <c r="U1448" s="59"/>
      <c r="V1448" s="59"/>
      <c r="W1448" s="59"/>
      <c r="X1448" s="59"/>
      <c r="Y1448" s="59"/>
      <c r="Z1448" s="59"/>
      <c r="AA1448" s="59"/>
      <c r="AB1448" s="59"/>
      <c r="AC1448" s="59"/>
      <c r="AD1448" s="59"/>
      <c r="AE1448" s="59"/>
      <c r="AF1448" s="59"/>
      <c r="AG1448" s="59"/>
      <c r="AH1448" s="59"/>
      <c r="AI1448" s="59" t="str">
        <f>IF(SUM(Dati[[#This Row],[Inv. Business]:[Inv. Cryptocurrency]])=0," ",SUM(Dati[[#This Row],[Inv. Business]:[Inv. Cryptocurrency]]))</f>
        <v xml:space="preserve"> </v>
      </c>
      <c r="AJ1448" s="59"/>
      <c r="AK1448" s="59" t="str">
        <f>IF(SUM(Dati[[#This Row],[Inv. Gold]:[Mutuo]])=0," ",SUM(Dati[[#This Row],[Inv. Gold]:[Mutuo]]))</f>
        <v xml:space="preserve"> </v>
      </c>
      <c r="AL1448" s="59"/>
      <c r="AM1448" s="59"/>
    </row>
    <row r="1449" spans="2:39" x14ac:dyDescent="0.35">
      <c r="B1449" s="237">
        <f t="shared" si="107"/>
        <v>1429</v>
      </c>
      <c r="C1449" s="49">
        <f t="shared" si="108"/>
        <v>46007</v>
      </c>
      <c r="D1449" s="29">
        <f>DAY(Dati[[#This Row],[Data]])</f>
        <v>16</v>
      </c>
      <c r="E1449" s="29" t="str">
        <f>IF(DAY(Data!$C$21:$C$1613)&gt;0,TEXT(Data!$C$21:$C$1613, "mmmm"),"")</f>
        <v>dicembre</v>
      </c>
      <c r="F1449" s="29" t="str">
        <f>IF(DAY(Data!$C$21:$C$1613)&gt;0,TEXT(Data!$C$21:$C$1613, "aaaa"),"")</f>
        <v>2025</v>
      </c>
      <c r="I1449" t="str">
        <f>IF(OR(H1449=$B$5,H1449=$B$6,H1449=$B$7,H1449=$B$8,H1449=$B$9,H1449=$B$10,H1449=$B$11,H1449=$B$12,H1449=$B$13,H1449=$B$14),SottocategorieUscite[[#Headers],[Fuori Casa]],IF(OR(H1449=$C$5,H1449=$C$6,H1449=$C$7,H1449=$C$8,H1449=$C$9,H1449=$C$10,H1449=$C$11,H1449=$C$12,H1449=$C$13,H1449=$C$14),SottocategorieUscite[[#Headers],[Varie Uscite]],IF(OR(H1449=$D$5,H1449=$D$6,H1449=$D$7,H1449=$D$8,H1449=$D$9,H1449=$D$10,H1449=$D$11,H1449=$D$12,H1449=$D$13,H1449=$D$14),SottocategorieUscite[[#Headers],[Personali]],IF(OR(H1449=$E$5,H1449=$E$6,H1449=$E$7,H1449=$E$8,H1449=$E$9,H1449=$E$10,H1449=$E$11,H1449=$E$12,H1449=$E$13,H1449=$E$14),SottocategorieUscite[[#Headers],[Lavoro]],IF(OR(H1449=$F$5,H1449=$F$6,H1449=$F$7,H1449=$F$8,H1449=$F$9,H1449=$F$10,H1449=$F$11,H1449=$F$12,H1449=$F$13,H1449=$F$14),SottocategorieUscite[[#Headers],[Casa]],IF(OR(H1449=$G$5,H1449=$G$6,H1449=$G$7,H1449=$G$8,H1449=$G$9,H1449=$G$10,H1449=$G$11,H1449=$G$12,H1449=$G$13,H1449=$G$14),SottocategorieUscite[[#Headers],[Utenze]],IF(OR(H1449=$H$5,H1449=$H$6,H1449=$H$7,H1449=$H$8,H1449=$H$9,H1449=$H$10,H1449=$H$11,H1449=$H$12,H1449=$H$13,H1449=$H$14),SottocategorieUscite[[#Headers],[Business Uscite]],IF(OR(H1449=$I$5,H1449=$I$6,H1449=$I$7,H1449=$I$8,H1449=$I$9,H1449=$I$10,H1449=$I$11,H1449=$I$12,H1449=$I$13,H1449=$I$14),SottocategorieUscite[[#Headers],[Banca]],IF(OR(H1449=K$5,H1449=K$6,H1449=K$7,H1449=K$8,H1449=K$9,H1449=K$10,H1449=K$11,H1449=K$12,H1449=K$13,H1449=K$14),SottocategorieEntrate[[#Headers],[Business Entrate]],IF(OR(H1449=L$5,H1449=L$6,H1449=L$7,H1449=L$8,H1449=L$9,H1449=L$10,H1449=L$11,H1449=L$12,H1449=L$13,H1449=L$14),SottocategorieEntrate[[#Headers],[Varie Entrate]],IF(OR(H1449=M$5,H1449=M$6,H1449=M$7,H1449=M$8,H1449=M$9,H1449=M$10,H1449=M$11,H1449=M$12,H1449=M$13,H1449=M$14),SottocategorieEntrate[[#Headers],[Real Estate]],IF(OR(H1449=N$5,H1449=N$6,H1449=N$7,H1449=N$8,H1449=N$9,H1449=N$10,H1449=N$11,H1449=N$12,H1449=N$13,H1449=N$14),SottocategorieEntrate[[#Headers],[Other]],""))))))))))))</f>
        <v/>
      </c>
      <c r="J1449" t="str">
        <f>IF(OR(Dati[[#This Row],[Categoria]]="Bollette",Dati[[#This Row],[Categoria]]="Conto &amp; Carte BNL",Dati[[#This Row],[Categoria]]="Prelievo",Dati[[#This Row],[Categoria]]="Affitto",Dati[[#This Row],[Categoria]]="BNL(Interessi Creditori)"),"Carta",IF(Dati[[#This Row],[Categoria]]&lt;&gt;0,"Cash",""))</f>
        <v/>
      </c>
      <c r="K1449" s="59" t="str">
        <f>IF(OR(Data!$I1449=SottocategorieUscite[[#Headers],[Fuori Casa]],Data!$I1449=SottocategorieUscite[[#Headers],[Varie Uscite]],Data!$I1449=SottocategorieUscite[[#Headers],[Personali]],Data!$I1449=SottocategorieUscite[[#Headers],[Lavoro]]),"$ -","")</f>
        <v/>
      </c>
      <c r="L1449" s="59" t="str">
        <f>IF(OR(Data!$I1449=SottocategorieUscite[[#Headers],[Casa]],Data!$I1449=SottocategorieUscite[[#Headers],[Utenze]],Data!$I1449=SottocategorieUscite[[#Headers],[Business Uscite]],Data!$I1449=SottocategorieUscite[[#Headers],[Banca]]),"$ -","")</f>
        <v/>
      </c>
      <c r="M1449" s="59" t="str">
        <f>IF(OR($I1449&lt;&gt;SottocategorieUscite[[#Headers],[Fuori Casa]],$I1449&lt;&gt;SottocategorieUscite[[#Headers],[Varie Uscite]],$I1449&lt;&gt;SottocategorieUscite[[#Headers],[Personali]],$I1449&lt;&gt;SottocategorieUscite[[#Headers],[Lavoro]],$I1449&lt;&gt;SottocategorieUscite[[#Headers],[Casa]],$I1449&lt;&gt;SottocategorieUscite[[#Headers],[Utenze]],$I1449&lt;&gt;SottocategorieUscite[[#Headers],[Business Uscite]],$I1449&lt;&gt;SottocategorieUscite[[#Headers],[Banca]]),"","$ -")</f>
        <v/>
      </c>
      <c r="N1449" s="59" t="str">
        <f>IF(OR(Data!$I1449=SottocategorieEntrate[[#Headers],[Business Entrate]],Data!$I1449=SottocategorieEntrate[[#Headers],[Varie Entrate]]),"$ -","")</f>
        <v/>
      </c>
      <c r="O1449" s="59" t="str">
        <f>IF(OR(Data!$I1449=SottocategorieEntrate[[#Headers],[Real Estate]],SottocategorieEntrate[[#Headers],[Other]]),"$ -","")</f>
        <v/>
      </c>
      <c r="P1449" s="59" t="str">
        <f>IF(OR($I1449&lt;&gt;SottocategorieEntrate[[#Headers],[Business Entrate]],$I1449&lt;&gt;SottocategorieEntrate[[#Headers],[Varie Entrate]],$I1449&lt;&gt;SottocategorieEntrate[[#Headers],[Real Estate]],$I1449&lt;&gt;SottocategorieEntrate[[#Headers],[Other]]),"","$ -")</f>
        <v/>
      </c>
      <c r="Q1449" s="59" t="str">
        <f>IF(Dati[[#This Row],[Categoria]]="Prelievo","€ -","")</f>
        <v/>
      </c>
      <c r="R1449" s="244"/>
      <c r="S1449" s="59" t="str">
        <f>IF(Dati[[#This Row],[Categoria]]="Savings",0,"")</f>
        <v/>
      </c>
      <c r="T1449" s="59"/>
      <c r="U1449" s="59"/>
      <c r="V1449" s="59"/>
      <c r="W1449" s="59"/>
      <c r="X1449" s="59"/>
      <c r="Y1449" s="59"/>
      <c r="Z1449" s="59"/>
      <c r="AA1449" s="59"/>
      <c r="AB1449" s="59"/>
      <c r="AC1449" s="59"/>
      <c r="AD1449" s="59"/>
      <c r="AE1449" s="59"/>
      <c r="AF1449" s="59"/>
      <c r="AG1449" s="59"/>
      <c r="AH1449" s="59"/>
      <c r="AI1449" s="59" t="str">
        <f>IF(SUM(Dati[[#This Row],[Inv. Business]:[Inv. Cryptocurrency]])=0," ",SUM(Dati[[#This Row],[Inv. Business]:[Inv. Cryptocurrency]]))</f>
        <v xml:space="preserve"> </v>
      </c>
      <c r="AJ1449" s="59"/>
      <c r="AK1449" s="59" t="str">
        <f>IF(SUM(Dati[[#This Row],[Inv. Gold]:[Mutuo]])=0," ",SUM(Dati[[#This Row],[Inv. Gold]:[Mutuo]]))</f>
        <v xml:space="preserve"> </v>
      </c>
      <c r="AL1449" s="59"/>
      <c r="AM1449" s="59"/>
    </row>
    <row r="1450" spans="2:39" x14ac:dyDescent="0.35">
      <c r="B1450" s="237">
        <f t="shared" si="107"/>
        <v>1430</v>
      </c>
      <c r="C1450" s="49">
        <f t="shared" si="108"/>
        <v>46008</v>
      </c>
      <c r="D1450" s="29">
        <f>DAY(Dati[[#This Row],[Data]])</f>
        <v>17</v>
      </c>
      <c r="E1450" s="29" t="str">
        <f>IF(DAY(Data!$C$21:$C$1613)&gt;0,TEXT(Data!$C$21:$C$1613, "mmmm"),"")</f>
        <v>dicembre</v>
      </c>
      <c r="F1450" s="29" t="str">
        <f>IF(DAY(Data!$C$21:$C$1613)&gt;0,TEXT(Data!$C$21:$C$1613, "aaaa"),"")</f>
        <v>2025</v>
      </c>
      <c r="I1450" t="str">
        <f>IF(OR(H1450=$B$5,H1450=$B$6,H1450=$B$7,H1450=$B$8,H1450=$B$9,H1450=$B$10,H1450=$B$11,H1450=$B$12,H1450=$B$13,H1450=$B$14),SottocategorieUscite[[#Headers],[Fuori Casa]],IF(OR(H1450=$C$5,H1450=$C$6,H1450=$C$7,H1450=$C$8,H1450=$C$9,H1450=$C$10,H1450=$C$11,H1450=$C$12,H1450=$C$13,H1450=$C$14),SottocategorieUscite[[#Headers],[Varie Uscite]],IF(OR(H1450=$D$5,H1450=$D$6,H1450=$D$7,H1450=$D$8,H1450=$D$9,H1450=$D$10,H1450=$D$11,H1450=$D$12,H1450=$D$13,H1450=$D$14),SottocategorieUscite[[#Headers],[Personali]],IF(OR(H1450=$E$5,H1450=$E$6,H1450=$E$7,H1450=$E$8,H1450=$E$9,H1450=$E$10,H1450=$E$11,H1450=$E$12,H1450=$E$13,H1450=$E$14),SottocategorieUscite[[#Headers],[Lavoro]],IF(OR(H1450=$F$5,H1450=$F$6,H1450=$F$7,H1450=$F$8,H1450=$F$9,H1450=$F$10,H1450=$F$11,H1450=$F$12,H1450=$F$13,H1450=$F$14),SottocategorieUscite[[#Headers],[Casa]],IF(OR(H1450=$G$5,H1450=$G$6,H1450=$G$7,H1450=$G$8,H1450=$G$9,H1450=$G$10,H1450=$G$11,H1450=$G$12,H1450=$G$13,H1450=$G$14),SottocategorieUscite[[#Headers],[Utenze]],IF(OR(H1450=$H$5,H1450=$H$6,H1450=$H$7,H1450=$H$8,H1450=$H$9,H1450=$H$10,H1450=$H$11,H1450=$H$12,H1450=$H$13,H1450=$H$14),SottocategorieUscite[[#Headers],[Business Uscite]],IF(OR(H1450=$I$5,H1450=$I$6,H1450=$I$7,H1450=$I$8,H1450=$I$9,H1450=$I$10,H1450=$I$11,H1450=$I$12,H1450=$I$13,H1450=$I$14),SottocategorieUscite[[#Headers],[Banca]],IF(OR(H1450=K$5,H1450=K$6,H1450=K$7,H1450=K$8,H1450=K$9,H1450=K$10,H1450=K$11,H1450=K$12,H1450=K$13,H1450=K$14),SottocategorieEntrate[[#Headers],[Business Entrate]],IF(OR(H1450=L$5,H1450=L$6,H1450=L$7,H1450=L$8,H1450=L$9,H1450=L$10,H1450=L$11,H1450=L$12,H1450=L$13,H1450=L$14),SottocategorieEntrate[[#Headers],[Varie Entrate]],IF(OR(H1450=M$5,H1450=M$6,H1450=M$7,H1450=M$8,H1450=M$9,H1450=M$10,H1450=M$11,H1450=M$12,H1450=M$13,H1450=M$14),SottocategorieEntrate[[#Headers],[Real Estate]],IF(OR(H1450=N$5,H1450=N$6,H1450=N$7,H1450=N$8,H1450=N$9,H1450=N$10,H1450=N$11,H1450=N$12,H1450=N$13,H1450=N$14),SottocategorieEntrate[[#Headers],[Other]],""))))))))))))</f>
        <v/>
      </c>
      <c r="J1450" t="str">
        <f>IF(OR(Dati[[#This Row],[Categoria]]="Bollette",Dati[[#This Row],[Categoria]]="Conto &amp; Carte BNL",Dati[[#This Row],[Categoria]]="Prelievo",Dati[[#This Row],[Categoria]]="Affitto",Dati[[#This Row],[Categoria]]="BNL(Interessi Creditori)"),"Carta",IF(Dati[[#This Row],[Categoria]]&lt;&gt;0,"Cash",""))</f>
        <v/>
      </c>
      <c r="K1450" s="59" t="str">
        <f>IF(OR(Data!$I1450=SottocategorieUscite[[#Headers],[Fuori Casa]],Data!$I1450=SottocategorieUscite[[#Headers],[Varie Uscite]],Data!$I1450=SottocategorieUscite[[#Headers],[Personali]],Data!$I1450=SottocategorieUscite[[#Headers],[Lavoro]]),"$ -","")</f>
        <v/>
      </c>
      <c r="L1450" s="59" t="str">
        <f>IF(OR(Data!$I1450=SottocategorieUscite[[#Headers],[Casa]],Data!$I1450=SottocategorieUscite[[#Headers],[Utenze]],Data!$I1450=SottocategorieUscite[[#Headers],[Business Uscite]],Data!$I1450=SottocategorieUscite[[#Headers],[Banca]]),"$ -","")</f>
        <v/>
      </c>
      <c r="M1450" s="59" t="str">
        <f>IF(OR($I1450&lt;&gt;SottocategorieUscite[[#Headers],[Fuori Casa]],$I1450&lt;&gt;SottocategorieUscite[[#Headers],[Varie Uscite]],$I1450&lt;&gt;SottocategorieUscite[[#Headers],[Personali]],$I1450&lt;&gt;SottocategorieUscite[[#Headers],[Lavoro]],$I1450&lt;&gt;SottocategorieUscite[[#Headers],[Casa]],$I1450&lt;&gt;SottocategorieUscite[[#Headers],[Utenze]],$I1450&lt;&gt;SottocategorieUscite[[#Headers],[Business Uscite]],$I1450&lt;&gt;SottocategorieUscite[[#Headers],[Banca]]),"","$ -")</f>
        <v/>
      </c>
      <c r="N1450" s="59" t="str">
        <f>IF(OR(Data!$I1450=SottocategorieEntrate[[#Headers],[Business Entrate]],Data!$I1450=SottocategorieEntrate[[#Headers],[Varie Entrate]]),"$ -","")</f>
        <v/>
      </c>
      <c r="O1450" s="59" t="str">
        <f>IF(OR(Data!$I1450=SottocategorieEntrate[[#Headers],[Real Estate]],SottocategorieEntrate[[#Headers],[Other]]),"$ -","")</f>
        <v/>
      </c>
      <c r="P1450" s="59" t="str">
        <f>IF(OR($I1450&lt;&gt;SottocategorieEntrate[[#Headers],[Business Entrate]],$I1450&lt;&gt;SottocategorieEntrate[[#Headers],[Varie Entrate]],$I1450&lt;&gt;SottocategorieEntrate[[#Headers],[Real Estate]],$I1450&lt;&gt;SottocategorieEntrate[[#Headers],[Other]]),"","$ -")</f>
        <v/>
      </c>
      <c r="Q1450" s="59" t="str">
        <f>IF(Dati[[#This Row],[Categoria]]="Prelievo","€ -","")</f>
        <v/>
      </c>
      <c r="R1450" s="244"/>
      <c r="S1450" s="59" t="str">
        <f>IF(Dati[[#This Row],[Categoria]]="Savings",0,"")</f>
        <v/>
      </c>
      <c r="T1450" s="59"/>
      <c r="U1450" s="59"/>
      <c r="V1450" s="59"/>
      <c r="W1450" s="59"/>
      <c r="X1450" s="59"/>
      <c r="Y1450" s="59"/>
      <c r="Z1450" s="59"/>
      <c r="AA1450" s="59"/>
      <c r="AB1450" s="59"/>
      <c r="AC1450" s="59"/>
      <c r="AD1450" s="59"/>
      <c r="AE1450" s="59"/>
      <c r="AF1450" s="59"/>
      <c r="AG1450" s="59"/>
      <c r="AH1450" s="59"/>
      <c r="AI1450" s="59" t="str">
        <f>IF(SUM(Dati[[#This Row],[Inv. Business]:[Inv. Cryptocurrency]])=0," ",SUM(Dati[[#This Row],[Inv. Business]:[Inv. Cryptocurrency]]))</f>
        <v xml:space="preserve"> </v>
      </c>
      <c r="AJ1450" s="59"/>
      <c r="AK1450" s="59" t="str">
        <f>IF(SUM(Dati[[#This Row],[Inv. Gold]:[Mutuo]])=0," ",SUM(Dati[[#This Row],[Inv. Gold]:[Mutuo]]))</f>
        <v xml:space="preserve"> </v>
      </c>
      <c r="AL1450" s="59"/>
      <c r="AM1450" s="59"/>
    </row>
    <row r="1451" spans="2:39" x14ac:dyDescent="0.35">
      <c r="B1451" s="237">
        <f t="shared" si="107"/>
        <v>1431</v>
      </c>
      <c r="C1451" s="49">
        <f t="shared" si="108"/>
        <v>46009</v>
      </c>
      <c r="D1451" s="29">
        <f>DAY(Dati[[#This Row],[Data]])</f>
        <v>18</v>
      </c>
      <c r="E1451" s="29" t="str">
        <f>IF(DAY(Data!$C$21:$C$1613)&gt;0,TEXT(Data!$C$21:$C$1613, "mmmm"),"")</f>
        <v>dicembre</v>
      </c>
      <c r="F1451" s="29" t="str">
        <f>IF(DAY(Data!$C$21:$C$1613)&gt;0,TEXT(Data!$C$21:$C$1613, "aaaa"),"")</f>
        <v>2025</v>
      </c>
      <c r="I1451" t="str">
        <f>IF(OR(H1451=$B$5,H1451=$B$6,H1451=$B$7,H1451=$B$8,H1451=$B$9,H1451=$B$10,H1451=$B$11,H1451=$B$12,H1451=$B$13,H1451=$B$14),SottocategorieUscite[[#Headers],[Fuori Casa]],IF(OR(H1451=$C$5,H1451=$C$6,H1451=$C$7,H1451=$C$8,H1451=$C$9,H1451=$C$10,H1451=$C$11,H1451=$C$12,H1451=$C$13,H1451=$C$14),SottocategorieUscite[[#Headers],[Varie Uscite]],IF(OR(H1451=$D$5,H1451=$D$6,H1451=$D$7,H1451=$D$8,H1451=$D$9,H1451=$D$10,H1451=$D$11,H1451=$D$12,H1451=$D$13,H1451=$D$14),SottocategorieUscite[[#Headers],[Personali]],IF(OR(H1451=$E$5,H1451=$E$6,H1451=$E$7,H1451=$E$8,H1451=$E$9,H1451=$E$10,H1451=$E$11,H1451=$E$12,H1451=$E$13,H1451=$E$14),SottocategorieUscite[[#Headers],[Lavoro]],IF(OR(H1451=$F$5,H1451=$F$6,H1451=$F$7,H1451=$F$8,H1451=$F$9,H1451=$F$10,H1451=$F$11,H1451=$F$12,H1451=$F$13,H1451=$F$14),SottocategorieUscite[[#Headers],[Casa]],IF(OR(H1451=$G$5,H1451=$G$6,H1451=$G$7,H1451=$G$8,H1451=$G$9,H1451=$G$10,H1451=$G$11,H1451=$G$12,H1451=$G$13,H1451=$G$14),SottocategorieUscite[[#Headers],[Utenze]],IF(OR(H1451=$H$5,H1451=$H$6,H1451=$H$7,H1451=$H$8,H1451=$H$9,H1451=$H$10,H1451=$H$11,H1451=$H$12,H1451=$H$13,H1451=$H$14),SottocategorieUscite[[#Headers],[Business Uscite]],IF(OR(H1451=$I$5,H1451=$I$6,H1451=$I$7,H1451=$I$8,H1451=$I$9,H1451=$I$10,H1451=$I$11,H1451=$I$12,H1451=$I$13,H1451=$I$14),SottocategorieUscite[[#Headers],[Banca]],IF(OR(H1451=K$5,H1451=K$6,H1451=K$7,H1451=K$8,H1451=K$9,H1451=K$10,H1451=K$11,H1451=K$12,H1451=K$13,H1451=K$14),SottocategorieEntrate[[#Headers],[Business Entrate]],IF(OR(H1451=L$5,H1451=L$6,H1451=L$7,H1451=L$8,H1451=L$9,H1451=L$10,H1451=L$11,H1451=L$12,H1451=L$13,H1451=L$14),SottocategorieEntrate[[#Headers],[Varie Entrate]],IF(OR(H1451=M$5,H1451=M$6,H1451=M$7,H1451=M$8,H1451=M$9,H1451=M$10,H1451=M$11,H1451=M$12,H1451=M$13,H1451=M$14),SottocategorieEntrate[[#Headers],[Real Estate]],IF(OR(H1451=N$5,H1451=N$6,H1451=N$7,H1451=N$8,H1451=N$9,H1451=N$10,H1451=N$11,H1451=N$12,H1451=N$13,H1451=N$14),SottocategorieEntrate[[#Headers],[Other]],""))))))))))))</f>
        <v/>
      </c>
      <c r="J1451" t="str">
        <f>IF(OR(Dati[[#This Row],[Categoria]]="Bollette",Dati[[#This Row],[Categoria]]="Conto &amp; Carte BNL",Dati[[#This Row],[Categoria]]="Prelievo",Dati[[#This Row],[Categoria]]="Affitto",Dati[[#This Row],[Categoria]]="BNL(Interessi Creditori)"),"Carta",IF(Dati[[#This Row],[Categoria]]&lt;&gt;0,"Cash",""))</f>
        <v/>
      </c>
      <c r="K1451" s="59" t="str">
        <f>IF(OR(Data!$I1451=SottocategorieUscite[[#Headers],[Fuori Casa]],Data!$I1451=SottocategorieUscite[[#Headers],[Varie Uscite]],Data!$I1451=SottocategorieUscite[[#Headers],[Personali]],Data!$I1451=SottocategorieUscite[[#Headers],[Lavoro]]),"$ -","")</f>
        <v/>
      </c>
      <c r="L1451" s="59" t="str">
        <f>IF(OR(Data!$I1451=SottocategorieUscite[[#Headers],[Casa]],Data!$I1451=SottocategorieUscite[[#Headers],[Utenze]],Data!$I1451=SottocategorieUscite[[#Headers],[Business Uscite]],Data!$I1451=SottocategorieUscite[[#Headers],[Banca]]),"$ -","")</f>
        <v/>
      </c>
      <c r="M1451" s="59" t="str">
        <f>IF(OR($I1451&lt;&gt;SottocategorieUscite[[#Headers],[Fuori Casa]],$I1451&lt;&gt;SottocategorieUscite[[#Headers],[Varie Uscite]],$I1451&lt;&gt;SottocategorieUscite[[#Headers],[Personali]],$I1451&lt;&gt;SottocategorieUscite[[#Headers],[Lavoro]],$I1451&lt;&gt;SottocategorieUscite[[#Headers],[Casa]],$I1451&lt;&gt;SottocategorieUscite[[#Headers],[Utenze]],$I1451&lt;&gt;SottocategorieUscite[[#Headers],[Business Uscite]],$I1451&lt;&gt;SottocategorieUscite[[#Headers],[Banca]]),"","$ -")</f>
        <v/>
      </c>
      <c r="N1451" s="59" t="str">
        <f>IF(OR(Data!$I1451=SottocategorieEntrate[[#Headers],[Business Entrate]],Data!$I1451=SottocategorieEntrate[[#Headers],[Varie Entrate]]),"$ -","")</f>
        <v/>
      </c>
      <c r="O1451" s="59" t="str">
        <f>IF(OR(Data!$I1451=SottocategorieEntrate[[#Headers],[Real Estate]],SottocategorieEntrate[[#Headers],[Other]]),"$ -","")</f>
        <v/>
      </c>
      <c r="P1451" s="59" t="str">
        <f>IF(OR($I1451&lt;&gt;SottocategorieEntrate[[#Headers],[Business Entrate]],$I1451&lt;&gt;SottocategorieEntrate[[#Headers],[Varie Entrate]],$I1451&lt;&gt;SottocategorieEntrate[[#Headers],[Real Estate]],$I1451&lt;&gt;SottocategorieEntrate[[#Headers],[Other]]),"","$ -")</f>
        <v/>
      </c>
      <c r="Q1451" s="59" t="str">
        <f>IF(Dati[[#This Row],[Categoria]]="Prelievo","€ -","")</f>
        <v/>
      </c>
      <c r="R1451" s="244"/>
      <c r="S1451" s="59" t="str">
        <f>IF(Dati[[#This Row],[Categoria]]="Savings",0,"")</f>
        <v/>
      </c>
      <c r="T1451" s="59"/>
      <c r="U1451" s="59"/>
      <c r="V1451" s="59"/>
      <c r="W1451" s="59"/>
      <c r="X1451" s="59"/>
      <c r="Y1451" s="59"/>
      <c r="Z1451" s="59"/>
      <c r="AA1451" s="59"/>
      <c r="AB1451" s="59"/>
      <c r="AC1451" s="59"/>
      <c r="AD1451" s="59"/>
      <c r="AE1451" s="59"/>
      <c r="AF1451" s="59"/>
      <c r="AG1451" s="59"/>
      <c r="AH1451" s="59"/>
      <c r="AI1451" s="59" t="str">
        <f>IF(SUM(Dati[[#This Row],[Inv. Business]:[Inv. Cryptocurrency]])=0," ",SUM(Dati[[#This Row],[Inv. Business]:[Inv. Cryptocurrency]]))</f>
        <v xml:space="preserve"> </v>
      </c>
      <c r="AJ1451" s="59"/>
      <c r="AK1451" s="59" t="str">
        <f>IF(SUM(Dati[[#This Row],[Inv. Gold]:[Mutuo]])=0," ",SUM(Dati[[#This Row],[Inv. Gold]:[Mutuo]]))</f>
        <v xml:space="preserve"> </v>
      </c>
      <c r="AL1451" s="59"/>
      <c r="AM1451" s="59"/>
    </row>
    <row r="1452" spans="2:39" x14ac:dyDescent="0.35">
      <c r="B1452" s="237">
        <f t="shared" si="107"/>
        <v>1432</v>
      </c>
      <c r="C1452" s="49">
        <f t="shared" si="108"/>
        <v>46010</v>
      </c>
      <c r="D1452" s="29">
        <f>DAY(Dati[[#This Row],[Data]])</f>
        <v>19</v>
      </c>
      <c r="E1452" s="29" t="str">
        <f>IF(DAY(Data!$C$21:$C$1613)&gt;0,TEXT(Data!$C$21:$C$1613, "mmmm"),"")</f>
        <v>dicembre</v>
      </c>
      <c r="F1452" s="29" t="str">
        <f>IF(DAY(Data!$C$21:$C$1613)&gt;0,TEXT(Data!$C$21:$C$1613, "aaaa"),"")</f>
        <v>2025</v>
      </c>
      <c r="I1452" t="str">
        <f>IF(OR(H1452=$B$5,H1452=$B$6,H1452=$B$7,H1452=$B$8,H1452=$B$9,H1452=$B$10,H1452=$B$11,H1452=$B$12,H1452=$B$13,H1452=$B$14),SottocategorieUscite[[#Headers],[Fuori Casa]],IF(OR(H1452=$C$5,H1452=$C$6,H1452=$C$7,H1452=$C$8,H1452=$C$9,H1452=$C$10,H1452=$C$11,H1452=$C$12,H1452=$C$13,H1452=$C$14),SottocategorieUscite[[#Headers],[Varie Uscite]],IF(OR(H1452=$D$5,H1452=$D$6,H1452=$D$7,H1452=$D$8,H1452=$D$9,H1452=$D$10,H1452=$D$11,H1452=$D$12,H1452=$D$13,H1452=$D$14),SottocategorieUscite[[#Headers],[Personali]],IF(OR(H1452=$E$5,H1452=$E$6,H1452=$E$7,H1452=$E$8,H1452=$E$9,H1452=$E$10,H1452=$E$11,H1452=$E$12,H1452=$E$13,H1452=$E$14),SottocategorieUscite[[#Headers],[Lavoro]],IF(OR(H1452=$F$5,H1452=$F$6,H1452=$F$7,H1452=$F$8,H1452=$F$9,H1452=$F$10,H1452=$F$11,H1452=$F$12,H1452=$F$13,H1452=$F$14),SottocategorieUscite[[#Headers],[Casa]],IF(OR(H1452=$G$5,H1452=$G$6,H1452=$G$7,H1452=$G$8,H1452=$G$9,H1452=$G$10,H1452=$G$11,H1452=$G$12,H1452=$G$13,H1452=$G$14),SottocategorieUscite[[#Headers],[Utenze]],IF(OR(H1452=$H$5,H1452=$H$6,H1452=$H$7,H1452=$H$8,H1452=$H$9,H1452=$H$10,H1452=$H$11,H1452=$H$12,H1452=$H$13,H1452=$H$14),SottocategorieUscite[[#Headers],[Business Uscite]],IF(OR(H1452=$I$5,H1452=$I$6,H1452=$I$7,H1452=$I$8,H1452=$I$9,H1452=$I$10,H1452=$I$11,H1452=$I$12,H1452=$I$13,H1452=$I$14),SottocategorieUscite[[#Headers],[Banca]],IF(OR(H1452=K$5,H1452=K$6,H1452=K$7,H1452=K$8,H1452=K$9,H1452=K$10,H1452=K$11,H1452=K$12,H1452=K$13,H1452=K$14),SottocategorieEntrate[[#Headers],[Business Entrate]],IF(OR(H1452=L$5,H1452=L$6,H1452=L$7,H1452=L$8,H1452=L$9,H1452=L$10,H1452=L$11,H1452=L$12,H1452=L$13,H1452=L$14),SottocategorieEntrate[[#Headers],[Varie Entrate]],IF(OR(H1452=M$5,H1452=M$6,H1452=M$7,H1452=M$8,H1452=M$9,H1452=M$10,H1452=M$11,H1452=M$12,H1452=M$13,H1452=M$14),SottocategorieEntrate[[#Headers],[Real Estate]],IF(OR(H1452=N$5,H1452=N$6,H1452=N$7,H1452=N$8,H1452=N$9,H1452=N$10,H1452=N$11,H1452=N$12,H1452=N$13,H1452=N$14),SottocategorieEntrate[[#Headers],[Other]],""))))))))))))</f>
        <v/>
      </c>
      <c r="J1452" t="str">
        <f>IF(OR(Dati[[#This Row],[Categoria]]="Bollette",Dati[[#This Row],[Categoria]]="Conto &amp; Carte BNL",Dati[[#This Row],[Categoria]]="Prelievo",Dati[[#This Row],[Categoria]]="Affitto",Dati[[#This Row],[Categoria]]="BNL(Interessi Creditori)"),"Carta",IF(Dati[[#This Row],[Categoria]]&lt;&gt;0,"Cash",""))</f>
        <v/>
      </c>
      <c r="K1452" s="59" t="str">
        <f>IF(OR(Data!$I1452=SottocategorieUscite[[#Headers],[Fuori Casa]],Data!$I1452=SottocategorieUscite[[#Headers],[Varie Uscite]],Data!$I1452=SottocategorieUscite[[#Headers],[Personali]],Data!$I1452=SottocategorieUscite[[#Headers],[Lavoro]]),"$ -","")</f>
        <v/>
      </c>
      <c r="L1452" s="59" t="str">
        <f>IF(OR(Data!$I1452=SottocategorieUscite[[#Headers],[Casa]],Data!$I1452=SottocategorieUscite[[#Headers],[Utenze]],Data!$I1452=SottocategorieUscite[[#Headers],[Business Uscite]],Data!$I1452=SottocategorieUscite[[#Headers],[Banca]]),"$ -","")</f>
        <v/>
      </c>
      <c r="M1452" s="59" t="str">
        <f>IF(OR($I1452&lt;&gt;SottocategorieUscite[[#Headers],[Fuori Casa]],$I1452&lt;&gt;SottocategorieUscite[[#Headers],[Varie Uscite]],$I1452&lt;&gt;SottocategorieUscite[[#Headers],[Personali]],$I1452&lt;&gt;SottocategorieUscite[[#Headers],[Lavoro]],$I1452&lt;&gt;SottocategorieUscite[[#Headers],[Casa]],$I1452&lt;&gt;SottocategorieUscite[[#Headers],[Utenze]],$I1452&lt;&gt;SottocategorieUscite[[#Headers],[Business Uscite]],$I1452&lt;&gt;SottocategorieUscite[[#Headers],[Banca]]),"","$ -")</f>
        <v/>
      </c>
      <c r="N1452" s="59" t="str">
        <f>IF(OR(Data!$I1452=SottocategorieEntrate[[#Headers],[Business Entrate]],Data!$I1452=SottocategorieEntrate[[#Headers],[Varie Entrate]]),"$ -","")</f>
        <v/>
      </c>
      <c r="O1452" s="59" t="str">
        <f>IF(OR(Data!$I1452=SottocategorieEntrate[[#Headers],[Real Estate]],SottocategorieEntrate[[#Headers],[Other]]),"$ -","")</f>
        <v/>
      </c>
      <c r="P1452" s="59" t="str">
        <f>IF(OR($I1452&lt;&gt;SottocategorieEntrate[[#Headers],[Business Entrate]],$I1452&lt;&gt;SottocategorieEntrate[[#Headers],[Varie Entrate]],$I1452&lt;&gt;SottocategorieEntrate[[#Headers],[Real Estate]],$I1452&lt;&gt;SottocategorieEntrate[[#Headers],[Other]]),"","$ -")</f>
        <v/>
      </c>
      <c r="Q1452" s="59" t="str">
        <f>IF(Dati[[#This Row],[Categoria]]="Prelievo","€ -","")</f>
        <v/>
      </c>
      <c r="R1452" s="244"/>
      <c r="S1452" s="59" t="str">
        <f>IF(Dati[[#This Row],[Categoria]]="Savings",0,"")</f>
        <v/>
      </c>
      <c r="T1452" s="59"/>
      <c r="U1452" s="59"/>
      <c r="V1452" s="59"/>
      <c r="W1452" s="59"/>
      <c r="X1452" s="59"/>
      <c r="Y1452" s="59"/>
      <c r="Z1452" s="59"/>
      <c r="AA1452" s="59"/>
      <c r="AB1452" s="59"/>
      <c r="AC1452" s="59"/>
      <c r="AD1452" s="59"/>
      <c r="AE1452" s="59"/>
      <c r="AF1452" s="59"/>
      <c r="AG1452" s="59"/>
      <c r="AH1452" s="59"/>
      <c r="AI1452" s="59" t="str">
        <f>IF(SUM(Dati[[#This Row],[Inv. Business]:[Inv. Cryptocurrency]])=0," ",SUM(Dati[[#This Row],[Inv. Business]:[Inv. Cryptocurrency]]))</f>
        <v xml:space="preserve"> </v>
      </c>
      <c r="AJ1452" s="59"/>
      <c r="AK1452" s="59" t="str">
        <f>IF(SUM(Dati[[#This Row],[Inv. Gold]:[Mutuo]])=0," ",SUM(Dati[[#This Row],[Inv. Gold]:[Mutuo]]))</f>
        <v xml:space="preserve"> </v>
      </c>
      <c r="AL1452" s="59"/>
      <c r="AM1452" s="59"/>
    </row>
    <row r="1453" spans="2:39" x14ac:dyDescent="0.35">
      <c r="B1453" s="237">
        <f t="shared" si="107"/>
        <v>1433</v>
      </c>
      <c r="C1453" s="49">
        <f t="shared" si="108"/>
        <v>46011</v>
      </c>
      <c r="D1453" s="29">
        <f>DAY(Dati[[#This Row],[Data]])</f>
        <v>20</v>
      </c>
      <c r="E1453" s="29" t="str">
        <f>IF(DAY(Data!$C$21:$C$1613)&gt;0,TEXT(Data!$C$21:$C$1613, "mmmm"),"")</f>
        <v>dicembre</v>
      </c>
      <c r="F1453" s="29" t="str">
        <f>IF(DAY(Data!$C$21:$C$1613)&gt;0,TEXT(Data!$C$21:$C$1613, "aaaa"),"")</f>
        <v>2025</v>
      </c>
      <c r="I1453" t="str">
        <f>IF(OR(H1453=$B$5,H1453=$B$6,H1453=$B$7,H1453=$B$8,H1453=$B$9,H1453=$B$10,H1453=$B$11,H1453=$B$12,H1453=$B$13,H1453=$B$14),SottocategorieUscite[[#Headers],[Fuori Casa]],IF(OR(H1453=$C$5,H1453=$C$6,H1453=$C$7,H1453=$C$8,H1453=$C$9,H1453=$C$10,H1453=$C$11,H1453=$C$12,H1453=$C$13,H1453=$C$14),SottocategorieUscite[[#Headers],[Varie Uscite]],IF(OR(H1453=$D$5,H1453=$D$6,H1453=$D$7,H1453=$D$8,H1453=$D$9,H1453=$D$10,H1453=$D$11,H1453=$D$12,H1453=$D$13,H1453=$D$14),SottocategorieUscite[[#Headers],[Personali]],IF(OR(H1453=$E$5,H1453=$E$6,H1453=$E$7,H1453=$E$8,H1453=$E$9,H1453=$E$10,H1453=$E$11,H1453=$E$12,H1453=$E$13,H1453=$E$14),SottocategorieUscite[[#Headers],[Lavoro]],IF(OR(H1453=$F$5,H1453=$F$6,H1453=$F$7,H1453=$F$8,H1453=$F$9,H1453=$F$10,H1453=$F$11,H1453=$F$12,H1453=$F$13,H1453=$F$14),SottocategorieUscite[[#Headers],[Casa]],IF(OR(H1453=$G$5,H1453=$G$6,H1453=$G$7,H1453=$G$8,H1453=$G$9,H1453=$G$10,H1453=$G$11,H1453=$G$12,H1453=$G$13,H1453=$G$14),SottocategorieUscite[[#Headers],[Utenze]],IF(OR(H1453=$H$5,H1453=$H$6,H1453=$H$7,H1453=$H$8,H1453=$H$9,H1453=$H$10,H1453=$H$11,H1453=$H$12,H1453=$H$13,H1453=$H$14),SottocategorieUscite[[#Headers],[Business Uscite]],IF(OR(H1453=$I$5,H1453=$I$6,H1453=$I$7,H1453=$I$8,H1453=$I$9,H1453=$I$10,H1453=$I$11,H1453=$I$12,H1453=$I$13,H1453=$I$14),SottocategorieUscite[[#Headers],[Banca]],IF(OR(H1453=K$5,H1453=K$6,H1453=K$7,H1453=K$8,H1453=K$9,H1453=K$10,H1453=K$11,H1453=K$12,H1453=K$13,H1453=K$14),SottocategorieEntrate[[#Headers],[Business Entrate]],IF(OR(H1453=L$5,H1453=L$6,H1453=L$7,H1453=L$8,H1453=L$9,H1453=L$10,H1453=L$11,H1453=L$12,H1453=L$13,H1453=L$14),SottocategorieEntrate[[#Headers],[Varie Entrate]],IF(OR(H1453=M$5,H1453=M$6,H1453=M$7,H1453=M$8,H1453=M$9,H1453=M$10,H1453=M$11,H1453=M$12,H1453=M$13,H1453=M$14),SottocategorieEntrate[[#Headers],[Real Estate]],IF(OR(H1453=N$5,H1453=N$6,H1453=N$7,H1453=N$8,H1453=N$9,H1453=N$10,H1453=N$11,H1453=N$12,H1453=N$13,H1453=N$14),SottocategorieEntrate[[#Headers],[Other]],""))))))))))))</f>
        <v/>
      </c>
      <c r="J1453" t="str">
        <f>IF(OR(Dati[[#This Row],[Categoria]]="Bollette",Dati[[#This Row],[Categoria]]="Conto &amp; Carte BNL",Dati[[#This Row],[Categoria]]="Prelievo",Dati[[#This Row],[Categoria]]="Affitto",Dati[[#This Row],[Categoria]]="BNL(Interessi Creditori)"),"Carta",IF(Dati[[#This Row],[Categoria]]&lt;&gt;0,"Cash",""))</f>
        <v/>
      </c>
      <c r="K1453" s="59" t="str">
        <f>IF(OR(Data!$I1453=SottocategorieUscite[[#Headers],[Fuori Casa]],Data!$I1453=SottocategorieUscite[[#Headers],[Varie Uscite]],Data!$I1453=SottocategorieUscite[[#Headers],[Personali]],Data!$I1453=SottocategorieUscite[[#Headers],[Lavoro]]),"$ -","")</f>
        <v/>
      </c>
      <c r="L1453" s="59" t="str">
        <f>IF(OR(Data!$I1453=SottocategorieUscite[[#Headers],[Casa]],Data!$I1453=SottocategorieUscite[[#Headers],[Utenze]],Data!$I1453=SottocategorieUscite[[#Headers],[Business Uscite]],Data!$I1453=SottocategorieUscite[[#Headers],[Banca]]),"$ -","")</f>
        <v/>
      </c>
      <c r="M1453" s="59" t="str">
        <f>IF(OR($I1453&lt;&gt;SottocategorieUscite[[#Headers],[Fuori Casa]],$I1453&lt;&gt;SottocategorieUscite[[#Headers],[Varie Uscite]],$I1453&lt;&gt;SottocategorieUscite[[#Headers],[Personali]],$I1453&lt;&gt;SottocategorieUscite[[#Headers],[Lavoro]],$I1453&lt;&gt;SottocategorieUscite[[#Headers],[Casa]],$I1453&lt;&gt;SottocategorieUscite[[#Headers],[Utenze]],$I1453&lt;&gt;SottocategorieUscite[[#Headers],[Business Uscite]],$I1453&lt;&gt;SottocategorieUscite[[#Headers],[Banca]]),"","$ -")</f>
        <v/>
      </c>
      <c r="N1453" s="59" t="str">
        <f>IF(OR(Data!$I1453=SottocategorieEntrate[[#Headers],[Business Entrate]],Data!$I1453=SottocategorieEntrate[[#Headers],[Varie Entrate]]),"$ -","")</f>
        <v/>
      </c>
      <c r="O1453" s="59" t="str">
        <f>IF(OR(Data!$I1453=SottocategorieEntrate[[#Headers],[Real Estate]],SottocategorieEntrate[[#Headers],[Other]]),"$ -","")</f>
        <v/>
      </c>
      <c r="P1453" s="59" t="str">
        <f>IF(OR($I1453&lt;&gt;SottocategorieEntrate[[#Headers],[Business Entrate]],$I1453&lt;&gt;SottocategorieEntrate[[#Headers],[Varie Entrate]],$I1453&lt;&gt;SottocategorieEntrate[[#Headers],[Real Estate]],$I1453&lt;&gt;SottocategorieEntrate[[#Headers],[Other]]),"","$ -")</f>
        <v/>
      </c>
      <c r="Q1453" s="59" t="str">
        <f>IF(Dati[[#This Row],[Categoria]]="Prelievo","€ -","")</f>
        <v/>
      </c>
      <c r="R1453" s="244"/>
      <c r="S1453" s="59" t="str">
        <f>IF(Dati[[#This Row],[Categoria]]="Savings",0,"")</f>
        <v/>
      </c>
      <c r="T1453" s="59"/>
      <c r="U1453" s="59"/>
      <c r="V1453" s="59"/>
      <c r="W1453" s="59"/>
      <c r="X1453" s="59"/>
      <c r="Y1453" s="59"/>
      <c r="Z1453" s="59"/>
      <c r="AA1453" s="59"/>
      <c r="AB1453" s="59"/>
      <c r="AC1453" s="59"/>
      <c r="AD1453" s="59"/>
      <c r="AE1453" s="59"/>
      <c r="AF1453" s="59"/>
      <c r="AG1453" s="59"/>
      <c r="AH1453" s="59"/>
      <c r="AI1453" s="59" t="str">
        <f>IF(SUM(Dati[[#This Row],[Inv. Business]:[Inv. Cryptocurrency]])=0," ",SUM(Dati[[#This Row],[Inv. Business]:[Inv. Cryptocurrency]]))</f>
        <v xml:space="preserve"> </v>
      </c>
      <c r="AJ1453" s="59"/>
      <c r="AK1453" s="59" t="str">
        <f>IF(SUM(Dati[[#This Row],[Inv. Gold]:[Mutuo]])=0," ",SUM(Dati[[#This Row],[Inv. Gold]:[Mutuo]]))</f>
        <v xml:space="preserve"> </v>
      </c>
      <c r="AL1453" s="59"/>
      <c r="AM1453" s="59"/>
    </row>
    <row r="1454" spans="2:39" x14ac:dyDescent="0.35">
      <c r="B1454" s="237">
        <f t="shared" si="107"/>
        <v>1434</v>
      </c>
      <c r="C1454" s="49">
        <f t="shared" si="108"/>
        <v>46012</v>
      </c>
      <c r="D1454" s="29">
        <f>DAY(Dati[[#This Row],[Data]])</f>
        <v>21</v>
      </c>
      <c r="E1454" s="29" t="str">
        <f>IF(DAY(Data!$C$21:$C$1613)&gt;0,TEXT(Data!$C$21:$C$1613, "mmmm"),"")</f>
        <v>dicembre</v>
      </c>
      <c r="F1454" s="29" t="str">
        <f>IF(DAY(Data!$C$21:$C$1613)&gt;0,TEXT(Data!$C$21:$C$1613, "aaaa"),"")</f>
        <v>2025</v>
      </c>
      <c r="I1454" t="str">
        <f>IF(OR(H1454=$B$5,H1454=$B$6,H1454=$B$7,H1454=$B$8,H1454=$B$9,H1454=$B$10,H1454=$B$11,H1454=$B$12,H1454=$B$13,H1454=$B$14),SottocategorieUscite[[#Headers],[Fuori Casa]],IF(OR(H1454=$C$5,H1454=$C$6,H1454=$C$7,H1454=$C$8,H1454=$C$9,H1454=$C$10,H1454=$C$11,H1454=$C$12,H1454=$C$13,H1454=$C$14),SottocategorieUscite[[#Headers],[Varie Uscite]],IF(OR(H1454=$D$5,H1454=$D$6,H1454=$D$7,H1454=$D$8,H1454=$D$9,H1454=$D$10,H1454=$D$11,H1454=$D$12,H1454=$D$13,H1454=$D$14),SottocategorieUscite[[#Headers],[Personali]],IF(OR(H1454=$E$5,H1454=$E$6,H1454=$E$7,H1454=$E$8,H1454=$E$9,H1454=$E$10,H1454=$E$11,H1454=$E$12,H1454=$E$13,H1454=$E$14),SottocategorieUscite[[#Headers],[Lavoro]],IF(OR(H1454=$F$5,H1454=$F$6,H1454=$F$7,H1454=$F$8,H1454=$F$9,H1454=$F$10,H1454=$F$11,H1454=$F$12,H1454=$F$13,H1454=$F$14),SottocategorieUscite[[#Headers],[Casa]],IF(OR(H1454=$G$5,H1454=$G$6,H1454=$G$7,H1454=$G$8,H1454=$G$9,H1454=$G$10,H1454=$G$11,H1454=$G$12,H1454=$G$13,H1454=$G$14),SottocategorieUscite[[#Headers],[Utenze]],IF(OR(H1454=$H$5,H1454=$H$6,H1454=$H$7,H1454=$H$8,H1454=$H$9,H1454=$H$10,H1454=$H$11,H1454=$H$12,H1454=$H$13,H1454=$H$14),SottocategorieUscite[[#Headers],[Business Uscite]],IF(OR(H1454=$I$5,H1454=$I$6,H1454=$I$7,H1454=$I$8,H1454=$I$9,H1454=$I$10,H1454=$I$11,H1454=$I$12,H1454=$I$13,H1454=$I$14),SottocategorieUscite[[#Headers],[Banca]],IF(OR(H1454=K$5,H1454=K$6,H1454=K$7,H1454=K$8,H1454=K$9,H1454=K$10,H1454=K$11,H1454=K$12,H1454=K$13,H1454=K$14),SottocategorieEntrate[[#Headers],[Business Entrate]],IF(OR(H1454=L$5,H1454=L$6,H1454=L$7,H1454=L$8,H1454=L$9,H1454=L$10,H1454=L$11,H1454=L$12,H1454=L$13,H1454=L$14),SottocategorieEntrate[[#Headers],[Varie Entrate]],IF(OR(H1454=M$5,H1454=M$6,H1454=M$7,H1454=M$8,H1454=M$9,H1454=M$10,H1454=M$11,H1454=M$12,H1454=M$13,H1454=M$14),SottocategorieEntrate[[#Headers],[Real Estate]],IF(OR(H1454=N$5,H1454=N$6,H1454=N$7,H1454=N$8,H1454=N$9,H1454=N$10,H1454=N$11,H1454=N$12,H1454=N$13,H1454=N$14),SottocategorieEntrate[[#Headers],[Other]],""))))))))))))</f>
        <v/>
      </c>
      <c r="J1454" t="str">
        <f>IF(OR(Dati[[#This Row],[Categoria]]="Bollette",Dati[[#This Row],[Categoria]]="Conto &amp; Carte BNL",Dati[[#This Row],[Categoria]]="Prelievo",Dati[[#This Row],[Categoria]]="Affitto",Dati[[#This Row],[Categoria]]="BNL(Interessi Creditori)"),"Carta",IF(Dati[[#This Row],[Categoria]]&lt;&gt;0,"Cash",""))</f>
        <v/>
      </c>
      <c r="K1454" s="59" t="str">
        <f>IF(OR(Data!$I1454=SottocategorieUscite[[#Headers],[Fuori Casa]],Data!$I1454=SottocategorieUscite[[#Headers],[Varie Uscite]],Data!$I1454=SottocategorieUscite[[#Headers],[Personali]],Data!$I1454=SottocategorieUscite[[#Headers],[Lavoro]]),"$ -","")</f>
        <v/>
      </c>
      <c r="L1454" s="59" t="str">
        <f>IF(OR(Data!$I1454=SottocategorieUscite[[#Headers],[Casa]],Data!$I1454=SottocategorieUscite[[#Headers],[Utenze]],Data!$I1454=SottocategorieUscite[[#Headers],[Business Uscite]],Data!$I1454=SottocategorieUscite[[#Headers],[Banca]]),"$ -","")</f>
        <v/>
      </c>
      <c r="M1454" s="59" t="str">
        <f>IF(OR($I1454&lt;&gt;SottocategorieUscite[[#Headers],[Fuori Casa]],$I1454&lt;&gt;SottocategorieUscite[[#Headers],[Varie Uscite]],$I1454&lt;&gt;SottocategorieUscite[[#Headers],[Personali]],$I1454&lt;&gt;SottocategorieUscite[[#Headers],[Lavoro]],$I1454&lt;&gt;SottocategorieUscite[[#Headers],[Casa]],$I1454&lt;&gt;SottocategorieUscite[[#Headers],[Utenze]],$I1454&lt;&gt;SottocategorieUscite[[#Headers],[Business Uscite]],$I1454&lt;&gt;SottocategorieUscite[[#Headers],[Banca]]),"","$ -")</f>
        <v/>
      </c>
      <c r="N1454" s="59" t="str">
        <f>IF(OR(Data!$I1454=SottocategorieEntrate[[#Headers],[Business Entrate]],Data!$I1454=SottocategorieEntrate[[#Headers],[Varie Entrate]]),"$ -","")</f>
        <v/>
      </c>
      <c r="O1454" s="59" t="str">
        <f>IF(OR(Data!$I1454=SottocategorieEntrate[[#Headers],[Real Estate]],SottocategorieEntrate[[#Headers],[Other]]),"$ -","")</f>
        <v/>
      </c>
      <c r="P1454" s="59" t="str">
        <f>IF(OR($I1454&lt;&gt;SottocategorieEntrate[[#Headers],[Business Entrate]],$I1454&lt;&gt;SottocategorieEntrate[[#Headers],[Varie Entrate]],$I1454&lt;&gt;SottocategorieEntrate[[#Headers],[Real Estate]],$I1454&lt;&gt;SottocategorieEntrate[[#Headers],[Other]]),"","$ -")</f>
        <v/>
      </c>
      <c r="Q1454" s="59" t="str">
        <f>IF(Dati[[#This Row],[Categoria]]="Prelievo","€ -","")</f>
        <v/>
      </c>
      <c r="R1454" s="244"/>
      <c r="S1454" s="59" t="str">
        <f>IF(Dati[[#This Row],[Categoria]]="Savings",0,"")</f>
        <v/>
      </c>
      <c r="T1454" s="59"/>
      <c r="U1454" s="59"/>
      <c r="V1454" s="59"/>
      <c r="W1454" s="59"/>
      <c r="X1454" s="59"/>
      <c r="Y1454" s="59"/>
      <c r="Z1454" s="59"/>
      <c r="AA1454" s="59"/>
      <c r="AB1454" s="59"/>
      <c r="AC1454" s="59"/>
      <c r="AD1454" s="59"/>
      <c r="AE1454" s="59"/>
      <c r="AF1454" s="59"/>
      <c r="AG1454" s="59"/>
      <c r="AH1454" s="59"/>
      <c r="AI1454" s="59" t="str">
        <f>IF(SUM(Dati[[#This Row],[Inv. Business]:[Inv. Cryptocurrency]])=0," ",SUM(Dati[[#This Row],[Inv. Business]:[Inv. Cryptocurrency]]))</f>
        <v xml:space="preserve"> </v>
      </c>
      <c r="AJ1454" s="59"/>
      <c r="AK1454" s="59" t="str">
        <f>IF(SUM(Dati[[#This Row],[Inv. Gold]:[Mutuo]])=0," ",SUM(Dati[[#This Row],[Inv. Gold]:[Mutuo]]))</f>
        <v xml:space="preserve"> </v>
      </c>
      <c r="AL1454" s="59"/>
      <c r="AM1454" s="59"/>
    </row>
    <row r="1455" spans="2:39" x14ac:dyDescent="0.35">
      <c r="B1455" s="237">
        <f t="shared" si="107"/>
        <v>1435</v>
      </c>
      <c r="C1455" s="49">
        <f t="shared" si="108"/>
        <v>46013</v>
      </c>
      <c r="D1455" s="29">
        <f>DAY(Dati[[#This Row],[Data]])</f>
        <v>22</v>
      </c>
      <c r="E1455" s="29" t="str">
        <f>IF(DAY(Data!$C$21:$C$1613)&gt;0,TEXT(Data!$C$21:$C$1613, "mmmm"),"")</f>
        <v>dicembre</v>
      </c>
      <c r="F1455" s="29" t="str">
        <f>IF(DAY(Data!$C$21:$C$1613)&gt;0,TEXT(Data!$C$21:$C$1613, "aaaa"),"")</f>
        <v>2025</v>
      </c>
      <c r="I1455" t="str">
        <f>IF(OR(H1455=$B$5,H1455=$B$6,H1455=$B$7,H1455=$B$8,H1455=$B$9,H1455=$B$10,H1455=$B$11,H1455=$B$12,H1455=$B$13,H1455=$B$14),SottocategorieUscite[[#Headers],[Fuori Casa]],IF(OR(H1455=$C$5,H1455=$C$6,H1455=$C$7,H1455=$C$8,H1455=$C$9,H1455=$C$10,H1455=$C$11,H1455=$C$12,H1455=$C$13,H1455=$C$14),SottocategorieUscite[[#Headers],[Varie Uscite]],IF(OR(H1455=$D$5,H1455=$D$6,H1455=$D$7,H1455=$D$8,H1455=$D$9,H1455=$D$10,H1455=$D$11,H1455=$D$12,H1455=$D$13,H1455=$D$14),SottocategorieUscite[[#Headers],[Personali]],IF(OR(H1455=$E$5,H1455=$E$6,H1455=$E$7,H1455=$E$8,H1455=$E$9,H1455=$E$10,H1455=$E$11,H1455=$E$12,H1455=$E$13,H1455=$E$14),SottocategorieUscite[[#Headers],[Lavoro]],IF(OR(H1455=$F$5,H1455=$F$6,H1455=$F$7,H1455=$F$8,H1455=$F$9,H1455=$F$10,H1455=$F$11,H1455=$F$12,H1455=$F$13,H1455=$F$14),SottocategorieUscite[[#Headers],[Casa]],IF(OR(H1455=$G$5,H1455=$G$6,H1455=$G$7,H1455=$G$8,H1455=$G$9,H1455=$G$10,H1455=$G$11,H1455=$G$12,H1455=$G$13,H1455=$G$14),SottocategorieUscite[[#Headers],[Utenze]],IF(OR(H1455=$H$5,H1455=$H$6,H1455=$H$7,H1455=$H$8,H1455=$H$9,H1455=$H$10,H1455=$H$11,H1455=$H$12,H1455=$H$13,H1455=$H$14),SottocategorieUscite[[#Headers],[Business Uscite]],IF(OR(H1455=$I$5,H1455=$I$6,H1455=$I$7,H1455=$I$8,H1455=$I$9,H1455=$I$10,H1455=$I$11,H1455=$I$12,H1455=$I$13,H1455=$I$14),SottocategorieUscite[[#Headers],[Banca]],IF(OR(H1455=K$5,H1455=K$6,H1455=K$7,H1455=K$8,H1455=K$9,H1455=K$10,H1455=K$11,H1455=K$12,H1455=K$13,H1455=K$14),SottocategorieEntrate[[#Headers],[Business Entrate]],IF(OR(H1455=L$5,H1455=L$6,H1455=L$7,H1455=L$8,H1455=L$9,H1455=L$10,H1455=L$11,H1455=L$12,H1455=L$13,H1455=L$14),SottocategorieEntrate[[#Headers],[Varie Entrate]],IF(OR(H1455=M$5,H1455=M$6,H1455=M$7,H1455=M$8,H1455=M$9,H1455=M$10,H1455=M$11,H1455=M$12,H1455=M$13,H1455=M$14),SottocategorieEntrate[[#Headers],[Real Estate]],IF(OR(H1455=N$5,H1455=N$6,H1455=N$7,H1455=N$8,H1455=N$9,H1455=N$10,H1455=N$11,H1455=N$12,H1455=N$13,H1455=N$14),SottocategorieEntrate[[#Headers],[Other]],""))))))))))))</f>
        <v/>
      </c>
      <c r="J1455" t="str">
        <f>IF(OR(Dati[[#This Row],[Categoria]]="Bollette",Dati[[#This Row],[Categoria]]="Conto &amp; Carte BNL",Dati[[#This Row],[Categoria]]="Prelievo",Dati[[#This Row],[Categoria]]="Affitto",Dati[[#This Row],[Categoria]]="BNL(Interessi Creditori)"),"Carta",IF(Dati[[#This Row],[Categoria]]&lt;&gt;0,"Cash",""))</f>
        <v/>
      </c>
      <c r="K1455" s="59" t="str">
        <f>IF(OR(Data!$I1455=SottocategorieUscite[[#Headers],[Fuori Casa]],Data!$I1455=SottocategorieUscite[[#Headers],[Varie Uscite]],Data!$I1455=SottocategorieUscite[[#Headers],[Personali]],Data!$I1455=SottocategorieUscite[[#Headers],[Lavoro]]),"$ -","")</f>
        <v/>
      </c>
      <c r="L1455" s="59" t="str">
        <f>IF(OR(Data!$I1455=SottocategorieUscite[[#Headers],[Casa]],Data!$I1455=SottocategorieUscite[[#Headers],[Utenze]],Data!$I1455=SottocategorieUscite[[#Headers],[Business Uscite]],Data!$I1455=SottocategorieUscite[[#Headers],[Banca]]),"$ -","")</f>
        <v/>
      </c>
      <c r="M1455" s="59" t="str">
        <f>IF(OR($I1455&lt;&gt;SottocategorieUscite[[#Headers],[Fuori Casa]],$I1455&lt;&gt;SottocategorieUscite[[#Headers],[Varie Uscite]],$I1455&lt;&gt;SottocategorieUscite[[#Headers],[Personali]],$I1455&lt;&gt;SottocategorieUscite[[#Headers],[Lavoro]],$I1455&lt;&gt;SottocategorieUscite[[#Headers],[Casa]],$I1455&lt;&gt;SottocategorieUscite[[#Headers],[Utenze]],$I1455&lt;&gt;SottocategorieUscite[[#Headers],[Business Uscite]],$I1455&lt;&gt;SottocategorieUscite[[#Headers],[Banca]]),"","$ -")</f>
        <v/>
      </c>
      <c r="N1455" s="59" t="str">
        <f>IF(OR(Data!$I1455=SottocategorieEntrate[[#Headers],[Business Entrate]],Data!$I1455=SottocategorieEntrate[[#Headers],[Varie Entrate]]),"$ -","")</f>
        <v/>
      </c>
      <c r="O1455" s="59" t="str">
        <f>IF(OR(Data!$I1455=SottocategorieEntrate[[#Headers],[Real Estate]],SottocategorieEntrate[[#Headers],[Other]]),"$ -","")</f>
        <v/>
      </c>
      <c r="P1455" s="59" t="str">
        <f>IF(OR($I1455&lt;&gt;SottocategorieEntrate[[#Headers],[Business Entrate]],$I1455&lt;&gt;SottocategorieEntrate[[#Headers],[Varie Entrate]],$I1455&lt;&gt;SottocategorieEntrate[[#Headers],[Real Estate]],$I1455&lt;&gt;SottocategorieEntrate[[#Headers],[Other]]),"","$ -")</f>
        <v/>
      </c>
      <c r="Q1455" s="59" t="str">
        <f>IF(Dati[[#This Row],[Categoria]]="Prelievo","€ -","")</f>
        <v/>
      </c>
      <c r="R1455" s="244"/>
      <c r="S1455" s="59" t="str">
        <f>IF(Dati[[#This Row],[Categoria]]="Savings",0,"")</f>
        <v/>
      </c>
      <c r="T1455" s="59"/>
      <c r="U1455" s="59"/>
      <c r="V1455" s="59"/>
      <c r="W1455" s="59"/>
      <c r="X1455" s="59"/>
      <c r="Y1455" s="59"/>
      <c r="Z1455" s="59"/>
      <c r="AA1455" s="59"/>
      <c r="AB1455" s="59"/>
      <c r="AC1455" s="59"/>
      <c r="AD1455" s="59"/>
      <c r="AE1455" s="59"/>
      <c r="AF1455" s="59"/>
      <c r="AG1455" s="59"/>
      <c r="AH1455" s="59"/>
      <c r="AI1455" s="59" t="str">
        <f>IF(SUM(Dati[[#This Row],[Inv. Business]:[Inv. Cryptocurrency]])=0," ",SUM(Dati[[#This Row],[Inv. Business]:[Inv. Cryptocurrency]]))</f>
        <v xml:space="preserve"> </v>
      </c>
      <c r="AJ1455" s="59"/>
      <c r="AK1455" s="59" t="str">
        <f>IF(SUM(Dati[[#This Row],[Inv. Gold]:[Mutuo]])=0," ",SUM(Dati[[#This Row],[Inv. Gold]:[Mutuo]]))</f>
        <v xml:space="preserve"> </v>
      </c>
      <c r="AL1455" s="59"/>
      <c r="AM1455" s="59"/>
    </row>
    <row r="1456" spans="2:39" x14ac:dyDescent="0.35">
      <c r="B1456" s="237">
        <f t="shared" si="107"/>
        <v>1436</v>
      </c>
      <c r="C1456" s="49">
        <f t="shared" si="108"/>
        <v>46014</v>
      </c>
      <c r="D1456" s="29">
        <f>DAY(Dati[[#This Row],[Data]])</f>
        <v>23</v>
      </c>
      <c r="E1456" s="29" t="str">
        <f>IF(DAY(Data!$C$21:$C$1613)&gt;0,TEXT(Data!$C$21:$C$1613, "mmmm"),"")</f>
        <v>dicembre</v>
      </c>
      <c r="F1456" s="29" t="str">
        <f>IF(DAY(Data!$C$21:$C$1613)&gt;0,TEXT(Data!$C$21:$C$1613, "aaaa"),"")</f>
        <v>2025</v>
      </c>
      <c r="I1456" t="str">
        <f>IF(OR(H1456=$B$5,H1456=$B$6,H1456=$B$7,H1456=$B$8,H1456=$B$9,H1456=$B$10,H1456=$B$11,H1456=$B$12,H1456=$B$13,H1456=$B$14),SottocategorieUscite[[#Headers],[Fuori Casa]],IF(OR(H1456=$C$5,H1456=$C$6,H1456=$C$7,H1456=$C$8,H1456=$C$9,H1456=$C$10,H1456=$C$11,H1456=$C$12,H1456=$C$13,H1456=$C$14),SottocategorieUscite[[#Headers],[Varie Uscite]],IF(OR(H1456=$D$5,H1456=$D$6,H1456=$D$7,H1456=$D$8,H1456=$D$9,H1456=$D$10,H1456=$D$11,H1456=$D$12,H1456=$D$13,H1456=$D$14),SottocategorieUscite[[#Headers],[Personali]],IF(OR(H1456=$E$5,H1456=$E$6,H1456=$E$7,H1456=$E$8,H1456=$E$9,H1456=$E$10,H1456=$E$11,H1456=$E$12,H1456=$E$13,H1456=$E$14),SottocategorieUscite[[#Headers],[Lavoro]],IF(OR(H1456=$F$5,H1456=$F$6,H1456=$F$7,H1456=$F$8,H1456=$F$9,H1456=$F$10,H1456=$F$11,H1456=$F$12,H1456=$F$13,H1456=$F$14),SottocategorieUscite[[#Headers],[Casa]],IF(OR(H1456=$G$5,H1456=$G$6,H1456=$G$7,H1456=$G$8,H1456=$G$9,H1456=$G$10,H1456=$G$11,H1456=$G$12,H1456=$G$13,H1456=$G$14),SottocategorieUscite[[#Headers],[Utenze]],IF(OR(H1456=$H$5,H1456=$H$6,H1456=$H$7,H1456=$H$8,H1456=$H$9,H1456=$H$10,H1456=$H$11,H1456=$H$12,H1456=$H$13,H1456=$H$14),SottocategorieUscite[[#Headers],[Business Uscite]],IF(OR(H1456=$I$5,H1456=$I$6,H1456=$I$7,H1456=$I$8,H1456=$I$9,H1456=$I$10,H1456=$I$11,H1456=$I$12,H1456=$I$13,H1456=$I$14),SottocategorieUscite[[#Headers],[Banca]],IF(OR(H1456=K$5,H1456=K$6,H1456=K$7,H1456=K$8,H1456=K$9,H1456=K$10,H1456=K$11,H1456=K$12,H1456=K$13,H1456=K$14),SottocategorieEntrate[[#Headers],[Business Entrate]],IF(OR(H1456=L$5,H1456=L$6,H1456=L$7,H1456=L$8,H1456=L$9,H1456=L$10,H1456=L$11,H1456=L$12,H1456=L$13,H1456=L$14),SottocategorieEntrate[[#Headers],[Varie Entrate]],IF(OR(H1456=M$5,H1456=M$6,H1456=M$7,H1456=M$8,H1456=M$9,H1456=M$10,H1456=M$11,H1456=M$12,H1456=M$13,H1456=M$14),SottocategorieEntrate[[#Headers],[Real Estate]],IF(OR(H1456=N$5,H1456=N$6,H1456=N$7,H1456=N$8,H1456=N$9,H1456=N$10,H1456=N$11,H1456=N$12,H1456=N$13,H1456=N$14),SottocategorieEntrate[[#Headers],[Other]],""))))))))))))</f>
        <v/>
      </c>
      <c r="J1456" t="str">
        <f>IF(OR(Dati[[#This Row],[Categoria]]="Bollette",Dati[[#This Row],[Categoria]]="Conto &amp; Carte BNL",Dati[[#This Row],[Categoria]]="Prelievo",Dati[[#This Row],[Categoria]]="Affitto",Dati[[#This Row],[Categoria]]="BNL(Interessi Creditori)"),"Carta",IF(Dati[[#This Row],[Categoria]]&lt;&gt;0,"Cash",""))</f>
        <v/>
      </c>
      <c r="K1456" s="59" t="str">
        <f>IF(OR(Data!$I1456=SottocategorieUscite[[#Headers],[Fuori Casa]],Data!$I1456=SottocategorieUscite[[#Headers],[Varie Uscite]],Data!$I1456=SottocategorieUscite[[#Headers],[Personali]],Data!$I1456=SottocategorieUscite[[#Headers],[Lavoro]]),"$ -","")</f>
        <v/>
      </c>
      <c r="L1456" s="59" t="str">
        <f>IF(OR(Data!$I1456=SottocategorieUscite[[#Headers],[Casa]],Data!$I1456=SottocategorieUscite[[#Headers],[Utenze]],Data!$I1456=SottocategorieUscite[[#Headers],[Business Uscite]],Data!$I1456=SottocategorieUscite[[#Headers],[Banca]]),"$ -","")</f>
        <v/>
      </c>
      <c r="M1456" s="59" t="str">
        <f>IF(OR($I1456&lt;&gt;SottocategorieUscite[[#Headers],[Fuori Casa]],$I1456&lt;&gt;SottocategorieUscite[[#Headers],[Varie Uscite]],$I1456&lt;&gt;SottocategorieUscite[[#Headers],[Personali]],$I1456&lt;&gt;SottocategorieUscite[[#Headers],[Lavoro]],$I1456&lt;&gt;SottocategorieUscite[[#Headers],[Casa]],$I1456&lt;&gt;SottocategorieUscite[[#Headers],[Utenze]],$I1456&lt;&gt;SottocategorieUscite[[#Headers],[Business Uscite]],$I1456&lt;&gt;SottocategorieUscite[[#Headers],[Banca]]),"","$ -")</f>
        <v/>
      </c>
      <c r="N1456" s="59" t="str">
        <f>IF(OR(Data!$I1456=SottocategorieEntrate[[#Headers],[Business Entrate]],Data!$I1456=SottocategorieEntrate[[#Headers],[Varie Entrate]]),"$ -","")</f>
        <v/>
      </c>
      <c r="O1456" s="59" t="str">
        <f>IF(OR(Data!$I1456=SottocategorieEntrate[[#Headers],[Real Estate]],SottocategorieEntrate[[#Headers],[Other]]),"$ -","")</f>
        <v/>
      </c>
      <c r="P1456" s="59" t="str">
        <f>IF(OR($I1456&lt;&gt;SottocategorieEntrate[[#Headers],[Business Entrate]],$I1456&lt;&gt;SottocategorieEntrate[[#Headers],[Varie Entrate]],$I1456&lt;&gt;SottocategorieEntrate[[#Headers],[Real Estate]],$I1456&lt;&gt;SottocategorieEntrate[[#Headers],[Other]]),"","$ -")</f>
        <v/>
      </c>
      <c r="Q1456" s="59" t="str">
        <f>IF(Dati[[#This Row],[Categoria]]="Prelievo","€ -","")</f>
        <v/>
      </c>
      <c r="R1456" s="244"/>
      <c r="S1456" s="59" t="str">
        <f>IF(Dati[[#This Row],[Categoria]]="Savings",0,"")</f>
        <v/>
      </c>
      <c r="T1456" s="59"/>
      <c r="U1456" s="59"/>
      <c r="V1456" s="59"/>
      <c r="W1456" s="59"/>
      <c r="X1456" s="59"/>
      <c r="Y1456" s="59"/>
      <c r="Z1456" s="59"/>
      <c r="AA1456" s="59"/>
      <c r="AB1456" s="59"/>
      <c r="AC1456" s="59"/>
      <c r="AD1456" s="59"/>
      <c r="AE1456" s="59"/>
      <c r="AF1456" s="59"/>
      <c r="AG1456" s="59"/>
      <c r="AH1456" s="59"/>
      <c r="AI1456" s="59" t="str">
        <f>IF(SUM(Dati[[#This Row],[Inv. Business]:[Inv. Cryptocurrency]])=0," ",SUM(Dati[[#This Row],[Inv. Business]:[Inv. Cryptocurrency]]))</f>
        <v xml:space="preserve"> </v>
      </c>
      <c r="AJ1456" s="59"/>
      <c r="AK1456" s="59" t="str">
        <f>IF(SUM(Dati[[#This Row],[Inv. Gold]:[Mutuo]])=0," ",SUM(Dati[[#This Row],[Inv. Gold]:[Mutuo]]))</f>
        <v xml:space="preserve"> </v>
      </c>
      <c r="AL1456" s="59"/>
      <c r="AM1456" s="59"/>
    </row>
    <row r="1457" spans="2:39" x14ac:dyDescent="0.35">
      <c r="B1457" s="237">
        <f t="shared" si="107"/>
        <v>1437</v>
      </c>
      <c r="C1457" s="49">
        <f t="shared" si="108"/>
        <v>46015</v>
      </c>
      <c r="D1457" s="29">
        <f>DAY(Dati[[#This Row],[Data]])</f>
        <v>24</v>
      </c>
      <c r="E1457" s="29" t="str">
        <f>IF(DAY(Data!$C$21:$C$1613)&gt;0,TEXT(Data!$C$21:$C$1613, "mmmm"),"")</f>
        <v>dicembre</v>
      </c>
      <c r="F1457" s="29" t="str">
        <f>IF(DAY(Data!$C$21:$C$1613)&gt;0,TEXT(Data!$C$21:$C$1613, "aaaa"),"")</f>
        <v>2025</v>
      </c>
      <c r="I1457" t="str">
        <f>IF(OR(H1457=$B$5,H1457=$B$6,H1457=$B$7,H1457=$B$8,H1457=$B$9,H1457=$B$10,H1457=$B$11,H1457=$B$12,H1457=$B$13,H1457=$B$14),SottocategorieUscite[[#Headers],[Fuori Casa]],IF(OR(H1457=$C$5,H1457=$C$6,H1457=$C$7,H1457=$C$8,H1457=$C$9,H1457=$C$10,H1457=$C$11,H1457=$C$12,H1457=$C$13,H1457=$C$14),SottocategorieUscite[[#Headers],[Varie Uscite]],IF(OR(H1457=$D$5,H1457=$D$6,H1457=$D$7,H1457=$D$8,H1457=$D$9,H1457=$D$10,H1457=$D$11,H1457=$D$12,H1457=$D$13,H1457=$D$14),SottocategorieUscite[[#Headers],[Personali]],IF(OR(H1457=$E$5,H1457=$E$6,H1457=$E$7,H1457=$E$8,H1457=$E$9,H1457=$E$10,H1457=$E$11,H1457=$E$12,H1457=$E$13,H1457=$E$14),SottocategorieUscite[[#Headers],[Lavoro]],IF(OR(H1457=$F$5,H1457=$F$6,H1457=$F$7,H1457=$F$8,H1457=$F$9,H1457=$F$10,H1457=$F$11,H1457=$F$12,H1457=$F$13,H1457=$F$14),SottocategorieUscite[[#Headers],[Casa]],IF(OR(H1457=$G$5,H1457=$G$6,H1457=$G$7,H1457=$G$8,H1457=$G$9,H1457=$G$10,H1457=$G$11,H1457=$G$12,H1457=$G$13,H1457=$G$14),SottocategorieUscite[[#Headers],[Utenze]],IF(OR(H1457=$H$5,H1457=$H$6,H1457=$H$7,H1457=$H$8,H1457=$H$9,H1457=$H$10,H1457=$H$11,H1457=$H$12,H1457=$H$13,H1457=$H$14),SottocategorieUscite[[#Headers],[Business Uscite]],IF(OR(H1457=$I$5,H1457=$I$6,H1457=$I$7,H1457=$I$8,H1457=$I$9,H1457=$I$10,H1457=$I$11,H1457=$I$12,H1457=$I$13,H1457=$I$14),SottocategorieUscite[[#Headers],[Banca]],IF(OR(H1457=K$5,H1457=K$6,H1457=K$7,H1457=K$8,H1457=K$9,H1457=K$10,H1457=K$11,H1457=K$12,H1457=K$13,H1457=K$14),SottocategorieEntrate[[#Headers],[Business Entrate]],IF(OR(H1457=L$5,H1457=L$6,H1457=L$7,H1457=L$8,H1457=L$9,H1457=L$10,H1457=L$11,H1457=L$12,H1457=L$13,H1457=L$14),SottocategorieEntrate[[#Headers],[Varie Entrate]],IF(OR(H1457=M$5,H1457=M$6,H1457=M$7,H1457=M$8,H1457=M$9,H1457=M$10,H1457=M$11,H1457=M$12,H1457=M$13,H1457=M$14),SottocategorieEntrate[[#Headers],[Real Estate]],IF(OR(H1457=N$5,H1457=N$6,H1457=N$7,H1457=N$8,H1457=N$9,H1457=N$10,H1457=N$11,H1457=N$12,H1457=N$13,H1457=N$14),SottocategorieEntrate[[#Headers],[Other]],""))))))))))))</f>
        <v/>
      </c>
      <c r="J1457" t="str">
        <f>IF(OR(Dati[[#This Row],[Categoria]]="Bollette",Dati[[#This Row],[Categoria]]="Conto &amp; Carte BNL",Dati[[#This Row],[Categoria]]="Prelievo",Dati[[#This Row],[Categoria]]="Affitto",Dati[[#This Row],[Categoria]]="BNL(Interessi Creditori)"),"Carta",IF(Dati[[#This Row],[Categoria]]&lt;&gt;0,"Cash",""))</f>
        <v/>
      </c>
      <c r="K1457" s="59" t="str">
        <f>IF(OR(Data!$I1457=SottocategorieUscite[[#Headers],[Fuori Casa]],Data!$I1457=SottocategorieUscite[[#Headers],[Varie Uscite]],Data!$I1457=SottocategorieUscite[[#Headers],[Personali]],Data!$I1457=SottocategorieUscite[[#Headers],[Lavoro]]),"$ -","")</f>
        <v/>
      </c>
      <c r="L1457" s="59" t="str">
        <f>IF(OR(Data!$I1457=SottocategorieUscite[[#Headers],[Casa]],Data!$I1457=SottocategorieUscite[[#Headers],[Utenze]],Data!$I1457=SottocategorieUscite[[#Headers],[Business Uscite]],Data!$I1457=SottocategorieUscite[[#Headers],[Banca]]),"$ -","")</f>
        <v/>
      </c>
      <c r="M1457" s="59" t="str">
        <f>IF(OR($I1457&lt;&gt;SottocategorieUscite[[#Headers],[Fuori Casa]],$I1457&lt;&gt;SottocategorieUscite[[#Headers],[Varie Uscite]],$I1457&lt;&gt;SottocategorieUscite[[#Headers],[Personali]],$I1457&lt;&gt;SottocategorieUscite[[#Headers],[Lavoro]],$I1457&lt;&gt;SottocategorieUscite[[#Headers],[Casa]],$I1457&lt;&gt;SottocategorieUscite[[#Headers],[Utenze]],$I1457&lt;&gt;SottocategorieUscite[[#Headers],[Business Uscite]],$I1457&lt;&gt;SottocategorieUscite[[#Headers],[Banca]]),"","$ -")</f>
        <v/>
      </c>
      <c r="N1457" s="59" t="str">
        <f>IF(OR(Data!$I1457=SottocategorieEntrate[[#Headers],[Business Entrate]],Data!$I1457=SottocategorieEntrate[[#Headers],[Varie Entrate]]),"$ -","")</f>
        <v/>
      </c>
      <c r="O1457" s="59" t="str">
        <f>IF(OR(Data!$I1457=SottocategorieEntrate[[#Headers],[Real Estate]],SottocategorieEntrate[[#Headers],[Other]]),"$ -","")</f>
        <v/>
      </c>
      <c r="P1457" s="59" t="str">
        <f>IF(OR($I1457&lt;&gt;SottocategorieEntrate[[#Headers],[Business Entrate]],$I1457&lt;&gt;SottocategorieEntrate[[#Headers],[Varie Entrate]],$I1457&lt;&gt;SottocategorieEntrate[[#Headers],[Real Estate]],$I1457&lt;&gt;SottocategorieEntrate[[#Headers],[Other]]),"","$ -")</f>
        <v/>
      </c>
      <c r="Q1457" s="59" t="str">
        <f>IF(Dati[[#This Row],[Categoria]]="Prelievo","€ -","")</f>
        <v/>
      </c>
      <c r="R1457" s="244"/>
      <c r="S1457" s="59" t="str">
        <f>IF(Dati[[#This Row],[Categoria]]="Savings",0,"")</f>
        <v/>
      </c>
      <c r="T1457" s="59"/>
      <c r="U1457" s="59"/>
      <c r="V1457" s="59"/>
      <c r="W1457" s="59"/>
      <c r="X1457" s="59"/>
      <c r="Y1457" s="59"/>
      <c r="Z1457" s="59"/>
      <c r="AA1457" s="59"/>
      <c r="AB1457" s="59"/>
      <c r="AC1457" s="59"/>
      <c r="AD1457" s="59"/>
      <c r="AE1457" s="59"/>
      <c r="AF1457" s="59"/>
      <c r="AG1457" s="59"/>
      <c r="AH1457" s="59"/>
      <c r="AI1457" s="59" t="str">
        <f>IF(SUM(Dati[[#This Row],[Inv. Business]:[Inv. Cryptocurrency]])=0," ",SUM(Dati[[#This Row],[Inv. Business]:[Inv. Cryptocurrency]]))</f>
        <v xml:space="preserve"> </v>
      </c>
      <c r="AJ1457" s="59"/>
      <c r="AK1457" s="59" t="str">
        <f>IF(SUM(Dati[[#This Row],[Inv. Gold]:[Mutuo]])=0," ",SUM(Dati[[#This Row],[Inv. Gold]:[Mutuo]]))</f>
        <v xml:space="preserve"> </v>
      </c>
      <c r="AL1457" s="59"/>
      <c r="AM1457" s="59"/>
    </row>
    <row r="1458" spans="2:39" x14ac:dyDescent="0.35">
      <c r="B1458" s="237">
        <f t="shared" si="107"/>
        <v>1438</v>
      </c>
      <c r="C1458" s="49">
        <f t="shared" si="108"/>
        <v>46016</v>
      </c>
      <c r="D1458" s="29">
        <f>DAY(Dati[[#This Row],[Data]])</f>
        <v>25</v>
      </c>
      <c r="E1458" s="29" t="str">
        <f>IF(DAY(Data!$C$21:$C$1613)&gt;0,TEXT(Data!$C$21:$C$1613, "mmmm"),"")</f>
        <v>dicembre</v>
      </c>
      <c r="F1458" s="29" t="str">
        <f>IF(DAY(Data!$C$21:$C$1613)&gt;0,TEXT(Data!$C$21:$C$1613, "aaaa"),"")</f>
        <v>2025</v>
      </c>
      <c r="I1458" t="str">
        <f>IF(OR(H1458=$B$5,H1458=$B$6,H1458=$B$7,H1458=$B$8,H1458=$B$9,H1458=$B$10,H1458=$B$11,H1458=$B$12,H1458=$B$13,H1458=$B$14),SottocategorieUscite[[#Headers],[Fuori Casa]],IF(OR(H1458=$C$5,H1458=$C$6,H1458=$C$7,H1458=$C$8,H1458=$C$9,H1458=$C$10,H1458=$C$11,H1458=$C$12,H1458=$C$13,H1458=$C$14),SottocategorieUscite[[#Headers],[Varie Uscite]],IF(OR(H1458=$D$5,H1458=$D$6,H1458=$D$7,H1458=$D$8,H1458=$D$9,H1458=$D$10,H1458=$D$11,H1458=$D$12,H1458=$D$13,H1458=$D$14),SottocategorieUscite[[#Headers],[Personali]],IF(OR(H1458=$E$5,H1458=$E$6,H1458=$E$7,H1458=$E$8,H1458=$E$9,H1458=$E$10,H1458=$E$11,H1458=$E$12,H1458=$E$13,H1458=$E$14),SottocategorieUscite[[#Headers],[Lavoro]],IF(OR(H1458=$F$5,H1458=$F$6,H1458=$F$7,H1458=$F$8,H1458=$F$9,H1458=$F$10,H1458=$F$11,H1458=$F$12,H1458=$F$13,H1458=$F$14),SottocategorieUscite[[#Headers],[Casa]],IF(OR(H1458=$G$5,H1458=$G$6,H1458=$G$7,H1458=$G$8,H1458=$G$9,H1458=$G$10,H1458=$G$11,H1458=$G$12,H1458=$G$13,H1458=$G$14),SottocategorieUscite[[#Headers],[Utenze]],IF(OR(H1458=$H$5,H1458=$H$6,H1458=$H$7,H1458=$H$8,H1458=$H$9,H1458=$H$10,H1458=$H$11,H1458=$H$12,H1458=$H$13,H1458=$H$14),SottocategorieUscite[[#Headers],[Business Uscite]],IF(OR(H1458=$I$5,H1458=$I$6,H1458=$I$7,H1458=$I$8,H1458=$I$9,H1458=$I$10,H1458=$I$11,H1458=$I$12,H1458=$I$13,H1458=$I$14),SottocategorieUscite[[#Headers],[Banca]],IF(OR(H1458=K$5,H1458=K$6,H1458=K$7,H1458=K$8,H1458=K$9,H1458=K$10,H1458=K$11,H1458=K$12,H1458=K$13,H1458=K$14),SottocategorieEntrate[[#Headers],[Business Entrate]],IF(OR(H1458=L$5,H1458=L$6,H1458=L$7,H1458=L$8,H1458=L$9,H1458=L$10,H1458=L$11,H1458=L$12,H1458=L$13,H1458=L$14),SottocategorieEntrate[[#Headers],[Varie Entrate]],IF(OR(H1458=M$5,H1458=M$6,H1458=M$7,H1458=M$8,H1458=M$9,H1458=M$10,H1458=M$11,H1458=M$12,H1458=M$13,H1458=M$14),SottocategorieEntrate[[#Headers],[Real Estate]],IF(OR(H1458=N$5,H1458=N$6,H1458=N$7,H1458=N$8,H1458=N$9,H1458=N$10,H1458=N$11,H1458=N$12,H1458=N$13,H1458=N$14),SottocategorieEntrate[[#Headers],[Other]],""))))))))))))</f>
        <v/>
      </c>
      <c r="J1458" t="str">
        <f>IF(OR(Dati[[#This Row],[Categoria]]="Bollette",Dati[[#This Row],[Categoria]]="Conto &amp; Carte BNL",Dati[[#This Row],[Categoria]]="Prelievo",Dati[[#This Row],[Categoria]]="Affitto",Dati[[#This Row],[Categoria]]="BNL(Interessi Creditori)"),"Carta",IF(Dati[[#This Row],[Categoria]]&lt;&gt;0,"Cash",""))</f>
        <v/>
      </c>
      <c r="K1458" s="59" t="str">
        <f>IF(OR(Data!$I1458=SottocategorieUscite[[#Headers],[Fuori Casa]],Data!$I1458=SottocategorieUscite[[#Headers],[Varie Uscite]],Data!$I1458=SottocategorieUscite[[#Headers],[Personali]],Data!$I1458=SottocategorieUscite[[#Headers],[Lavoro]]),"$ -","")</f>
        <v/>
      </c>
      <c r="L1458" s="59" t="str">
        <f>IF(OR(Data!$I1458=SottocategorieUscite[[#Headers],[Casa]],Data!$I1458=SottocategorieUscite[[#Headers],[Utenze]],Data!$I1458=SottocategorieUscite[[#Headers],[Business Uscite]],Data!$I1458=SottocategorieUscite[[#Headers],[Banca]]),"$ -","")</f>
        <v/>
      </c>
      <c r="M1458" s="59" t="str">
        <f>IF(OR($I1458&lt;&gt;SottocategorieUscite[[#Headers],[Fuori Casa]],$I1458&lt;&gt;SottocategorieUscite[[#Headers],[Varie Uscite]],$I1458&lt;&gt;SottocategorieUscite[[#Headers],[Personali]],$I1458&lt;&gt;SottocategorieUscite[[#Headers],[Lavoro]],$I1458&lt;&gt;SottocategorieUscite[[#Headers],[Casa]],$I1458&lt;&gt;SottocategorieUscite[[#Headers],[Utenze]],$I1458&lt;&gt;SottocategorieUscite[[#Headers],[Business Uscite]],$I1458&lt;&gt;SottocategorieUscite[[#Headers],[Banca]]),"","$ -")</f>
        <v/>
      </c>
      <c r="N1458" s="59" t="str">
        <f>IF(OR(Data!$I1458=SottocategorieEntrate[[#Headers],[Business Entrate]],Data!$I1458=SottocategorieEntrate[[#Headers],[Varie Entrate]]),"$ -","")</f>
        <v/>
      </c>
      <c r="O1458" s="59" t="str">
        <f>IF(OR(Data!$I1458=SottocategorieEntrate[[#Headers],[Real Estate]],SottocategorieEntrate[[#Headers],[Other]]),"$ -","")</f>
        <v/>
      </c>
      <c r="P1458" s="59" t="str">
        <f>IF(OR($I1458&lt;&gt;SottocategorieEntrate[[#Headers],[Business Entrate]],$I1458&lt;&gt;SottocategorieEntrate[[#Headers],[Varie Entrate]],$I1458&lt;&gt;SottocategorieEntrate[[#Headers],[Real Estate]],$I1458&lt;&gt;SottocategorieEntrate[[#Headers],[Other]]),"","$ -")</f>
        <v/>
      </c>
      <c r="Q1458" s="59" t="str">
        <f>IF(Dati[[#This Row],[Categoria]]="Prelievo","€ -","")</f>
        <v/>
      </c>
      <c r="R1458" s="244"/>
      <c r="S1458" s="59" t="str">
        <f>IF(Dati[[#This Row],[Categoria]]="Savings",0,"")</f>
        <v/>
      </c>
      <c r="T1458" s="59"/>
      <c r="U1458" s="59"/>
      <c r="V1458" s="59"/>
      <c r="W1458" s="59"/>
      <c r="X1458" s="59"/>
      <c r="Y1458" s="59"/>
      <c r="Z1458" s="59"/>
      <c r="AA1458" s="59"/>
      <c r="AB1458" s="59"/>
      <c r="AC1458" s="59"/>
      <c r="AD1458" s="59"/>
      <c r="AE1458" s="59"/>
      <c r="AF1458" s="59"/>
      <c r="AG1458" s="59"/>
      <c r="AH1458" s="59"/>
      <c r="AI1458" s="59" t="str">
        <f>IF(SUM(Dati[[#This Row],[Inv. Business]:[Inv. Cryptocurrency]])=0," ",SUM(Dati[[#This Row],[Inv. Business]:[Inv. Cryptocurrency]]))</f>
        <v xml:space="preserve"> </v>
      </c>
      <c r="AJ1458" s="59"/>
      <c r="AK1458" s="59" t="str">
        <f>IF(SUM(Dati[[#This Row],[Inv. Gold]:[Mutuo]])=0," ",SUM(Dati[[#This Row],[Inv. Gold]:[Mutuo]]))</f>
        <v xml:space="preserve"> </v>
      </c>
      <c r="AL1458" s="59"/>
      <c r="AM1458" s="59"/>
    </row>
    <row r="1459" spans="2:39" x14ac:dyDescent="0.35">
      <c r="B1459" s="237">
        <f t="shared" si="107"/>
        <v>1439</v>
      </c>
      <c r="C1459" s="49">
        <f t="shared" si="108"/>
        <v>46017</v>
      </c>
      <c r="D1459" s="29">
        <f>DAY(Dati[[#This Row],[Data]])</f>
        <v>26</v>
      </c>
      <c r="E1459" s="29" t="str">
        <f>IF(DAY(Data!$C$21:$C$1613)&gt;0,TEXT(Data!$C$21:$C$1613, "mmmm"),"")</f>
        <v>dicembre</v>
      </c>
      <c r="F1459" s="29" t="str">
        <f>IF(DAY(Data!$C$21:$C$1613)&gt;0,TEXT(Data!$C$21:$C$1613, "aaaa"),"")</f>
        <v>2025</v>
      </c>
      <c r="I1459" t="str">
        <f>IF(OR(H1459=$B$5,H1459=$B$6,H1459=$B$7,H1459=$B$8,H1459=$B$9,H1459=$B$10,H1459=$B$11,H1459=$B$12,H1459=$B$13,H1459=$B$14),SottocategorieUscite[[#Headers],[Fuori Casa]],IF(OR(H1459=$C$5,H1459=$C$6,H1459=$C$7,H1459=$C$8,H1459=$C$9,H1459=$C$10,H1459=$C$11,H1459=$C$12,H1459=$C$13,H1459=$C$14),SottocategorieUscite[[#Headers],[Varie Uscite]],IF(OR(H1459=$D$5,H1459=$D$6,H1459=$D$7,H1459=$D$8,H1459=$D$9,H1459=$D$10,H1459=$D$11,H1459=$D$12,H1459=$D$13,H1459=$D$14),SottocategorieUscite[[#Headers],[Personali]],IF(OR(H1459=$E$5,H1459=$E$6,H1459=$E$7,H1459=$E$8,H1459=$E$9,H1459=$E$10,H1459=$E$11,H1459=$E$12,H1459=$E$13,H1459=$E$14),SottocategorieUscite[[#Headers],[Lavoro]],IF(OR(H1459=$F$5,H1459=$F$6,H1459=$F$7,H1459=$F$8,H1459=$F$9,H1459=$F$10,H1459=$F$11,H1459=$F$12,H1459=$F$13,H1459=$F$14),SottocategorieUscite[[#Headers],[Casa]],IF(OR(H1459=$G$5,H1459=$G$6,H1459=$G$7,H1459=$G$8,H1459=$G$9,H1459=$G$10,H1459=$G$11,H1459=$G$12,H1459=$G$13,H1459=$G$14),SottocategorieUscite[[#Headers],[Utenze]],IF(OR(H1459=$H$5,H1459=$H$6,H1459=$H$7,H1459=$H$8,H1459=$H$9,H1459=$H$10,H1459=$H$11,H1459=$H$12,H1459=$H$13,H1459=$H$14),SottocategorieUscite[[#Headers],[Business Uscite]],IF(OR(H1459=$I$5,H1459=$I$6,H1459=$I$7,H1459=$I$8,H1459=$I$9,H1459=$I$10,H1459=$I$11,H1459=$I$12,H1459=$I$13,H1459=$I$14),SottocategorieUscite[[#Headers],[Banca]],IF(OR(H1459=K$5,H1459=K$6,H1459=K$7,H1459=K$8,H1459=K$9,H1459=K$10,H1459=K$11,H1459=K$12,H1459=K$13,H1459=K$14),SottocategorieEntrate[[#Headers],[Business Entrate]],IF(OR(H1459=L$5,H1459=L$6,H1459=L$7,H1459=L$8,H1459=L$9,H1459=L$10,H1459=L$11,H1459=L$12,H1459=L$13,H1459=L$14),SottocategorieEntrate[[#Headers],[Varie Entrate]],IF(OR(H1459=M$5,H1459=M$6,H1459=M$7,H1459=M$8,H1459=M$9,H1459=M$10,H1459=M$11,H1459=M$12,H1459=M$13,H1459=M$14),SottocategorieEntrate[[#Headers],[Real Estate]],IF(OR(H1459=N$5,H1459=N$6,H1459=N$7,H1459=N$8,H1459=N$9,H1459=N$10,H1459=N$11,H1459=N$12,H1459=N$13,H1459=N$14),SottocategorieEntrate[[#Headers],[Other]],""))))))))))))</f>
        <v/>
      </c>
      <c r="J1459" t="str">
        <f>IF(OR(Dati[[#This Row],[Categoria]]="Bollette",Dati[[#This Row],[Categoria]]="Conto &amp; Carte BNL",Dati[[#This Row],[Categoria]]="Prelievo",Dati[[#This Row],[Categoria]]="Affitto",Dati[[#This Row],[Categoria]]="BNL(Interessi Creditori)"),"Carta",IF(Dati[[#This Row],[Categoria]]&lt;&gt;0,"Cash",""))</f>
        <v/>
      </c>
      <c r="K1459" s="59" t="str">
        <f>IF(OR(Data!$I1459=SottocategorieUscite[[#Headers],[Fuori Casa]],Data!$I1459=SottocategorieUscite[[#Headers],[Varie Uscite]],Data!$I1459=SottocategorieUscite[[#Headers],[Personali]],Data!$I1459=SottocategorieUscite[[#Headers],[Lavoro]]),"$ -","")</f>
        <v/>
      </c>
      <c r="L1459" s="59" t="str">
        <f>IF(OR(Data!$I1459=SottocategorieUscite[[#Headers],[Casa]],Data!$I1459=SottocategorieUscite[[#Headers],[Utenze]],Data!$I1459=SottocategorieUscite[[#Headers],[Business Uscite]],Data!$I1459=SottocategorieUscite[[#Headers],[Banca]]),"$ -","")</f>
        <v/>
      </c>
      <c r="M1459" s="59" t="str">
        <f>IF(OR($I1459&lt;&gt;SottocategorieUscite[[#Headers],[Fuori Casa]],$I1459&lt;&gt;SottocategorieUscite[[#Headers],[Varie Uscite]],$I1459&lt;&gt;SottocategorieUscite[[#Headers],[Personali]],$I1459&lt;&gt;SottocategorieUscite[[#Headers],[Lavoro]],$I1459&lt;&gt;SottocategorieUscite[[#Headers],[Casa]],$I1459&lt;&gt;SottocategorieUscite[[#Headers],[Utenze]],$I1459&lt;&gt;SottocategorieUscite[[#Headers],[Business Uscite]],$I1459&lt;&gt;SottocategorieUscite[[#Headers],[Banca]]),"","$ -")</f>
        <v/>
      </c>
      <c r="N1459" s="59" t="str">
        <f>IF(OR(Data!$I1459=SottocategorieEntrate[[#Headers],[Business Entrate]],Data!$I1459=SottocategorieEntrate[[#Headers],[Varie Entrate]]),"$ -","")</f>
        <v/>
      </c>
      <c r="O1459" s="59" t="str">
        <f>IF(OR(Data!$I1459=SottocategorieEntrate[[#Headers],[Real Estate]],SottocategorieEntrate[[#Headers],[Other]]),"$ -","")</f>
        <v/>
      </c>
      <c r="P1459" s="59" t="str">
        <f>IF(OR($I1459&lt;&gt;SottocategorieEntrate[[#Headers],[Business Entrate]],$I1459&lt;&gt;SottocategorieEntrate[[#Headers],[Varie Entrate]],$I1459&lt;&gt;SottocategorieEntrate[[#Headers],[Real Estate]],$I1459&lt;&gt;SottocategorieEntrate[[#Headers],[Other]]),"","$ -")</f>
        <v/>
      </c>
      <c r="Q1459" s="59" t="str">
        <f>IF(Dati[[#This Row],[Categoria]]="Prelievo","€ -","")</f>
        <v/>
      </c>
      <c r="R1459" s="244"/>
      <c r="S1459" s="59" t="str">
        <f>IF(Dati[[#This Row],[Categoria]]="Savings",0,"")</f>
        <v/>
      </c>
      <c r="T1459" s="59"/>
      <c r="U1459" s="59"/>
      <c r="V1459" s="59"/>
      <c r="W1459" s="59"/>
      <c r="X1459" s="59"/>
      <c r="Y1459" s="59"/>
      <c r="Z1459" s="59"/>
      <c r="AA1459" s="59"/>
      <c r="AB1459" s="59"/>
      <c r="AC1459" s="59"/>
      <c r="AD1459" s="59"/>
      <c r="AE1459" s="59"/>
      <c r="AF1459" s="59"/>
      <c r="AG1459" s="59"/>
      <c r="AH1459" s="59"/>
      <c r="AI1459" s="59" t="str">
        <f>IF(SUM(Dati[[#This Row],[Inv. Business]:[Inv. Cryptocurrency]])=0," ",SUM(Dati[[#This Row],[Inv. Business]:[Inv. Cryptocurrency]]))</f>
        <v xml:space="preserve"> </v>
      </c>
      <c r="AJ1459" s="59"/>
      <c r="AK1459" s="59" t="str">
        <f>IF(SUM(Dati[[#This Row],[Inv. Gold]:[Mutuo]])=0," ",SUM(Dati[[#This Row],[Inv. Gold]:[Mutuo]]))</f>
        <v xml:space="preserve"> </v>
      </c>
      <c r="AL1459" s="59"/>
      <c r="AM1459" s="59"/>
    </row>
    <row r="1460" spans="2:39" x14ac:dyDescent="0.35">
      <c r="B1460" s="237">
        <f t="shared" si="107"/>
        <v>1440</v>
      </c>
      <c r="C1460" s="49">
        <f t="shared" si="108"/>
        <v>46018</v>
      </c>
      <c r="D1460" s="29">
        <f>DAY(Dati[[#This Row],[Data]])</f>
        <v>27</v>
      </c>
      <c r="E1460" s="29" t="str">
        <f>IF(DAY(Data!$C$21:$C$1613)&gt;0,TEXT(Data!$C$21:$C$1613, "mmmm"),"")</f>
        <v>dicembre</v>
      </c>
      <c r="F1460" s="29" t="str">
        <f>IF(DAY(Data!$C$21:$C$1613)&gt;0,TEXT(Data!$C$21:$C$1613, "aaaa"),"")</f>
        <v>2025</v>
      </c>
      <c r="I1460" t="str">
        <f>IF(OR(H1460=$B$5,H1460=$B$6,H1460=$B$7,H1460=$B$8,H1460=$B$9,H1460=$B$10,H1460=$B$11,H1460=$B$12,H1460=$B$13,H1460=$B$14),SottocategorieUscite[[#Headers],[Fuori Casa]],IF(OR(H1460=$C$5,H1460=$C$6,H1460=$C$7,H1460=$C$8,H1460=$C$9,H1460=$C$10,H1460=$C$11,H1460=$C$12,H1460=$C$13,H1460=$C$14),SottocategorieUscite[[#Headers],[Varie Uscite]],IF(OR(H1460=$D$5,H1460=$D$6,H1460=$D$7,H1460=$D$8,H1460=$D$9,H1460=$D$10,H1460=$D$11,H1460=$D$12,H1460=$D$13,H1460=$D$14),SottocategorieUscite[[#Headers],[Personali]],IF(OR(H1460=$E$5,H1460=$E$6,H1460=$E$7,H1460=$E$8,H1460=$E$9,H1460=$E$10,H1460=$E$11,H1460=$E$12,H1460=$E$13,H1460=$E$14),SottocategorieUscite[[#Headers],[Lavoro]],IF(OR(H1460=$F$5,H1460=$F$6,H1460=$F$7,H1460=$F$8,H1460=$F$9,H1460=$F$10,H1460=$F$11,H1460=$F$12,H1460=$F$13,H1460=$F$14),SottocategorieUscite[[#Headers],[Casa]],IF(OR(H1460=$G$5,H1460=$G$6,H1460=$G$7,H1460=$G$8,H1460=$G$9,H1460=$G$10,H1460=$G$11,H1460=$G$12,H1460=$G$13,H1460=$G$14),SottocategorieUscite[[#Headers],[Utenze]],IF(OR(H1460=$H$5,H1460=$H$6,H1460=$H$7,H1460=$H$8,H1460=$H$9,H1460=$H$10,H1460=$H$11,H1460=$H$12,H1460=$H$13,H1460=$H$14),SottocategorieUscite[[#Headers],[Business Uscite]],IF(OR(H1460=$I$5,H1460=$I$6,H1460=$I$7,H1460=$I$8,H1460=$I$9,H1460=$I$10,H1460=$I$11,H1460=$I$12,H1460=$I$13,H1460=$I$14),SottocategorieUscite[[#Headers],[Banca]],IF(OR(H1460=K$5,H1460=K$6,H1460=K$7,H1460=K$8,H1460=K$9,H1460=K$10,H1460=K$11,H1460=K$12,H1460=K$13,H1460=K$14),SottocategorieEntrate[[#Headers],[Business Entrate]],IF(OR(H1460=L$5,H1460=L$6,H1460=L$7,H1460=L$8,H1460=L$9,H1460=L$10,H1460=L$11,H1460=L$12,H1460=L$13,H1460=L$14),SottocategorieEntrate[[#Headers],[Varie Entrate]],IF(OR(H1460=M$5,H1460=M$6,H1460=M$7,H1460=M$8,H1460=M$9,H1460=M$10,H1460=M$11,H1460=M$12,H1460=M$13,H1460=M$14),SottocategorieEntrate[[#Headers],[Real Estate]],IF(OR(H1460=N$5,H1460=N$6,H1460=N$7,H1460=N$8,H1460=N$9,H1460=N$10,H1460=N$11,H1460=N$12,H1460=N$13,H1460=N$14),SottocategorieEntrate[[#Headers],[Other]],""))))))))))))</f>
        <v/>
      </c>
      <c r="J1460" t="str">
        <f>IF(OR(Dati[[#This Row],[Categoria]]="Bollette",Dati[[#This Row],[Categoria]]="Conto &amp; Carte BNL",Dati[[#This Row],[Categoria]]="Prelievo",Dati[[#This Row],[Categoria]]="Affitto",Dati[[#This Row],[Categoria]]="BNL(Interessi Creditori)"),"Carta",IF(Dati[[#This Row],[Categoria]]&lt;&gt;0,"Cash",""))</f>
        <v/>
      </c>
      <c r="K1460" s="59" t="str">
        <f>IF(OR(Data!$I1460=SottocategorieUscite[[#Headers],[Fuori Casa]],Data!$I1460=SottocategorieUscite[[#Headers],[Varie Uscite]],Data!$I1460=SottocategorieUscite[[#Headers],[Personali]],Data!$I1460=SottocategorieUscite[[#Headers],[Lavoro]]),"$ -","")</f>
        <v/>
      </c>
      <c r="L1460" s="59" t="str">
        <f>IF(OR(Data!$I1460=SottocategorieUscite[[#Headers],[Casa]],Data!$I1460=SottocategorieUscite[[#Headers],[Utenze]],Data!$I1460=SottocategorieUscite[[#Headers],[Business Uscite]],Data!$I1460=SottocategorieUscite[[#Headers],[Banca]]),"$ -","")</f>
        <v/>
      </c>
      <c r="M1460" s="59" t="str">
        <f>IF(OR($I1460&lt;&gt;SottocategorieUscite[[#Headers],[Fuori Casa]],$I1460&lt;&gt;SottocategorieUscite[[#Headers],[Varie Uscite]],$I1460&lt;&gt;SottocategorieUscite[[#Headers],[Personali]],$I1460&lt;&gt;SottocategorieUscite[[#Headers],[Lavoro]],$I1460&lt;&gt;SottocategorieUscite[[#Headers],[Casa]],$I1460&lt;&gt;SottocategorieUscite[[#Headers],[Utenze]],$I1460&lt;&gt;SottocategorieUscite[[#Headers],[Business Uscite]],$I1460&lt;&gt;SottocategorieUscite[[#Headers],[Banca]]),"","$ -")</f>
        <v/>
      </c>
      <c r="N1460" s="59" t="str">
        <f>IF(OR(Data!$I1460=SottocategorieEntrate[[#Headers],[Business Entrate]],Data!$I1460=SottocategorieEntrate[[#Headers],[Varie Entrate]]),"$ -","")</f>
        <v/>
      </c>
      <c r="O1460" s="59" t="str">
        <f>IF(OR(Data!$I1460=SottocategorieEntrate[[#Headers],[Real Estate]],SottocategorieEntrate[[#Headers],[Other]]),"$ -","")</f>
        <v/>
      </c>
      <c r="P1460" s="59" t="str">
        <f>IF(OR($I1460&lt;&gt;SottocategorieEntrate[[#Headers],[Business Entrate]],$I1460&lt;&gt;SottocategorieEntrate[[#Headers],[Varie Entrate]],$I1460&lt;&gt;SottocategorieEntrate[[#Headers],[Real Estate]],$I1460&lt;&gt;SottocategorieEntrate[[#Headers],[Other]]),"","$ -")</f>
        <v/>
      </c>
      <c r="Q1460" s="59" t="str">
        <f>IF(Dati[[#This Row],[Categoria]]="Prelievo","€ -","")</f>
        <v/>
      </c>
      <c r="R1460" s="244"/>
      <c r="S1460" s="59" t="str">
        <f>IF(Dati[[#This Row],[Categoria]]="Savings",0,"")</f>
        <v/>
      </c>
      <c r="T1460" s="59"/>
      <c r="U1460" s="59"/>
      <c r="V1460" s="59"/>
      <c r="W1460" s="59"/>
      <c r="X1460" s="59"/>
      <c r="Y1460" s="59"/>
      <c r="Z1460" s="59"/>
      <c r="AA1460" s="59"/>
      <c r="AB1460" s="59"/>
      <c r="AC1460" s="59"/>
      <c r="AD1460" s="59"/>
      <c r="AE1460" s="59"/>
      <c r="AF1460" s="59"/>
      <c r="AG1460" s="59"/>
      <c r="AH1460" s="59"/>
      <c r="AI1460" s="59" t="str">
        <f>IF(SUM(Dati[[#This Row],[Inv. Business]:[Inv. Cryptocurrency]])=0," ",SUM(Dati[[#This Row],[Inv. Business]:[Inv. Cryptocurrency]]))</f>
        <v xml:space="preserve"> </v>
      </c>
      <c r="AJ1460" s="59"/>
      <c r="AK1460" s="59" t="str">
        <f>IF(SUM(Dati[[#This Row],[Inv. Gold]:[Mutuo]])=0," ",SUM(Dati[[#This Row],[Inv. Gold]:[Mutuo]]))</f>
        <v xml:space="preserve"> </v>
      </c>
      <c r="AL1460" s="59"/>
      <c r="AM1460" s="59"/>
    </row>
    <row r="1461" spans="2:39" x14ac:dyDescent="0.35">
      <c r="B1461" s="237">
        <f t="shared" ref="B1461:B1524" si="109">ROW(1441:1441)</f>
        <v>1441</v>
      </c>
      <c r="C1461" s="49">
        <f t="shared" si="108"/>
        <v>46019</v>
      </c>
      <c r="D1461" s="29">
        <f>DAY(Dati[[#This Row],[Data]])</f>
        <v>28</v>
      </c>
      <c r="E1461" s="29" t="str">
        <f>IF(DAY(Data!$C$21:$C$1613)&gt;0,TEXT(Data!$C$21:$C$1613, "mmmm"),"")</f>
        <v>dicembre</v>
      </c>
      <c r="F1461" s="29" t="str">
        <f>IF(DAY(Data!$C$21:$C$1613)&gt;0,TEXT(Data!$C$21:$C$1613, "aaaa"),"")</f>
        <v>2025</v>
      </c>
      <c r="I1461" t="str">
        <f>IF(OR(H1461=$B$5,H1461=$B$6,H1461=$B$7,H1461=$B$8,H1461=$B$9,H1461=$B$10,H1461=$B$11,H1461=$B$12,H1461=$B$13,H1461=$B$14),SottocategorieUscite[[#Headers],[Fuori Casa]],IF(OR(H1461=$C$5,H1461=$C$6,H1461=$C$7,H1461=$C$8,H1461=$C$9,H1461=$C$10,H1461=$C$11,H1461=$C$12,H1461=$C$13,H1461=$C$14),SottocategorieUscite[[#Headers],[Varie Uscite]],IF(OR(H1461=$D$5,H1461=$D$6,H1461=$D$7,H1461=$D$8,H1461=$D$9,H1461=$D$10,H1461=$D$11,H1461=$D$12,H1461=$D$13,H1461=$D$14),SottocategorieUscite[[#Headers],[Personali]],IF(OR(H1461=$E$5,H1461=$E$6,H1461=$E$7,H1461=$E$8,H1461=$E$9,H1461=$E$10,H1461=$E$11,H1461=$E$12,H1461=$E$13,H1461=$E$14),SottocategorieUscite[[#Headers],[Lavoro]],IF(OR(H1461=$F$5,H1461=$F$6,H1461=$F$7,H1461=$F$8,H1461=$F$9,H1461=$F$10,H1461=$F$11,H1461=$F$12,H1461=$F$13,H1461=$F$14),SottocategorieUscite[[#Headers],[Casa]],IF(OR(H1461=$G$5,H1461=$G$6,H1461=$G$7,H1461=$G$8,H1461=$G$9,H1461=$G$10,H1461=$G$11,H1461=$G$12,H1461=$G$13,H1461=$G$14),SottocategorieUscite[[#Headers],[Utenze]],IF(OR(H1461=$H$5,H1461=$H$6,H1461=$H$7,H1461=$H$8,H1461=$H$9,H1461=$H$10,H1461=$H$11,H1461=$H$12,H1461=$H$13,H1461=$H$14),SottocategorieUscite[[#Headers],[Business Uscite]],IF(OR(H1461=$I$5,H1461=$I$6,H1461=$I$7,H1461=$I$8,H1461=$I$9,H1461=$I$10,H1461=$I$11,H1461=$I$12,H1461=$I$13,H1461=$I$14),SottocategorieUscite[[#Headers],[Banca]],IF(OR(H1461=K$5,H1461=K$6,H1461=K$7,H1461=K$8,H1461=K$9,H1461=K$10,H1461=K$11,H1461=K$12,H1461=K$13,H1461=K$14),SottocategorieEntrate[[#Headers],[Business Entrate]],IF(OR(H1461=L$5,H1461=L$6,H1461=L$7,H1461=L$8,H1461=L$9,H1461=L$10,H1461=L$11,H1461=L$12,H1461=L$13,H1461=L$14),SottocategorieEntrate[[#Headers],[Varie Entrate]],IF(OR(H1461=M$5,H1461=M$6,H1461=M$7,H1461=M$8,H1461=M$9,H1461=M$10,H1461=M$11,H1461=M$12,H1461=M$13,H1461=M$14),SottocategorieEntrate[[#Headers],[Real Estate]],IF(OR(H1461=N$5,H1461=N$6,H1461=N$7,H1461=N$8,H1461=N$9,H1461=N$10,H1461=N$11,H1461=N$12,H1461=N$13,H1461=N$14),SottocategorieEntrate[[#Headers],[Other]],""))))))))))))</f>
        <v/>
      </c>
      <c r="J1461" t="str">
        <f>IF(OR(Dati[[#This Row],[Categoria]]="Bollette",Dati[[#This Row],[Categoria]]="Conto &amp; Carte BNL",Dati[[#This Row],[Categoria]]="Prelievo",Dati[[#This Row],[Categoria]]="Affitto",Dati[[#This Row],[Categoria]]="BNL(Interessi Creditori)"),"Carta",IF(Dati[[#This Row],[Categoria]]&lt;&gt;0,"Cash",""))</f>
        <v/>
      </c>
      <c r="K1461" s="59" t="str">
        <f>IF(OR(Data!$I1461=SottocategorieUscite[[#Headers],[Fuori Casa]],Data!$I1461=SottocategorieUscite[[#Headers],[Varie Uscite]],Data!$I1461=SottocategorieUscite[[#Headers],[Personali]],Data!$I1461=SottocategorieUscite[[#Headers],[Lavoro]]),"$ -","")</f>
        <v/>
      </c>
      <c r="L1461" s="59" t="str">
        <f>IF(OR(Data!$I1461=SottocategorieUscite[[#Headers],[Casa]],Data!$I1461=SottocategorieUscite[[#Headers],[Utenze]],Data!$I1461=SottocategorieUscite[[#Headers],[Business Uscite]],Data!$I1461=SottocategorieUscite[[#Headers],[Banca]]),"$ -","")</f>
        <v/>
      </c>
      <c r="M1461" s="59" t="str">
        <f>IF(OR($I1461&lt;&gt;SottocategorieUscite[[#Headers],[Fuori Casa]],$I1461&lt;&gt;SottocategorieUscite[[#Headers],[Varie Uscite]],$I1461&lt;&gt;SottocategorieUscite[[#Headers],[Personali]],$I1461&lt;&gt;SottocategorieUscite[[#Headers],[Lavoro]],$I1461&lt;&gt;SottocategorieUscite[[#Headers],[Casa]],$I1461&lt;&gt;SottocategorieUscite[[#Headers],[Utenze]],$I1461&lt;&gt;SottocategorieUscite[[#Headers],[Business Uscite]],$I1461&lt;&gt;SottocategorieUscite[[#Headers],[Banca]]),"","$ -")</f>
        <v/>
      </c>
      <c r="N1461" s="59" t="str">
        <f>IF(OR(Data!$I1461=SottocategorieEntrate[[#Headers],[Business Entrate]],Data!$I1461=SottocategorieEntrate[[#Headers],[Varie Entrate]]),"$ -","")</f>
        <v/>
      </c>
      <c r="O1461" s="59" t="str">
        <f>IF(OR(Data!$I1461=SottocategorieEntrate[[#Headers],[Real Estate]],SottocategorieEntrate[[#Headers],[Other]]),"$ -","")</f>
        <v/>
      </c>
      <c r="P1461" s="59" t="str">
        <f>IF(OR($I1461&lt;&gt;SottocategorieEntrate[[#Headers],[Business Entrate]],$I1461&lt;&gt;SottocategorieEntrate[[#Headers],[Varie Entrate]],$I1461&lt;&gt;SottocategorieEntrate[[#Headers],[Real Estate]],$I1461&lt;&gt;SottocategorieEntrate[[#Headers],[Other]]),"","$ -")</f>
        <v/>
      </c>
      <c r="Q1461" s="59" t="str">
        <f>IF(Dati[[#This Row],[Categoria]]="Prelievo","€ -","")</f>
        <v/>
      </c>
      <c r="R1461" s="244"/>
      <c r="S1461" s="59" t="str">
        <f>IF(Dati[[#This Row],[Categoria]]="Savings",0,"")</f>
        <v/>
      </c>
      <c r="T1461" s="59"/>
      <c r="U1461" s="59"/>
      <c r="V1461" s="59"/>
      <c r="W1461" s="59"/>
      <c r="X1461" s="59"/>
      <c r="Y1461" s="59"/>
      <c r="Z1461" s="59"/>
      <c r="AA1461" s="59"/>
      <c r="AB1461" s="59"/>
      <c r="AC1461" s="59"/>
      <c r="AD1461" s="59"/>
      <c r="AE1461" s="59"/>
      <c r="AF1461" s="59"/>
      <c r="AG1461" s="59"/>
      <c r="AH1461" s="59"/>
      <c r="AI1461" s="59" t="str">
        <f>IF(SUM(Dati[[#This Row],[Inv. Business]:[Inv. Cryptocurrency]])=0," ",SUM(Dati[[#This Row],[Inv. Business]:[Inv. Cryptocurrency]]))</f>
        <v xml:space="preserve"> </v>
      </c>
      <c r="AJ1461" s="59"/>
      <c r="AK1461" s="59" t="str">
        <f>IF(SUM(Dati[[#This Row],[Inv. Gold]:[Mutuo]])=0," ",SUM(Dati[[#This Row],[Inv. Gold]:[Mutuo]]))</f>
        <v xml:space="preserve"> </v>
      </c>
      <c r="AL1461" s="59"/>
      <c r="AM1461" s="59"/>
    </row>
    <row r="1462" spans="2:39" x14ac:dyDescent="0.35">
      <c r="B1462" s="237">
        <f t="shared" si="109"/>
        <v>1442</v>
      </c>
      <c r="C1462" s="49">
        <f t="shared" si="108"/>
        <v>46020</v>
      </c>
      <c r="D1462" s="29">
        <f>DAY(Dati[[#This Row],[Data]])</f>
        <v>29</v>
      </c>
      <c r="E1462" s="29" t="str">
        <f>IF(DAY(Data!$C$21:$C$1613)&gt;0,TEXT(Data!$C$21:$C$1613, "mmmm"),"")</f>
        <v>dicembre</v>
      </c>
      <c r="F1462" s="29" t="str">
        <f>IF(DAY(Data!$C$21:$C$1613)&gt;0,TEXT(Data!$C$21:$C$1613, "aaaa"),"")</f>
        <v>2025</v>
      </c>
      <c r="I1462" t="str">
        <f>IF(OR(H1462=$B$5,H1462=$B$6,H1462=$B$7,H1462=$B$8,H1462=$B$9,H1462=$B$10,H1462=$B$11,H1462=$B$12,H1462=$B$13,H1462=$B$14),SottocategorieUscite[[#Headers],[Fuori Casa]],IF(OR(H1462=$C$5,H1462=$C$6,H1462=$C$7,H1462=$C$8,H1462=$C$9,H1462=$C$10,H1462=$C$11,H1462=$C$12,H1462=$C$13,H1462=$C$14),SottocategorieUscite[[#Headers],[Varie Uscite]],IF(OR(H1462=$D$5,H1462=$D$6,H1462=$D$7,H1462=$D$8,H1462=$D$9,H1462=$D$10,H1462=$D$11,H1462=$D$12,H1462=$D$13,H1462=$D$14),SottocategorieUscite[[#Headers],[Personali]],IF(OR(H1462=$E$5,H1462=$E$6,H1462=$E$7,H1462=$E$8,H1462=$E$9,H1462=$E$10,H1462=$E$11,H1462=$E$12,H1462=$E$13,H1462=$E$14),SottocategorieUscite[[#Headers],[Lavoro]],IF(OR(H1462=$F$5,H1462=$F$6,H1462=$F$7,H1462=$F$8,H1462=$F$9,H1462=$F$10,H1462=$F$11,H1462=$F$12,H1462=$F$13,H1462=$F$14),SottocategorieUscite[[#Headers],[Casa]],IF(OR(H1462=$G$5,H1462=$G$6,H1462=$G$7,H1462=$G$8,H1462=$G$9,H1462=$G$10,H1462=$G$11,H1462=$G$12,H1462=$G$13,H1462=$G$14),SottocategorieUscite[[#Headers],[Utenze]],IF(OR(H1462=$H$5,H1462=$H$6,H1462=$H$7,H1462=$H$8,H1462=$H$9,H1462=$H$10,H1462=$H$11,H1462=$H$12,H1462=$H$13,H1462=$H$14),SottocategorieUscite[[#Headers],[Business Uscite]],IF(OR(H1462=$I$5,H1462=$I$6,H1462=$I$7,H1462=$I$8,H1462=$I$9,H1462=$I$10,H1462=$I$11,H1462=$I$12,H1462=$I$13,H1462=$I$14),SottocategorieUscite[[#Headers],[Banca]],IF(OR(H1462=K$5,H1462=K$6,H1462=K$7,H1462=K$8,H1462=K$9,H1462=K$10,H1462=K$11,H1462=K$12,H1462=K$13,H1462=K$14),SottocategorieEntrate[[#Headers],[Business Entrate]],IF(OR(H1462=L$5,H1462=L$6,H1462=L$7,H1462=L$8,H1462=L$9,H1462=L$10,H1462=L$11,H1462=L$12,H1462=L$13,H1462=L$14),SottocategorieEntrate[[#Headers],[Varie Entrate]],IF(OR(H1462=M$5,H1462=M$6,H1462=M$7,H1462=M$8,H1462=M$9,H1462=M$10,H1462=M$11,H1462=M$12,H1462=M$13,H1462=M$14),SottocategorieEntrate[[#Headers],[Real Estate]],IF(OR(H1462=N$5,H1462=N$6,H1462=N$7,H1462=N$8,H1462=N$9,H1462=N$10,H1462=N$11,H1462=N$12,H1462=N$13,H1462=N$14),SottocategorieEntrate[[#Headers],[Other]],""))))))))))))</f>
        <v/>
      </c>
      <c r="J1462" t="str">
        <f>IF(OR(Dati[[#This Row],[Categoria]]="Bollette",Dati[[#This Row],[Categoria]]="Conto &amp; Carte BNL",Dati[[#This Row],[Categoria]]="Prelievo",Dati[[#This Row],[Categoria]]="Affitto",Dati[[#This Row],[Categoria]]="BNL(Interessi Creditori)"),"Carta",IF(Dati[[#This Row],[Categoria]]&lt;&gt;0,"Cash",""))</f>
        <v/>
      </c>
      <c r="K1462" s="59" t="str">
        <f>IF(OR(Data!$I1462=SottocategorieUscite[[#Headers],[Fuori Casa]],Data!$I1462=SottocategorieUscite[[#Headers],[Varie Uscite]],Data!$I1462=SottocategorieUscite[[#Headers],[Personali]],Data!$I1462=SottocategorieUscite[[#Headers],[Lavoro]]),"$ -","")</f>
        <v/>
      </c>
      <c r="L1462" s="59" t="str">
        <f>IF(OR(Data!$I1462=SottocategorieUscite[[#Headers],[Casa]],Data!$I1462=SottocategorieUscite[[#Headers],[Utenze]],Data!$I1462=SottocategorieUscite[[#Headers],[Business Uscite]],Data!$I1462=SottocategorieUscite[[#Headers],[Banca]]),"$ -","")</f>
        <v/>
      </c>
      <c r="M1462" s="59" t="str">
        <f>IF(OR($I1462&lt;&gt;SottocategorieUscite[[#Headers],[Fuori Casa]],$I1462&lt;&gt;SottocategorieUscite[[#Headers],[Varie Uscite]],$I1462&lt;&gt;SottocategorieUscite[[#Headers],[Personali]],$I1462&lt;&gt;SottocategorieUscite[[#Headers],[Lavoro]],$I1462&lt;&gt;SottocategorieUscite[[#Headers],[Casa]],$I1462&lt;&gt;SottocategorieUscite[[#Headers],[Utenze]],$I1462&lt;&gt;SottocategorieUscite[[#Headers],[Business Uscite]],$I1462&lt;&gt;SottocategorieUscite[[#Headers],[Banca]]),"","$ -")</f>
        <v/>
      </c>
      <c r="N1462" s="59" t="str">
        <f>IF(OR(Data!$I1462=SottocategorieEntrate[[#Headers],[Business Entrate]],Data!$I1462=SottocategorieEntrate[[#Headers],[Varie Entrate]]),"$ -","")</f>
        <v/>
      </c>
      <c r="O1462" s="59" t="str">
        <f>IF(OR(Data!$I1462=SottocategorieEntrate[[#Headers],[Real Estate]],SottocategorieEntrate[[#Headers],[Other]]),"$ -","")</f>
        <v/>
      </c>
      <c r="P1462" s="59" t="str">
        <f>IF(OR($I1462&lt;&gt;SottocategorieEntrate[[#Headers],[Business Entrate]],$I1462&lt;&gt;SottocategorieEntrate[[#Headers],[Varie Entrate]],$I1462&lt;&gt;SottocategorieEntrate[[#Headers],[Real Estate]],$I1462&lt;&gt;SottocategorieEntrate[[#Headers],[Other]]),"","$ -")</f>
        <v/>
      </c>
      <c r="Q1462" s="59" t="str">
        <f>IF(Dati[[#This Row],[Categoria]]="Prelievo","€ -","")</f>
        <v/>
      </c>
      <c r="R1462" s="244"/>
      <c r="S1462" s="59" t="str">
        <f>IF(Dati[[#This Row],[Categoria]]="Savings",0,"")</f>
        <v/>
      </c>
      <c r="T1462" s="59"/>
      <c r="U1462" s="59"/>
      <c r="V1462" s="59"/>
      <c r="W1462" s="59"/>
      <c r="X1462" s="59"/>
      <c r="Y1462" s="59"/>
      <c r="Z1462" s="59"/>
      <c r="AA1462" s="59"/>
      <c r="AB1462" s="59"/>
      <c r="AC1462" s="59"/>
      <c r="AD1462" s="59"/>
      <c r="AE1462" s="59"/>
      <c r="AF1462" s="59"/>
      <c r="AG1462" s="59"/>
      <c r="AH1462" s="59"/>
      <c r="AI1462" s="59" t="str">
        <f>IF(SUM(Dati[[#This Row],[Inv. Business]:[Inv. Cryptocurrency]])=0," ",SUM(Dati[[#This Row],[Inv. Business]:[Inv. Cryptocurrency]]))</f>
        <v xml:space="preserve"> </v>
      </c>
      <c r="AJ1462" s="59"/>
      <c r="AK1462" s="59" t="str">
        <f>IF(SUM(Dati[[#This Row],[Inv. Gold]:[Mutuo]])=0," ",SUM(Dati[[#This Row],[Inv. Gold]:[Mutuo]]))</f>
        <v xml:space="preserve"> </v>
      </c>
      <c r="AL1462" s="59"/>
      <c r="AM1462" s="59"/>
    </row>
    <row r="1463" spans="2:39" x14ac:dyDescent="0.35">
      <c r="B1463" s="237">
        <f t="shared" si="109"/>
        <v>1443</v>
      </c>
      <c r="C1463" s="49">
        <f t="shared" si="108"/>
        <v>46021</v>
      </c>
      <c r="D1463" s="29">
        <f>DAY(Dati[[#This Row],[Data]])</f>
        <v>30</v>
      </c>
      <c r="E1463" s="29" t="str">
        <f>IF(DAY(Data!$C$21:$C$1613)&gt;0,TEXT(Data!$C$21:$C$1613, "mmmm"),"")</f>
        <v>dicembre</v>
      </c>
      <c r="F1463" s="29" t="str">
        <f>IF(DAY(Data!$C$21:$C$1613)&gt;0,TEXT(Data!$C$21:$C$1613, "aaaa"),"")</f>
        <v>2025</v>
      </c>
      <c r="I1463" t="str">
        <f>IF(OR(H1463=$B$5,H1463=$B$6,H1463=$B$7,H1463=$B$8,H1463=$B$9,H1463=$B$10,H1463=$B$11,H1463=$B$12,H1463=$B$13,H1463=$B$14),SottocategorieUscite[[#Headers],[Fuori Casa]],IF(OR(H1463=$C$5,H1463=$C$6,H1463=$C$7,H1463=$C$8,H1463=$C$9,H1463=$C$10,H1463=$C$11,H1463=$C$12,H1463=$C$13,H1463=$C$14),SottocategorieUscite[[#Headers],[Varie Uscite]],IF(OR(H1463=$D$5,H1463=$D$6,H1463=$D$7,H1463=$D$8,H1463=$D$9,H1463=$D$10,H1463=$D$11,H1463=$D$12,H1463=$D$13,H1463=$D$14),SottocategorieUscite[[#Headers],[Personali]],IF(OR(H1463=$E$5,H1463=$E$6,H1463=$E$7,H1463=$E$8,H1463=$E$9,H1463=$E$10,H1463=$E$11,H1463=$E$12,H1463=$E$13,H1463=$E$14),SottocategorieUscite[[#Headers],[Lavoro]],IF(OR(H1463=$F$5,H1463=$F$6,H1463=$F$7,H1463=$F$8,H1463=$F$9,H1463=$F$10,H1463=$F$11,H1463=$F$12,H1463=$F$13,H1463=$F$14),SottocategorieUscite[[#Headers],[Casa]],IF(OR(H1463=$G$5,H1463=$G$6,H1463=$G$7,H1463=$G$8,H1463=$G$9,H1463=$G$10,H1463=$G$11,H1463=$G$12,H1463=$G$13,H1463=$G$14),SottocategorieUscite[[#Headers],[Utenze]],IF(OR(H1463=$H$5,H1463=$H$6,H1463=$H$7,H1463=$H$8,H1463=$H$9,H1463=$H$10,H1463=$H$11,H1463=$H$12,H1463=$H$13,H1463=$H$14),SottocategorieUscite[[#Headers],[Business Uscite]],IF(OR(H1463=$I$5,H1463=$I$6,H1463=$I$7,H1463=$I$8,H1463=$I$9,H1463=$I$10,H1463=$I$11,H1463=$I$12,H1463=$I$13,H1463=$I$14),SottocategorieUscite[[#Headers],[Banca]],IF(OR(H1463=K$5,H1463=K$6,H1463=K$7,H1463=K$8,H1463=K$9,H1463=K$10,H1463=K$11,H1463=K$12,H1463=K$13,H1463=K$14),SottocategorieEntrate[[#Headers],[Business Entrate]],IF(OR(H1463=L$5,H1463=L$6,H1463=L$7,H1463=L$8,H1463=L$9,H1463=L$10,H1463=L$11,H1463=L$12,H1463=L$13,H1463=L$14),SottocategorieEntrate[[#Headers],[Varie Entrate]],IF(OR(H1463=M$5,H1463=M$6,H1463=M$7,H1463=M$8,H1463=M$9,H1463=M$10,H1463=M$11,H1463=M$12,H1463=M$13,H1463=M$14),SottocategorieEntrate[[#Headers],[Real Estate]],IF(OR(H1463=N$5,H1463=N$6,H1463=N$7,H1463=N$8,H1463=N$9,H1463=N$10,H1463=N$11,H1463=N$12,H1463=N$13,H1463=N$14),SottocategorieEntrate[[#Headers],[Other]],""))))))))))))</f>
        <v/>
      </c>
      <c r="J1463" t="str">
        <f>IF(OR(Dati[[#This Row],[Categoria]]="Bollette",Dati[[#This Row],[Categoria]]="Conto &amp; Carte BNL",Dati[[#This Row],[Categoria]]="Prelievo",Dati[[#This Row],[Categoria]]="Affitto",Dati[[#This Row],[Categoria]]="BNL(Interessi Creditori)"),"Carta",IF(Dati[[#This Row],[Categoria]]&lt;&gt;0,"Cash",""))</f>
        <v/>
      </c>
      <c r="K1463" s="59" t="str">
        <f>IF(OR(Data!$I1463=SottocategorieUscite[[#Headers],[Fuori Casa]],Data!$I1463=SottocategorieUscite[[#Headers],[Varie Uscite]],Data!$I1463=SottocategorieUscite[[#Headers],[Personali]],Data!$I1463=SottocategorieUscite[[#Headers],[Lavoro]]),"$ -","")</f>
        <v/>
      </c>
      <c r="L1463" s="59" t="str">
        <f>IF(OR(Data!$I1463=SottocategorieUscite[[#Headers],[Casa]],Data!$I1463=SottocategorieUscite[[#Headers],[Utenze]],Data!$I1463=SottocategorieUscite[[#Headers],[Business Uscite]],Data!$I1463=SottocategorieUscite[[#Headers],[Banca]]),"$ -","")</f>
        <v/>
      </c>
      <c r="M1463" s="59" t="str">
        <f>IF(OR($I1463&lt;&gt;SottocategorieUscite[[#Headers],[Fuori Casa]],$I1463&lt;&gt;SottocategorieUscite[[#Headers],[Varie Uscite]],$I1463&lt;&gt;SottocategorieUscite[[#Headers],[Personali]],$I1463&lt;&gt;SottocategorieUscite[[#Headers],[Lavoro]],$I1463&lt;&gt;SottocategorieUscite[[#Headers],[Casa]],$I1463&lt;&gt;SottocategorieUscite[[#Headers],[Utenze]],$I1463&lt;&gt;SottocategorieUscite[[#Headers],[Business Uscite]],$I1463&lt;&gt;SottocategorieUscite[[#Headers],[Banca]]),"","$ -")</f>
        <v/>
      </c>
      <c r="N1463" s="59" t="str">
        <f>IF(OR(Data!$I1463=SottocategorieEntrate[[#Headers],[Business Entrate]],Data!$I1463=SottocategorieEntrate[[#Headers],[Varie Entrate]]),"$ -","")</f>
        <v/>
      </c>
      <c r="O1463" s="59" t="str">
        <f>IF(OR(Data!$I1463=SottocategorieEntrate[[#Headers],[Real Estate]],SottocategorieEntrate[[#Headers],[Other]]),"$ -","")</f>
        <v/>
      </c>
      <c r="P1463" s="59" t="str">
        <f>IF(OR($I1463&lt;&gt;SottocategorieEntrate[[#Headers],[Business Entrate]],$I1463&lt;&gt;SottocategorieEntrate[[#Headers],[Varie Entrate]],$I1463&lt;&gt;SottocategorieEntrate[[#Headers],[Real Estate]],$I1463&lt;&gt;SottocategorieEntrate[[#Headers],[Other]]),"","$ -")</f>
        <v/>
      </c>
      <c r="Q1463" s="59" t="str">
        <f>IF(Dati[[#This Row],[Categoria]]="Prelievo","€ -","")</f>
        <v/>
      </c>
      <c r="R1463" s="244"/>
      <c r="S1463" s="59" t="str">
        <f>IF(Dati[[#This Row],[Categoria]]="Savings",0,"")</f>
        <v/>
      </c>
      <c r="T1463" s="59"/>
      <c r="U1463" s="59"/>
      <c r="V1463" s="59"/>
      <c r="W1463" s="59"/>
      <c r="X1463" s="59"/>
      <c r="Y1463" s="59"/>
      <c r="Z1463" s="59"/>
      <c r="AA1463" s="59"/>
      <c r="AB1463" s="59"/>
      <c r="AC1463" s="59"/>
      <c r="AD1463" s="59"/>
      <c r="AE1463" s="59"/>
      <c r="AF1463" s="59"/>
      <c r="AG1463" s="59"/>
      <c r="AH1463" s="59"/>
      <c r="AI1463" s="59" t="str">
        <f>IF(SUM(Dati[[#This Row],[Inv. Business]:[Inv. Cryptocurrency]])=0," ",SUM(Dati[[#This Row],[Inv. Business]:[Inv. Cryptocurrency]]))</f>
        <v xml:space="preserve"> </v>
      </c>
      <c r="AJ1463" s="59"/>
      <c r="AK1463" s="59" t="str">
        <f>IF(SUM(Dati[[#This Row],[Inv. Gold]:[Mutuo]])=0," ",SUM(Dati[[#This Row],[Inv. Gold]:[Mutuo]]))</f>
        <v xml:space="preserve"> </v>
      </c>
      <c r="AL1463" s="59"/>
      <c r="AM1463" s="59"/>
    </row>
    <row r="1464" spans="2:39" x14ac:dyDescent="0.35">
      <c r="B1464" s="237">
        <f t="shared" si="109"/>
        <v>1444</v>
      </c>
      <c r="C1464" s="49">
        <f t="shared" si="108"/>
        <v>46022</v>
      </c>
      <c r="D1464" s="29">
        <f>DAY(Dati[[#This Row],[Data]])</f>
        <v>31</v>
      </c>
      <c r="E1464" s="29" t="str">
        <f>IF(DAY(Data!$C$21:$C$1613)&gt;0,TEXT(Data!$C$21:$C$1613, "mmmm"),"")</f>
        <v>dicembre</v>
      </c>
      <c r="F1464" s="29" t="str">
        <f>IF(DAY(Data!$C$21:$C$1613)&gt;0,TEXT(Data!$C$21:$C$1613, "aaaa"),"")</f>
        <v>2025</v>
      </c>
      <c r="I1464" t="str">
        <f>IF(OR(H1464=$B$5,H1464=$B$6,H1464=$B$7,H1464=$B$8,H1464=$B$9,H1464=$B$10,H1464=$B$11,H1464=$B$12,H1464=$B$13,H1464=$B$14),SottocategorieUscite[[#Headers],[Fuori Casa]],IF(OR(H1464=$C$5,H1464=$C$6,H1464=$C$7,H1464=$C$8,H1464=$C$9,H1464=$C$10,H1464=$C$11,H1464=$C$12,H1464=$C$13,H1464=$C$14),SottocategorieUscite[[#Headers],[Varie Uscite]],IF(OR(H1464=$D$5,H1464=$D$6,H1464=$D$7,H1464=$D$8,H1464=$D$9,H1464=$D$10,H1464=$D$11,H1464=$D$12,H1464=$D$13,H1464=$D$14),SottocategorieUscite[[#Headers],[Personali]],IF(OR(H1464=$E$5,H1464=$E$6,H1464=$E$7,H1464=$E$8,H1464=$E$9,H1464=$E$10,H1464=$E$11,H1464=$E$12,H1464=$E$13,H1464=$E$14),SottocategorieUscite[[#Headers],[Lavoro]],IF(OR(H1464=$F$5,H1464=$F$6,H1464=$F$7,H1464=$F$8,H1464=$F$9,H1464=$F$10,H1464=$F$11,H1464=$F$12,H1464=$F$13,H1464=$F$14),SottocategorieUscite[[#Headers],[Casa]],IF(OR(H1464=$G$5,H1464=$G$6,H1464=$G$7,H1464=$G$8,H1464=$G$9,H1464=$G$10,H1464=$G$11,H1464=$G$12,H1464=$G$13,H1464=$G$14),SottocategorieUscite[[#Headers],[Utenze]],IF(OR(H1464=$H$5,H1464=$H$6,H1464=$H$7,H1464=$H$8,H1464=$H$9,H1464=$H$10,H1464=$H$11,H1464=$H$12,H1464=$H$13,H1464=$H$14),SottocategorieUscite[[#Headers],[Business Uscite]],IF(OR(H1464=$I$5,H1464=$I$6,H1464=$I$7,H1464=$I$8,H1464=$I$9,H1464=$I$10,H1464=$I$11,H1464=$I$12,H1464=$I$13,H1464=$I$14),SottocategorieUscite[[#Headers],[Banca]],IF(OR(H1464=K$5,H1464=K$6,H1464=K$7,H1464=K$8,H1464=K$9,H1464=K$10,H1464=K$11,H1464=K$12,H1464=K$13,H1464=K$14),SottocategorieEntrate[[#Headers],[Business Entrate]],IF(OR(H1464=L$5,H1464=L$6,H1464=L$7,H1464=L$8,H1464=L$9,H1464=L$10,H1464=L$11,H1464=L$12,H1464=L$13,H1464=L$14),SottocategorieEntrate[[#Headers],[Varie Entrate]],IF(OR(H1464=M$5,H1464=M$6,H1464=M$7,H1464=M$8,H1464=M$9,H1464=M$10,H1464=M$11,H1464=M$12,H1464=M$13,H1464=M$14),SottocategorieEntrate[[#Headers],[Real Estate]],IF(OR(H1464=N$5,H1464=N$6,H1464=N$7,H1464=N$8,H1464=N$9,H1464=N$10,H1464=N$11,H1464=N$12,H1464=N$13,H1464=N$14),SottocategorieEntrate[[#Headers],[Other]],""))))))))))))</f>
        <v/>
      </c>
      <c r="J1464" t="str">
        <f>IF(OR(Dati[[#This Row],[Categoria]]="Bollette",Dati[[#This Row],[Categoria]]="Conto &amp; Carte BNL",Dati[[#This Row],[Categoria]]="Prelievo",Dati[[#This Row],[Categoria]]="Affitto",Dati[[#This Row],[Categoria]]="BNL(Interessi Creditori)"),"Carta",IF(Dati[[#This Row],[Categoria]]&lt;&gt;0,"Cash",""))</f>
        <v/>
      </c>
      <c r="K1464" s="59" t="str">
        <f>IF(OR(Data!$I1464=SottocategorieUscite[[#Headers],[Fuori Casa]],Data!$I1464=SottocategorieUscite[[#Headers],[Varie Uscite]],Data!$I1464=SottocategorieUscite[[#Headers],[Personali]],Data!$I1464=SottocategorieUscite[[#Headers],[Lavoro]]),"$ -","")</f>
        <v/>
      </c>
      <c r="L1464" s="59" t="str">
        <f>IF(OR(Data!$I1464=SottocategorieUscite[[#Headers],[Casa]],Data!$I1464=SottocategorieUscite[[#Headers],[Utenze]],Data!$I1464=SottocategorieUscite[[#Headers],[Business Uscite]],Data!$I1464=SottocategorieUscite[[#Headers],[Banca]]),"$ -","")</f>
        <v/>
      </c>
      <c r="M1464" s="59" t="str">
        <f>IF(OR($I1464&lt;&gt;SottocategorieUscite[[#Headers],[Fuori Casa]],$I1464&lt;&gt;SottocategorieUscite[[#Headers],[Varie Uscite]],$I1464&lt;&gt;SottocategorieUscite[[#Headers],[Personali]],$I1464&lt;&gt;SottocategorieUscite[[#Headers],[Lavoro]],$I1464&lt;&gt;SottocategorieUscite[[#Headers],[Casa]],$I1464&lt;&gt;SottocategorieUscite[[#Headers],[Utenze]],$I1464&lt;&gt;SottocategorieUscite[[#Headers],[Business Uscite]],$I1464&lt;&gt;SottocategorieUscite[[#Headers],[Banca]]),"","$ -")</f>
        <v/>
      </c>
      <c r="N1464" s="59" t="str">
        <f>IF(OR(Data!$I1464=SottocategorieEntrate[[#Headers],[Business Entrate]],Data!$I1464=SottocategorieEntrate[[#Headers],[Varie Entrate]]),"$ -","")</f>
        <v/>
      </c>
      <c r="O1464" s="59" t="str">
        <f>IF(OR(Data!$I1464=SottocategorieEntrate[[#Headers],[Real Estate]],SottocategorieEntrate[[#Headers],[Other]]),"$ -","")</f>
        <v/>
      </c>
      <c r="P1464" s="59" t="str">
        <f>IF(OR($I1464&lt;&gt;SottocategorieEntrate[[#Headers],[Business Entrate]],$I1464&lt;&gt;SottocategorieEntrate[[#Headers],[Varie Entrate]],$I1464&lt;&gt;SottocategorieEntrate[[#Headers],[Real Estate]],$I1464&lt;&gt;SottocategorieEntrate[[#Headers],[Other]]),"","$ -")</f>
        <v/>
      </c>
      <c r="Q1464" s="59" t="str">
        <f>IF(Dati[[#This Row],[Categoria]]="Prelievo","€ -","")</f>
        <v/>
      </c>
      <c r="R1464" s="244"/>
      <c r="S1464" s="59" t="str">
        <f>IF(Dati[[#This Row],[Categoria]]="Savings",0,"")</f>
        <v/>
      </c>
      <c r="T1464" s="59"/>
      <c r="U1464" s="59"/>
      <c r="V1464" s="59"/>
      <c r="W1464" s="59"/>
      <c r="X1464" s="59"/>
      <c r="Y1464" s="59"/>
      <c r="Z1464" s="59"/>
      <c r="AA1464" s="59"/>
      <c r="AB1464" s="59"/>
      <c r="AC1464" s="59"/>
      <c r="AD1464" s="59"/>
      <c r="AE1464" s="59"/>
      <c r="AF1464" s="59"/>
      <c r="AG1464" s="59"/>
      <c r="AH1464" s="59"/>
      <c r="AI1464" s="59" t="str">
        <f>IF(SUM(Dati[[#This Row],[Inv. Business]:[Inv. Cryptocurrency]])=0," ",SUM(Dati[[#This Row],[Inv. Business]:[Inv. Cryptocurrency]]))</f>
        <v xml:space="preserve"> </v>
      </c>
      <c r="AJ1464" s="59"/>
      <c r="AK1464" s="59" t="str">
        <f>IF(SUM(Dati[[#This Row],[Inv. Gold]:[Mutuo]])=0," ",SUM(Dati[[#This Row],[Inv. Gold]:[Mutuo]]))</f>
        <v xml:space="preserve"> </v>
      </c>
      <c r="AL1464" s="59"/>
      <c r="AM1464" s="59"/>
    </row>
    <row r="1465" spans="2:39" x14ac:dyDescent="0.35">
      <c r="B1465" s="237">
        <f t="shared" si="109"/>
        <v>1445</v>
      </c>
      <c r="C1465" s="49">
        <f t="shared" si="108"/>
        <v>46023</v>
      </c>
      <c r="D1465" s="29">
        <f>DAY(Dati[[#This Row],[Data]])</f>
        <v>1</v>
      </c>
      <c r="E1465" s="29" t="str">
        <f>IF(DAY(Data!$C$21:$C$1613)&gt;0,TEXT(Data!$C$21:$C$1613, "mmmm"),"")</f>
        <v>gennaio</v>
      </c>
      <c r="F1465" s="29" t="str">
        <f>IF(DAY(Data!$C$21:$C$1613)&gt;0,TEXT(Data!$C$21:$C$1613, "aaaa"),"")</f>
        <v>2026</v>
      </c>
      <c r="I1465" t="str">
        <f>IF(OR(H1465=$B$5,H1465=$B$6,H1465=$B$7,H1465=$B$8,H1465=$B$9,H1465=$B$10,H1465=$B$11,H1465=$B$12,H1465=$B$13,H1465=$B$14),SottocategorieUscite[[#Headers],[Fuori Casa]],IF(OR(H1465=$C$5,H1465=$C$6,H1465=$C$7,H1465=$C$8,H1465=$C$9,H1465=$C$10,H1465=$C$11,H1465=$C$12,H1465=$C$13,H1465=$C$14),SottocategorieUscite[[#Headers],[Varie Uscite]],IF(OR(H1465=$D$5,H1465=$D$6,H1465=$D$7,H1465=$D$8,H1465=$D$9,H1465=$D$10,H1465=$D$11,H1465=$D$12,H1465=$D$13,H1465=$D$14),SottocategorieUscite[[#Headers],[Personali]],IF(OR(H1465=$E$5,H1465=$E$6,H1465=$E$7,H1465=$E$8,H1465=$E$9,H1465=$E$10,H1465=$E$11,H1465=$E$12,H1465=$E$13,H1465=$E$14),SottocategorieUscite[[#Headers],[Lavoro]],IF(OR(H1465=$F$5,H1465=$F$6,H1465=$F$7,H1465=$F$8,H1465=$F$9,H1465=$F$10,H1465=$F$11,H1465=$F$12,H1465=$F$13,H1465=$F$14),SottocategorieUscite[[#Headers],[Casa]],IF(OR(H1465=$G$5,H1465=$G$6,H1465=$G$7,H1465=$G$8,H1465=$G$9,H1465=$G$10,H1465=$G$11,H1465=$G$12,H1465=$G$13,H1465=$G$14),SottocategorieUscite[[#Headers],[Utenze]],IF(OR(H1465=$H$5,H1465=$H$6,H1465=$H$7,H1465=$H$8,H1465=$H$9,H1465=$H$10,H1465=$H$11,H1465=$H$12,H1465=$H$13,H1465=$H$14),SottocategorieUscite[[#Headers],[Business Uscite]],IF(OR(H1465=$I$5,H1465=$I$6,H1465=$I$7,H1465=$I$8,H1465=$I$9,H1465=$I$10,H1465=$I$11,H1465=$I$12,H1465=$I$13,H1465=$I$14),SottocategorieUscite[[#Headers],[Banca]],IF(OR(H1465=K$5,H1465=K$6,H1465=K$7,H1465=K$8,H1465=K$9,H1465=K$10,H1465=K$11,H1465=K$12,H1465=K$13,H1465=K$14),SottocategorieEntrate[[#Headers],[Business Entrate]],IF(OR(H1465=L$5,H1465=L$6,H1465=L$7,H1465=L$8,H1465=L$9,H1465=L$10,H1465=L$11,H1465=L$12,H1465=L$13,H1465=L$14),SottocategorieEntrate[[#Headers],[Varie Entrate]],IF(OR(H1465=M$5,H1465=M$6,H1465=M$7,H1465=M$8,H1465=M$9,H1465=M$10,H1465=M$11,H1465=M$12,H1465=M$13,H1465=M$14),SottocategorieEntrate[[#Headers],[Real Estate]],IF(OR(H1465=N$5,H1465=N$6,H1465=N$7,H1465=N$8,H1465=N$9,H1465=N$10,H1465=N$11,H1465=N$12,H1465=N$13,H1465=N$14),SottocategorieEntrate[[#Headers],[Other]],""))))))))))))</f>
        <v/>
      </c>
      <c r="J1465" t="str">
        <f>IF(OR(Dati[[#This Row],[Categoria]]="Bollette",Dati[[#This Row],[Categoria]]="Conto &amp; Carte BNL",Dati[[#This Row],[Categoria]]="Prelievo",Dati[[#This Row],[Categoria]]="Affitto",Dati[[#This Row],[Categoria]]="BNL(Interessi Creditori)"),"Carta",IF(Dati[[#This Row],[Categoria]]&lt;&gt;0,"Cash",""))</f>
        <v/>
      </c>
      <c r="K1465" s="59" t="str">
        <f>IF(OR(Data!$I1465=SottocategorieUscite[[#Headers],[Fuori Casa]],Data!$I1465=SottocategorieUscite[[#Headers],[Varie Uscite]],Data!$I1465=SottocategorieUscite[[#Headers],[Personali]],Data!$I1465=SottocategorieUscite[[#Headers],[Lavoro]]),"$ -","")</f>
        <v/>
      </c>
      <c r="L1465" s="59" t="str">
        <f>IF(OR(Data!$I1465=SottocategorieUscite[[#Headers],[Casa]],Data!$I1465=SottocategorieUscite[[#Headers],[Utenze]],Data!$I1465=SottocategorieUscite[[#Headers],[Business Uscite]],Data!$I1465=SottocategorieUscite[[#Headers],[Banca]]),"$ -","")</f>
        <v/>
      </c>
      <c r="M1465" s="59" t="str">
        <f>IF(OR($I1465&lt;&gt;SottocategorieUscite[[#Headers],[Fuori Casa]],$I1465&lt;&gt;SottocategorieUscite[[#Headers],[Varie Uscite]],$I1465&lt;&gt;SottocategorieUscite[[#Headers],[Personali]],$I1465&lt;&gt;SottocategorieUscite[[#Headers],[Lavoro]],$I1465&lt;&gt;SottocategorieUscite[[#Headers],[Casa]],$I1465&lt;&gt;SottocategorieUscite[[#Headers],[Utenze]],$I1465&lt;&gt;SottocategorieUscite[[#Headers],[Business Uscite]],$I1465&lt;&gt;SottocategorieUscite[[#Headers],[Banca]]),"","$ -")</f>
        <v/>
      </c>
      <c r="N1465" s="59" t="str">
        <f>IF(OR(Data!$I1465=SottocategorieEntrate[[#Headers],[Business Entrate]],Data!$I1465=SottocategorieEntrate[[#Headers],[Varie Entrate]]),"$ -","")</f>
        <v/>
      </c>
      <c r="O1465" s="59" t="str">
        <f>IF(OR(Data!$I1465=SottocategorieEntrate[[#Headers],[Real Estate]],SottocategorieEntrate[[#Headers],[Other]]),"$ -","")</f>
        <v/>
      </c>
      <c r="P1465" s="59" t="str">
        <f>IF(OR($I1465&lt;&gt;SottocategorieEntrate[[#Headers],[Business Entrate]],$I1465&lt;&gt;SottocategorieEntrate[[#Headers],[Varie Entrate]],$I1465&lt;&gt;SottocategorieEntrate[[#Headers],[Real Estate]],$I1465&lt;&gt;SottocategorieEntrate[[#Headers],[Other]]),"","$ -")</f>
        <v/>
      </c>
      <c r="Q1465" s="59" t="str">
        <f>IF(Dati[[#This Row],[Categoria]]="Prelievo","€ -","")</f>
        <v/>
      </c>
      <c r="R1465" s="244"/>
      <c r="S1465" s="59" t="str">
        <f>IF(Dati[[#This Row],[Categoria]]="Savings",0,"")</f>
        <v/>
      </c>
      <c r="T1465" s="59"/>
      <c r="U1465" s="59"/>
      <c r="V1465" s="59"/>
      <c r="W1465" s="59"/>
      <c r="X1465" s="59"/>
      <c r="Y1465" s="59"/>
      <c r="Z1465" s="59"/>
      <c r="AA1465" s="59"/>
      <c r="AB1465" s="59"/>
      <c r="AC1465" s="59"/>
      <c r="AD1465" s="59"/>
      <c r="AE1465" s="59"/>
      <c r="AF1465" s="59"/>
      <c r="AG1465" s="59"/>
      <c r="AH1465" s="59"/>
      <c r="AI1465" s="59" t="str">
        <f>IF(SUM(Dati[[#This Row],[Inv. Business]:[Inv. Cryptocurrency]])=0," ",SUM(Dati[[#This Row],[Inv. Business]:[Inv. Cryptocurrency]]))</f>
        <v xml:space="preserve"> </v>
      </c>
      <c r="AJ1465" s="59"/>
      <c r="AK1465" s="59" t="str">
        <f>IF(SUM(Dati[[#This Row],[Inv. Gold]:[Mutuo]])=0," ",SUM(Dati[[#This Row],[Inv. Gold]:[Mutuo]]))</f>
        <v xml:space="preserve"> </v>
      </c>
      <c r="AL1465" s="59"/>
      <c r="AM1465" s="59"/>
    </row>
    <row r="1466" spans="2:39" x14ac:dyDescent="0.35">
      <c r="B1466" s="237">
        <f t="shared" si="109"/>
        <v>1446</v>
      </c>
      <c r="C1466" s="49">
        <f t="shared" si="108"/>
        <v>46024</v>
      </c>
      <c r="D1466" s="29">
        <f>DAY(Dati[[#This Row],[Data]])</f>
        <v>2</v>
      </c>
      <c r="E1466" s="29" t="str">
        <f>IF(DAY(Data!$C$21:$C$1613)&gt;0,TEXT(Data!$C$21:$C$1613, "mmmm"),"")</f>
        <v>gennaio</v>
      </c>
      <c r="F1466" s="29" t="str">
        <f>IF(DAY(Data!$C$21:$C$1613)&gt;0,TEXT(Data!$C$21:$C$1613, "aaaa"),"")</f>
        <v>2026</v>
      </c>
      <c r="I1466" t="str">
        <f>IF(OR(H1466=$B$5,H1466=$B$6,H1466=$B$7,H1466=$B$8,H1466=$B$9,H1466=$B$10,H1466=$B$11,H1466=$B$12,H1466=$B$13,H1466=$B$14),SottocategorieUscite[[#Headers],[Fuori Casa]],IF(OR(H1466=$C$5,H1466=$C$6,H1466=$C$7,H1466=$C$8,H1466=$C$9,H1466=$C$10,H1466=$C$11,H1466=$C$12,H1466=$C$13,H1466=$C$14),SottocategorieUscite[[#Headers],[Varie Uscite]],IF(OR(H1466=$D$5,H1466=$D$6,H1466=$D$7,H1466=$D$8,H1466=$D$9,H1466=$D$10,H1466=$D$11,H1466=$D$12,H1466=$D$13,H1466=$D$14),SottocategorieUscite[[#Headers],[Personali]],IF(OR(H1466=$E$5,H1466=$E$6,H1466=$E$7,H1466=$E$8,H1466=$E$9,H1466=$E$10,H1466=$E$11,H1466=$E$12,H1466=$E$13,H1466=$E$14),SottocategorieUscite[[#Headers],[Lavoro]],IF(OR(H1466=$F$5,H1466=$F$6,H1466=$F$7,H1466=$F$8,H1466=$F$9,H1466=$F$10,H1466=$F$11,H1466=$F$12,H1466=$F$13,H1466=$F$14),SottocategorieUscite[[#Headers],[Casa]],IF(OR(H1466=$G$5,H1466=$G$6,H1466=$G$7,H1466=$G$8,H1466=$G$9,H1466=$G$10,H1466=$G$11,H1466=$G$12,H1466=$G$13,H1466=$G$14),SottocategorieUscite[[#Headers],[Utenze]],IF(OR(H1466=$H$5,H1466=$H$6,H1466=$H$7,H1466=$H$8,H1466=$H$9,H1466=$H$10,H1466=$H$11,H1466=$H$12,H1466=$H$13,H1466=$H$14),SottocategorieUscite[[#Headers],[Business Uscite]],IF(OR(H1466=$I$5,H1466=$I$6,H1466=$I$7,H1466=$I$8,H1466=$I$9,H1466=$I$10,H1466=$I$11,H1466=$I$12,H1466=$I$13,H1466=$I$14),SottocategorieUscite[[#Headers],[Banca]],IF(OR(H1466=K$5,H1466=K$6,H1466=K$7,H1466=K$8,H1466=K$9,H1466=K$10,H1466=K$11,H1466=K$12,H1466=K$13,H1466=K$14),SottocategorieEntrate[[#Headers],[Business Entrate]],IF(OR(H1466=L$5,H1466=L$6,H1466=L$7,H1466=L$8,H1466=L$9,H1466=L$10,H1466=L$11,H1466=L$12,H1466=L$13,H1466=L$14),SottocategorieEntrate[[#Headers],[Varie Entrate]],IF(OR(H1466=M$5,H1466=M$6,H1466=M$7,H1466=M$8,H1466=M$9,H1466=M$10,H1466=M$11,H1466=M$12,H1466=M$13,H1466=M$14),SottocategorieEntrate[[#Headers],[Real Estate]],IF(OR(H1466=N$5,H1466=N$6,H1466=N$7,H1466=N$8,H1466=N$9,H1466=N$10,H1466=N$11,H1466=N$12,H1466=N$13,H1466=N$14),SottocategorieEntrate[[#Headers],[Other]],""))))))))))))</f>
        <v/>
      </c>
      <c r="J1466" t="str">
        <f>IF(OR(Dati[[#This Row],[Categoria]]="Bollette",Dati[[#This Row],[Categoria]]="Conto &amp; Carte BNL",Dati[[#This Row],[Categoria]]="Prelievo",Dati[[#This Row],[Categoria]]="Affitto",Dati[[#This Row],[Categoria]]="BNL(Interessi Creditori)"),"Carta",IF(Dati[[#This Row],[Categoria]]&lt;&gt;0,"Cash",""))</f>
        <v/>
      </c>
      <c r="K1466" s="59" t="str">
        <f>IF(OR(Data!$I1466=SottocategorieUscite[[#Headers],[Fuori Casa]],Data!$I1466=SottocategorieUscite[[#Headers],[Varie Uscite]],Data!$I1466=SottocategorieUscite[[#Headers],[Personali]],Data!$I1466=SottocategorieUscite[[#Headers],[Lavoro]]),"$ -","")</f>
        <v/>
      </c>
      <c r="L1466" s="59" t="str">
        <f>IF(OR(Data!$I1466=SottocategorieUscite[[#Headers],[Casa]],Data!$I1466=SottocategorieUscite[[#Headers],[Utenze]],Data!$I1466=SottocategorieUscite[[#Headers],[Business Uscite]],Data!$I1466=SottocategorieUscite[[#Headers],[Banca]]),"$ -","")</f>
        <v/>
      </c>
      <c r="M1466" s="59" t="str">
        <f>IF(OR($I1466&lt;&gt;SottocategorieUscite[[#Headers],[Fuori Casa]],$I1466&lt;&gt;SottocategorieUscite[[#Headers],[Varie Uscite]],$I1466&lt;&gt;SottocategorieUscite[[#Headers],[Personali]],$I1466&lt;&gt;SottocategorieUscite[[#Headers],[Lavoro]],$I1466&lt;&gt;SottocategorieUscite[[#Headers],[Casa]],$I1466&lt;&gt;SottocategorieUscite[[#Headers],[Utenze]],$I1466&lt;&gt;SottocategorieUscite[[#Headers],[Business Uscite]],$I1466&lt;&gt;SottocategorieUscite[[#Headers],[Banca]]),"","$ -")</f>
        <v/>
      </c>
      <c r="N1466" s="59" t="str">
        <f>IF(OR(Data!$I1466=SottocategorieEntrate[[#Headers],[Business Entrate]],Data!$I1466=SottocategorieEntrate[[#Headers],[Varie Entrate]]),"$ -","")</f>
        <v/>
      </c>
      <c r="O1466" s="59" t="str">
        <f>IF(OR(Data!$I1466=SottocategorieEntrate[[#Headers],[Real Estate]],SottocategorieEntrate[[#Headers],[Other]]),"$ -","")</f>
        <v/>
      </c>
      <c r="P1466" s="59" t="str">
        <f>IF(OR($I1466&lt;&gt;SottocategorieEntrate[[#Headers],[Business Entrate]],$I1466&lt;&gt;SottocategorieEntrate[[#Headers],[Varie Entrate]],$I1466&lt;&gt;SottocategorieEntrate[[#Headers],[Real Estate]],$I1466&lt;&gt;SottocategorieEntrate[[#Headers],[Other]]),"","$ -")</f>
        <v/>
      </c>
      <c r="Q1466" s="59" t="str">
        <f>IF(Dati[[#This Row],[Categoria]]="Prelievo","€ -","")</f>
        <v/>
      </c>
      <c r="R1466" s="244"/>
      <c r="S1466" s="59" t="str">
        <f>IF(Dati[[#This Row],[Categoria]]="Savings",0,"")</f>
        <v/>
      </c>
      <c r="T1466" s="59"/>
      <c r="U1466" s="59"/>
      <c r="V1466" s="59"/>
      <c r="W1466" s="59"/>
      <c r="X1466" s="59"/>
      <c r="Y1466" s="59"/>
      <c r="Z1466" s="59"/>
      <c r="AA1466" s="59"/>
      <c r="AB1466" s="59"/>
      <c r="AC1466" s="59"/>
      <c r="AD1466" s="59"/>
      <c r="AE1466" s="59"/>
      <c r="AF1466" s="59"/>
      <c r="AG1466" s="59"/>
      <c r="AH1466" s="59"/>
      <c r="AI1466" s="59" t="str">
        <f>IF(SUM(Dati[[#This Row],[Inv. Business]:[Inv. Cryptocurrency]])=0," ",SUM(Dati[[#This Row],[Inv. Business]:[Inv. Cryptocurrency]]))</f>
        <v xml:space="preserve"> </v>
      </c>
      <c r="AJ1466" s="59"/>
      <c r="AK1466" s="59" t="str">
        <f>IF(SUM(Dati[[#This Row],[Inv. Gold]:[Mutuo]])=0," ",SUM(Dati[[#This Row],[Inv. Gold]:[Mutuo]]))</f>
        <v xml:space="preserve"> </v>
      </c>
      <c r="AL1466" s="59"/>
      <c r="AM1466" s="59"/>
    </row>
    <row r="1467" spans="2:39" x14ac:dyDescent="0.35">
      <c r="B1467" s="237">
        <f t="shared" si="109"/>
        <v>1447</v>
      </c>
      <c r="C1467" s="49">
        <f t="shared" si="108"/>
        <v>46025</v>
      </c>
      <c r="D1467" s="29">
        <f>DAY(Dati[[#This Row],[Data]])</f>
        <v>3</v>
      </c>
      <c r="E1467" s="29" t="str">
        <f>IF(DAY(Data!$C$21:$C$1613)&gt;0,TEXT(Data!$C$21:$C$1613, "mmmm"),"")</f>
        <v>gennaio</v>
      </c>
      <c r="F1467" s="29" t="str">
        <f>IF(DAY(Data!$C$21:$C$1613)&gt;0,TEXT(Data!$C$21:$C$1613, "aaaa"),"")</f>
        <v>2026</v>
      </c>
      <c r="I1467" t="str">
        <f>IF(OR(H1467=$B$5,H1467=$B$6,H1467=$B$7,H1467=$B$8,H1467=$B$9,H1467=$B$10,H1467=$B$11,H1467=$B$12,H1467=$B$13,H1467=$B$14),SottocategorieUscite[[#Headers],[Fuori Casa]],IF(OR(H1467=$C$5,H1467=$C$6,H1467=$C$7,H1467=$C$8,H1467=$C$9,H1467=$C$10,H1467=$C$11,H1467=$C$12,H1467=$C$13,H1467=$C$14),SottocategorieUscite[[#Headers],[Varie Uscite]],IF(OR(H1467=$D$5,H1467=$D$6,H1467=$D$7,H1467=$D$8,H1467=$D$9,H1467=$D$10,H1467=$D$11,H1467=$D$12,H1467=$D$13,H1467=$D$14),SottocategorieUscite[[#Headers],[Personali]],IF(OR(H1467=$E$5,H1467=$E$6,H1467=$E$7,H1467=$E$8,H1467=$E$9,H1467=$E$10,H1467=$E$11,H1467=$E$12,H1467=$E$13,H1467=$E$14),SottocategorieUscite[[#Headers],[Lavoro]],IF(OR(H1467=$F$5,H1467=$F$6,H1467=$F$7,H1467=$F$8,H1467=$F$9,H1467=$F$10,H1467=$F$11,H1467=$F$12,H1467=$F$13,H1467=$F$14),SottocategorieUscite[[#Headers],[Casa]],IF(OR(H1467=$G$5,H1467=$G$6,H1467=$G$7,H1467=$G$8,H1467=$G$9,H1467=$G$10,H1467=$G$11,H1467=$G$12,H1467=$G$13,H1467=$G$14),SottocategorieUscite[[#Headers],[Utenze]],IF(OR(H1467=$H$5,H1467=$H$6,H1467=$H$7,H1467=$H$8,H1467=$H$9,H1467=$H$10,H1467=$H$11,H1467=$H$12,H1467=$H$13,H1467=$H$14),SottocategorieUscite[[#Headers],[Business Uscite]],IF(OR(H1467=$I$5,H1467=$I$6,H1467=$I$7,H1467=$I$8,H1467=$I$9,H1467=$I$10,H1467=$I$11,H1467=$I$12,H1467=$I$13,H1467=$I$14),SottocategorieUscite[[#Headers],[Banca]],IF(OR(H1467=K$5,H1467=K$6,H1467=K$7,H1467=K$8,H1467=K$9,H1467=K$10,H1467=K$11,H1467=K$12,H1467=K$13,H1467=K$14),SottocategorieEntrate[[#Headers],[Business Entrate]],IF(OR(H1467=L$5,H1467=L$6,H1467=L$7,H1467=L$8,H1467=L$9,H1467=L$10,H1467=L$11,H1467=L$12,H1467=L$13,H1467=L$14),SottocategorieEntrate[[#Headers],[Varie Entrate]],IF(OR(H1467=M$5,H1467=M$6,H1467=M$7,H1467=M$8,H1467=M$9,H1467=M$10,H1467=M$11,H1467=M$12,H1467=M$13,H1467=M$14),SottocategorieEntrate[[#Headers],[Real Estate]],IF(OR(H1467=N$5,H1467=N$6,H1467=N$7,H1467=N$8,H1467=N$9,H1467=N$10,H1467=N$11,H1467=N$12,H1467=N$13,H1467=N$14),SottocategorieEntrate[[#Headers],[Other]],""))))))))))))</f>
        <v/>
      </c>
      <c r="J1467" t="str">
        <f>IF(OR(Dati[[#This Row],[Categoria]]="Bollette",Dati[[#This Row],[Categoria]]="Conto &amp; Carte BNL",Dati[[#This Row],[Categoria]]="Prelievo",Dati[[#This Row],[Categoria]]="Affitto",Dati[[#This Row],[Categoria]]="BNL(Interessi Creditori)"),"Carta",IF(Dati[[#This Row],[Categoria]]&lt;&gt;0,"Cash",""))</f>
        <v/>
      </c>
      <c r="K1467" s="59" t="str">
        <f>IF(OR(Data!$I1467=SottocategorieUscite[[#Headers],[Fuori Casa]],Data!$I1467=SottocategorieUscite[[#Headers],[Varie Uscite]],Data!$I1467=SottocategorieUscite[[#Headers],[Personali]],Data!$I1467=SottocategorieUscite[[#Headers],[Lavoro]]),"$ -","")</f>
        <v/>
      </c>
      <c r="L1467" s="59" t="str">
        <f>IF(OR(Data!$I1467=SottocategorieUscite[[#Headers],[Casa]],Data!$I1467=SottocategorieUscite[[#Headers],[Utenze]],Data!$I1467=SottocategorieUscite[[#Headers],[Business Uscite]],Data!$I1467=SottocategorieUscite[[#Headers],[Banca]]),"$ -","")</f>
        <v/>
      </c>
      <c r="M1467" s="59" t="str">
        <f>IF(OR($I1467&lt;&gt;SottocategorieUscite[[#Headers],[Fuori Casa]],$I1467&lt;&gt;SottocategorieUscite[[#Headers],[Varie Uscite]],$I1467&lt;&gt;SottocategorieUscite[[#Headers],[Personali]],$I1467&lt;&gt;SottocategorieUscite[[#Headers],[Lavoro]],$I1467&lt;&gt;SottocategorieUscite[[#Headers],[Casa]],$I1467&lt;&gt;SottocategorieUscite[[#Headers],[Utenze]],$I1467&lt;&gt;SottocategorieUscite[[#Headers],[Business Uscite]],$I1467&lt;&gt;SottocategorieUscite[[#Headers],[Banca]]),"","$ -")</f>
        <v/>
      </c>
      <c r="N1467" s="59" t="str">
        <f>IF(OR(Data!$I1467=SottocategorieEntrate[[#Headers],[Business Entrate]],Data!$I1467=SottocategorieEntrate[[#Headers],[Varie Entrate]]),"$ -","")</f>
        <v/>
      </c>
      <c r="O1467" s="59" t="str">
        <f>IF(OR(Data!$I1467=SottocategorieEntrate[[#Headers],[Real Estate]],SottocategorieEntrate[[#Headers],[Other]]),"$ -","")</f>
        <v/>
      </c>
      <c r="P1467" s="59" t="str">
        <f>IF(OR($I1467&lt;&gt;SottocategorieEntrate[[#Headers],[Business Entrate]],$I1467&lt;&gt;SottocategorieEntrate[[#Headers],[Varie Entrate]],$I1467&lt;&gt;SottocategorieEntrate[[#Headers],[Real Estate]],$I1467&lt;&gt;SottocategorieEntrate[[#Headers],[Other]]),"","$ -")</f>
        <v/>
      </c>
      <c r="Q1467" s="59" t="str">
        <f>IF(Dati[[#This Row],[Categoria]]="Prelievo","€ -","")</f>
        <v/>
      </c>
      <c r="R1467" s="244"/>
      <c r="S1467" s="59" t="str">
        <f>IF(Dati[[#This Row],[Categoria]]="Savings",0,"")</f>
        <v/>
      </c>
      <c r="T1467" s="59"/>
      <c r="U1467" s="59"/>
      <c r="V1467" s="59"/>
      <c r="W1467" s="59"/>
      <c r="X1467" s="59"/>
      <c r="Y1467" s="59"/>
      <c r="Z1467" s="59"/>
      <c r="AA1467" s="59"/>
      <c r="AB1467" s="59"/>
      <c r="AC1467" s="59"/>
      <c r="AD1467" s="59"/>
      <c r="AE1467" s="59"/>
      <c r="AF1467" s="59"/>
      <c r="AG1467" s="59"/>
      <c r="AH1467" s="59"/>
      <c r="AI1467" s="59" t="str">
        <f>IF(SUM(Dati[[#This Row],[Inv. Business]:[Inv. Cryptocurrency]])=0," ",SUM(Dati[[#This Row],[Inv. Business]:[Inv. Cryptocurrency]]))</f>
        <v xml:space="preserve"> </v>
      </c>
      <c r="AJ1467" s="59"/>
      <c r="AK1467" s="59" t="str">
        <f>IF(SUM(Dati[[#This Row],[Inv. Gold]:[Mutuo]])=0," ",SUM(Dati[[#This Row],[Inv. Gold]:[Mutuo]]))</f>
        <v xml:space="preserve"> </v>
      </c>
      <c r="AL1467" s="59"/>
      <c r="AM1467" s="59"/>
    </row>
    <row r="1468" spans="2:39" x14ac:dyDescent="0.35">
      <c r="B1468" s="237">
        <f t="shared" si="109"/>
        <v>1448</v>
      </c>
      <c r="C1468" s="49">
        <f t="shared" si="108"/>
        <v>46026</v>
      </c>
      <c r="D1468" s="29">
        <f>DAY(Dati[[#This Row],[Data]])</f>
        <v>4</v>
      </c>
      <c r="E1468" s="29" t="str">
        <f>IF(DAY(Data!$C$21:$C$1613)&gt;0,TEXT(Data!$C$21:$C$1613, "mmmm"),"")</f>
        <v>gennaio</v>
      </c>
      <c r="F1468" s="29" t="str">
        <f>IF(DAY(Data!$C$21:$C$1613)&gt;0,TEXT(Data!$C$21:$C$1613, "aaaa"),"")</f>
        <v>2026</v>
      </c>
      <c r="I1468" t="str">
        <f>IF(OR(H1468=$B$5,H1468=$B$6,H1468=$B$7,H1468=$B$8,H1468=$B$9,H1468=$B$10,H1468=$B$11,H1468=$B$12,H1468=$B$13,H1468=$B$14),SottocategorieUscite[[#Headers],[Fuori Casa]],IF(OR(H1468=$C$5,H1468=$C$6,H1468=$C$7,H1468=$C$8,H1468=$C$9,H1468=$C$10,H1468=$C$11,H1468=$C$12,H1468=$C$13,H1468=$C$14),SottocategorieUscite[[#Headers],[Varie Uscite]],IF(OR(H1468=$D$5,H1468=$D$6,H1468=$D$7,H1468=$D$8,H1468=$D$9,H1468=$D$10,H1468=$D$11,H1468=$D$12,H1468=$D$13,H1468=$D$14),SottocategorieUscite[[#Headers],[Personali]],IF(OR(H1468=$E$5,H1468=$E$6,H1468=$E$7,H1468=$E$8,H1468=$E$9,H1468=$E$10,H1468=$E$11,H1468=$E$12,H1468=$E$13,H1468=$E$14),SottocategorieUscite[[#Headers],[Lavoro]],IF(OR(H1468=$F$5,H1468=$F$6,H1468=$F$7,H1468=$F$8,H1468=$F$9,H1468=$F$10,H1468=$F$11,H1468=$F$12,H1468=$F$13,H1468=$F$14),SottocategorieUscite[[#Headers],[Casa]],IF(OR(H1468=$G$5,H1468=$G$6,H1468=$G$7,H1468=$G$8,H1468=$G$9,H1468=$G$10,H1468=$G$11,H1468=$G$12,H1468=$G$13,H1468=$G$14),SottocategorieUscite[[#Headers],[Utenze]],IF(OR(H1468=$H$5,H1468=$H$6,H1468=$H$7,H1468=$H$8,H1468=$H$9,H1468=$H$10,H1468=$H$11,H1468=$H$12,H1468=$H$13,H1468=$H$14),SottocategorieUscite[[#Headers],[Business Uscite]],IF(OR(H1468=$I$5,H1468=$I$6,H1468=$I$7,H1468=$I$8,H1468=$I$9,H1468=$I$10,H1468=$I$11,H1468=$I$12,H1468=$I$13,H1468=$I$14),SottocategorieUscite[[#Headers],[Banca]],IF(OR(H1468=K$5,H1468=K$6,H1468=K$7,H1468=K$8,H1468=K$9,H1468=K$10,H1468=K$11,H1468=K$12,H1468=K$13,H1468=K$14),SottocategorieEntrate[[#Headers],[Business Entrate]],IF(OR(H1468=L$5,H1468=L$6,H1468=L$7,H1468=L$8,H1468=L$9,H1468=L$10,H1468=L$11,H1468=L$12,H1468=L$13,H1468=L$14),SottocategorieEntrate[[#Headers],[Varie Entrate]],IF(OR(H1468=M$5,H1468=M$6,H1468=M$7,H1468=M$8,H1468=M$9,H1468=M$10,H1468=M$11,H1468=M$12,H1468=M$13,H1468=M$14),SottocategorieEntrate[[#Headers],[Real Estate]],IF(OR(H1468=N$5,H1468=N$6,H1468=N$7,H1468=N$8,H1468=N$9,H1468=N$10,H1468=N$11,H1468=N$12,H1468=N$13,H1468=N$14),SottocategorieEntrate[[#Headers],[Other]],""))))))))))))</f>
        <v/>
      </c>
      <c r="J1468" t="str">
        <f>IF(OR(Dati[[#This Row],[Categoria]]="Bollette",Dati[[#This Row],[Categoria]]="Conto &amp; Carte BNL",Dati[[#This Row],[Categoria]]="Prelievo",Dati[[#This Row],[Categoria]]="Affitto",Dati[[#This Row],[Categoria]]="BNL(Interessi Creditori)"),"Carta",IF(Dati[[#This Row],[Categoria]]&lt;&gt;0,"Cash",""))</f>
        <v/>
      </c>
      <c r="K1468" s="59" t="str">
        <f>IF(OR(Data!$I1468=SottocategorieUscite[[#Headers],[Fuori Casa]],Data!$I1468=SottocategorieUscite[[#Headers],[Varie Uscite]],Data!$I1468=SottocategorieUscite[[#Headers],[Personali]],Data!$I1468=SottocategorieUscite[[#Headers],[Lavoro]]),"$ -","")</f>
        <v/>
      </c>
      <c r="L1468" s="59" t="str">
        <f>IF(OR(Data!$I1468=SottocategorieUscite[[#Headers],[Casa]],Data!$I1468=SottocategorieUscite[[#Headers],[Utenze]],Data!$I1468=SottocategorieUscite[[#Headers],[Business Uscite]],Data!$I1468=SottocategorieUscite[[#Headers],[Banca]]),"$ -","")</f>
        <v/>
      </c>
      <c r="M1468" s="59" t="str">
        <f>IF(OR($I1468&lt;&gt;SottocategorieUscite[[#Headers],[Fuori Casa]],$I1468&lt;&gt;SottocategorieUscite[[#Headers],[Varie Uscite]],$I1468&lt;&gt;SottocategorieUscite[[#Headers],[Personali]],$I1468&lt;&gt;SottocategorieUscite[[#Headers],[Lavoro]],$I1468&lt;&gt;SottocategorieUscite[[#Headers],[Casa]],$I1468&lt;&gt;SottocategorieUscite[[#Headers],[Utenze]],$I1468&lt;&gt;SottocategorieUscite[[#Headers],[Business Uscite]],$I1468&lt;&gt;SottocategorieUscite[[#Headers],[Banca]]),"","$ -")</f>
        <v/>
      </c>
      <c r="N1468" s="59" t="str">
        <f>IF(OR(Data!$I1468=SottocategorieEntrate[[#Headers],[Business Entrate]],Data!$I1468=SottocategorieEntrate[[#Headers],[Varie Entrate]]),"$ -","")</f>
        <v/>
      </c>
      <c r="O1468" s="59" t="str">
        <f>IF(OR(Data!$I1468=SottocategorieEntrate[[#Headers],[Real Estate]],SottocategorieEntrate[[#Headers],[Other]]),"$ -","")</f>
        <v/>
      </c>
      <c r="P1468" s="59" t="str">
        <f>IF(OR($I1468&lt;&gt;SottocategorieEntrate[[#Headers],[Business Entrate]],$I1468&lt;&gt;SottocategorieEntrate[[#Headers],[Varie Entrate]],$I1468&lt;&gt;SottocategorieEntrate[[#Headers],[Real Estate]],$I1468&lt;&gt;SottocategorieEntrate[[#Headers],[Other]]),"","$ -")</f>
        <v/>
      </c>
      <c r="Q1468" s="59" t="str">
        <f>IF(Dati[[#This Row],[Categoria]]="Prelievo","€ -","")</f>
        <v/>
      </c>
      <c r="R1468" s="244"/>
      <c r="S1468" s="59" t="str">
        <f>IF(Dati[[#This Row],[Categoria]]="Savings",0,"")</f>
        <v/>
      </c>
      <c r="T1468" s="59"/>
      <c r="U1468" s="59"/>
      <c r="V1468" s="59"/>
      <c r="W1468" s="59"/>
      <c r="X1468" s="59"/>
      <c r="Y1468" s="59"/>
      <c r="Z1468" s="59"/>
      <c r="AA1468" s="59"/>
      <c r="AB1468" s="59"/>
      <c r="AC1468" s="59"/>
      <c r="AD1468" s="59"/>
      <c r="AE1468" s="59"/>
      <c r="AF1468" s="59"/>
      <c r="AG1468" s="59"/>
      <c r="AH1468" s="59"/>
      <c r="AI1468" s="59" t="str">
        <f>IF(SUM(Dati[[#This Row],[Inv. Business]:[Inv. Cryptocurrency]])=0," ",SUM(Dati[[#This Row],[Inv. Business]:[Inv. Cryptocurrency]]))</f>
        <v xml:space="preserve"> </v>
      </c>
      <c r="AJ1468" s="59"/>
      <c r="AK1468" s="59" t="str">
        <f>IF(SUM(Dati[[#This Row],[Inv. Gold]:[Mutuo]])=0," ",SUM(Dati[[#This Row],[Inv. Gold]:[Mutuo]]))</f>
        <v xml:space="preserve"> </v>
      </c>
      <c r="AL1468" s="59"/>
      <c r="AM1468" s="59"/>
    </row>
    <row r="1469" spans="2:39" x14ac:dyDescent="0.35">
      <c r="B1469" s="237">
        <f t="shared" si="109"/>
        <v>1449</v>
      </c>
      <c r="C1469" s="49">
        <f t="shared" si="108"/>
        <v>46027</v>
      </c>
      <c r="D1469" s="29">
        <f>DAY(Dati[[#This Row],[Data]])</f>
        <v>5</v>
      </c>
      <c r="E1469" s="29" t="str">
        <f>IF(DAY(Data!$C$21:$C$1613)&gt;0,TEXT(Data!$C$21:$C$1613, "mmmm"),"")</f>
        <v>gennaio</v>
      </c>
      <c r="F1469" s="29" t="str">
        <f>IF(DAY(Data!$C$21:$C$1613)&gt;0,TEXT(Data!$C$21:$C$1613, "aaaa"),"")</f>
        <v>2026</v>
      </c>
      <c r="I1469" t="str">
        <f>IF(OR(H1469=$B$5,H1469=$B$6,H1469=$B$7,H1469=$B$8,H1469=$B$9,H1469=$B$10,H1469=$B$11,H1469=$B$12,H1469=$B$13,H1469=$B$14),SottocategorieUscite[[#Headers],[Fuori Casa]],IF(OR(H1469=$C$5,H1469=$C$6,H1469=$C$7,H1469=$C$8,H1469=$C$9,H1469=$C$10,H1469=$C$11,H1469=$C$12,H1469=$C$13,H1469=$C$14),SottocategorieUscite[[#Headers],[Varie Uscite]],IF(OR(H1469=$D$5,H1469=$D$6,H1469=$D$7,H1469=$D$8,H1469=$D$9,H1469=$D$10,H1469=$D$11,H1469=$D$12,H1469=$D$13,H1469=$D$14),SottocategorieUscite[[#Headers],[Personali]],IF(OR(H1469=$E$5,H1469=$E$6,H1469=$E$7,H1469=$E$8,H1469=$E$9,H1469=$E$10,H1469=$E$11,H1469=$E$12,H1469=$E$13,H1469=$E$14),SottocategorieUscite[[#Headers],[Lavoro]],IF(OR(H1469=$F$5,H1469=$F$6,H1469=$F$7,H1469=$F$8,H1469=$F$9,H1469=$F$10,H1469=$F$11,H1469=$F$12,H1469=$F$13,H1469=$F$14),SottocategorieUscite[[#Headers],[Casa]],IF(OR(H1469=$G$5,H1469=$G$6,H1469=$G$7,H1469=$G$8,H1469=$G$9,H1469=$G$10,H1469=$G$11,H1469=$G$12,H1469=$G$13,H1469=$G$14),SottocategorieUscite[[#Headers],[Utenze]],IF(OR(H1469=$H$5,H1469=$H$6,H1469=$H$7,H1469=$H$8,H1469=$H$9,H1469=$H$10,H1469=$H$11,H1469=$H$12,H1469=$H$13,H1469=$H$14),SottocategorieUscite[[#Headers],[Business Uscite]],IF(OR(H1469=$I$5,H1469=$I$6,H1469=$I$7,H1469=$I$8,H1469=$I$9,H1469=$I$10,H1469=$I$11,H1469=$I$12,H1469=$I$13,H1469=$I$14),SottocategorieUscite[[#Headers],[Banca]],IF(OR(H1469=K$5,H1469=K$6,H1469=K$7,H1469=K$8,H1469=K$9,H1469=K$10,H1469=K$11,H1469=K$12,H1469=K$13,H1469=K$14),SottocategorieEntrate[[#Headers],[Business Entrate]],IF(OR(H1469=L$5,H1469=L$6,H1469=L$7,H1469=L$8,H1469=L$9,H1469=L$10,H1469=L$11,H1469=L$12,H1469=L$13,H1469=L$14),SottocategorieEntrate[[#Headers],[Varie Entrate]],IF(OR(H1469=M$5,H1469=M$6,H1469=M$7,H1469=M$8,H1469=M$9,H1469=M$10,H1469=M$11,H1469=M$12,H1469=M$13,H1469=M$14),SottocategorieEntrate[[#Headers],[Real Estate]],IF(OR(H1469=N$5,H1469=N$6,H1469=N$7,H1469=N$8,H1469=N$9,H1469=N$10,H1469=N$11,H1469=N$12,H1469=N$13,H1469=N$14),SottocategorieEntrate[[#Headers],[Other]],""))))))))))))</f>
        <v/>
      </c>
      <c r="J1469" t="str">
        <f>IF(OR(Dati[[#This Row],[Categoria]]="Bollette",Dati[[#This Row],[Categoria]]="Conto &amp; Carte BNL",Dati[[#This Row],[Categoria]]="Prelievo",Dati[[#This Row],[Categoria]]="Affitto",Dati[[#This Row],[Categoria]]="BNL(Interessi Creditori)"),"Carta",IF(Dati[[#This Row],[Categoria]]&lt;&gt;0,"Cash",""))</f>
        <v/>
      </c>
      <c r="K1469" s="59" t="str">
        <f>IF(OR(Data!$I1469=SottocategorieUscite[[#Headers],[Fuori Casa]],Data!$I1469=SottocategorieUscite[[#Headers],[Varie Uscite]],Data!$I1469=SottocategorieUscite[[#Headers],[Personali]],Data!$I1469=SottocategorieUscite[[#Headers],[Lavoro]]),"$ -","")</f>
        <v/>
      </c>
      <c r="L1469" s="59" t="str">
        <f>IF(OR(Data!$I1469=SottocategorieUscite[[#Headers],[Casa]],Data!$I1469=SottocategorieUscite[[#Headers],[Utenze]],Data!$I1469=SottocategorieUscite[[#Headers],[Business Uscite]],Data!$I1469=SottocategorieUscite[[#Headers],[Banca]]),"$ -","")</f>
        <v/>
      </c>
      <c r="M1469" s="59" t="str">
        <f>IF(OR($I1469&lt;&gt;SottocategorieUscite[[#Headers],[Fuori Casa]],$I1469&lt;&gt;SottocategorieUscite[[#Headers],[Varie Uscite]],$I1469&lt;&gt;SottocategorieUscite[[#Headers],[Personali]],$I1469&lt;&gt;SottocategorieUscite[[#Headers],[Lavoro]],$I1469&lt;&gt;SottocategorieUscite[[#Headers],[Casa]],$I1469&lt;&gt;SottocategorieUscite[[#Headers],[Utenze]],$I1469&lt;&gt;SottocategorieUscite[[#Headers],[Business Uscite]],$I1469&lt;&gt;SottocategorieUscite[[#Headers],[Banca]]),"","$ -")</f>
        <v/>
      </c>
      <c r="N1469" s="59" t="str">
        <f>IF(OR(Data!$I1469=SottocategorieEntrate[[#Headers],[Business Entrate]],Data!$I1469=SottocategorieEntrate[[#Headers],[Varie Entrate]]),"$ -","")</f>
        <v/>
      </c>
      <c r="O1469" s="59" t="str">
        <f>IF(OR(Data!$I1469=SottocategorieEntrate[[#Headers],[Real Estate]],SottocategorieEntrate[[#Headers],[Other]]),"$ -","")</f>
        <v/>
      </c>
      <c r="P1469" s="59" t="str">
        <f>IF(OR($I1469&lt;&gt;SottocategorieEntrate[[#Headers],[Business Entrate]],$I1469&lt;&gt;SottocategorieEntrate[[#Headers],[Varie Entrate]],$I1469&lt;&gt;SottocategorieEntrate[[#Headers],[Real Estate]],$I1469&lt;&gt;SottocategorieEntrate[[#Headers],[Other]]),"","$ -")</f>
        <v/>
      </c>
      <c r="Q1469" s="59" t="str">
        <f>IF(Dati[[#This Row],[Categoria]]="Prelievo","€ -","")</f>
        <v/>
      </c>
      <c r="R1469" s="244"/>
      <c r="S1469" s="59" t="str">
        <f>IF(Dati[[#This Row],[Categoria]]="Savings",0,"")</f>
        <v/>
      </c>
      <c r="T1469" s="59"/>
      <c r="U1469" s="59"/>
      <c r="V1469" s="59"/>
      <c r="W1469" s="59"/>
      <c r="X1469" s="59"/>
      <c r="Y1469" s="59"/>
      <c r="Z1469" s="59"/>
      <c r="AA1469" s="59"/>
      <c r="AB1469" s="59"/>
      <c r="AC1469" s="59"/>
      <c r="AD1469" s="59"/>
      <c r="AE1469" s="59"/>
      <c r="AF1469" s="59"/>
      <c r="AG1469" s="59"/>
      <c r="AH1469" s="59"/>
      <c r="AI1469" s="59" t="str">
        <f>IF(SUM(Dati[[#This Row],[Inv. Business]:[Inv. Cryptocurrency]])=0," ",SUM(Dati[[#This Row],[Inv. Business]:[Inv. Cryptocurrency]]))</f>
        <v xml:space="preserve"> </v>
      </c>
      <c r="AJ1469" s="59"/>
      <c r="AK1469" s="59" t="str">
        <f>IF(SUM(Dati[[#This Row],[Inv. Gold]:[Mutuo]])=0," ",SUM(Dati[[#This Row],[Inv. Gold]:[Mutuo]]))</f>
        <v xml:space="preserve"> </v>
      </c>
      <c r="AL1469" s="59"/>
      <c r="AM1469" s="59"/>
    </row>
    <row r="1470" spans="2:39" x14ac:dyDescent="0.35">
      <c r="B1470" s="237">
        <f t="shared" si="109"/>
        <v>1450</v>
      </c>
      <c r="C1470" s="49">
        <f t="shared" si="108"/>
        <v>46028</v>
      </c>
      <c r="D1470" s="29">
        <f>DAY(Dati[[#This Row],[Data]])</f>
        <v>6</v>
      </c>
      <c r="E1470" s="29" t="str">
        <f>IF(DAY(Data!$C$21:$C$1613)&gt;0,TEXT(Data!$C$21:$C$1613, "mmmm"),"")</f>
        <v>gennaio</v>
      </c>
      <c r="F1470" s="29" t="str">
        <f>IF(DAY(Data!$C$21:$C$1613)&gt;0,TEXT(Data!$C$21:$C$1613, "aaaa"),"")</f>
        <v>2026</v>
      </c>
      <c r="I1470" t="str">
        <f>IF(OR(H1470=$B$5,H1470=$B$6,H1470=$B$7,H1470=$B$8,H1470=$B$9,H1470=$B$10,H1470=$B$11,H1470=$B$12,H1470=$B$13,H1470=$B$14),SottocategorieUscite[[#Headers],[Fuori Casa]],IF(OR(H1470=$C$5,H1470=$C$6,H1470=$C$7,H1470=$C$8,H1470=$C$9,H1470=$C$10,H1470=$C$11,H1470=$C$12,H1470=$C$13,H1470=$C$14),SottocategorieUscite[[#Headers],[Varie Uscite]],IF(OR(H1470=$D$5,H1470=$D$6,H1470=$D$7,H1470=$D$8,H1470=$D$9,H1470=$D$10,H1470=$D$11,H1470=$D$12,H1470=$D$13,H1470=$D$14),SottocategorieUscite[[#Headers],[Personali]],IF(OR(H1470=$E$5,H1470=$E$6,H1470=$E$7,H1470=$E$8,H1470=$E$9,H1470=$E$10,H1470=$E$11,H1470=$E$12,H1470=$E$13,H1470=$E$14),SottocategorieUscite[[#Headers],[Lavoro]],IF(OR(H1470=$F$5,H1470=$F$6,H1470=$F$7,H1470=$F$8,H1470=$F$9,H1470=$F$10,H1470=$F$11,H1470=$F$12,H1470=$F$13,H1470=$F$14),SottocategorieUscite[[#Headers],[Casa]],IF(OR(H1470=$G$5,H1470=$G$6,H1470=$G$7,H1470=$G$8,H1470=$G$9,H1470=$G$10,H1470=$G$11,H1470=$G$12,H1470=$G$13,H1470=$G$14),SottocategorieUscite[[#Headers],[Utenze]],IF(OR(H1470=$H$5,H1470=$H$6,H1470=$H$7,H1470=$H$8,H1470=$H$9,H1470=$H$10,H1470=$H$11,H1470=$H$12,H1470=$H$13,H1470=$H$14),SottocategorieUscite[[#Headers],[Business Uscite]],IF(OR(H1470=$I$5,H1470=$I$6,H1470=$I$7,H1470=$I$8,H1470=$I$9,H1470=$I$10,H1470=$I$11,H1470=$I$12,H1470=$I$13,H1470=$I$14),SottocategorieUscite[[#Headers],[Banca]],IF(OR(H1470=K$5,H1470=K$6,H1470=K$7,H1470=K$8,H1470=K$9,H1470=K$10,H1470=K$11,H1470=K$12,H1470=K$13,H1470=K$14),SottocategorieEntrate[[#Headers],[Business Entrate]],IF(OR(H1470=L$5,H1470=L$6,H1470=L$7,H1470=L$8,H1470=L$9,H1470=L$10,H1470=L$11,H1470=L$12,H1470=L$13,H1470=L$14),SottocategorieEntrate[[#Headers],[Varie Entrate]],IF(OR(H1470=M$5,H1470=M$6,H1470=M$7,H1470=M$8,H1470=M$9,H1470=M$10,H1470=M$11,H1470=M$12,H1470=M$13,H1470=M$14),SottocategorieEntrate[[#Headers],[Real Estate]],IF(OR(H1470=N$5,H1470=N$6,H1470=N$7,H1470=N$8,H1470=N$9,H1470=N$10,H1470=N$11,H1470=N$12,H1470=N$13,H1470=N$14),SottocategorieEntrate[[#Headers],[Other]],""))))))))))))</f>
        <v/>
      </c>
      <c r="J1470" t="str">
        <f>IF(OR(Dati[[#This Row],[Categoria]]="Bollette",Dati[[#This Row],[Categoria]]="Conto &amp; Carte BNL",Dati[[#This Row],[Categoria]]="Prelievo",Dati[[#This Row],[Categoria]]="Affitto",Dati[[#This Row],[Categoria]]="BNL(Interessi Creditori)"),"Carta",IF(Dati[[#This Row],[Categoria]]&lt;&gt;0,"Cash",""))</f>
        <v/>
      </c>
      <c r="K1470" s="59" t="str">
        <f>IF(OR(Data!$I1470=SottocategorieUscite[[#Headers],[Fuori Casa]],Data!$I1470=SottocategorieUscite[[#Headers],[Varie Uscite]],Data!$I1470=SottocategorieUscite[[#Headers],[Personali]],Data!$I1470=SottocategorieUscite[[#Headers],[Lavoro]]),"$ -","")</f>
        <v/>
      </c>
      <c r="L1470" s="59" t="str">
        <f>IF(OR(Data!$I1470=SottocategorieUscite[[#Headers],[Casa]],Data!$I1470=SottocategorieUscite[[#Headers],[Utenze]],Data!$I1470=SottocategorieUscite[[#Headers],[Business Uscite]],Data!$I1470=SottocategorieUscite[[#Headers],[Banca]]),"$ -","")</f>
        <v/>
      </c>
      <c r="M1470" s="59" t="str">
        <f>IF(OR($I1470&lt;&gt;SottocategorieUscite[[#Headers],[Fuori Casa]],$I1470&lt;&gt;SottocategorieUscite[[#Headers],[Varie Uscite]],$I1470&lt;&gt;SottocategorieUscite[[#Headers],[Personali]],$I1470&lt;&gt;SottocategorieUscite[[#Headers],[Lavoro]],$I1470&lt;&gt;SottocategorieUscite[[#Headers],[Casa]],$I1470&lt;&gt;SottocategorieUscite[[#Headers],[Utenze]],$I1470&lt;&gt;SottocategorieUscite[[#Headers],[Business Uscite]],$I1470&lt;&gt;SottocategorieUscite[[#Headers],[Banca]]),"","$ -")</f>
        <v/>
      </c>
      <c r="N1470" s="59" t="str">
        <f>IF(OR(Data!$I1470=SottocategorieEntrate[[#Headers],[Business Entrate]],Data!$I1470=SottocategorieEntrate[[#Headers],[Varie Entrate]]),"$ -","")</f>
        <v/>
      </c>
      <c r="O1470" s="59" t="str">
        <f>IF(OR(Data!$I1470=SottocategorieEntrate[[#Headers],[Real Estate]],SottocategorieEntrate[[#Headers],[Other]]),"$ -","")</f>
        <v/>
      </c>
      <c r="P1470" s="59" t="str">
        <f>IF(OR($I1470&lt;&gt;SottocategorieEntrate[[#Headers],[Business Entrate]],$I1470&lt;&gt;SottocategorieEntrate[[#Headers],[Varie Entrate]],$I1470&lt;&gt;SottocategorieEntrate[[#Headers],[Real Estate]],$I1470&lt;&gt;SottocategorieEntrate[[#Headers],[Other]]),"","$ -")</f>
        <v/>
      </c>
      <c r="Q1470" s="59" t="str">
        <f>IF(Dati[[#This Row],[Categoria]]="Prelievo","€ -","")</f>
        <v/>
      </c>
      <c r="R1470" s="244"/>
      <c r="S1470" s="59" t="str">
        <f>IF(Dati[[#This Row],[Categoria]]="Savings",0,"")</f>
        <v/>
      </c>
      <c r="T1470" s="59"/>
      <c r="U1470" s="59"/>
      <c r="V1470" s="59"/>
      <c r="W1470" s="59"/>
      <c r="X1470" s="59"/>
      <c r="Y1470" s="59"/>
      <c r="Z1470" s="59"/>
      <c r="AA1470" s="59"/>
      <c r="AB1470" s="59"/>
      <c r="AC1470" s="59"/>
      <c r="AD1470" s="59"/>
      <c r="AE1470" s="59"/>
      <c r="AF1470" s="59"/>
      <c r="AG1470" s="59"/>
      <c r="AH1470" s="59"/>
      <c r="AI1470" s="59" t="str">
        <f>IF(SUM(Dati[[#This Row],[Inv. Business]:[Inv. Cryptocurrency]])=0," ",SUM(Dati[[#This Row],[Inv. Business]:[Inv. Cryptocurrency]]))</f>
        <v xml:space="preserve"> </v>
      </c>
      <c r="AJ1470" s="59"/>
      <c r="AK1470" s="59" t="str">
        <f>IF(SUM(Dati[[#This Row],[Inv. Gold]:[Mutuo]])=0," ",SUM(Dati[[#This Row],[Inv. Gold]:[Mutuo]]))</f>
        <v xml:space="preserve"> </v>
      </c>
      <c r="AL1470" s="59"/>
      <c r="AM1470" s="59"/>
    </row>
    <row r="1471" spans="2:39" x14ac:dyDescent="0.35">
      <c r="B1471" s="237">
        <f t="shared" si="109"/>
        <v>1451</v>
      </c>
      <c r="C1471" s="49">
        <f t="shared" si="108"/>
        <v>46029</v>
      </c>
      <c r="D1471" s="29">
        <f>DAY(Dati[[#This Row],[Data]])</f>
        <v>7</v>
      </c>
      <c r="E1471" s="29" t="str">
        <f>IF(DAY(Data!$C$21:$C$1613)&gt;0,TEXT(Data!$C$21:$C$1613, "mmmm"),"")</f>
        <v>gennaio</v>
      </c>
      <c r="F1471" s="29" t="str">
        <f>IF(DAY(Data!$C$21:$C$1613)&gt;0,TEXT(Data!$C$21:$C$1613, "aaaa"),"")</f>
        <v>2026</v>
      </c>
      <c r="I1471" t="str">
        <f>IF(OR(H1471=$B$5,H1471=$B$6,H1471=$B$7,H1471=$B$8,H1471=$B$9,H1471=$B$10,H1471=$B$11,H1471=$B$12,H1471=$B$13,H1471=$B$14),SottocategorieUscite[[#Headers],[Fuori Casa]],IF(OR(H1471=$C$5,H1471=$C$6,H1471=$C$7,H1471=$C$8,H1471=$C$9,H1471=$C$10,H1471=$C$11,H1471=$C$12,H1471=$C$13,H1471=$C$14),SottocategorieUscite[[#Headers],[Varie Uscite]],IF(OR(H1471=$D$5,H1471=$D$6,H1471=$D$7,H1471=$D$8,H1471=$D$9,H1471=$D$10,H1471=$D$11,H1471=$D$12,H1471=$D$13,H1471=$D$14),SottocategorieUscite[[#Headers],[Personali]],IF(OR(H1471=$E$5,H1471=$E$6,H1471=$E$7,H1471=$E$8,H1471=$E$9,H1471=$E$10,H1471=$E$11,H1471=$E$12,H1471=$E$13,H1471=$E$14),SottocategorieUscite[[#Headers],[Lavoro]],IF(OR(H1471=$F$5,H1471=$F$6,H1471=$F$7,H1471=$F$8,H1471=$F$9,H1471=$F$10,H1471=$F$11,H1471=$F$12,H1471=$F$13,H1471=$F$14),SottocategorieUscite[[#Headers],[Casa]],IF(OR(H1471=$G$5,H1471=$G$6,H1471=$G$7,H1471=$G$8,H1471=$G$9,H1471=$G$10,H1471=$G$11,H1471=$G$12,H1471=$G$13,H1471=$G$14),SottocategorieUscite[[#Headers],[Utenze]],IF(OR(H1471=$H$5,H1471=$H$6,H1471=$H$7,H1471=$H$8,H1471=$H$9,H1471=$H$10,H1471=$H$11,H1471=$H$12,H1471=$H$13,H1471=$H$14),SottocategorieUscite[[#Headers],[Business Uscite]],IF(OR(H1471=$I$5,H1471=$I$6,H1471=$I$7,H1471=$I$8,H1471=$I$9,H1471=$I$10,H1471=$I$11,H1471=$I$12,H1471=$I$13,H1471=$I$14),SottocategorieUscite[[#Headers],[Banca]],IF(OR(H1471=K$5,H1471=K$6,H1471=K$7,H1471=K$8,H1471=K$9,H1471=K$10,H1471=K$11,H1471=K$12,H1471=K$13,H1471=K$14),SottocategorieEntrate[[#Headers],[Business Entrate]],IF(OR(H1471=L$5,H1471=L$6,H1471=L$7,H1471=L$8,H1471=L$9,H1471=L$10,H1471=L$11,H1471=L$12,H1471=L$13,H1471=L$14),SottocategorieEntrate[[#Headers],[Varie Entrate]],IF(OR(H1471=M$5,H1471=M$6,H1471=M$7,H1471=M$8,H1471=M$9,H1471=M$10,H1471=M$11,H1471=M$12,H1471=M$13,H1471=M$14),SottocategorieEntrate[[#Headers],[Real Estate]],IF(OR(H1471=N$5,H1471=N$6,H1471=N$7,H1471=N$8,H1471=N$9,H1471=N$10,H1471=N$11,H1471=N$12,H1471=N$13,H1471=N$14),SottocategorieEntrate[[#Headers],[Other]],""))))))))))))</f>
        <v/>
      </c>
      <c r="J1471" t="str">
        <f>IF(OR(Dati[[#This Row],[Categoria]]="Bollette",Dati[[#This Row],[Categoria]]="Conto &amp; Carte BNL",Dati[[#This Row],[Categoria]]="Prelievo",Dati[[#This Row],[Categoria]]="Affitto",Dati[[#This Row],[Categoria]]="BNL(Interessi Creditori)"),"Carta",IF(Dati[[#This Row],[Categoria]]&lt;&gt;0,"Cash",""))</f>
        <v/>
      </c>
      <c r="K1471" s="59" t="str">
        <f>IF(OR(Data!$I1471=SottocategorieUscite[[#Headers],[Fuori Casa]],Data!$I1471=SottocategorieUscite[[#Headers],[Varie Uscite]],Data!$I1471=SottocategorieUscite[[#Headers],[Personali]],Data!$I1471=SottocategorieUscite[[#Headers],[Lavoro]]),"$ -","")</f>
        <v/>
      </c>
      <c r="L1471" s="59" t="str">
        <f>IF(OR(Data!$I1471=SottocategorieUscite[[#Headers],[Casa]],Data!$I1471=SottocategorieUscite[[#Headers],[Utenze]],Data!$I1471=SottocategorieUscite[[#Headers],[Business Uscite]],Data!$I1471=SottocategorieUscite[[#Headers],[Banca]]),"$ -","")</f>
        <v/>
      </c>
      <c r="M1471" s="59" t="str">
        <f>IF(OR($I1471&lt;&gt;SottocategorieUscite[[#Headers],[Fuori Casa]],$I1471&lt;&gt;SottocategorieUscite[[#Headers],[Varie Uscite]],$I1471&lt;&gt;SottocategorieUscite[[#Headers],[Personali]],$I1471&lt;&gt;SottocategorieUscite[[#Headers],[Lavoro]],$I1471&lt;&gt;SottocategorieUscite[[#Headers],[Casa]],$I1471&lt;&gt;SottocategorieUscite[[#Headers],[Utenze]],$I1471&lt;&gt;SottocategorieUscite[[#Headers],[Business Uscite]],$I1471&lt;&gt;SottocategorieUscite[[#Headers],[Banca]]),"","$ -")</f>
        <v/>
      </c>
      <c r="N1471" s="59" t="str">
        <f>IF(OR(Data!$I1471=SottocategorieEntrate[[#Headers],[Business Entrate]],Data!$I1471=SottocategorieEntrate[[#Headers],[Varie Entrate]]),"$ -","")</f>
        <v/>
      </c>
      <c r="O1471" s="59" t="str">
        <f>IF(OR(Data!$I1471=SottocategorieEntrate[[#Headers],[Real Estate]],SottocategorieEntrate[[#Headers],[Other]]),"$ -","")</f>
        <v/>
      </c>
      <c r="P1471" s="59" t="str">
        <f>IF(OR($I1471&lt;&gt;SottocategorieEntrate[[#Headers],[Business Entrate]],$I1471&lt;&gt;SottocategorieEntrate[[#Headers],[Varie Entrate]],$I1471&lt;&gt;SottocategorieEntrate[[#Headers],[Real Estate]],$I1471&lt;&gt;SottocategorieEntrate[[#Headers],[Other]]),"","$ -")</f>
        <v/>
      </c>
      <c r="Q1471" s="59" t="str">
        <f>IF(Dati[[#This Row],[Categoria]]="Prelievo","€ -","")</f>
        <v/>
      </c>
      <c r="R1471" s="244"/>
      <c r="S1471" s="59" t="str">
        <f>IF(Dati[[#This Row],[Categoria]]="Savings",0,"")</f>
        <v/>
      </c>
      <c r="T1471" s="59"/>
      <c r="U1471" s="59"/>
      <c r="V1471" s="59"/>
      <c r="W1471" s="59"/>
      <c r="X1471" s="59"/>
      <c r="Y1471" s="59"/>
      <c r="Z1471" s="59"/>
      <c r="AA1471" s="59"/>
      <c r="AB1471" s="59"/>
      <c r="AC1471" s="59"/>
      <c r="AD1471" s="59"/>
      <c r="AE1471" s="59"/>
      <c r="AF1471" s="59"/>
      <c r="AG1471" s="59"/>
      <c r="AH1471" s="59"/>
      <c r="AI1471" s="59" t="str">
        <f>IF(SUM(Dati[[#This Row],[Inv. Business]:[Inv. Cryptocurrency]])=0," ",SUM(Dati[[#This Row],[Inv. Business]:[Inv. Cryptocurrency]]))</f>
        <v xml:space="preserve"> </v>
      </c>
      <c r="AJ1471" s="59"/>
      <c r="AK1471" s="59" t="str">
        <f>IF(SUM(Dati[[#This Row],[Inv. Gold]:[Mutuo]])=0," ",SUM(Dati[[#This Row],[Inv. Gold]:[Mutuo]]))</f>
        <v xml:space="preserve"> </v>
      </c>
      <c r="AL1471" s="59"/>
      <c r="AM1471" s="59"/>
    </row>
    <row r="1472" spans="2:39" x14ac:dyDescent="0.35">
      <c r="B1472" s="237">
        <f t="shared" si="109"/>
        <v>1452</v>
      </c>
      <c r="C1472" s="49">
        <f t="shared" si="108"/>
        <v>46030</v>
      </c>
      <c r="D1472" s="29">
        <f>DAY(Dati[[#This Row],[Data]])</f>
        <v>8</v>
      </c>
      <c r="E1472" s="29" t="str">
        <f>IF(DAY(Data!$C$21:$C$1613)&gt;0,TEXT(Data!$C$21:$C$1613, "mmmm"),"")</f>
        <v>gennaio</v>
      </c>
      <c r="F1472" s="29" t="str">
        <f>IF(DAY(Data!$C$21:$C$1613)&gt;0,TEXT(Data!$C$21:$C$1613, "aaaa"),"")</f>
        <v>2026</v>
      </c>
      <c r="I1472" t="str">
        <f>IF(OR(H1472=$B$5,H1472=$B$6,H1472=$B$7,H1472=$B$8,H1472=$B$9,H1472=$B$10,H1472=$B$11,H1472=$B$12,H1472=$B$13,H1472=$B$14),SottocategorieUscite[[#Headers],[Fuori Casa]],IF(OR(H1472=$C$5,H1472=$C$6,H1472=$C$7,H1472=$C$8,H1472=$C$9,H1472=$C$10,H1472=$C$11,H1472=$C$12,H1472=$C$13,H1472=$C$14),SottocategorieUscite[[#Headers],[Varie Uscite]],IF(OR(H1472=$D$5,H1472=$D$6,H1472=$D$7,H1472=$D$8,H1472=$D$9,H1472=$D$10,H1472=$D$11,H1472=$D$12,H1472=$D$13,H1472=$D$14),SottocategorieUscite[[#Headers],[Personali]],IF(OR(H1472=$E$5,H1472=$E$6,H1472=$E$7,H1472=$E$8,H1472=$E$9,H1472=$E$10,H1472=$E$11,H1472=$E$12,H1472=$E$13,H1472=$E$14),SottocategorieUscite[[#Headers],[Lavoro]],IF(OR(H1472=$F$5,H1472=$F$6,H1472=$F$7,H1472=$F$8,H1472=$F$9,H1472=$F$10,H1472=$F$11,H1472=$F$12,H1472=$F$13,H1472=$F$14),SottocategorieUscite[[#Headers],[Casa]],IF(OR(H1472=$G$5,H1472=$G$6,H1472=$G$7,H1472=$G$8,H1472=$G$9,H1472=$G$10,H1472=$G$11,H1472=$G$12,H1472=$G$13,H1472=$G$14),SottocategorieUscite[[#Headers],[Utenze]],IF(OR(H1472=$H$5,H1472=$H$6,H1472=$H$7,H1472=$H$8,H1472=$H$9,H1472=$H$10,H1472=$H$11,H1472=$H$12,H1472=$H$13,H1472=$H$14),SottocategorieUscite[[#Headers],[Business Uscite]],IF(OR(H1472=$I$5,H1472=$I$6,H1472=$I$7,H1472=$I$8,H1472=$I$9,H1472=$I$10,H1472=$I$11,H1472=$I$12,H1472=$I$13,H1472=$I$14),SottocategorieUscite[[#Headers],[Banca]],IF(OR(H1472=K$5,H1472=K$6,H1472=K$7,H1472=K$8,H1472=K$9,H1472=K$10,H1472=K$11,H1472=K$12,H1472=K$13,H1472=K$14),SottocategorieEntrate[[#Headers],[Business Entrate]],IF(OR(H1472=L$5,H1472=L$6,H1472=L$7,H1472=L$8,H1472=L$9,H1472=L$10,H1472=L$11,H1472=L$12,H1472=L$13,H1472=L$14),SottocategorieEntrate[[#Headers],[Varie Entrate]],IF(OR(H1472=M$5,H1472=M$6,H1472=M$7,H1472=M$8,H1472=M$9,H1472=M$10,H1472=M$11,H1472=M$12,H1472=M$13,H1472=M$14),SottocategorieEntrate[[#Headers],[Real Estate]],IF(OR(H1472=N$5,H1472=N$6,H1472=N$7,H1472=N$8,H1472=N$9,H1472=N$10,H1472=N$11,H1472=N$12,H1472=N$13,H1472=N$14),SottocategorieEntrate[[#Headers],[Other]],""))))))))))))</f>
        <v/>
      </c>
      <c r="J1472" t="str">
        <f>IF(OR(Dati[[#This Row],[Categoria]]="Bollette",Dati[[#This Row],[Categoria]]="Conto &amp; Carte BNL",Dati[[#This Row],[Categoria]]="Prelievo",Dati[[#This Row],[Categoria]]="Affitto",Dati[[#This Row],[Categoria]]="BNL(Interessi Creditori)"),"Carta",IF(Dati[[#This Row],[Categoria]]&lt;&gt;0,"Cash",""))</f>
        <v/>
      </c>
      <c r="K1472" s="59" t="str">
        <f>IF(OR(Data!$I1472=SottocategorieUscite[[#Headers],[Fuori Casa]],Data!$I1472=SottocategorieUscite[[#Headers],[Varie Uscite]],Data!$I1472=SottocategorieUscite[[#Headers],[Personali]],Data!$I1472=SottocategorieUscite[[#Headers],[Lavoro]]),"$ -","")</f>
        <v/>
      </c>
      <c r="L1472" s="59" t="str">
        <f>IF(OR(Data!$I1472=SottocategorieUscite[[#Headers],[Casa]],Data!$I1472=SottocategorieUscite[[#Headers],[Utenze]],Data!$I1472=SottocategorieUscite[[#Headers],[Business Uscite]],Data!$I1472=SottocategorieUscite[[#Headers],[Banca]]),"$ -","")</f>
        <v/>
      </c>
      <c r="M1472" s="59" t="str">
        <f>IF(OR($I1472&lt;&gt;SottocategorieUscite[[#Headers],[Fuori Casa]],$I1472&lt;&gt;SottocategorieUscite[[#Headers],[Varie Uscite]],$I1472&lt;&gt;SottocategorieUscite[[#Headers],[Personali]],$I1472&lt;&gt;SottocategorieUscite[[#Headers],[Lavoro]],$I1472&lt;&gt;SottocategorieUscite[[#Headers],[Casa]],$I1472&lt;&gt;SottocategorieUscite[[#Headers],[Utenze]],$I1472&lt;&gt;SottocategorieUscite[[#Headers],[Business Uscite]],$I1472&lt;&gt;SottocategorieUscite[[#Headers],[Banca]]),"","$ -")</f>
        <v/>
      </c>
      <c r="N1472" s="59" t="str">
        <f>IF(OR(Data!$I1472=SottocategorieEntrate[[#Headers],[Business Entrate]],Data!$I1472=SottocategorieEntrate[[#Headers],[Varie Entrate]]),"$ -","")</f>
        <v/>
      </c>
      <c r="O1472" s="59" t="str">
        <f>IF(OR(Data!$I1472=SottocategorieEntrate[[#Headers],[Real Estate]],SottocategorieEntrate[[#Headers],[Other]]),"$ -","")</f>
        <v/>
      </c>
      <c r="P1472" s="59" t="str">
        <f>IF(OR($I1472&lt;&gt;SottocategorieEntrate[[#Headers],[Business Entrate]],$I1472&lt;&gt;SottocategorieEntrate[[#Headers],[Varie Entrate]],$I1472&lt;&gt;SottocategorieEntrate[[#Headers],[Real Estate]],$I1472&lt;&gt;SottocategorieEntrate[[#Headers],[Other]]),"","$ -")</f>
        <v/>
      </c>
      <c r="Q1472" s="59" t="str">
        <f>IF(Dati[[#This Row],[Categoria]]="Prelievo","€ -","")</f>
        <v/>
      </c>
      <c r="R1472" s="244"/>
      <c r="S1472" s="59" t="str">
        <f>IF(Dati[[#This Row],[Categoria]]="Savings",0,"")</f>
        <v/>
      </c>
      <c r="T1472" s="59"/>
      <c r="U1472" s="59"/>
      <c r="V1472" s="59"/>
      <c r="W1472" s="59"/>
      <c r="X1472" s="59"/>
      <c r="Y1472" s="59"/>
      <c r="Z1472" s="59"/>
      <c r="AA1472" s="59"/>
      <c r="AB1472" s="59"/>
      <c r="AC1472" s="59"/>
      <c r="AD1472" s="59"/>
      <c r="AE1472" s="59"/>
      <c r="AF1472" s="59"/>
      <c r="AG1472" s="59"/>
      <c r="AH1472" s="59"/>
      <c r="AI1472" s="59" t="str">
        <f>IF(SUM(Dati[[#This Row],[Inv. Business]:[Inv. Cryptocurrency]])=0," ",SUM(Dati[[#This Row],[Inv. Business]:[Inv. Cryptocurrency]]))</f>
        <v xml:space="preserve"> </v>
      </c>
      <c r="AJ1472" s="59"/>
      <c r="AK1472" s="59" t="str">
        <f>IF(SUM(Dati[[#This Row],[Inv. Gold]:[Mutuo]])=0," ",SUM(Dati[[#This Row],[Inv. Gold]:[Mutuo]]))</f>
        <v xml:space="preserve"> </v>
      </c>
      <c r="AL1472" s="59"/>
      <c r="AM1472" s="59"/>
    </row>
    <row r="1473" spans="2:39" x14ac:dyDescent="0.35">
      <c r="B1473" s="237">
        <f t="shared" si="109"/>
        <v>1453</v>
      </c>
      <c r="C1473" s="49">
        <f t="shared" si="108"/>
        <v>46031</v>
      </c>
      <c r="D1473" s="29">
        <f>DAY(Dati[[#This Row],[Data]])</f>
        <v>9</v>
      </c>
      <c r="E1473" s="29" t="str">
        <f>IF(DAY(Data!$C$21:$C$1613)&gt;0,TEXT(Data!$C$21:$C$1613, "mmmm"),"")</f>
        <v>gennaio</v>
      </c>
      <c r="F1473" s="29" t="str">
        <f>IF(DAY(Data!$C$21:$C$1613)&gt;0,TEXT(Data!$C$21:$C$1613, "aaaa"),"")</f>
        <v>2026</v>
      </c>
      <c r="I1473" t="str">
        <f>IF(OR(H1473=$B$5,H1473=$B$6,H1473=$B$7,H1473=$B$8,H1473=$B$9,H1473=$B$10,H1473=$B$11,H1473=$B$12,H1473=$B$13,H1473=$B$14),SottocategorieUscite[[#Headers],[Fuori Casa]],IF(OR(H1473=$C$5,H1473=$C$6,H1473=$C$7,H1473=$C$8,H1473=$C$9,H1473=$C$10,H1473=$C$11,H1473=$C$12,H1473=$C$13,H1473=$C$14),SottocategorieUscite[[#Headers],[Varie Uscite]],IF(OR(H1473=$D$5,H1473=$D$6,H1473=$D$7,H1473=$D$8,H1473=$D$9,H1473=$D$10,H1473=$D$11,H1473=$D$12,H1473=$D$13,H1473=$D$14),SottocategorieUscite[[#Headers],[Personali]],IF(OR(H1473=$E$5,H1473=$E$6,H1473=$E$7,H1473=$E$8,H1473=$E$9,H1473=$E$10,H1473=$E$11,H1473=$E$12,H1473=$E$13,H1473=$E$14),SottocategorieUscite[[#Headers],[Lavoro]],IF(OR(H1473=$F$5,H1473=$F$6,H1473=$F$7,H1473=$F$8,H1473=$F$9,H1473=$F$10,H1473=$F$11,H1473=$F$12,H1473=$F$13,H1473=$F$14),SottocategorieUscite[[#Headers],[Casa]],IF(OR(H1473=$G$5,H1473=$G$6,H1473=$G$7,H1473=$G$8,H1473=$G$9,H1473=$G$10,H1473=$G$11,H1473=$G$12,H1473=$G$13,H1473=$G$14),SottocategorieUscite[[#Headers],[Utenze]],IF(OR(H1473=$H$5,H1473=$H$6,H1473=$H$7,H1473=$H$8,H1473=$H$9,H1473=$H$10,H1473=$H$11,H1473=$H$12,H1473=$H$13,H1473=$H$14),SottocategorieUscite[[#Headers],[Business Uscite]],IF(OR(H1473=$I$5,H1473=$I$6,H1473=$I$7,H1473=$I$8,H1473=$I$9,H1473=$I$10,H1473=$I$11,H1473=$I$12,H1473=$I$13,H1473=$I$14),SottocategorieUscite[[#Headers],[Banca]],IF(OR(H1473=K$5,H1473=K$6,H1473=K$7,H1473=K$8,H1473=K$9,H1473=K$10,H1473=K$11,H1473=K$12,H1473=K$13,H1473=K$14),SottocategorieEntrate[[#Headers],[Business Entrate]],IF(OR(H1473=L$5,H1473=L$6,H1473=L$7,H1473=L$8,H1473=L$9,H1473=L$10,H1473=L$11,H1473=L$12,H1473=L$13,H1473=L$14),SottocategorieEntrate[[#Headers],[Varie Entrate]],IF(OR(H1473=M$5,H1473=M$6,H1473=M$7,H1473=M$8,H1473=M$9,H1473=M$10,H1473=M$11,H1473=M$12,H1473=M$13,H1473=M$14),SottocategorieEntrate[[#Headers],[Real Estate]],IF(OR(H1473=N$5,H1473=N$6,H1473=N$7,H1473=N$8,H1473=N$9,H1473=N$10,H1473=N$11,H1473=N$12,H1473=N$13,H1473=N$14),SottocategorieEntrate[[#Headers],[Other]],""))))))))))))</f>
        <v/>
      </c>
      <c r="J1473" t="str">
        <f>IF(OR(Dati[[#This Row],[Categoria]]="Bollette",Dati[[#This Row],[Categoria]]="Conto &amp; Carte BNL",Dati[[#This Row],[Categoria]]="Prelievo",Dati[[#This Row],[Categoria]]="Affitto",Dati[[#This Row],[Categoria]]="BNL(Interessi Creditori)"),"Carta",IF(Dati[[#This Row],[Categoria]]&lt;&gt;0,"Cash",""))</f>
        <v/>
      </c>
      <c r="K1473" s="59" t="str">
        <f>IF(OR(Data!$I1473=SottocategorieUscite[[#Headers],[Fuori Casa]],Data!$I1473=SottocategorieUscite[[#Headers],[Varie Uscite]],Data!$I1473=SottocategorieUscite[[#Headers],[Personali]],Data!$I1473=SottocategorieUscite[[#Headers],[Lavoro]]),"$ -","")</f>
        <v/>
      </c>
      <c r="L1473" s="59" t="str">
        <f>IF(OR(Data!$I1473=SottocategorieUscite[[#Headers],[Casa]],Data!$I1473=SottocategorieUscite[[#Headers],[Utenze]],Data!$I1473=SottocategorieUscite[[#Headers],[Business Uscite]],Data!$I1473=SottocategorieUscite[[#Headers],[Banca]]),"$ -","")</f>
        <v/>
      </c>
      <c r="M1473" s="59" t="str">
        <f>IF(OR($I1473&lt;&gt;SottocategorieUscite[[#Headers],[Fuori Casa]],$I1473&lt;&gt;SottocategorieUscite[[#Headers],[Varie Uscite]],$I1473&lt;&gt;SottocategorieUscite[[#Headers],[Personali]],$I1473&lt;&gt;SottocategorieUscite[[#Headers],[Lavoro]],$I1473&lt;&gt;SottocategorieUscite[[#Headers],[Casa]],$I1473&lt;&gt;SottocategorieUscite[[#Headers],[Utenze]],$I1473&lt;&gt;SottocategorieUscite[[#Headers],[Business Uscite]],$I1473&lt;&gt;SottocategorieUscite[[#Headers],[Banca]]),"","$ -")</f>
        <v/>
      </c>
      <c r="N1473" s="59" t="str">
        <f>IF(OR(Data!$I1473=SottocategorieEntrate[[#Headers],[Business Entrate]],Data!$I1473=SottocategorieEntrate[[#Headers],[Varie Entrate]]),"$ -","")</f>
        <v/>
      </c>
      <c r="O1473" s="59" t="str">
        <f>IF(OR(Data!$I1473=SottocategorieEntrate[[#Headers],[Real Estate]],SottocategorieEntrate[[#Headers],[Other]]),"$ -","")</f>
        <v/>
      </c>
      <c r="P1473" s="59" t="str">
        <f>IF(OR($I1473&lt;&gt;SottocategorieEntrate[[#Headers],[Business Entrate]],$I1473&lt;&gt;SottocategorieEntrate[[#Headers],[Varie Entrate]],$I1473&lt;&gt;SottocategorieEntrate[[#Headers],[Real Estate]],$I1473&lt;&gt;SottocategorieEntrate[[#Headers],[Other]]),"","$ -")</f>
        <v/>
      </c>
      <c r="Q1473" s="59" t="str">
        <f>IF(Dati[[#This Row],[Categoria]]="Prelievo","€ -","")</f>
        <v/>
      </c>
      <c r="R1473" s="244"/>
      <c r="S1473" s="59" t="str">
        <f>IF(Dati[[#This Row],[Categoria]]="Savings",0,"")</f>
        <v/>
      </c>
      <c r="T1473" s="59"/>
      <c r="U1473" s="59"/>
      <c r="V1473" s="59"/>
      <c r="W1473" s="59"/>
      <c r="X1473" s="59"/>
      <c r="Y1473" s="59"/>
      <c r="Z1473" s="59"/>
      <c r="AA1473" s="59"/>
      <c r="AB1473" s="59"/>
      <c r="AC1473" s="59"/>
      <c r="AD1473" s="59"/>
      <c r="AE1473" s="59"/>
      <c r="AF1473" s="59"/>
      <c r="AG1473" s="59"/>
      <c r="AH1473" s="59"/>
      <c r="AI1473" s="59" t="str">
        <f>IF(SUM(Dati[[#This Row],[Inv. Business]:[Inv. Cryptocurrency]])=0," ",SUM(Dati[[#This Row],[Inv. Business]:[Inv. Cryptocurrency]]))</f>
        <v xml:space="preserve"> </v>
      </c>
      <c r="AJ1473" s="59"/>
      <c r="AK1473" s="59" t="str">
        <f>IF(SUM(Dati[[#This Row],[Inv. Gold]:[Mutuo]])=0," ",SUM(Dati[[#This Row],[Inv. Gold]:[Mutuo]]))</f>
        <v xml:space="preserve"> </v>
      </c>
      <c r="AL1473" s="59"/>
      <c r="AM1473" s="59"/>
    </row>
    <row r="1474" spans="2:39" x14ac:dyDescent="0.35">
      <c r="B1474" s="237">
        <f t="shared" si="109"/>
        <v>1454</v>
      </c>
      <c r="C1474" s="49">
        <f t="shared" si="108"/>
        <v>46032</v>
      </c>
      <c r="D1474" s="29">
        <f>DAY(Dati[[#This Row],[Data]])</f>
        <v>10</v>
      </c>
      <c r="E1474" s="29" t="str">
        <f>IF(DAY(Data!$C$21:$C$1613)&gt;0,TEXT(Data!$C$21:$C$1613, "mmmm"),"")</f>
        <v>gennaio</v>
      </c>
      <c r="F1474" s="29" t="str">
        <f>IF(DAY(Data!$C$21:$C$1613)&gt;0,TEXT(Data!$C$21:$C$1613, "aaaa"),"")</f>
        <v>2026</v>
      </c>
      <c r="I1474" t="str">
        <f>IF(OR(H1474=$B$5,H1474=$B$6,H1474=$B$7,H1474=$B$8,H1474=$B$9,H1474=$B$10,H1474=$B$11,H1474=$B$12,H1474=$B$13,H1474=$B$14),SottocategorieUscite[[#Headers],[Fuori Casa]],IF(OR(H1474=$C$5,H1474=$C$6,H1474=$C$7,H1474=$C$8,H1474=$C$9,H1474=$C$10,H1474=$C$11,H1474=$C$12,H1474=$C$13,H1474=$C$14),SottocategorieUscite[[#Headers],[Varie Uscite]],IF(OR(H1474=$D$5,H1474=$D$6,H1474=$D$7,H1474=$D$8,H1474=$D$9,H1474=$D$10,H1474=$D$11,H1474=$D$12,H1474=$D$13,H1474=$D$14),SottocategorieUscite[[#Headers],[Personali]],IF(OR(H1474=$E$5,H1474=$E$6,H1474=$E$7,H1474=$E$8,H1474=$E$9,H1474=$E$10,H1474=$E$11,H1474=$E$12,H1474=$E$13,H1474=$E$14),SottocategorieUscite[[#Headers],[Lavoro]],IF(OR(H1474=$F$5,H1474=$F$6,H1474=$F$7,H1474=$F$8,H1474=$F$9,H1474=$F$10,H1474=$F$11,H1474=$F$12,H1474=$F$13,H1474=$F$14),SottocategorieUscite[[#Headers],[Casa]],IF(OR(H1474=$G$5,H1474=$G$6,H1474=$G$7,H1474=$G$8,H1474=$G$9,H1474=$G$10,H1474=$G$11,H1474=$G$12,H1474=$G$13,H1474=$G$14),SottocategorieUscite[[#Headers],[Utenze]],IF(OR(H1474=$H$5,H1474=$H$6,H1474=$H$7,H1474=$H$8,H1474=$H$9,H1474=$H$10,H1474=$H$11,H1474=$H$12,H1474=$H$13,H1474=$H$14),SottocategorieUscite[[#Headers],[Business Uscite]],IF(OR(H1474=$I$5,H1474=$I$6,H1474=$I$7,H1474=$I$8,H1474=$I$9,H1474=$I$10,H1474=$I$11,H1474=$I$12,H1474=$I$13,H1474=$I$14),SottocategorieUscite[[#Headers],[Banca]],IF(OR(H1474=K$5,H1474=K$6,H1474=K$7,H1474=K$8,H1474=K$9,H1474=K$10,H1474=K$11,H1474=K$12,H1474=K$13,H1474=K$14),SottocategorieEntrate[[#Headers],[Business Entrate]],IF(OR(H1474=L$5,H1474=L$6,H1474=L$7,H1474=L$8,H1474=L$9,H1474=L$10,H1474=L$11,H1474=L$12,H1474=L$13,H1474=L$14),SottocategorieEntrate[[#Headers],[Varie Entrate]],IF(OR(H1474=M$5,H1474=M$6,H1474=M$7,H1474=M$8,H1474=M$9,H1474=M$10,H1474=M$11,H1474=M$12,H1474=M$13,H1474=M$14),SottocategorieEntrate[[#Headers],[Real Estate]],IF(OR(H1474=N$5,H1474=N$6,H1474=N$7,H1474=N$8,H1474=N$9,H1474=N$10,H1474=N$11,H1474=N$12,H1474=N$13,H1474=N$14),SottocategorieEntrate[[#Headers],[Other]],""))))))))))))</f>
        <v/>
      </c>
      <c r="J1474" t="str">
        <f>IF(OR(Dati[[#This Row],[Categoria]]="Bollette",Dati[[#This Row],[Categoria]]="Conto &amp; Carte BNL",Dati[[#This Row],[Categoria]]="Prelievo",Dati[[#This Row],[Categoria]]="Affitto",Dati[[#This Row],[Categoria]]="BNL(Interessi Creditori)"),"Carta",IF(Dati[[#This Row],[Categoria]]&lt;&gt;0,"Cash",""))</f>
        <v/>
      </c>
      <c r="K1474" s="59" t="str">
        <f>IF(OR(Data!$I1474=SottocategorieUscite[[#Headers],[Fuori Casa]],Data!$I1474=SottocategorieUscite[[#Headers],[Varie Uscite]],Data!$I1474=SottocategorieUscite[[#Headers],[Personali]],Data!$I1474=SottocategorieUscite[[#Headers],[Lavoro]]),"$ -","")</f>
        <v/>
      </c>
      <c r="L1474" s="59" t="str">
        <f>IF(OR(Data!$I1474=SottocategorieUscite[[#Headers],[Casa]],Data!$I1474=SottocategorieUscite[[#Headers],[Utenze]],Data!$I1474=SottocategorieUscite[[#Headers],[Business Uscite]],Data!$I1474=SottocategorieUscite[[#Headers],[Banca]]),"$ -","")</f>
        <v/>
      </c>
      <c r="M1474" s="59" t="str">
        <f>IF(OR($I1474&lt;&gt;SottocategorieUscite[[#Headers],[Fuori Casa]],$I1474&lt;&gt;SottocategorieUscite[[#Headers],[Varie Uscite]],$I1474&lt;&gt;SottocategorieUscite[[#Headers],[Personali]],$I1474&lt;&gt;SottocategorieUscite[[#Headers],[Lavoro]],$I1474&lt;&gt;SottocategorieUscite[[#Headers],[Casa]],$I1474&lt;&gt;SottocategorieUscite[[#Headers],[Utenze]],$I1474&lt;&gt;SottocategorieUscite[[#Headers],[Business Uscite]],$I1474&lt;&gt;SottocategorieUscite[[#Headers],[Banca]]),"","$ -")</f>
        <v/>
      </c>
      <c r="N1474" s="59" t="str">
        <f>IF(OR(Data!$I1474=SottocategorieEntrate[[#Headers],[Business Entrate]],Data!$I1474=SottocategorieEntrate[[#Headers],[Varie Entrate]]),"$ -","")</f>
        <v/>
      </c>
      <c r="O1474" s="59" t="str">
        <f>IF(OR(Data!$I1474=SottocategorieEntrate[[#Headers],[Real Estate]],SottocategorieEntrate[[#Headers],[Other]]),"$ -","")</f>
        <v/>
      </c>
      <c r="P1474" s="59" t="str">
        <f>IF(OR($I1474&lt;&gt;SottocategorieEntrate[[#Headers],[Business Entrate]],$I1474&lt;&gt;SottocategorieEntrate[[#Headers],[Varie Entrate]],$I1474&lt;&gt;SottocategorieEntrate[[#Headers],[Real Estate]],$I1474&lt;&gt;SottocategorieEntrate[[#Headers],[Other]]),"","$ -")</f>
        <v/>
      </c>
      <c r="Q1474" s="59" t="str">
        <f>IF(Dati[[#This Row],[Categoria]]="Prelievo","€ -","")</f>
        <v/>
      </c>
      <c r="R1474" s="244"/>
      <c r="S1474" s="59" t="str">
        <f>IF(Dati[[#This Row],[Categoria]]="Savings",0,"")</f>
        <v/>
      </c>
      <c r="T1474" s="59"/>
      <c r="U1474" s="59"/>
      <c r="V1474" s="59"/>
      <c r="W1474" s="59"/>
      <c r="X1474" s="59"/>
      <c r="Y1474" s="59"/>
      <c r="Z1474" s="59"/>
      <c r="AA1474" s="59"/>
      <c r="AB1474" s="59"/>
      <c r="AC1474" s="59"/>
      <c r="AD1474" s="59"/>
      <c r="AE1474" s="59"/>
      <c r="AF1474" s="59"/>
      <c r="AG1474" s="59"/>
      <c r="AH1474" s="59"/>
      <c r="AI1474" s="59" t="str">
        <f>IF(SUM(Dati[[#This Row],[Inv. Business]:[Inv. Cryptocurrency]])=0," ",SUM(Dati[[#This Row],[Inv. Business]:[Inv. Cryptocurrency]]))</f>
        <v xml:space="preserve"> </v>
      </c>
      <c r="AJ1474" s="59"/>
      <c r="AK1474" s="59" t="str">
        <f>IF(SUM(Dati[[#This Row],[Inv. Gold]:[Mutuo]])=0," ",SUM(Dati[[#This Row],[Inv. Gold]:[Mutuo]]))</f>
        <v xml:space="preserve"> </v>
      </c>
      <c r="AL1474" s="59"/>
      <c r="AM1474" s="59"/>
    </row>
    <row r="1475" spans="2:39" x14ac:dyDescent="0.35">
      <c r="B1475" s="237">
        <f t="shared" si="109"/>
        <v>1455</v>
      </c>
      <c r="C1475" s="49">
        <f t="shared" si="108"/>
        <v>46033</v>
      </c>
      <c r="D1475" s="29">
        <f>DAY(Dati[[#This Row],[Data]])</f>
        <v>11</v>
      </c>
      <c r="E1475" s="29" t="str">
        <f>IF(DAY(Data!$C$21:$C$1613)&gt;0,TEXT(Data!$C$21:$C$1613, "mmmm"),"")</f>
        <v>gennaio</v>
      </c>
      <c r="F1475" s="29" t="str">
        <f>IF(DAY(Data!$C$21:$C$1613)&gt;0,TEXT(Data!$C$21:$C$1613, "aaaa"),"")</f>
        <v>2026</v>
      </c>
      <c r="I1475" t="str">
        <f>IF(OR(H1475=$B$5,H1475=$B$6,H1475=$B$7,H1475=$B$8,H1475=$B$9,H1475=$B$10,H1475=$B$11,H1475=$B$12,H1475=$B$13,H1475=$B$14),SottocategorieUscite[[#Headers],[Fuori Casa]],IF(OR(H1475=$C$5,H1475=$C$6,H1475=$C$7,H1475=$C$8,H1475=$C$9,H1475=$C$10,H1475=$C$11,H1475=$C$12,H1475=$C$13,H1475=$C$14),SottocategorieUscite[[#Headers],[Varie Uscite]],IF(OR(H1475=$D$5,H1475=$D$6,H1475=$D$7,H1475=$D$8,H1475=$D$9,H1475=$D$10,H1475=$D$11,H1475=$D$12,H1475=$D$13,H1475=$D$14),SottocategorieUscite[[#Headers],[Personali]],IF(OR(H1475=$E$5,H1475=$E$6,H1475=$E$7,H1475=$E$8,H1475=$E$9,H1475=$E$10,H1475=$E$11,H1475=$E$12,H1475=$E$13,H1475=$E$14),SottocategorieUscite[[#Headers],[Lavoro]],IF(OR(H1475=$F$5,H1475=$F$6,H1475=$F$7,H1475=$F$8,H1475=$F$9,H1475=$F$10,H1475=$F$11,H1475=$F$12,H1475=$F$13,H1475=$F$14),SottocategorieUscite[[#Headers],[Casa]],IF(OR(H1475=$G$5,H1475=$G$6,H1475=$G$7,H1475=$G$8,H1475=$G$9,H1475=$G$10,H1475=$G$11,H1475=$G$12,H1475=$G$13,H1475=$G$14),SottocategorieUscite[[#Headers],[Utenze]],IF(OR(H1475=$H$5,H1475=$H$6,H1475=$H$7,H1475=$H$8,H1475=$H$9,H1475=$H$10,H1475=$H$11,H1475=$H$12,H1475=$H$13,H1475=$H$14),SottocategorieUscite[[#Headers],[Business Uscite]],IF(OR(H1475=$I$5,H1475=$I$6,H1475=$I$7,H1475=$I$8,H1475=$I$9,H1475=$I$10,H1475=$I$11,H1475=$I$12,H1475=$I$13,H1475=$I$14),SottocategorieUscite[[#Headers],[Banca]],IF(OR(H1475=K$5,H1475=K$6,H1475=K$7,H1475=K$8,H1475=K$9,H1475=K$10,H1475=K$11,H1475=K$12,H1475=K$13,H1475=K$14),SottocategorieEntrate[[#Headers],[Business Entrate]],IF(OR(H1475=L$5,H1475=L$6,H1475=L$7,H1475=L$8,H1475=L$9,H1475=L$10,H1475=L$11,H1475=L$12,H1475=L$13,H1475=L$14),SottocategorieEntrate[[#Headers],[Varie Entrate]],IF(OR(H1475=M$5,H1475=M$6,H1475=M$7,H1475=M$8,H1475=M$9,H1475=M$10,H1475=M$11,H1475=M$12,H1475=M$13,H1475=M$14),SottocategorieEntrate[[#Headers],[Real Estate]],IF(OR(H1475=N$5,H1475=N$6,H1475=N$7,H1475=N$8,H1475=N$9,H1475=N$10,H1475=N$11,H1475=N$12,H1475=N$13,H1475=N$14),SottocategorieEntrate[[#Headers],[Other]],""))))))))))))</f>
        <v/>
      </c>
      <c r="J1475" t="str">
        <f>IF(OR(Dati[[#This Row],[Categoria]]="Bollette",Dati[[#This Row],[Categoria]]="Conto &amp; Carte BNL",Dati[[#This Row],[Categoria]]="Prelievo",Dati[[#This Row],[Categoria]]="Affitto",Dati[[#This Row],[Categoria]]="BNL(Interessi Creditori)"),"Carta",IF(Dati[[#This Row],[Categoria]]&lt;&gt;0,"Cash",""))</f>
        <v/>
      </c>
      <c r="K1475" s="59" t="str">
        <f>IF(OR(Data!$I1475=SottocategorieUscite[[#Headers],[Fuori Casa]],Data!$I1475=SottocategorieUscite[[#Headers],[Varie Uscite]],Data!$I1475=SottocategorieUscite[[#Headers],[Personali]],Data!$I1475=SottocategorieUscite[[#Headers],[Lavoro]]),"$ -","")</f>
        <v/>
      </c>
      <c r="L1475" s="59" t="str">
        <f>IF(OR(Data!$I1475=SottocategorieUscite[[#Headers],[Casa]],Data!$I1475=SottocategorieUscite[[#Headers],[Utenze]],Data!$I1475=SottocategorieUscite[[#Headers],[Business Uscite]],Data!$I1475=SottocategorieUscite[[#Headers],[Banca]]),"$ -","")</f>
        <v/>
      </c>
      <c r="M1475" s="59" t="str">
        <f>IF(OR($I1475&lt;&gt;SottocategorieUscite[[#Headers],[Fuori Casa]],$I1475&lt;&gt;SottocategorieUscite[[#Headers],[Varie Uscite]],$I1475&lt;&gt;SottocategorieUscite[[#Headers],[Personali]],$I1475&lt;&gt;SottocategorieUscite[[#Headers],[Lavoro]],$I1475&lt;&gt;SottocategorieUscite[[#Headers],[Casa]],$I1475&lt;&gt;SottocategorieUscite[[#Headers],[Utenze]],$I1475&lt;&gt;SottocategorieUscite[[#Headers],[Business Uscite]],$I1475&lt;&gt;SottocategorieUscite[[#Headers],[Banca]]),"","$ -")</f>
        <v/>
      </c>
      <c r="N1475" s="59" t="str">
        <f>IF(OR(Data!$I1475=SottocategorieEntrate[[#Headers],[Business Entrate]],Data!$I1475=SottocategorieEntrate[[#Headers],[Varie Entrate]]),"$ -","")</f>
        <v/>
      </c>
      <c r="O1475" s="59" t="str">
        <f>IF(OR(Data!$I1475=SottocategorieEntrate[[#Headers],[Real Estate]],SottocategorieEntrate[[#Headers],[Other]]),"$ -","")</f>
        <v/>
      </c>
      <c r="P1475" s="59" t="str">
        <f>IF(OR($I1475&lt;&gt;SottocategorieEntrate[[#Headers],[Business Entrate]],$I1475&lt;&gt;SottocategorieEntrate[[#Headers],[Varie Entrate]],$I1475&lt;&gt;SottocategorieEntrate[[#Headers],[Real Estate]],$I1475&lt;&gt;SottocategorieEntrate[[#Headers],[Other]]),"","$ -")</f>
        <v/>
      </c>
      <c r="Q1475" s="59" t="str">
        <f>IF(Dati[[#This Row],[Categoria]]="Prelievo","€ -","")</f>
        <v/>
      </c>
      <c r="R1475" s="244"/>
      <c r="S1475" s="59" t="str">
        <f>IF(Dati[[#This Row],[Categoria]]="Savings",0,"")</f>
        <v/>
      </c>
      <c r="T1475" s="59"/>
      <c r="U1475" s="59"/>
      <c r="V1475" s="59"/>
      <c r="W1475" s="59"/>
      <c r="X1475" s="59"/>
      <c r="Y1475" s="59"/>
      <c r="Z1475" s="59"/>
      <c r="AA1475" s="59"/>
      <c r="AB1475" s="59"/>
      <c r="AC1475" s="59"/>
      <c r="AD1475" s="59"/>
      <c r="AE1475" s="59"/>
      <c r="AF1475" s="59"/>
      <c r="AG1475" s="59"/>
      <c r="AH1475" s="59"/>
      <c r="AI1475" s="59" t="str">
        <f>IF(SUM(Dati[[#This Row],[Inv. Business]:[Inv. Cryptocurrency]])=0," ",SUM(Dati[[#This Row],[Inv. Business]:[Inv. Cryptocurrency]]))</f>
        <v xml:space="preserve"> </v>
      </c>
      <c r="AJ1475" s="59"/>
      <c r="AK1475" s="59" t="str">
        <f>IF(SUM(Dati[[#This Row],[Inv. Gold]:[Mutuo]])=0," ",SUM(Dati[[#This Row],[Inv. Gold]:[Mutuo]]))</f>
        <v xml:space="preserve"> </v>
      </c>
      <c r="AL1475" s="59"/>
      <c r="AM1475" s="59"/>
    </row>
    <row r="1476" spans="2:39" x14ac:dyDescent="0.35">
      <c r="B1476" s="237">
        <f t="shared" si="109"/>
        <v>1456</v>
      </c>
      <c r="C1476" s="49">
        <f t="shared" si="108"/>
        <v>46034</v>
      </c>
      <c r="D1476" s="29">
        <f>DAY(Dati[[#This Row],[Data]])</f>
        <v>12</v>
      </c>
      <c r="E1476" s="29" t="str">
        <f>IF(DAY(Data!$C$21:$C$1613)&gt;0,TEXT(Data!$C$21:$C$1613, "mmmm"),"")</f>
        <v>gennaio</v>
      </c>
      <c r="F1476" s="29" t="str">
        <f>IF(DAY(Data!$C$21:$C$1613)&gt;0,TEXT(Data!$C$21:$C$1613, "aaaa"),"")</f>
        <v>2026</v>
      </c>
      <c r="I1476" t="str">
        <f>IF(OR(H1476=$B$5,H1476=$B$6,H1476=$B$7,H1476=$B$8,H1476=$B$9,H1476=$B$10,H1476=$B$11,H1476=$B$12,H1476=$B$13,H1476=$B$14),SottocategorieUscite[[#Headers],[Fuori Casa]],IF(OR(H1476=$C$5,H1476=$C$6,H1476=$C$7,H1476=$C$8,H1476=$C$9,H1476=$C$10,H1476=$C$11,H1476=$C$12,H1476=$C$13,H1476=$C$14),SottocategorieUscite[[#Headers],[Varie Uscite]],IF(OR(H1476=$D$5,H1476=$D$6,H1476=$D$7,H1476=$D$8,H1476=$D$9,H1476=$D$10,H1476=$D$11,H1476=$D$12,H1476=$D$13,H1476=$D$14),SottocategorieUscite[[#Headers],[Personali]],IF(OR(H1476=$E$5,H1476=$E$6,H1476=$E$7,H1476=$E$8,H1476=$E$9,H1476=$E$10,H1476=$E$11,H1476=$E$12,H1476=$E$13,H1476=$E$14),SottocategorieUscite[[#Headers],[Lavoro]],IF(OR(H1476=$F$5,H1476=$F$6,H1476=$F$7,H1476=$F$8,H1476=$F$9,H1476=$F$10,H1476=$F$11,H1476=$F$12,H1476=$F$13,H1476=$F$14),SottocategorieUscite[[#Headers],[Casa]],IF(OR(H1476=$G$5,H1476=$G$6,H1476=$G$7,H1476=$G$8,H1476=$G$9,H1476=$G$10,H1476=$G$11,H1476=$G$12,H1476=$G$13,H1476=$G$14),SottocategorieUscite[[#Headers],[Utenze]],IF(OR(H1476=$H$5,H1476=$H$6,H1476=$H$7,H1476=$H$8,H1476=$H$9,H1476=$H$10,H1476=$H$11,H1476=$H$12,H1476=$H$13,H1476=$H$14),SottocategorieUscite[[#Headers],[Business Uscite]],IF(OR(H1476=$I$5,H1476=$I$6,H1476=$I$7,H1476=$I$8,H1476=$I$9,H1476=$I$10,H1476=$I$11,H1476=$I$12,H1476=$I$13,H1476=$I$14),SottocategorieUscite[[#Headers],[Banca]],IF(OR(H1476=K$5,H1476=K$6,H1476=K$7,H1476=K$8,H1476=K$9,H1476=K$10,H1476=K$11,H1476=K$12,H1476=K$13,H1476=K$14),SottocategorieEntrate[[#Headers],[Business Entrate]],IF(OR(H1476=L$5,H1476=L$6,H1476=L$7,H1476=L$8,H1476=L$9,H1476=L$10,H1476=L$11,H1476=L$12,H1476=L$13,H1476=L$14),SottocategorieEntrate[[#Headers],[Varie Entrate]],IF(OR(H1476=M$5,H1476=M$6,H1476=M$7,H1476=M$8,H1476=M$9,H1476=M$10,H1476=M$11,H1476=M$12,H1476=M$13,H1476=M$14),SottocategorieEntrate[[#Headers],[Real Estate]],IF(OR(H1476=N$5,H1476=N$6,H1476=N$7,H1476=N$8,H1476=N$9,H1476=N$10,H1476=N$11,H1476=N$12,H1476=N$13,H1476=N$14),SottocategorieEntrate[[#Headers],[Other]],""))))))))))))</f>
        <v/>
      </c>
      <c r="J1476" t="str">
        <f>IF(OR(Dati[[#This Row],[Categoria]]="Bollette",Dati[[#This Row],[Categoria]]="Conto &amp; Carte BNL",Dati[[#This Row],[Categoria]]="Prelievo",Dati[[#This Row],[Categoria]]="Affitto",Dati[[#This Row],[Categoria]]="BNL(Interessi Creditori)"),"Carta",IF(Dati[[#This Row],[Categoria]]&lt;&gt;0,"Cash",""))</f>
        <v/>
      </c>
      <c r="K1476" s="59" t="str">
        <f>IF(OR(Data!$I1476=SottocategorieUscite[[#Headers],[Fuori Casa]],Data!$I1476=SottocategorieUscite[[#Headers],[Varie Uscite]],Data!$I1476=SottocategorieUscite[[#Headers],[Personali]],Data!$I1476=SottocategorieUscite[[#Headers],[Lavoro]]),"$ -","")</f>
        <v/>
      </c>
      <c r="L1476" s="59" t="str">
        <f>IF(OR(Data!$I1476=SottocategorieUscite[[#Headers],[Casa]],Data!$I1476=SottocategorieUscite[[#Headers],[Utenze]],Data!$I1476=SottocategorieUscite[[#Headers],[Business Uscite]],Data!$I1476=SottocategorieUscite[[#Headers],[Banca]]),"$ -","")</f>
        <v/>
      </c>
      <c r="M1476" s="59" t="str">
        <f>IF(OR($I1476&lt;&gt;SottocategorieUscite[[#Headers],[Fuori Casa]],$I1476&lt;&gt;SottocategorieUscite[[#Headers],[Varie Uscite]],$I1476&lt;&gt;SottocategorieUscite[[#Headers],[Personali]],$I1476&lt;&gt;SottocategorieUscite[[#Headers],[Lavoro]],$I1476&lt;&gt;SottocategorieUscite[[#Headers],[Casa]],$I1476&lt;&gt;SottocategorieUscite[[#Headers],[Utenze]],$I1476&lt;&gt;SottocategorieUscite[[#Headers],[Business Uscite]],$I1476&lt;&gt;SottocategorieUscite[[#Headers],[Banca]]),"","$ -")</f>
        <v/>
      </c>
      <c r="N1476" s="59" t="str">
        <f>IF(OR(Data!$I1476=SottocategorieEntrate[[#Headers],[Business Entrate]],Data!$I1476=SottocategorieEntrate[[#Headers],[Varie Entrate]]),"$ -","")</f>
        <v/>
      </c>
      <c r="O1476" s="59" t="str">
        <f>IF(OR(Data!$I1476=SottocategorieEntrate[[#Headers],[Real Estate]],SottocategorieEntrate[[#Headers],[Other]]),"$ -","")</f>
        <v/>
      </c>
      <c r="P1476" s="59" t="str">
        <f>IF(OR($I1476&lt;&gt;SottocategorieEntrate[[#Headers],[Business Entrate]],$I1476&lt;&gt;SottocategorieEntrate[[#Headers],[Varie Entrate]],$I1476&lt;&gt;SottocategorieEntrate[[#Headers],[Real Estate]],$I1476&lt;&gt;SottocategorieEntrate[[#Headers],[Other]]),"","$ -")</f>
        <v/>
      </c>
      <c r="Q1476" s="59" t="str">
        <f>IF(Dati[[#This Row],[Categoria]]="Prelievo","€ -","")</f>
        <v/>
      </c>
      <c r="R1476" s="244"/>
      <c r="S1476" s="59" t="str">
        <f>IF(Dati[[#This Row],[Categoria]]="Savings",0,"")</f>
        <v/>
      </c>
      <c r="T1476" s="59"/>
      <c r="U1476" s="59"/>
      <c r="V1476" s="59"/>
      <c r="W1476" s="59"/>
      <c r="X1476" s="59"/>
      <c r="Y1476" s="59"/>
      <c r="Z1476" s="59"/>
      <c r="AA1476" s="59"/>
      <c r="AB1476" s="59"/>
      <c r="AC1476" s="59"/>
      <c r="AD1476" s="59"/>
      <c r="AE1476" s="59"/>
      <c r="AF1476" s="59"/>
      <c r="AG1476" s="59"/>
      <c r="AH1476" s="59"/>
      <c r="AI1476" s="59" t="str">
        <f>IF(SUM(Dati[[#This Row],[Inv. Business]:[Inv. Cryptocurrency]])=0," ",SUM(Dati[[#This Row],[Inv. Business]:[Inv. Cryptocurrency]]))</f>
        <v xml:space="preserve"> </v>
      </c>
      <c r="AJ1476" s="59"/>
      <c r="AK1476" s="59" t="str">
        <f>IF(SUM(Dati[[#This Row],[Inv. Gold]:[Mutuo]])=0," ",SUM(Dati[[#This Row],[Inv. Gold]:[Mutuo]]))</f>
        <v xml:space="preserve"> </v>
      </c>
      <c r="AL1476" s="59"/>
      <c r="AM1476" s="59"/>
    </row>
    <row r="1477" spans="2:39" x14ac:dyDescent="0.35">
      <c r="B1477" s="237">
        <f t="shared" si="109"/>
        <v>1457</v>
      </c>
      <c r="C1477" s="49">
        <f t="shared" si="108"/>
        <v>46035</v>
      </c>
      <c r="D1477" s="29">
        <f>DAY(Dati[[#This Row],[Data]])</f>
        <v>13</v>
      </c>
      <c r="E1477" s="29" t="str">
        <f>IF(DAY(Data!$C$21:$C$1613)&gt;0,TEXT(Data!$C$21:$C$1613, "mmmm"),"")</f>
        <v>gennaio</v>
      </c>
      <c r="F1477" s="29" t="str">
        <f>IF(DAY(Data!$C$21:$C$1613)&gt;0,TEXT(Data!$C$21:$C$1613, "aaaa"),"")</f>
        <v>2026</v>
      </c>
      <c r="I1477" t="str">
        <f>IF(OR(H1477=$B$5,H1477=$B$6,H1477=$B$7,H1477=$B$8,H1477=$B$9,H1477=$B$10,H1477=$B$11,H1477=$B$12,H1477=$B$13,H1477=$B$14),SottocategorieUscite[[#Headers],[Fuori Casa]],IF(OR(H1477=$C$5,H1477=$C$6,H1477=$C$7,H1477=$C$8,H1477=$C$9,H1477=$C$10,H1477=$C$11,H1477=$C$12,H1477=$C$13,H1477=$C$14),SottocategorieUscite[[#Headers],[Varie Uscite]],IF(OR(H1477=$D$5,H1477=$D$6,H1477=$D$7,H1477=$D$8,H1477=$D$9,H1477=$D$10,H1477=$D$11,H1477=$D$12,H1477=$D$13,H1477=$D$14),SottocategorieUscite[[#Headers],[Personali]],IF(OR(H1477=$E$5,H1477=$E$6,H1477=$E$7,H1477=$E$8,H1477=$E$9,H1477=$E$10,H1477=$E$11,H1477=$E$12,H1477=$E$13,H1477=$E$14),SottocategorieUscite[[#Headers],[Lavoro]],IF(OR(H1477=$F$5,H1477=$F$6,H1477=$F$7,H1477=$F$8,H1477=$F$9,H1477=$F$10,H1477=$F$11,H1477=$F$12,H1477=$F$13,H1477=$F$14),SottocategorieUscite[[#Headers],[Casa]],IF(OR(H1477=$G$5,H1477=$G$6,H1477=$G$7,H1477=$G$8,H1477=$G$9,H1477=$G$10,H1477=$G$11,H1477=$G$12,H1477=$G$13,H1477=$G$14),SottocategorieUscite[[#Headers],[Utenze]],IF(OR(H1477=$H$5,H1477=$H$6,H1477=$H$7,H1477=$H$8,H1477=$H$9,H1477=$H$10,H1477=$H$11,H1477=$H$12,H1477=$H$13,H1477=$H$14),SottocategorieUscite[[#Headers],[Business Uscite]],IF(OR(H1477=$I$5,H1477=$I$6,H1477=$I$7,H1477=$I$8,H1477=$I$9,H1477=$I$10,H1477=$I$11,H1477=$I$12,H1477=$I$13,H1477=$I$14),SottocategorieUscite[[#Headers],[Banca]],IF(OR(H1477=K$5,H1477=K$6,H1477=K$7,H1477=K$8,H1477=K$9,H1477=K$10,H1477=K$11,H1477=K$12,H1477=K$13,H1477=K$14),SottocategorieEntrate[[#Headers],[Business Entrate]],IF(OR(H1477=L$5,H1477=L$6,H1477=L$7,H1477=L$8,H1477=L$9,H1477=L$10,H1477=L$11,H1477=L$12,H1477=L$13,H1477=L$14),SottocategorieEntrate[[#Headers],[Varie Entrate]],IF(OR(H1477=M$5,H1477=M$6,H1477=M$7,H1477=M$8,H1477=M$9,H1477=M$10,H1477=M$11,H1477=M$12,H1477=M$13,H1477=M$14),SottocategorieEntrate[[#Headers],[Real Estate]],IF(OR(H1477=N$5,H1477=N$6,H1477=N$7,H1477=N$8,H1477=N$9,H1477=N$10,H1477=N$11,H1477=N$12,H1477=N$13,H1477=N$14),SottocategorieEntrate[[#Headers],[Other]],""))))))))))))</f>
        <v/>
      </c>
      <c r="J1477" t="str">
        <f>IF(OR(Dati[[#This Row],[Categoria]]="Bollette",Dati[[#This Row],[Categoria]]="Conto &amp; Carte BNL",Dati[[#This Row],[Categoria]]="Prelievo",Dati[[#This Row],[Categoria]]="Affitto",Dati[[#This Row],[Categoria]]="BNL(Interessi Creditori)"),"Carta",IF(Dati[[#This Row],[Categoria]]&lt;&gt;0,"Cash",""))</f>
        <v/>
      </c>
      <c r="K1477" s="59" t="str">
        <f>IF(OR(Data!$I1477=SottocategorieUscite[[#Headers],[Fuori Casa]],Data!$I1477=SottocategorieUscite[[#Headers],[Varie Uscite]],Data!$I1477=SottocategorieUscite[[#Headers],[Personali]],Data!$I1477=SottocategorieUscite[[#Headers],[Lavoro]]),"$ -","")</f>
        <v/>
      </c>
      <c r="L1477" s="59" t="str">
        <f>IF(OR(Data!$I1477=SottocategorieUscite[[#Headers],[Casa]],Data!$I1477=SottocategorieUscite[[#Headers],[Utenze]],Data!$I1477=SottocategorieUscite[[#Headers],[Business Uscite]],Data!$I1477=SottocategorieUscite[[#Headers],[Banca]]),"$ -","")</f>
        <v/>
      </c>
      <c r="M1477" s="59" t="str">
        <f>IF(OR($I1477&lt;&gt;SottocategorieUscite[[#Headers],[Fuori Casa]],$I1477&lt;&gt;SottocategorieUscite[[#Headers],[Varie Uscite]],$I1477&lt;&gt;SottocategorieUscite[[#Headers],[Personali]],$I1477&lt;&gt;SottocategorieUscite[[#Headers],[Lavoro]],$I1477&lt;&gt;SottocategorieUscite[[#Headers],[Casa]],$I1477&lt;&gt;SottocategorieUscite[[#Headers],[Utenze]],$I1477&lt;&gt;SottocategorieUscite[[#Headers],[Business Uscite]],$I1477&lt;&gt;SottocategorieUscite[[#Headers],[Banca]]),"","$ -")</f>
        <v/>
      </c>
      <c r="N1477" s="59" t="str">
        <f>IF(OR(Data!$I1477=SottocategorieEntrate[[#Headers],[Business Entrate]],Data!$I1477=SottocategorieEntrate[[#Headers],[Varie Entrate]]),"$ -","")</f>
        <v/>
      </c>
      <c r="O1477" s="59" t="str">
        <f>IF(OR(Data!$I1477=SottocategorieEntrate[[#Headers],[Real Estate]],SottocategorieEntrate[[#Headers],[Other]]),"$ -","")</f>
        <v/>
      </c>
      <c r="P1477" s="59" t="str">
        <f>IF(OR($I1477&lt;&gt;SottocategorieEntrate[[#Headers],[Business Entrate]],$I1477&lt;&gt;SottocategorieEntrate[[#Headers],[Varie Entrate]],$I1477&lt;&gt;SottocategorieEntrate[[#Headers],[Real Estate]],$I1477&lt;&gt;SottocategorieEntrate[[#Headers],[Other]]),"","$ -")</f>
        <v/>
      </c>
      <c r="Q1477" s="59" t="str">
        <f>IF(Dati[[#This Row],[Categoria]]="Prelievo","€ -","")</f>
        <v/>
      </c>
      <c r="R1477" s="244"/>
      <c r="S1477" s="59" t="str">
        <f>IF(Dati[[#This Row],[Categoria]]="Savings",0,"")</f>
        <v/>
      </c>
      <c r="T1477" s="59"/>
      <c r="U1477" s="59"/>
      <c r="V1477" s="59"/>
      <c r="W1477" s="59"/>
      <c r="X1477" s="59"/>
      <c r="Y1477" s="59"/>
      <c r="Z1477" s="59"/>
      <c r="AA1477" s="59"/>
      <c r="AB1477" s="59"/>
      <c r="AC1477" s="59"/>
      <c r="AD1477" s="59"/>
      <c r="AE1477" s="59"/>
      <c r="AF1477" s="59"/>
      <c r="AG1477" s="59"/>
      <c r="AH1477" s="59"/>
      <c r="AI1477" s="59" t="str">
        <f>IF(SUM(Dati[[#This Row],[Inv. Business]:[Inv. Cryptocurrency]])=0," ",SUM(Dati[[#This Row],[Inv. Business]:[Inv. Cryptocurrency]]))</f>
        <v xml:space="preserve"> </v>
      </c>
      <c r="AJ1477" s="59"/>
      <c r="AK1477" s="59" t="str">
        <f>IF(SUM(Dati[[#This Row],[Inv. Gold]:[Mutuo]])=0," ",SUM(Dati[[#This Row],[Inv. Gold]:[Mutuo]]))</f>
        <v xml:space="preserve"> </v>
      </c>
      <c r="AL1477" s="59"/>
      <c r="AM1477" s="59"/>
    </row>
    <row r="1478" spans="2:39" x14ac:dyDescent="0.35">
      <c r="B1478" s="237">
        <f t="shared" si="109"/>
        <v>1458</v>
      </c>
      <c r="C1478" s="49">
        <f t="shared" si="108"/>
        <v>46036</v>
      </c>
      <c r="D1478" s="29">
        <f>DAY(Dati[[#This Row],[Data]])</f>
        <v>14</v>
      </c>
      <c r="E1478" s="29" t="str">
        <f>IF(DAY(Data!$C$21:$C$1613)&gt;0,TEXT(Data!$C$21:$C$1613, "mmmm"),"")</f>
        <v>gennaio</v>
      </c>
      <c r="F1478" s="29" t="str">
        <f>IF(DAY(Data!$C$21:$C$1613)&gt;0,TEXT(Data!$C$21:$C$1613, "aaaa"),"")</f>
        <v>2026</v>
      </c>
      <c r="I1478" t="str">
        <f>IF(OR(H1478=$B$5,H1478=$B$6,H1478=$B$7,H1478=$B$8,H1478=$B$9,H1478=$B$10,H1478=$B$11,H1478=$B$12,H1478=$B$13,H1478=$B$14),SottocategorieUscite[[#Headers],[Fuori Casa]],IF(OR(H1478=$C$5,H1478=$C$6,H1478=$C$7,H1478=$C$8,H1478=$C$9,H1478=$C$10,H1478=$C$11,H1478=$C$12,H1478=$C$13,H1478=$C$14),SottocategorieUscite[[#Headers],[Varie Uscite]],IF(OR(H1478=$D$5,H1478=$D$6,H1478=$D$7,H1478=$D$8,H1478=$D$9,H1478=$D$10,H1478=$D$11,H1478=$D$12,H1478=$D$13,H1478=$D$14),SottocategorieUscite[[#Headers],[Personali]],IF(OR(H1478=$E$5,H1478=$E$6,H1478=$E$7,H1478=$E$8,H1478=$E$9,H1478=$E$10,H1478=$E$11,H1478=$E$12,H1478=$E$13,H1478=$E$14),SottocategorieUscite[[#Headers],[Lavoro]],IF(OR(H1478=$F$5,H1478=$F$6,H1478=$F$7,H1478=$F$8,H1478=$F$9,H1478=$F$10,H1478=$F$11,H1478=$F$12,H1478=$F$13,H1478=$F$14),SottocategorieUscite[[#Headers],[Casa]],IF(OR(H1478=$G$5,H1478=$G$6,H1478=$G$7,H1478=$G$8,H1478=$G$9,H1478=$G$10,H1478=$G$11,H1478=$G$12,H1478=$G$13,H1478=$G$14),SottocategorieUscite[[#Headers],[Utenze]],IF(OR(H1478=$H$5,H1478=$H$6,H1478=$H$7,H1478=$H$8,H1478=$H$9,H1478=$H$10,H1478=$H$11,H1478=$H$12,H1478=$H$13,H1478=$H$14),SottocategorieUscite[[#Headers],[Business Uscite]],IF(OR(H1478=$I$5,H1478=$I$6,H1478=$I$7,H1478=$I$8,H1478=$I$9,H1478=$I$10,H1478=$I$11,H1478=$I$12,H1478=$I$13,H1478=$I$14),SottocategorieUscite[[#Headers],[Banca]],IF(OR(H1478=K$5,H1478=K$6,H1478=K$7,H1478=K$8,H1478=K$9,H1478=K$10,H1478=K$11,H1478=K$12,H1478=K$13,H1478=K$14),SottocategorieEntrate[[#Headers],[Business Entrate]],IF(OR(H1478=L$5,H1478=L$6,H1478=L$7,H1478=L$8,H1478=L$9,H1478=L$10,H1478=L$11,H1478=L$12,H1478=L$13,H1478=L$14),SottocategorieEntrate[[#Headers],[Varie Entrate]],IF(OR(H1478=M$5,H1478=M$6,H1478=M$7,H1478=M$8,H1478=M$9,H1478=M$10,H1478=M$11,H1478=M$12,H1478=M$13,H1478=M$14),SottocategorieEntrate[[#Headers],[Real Estate]],IF(OR(H1478=N$5,H1478=N$6,H1478=N$7,H1478=N$8,H1478=N$9,H1478=N$10,H1478=N$11,H1478=N$12,H1478=N$13,H1478=N$14),SottocategorieEntrate[[#Headers],[Other]],""))))))))))))</f>
        <v/>
      </c>
      <c r="J1478" t="str">
        <f>IF(OR(Dati[[#This Row],[Categoria]]="Bollette",Dati[[#This Row],[Categoria]]="Conto &amp; Carte BNL",Dati[[#This Row],[Categoria]]="Prelievo",Dati[[#This Row],[Categoria]]="Affitto",Dati[[#This Row],[Categoria]]="BNL(Interessi Creditori)"),"Carta",IF(Dati[[#This Row],[Categoria]]&lt;&gt;0,"Cash",""))</f>
        <v/>
      </c>
      <c r="K1478" s="59" t="str">
        <f>IF(OR(Data!$I1478=SottocategorieUscite[[#Headers],[Fuori Casa]],Data!$I1478=SottocategorieUscite[[#Headers],[Varie Uscite]],Data!$I1478=SottocategorieUscite[[#Headers],[Personali]],Data!$I1478=SottocategorieUscite[[#Headers],[Lavoro]]),"$ -","")</f>
        <v/>
      </c>
      <c r="L1478" s="59" t="str">
        <f>IF(OR(Data!$I1478=SottocategorieUscite[[#Headers],[Casa]],Data!$I1478=SottocategorieUscite[[#Headers],[Utenze]],Data!$I1478=SottocategorieUscite[[#Headers],[Business Uscite]],Data!$I1478=SottocategorieUscite[[#Headers],[Banca]]),"$ -","")</f>
        <v/>
      </c>
      <c r="M1478" s="59" t="str">
        <f>IF(OR($I1478&lt;&gt;SottocategorieUscite[[#Headers],[Fuori Casa]],$I1478&lt;&gt;SottocategorieUscite[[#Headers],[Varie Uscite]],$I1478&lt;&gt;SottocategorieUscite[[#Headers],[Personali]],$I1478&lt;&gt;SottocategorieUscite[[#Headers],[Lavoro]],$I1478&lt;&gt;SottocategorieUscite[[#Headers],[Casa]],$I1478&lt;&gt;SottocategorieUscite[[#Headers],[Utenze]],$I1478&lt;&gt;SottocategorieUscite[[#Headers],[Business Uscite]],$I1478&lt;&gt;SottocategorieUscite[[#Headers],[Banca]]),"","$ -")</f>
        <v/>
      </c>
      <c r="N1478" s="59" t="str">
        <f>IF(OR(Data!$I1478=SottocategorieEntrate[[#Headers],[Business Entrate]],Data!$I1478=SottocategorieEntrate[[#Headers],[Varie Entrate]]),"$ -","")</f>
        <v/>
      </c>
      <c r="O1478" s="59" t="str">
        <f>IF(OR(Data!$I1478=SottocategorieEntrate[[#Headers],[Real Estate]],SottocategorieEntrate[[#Headers],[Other]]),"$ -","")</f>
        <v/>
      </c>
      <c r="P1478" s="59" t="str">
        <f>IF(OR($I1478&lt;&gt;SottocategorieEntrate[[#Headers],[Business Entrate]],$I1478&lt;&gt;SottocategorieEntrate[[#Headers],[Varie Entrate]],$I1478&lt;&gt;SottocategorieEntrate[[#Headers],[Real Estate]],$I1478&lt;&gt;SottocategorieEntrate[[#Headers],[Other]]),"","$ -")</f>
        <v/>
      </c>
      <c r="Q1478" s="59" t="str">
        <f>IF(Dati[[#This Row],[Categoria]]="Prelievo","€ -","")</f>
        <v/>
      </c>
      <c r="R1478" s="244"/>
      <c r="S1478" s="59" t="str">
        <f>IF(Dati[[#This Row],[Categoria]]="Savings",0,"")</f>
        <v/>
      </c>
      <c r="T1478" s="59"/>
      <c r="U1478" s="59"/>
      <c r="V1478" s="59"/>
      <c r="W1478" s="59"/>
      <c r="X1478" s="59"/>
      <c r="Y1478" s="59"/>
      <c r="Z1478" s="59"/>
      <c r="AA1478" s="59"/>
      <c r="AB1478" s="59"/>
      <c r="AC1478" s="59"/>
      <c r="AD1478" s="59"/>
      <c r="AE1478" s="59"/>
      <c r="AF1478" s="59"/>
      <c r="AG1478" s="59"/>
      <c r="AH1478" s="59"/>
      <c r="AI1478" s="59" t="str">
        <f>IF(SUM(Dati[[#This Row],[Inv. Business]:[Inv. Cryptocurrency]])=0," ",SUM(Dati[[#This Row],[Inv. Business]:[Inv. Cryptocurrency]]))</f>
        <v xml:space="preserve"> </v>
      </c>
      <c r="AJ1478" s="59"/>
      <c r="AK1478" s="59" t="str">
        <f>IF(SUM(Dati[[#This Row],[Inv. Gold]:[Mutuo]])=0," ",SUM(Dati[[#This Row],[Inv. Gold]:[Mutuo]]))</f>
        <v xml:space="preserve"> </v>
      </c>
      <c r="AL1478" s="59"/>
      <c r="AM1478" s="59"/>
    </row>
    <row r="1479" spans="2:39" x14ac:dyDescent="0.35">
      <c r="B1479" s="237">
        <f t="shared" si="109"/>
        <v>1459</v>
      </c>
      <c r="C1479" s="49">
        <f t="shared" si="108"/>
        <v>46037</v>
      </c>
      <c r="D1479" s="29">
        <f>DAY(Dati[[#This Row],[Data]])</f>
        <v>15</v>
      </c>
      <c r="E1479" s="29" t="str">
        <f>IF(DAY(Data!$C$21:$C$1613)&gt;0,TEXT(Data!$C$21:$C$1613, "mmmm"),"")</f>
        <v>gennaio</v>
      </c>
      <c r="F1479" s="29" t="str">
        <f>IF(DAY(Data!$C$21:$C$1613)&gt;0,TEXT(Data!$C$21:$C$1613, "aaaa"),"")</f>
        <v>2026</v>
      </c>
      <c r="I1479" t="str">
        <f>IF(OR(H1479=$B$5,H1479=$B$6,H1479=$B$7,H1479=$B$8,H1479=$B$9,H1479=$B$10,H1479=$B$11,H1479=$B$12,H1479=$B$13,H1479=$B$14),SottocategorieUscite[[#Headers],[Fuori Casa]],IF(OR(H1479=$C$5,H1479=$C$6,H1479=$C$7,H1479=$C$8,H1479=$C$9,H1479=$C$10,H1479=$C$11,H1479=$C$12,H1479=$C$13,H1479=$C$14),SottocategorieUscite[[#Headers],[Varie Uscite]],IF(OR(H1479=$D$5,H1479=$D$6,H1479=$D$7,H1479=$D$8,H1479=$D$9,H1479=$D$10,H1479=$D$11,H1479=$D$12,H1479=$D$13,H1479=$D$14),SottocategorieUscite[[#Headers],[Personali]],IF(OR(H1479=$E$5,H1479=$E$6,H1479=$E$7,H1479=$E$8,H1479=$E$9,H1479=$E$10,H1479=$E$11,H1479=$E$12,H1479=$E$13,H1479=$E$14),SottocategorieUscite[[#Headers],[Lavoro]],IF(OR(H1479=$F$5,H1479=$F$6,H1479=$F$7,H1479=$F$8,H1479=$F$9,H1479=$F$10,H1479=$F$11,H1479=$F$12,H1479=$F$13,H1479=$F$14),SottocategorieUscite[[#Headers],[Casa]],IF(OR(H1479=$G$5,H1479=$G$6,H1479=$G$7,H1479=$G$8,H1479=$G$9,H1479=$G$10,H1479=$G$11,H1479=$G$12,H1479=$G$13,H1479=$G$14),SottocategorieUscite[[#Headers],[Utenze]],IF(OR(H1479=$H$5,H1479=$H$6,H1479=$H$7,H1479=$H$8,H1479=$H$9,H1479=$H$10,H1479=$H$11,H1479=$H$12,H1479=$H$13,H1479=$H$14),SottocategorieUscite[[#Headers],[Business Uscite]],IF(OR(H1479=$I$5,H1479=$I$6,H1479=$I$7,H1479=$I$8,H1479=$I$9,H1479=$I$10,H1479=$I$11,H1479=$I$12,H1479=$I$13,H1479=$I$14),SottocategorieUscite[[#Headers],[Banca]],IF(OR(H1479=K$5,H1479=K$6,H1479=K$7,H1479=K$8,H1479=K$9,H1479=K$10,H1479=K$11,H1479=K$12,H1479=K$13,H1479=K$14),SottocategorieEntrate[[#Headers],[Business Entrate]],IF(OR(H1479=L$5,H1479=L$6,H1479=L$7,H1479=L$8,H1479=L$9,H1479=L$10,H1479=L$11,H1479=L$12,H1479=L$13,H1479=L$14),SottocategorieEntrate[[#Headers],[Varie Entrate]],IF(OR(H1479=M$5,H1479=M$6,H1479=M$7,H1479=M$8,H1479=M$9,H1479=M$10,H1479=M$11,H1479=M$12,H1479=M$13,H1479=M$14),SottocategorieEntrate[[#Headers],[Real Estate]],IF(OR(H1479=N$5,H1479=N$6,H1479=N$7,H1479=N$8,H1479=N$9,H1479=N$10,H1479=N$11,H1479=N$12,H1479=N$13,H1479=N$14),SottocategorieEntrate[[#Headers],[Other]],""))))))))))))</f>
        <v/>
      </c>
      <c r="J1479" t="str">
        <f>IF(OR(Dati[[#This Row],[Categoria]]="Bollette",Dati[[#This Row],[Categoria]]="Conto &amp; Carte BNL",Dati[[#This Row],[Categoria]]="Prelievo",Dati[[#This Row],[Categoria]]="Affitto",Dati[[#This Row],[Categoria]]="BNL(Interessi Creditori)"),"Carta",IF(Dati[[#This Row],[Categoria]]&lt;&gt;0,"Cash",""))</f>
        <v/>
      </c>
      <c r="K1479" s="59" t="str">
        <f>IF(OR(Data!$I1479=SottocategorieUscite[[#Headers],[Fuori Casa]],Data!$I1479=SottocategorieUscite[[#Headers],[Varie Uscite]],Data!$I1479=SottocategorieUscite[[#Headers],[Personali]],Data!$I1479=SottocategorieUscite[[#Headers],[Lavoro]]),"$ -","")</f>
        <v/>
      </c>
      <c r="L1479" s="59" t="str">
        <f>IF(OR(Data!$I1479=SottocategorieUscite[[#Headers],[Casa]],Data!$I1479=SottocategorieUscite[[#Headers],[Utenze]],Data!$I1479=SottocategorieUscite[[#Headers],[Business Uscite]],Data!$I1479=SottocategorieUscite[[#Headers],[Banca]]),"$ -","")</f>
        <v/>
      </c>
      <c r="M1479" s="59" t="str">
        <f>IF(OR($I1479&lt;&gt;SottocategorieUscite[[#Headers],[Fuori Casa]],$I1479&lt;&gt;SottocategorieUscite[[#Headers],[Varie Uscite]],$I1479&lt;&gt;SottocategorieUscite[[#Headers],[Personali]],$I1479&lt;&gt;SottocategorieUscite[[#Headers],[Lavoro]],$I1479&lt;&gt;SottocategorieUscite[[#Headers],[Casa]],$I1479&lt;&gt;SottocategorieUscite[[#Headers],[Utenze]],$I1479&lt;&gt;SottocategorieUscite[[#Headers],[Business Uscite]],$I1479&lt;&gt;SottocategorieUscite[[#Headers],[Banca]]),"","$ -")</f>
        <v/>
      </c>
      <c r="N1479" s="59" t="str">
        <f>IF(OR(Data!$I1479=SottocategorieEntrate[[#Headers],[Business Entrate]],Data!$I1479=SottocategorieEntrate[[#Headers],[Varie Entrate]]),"$ -","")</f>
        <v/>
      </c>
      <c r="O1479" s="59" t="str">
        <f>IF(OR(Data!$I1479=SottocategorieEntrate[[#Headers],[Real Estate]],SottocategorieEntrate[[#Headers],[Other]]),"$ -","")</f>
        <v/>
      </c>
      <c r="P1479" s="59" t="str">
        <f>IF(OR($I1479&lt;&gt;SottocategorieEntrate[[#Headers],[Business Entrate]],$I1479&lt;&gt;SottocategorieEntrate[[#Headers],[Varie Entrate]],$I1479&lt;&gt;SottocategorieEntrate[[#Headers],[Real Estate]],$I1479&lt;&gt;SottocategorieEntrate[[#Headers],[Other]]),"","$ -")</f>
        <v/>
      </c>
      <c r="Q1479" s="59" t="str">
        <f>IF(Dati[[#This Row],[Categoria]]="Prelievo","€ -","")</f>
        <v/>
      </c>
      <c r="R1479" s="244"/>
      <c r="S1479" s="59" t="str">
        <f>IF(Dati[[#This Row],[Categoria]]="Savings",0,"")</f>
        <v/>
      </c>
      <c r="T1479" s="59"/>
      <c r="U1479" s="59"/>
      <c r="V1479" s="59"/>
      <c r="W1479" s="59"/>
      <c r="X1479" s="59"/>
      <c r="Y1479" s="59"/>
      <c r="Z1479" s="59"/>
      <c r="AA1479" s="59"/>
      <c r="AB1479" s="59"/>
      <c r="AC1479" s="59"/>
      <c r="AD1479" s="59"/>
      <c r="AE1479" s="59"/>
      <c r="AF1479" s="59"/>
      <c r="AG1479" s="59"/>
      <c r="AH1479" s="59"/>
      <c r="AI1479" s="59" t="str">
        <f>IF(SUM(Dati[[#This Row],[Inv. Business]:[Inv. Cryptocurrency]])=0," ",SUM(Dati[[#This Row],[Inv. Business]:[Inv. Cryptocurrency]]))</f>
        <v xml:space="preserve"> </v>
      </c>
      <c r="AJ1479" s="59"/>
      <c r="AK1479" s="59" t="str">
        <f>IF(SUM(Dati[[#This Row],[Inv. Gold]:[Mutuo]])=0," ",SUM(Dati[[#This Row],[Inv. Gold]:[Mutuo]]))</f>
        <v xml:space="preserve"> </v>
      </c>
      <c r="AL1479" s="59"/>
      <c r="AM1479" s="59"/>
    </row>
    <row r="1480" spans="2:39" x14ac:dyDescent="0.35">
      <c r="B1480" s="237">
        <f t="shared" si="109"/>
        <v>1460</v>
      </c>
      <c r="C1480" s="49">
        <f t="shared" si="108"/>
        <v>46038</v>
      </c>
      <c r="D1480" s="29">
        <f>DAY(Dati[[#This Row],[Data]])</f>
        <v>16</v>
      </c>
      <c r="E1480" s="29" t="str">
        <f>IF(DAY(Data!$C$21:$C$1613)&gt;0,TEXT(Data!$C$21:$C$1613, "mmmm"),"")</f>
        <v>gennaio</v>
      </c>
      <c r="F1480" s="29" t="str">
        <f>IF(DAY(Data!$C$21:$C$1613)&gt;0,TEXT(Data!$C$21:$C$1613, "aaaa"),"")</f>
        <v>2026</v>
      </c>
      <c r="I1480" t="str">
        <f>IF(OR(H1480=$B$5,H1480=$B$6,H1480=$B$7,H1480=$B$8,H1480=$B$9,H1480=$B$10,H1480=$B$11,H1480=$B$12,H1480=$B$13,H1480=$B$14),SottocategorieUscite[[#Headers],[Fuori Casa]],IF(OR(H1480=$C$5,H1480=$C$6,H1480=$C$7,H1480=$C$8,H1480=$C$9,H1480=$C$10,H1480=$C$11,H1480=$C$12,H1480=$C$13,H1480=$C$14),SottocategorieUscite[[#Headers],[Varie Uscite]],IF(OR(H1480=$D$5,H1480=$D$6,H1480=$D$7,H1480=$D$8,H1480=$D$9,H1480=$D$10,H1480=$D$11,H1480=$D$12,H1480=$D$13,H1480=$D$14),SottocategorieUscite[[#Headers],[Personali]],IF(OR(H1480=$E$5,H1480=$E$6,H1480=$E$7,H1480=$E$8,H1480=$E$9,H1480=$E$10,H1480=$E$11,H1480=$E$12,H1480=$E$13,H1480=$E$14),SottocategorieUscite[[#Headers],[Lavoro]],IF(OR(H1480=$F$5,H1480=$F$6,H1480=$F$7,H1480=$F$8,H1480=$F$9,H1480=$F$10,H1480=$F$11,H1480=$F$12,H1480=$F$13,H1480=$F$14),SottocategorieUscite[[#Headers],[Casa]],IF(OR(H1480=$G$5,H1480=$G$6,H1480=$G$7,H1480=$G$8,H1480=$G$9,H1480=$G$10,H1480=$G$11,H1480=$G$12,H1480=$G$13,H1480=$G$14),SottocategorieUscite[[#Headers],[Utenze]],IF(OR(H1480=$H$5,H1480=$H$6,H1480=$H$7,H1480=$H$8,H1480=$H$9,H1480=$H$10,H1480=$H$11,H1480=$H$12,H1480=$H$13,H1480=$H$14),SottocategorieUscite[[#Headers],[Business Uscite]],IF(OR(H1480=$I$5,H1480=$I$6,H1480=$I$7,H1480=$I$8,H1480=$I$9,H1480=$I$10,H1480=$I$11,H1480=$I$12,H1480=$I$13,H1480=$I$14),SottocategorieUscite[[#Headers],[Banca]],IF(OR(H1480=K$5,H1480=K$6,H1480=K$7,H1480=K$8,H1480=K$9,H1480=K$10,H1480=K$11,H1480=K$12,H1480=K$13,H1480=K$14),SottocategorieEntrate[[#Headers],[Business Entrate]],IF(OR(H1480=L$5,H1480=L$6,H1480=L$7,H1480=L$8,H1480=L$9,H1480=L$10,H1480=L$11,H1480=L$12,H1480=L$13,H1480=L$14),SottocategorieEntrate[[#Headers],[Varie Entrate]],IF(OR(H1480=M$5,H1480=M$6,H1480=M$7,H1480=M$8,H1480=M$9,H1480=M$10,H1480=M$11,H1480=M$12,H1480=M$13,H1480=M$14),SottocategorieEntrate[[#Headers],[Real Estate]],IF(OR(H1480=N$5,H1480=N$6,H1480=N$7,H1480=N$8,H1480=N$9,H1480=N$10,H1480=N$11,H1480=N$12,H1480=N$13,H1480=N$14),SottocategorieEntrate[[#Headers],[Other]],""))))))))))))</f>
        <v/>
      </c>
      <c r="J1480" t="str">
        <f>IF(OR(Dati[[#This Row],[Categoria]]="Bollette",Dati[[#This Row],[Categoria]]="Conto &amp; Carte BNL",Dati[[#This Row],[Categoria]]="Prelievo",Dati[[#This Row],[Categoria]]="Affitto",Dati[[#This Row],[Categoria]]="BNL(Interessi Creditori)"),"Carta",IF(Dati[[#This Row],[Categoria]]&lt;&gt;0,"Cash",""))</f>
        <v/>
      </c>
      <c r="K1480" s="59" t="str">
        <f>IF(OR(Data!$I1480=SottocategorieUscite[[#Headers],[Fuori Casa]],Data!$I1480=SottocategorieUscite[[#Headers],[Varie Uscite]],Data!$I1480=SottocategorieUscite[[#Headers],[Personali]],Data!$I1480=SottocategorieUscite[[#Headers],[Lavoro]]),"$ -","")</f>
        <v/>
      </c>
      <c r="L1480" s="59" t="str">
        <f>IF(OR(Data!$I1480=SottocategorieUscite[[#Headers],[Casa]],Data!$I1480=SottocategorieUscite[[#Headers],[Utenze]],Data!$I1480=SottocategorieUscite[[#Headers],[Business Uscite]],Data!$I1480=SottocategorieUscite[[#Headers],[Banca]]),"$ -","")</f>
        <v/>
      </c>
      <c r="M1480" s="59" t="str">
        <f>IF(OR($I1480&lt;&gt;SottocategorieUscite[[#Headers],[Fuori Casa]],$I1480&lt;&gt;SottocategorieUscite[[#Headers],[Varie Uscite]],$I1480&lt;&gt;SottocategorieUscite[[#Headers],[Personali]],$I1480&lt;&gt;SottocategorieUscite[[#Headers],[Lavoro]],$I1480&lt;&gt;SottocategorieUscite[[#Headers],[Casa]],$I1480&lt;&gt;SottocategorieUscite[[#Headers],[Utenze]],$I1480&lt;&gt;SottocategorieUscite[[#Headers],[Business Uscite]],$I1480&lt;&gt;SottocategorieUscite[[#Headers],[Banca]]),"","$ -")</f>
        <v/>
      </c>
      <c r="N1480" s="59" t="str">
        <f>IF(OR(Data!$I1480=SottocategorieEntrate[[#Headers],[Business Entrate]],Data!$I1480=SottocategorieEntrate[[#Headers],[Varie Entrate]]),"$ -","")</f>
        <v/>
      </c>
      <c r="O1480" s="59" t="str">
        <f>IF(OR(Data!$I1480=SottocategorieEntrate[[#Headers],[Real Estate]],SottocategorieEntrate[[#Headers],[Other]]),"$ -","")</f>
        <v/>
      </c>
      <c r="P1480" s="59" t="str">
        <f>IF(OR($I1480&lt;&gt;SottocategorieEntrate[[#Headers],[Business Entrate]],$I1480&lt;&gt;SottocategorieEntrate[[#Headers],[Varie Entrate]],$I1480&lt;&gt;SottocategorieEntrate[[#Headers],[Real Estate]],$I1480&lt;&gt;SottocategorieEntrate[[#Headers],[Other]]),"","$ -")</f>
        <v/>
      </c>
      <c r="Q1480" s="59" t="str">
        <f>IF(Dati[[#This Row],[Categoria]]="Prelievo","€ -","")</f>
        <v/>
      </c>
      <c r="R1480" s="244"/>
      <c r="S1480" s="59" t="str">
        <f>IF(Dati[[#This Row],[Categoria]]="Savings",0,"")</f>
        <v/>
      </c>
      <c r="T1480" s="59"/>
      <c r="U1480" s="59"/>
      <c r="V1480" s="59"/>
      <c r="W1480" s="59"/>
      <c r="X1480" s="59"/>
      <c r="Y1480" s="59"/>
      <c r="Z1480" s="59"/>
      <c r="AA1480" s="59"/>
      <c r="AB1480" s="59"/>
      <c r="AC1480" s="59"/>
      <c r="AD1480" s="59"/>
      <c r="AE1480" s="59"/>
      <c r="AF1480" s="59"/>
      <c r="AG1480" s="59"/>
      <c r="AH1480" s="59"/>
      <c r="AI1480" s="59" t="str">
        <f>IF(SUM(Dati[[#This Row],[Inv. Business]:[Inv. Cryptocurrency]])=0," ",SUM(Dati[[#This Row],[Inv. Business]:[Inv. Cryptocurrency]]))</f>
        <v xml:space="preserve"> </v>
      </c>
      <c r="AJ1480" s="59"/>
      <c r="AK1480" s="59" t="str">
        <f>IF(SUM(Dati[[#This Row],[Inv. Gold]:[Mutuo]])=0," ",SUM(Dati[[#This Row],[Inv. Gold]:[Mutuo]]))</f>
        <v xml:space="preserve"> </v>
      </c>
      <c r="AL1480" s="59"/>
      <c r="AM1480" s="59"/>
    </row>
    <row r="1481" spans="2:39" x14ac:dyDescent="0.35">
      <c r="B1481" s="237">
        <f t="shared" si="109"/>
        <v>1461</v>
      </c>
      <c r="C1481" s="49">
        <f t="shared" si="108"/>
        <v>46039</v>
      </c>
      <c r="D1481" s="29">
        <f>DAY(Dati[[#This Row],[Data]])</f>
        <v>17</v>
      </c>
      <c r="E1481" s="29" t="str">
        <f>IF(DAY(Data!$C$21:$C$1613)&gt;0,TEXT(Data!$C$21:$C$1613, "mmmm"),"")</f>
        <v>gennaio</v>
      </c>
      <c r="F1481" s="29" t="str">
        <f>IF(DAY(Data!$C$21:$C$1613)&gt;0,TEXT(Data!$C$21:$C$1613, "aaaa"),"")</f>
        <v>2026</v>
      </c>
      <c r="I1481" t="str">
        <f>IF(OR(H1481=$B$5,H1481=$B$6,H1481=$B$7,H1481=$B$8,H1481=$B$9,H1481=$B$10,H1481=$B$11,H1481=$B$12,H1481=$B$13,H1481=$B$14),SottocategorieUscite[[#Headers],[Fuori Casa]],IF(OR(H1481=$C$5,H1481=$C$6,H1481=$C$7,H1481=$C$8,H1481=$C$9,H1481=$C$10,H1481=$C$11,H1481=$C$12,H1481=$C$13,H1481=$C$14),SottocategorieUscite[[#Headers],[Varie Uscite]],IF(OR(H1481=$D$5,H1481=$D$6,H1481=$D$7,H1481=$D$8,H1481=$D$9,H1481=$D$10,H1481=$D$11,H1481=$D$12,H1481=$D$13,H1481=$D$14),SottocategorieUscite[[#Headers],[Personali]],IF(OR(H1481=$E$5,H1481=$E$6,H1481=$E$7,H1481=$E$8,H1481=$E$9,H1481=$E$10,H1481=$E$11,H1481=$E$12,H1481=$E$13,H1481=$E$14),SottocategorieUscite[[#Headers],[Lavoro]],IF(OR(H1481=$F$5,H1481=$F$6,H1481=$F$7,H1481=$F$8,H1481=$F$9,H1481=$F$10,H1481=$F$11,H1481=$F$12,H1481=$F$13,H1481=$F$14),SottocategorieUscite[[#Headers],[Casa]],IF(OR(H1481=$G$5,H1481=$G$6,H1481=$G$7,H1481=$G$8,H1481=$G$9,H1481=$G$10,H1481=$G$11,H1481=$G$12,H1481=$G$13,H1481=$G$14),SottocategorieUscite[[#Headers],[Utenze]],IF(OR(H1481=$H$5,H1481=$H$6,H1481=$H$7,H1481=$H$8,H1481=$H$9,H1481=$H$10,H1481=$H$11,H1481=$H$12,H1481=$H$13,H1481=$H$14),SottocategorieUscite[[#Headers],[Business Uscite]],IF(OR(H1481=$I$5,H1481=$I$6,H1481=$I$7,H1481=$I$8,H1481=$I$9,H1481=$I$10,H1481=$I$11,H1481=$I$12,H1481=$I$13,H1481=$I$14),SottocategorieUscite[[#Headers],[Banca]],IF(OR(H1481=K$5,H1481=K$6,H1481=K$7,H1481=K$8,H1481=K$9,H1481=K$10,H1481=K$11,H1481=K$12,H1481=K$13,H1481=K$14),SottocategorieEntrate[[#Headers],[Business Entrate]],IF(OR(H1481=L$5,H1481=L$6,H1481=L$7,H1481=L$8,H1481=L$9,H1481=L$10,H1481=L$11,H1481=L$12,H1481=L$13,H1481=L$14),SottocategorieEntrate[[#Headers],[Varie Entrate]],IF(OR(H1481=M$5,H1481=M$6,H1481=M$7,H1481=M$8,H1481=M$9,H1481=M$10,H1481=M$11,H1481=M$12,H1481=M$13,H1481=M$14),SottocategorieEntrate[[#Headers],[Real Estate]],IF(OR(H1481=N$5,H1481=N$6,H1481=N$7,H1481=N$8,H1481=N$9,H1481=N$10,H1481=N$11,H1481=N$12,H1481=N$13,H1481=N$14),SottocategorieEntrate[[#Headers],[Other]],""))))))))))))</f>
        <v/>
      </c>
      <c r="J1481" t="str">
        <f>IF(OR(Dati[[#This Row],[Categoria]]="Bollette",Dati[[#This Row],[Categoria]]="Conto &amp; Carte BNL",Dati[[#This Row],[Categoria]]="Prelievo",Dati[[#This Row],[Categoria]]="Affitto",Dati[[#This Row],[Categoria]]="BNL(Interessi Creditori)"),"Carta",IF(Dati[[#This Row],[Categoria]]&lt;&gt;0,"Cash",""))</f>
        <v/>
      </c>
      <c r="K1481" s="59" t="str">
        <f>IF(OR(Data!$I1481=SottocategorieUscite[[#Headers],[Fuori Casa]],Data!$I1481=SottocategorieUscite[[#Headers],[Varie Uscite]],Data!$I1481=SottocategorieUscite[[#Headers],[Personali]],Data!$I1481=SottocategorieUscite[[#Headers],[Lavoro]]),"$ -","")</f>
        <v/>
      </c>
      <c r="L1481" s="59" t="str">
        <f>IF(OR(Data!$I1481=SottocategorieUscite[[#Headers],[Casa]],Data!$I1481=SottocategorieUscite[[#Headers],[Utenze]],Data!$I1481=SottocategorieUscite[[#Headers],[Business Uscite]],Data!$I1481=SottocategorieUscite[[#Headers],[Banca]]),"$ -","")</f>
        <v/>
      </c>
      <c r="M1481" s="59" t="str">
        <f>IF(OR($I1481&lt;&gt;SottocategorieUscite[[#Headers],[Fuori Casa]],$I1481&lt;&gt;SottocategorieUscite[[#Headers],[Varie Uscite]],$I1481&lt;&gt;SottocategorieUscite[[#Headers],[Personali]],$I1481&lt;&gt;SottocategorieUscite[[#Headers],[Lavoro]],$I1481&lt;&gt;SottocategorieUscite[[#Headers],[Casa]],$I1481&lt;&gt;SottocategorieUscite[[#Headers],[Utenze]],$I1481&lt;&gt;SottocategorieUscite[[#Headers],[Business Uscite]],$I1481&lt;&gt;SottocategorieUscite[[#Headers],[Banca]]),"","$ -")</f>
        <v/>
      </c>
      <c r="N1481" s="59" t="str">
        <f>IF(OR(Data!$I1481=SottocategorieEntrate[[#Headers],[Business Entrate]],Data!$I1481=SottocategorieEntrate[[#Headers],[Varie Entrate]]),"$ -","")</f>
        <v/>
      </c>
      <c r="O1481" s="59" t="str">
        <f>IF(OR(Data!$I1481=SottocategorieEntrate[[#Headers],[Real Estate]],SottocategorieEntrate[[#Headers],[Other]]),"$ -","")</f>
        <v/>
      </c>
      <c r="P1481" s="59" t="str">
        <f>IF(OR($I1481&lt;&gt;SottocategorieEntrate[[#Headers],[Business Entrate]],$I1481&lt;&gt;SottocategorieEntrate[[#Headers],[Varie Entrate]],$I1481&lt;&gt;SottocategorieEntrate[[#Headers],[Real Estate]],$I1481&lt;&gt;SottocategorieEntrate[[#Headers],[Other]]),"","$ -")</f>
        <v/>
      </c>
      <c r="Q1481" s="59" t="str">
        <f>IF(Dati[[#This Row],[Categoria]]="Prelievo","€ -","")</f>
        <v/>
      </c>
      <c r="R1481" s="244"/>
      <c r="S1481" s="59" t="str">
        <f>IF(Dati[[#This Row],[Categoria]]="Savings",0,"")</f>
        <v/>
      </c>
      <c r="T1481" s="59"/>
      <c r="U1481" s="59"/>
      <c r="V1481" s="59"/>
      <c r="W1481" s="59"/>
      <c r="X1481" s="59"/>
      <c r="Y1481" s="59"/>
      <c r="Z1481" s="59"/>
      <c r="AA1481" s="59"/>
      <c r="AB1481" s="59"/>
      <c r="AC1481" s="59"/>
      <c r="AD1481" s="59"/>
      <c r="AE1481" s="59"/>
      <c r="AF1481" s="59"/>
      <c r="AG1481" s="59"/>
      <c r="AH1481" s="59"/>
      <c r="AI1481" s="59" t="str">
        <f>IF(SUM(Dati[[#This Row],[Inv. Business]:[Inv. Cryptocurrency]])=0," ",SUM(Dati[[#This Row],[Inv. Business]:[Inv. Cryptocurrency]]))</f>
        <v xml:space="preserve"> </v>
      </c>
      <c r="AJ1481" s="59"/>
      <c r="AK1481" s="59" t="str">
        <f>IF(SUM(Dati[[#This Row],[Inv. Gold]:[Mutuo]])=0," ",SUM(Dati[[#This Row],[Inv. Gold]:[Mutuo]]))</f>
        <v xml:space="preserve"> </v>
      </c>
      <c r="AL1481" s="59"/>
      <c r="AM1481" s="59"/>
    </row>
    <row r="1482" spans="2:39" x14ac:dyDescent="0.35">
      <c r="B1482" s="237">
        <f t="shared" si="109"/>
        <v>1462</v>
      </c>
      <c r="C1482" s="49">
        <f t="shared" si="108"/>
        <v>46040</v>
      </c>
      <c r="D1482" s="29">
        <f>DAY(Dati[[#This Row],[Data]])</f>
        <v>18</v>
      </c>
      <c r="E1482" s="29" t="str">
        <f>IF(DAY(Data!$C$21:$C$1613)&gt;0,TEXT(Data!$C$21:$C$1613, "mmmm"),"")</f>
        <v>gennaio</v>
      </c>
      <c r="F1482" s="29" t="str">
        <f>IF(DAY(Data!$C$21:$C$1613)&gt;0,TEXT(Data!$C$21:$C$1613, "aaaa"),"")</f>
        <v>2026</v>
      </c>
      <c r="I1482" t="str">
        <f>IF(OR(H1482=$B$5,H1482=$B$6,H1482=$B$7,H1482=$B$8,H1482=$B$9,H1482=$B$10,H1482=$B$11,H1482=$B$12,H1482=$B$13,H1482=$B$14),SottocategorieUscite[[#Headers],[Fuori Casa]],IF(OR(H1482=$C$5,H1482=$C$6,H1482=$C$7,H1482=$C$8,H1482=$C$9,H1482=$C$10,H1482=$C$11,H1482=$C$12,H1482=$C$13,H1482=$C$14),SottocategorieUscite[[#Headers],[Varie Uscite]],IF(OR(H1482=$D$5,H1482=$D$6,H1482=$D$7,H1482=$D$8,H1482=$D$9,H1482=$D$10,H1482=$D$11,H1482=$D$12,H1482=$D$13,H1482=$D$14),SottocategorieUscite[[#Headers],[Personali]],IF(OR(H1482=$E$5,H1482=$E$6,H1482=$E$7,H1482=$E$8,H1482=$E$9,H1482=$E$10,H1482=$E$11,H1482=$E$12,H1482=$E$13,H1482=$E$14),SottocategorieUscite[[#Headers],[Lavoro]],IF(OR(H1482=$F$5,H1482=$F$6,H1482=$F$7,H1482=$F$8,H1482=$F$9,H1482=$F$10,H1482=$F$11,H1482=$F$12,H1482=$F$13,H1482=$F$14),SottocategorieUscite[[#Headers],[Casa]],IF(OR(H1482=$G$5,H1482=$G$6,H1482=$G$7,H1482=$G$8,H1482=$G$9,H1482=$G$10,H1482=$G$11,H1482=$G$12,H1482=$G$13,H1482=$G$14),SottocategorieUscite[[#Headers],[Utenze]],IF(OR(H1482=$H$5,H1482=$H$6,H1482=$H$7,H1482=$H$8,H1482=$H$9,H1482=$H$10,H1482=$H$11,H1482=$H$12,H1482=$H$13,H1482=$H$14),SottocategorieUscite[[#Headers],[Business Uscite]],IF(OR(H1482=$I$5,H1482=$I$6,H1482=$I$7,H1482=$I$8,H1482=$I$9,H1482=$I$10,H1482=$I$11,H1482=$I$12,H1482=$I$13,H1482=$I$14),SottocategorieUscite[[#Headers],[Banca]],IF(OR(H1482=K$5,H1482=K$6,H1482=K$7,H1482=K$8,H1482=K$9,H1482=K$10,H1482=K$11,H1482=K$12,H1482=K$13,H1482=K$14),SottocategorieEntrate[[#Headers],[Business Entrate]],IF(OR(H1482=L$5,H1482=L$6,H1482=L$7,H1482=L$8,H1482=L$9,H1482=L$10,H1482=L$11,H1482=L$12,H1482=L$13,H1482=L$14),SottocategorieEntrate[[#Headers],[Varie Entrate]],IF(OR(H1482=M$5,H1482=M$6,H1482=M$7,H1482=M$8,H1482=M$9,H1482=M$10,H1482=M$11,H1482=M$12,H1482=M$13,H1482=M$14),SottocategorieEntrate[[#Headers],[Real Estate]],IF(OR(H1482=N$5,H1482=N$6,H1482=N$7,H1482=N$8,H1482=N$9,H1482=N$10,H1482=N$11,H1482=N$12,H1482=N$13,H1482=N$14),SottocategorieEntrate[[#Headers],[Other]],""))))))))))))</f>
        <v/>
      </c>
      <c r="J1482" t="str">
        <f>IF(OR(Dati[[#This Row],[Categoria]]="Bollette",Dati[[#This Row],[Categoria]]="Conto &amp; Carte BNL",Dati[[#This Row],[Categoria]]="Prelievo",Dati[[#This Row],[Categoria]]="Affitto",Dati[[#This Row],[Categoria]]="BNL(Interessi Creditori)"),"Carta",IF(Dati[[#This Row],[Categoria]]&lt;&gt;0,"Cash",""))</f>
        <v/>
      </c>
      <c r="K1482" s="59" t="str">
        <f>IF(OR(Data!$I1482=SottocategorieUscite[[#Headers],[Fuori Casa]],Data!$I1482=SottocategorieUscite[[#Headers],[Varie Uscite]],Data!$I1482=SottocategorieUscite[[#Headers],[Personali]],Data!$I1482=SottocategorieUscite[[#Headers],[Lavoro]]),"$ -","")</f>
        <v/>
      </c>
      <c r="L1482" s="59" t="str">
        <f>IF(OR(Data!$I1482=SottocategorieUscite[[#Headers],[Casa]],Data!$I1482=SottocategorieUscite[[#Headers],[Utenze]],Data!$I1482=SottocategorieUscite[[#Headers],[Business Uscite]],Data!$I1482=SottocategorieUscite[[#Headers],[Banca]]),"$ -","")</f>
        <v/>
      </c>
      <c r="M1482" s="59" t="str">
        <f>IF(OR($I1482&lt;&gt;SottocategorieUscite[[#Headers],[Fuori Casa]],$I1482&lt;&gt;SottocategorieUscite[[#Headers],[Varie Uscite]],$I1482&lt;&gt;SottocategorieUscite[[#Headers],[Personali]],$I1482&lt;&gt;SottocategorieUscite[[#Headers],[Lavoro]],$I1482&lt;&gt;SottocategorieUscite[[#Headers],[Casa]],$I1482&lt;&gt;SottocategorieUscite[[#Headers],[Utenze]],$I1482&lt;&gt;SottocategorieUscite[[#Headers],[Business Uscite]],$I1482&lt;&gt;SottocategorieUscite[[#Headers],[Banca]]),"","$ -")</f>
        <v/>
      </c>
      <c r="N1482" s="59" t="str">
        <f>IF(OR(Data!$I1482=SottocategorieEntrate[[#Headers],[Business Entrate]],Data!$I1482=SottocategorieEntrate[[#Headers],[Varie Entrate]]),"$ -","")</f>
        <v/>
      </c>
      <c r="O1482" s="59" t="str">
        <f>IF(OR(Data!$I1482=SottocategorieEntrate[[#Headers],[Real Estate]],SottocategorieEntrate[[#Headers],[Other]]),"$ -","")</f>
        <v/>
      </c>
      <c r="P1482" s="59" t="str">
        <f>IF(OR($I1482&lt;&gt;SottocategorieEntrate[[#Headers],[Business Entrate]],$I1482&lt;&gt;SottocategorieEntrate[[#Headers],[Varie Entrate]],$I1482&lt;&gt;SottocategorieEntrate[[#Headers],[Real Estate]],$I1482&lt;&gt;SottocategorieEntrate[[#Headers],[Other]]),"","$ -")</f>
        <v/>
      </c>
      <c r="Q1482" s="59" t="str">
        <f>IF(Dati[[#This Row],[Categoria]]="Prelievo","€ -","")</f>
        <v/>
      </c>
      <c r="R1482" s="244"/>
      <c r="S1482" s="59" t="str">
        <f>IF(Dati[[#This Row],[Categoria]]="Savings",0,"")</f>
        <v/>
      </c>
      <c r="T1482" s="59"/>
      <c r="U1482" s="59"/>
      <c r="V1482" s="59"/>
      <c r="W1482" s="59"/>
      <c r="X1482" s="59"/>
      <c r="Y1482" s="59"/>
      <c r="Z1482" s="59"/>
      <c r="AA1482" s="59"/>
      <c r="AB1482" s="59"/>
      <c r="AC1482" s="59"/>
      <c r="AD1482" s="59"/>
      <c r="AE1482" s="59"/>
      <c r="AF1482" s="59"/>
      <c r="AG1482" s="59"/>
      <c r="AH1482" s="59"/>
      <c r="AI1482" s="59" t="str">
        <f>IF(SUM(Dati[[#This Row],[Inv. Business]:[Inv. Cryptocurrency]])=0," ",SUM(Dati[[#This Row],[Inv. Business]:[Inv. Cryptocurrency]]))</f>
        <v xml:space="preserve"> </v>
      </c>
      <c r="AJ1482" s="59"/>
      <c r="AK1482" s="59" t="str">
        <f>IF(SUM(Dati[[#This Row],[Inv. Gold]:[Mutuo]])=0," ",SUM(Dati[[#This Row],[Inv. Gold]:[Mutuo]]))</f>
        <v xml:space="preserve"> </v>
      </c>
      <c r="AL1482" s="59"/>
      <c r="AM1482" s="59"/>
    </row>
    <row r="1483" spans="2:39" x14ac:dyDescent="0.35">
      <c r="B1483" s="237">
        <f t="shared" si="109"/>
        <v>1463</v>
      </c>
      <c r="C1483" s="49">
        <f t="shared" si="108"/>
        <v>46041</v>
      </c>
      <c r="D1483" s="29">
        <f>DAY(Dati[[#This Row],[Data]])</f>
        <v>19</v>
      </c>
      <c r="E1483" s="29" t="str">
        <f>IF(DAY(Data!$C$21:$C$1613)&gt;0,TEXT(Data!$C$21:$C$1613, "mmmm"),"")</f>
        <v>gennaio</v>
      </c>
      <c r="F1483" s="29" t="str">
        <f>IF(DAY(Data!$C$21:$C$1613)&gt;0,TEXT(Data!$C$21:$C$1613, "aaaa"),"")</f>
        <v>2026</v>
      </c>
      <c r="I1483" t="str">
        <f>IF(OR(H1483=$B$5,H1483=$B$6,H1483=$B$7,H1483=$B$8,H1483=$B$9,H1483=$B$10,H1483=$B$11,H1483=$B$12,H1483=$B$13,H1483=$B$14),SottocategorieUscite[[#Headers],[Fuori Casa]],IF(OR(H1483=$C$5,H1483=$C$6,H1483=$C$7,H1483=$C$8,H1483=$C$9,H1483=$C$10,H1483=$C$11,H1483=$C$12,H1483=$C$13,H1483=$C$14),SottocategorieUscite[[#Headers],[Varie Uscite]],IF(OR(H1483=$D$5,H1483=$D$6,H1483=$D$7,H1483=$D$8,H1483=$D$9,H1483=$D$10,H1483=$D$11,H1483=$D$12,H1483=$D$13,H1483=$D$14),SottocategorieUscite[[#Headers],[Personali]],IF(OR(H1483=$E$5,H1483=$E$6,H1483=$E$7,H1483=$E$8,H1483=$E$9,H1483=$E$10,H1483=$E$11,H1483=$E$12,H1483=$E$13,H1483=$E$14),SottocategorieUscite[[#Headers],[Lavoro]],IF(OR(H1483=$F$5,H1483=$F$6,H1483=$F$7,H1483=$F$8,H1483=$F$9,H1483=$F$10,H1483=$F$11,H1483=$F$12,H1483=$F$13,H1483=$F$14),SottocategorieUscite[[#Headers],[Casa]],IF(OR(H1483=$G$5,H1483=$G$6,H1483=$G$7,H1483=$G$8,H1483=$G$9,H1483=$G$10,H1483=$G$11,H1483=$G$12,H1483=$G$13,H1483=$G$14),SottocategorieUscite[[#Headers],[Utenze]],IF(OR(H1483=$H$5,H1483=$H$6,H1483=$H$7,H1483=$H$8,H1483=$H$9,H1483=$H$10,H1483=$H$11,H1483=$H$12,H1483=$H$13,H1483=$H$14),SottocategorieUscite[[#Headers],[Business Uscite]],IF(OR(H1483=$I$5,H1483=$I$6,H1483=$I$7,H1483=$I$8,H1483=$I$9,H1483=$I$10,H1483=$I$11,H1483=$I$12,H1483=$I$13,H1483=$I$14),SottocategorieUscite[[#Headers],[Banca]],IF(OR(H1483=K$5,H1483=K$6,H1483=K$7,H1483=K$8,H1483=K$9,H1483=K$10,H1483=K$11,H1483=K$12,H1483=K$13,H1483=K$14),SottocategorieEntrate[[#Headers],[Business Entrate]],IF(OR(H1483=L$5,H1483=L$6,H1483=L$7,H1483=L$8,H1483=L$9,H1483=L$10,H1483=L$11,H1483=L$12,H1483=L$13,H1483=L$14),SottocategorieEntrate[[#Headers],[Varie Entrate]],IF(OR(H1483=M$5,H1483=M$6,H1483=M$7,H1483=M$8,H1483=M$9,H1483=M$10,H1483=M$11,H1483=M$12,H1483=M$13,H1483=M$14),SottocategorieEntrate[[#Headers],[Real Estate]],IF(OR(H1483=N$5,H1483=N$6,H1483=N$7,H1483=N$8,H1483=N$9,H1483=N$10,H1483=N$11,H1483=N$12,H1483=N$13,H1483=N$14),SottocategorieEntrate[[#Headers],[Other]],""))))))))))))</f>
        <v/>
      </c>
      <c r="J1483" t="str">
        <f>IF(OR(Dati[[#This Row],[Categoria]]="Bollette",Dati[[#This Row],[Categoria]]="Conto &amp; Carte BNL",Dati[[#This Row],[Categoria]]="Prelievo",Dati[[#This Row],[Categoria]]="Affitto",Dati[[#This Row],[Categoria]]="BNL(Interessi Creditori)"),"Carta",IF(Dati[[#This Row],[Categoria]]&lt;&gt;0,"Cash",""))</f>
        <v/>
      </c>
      <c r="K1483" s="59" t="str">
        <f>IF(OR(Data!$I1483=SottocategorieUscite[[#Headers],[Fuori Casa]],Data!$I1483=SottocategorieUscite[[#Headers],[Varie Uscite]],Data!$I1483=SottocategorieUscite[[#Headers],[Personali]],Data!$I1483=SottocategorieUscite[[#Headers],[Lavoro]]),"$ -","")</f>
        <v/>
      </c>
      <c r="L1483" s="59" t="str">
        <f>IF(OR(Data!$I1483=SottocategorieUscite[[#Headers],[Casa]],Data!$I1483=SottocategorieUscite[[#Headers],[Utenze]],Data!$I1483=SottocategorieUscite[[#Headers],[Business Uscite]],Data!$I1483=SottocategorieUscite[[#Headers],[Banca]]),"$ -","")</f>
        <v/>
      </c>
      <c r="M1483" s="59" t="str">
        <f>IF(OR($I1483&lt;&gt;SottocategorieUscite[[#Headers],[Fuori Casa]],$I1483&lt;&gt;SottocategorieUscite[[#Headers],[Varie Uscite]],$I1483&lt;&gt;SottocategorieUscite[[#Headers],[Personali]],$I1483&lt;&gt;SottocategorieUscite[[#Headers],[Lavoro]],$I1483&lt;&gt;SottocategorieUscite[[#Headers],[Casa]],$I1483&lt;&gt;SottocategorieUscite[[#Headers],[Utenze]],$I1483&lt;&gt;SottocategorieUscite[[#Headers],[Business Uscite]],$I1483&lt;&gt;SottocategorieUscite[[#Headers],[Banca]]),"","$ -")</f>
        <v/>
      </c>
      <c r="N1483" s="59" t="str">
        <f>IF(OR(Data!$I1483=SottocategorieEntrate[[#Headers],[Business Entrate]],Data!$I1483=SottocategorieEntrate[[#Headers],[Varie Entrate]]),"$ -","")</f>
        <v/>
      </c>
      <c r="O1483" s="59" t="str">
        <f>IF(OR(Data!$I1483=SottocategorieEntrate[[#Headers],[Real Estate]],SottocategorieEntrate[[#Headers],[Other]]),"$ -","")</f>
        <v/>
      </c>
      <c r="P1483" s="59" t="str">
        <f>IF(OR($I1483&lt;&gt;SottocategorieEntrate[[#Headers],[Business Entrate]],$I1483&lt;&gt;SottocategorieEntrate[[#Headers],[Varie Entrate]],$I1483&lt;&gt;SottocategorieEntrate[[#Headers],[Real Estate]],$I1483&lt;&gt;SottocategorieEntrate[[#Headers],[Other]]),"","$ -")</f>
        <v/>
      </c>
      <c r="Q1483" s="59" t="str">
        <f>IF(Dati[[#This Row],[Categoria]]="Prelievo","€ -","")</f>
        <v/>
      </c>
      <c r="R1483" s="244"/>
      <c r="S1483" s="59" t="str">
        <f>IF(Dati[[#This Row],[Categoria]]="Savings",0,"")</f>
        <v/>
      </c>
      <c r="T1483" s="59"/>
      <c r="U1483" s="59"/>
      <c r="V1483" s="59"/>
      <c r="W1483" s="59"/>
      <c r="X1483" s="59"/>
      <c r="Y1483" s="59"/>
      <c r="Z1483" s="59"/>
      <c r="AA1483" s="59"/>
      <c r="AB1483" s="59"/>
      <c r="AC1483" s="59"/>
      <c r="AD1483" s="59"/>
      <c r="AE1483" s="59"/>
      <c r="AF1483" s="59"/>
      <c r="AG1483" s="59"/>
      <c r="AH1483" s="59"/>
      <c r="AI1483" s="59" t="str">
        <f>IF(SUM(Dati[[#This Row],[Inv. Business]:[Inv. Cryptocurrency]])=0," ",SUM(Dati[[#This Row],[Inv. Business]:[Inv. Cryptocurrency]]))</f>
        <v xml:space="preserve"> </v>
      </c>
      <c r="AJ1483" s="59"/>
      <c r="AK1483" s="59" t="str">
        <f>IF(SUM(Dati[[#This Row],[Inv. Gold]:[Mutuo]])=0," ",SUM(Dati[[#This Row],[Inv. Gold]:[Mutuo]]))</f>
        <v xml:space="preserve"> </v>
      </c>
      <c r="AL1483" s="59"/>
      <c r="AM1483" s="59"/>
    </row>
    <row r="1484" spans="2:39" x14ac:dyDescent="0.35">
      <c r="B1484" s="237">
        <f t="shared" si="109"/>
        <v>1464</v>
      </c>
      <c r="C1484" s="49">
        <f t="shared" si="108"/>
        <v>46042</v>
      </c>
      <c r="D1484" s="29">
        <f>DAY(Dati[[#This Row],[Data]])</f>
        <v>20</v>
      </c>
      <c r="E1484" s="29" t="str">
        <f>IF(DAY(Data!$C$21:$C$1613)&gt;0,TEXT(Data!$C$21:$C$1613, "mmmm"),"")</f>
        <v>gennaio</v>
      </c>
      <c r="F1484" s="29" t="str">
        <f>IF(DAY(Data!$C$21:$C$1613)&gt;0,TEXT(Data!$C$21:$C$1613, "aaaa"),"")</f>
        <v>2026</v>
      </c>
      <c r="I1484" t="str">
        <f>IF(OR(H1484=$B$5,H1484=$B$6,H1484=$B$7,H1484=$B$8,H1484=$B$9,H1484=$B$10,H1484=$B$11,H1484=$B$12,H1484=$B$13,H1484=$B$14),SottocategorieUscite[[#Headers],[Fuori Casa]],IF(OR(H1484=$C$5,H1484=$C$6,H1484=$C$7,H1484=$C$8,H1484=$C$9,H1484=$C$10,H1484=$C$11,H1484=$C$12,H1484=$C$13,H1484=$C$14),SottocategorieUscite[[#Headers],[Varie Uscite]],IF(OR(H1484=$D$5,H1484=$D$6,H1484=$D$7,H1484=$D$8,H1484=$D$9,H1484=$D$10,H1484=$D$11,H1484=$D$12,H1484=$D$13,H1484=$D$14),SottocategorieUscite[[#Headers],[Personali]],IF(OR(H1484=$E$5,H1484=$E$6,H1484=$E$7,H1484=$E$8,H1484=$E$9,H1484=$E$10,H1484=$E$11,H1484=$E$12,H1484=$E$13,H1484=$E$14),SottocategorieUscite[[#Headers],[Lavoro]],IF(OR(H1484=$F$5,H1484=$F$6,H1484=$F$7,H1484=$F$8,H1484=$F$9,H1484=$F$10,H1484=$F$11,H1484=$F$12,H1484=$F$13,H1484=$F$14),SottocategorieUscite[[#Headers],[Casa]],IF(OR(H1484=$G$5,H1484=$G$6,H1484=$G$7,H1484=$G$8,H1484=$G$9,H1484=$G$10,H1484=$G$11,H1484=$G$12,H1484=$G$13,H1484=$G$14),SottocategorieUscite[[#Headers],[Utenze]],IF(OR(H1484=$H$5,H1484=$H$6,H1484=$H$7,H1484=$H$8,H1484=$H$9,H1484=$H$10,H1484=$H$11,H1484=$H$12,H1484=$H$13,H1484=$H$14),SottocategorieUscite[[#Headers],[Business Uscite]],IF(OR(H1484=$I$5,H1484=$I$6,H1484=$I$7,H1484=$I$8,H1484=$I$9,H1484=$I$10,H1484=$I$11,H1484=$I$12,H1484=$I$13,H1484=$I$14),SottocategorieUscite[[#Headers],[Banca]],IF(OR(H1484=K$5,H1484=K$6,H1484=K$7,H1484=K$8,H1484=K$9,H1484=K$10,H1484=K$11,H1484=K$12,H1484=K$13,H1484=K$14),SottocategorieEntrate[[#Headers],[Business Entrate]],IF(OR(H1484=L$5,H1484=L$6,H1484=L$7,H1484=L$8,H1484=L$9,H1484=L$10,H1484=L$11,H1484=L$12,H1484=L$13,H1484=L$14),SottocategorieEntrate[[#Headers],[Varie Entrate]],IF(OR(H1484=M$5,H1484=M$6,H1484=M$7,H1484=M$8,H1484=M$9,H1484=M$10,H1484=M$11,H1484=M$12,H1484=M$13,H1484=M$14),SottocategorieEntrate[[#Headers],[Real Estate]],IF(OR(H1484=N$5,H1484=N$6,H1484=N$7,H1484=N$8,H1484=N$9,H1484=N$10,H1484=N$11,H1484=N$12,H1484=N$13,H1484=N$14),SottocategorieEntrate[[#Headers],[Other]],""))))))))))))</f>
        <v/>
      </c>
      <c r="J1484" t="str">
        <f>IF(OR(Dati[[#This Row],[Categoria]]="Bollette",Dati[[#This Row],[Categoria]]="Conto &amp; Carte BNL",Dati[[#This Row],[Categoria]]="Prelievo",Dati[[#This Row],[Categoria]]="Affitto",Dati[[#This Row],[Categoria]]="BNL(Interessi Creditori)"),"Carta",IF(Dati[[#This Row],[Categoria]]&lt;&gt;0,"Cash",""))</f>
        <v/>
      </c>
      <c r="K1484" s="59" t="str">
        <f>IF(OR(Data!$I1484=SottocategorieUscite[[#Headers],[Fuori Casa]],Data!$I1484=SottocategorieUscite[[#Headers],[Varie Uscite]],Data!$I1484=SottocategorieUscite[[#Headers],[Personali]],Data!$I1484=SottocategorieUscite[[#Headers],[Lavoro]]),"$ -","")</f>
        <v/>
      </c>
      <c r="L1484" s="59" t="str">
        <f>IF(OR(Data!$I1484=SottocategorieUscite[[#Headers],[Casa]],Data!$I1484=SottocategorieUscite[[#Headers],[Utenze]],Data!$I1484=SottocategorieUscite[[#Headers],[Business Uscite]],Data!$I1484=SottocategorieUscite[[#Headers],[Banca]]),"$ -","")</f>
        <v/>
      </c>
      <c r="M1484" s="59" t="str">
        <f>IF(OR($I1484&lt;&gt;SottocategorieUscite[[#Headers],[Fuori Casa]],$I1484&lt;&gt;SottocategorieUscite[[#Headers],[Varie Uscite]],$I1484&lt;&gt;SottocategorieUscite[[#Headers],[Personali]],$I1484&lt;&gt;SottocategorieUscite[[#Headers],[Lavoro]],$I1484&lt;&gt;SottocategorieUscite[[#Headers],[Casa]],$I1484&lt;&gt;SottocategorieUscite[[#Headers],[Utenze]],$I1484&lt;&gt;SottocategorieUscite[[#Headers],[Business Uscite]],$I1484&lt;&gt;SottocategorieUscite[[#Headers],[Banca]]),"","$ -")</f>
        <v/>
      </c>
      <c r="N1484" s="59" t="str">
        <f>IF(OR(Data!$I1484=SottocategorieEntrate[[#Headers],[Business Entrate]],Data!$I1484=SottocategorieEntrate[[#Headers],[Varie Entrate]]),"$ -","")</f>
        <v/>
      </c>
      <c r="O1484" s="59" t="str">
        <f>IF(OR(Data!$I1484=SottocategorieEntrate[[#Headers],[Real Estate]],SottocategorieEntrate[[#Headers],[Other]]),"$ -","")</f>
        <v/>
      </c>
      <c r="P1484" s="59" t="str">
        <f>IF(OR($I1484&lt;&gt;SottocategorieEntrate[[#Headers],[Business Entrate]],$I1484&lt;&gt;SottocategorieEntrate[[#Headers],[Varie Entrate]],$I1484&lt;&gt;SottocategorieEntrate[[#Headers],[Real Estate]],$I1484&lt;&gt;SottocategorieEntrate[[#Headers],[Other]]),"","$ -")</f>
        <v/>
      </c>
      <c r="Q1484" s="59" t="str">
        <f>IF(Dati[[#This Row],[Categoria]]="Prelievo","€ -","")</f>
        <v/>
      </c>
      <c r="R1484" s="244"/>
      <c r="S1484" s="59" t="str">
        <f>IF(Dati[[#This Row],[Categoria]]="Savings",0,"")</f>
        <v/>
      </c>
      <c r="T1484" s="59"/>
      <c r="U1484" s="59"/>
      <c r="V1484" s="59"/>
      <c r="W1484" s="59"/>
      <c r="X1484" s="59"/>
      <c r="Y1484" s="59"/>
      <c r="Z1484" s="59"/>
      <c r="AA1484" s="59"/>
      <c r="AB1484" s="59"/>
      <c r="AC1484" s="59"/>
      <c r="AD1484" s="59"/>
      <c r="AE1484" s="59"/>
      <c r="AF1484" s="59"/>
      <c r="AG1484" s="59"/>
      <c r="AH1484" s="59"/>
      <c r="AI1484" s="59" t="str">
        <f>IF(SUM(Dati[[#This Row],[Inv. Business]:[Inv. Cryptocurrency]])=0," ",SUM(Dati[[#This Row],[Inv. Business]:[Inv. Cryptocurrency]]))</f>
        <v xml:space="preserve"> </v>
      </c>
      <c r="AJ1484" s="59"/>
      <c r="AK1484" s="59" t="str">
        <f>IF(SUM(Dati[[#This Row],[Inv. Gold]:[Mutuo]])=0," ",SUM(Dati[[#This Row],[Inv. Gold]:[Mutuo]]))</f>
        <v xml:space="preserve"> </v>
      </c>
      <c r="AL1484" s="59"/>
      <c r="AM1484" s="59"/>
    </row>
    <row r="1485" spans="2:39" x14ac:dyDescent="0.35">
      <c r="B1485" s="237">
        <f t="shared" si="109"/>
        <v>1465</v>
      </c>
      <c r="C1485" s="49">
        <f t="shared" si="108"/>
        <v>46043</v>
      </c>
      <c r="D1485" s="29">
        <f>DAY(Dati[[#This Row],[Data]])</f>
        <v>21</v>
      </c>
      <c r="E1485" s="29" t="str">
        <f>IF(DAY(Data!$C$21:$C$1613)&gt;0,TEXT(Data!$C$21:$C$1613, "mmmm"),"")</f>
        <v>gennaio</v>
      </c>
      <c r="F1485" s="29" t="str">
        <f>IF(DAY(Data!$C$21:$C$1613)&gt;0,TEXT(Data!$C$21:$C$1613, "aaaa"),"")</f>
        <v>2026</v>
      </c>
      <c r="I1485" t="str">
        <f>IF(OR(H1485=$B$5,H1485=$B$6,H1485=$B$7,H1485=$B$8,H1485=$B$9,H1485=$B$10,H1485=$B$11,H1485=$B$12,H1485=$B$13,H1485=$B$14),SottocategorieUscite[[#Headers],[Fuori Casa]],IF(OR(H1485=$C$5,H1485=$C$6,H1485=$C$7,H1485=$C$8,H1485=$C$9,H1485=$C$10,H1485=$C$11,H1485=$C$12,H1485=$C$13,H1485=$C$14),SottocategorieUscite[[#Headers],[Varie Uscite]],IF(OR(H1485=$D$5,H1485=$D$6,H1485=$D$7,H1485=$D$8,H1485=$D$9,H1485=$D$10,H1485=$D$11,H1485=$D$12,H1485=$D$13,H1485=$D$14),SottocategorieUscite[[#Headers],[Personali]],IF(OR(H1485=$E$5,H1485=$E$6,H1485=$E$7,H1485=$E$8,H1485=$E$9,H1485=$E$10,H1485=$E$11,H1485=$E$12,H1485=$E$13,H1485=$E$14),SottocategorieUscite[[#Headers],[Lavoro]],IF(OR(H1485=$F$5,H1485=$F$6,H1485=$F$7,H1485=$F$8,H1485=$F$9,H1485=$F$10,H1485=$F$11,H1485=$F$12,H1485=$F$13,H1485=$F$14),SottocategorieUscite[[#Headers],[Casa]],IF(OR(H1485=$G$5,H1485=$G$6,H1485=$G$7,H1485=$G$8,H1485=$G$9,H1485=$G$10,H1485=$G$11,H1485=$G$12,H1485=$G$13,H1485=$G$14),SottocategorieUscite[[#Headers],[Utenze]],IF(OR(H1485=$H$5,H1485=$H$6,H1485=$H$7,H1485=$H$8,H1485=$H$9,H1485=$H$10,H1485=$H$11,H1485=$H$12,H1485=$H$13,H1485=$H$14),SottocategorieUscite[[#Headers],[Business Uscite]],IF(OR(H1485=$I$5,H1485=$I$6,H1485=$I$7,H1485=$I$8,H1485=$I$9,H1485=$I$10,H1485=$I$11,H1485=$I$12,H1485=$I$13,H1485=$I$14),SottocategorieUscite[[#Headers],[Banca]],IF(OR(H1485=K$5,H1485=K$6,H1485=K$7,H1485=K$8,H1485=K$9,H1485=K$10,H1485=K$11,H1485=K$12,H1485=K$13,H1485=K$14),SottocategorieEntrate[[#Headers],[Business Entrate]],IF(OR(H1485=L$5,H1485=L$6,H1485=L$7,H1485=L$8,H1485=L$9,H1485=L$10,H1485=L$11,H1485=L$12,H1485=L$13,H1485=L$14),SottocategorieEntrate[[#Headers],[Varie Entrate]],IF(OR(H1485=M$5,H1485=M$6,H1485=M$7,H1485=M$8,H1485=M$9,H1485=M$10,H1485=M$11,H1485=M$12,H1485=M$13,H1485=M$14),SottocategorieEntrate[[#Headers],[Real Estate]],IF(OR(H1485=N$5,H1485=N$6,H1485=N$7,H1485=N$8,H1485=N$9,H1485=N$10,H1485=N$11,H1485=N$12,H1485=N$13,H1485=N$14),SottocategorieEntrate[[#Headers],[Other]],""))))))))))))</f>
        <v/>
      </c>
      <c r="J1485" t="str">
        <f>IF(OR(Dati[[#This Row],[Categoria]]="Bollette",Dati[[#This Row],[Categoria]]="Conto &amp; Carte BNL",Dati[[#This Row],[Categoria]]="Prelievo",Dati[[#This Row],[Categoria]]="Affitto",Dati[[#This Row],[Categoria]]="BNL(Interessi Creditori)"),"Carta",IF(Dati[[#This Row],[Categoria]]&lt;&gt;0,"Cash",""))</f>
        <v/>
      </c>
      <c r="K1485" s="59" t="str">
        <f>IF(OR(Data!$I1485=SottocategorieUscite[[#Headers],[Fuori Casa]],Data!$I1485=SottocategorieUscite[[#Headers],[Varie Uscite]],Data!$I1485=SottocategorieUscite[[#Headers],[Personali]],Data!$I1485=SottocategorieUscite[[#Headers],[Lavoro]]),"$ -","")</f>
        <v/>
      </c>
      <c r="L1485" s="59" t="str">
        <f>IF(OR(Data!$I1485=SottocategorieUscite[[#Headers],[Casa]],Data!$I1485=SottocategorieUscite[[#Headers],[Utenze]],Data!$I1485=SottocategorieUscite[[#Headers],[Business Uscite]],Data!$I1485=SottocategorieUscite[[#Headers],[Banca]]),"$ -","")</f>
        <v/>
      </c>
      <c r="M1485" s="59" t="str">
        <f>IF(OR($I1485&lt;&gt;SottocategorieUscite[[#Headers],[Fuori Casa]],$I1485&lt;&gt;SottocategorieUscite[[#Headers],[Varie Uscite]],$I1485&lt;&gt;SottocategorieUscite[[#Headers],[Personali]],$I1485&lt;&gt;SottocategorieUscite[[#Headers],[Lavoro]],$I1485&lt;&gt;SottocategorieUscite[[#Headers],[Casa]],$I1485&lt;&gt;SottocategorieUscite[[#Headers],[Utenze]],$I1485&lt;&gt;SottocategorieUscite[[#Headers],[Business Uscite]],$I1485&lt;&gt;SottocategorieUscite[[#Headers],[Banca]]),"","$ -")</f>
        <v/>
      </c>
      <c r="N1485" s="59" t="str">
        <f>IF(OR(Data!$I1485=SottocategorieEntrate[[#Headers],[Business Entrate]],Data!$I1485=SottocategorieEntrate[[#Headers],[Varie Entrate]]),"$ -","")</f>
        <v/>
      </c>
      <c r="O1485" s="59" t="str">
        <f>IF(OR(Data!$I1485=SottocategorieEntrate[[#Headers],[Real Estate]],SottocategorieEntrate[[#Headers],[Other]]),"$ -","")</f>
        <v/>
      </c>
      <c r="P1485" s="59" t="str">
        <f>IF(OR($I1485&lt;&gt;SottocategorieEntrate[[#Headers],[Business Entrate]],$I1485&lt;&gt;SottocategorieEntrate[[#Headers],[Varie Entrate]],$I1485&lt;&gt;SottocategorieEntrate[[#Headers],[Real Estate]],$I1485&lt;&gt;SottocategorieEntrate[[#Headers],[Other]]),"","$ -")</f>
        <v/>
      </c>
      <c r="Q1485" s="59" t="str">
        <f>IF(Dati[[#This Row],[Categoria]]="Prelievo","€ -","")</f>
        <v/>
      </c>
      <c r="R1485" s="244"/>
      <c r="S1485" s="59" t="str">
        <f>IF(Dati[[#This Row],[Categoria]]="Savings",0,"")</f>
        <v/>
      </c>
      <c r="T1485" s="59"/>
      <c r="U1485" s="59"/>
      <c r="V1485" s="59"/>
      <c r="W1485" s="59"/>
      <c r="X1485" s="59"/>
      <c r="Y1485" s="59"/>
      <c r="Z1485" s="59"/>
      <c r="AA1485" s="59"/>
      <c r="AB1485" s="59"/>
      <c r="AC1485" s="59"/>
      <c r="AD1485" s="59"/>
      <c r="AE1485" s="59"/>
      <c r="AF1485" s="59"/>
      <c r="AG1485" s="59"/>
      <c r="AH1485" s="59"/>
      <c r="AI1485" s="59" t="str">
        <f>IF(SUM(Dati[[#This Row],[Inv. Business]:[Inv. Cryptocurrency]])=0," ",SUM(Dati[[#This Row],[Inv. Business]:[Inv. Cryptocurrency]]))</f>
        <v xml:space="preserve"> </v>
      </c>
      <c r="AJ1485" s="59"/>
      <c r="AK1485" s="59" t="str">
        <f>IF(SUM(Dati[[#This Row],[Inv. Gold]:[Mutuo]])=0," ",SUM(Dati[[#This Row],[Inv. Gold]:[Mutuo]]))</f>
        <v xml:space="preserve"> </v>
      </c>
      <c r="AL1485" s="59"/>
      <c r="AM1485" s="59"/>
    </row>
    <row r="1486" spans="2:39" x14ac:dyDescent="0.35">
      <c r="B1486" s="237">
        <f t="shared" si="109"/>
        <v>1466</v>
      </c>
      <c r="C1486" s="49">
        <f t="shared" si="108"/>
        <v>46044</v>
      </c>
      <c r="D1486" s="29">
        <f>DAY(Dati[[#This Row],[Data]])</f>
        <v>22</v>
      </c>
      <c r="E1486" s="29" t="str">
        <f>IF(DAY(Data!$C$21:$C$1613)&gt;0,TEXT(Data!$C$21:$C$1613, "mmmm"),"")</f>
        <v>gennaio</v>
      </c>
      <c r="F1486" s="29" t="str">
        <f>IF(DAY(Data!$C$21:$C$1613)&gt;0,TEXT(Data!$C$21:$C$1613, "aaaa"),"")</f>
        <v>2026</v>
      </c>
      <c r="I1486" t="str">
        <f>IF(OR(H1486=$B$5,H1486=$B$6,H1486=$B$7,H1486=$B$8,H1486=$B$9,H1486=$B$10,H1486=$B$11,H1486=$B$12,H1486=$B$13,H1486=$B$14),SottocategorieUscite[[#Headers],[Fuori Casa]],IF(OR(H1486=$C$5,H1486=$C$6,H1486=$C$7,H1486=$C$8,H1486=$C$9,H1486=$C$10,H1486=$C$11,H1486=$C$12,H1486=$C$13,H1486=$C$14),SottocategorieUscite[[#Headers],[Varie Uscite]],IF(OR(H1486=$D$5,H1486=$D$6,H1486=$D$7,H1486=$D$8,H1486=$D$9,H1486=$D$10,H1486=$D$11,H1486=$D$12,H1486=$D$13,H1486=$D$14),SottocategorieUscite[[#Headers],[Personali]],IF(OR(H1486=$E$5,H1486=$E$6,H1486=$E$7,H1486=$E$8,H1486=$E$9,H1486=$E$10,H1486=$E$11,H1486=$E$12,H1486=$E$13,H1486=$E$14),SottocategorieUscite[[#Headers],[Lavoro]],IF(OR(H1486=$F$5,H1486=$F$6,H1486=$F$7,H1486=$F$8,H1486=$F$9,H1486=$F$10,H1486=$F$11,H1486=$F$12,H1486=$F$13,H1486=$F$14),SottocategorieUscite[[#Headers],[Casa]],IF(OR(H1486=$G$5,H1486=$G$6,H1486=$G$7,H1486=$G$8,H1486=$G$9,H1486=$G$10,H1486=$G$11,H1486=$G$12,H1486=$G$13,H1486=$G$14),SottocategorieUscite[[#Headers],[Utenze]],IF(OR(H1486=$H$5,H1486=$H$6,H1486=$H$7,H1486=$H$8,H1486=$H$9,H1486=$H$10,H1486=$H$11,H1486=$H$12,H1486=$H$13,H1486=$H$14),SottocategorieUscite[[#Headers],[Business Uscite]],IF(OR(H1486=$I$5,H1486=$I$6,H1486=$I$7,H1486=$I$8,H1486=$I$9,H1486=$I$10,H1486=$I$11,H1486=$I$12,H1486=$I$13,H1486=$I$14),SottocategorieUscite[[#Headers],[Banca]],IF(OR(H1486=K$5,H1486=K$6,H1486=K$7,H1486=K$8,H1486=K$9,H1486=K$10,H1486=K$11,H1486=K$12,H1486=K$13,H1486=K$14),SottocategorieEntrate[[#Headers],[Business Entrate]],IF(OR(H1486=L$5,H1486=L$6,H1486=L$7,H1486=L$8,H1486=L$9,H1486=L$10,H1486=L$11,H1486=L$12,H1486=L$13,H1486=L$14),SottocategorieEntrate[[#Headers],[Varie Entrate]],IF(OR(H1486=M$5,H1486=M$6,H1486=M$7,H1486=M$8,H1486=M$9,H1486=M$10,H1486=M$11,H1486=M$12,H1486=M$13,H1486=M$14),SottocategorieEntrate[[#Headers],[Real Estate]],IF(OR(H1486=N$5,H1486=N$6,H1486=N$7,H1486=N$8,H1486=N$9,H1486=N$10,H1486=N$11,H1486=N$12,H1486=N$13,H1486=N$14),SottocategorieEntrate[[#Headers],[Other]],""))))))))))))</f>
        <v/>
      </c>
      <c r="J1486" t="str">
        <f>IF(OR(Dati[[#This Row],[Categoria]]="Bollette",Dati[[#This Row],[Categoria]]="Conto &amp; Carte BNL",Dati[[#This Row],[Categoria]]="Prelievo",Dati[[#This Row],[Categoria]]="Affitto",Dati[[#This Row],[Categoria]]="BNL(Interessi Creditori)"),"Carta",IF(Dati[[#This Row],[Categoria]]&lt;&gt;0,"Cash",""))</f>
        <v/>
      </c>
      <c r="K1486" s="59" t="str">
        <f>IF(OR(Data!$I1486=SottocategorieUscite[[#Headers],[Fuori Casa]],Data!$I1486=SottocategorieUscite[[#Headers],[Varie Uscite]],Data!$I1486=SottocategorieUscite[[#Headers],[Personali]],Data!$I1486=SottocategorieUscite[[#Headers],[Lavoro]]),"$ -","")</f>
        <v/>
      </c>
      <c r="L1486" s="59" t="str">
        <f>IF(OR(Data!$I1486=SottocategorieUscite[[#Headers],[Casa]],Data!$I1486=SottocategorieUscite[[#Headers],[Utenze]],Data!$I1486=SottocategorieUscite[[#Headers],[Business Uscite]],Data!$I1486=SottocategorieUscite[[#Headers],[Banca]]),"$ -","")</f>
        <v/>
      </c>
      <c r="M1486" s="59" t="str">
        <f>IF(OR($I1486&lt;&gt;SottocategorieUscite[[#Headers],[Fuori Casa]],$I1486&lt;&gt;SottocategorieUscite[[#Headers],[Varie Uscite]],$I1486&lt;&gt;SottocategorieUscite[[#Headers],[Personali]],$I1486&lt;&gt;SottocategorieUscite[[#Headers],[Lavoro]],$I1486&lt;&gt;SottocategorieUscite[[#Headers],[Casa]],$I1486&lt;&gt;SottocategorieUscite[[#Headers],[Utenze]],$I1486&lt;&gt;SottocategorieUscite[[#Headers],[Business Uscite]],$I1486&lt;&gt;SottocategorieUscite[[#Headers],[Banca]]),"","$ -")</f>
        <v/>
      </c>
      <c r="N1486" s="59" t="str">
        <f>IF(OR(Data!$I1486=SottocategorieEntrate[[#Headers],[Business Entrate]],Data!$I1486=SottocategorieEntrate[[#Headers],[Varie Entrate]]),"$ -","")</f>
        <v/>
      </c>
      <c r="O1486" s="59" t="str">
        <f>IF(OR(Data!$I1486=SottocategorieEntrate[[#Headers],[Real Estate]],SottocategorieEntrate[[#Headers],[Other]]),"$ -","")</f>
        <v/>
      </c>
      <c r="P1486" s="59" t="str">
        <f>IF(OR($I1486&lt;&gt;SottocategorieEntrate[[#Headers],[Business Entrate]],$I1486&lt;&gt;SottocategorieEntrate[[#Headers],[Varie Entrate]],$I1486&lt;&gt;SottocategorieEntrate[[#Headers],[Real Estate]],$I1486&lt;&gt;SottocategorieEntrate[[#Headers],[Other]]),"","$ -")</f>
        <v/>
      </c>
      <c r="Q1486" s="59" t="str">
        <f>IF(Dati[[#This Row],[Categoria]]="Prelievo","€ -","")</f>
        <v/>
      </c>
      <c r="R1486" s="244"/>
      <c r="S1486" s="59" t="str">
        <f>IF(Dati[[#This Row],[Categoria]]="Savings",0,"")</f>
        <v/>
      </c>
      <c r="T1486" s="59"/>
      <c r="U1486" s="59"/>
      <c r="V1486" s="59"/>
      <c r="W1486" s="59"/>
      <c r="X1486" s="59"/>
      <c r="Y1486" s="59"/>
      <c r="Z1486" s="59"/>
      <c r="AA1486" s="59"/>
      <c r="AB1486" s="59"/>
      <c r="AC1486" s="59"/>
      <c r="AD1486" s="59"/>
      <c r="AE1486" s="59"/>
      <c r="AF1486" s="59"/>
      <c r="AG1486" s="59"/>
      <c r="AH1486" s="59"/>
      <c r="AI1486" s="59" t="str">
        <f>IF(SUM(Dati[[#This Row],[Inv. Business]:[Inv. Cryptocurrency]])=0," ",SUM(Dati[[#This Row],[Inv. Business]:[Inv. Cryptocurrency]]))</f>
        <v xml:space="preserve"> </v>
      </c>
      <c r="AJ1486" s="59"/>
      <c r="AK1486" s="59" t="str">
        <f>IF(SUM(Dati[[#This Row],[Inv. Gold]:[Mutuo]])=0," ",SUM(Dati[[#This Row],[Inv. Gold]:[Mutuo]]))</f>
        <v xml:space="preserve"> </v>
      </c>
      <c r="AL1486" s="59"/>
      <c r="AM1486" s="59"/>
    </row>
    <row r="1487" spans="2:39" x14ac:dyDescent="0.35">
      <c r="B1487" s="237">
        <f t="shared" si="109"/>
        <v>1467</v>
      </c>
      <c r="C1487" s="49">
        <f t="shared" si="108"/>
        <v>46045</v>
      </c>
      <c r="D1487" s="29">
        <f>DAY(Dati[[#This Row],[Data]])</f>
        <v>23</v>
      </c>
      <c r="E1487" s="29" t="str">
        <f>IF(DAY(Data!$C$21:$C$1613)&gt;0,TEXT(Data!$C$21:$C$1613, "mmmm"),"")</f>
        <v>gennaio</v>
      </c>
      <c r="F1487" s="29" t="str">
        <f>IF(DAY(Data!$C$21:$C$1613)&gt;0,TEXT(Data!$C$21:$C$1613, "aaaa"),"")</f>
        <v>2026</v>
      </c>
      <c r="I1487" t="str">
        <f>IF(OR(H1487=$B$5,H1487=$B$6,H1487=$B$7,H1487=$B$8,H1487=$B$9,H1487=$B$10,H1487=$B$11,H1487=$B$12,H1487=$B$13,H1487=$B$14),SottocategorieUscite[[#Headers],[Fuori Casa]],IF(OR(H1487=$C$5,H1487=$C$6,H1487=$C$7,H1487=$C$8,H1487=$C$9,H1487=$C$10,H1487=$C$11,H1487=$C$12,H1487=$C$13,H1487=$C$14),SottocategorieUscite[[#Headers],[Varie Uscite]],IF(OR(H1487=$D$5,H1487=$D$6,H1487=$D$7,H1487=$D$8,H1487=$D$9,H1487=$D$10,H1487=$D$11,H1487=$D$12,H1487=$D$13,H1487=$D$14),SottocategorieUscite[[#Headers],[Personali]],IF(OR(H1487=$E$5,H1487=$E$6,H1487=$E$7,H1487=$E$8,H1487=$E$9,H1487=$E$10,H1487=$E$11,H1487=$E$12,H1487=$E$13,H1487=$E$14),SottocategorieUscite[[#Headers],[Lavoro]],IF(OR(H1487=$F$5,H1487=$F$6,H1487=$F$7,H1487=$F$8,H1487=$F$9,H1487=$F$10,H1487=$F$11,H1487=$F$12,H1487=$F$13,H1487=$F$14),SottocategorieUscite[[#Headers],[Casa]],IF(OR(H1487=$G$5,H1487=$G$6,H1487=$G$7,H1487=$G$8,H1487=$G$9,H1487=$G$10,H1487=$G$11,H1487=$G$12,H1487=$G$13,H1487=$G$14),SottocategorieUscite[[#Headers],[Utenze]],IF(OR(H1487=$H$5,H1487=$H$6,H1487=$H$7,H1487=$H$8,H1487=$H$9,H1487=$H$10,H1487=$H$11,H1487=$H$12,H1487=$H$13,H1487=$H$14),SottocategorieUscite[[#Headers],[Business Uscite]],IF(OR(H1487=$I$5,H1487=$I$6,H1487=$I$7,H1487=$I$8,H1487=$I$9,H1487=$I$10,H1487=$I$11,H1487=$I$12,H1487=$I$13,H1487=$I$14),SottocategorieUscite[[#Headers],[Banca]],IF(OR(H1487=K$5,H1487=K$6,H1487=K$7,H1487=K$8,H1487=K$9,H1487=K$10,H1487=K$11,H1487=K$12,H1487=K$13,H1487=K$14),SottocategorieEntrate[[#Headers],[Business Entrate]],IF(OR(H1487=L$5,H1487=L$6,H1487=L$7,H1487=L$8,H1487=L$9,H1487=L$10,H1487=L$11,H1487=L$12,H1487=L$13,H1487=L$14),SottocategorieEntrate[[#Headers],[Varie Entrate]],IF(OR(H1487=M$5,H1487=M$6,H1487=M$7,H1487=M$8,H1487=M$9,H1487=M$10,H1487=M$11,H1487=M$12,H1487=M$13,H1487=M$14),SottocategorieEntrate[[#Headers],[Real Estate]],IF(OR(H1487=N$5,H1487=N$6,H1487=N$7,H1487=N$8,H1487=N$9,H1487=N$10,H1487=N$11,H1487=N$12,H1487=N$13,H1487=N$14),SottocategorieEntrate[[#Headers],[Other]],""))))))))))))</f>
        <v/>
      </c>
      <c r="J1487" t="str">
        <f>IF(OR(Dati[[#This Row],[Categoria]]="Bollette",Dati[[#This Row],[Categoria]]="Conto &amp; Carte BNL",Dati[[#This Row],[Categoria]]="Prelievo",Dati[[#This Row],[Categoria]]="Affitto",Dati[[#This Row],[Categoria]]="BNL(Interessi Creditori)"),"Carta",IF(Dati[[#This Row],[Categoria]]&lt;&gt;0,"Cash",""))</f>
        <v/>
      </c>
      <c r="K1487" s="59" t="str">
        <f>IF(OR(Data!$I1487=SottocategorieUscite[[#Headers],[Fuori Casa]],Data!$I1487=SottocategorieUscite[[#Headers],[Varie Uscite]],Data!$I1487=SottocategorieUscite[[#Headers],[Personali]],Data!$I1487=SottocategorieUscite[[#Headers],[Lavoro]]),"$ -","")</f>
        <v/>
      </c>
      <c r="L1487" s="59" t="str">
        <f>IF(OR(Data!$I1487=SottocategorieUscite[[#Headers],[Casa]],Data!$I1487=SottocategorieUscite[[#Headers],[Utenze]],Data!$I1487=SottocategorieUscite[[#Headers],[Business Uscite]],Data!$I1487=SottocategorieUscite[[#Headers],[Banca]]),"$ -","")</f>
        <v/>
      </c>
      <c r="M1487" s="59" t="str">
        <f>IF(OR($I1487&lt;&gt;SottocategorieUscite[[#Headers],[Fuori Casa]],$I1487&lt;&gt;SottocategorieUscite[[#Headers],[Varie Uscite]],$I1487&lt;&gt;SottocategorieUscite[[#Headers],[Personali]],$I1487&lt;&gt;SottocategorieUscite[[#Headers],[Lavoro]],$I1487&lt;&gt;SottocategorieUscite[[#Headers],[Casa]],$I1487&lt;&gt;SottocategorieUscite[[#Headers],[Utenze]],$I1487&lt;&gt;SottocategorieUscite[[#Headers],[Business Uscite]],$I1487&lt;&gt;SottocategorieUscite[[#Headers],[Banca]]),"","$ -")</f>
        <v/>
      </c>
      <c r="N1487" s="59" t="str">
        <f>IF(OR(Data!$I1487=SottocategorieEntrate[[#Headers],[Business Entrate]],Data!$I1487=SottocategorieEntrate[[#Headers],[Varie Entrate]]),"$ -","")</f>
        <v/>
      </c>
      <c r="O1487" s="59" t="str">
        <f>IF(OR(Data!$I1487=SottocategorieEntrate[[#Headers],[Real Estate]],SottocategorieEntrate[[#Headers],[Other]]),"$ -","")</f>
        <v/>
      </c>
      <c r="P1487" s="59" t="str">
        <f>IF(OR($I1487&lt;&gt;SottocategorieEntrate[[#Headers],[Business Entrate]],$I1487&lt;&gt;SottocategorieEntrate[[#Headers],[Varie Entrate]],$I1487&lt;&gt;SottocategorieEntrate[[#Headers],[Real Estate]],$I1487&lt;&gt;SottocategorieEntrate[[#Headers],[Other]]),"","$ -")</f>
        <v/>
      </c>
      <c r="Q1487" s="59" t="str">
        <f>IF(Dati[[#This Row],[Categoria]]="Prelievo","€ -","")</f>
        <v/>
      </c>
      <c r="R1487" s="244"/>
      <c r="S1487" s="59" t="str">
        <f>IF(Dati[[#This Row],[Categoria]]="Savings",0,"")</f>
        <v/>
      </c>
      <c r="T1487" s="59"/>
      <c r="U1487" s="59"/>
      <c r="V1487" s="59"/>
      <c r="W1487" s="59"/>
      <c r="X1487" s="59"/>
      <c r="Y1487" s="59"/>
      <c r="Z1487" s="59"/>
      <c r="AA1487" s="59"/>
      <c r="AB1487" s="59"/>
      <c r="AC1487" s="59"/>
      <c r="AD1487" s="59"/>
      <c r="AE1487" s="59"/>
      <c r="AF1487" s="59"/>
      <c r="AG1487" s="59"/>
      <c r="AH1487" s="59"/>
      <c r="AI1487" s="59" t="str">
        <f>IF(SUM(Dati[[#This Row],[Inv. Business]:[Inv. Cryptocurrency]])=0," ",SUM(Dati[[#This Row],[Inv. Business]:[Inv. Cryptocurrency]]))</f>
        <v xml:space="preserve"> </v>
      </c>
      <c r="AJ1487" s="59"/>
      <c r="AK1487" s="59" t="str">
        <f>IF(SUM(Dati[[#This Row],[Inv. Gold]:[Mutuo]])=0," ",SUM(Dati[[#This Row],[Inv. Gold]:[Mutuo]]))</f>
        <v xml:space="preserve"> </v>
      </c>
      <c r="AL1487" s="59"/>
      <c r="AM1487" s="59"/>
    </row>
    <row r="1488" spans="2:39" x14ac:dyDescent="0.35">
      <c r="B1488" s="237">
        <f t="shared" si="109"/>
        <v>1468</v>
      </c>
      <c r="C1488" s="49">
        <f t="shared" si="108"/>
        <v>46046</v>
      </c>
      <c r="D1488" s="29">
        <f>DAY(Dati[[#This Row],[Data]])</f>
        <v>24</v>
      </c>
      <c r="E1488" s="29" t="str">
        <f>IF(DAY(Data!$C$21:$C$1613)&gt;0,TEXT(Data!$C$21:$C$1613, "mmmm"),"")</f>
        <v>gennaio</v>
      </c>
      <c r="F1488" s="29" t="str">
        <f>IF(DAY(Data!$C$21:$C$1613)&gt;0,TEXT(Data!$C$21:$C$1613, "aaaa"),"")</f>
        <v>2026</v>
      </c>
      <c r="I1488" t="str">
        <f>IF(OR(H1488=$B$5,H1488=$B$6,H1488=$B$7,H1488=$B$8,H1488=$B$9,H1488=$B$10,H1488=$B$11,H1488=$B$12,H1488=$B$13,H1488=$B$14),SottocategorieUscite[[#Headers],[Fuori Casa]],IF(OR(H1488=$C$5,H1488=$C$6,H1488=$C$7,H1488=$C$8,H1488=$C$9,H1488=$C$10,H1488=$C$11,H1488=$C$12,H1488=$C$13,H1488=$C$14),SottocategorieUscite[[#Headers],[Varie Uscite]],IF(OR(H1488=$D$5,H1488=$D$6,H1488=$D$7,H1488=$D$8,H1488=$D$9,H1488=$D$10,H1488=$D$11,H1488=$D$12,H1488=$D$13,H1488=$D$14),SottocategorieUscite[[#Headers],[Personali]],IF(OR(H1488=$E$5,H1488=$E$6,H1488=$E$7,H1488=$E$8,H1488=$E$9,H1488=$E$10,H1488=$E$11,H1488=$E$12,H1488=$E$13,H1488=$E$14),SottocategorieUscite[[#Headers],[Lavoro]],IF(OR(H1488=$F$5,H1488=$F$6,H1488=$F$7,H1488=$F$8,H1488=$F$9,H1488=$F$10,H1488=$F$11,H1488=$F$12,H1488=$F$13,H1488=$F$14),SottocategorieUscite[[#Headers],[Casa]],IF(OR(H1488=$G$5,H1488=$G$6,H1488=$G$7,H1488=$G$8,H1488=$G$9,H1488=$G$10,H1488=$G$11,H1488=$G$12,H1488=$G$13,H1488=$G$14),SottocategorieUscite[[#Headers],[Utenze]],IF(OR(H1488=$H$5,H1488=$H$6,H1488=$H$7,H1488=$H$8,H1488=$H$9,H1488=$H$10,H1488=$H$11,H1488=$H$12,H1488=$H$13,H1488=$H$14),SottocategorieUscite[[#Headers],[Business Uscite]],IF(OR(H1488=$I$5,H1488=$I$6,H1488=$I$7,H1488=$I$8,H1488=$I$9,H1488=$I$10,H1488=$I$11,H1488=$I$12,H1488=$I$13,H1488=$I$14),SottocategorieUscite[[#Headers],[Banca]],IF(OR(H1488=K$5,H1488=K$6,H1488=K$7,H1488=K$8,H1488=K$9,H1488=K$10,H1488=K$11,H1488=K$12,H1488=K$13,H1488=K$14),SottocategorieEntrate[[#Headers],[Business Entrate]],IF(OR(H1488=L$5,H1488=L$6,H1488=L$7,H1488=L$8,H1488=L$9,H1488=L$10,H1488=L$11,H1488=L$12,H1488=L$13,H1488=L$14),SottocategorieEntrate[[#Headers],[Varie Entrate]],IF(OR(H1488=M$5,H1488=M$6,H1488=M$7,H1488=M$8,H1488=M$9,H1488=M$10,H1488=M$11,H1488=M$12,H1488=M$13,H1488=M$14),SottocategorieEntrate[[#Headers],[Real Estate]],IF(OR(H1488=N$5,H1488=N$6,H1488=N$7,H1488=N$8,H1488=N$9,H1488=N$10,H1488=N$11,H1488=N$12,H1488=N$13,H1488=N$14),SottocategorieEntrate[[#Headers],[Other]],""))))))))))))</f>
        <v/>
      </c>
      <c r="J1488" t="str">
        <f>IF(OR(Dati[[#This Row],[Categoria]]="Bollette",Dati[[#This Row],[Categoria]]="Conto &amp; Carte BNL",Dati[[#This Row],[Categoria]]="Prelievo",Dati[[#This Row],[Categoria]]="Affitto",Dati[[#This Row],[Categoria]]="BNL(Interessi Creditori)"),"Carta",IF(Dati[[#This Row],[Categoria]]&lt;&gt;0,"Cash",""))</f>
        <v/>
      </c>
      <c r="K1488" s="59" t="str">
        <f>IF(OR(Data!$I1488=SottocategorieUscite[[#Headers],[Fuori Casa]],Data!$I1488=SottocategorieUscite[[#Headers],[Varie Uscite]],Data!$I1488=SottocategorieUscite[[#Headers],[Personali]],Data!$I1488=SottocategorieUscite[[#Headers],[Lavoro]]),"$ -","")</f>
        <v/>
      </c>
      <c r="L1488" s="59" t="str">
        <f>IF(OR(Data!$I1488=SottocategorieUscite[[#Headers],[Casa]],Data!$I1488=SottocategorieUscite[[#Headers],[Utenze]],Data!$I1488=SottocategorieUscite[[#Headers],[Business Uscite]],Data!$I1488=SottocategorieUscite[[#Headers],[Banca]]),"$ -","")</f>
        <v/>
      </c>
      <c r="M1488" s="59" t="str">
        <f>IF(OR($I1488&lt;&gt;SottocategorieUscite[[#Headers],[Fuori Casa]],$I1488&lt;&gt;SottocategorieUscite[[#Headers],[Varie Uscite]],$I1488&lt;&gt;SottocategorieUscite[[#Headers],[Personali]],$I1488&lt;&gt;SottocategorieUscite[[#Headers],[Lavoro]],$I1488&lt;&gt;SottocategorieUscite[[#Headers],[Casa]],$I1488&lt;&gt;SottocategorieUscite[[#Headers],[Utenze]],$I1488&lt;&gt;SottocategorieUscite[[#Headers],[Business Uscite]],$I1488&lt;&gt;SottocategorieUscite[[#Headers],[Banca]]),"","$ -")</f>
        <v/>
      </c>
      <c r="N1488" s="59" t="str">
        <f>IF(OR(Data!$I1488=SottocategorieEntrate[[#Headers],[Business Entrate]],Data!$I1488=SottocategorieEntrate[[#Headers],[Varie Entrate]]),"$ -","")</f>
        <v/>
      </c>
      <c r="O1488" s="59" t="str">
        <f>IF(OR(Data!$I1488=SottocategorieEntrate[[#Headers],[Real Estate]],SottocategorieEntrate[[#Headers],[Other]]),"$ -","")</f>
        <v/>
      </c>
      <c r="P1488" s="59" t="str">
        <f>IF(OR($I1488&lt;&gt;SottocategorieEntrate[[#Headers],[Business Entrate]],$I1488&lt;&gt;SottocategorieEntrate[[#Headers],[Varie Entrate]],$I1488&lt;&gt;SottocategorieEntrate[[#Headers],[Real Estate]],$I1488&lt;&gt;SottocategorieEntrate[[#Headers],[Other]]),"","$ -")</f>
        <v/>
      </c>
      <c r="Q1488" s="59" t="str">
        <f>IF(Dati[[#This Row],[Categoria]]="Prelievo","€ -","")</f>
        <v/>
      </c>
      <c r="R1488" s="244"/>
      <c r="S1488" s="59" t="str">
        <f>IF(Dati[[#This Row],[Categoria]]="Savings",0,"")</f>
        <v/>
      </c>
      <c r="T1488" s="59"/>
      <c r="U1488" s="59"/>
      <c r="V1488" s="59"/>
      <c r="W1488" s="59"/>
      <c r="X1488" s="59"/>
      <c r="Y1488" s="59"/>
      <c r="Z1488" s="59"/>
      <c r="AA1488" s="59"/>
      <c r="AB1488" s="59"/>
      <c r="AC1488" s="59"/>
      <c r="AD1488" s="59"/>
      <c r="AE1488" s="59"/>
      <c r="AF1488" s="59"/>
      <c r="AG1488" s="59"/>
      <c r="AH1488" s="59"/>
      <c r="AI1488" s="59" t="str">
        <f>IF(SUM(Dati[[#This Row],[Inv. Business]:[Inv. Cryptocurrency]])=0," ",SUM(Dati[[#This Row],[Inv. Business]:[Inv. Cryptocurrency]]))</f>
        <v xml:space="preserve"> </v>
      </c>
      <c r="AJ1488" s="59"/>
      <c r="AK1488" s="59" t="str">
        <f>IF(SUM(Dati[[#This Row],[Inv. Gold]:[Mutuo]])=0," ",SUM(Dati[[#This Row],[Inv. Gold]:[Mutuo]]))</f>
        <v xml:space="preserve"> </v>
      </c>
      <c r="AL1488" s="59"/>
      <c r="AM1488" s="59"/>
    </row>
    <row r="1489" spans="2:39" x14ac:dyDescent="0.35">
      <c r="B1489" s="237">
        <f t="shared" si="109"/>
        <v>1469</v>
      </c>
      <c r="C1489" s="49">
        <f t="shared" si="108"/>
        <v>46047</v>
      </c>
      <c r="D1489" s="29">
        <f>DAY(Dati[[#This Row],[Data]])</f>
        <v>25</v>
      </c>
      <c r="E1489" s="29" t="str">
        <f>IF(DAY(Data!$C$21:$C$1613)&gt;0,TEXT(Data!$C$21:$C$1613, "mmmm"),"")</f>
        <v>gennaio</v>
      </c>
      <c r="F1489" s="29" t="str">
        <f>IF(DAY(Data!$C$21:$C$1613)&gt;0,TEXT(Data!$C$21:$C$1613, "aaaa"),"")</f>
        <v>2026</v>
      </c>
      <c r="I1489" t="str">
        <f>IF(OR(H1489=$B$5,H1489=$B$6,H1489=$B$7,H1489=$B$8,H1489=$B$9,H1489=$B$10,H1489=$B$11,H1489=$B$12,H1489=$B$13,H1489=$B$14),SottocategorieUscite[[#Headers],[Fuori Casa]],IF(OR(H1489=$C$5,H1489=$C$6,H1489=$C$7,H1489=$C$8,H1489=$C$9,H1489=$C$10,H1489=$C$11,H1489=$C$12,H1489=$C$13,H1489=$C$14),SottocategorieUscite[[#Headers],[Varie Uscite]],IF(OR(H1489=$D$5,H1489=$D$6,H1489=$D$7,H1489=$D$8,H1489=$D$9,H1489=$D$10,H1489=$D$11,H1489=$D$12,H1489=$D$13,H1489=$D$14),SottocategorieUscite[[#Headers],[Personali]],IF(OR(H1489=$E$5,H1489=$E$6,H1489=$E$7,H1489=$E$8,H1489=$E$9,H1489=$E$10,H1489=$E$11,H1489=$E$12,H1489=$E$13,H1489=$E$14),SottocategorieUscite[[#Headers],[Lavoro]],IF(OR(H1489=$F$5,H1489=$F$6,H1489=$F$7,H1489=$F$8,H1489=$F$9,H1489=$F$10,H1489=$F$11,H1489=$F$12,H1489=$F$13,H1489=$F$14),SottocategorieUscite[[#Headers],[Casa]],IF(OR(H1489=$G$5,H1489=$G$6,H1489=$G$7,H1489=$G$8,H1489=$G$9,H1489=$G$10,H1489=$G$11,H1489=$G$12,H1489=$G$13,H1489=$G$14),SottocategorieUscite[[#Headers],[Utenze]],IF(OR(H1489=$H$5,H1489=$H$6,H1489=$H$7,H1489=$H$8,H1489=$H$9,H1489=$H$10,H1489=$H$11,H1489=$H$12,H1489=$H$13,H1489=$H$14),SottocategorieUscite[[#Headers],[Business Uscite]],IF(OR(H1489=$I$5,H1489=$I$6,H1489=$I$7,H1489=$I$8,H1489=$I$9,H1489=$I$10,H1489=$I$11,H1489=$I$12,H1489=$I$13,H1489=$I$14),SottocategorieUscite[[#Headers],[Banca]],IF(OR(H1489=K$5,H1489=K$6,H1489=K$7,H1489=K$8,H1489=K$9,H1489=K$10,H1489=K$11,H1489=K$12,H1489=K$13,H1489=K$14),SottocategorieEntrate[[#Headers],[Business Entrate]],IF(OR(H1489=L$5,H1489=L$6,H1489=L$7,H1489=L$8,H1489=L$9,H1489=L$10,H1489=L$11,H1489=L$12,H1489=L$13,H1489=L$14),SottocategorieEntrate[[#Headers],[Varie Entrate]],IF(OR(H1489=M$5,H1489=M$6,H1489=M$7,H1489=M$8,H1489=M$9,H1489=M$10,H1489=M$11,H1489=M$12,H1489=M$13,H1489=M$14),SottocategorieEntrate[[#Headers],[Real Estate]],IF(OR(H1489=N$5,H1489=N$6,H1489=N$7,H1489=N$8,H1489=N$9,H1489=N$10,H1489=N$11,H1489=N$12,H1489=N$13,H1489=N$14),SottocategorieEntrate[[#Headers],[Other]],""))))))))))))</f>
        <v/>
      </c>
      <c r="J1489" t="str">
        <f>IF(OR(Dati[[#This Row],[Categoria]]="Bollette",Dati[[#This Row],[Categoria]]="Conto &amp; Carte BNL",Dati[[#This Row],[Categoria]]="Prelievo",Dati[[#This Row],[Categoria]]="Affitto",Dati[[#This Row],[Categoria]]="BNL(Interessi Creditori)"),"Carta",IF(Dati[[#This Row],[Categoria]]&lt;&gt;0,"Cash",""))</f>
        <v/>
      </c>
      <c r="K1489" s="59" t="str">
        <f>IF(OR(Data!$I1489=SottocategorieUscite[[#Headers],[Fuori Casa]],Data!$I1489=SottocategorieUscite[[#Headers],[Varie Uscite]],Data!$I1489=SottocategorieUscite[[#Headers],[Personali]],Data!$I1489=SottocategorieUscite[[#Headers],[Lavoro]]),"$ -","")</f>
        <v/>
      </c>
      <c r="L1489" s="59" t="str">
        <f>IF(OR(Data!$I1489=SottocategorieUscite[[#Headers],[Casa]],Data!$I1489=SottocategorieUscite[[#Headers],[Utenze]],Data!$I1489=SottocategorieUscite[[#Headers],[Business Uscite]],Data!$I1489=SottocategorieUscite[[#Headers],[Banca]]),"$ -","")</f>
        <v/>
      </c>
      <c r="M1489" s="59" t="str">
        <f>IF(OR($I1489&lt;&gt;SottocategorieUscite[[#Headers],[Fuori Casa]],$I1489&lt;&gt;SottocategorieUscite[[#Headers],[Varie Uscite]],$I1489&lt;&gt;SottocategorieUscite[[#Headers],[Personali]],$I1489&lt;&gt;SottocategorieUscite[[#Headers],[Lavoro]],$I1489&lt;&gt;SottocategorieUscite[[#Headers],[Casa]],$I1489&lt;&gt;SottocategorieUscite[[#Headers],[Utenze]],$I1489&lt;&gt;SottocategorieUscite[[#Headers],[Business Uscite]],$I1489&lt;&gt;SottocategorieUscite[[#Headers],[Banca]]),"","$ -")</f>
        <v/>
      </c>
      <c r="N1489" s="59" t="str">
        <f>IF(OR(Data!$I1489=SottocategorieEntrate[[#Headers],[Business Entrate]],Data!$I1489=SottocategorieEntrate[[#Headers],[Varie Entrate]]),"$ -","")</f>
        <v/>
      </c>
      <c r="O1489" s="59" t="str">
        <f>IF(OR(Data!$I1489=SottocategorieEntrate[[#Headers],[Real Estate]],SottocategorieEntrate[[#Headers],[Other]]),"$ -","")</f>
        <v/>
      </c>
      <c r="P1489" s="59" t="str">
        <f>IF(OR($I1489&lt;&gt;SottocategorieEntrate[[#Headers],[Business Entrate]],$I1489&lt;&gt;SottocategorieEntrate[[#Headers],[Varie Entrate]],$I1489&lt;&gt;SottocategorieEntrate[[#Headers],[Real Estate]],$I1489&lt;&gt;SottocategorieEntrate[[#Headers],[Other]]),"","$ -")</f>
        <v/>
      </c>
      <c r="Q1489" s="59" t="str">
        <f>IF(Dati[[#This Row],[Categoria]]="Prelievo","€ -","")</f>
        <v/>
      </c>
      <c r="R1489" s="244"/>
      <c r="S1489" s="59" t="str">
        <f>IF(Dati[[#This Row],[Categoria]]="Savings",0,"")</f>
        <v/>
      </c>
      <c r="T1489" s="59"/>
      <c r="U1489" s="59"/>
      <c r="V1489" s="59"/>
      <c r="W1489" s="59"/>
      <c r="X1489" s="59"/>
      <c r="Y1489" s="59"/>
      <c r="Z1489" s="59"/>
      <c r="AA1489" s="59"/>
      <c r="AB1489" s="59"/>
      <c r="AC1489" s="59"/>
      <c r="AD1489" s="59"/>
      <c r="AE1489" s="59"/>
      <c r="AF1489" s="59"/>
      <c r="AG1489" s="59"/>
      <c r="AH1489" s="59"/>
      <c r="AI1489" s="59" t="str">
        <f>IF(SUM(Dati[[#This Row],[Inv. Business]:[Inv. Cryptocurrency]])=0," ",SUM(Dati[[#This Row],[Inv. Business]:[Inv. Cryptocurrency]]))</f>
        <v xml:space="preserve"> </v>
      </c>
      <c r="AJ1489" s="59"/>
      <c r="AK1489" s="59" t="str">
        <f>IF(SUM(Dati[[#This Row],[Inv. Gold]:[Mutuo]])=0," ",SUM(Dati[[#This Row],[Inv. Gold]:[Mutuo]]))</f>
        <v xml:space="preserve"> </v>
      </c>
      <c r="AL1489" s="59"/>
      <c r="AM1489" s="59"/>
    </row>
    <row r="1490" spans="2:39" x14ac:dyDescent="0.35">
      <c r="B1490" s="237">
        <f t="shared" si="109"/>
        <v>1470</v>
      </c>
      <c r="C1490" s="49">
        <f t="shared" si="108"/>
        <v>46048</v>
      </c>
      <c r="D1490" s="29">
        <f>DAY(Dati[[#This Row],[Data]])</f>
        <v>26</v>
      </c>
      <c r="E1490" s="29" t="str">
        <f>IF(DAY(Data!$C$21:$C$1613)&gt;0,TEXT(Data!$C$21:$C$1613, "mmmm"),"")</f>
        <v>gennaio</v>
      </c>
      <c r="F1490" s="29" t="str">
        <f>IF(DAY(Data!$C$21:$C$1613)&gt;0,TEXT(Data!$C$21:$C$1613, "aaaa"),"")</f>
        <v>2026</v>
      </c>
      <c r="I1490" t="str">
        <f>IF(OR(H1490=$B$5,H1490=$B$6,H1490=$B$7,H1490=$B$8,H1490=$B$9,H1490=$B$10,H1490=$B$11,H1490=$B$12,H1490=$B$13,H1490=$B$14),SottocategorieUscite[[#Headers],[Fuori Casa]],IF(OR(H1490=$C$5,H1490=$C$6,H1490=$C$7,H1490=$C$8,H1490=$C$9,H1490=$C$10,H1490=$C$11,H1490=$C$12,H1490=$C$13,H1490=$C$14),SottocategorieUscite[[#Headers],[Varie Uscite]],IF(OR(H1490=$D$5,H1490=$D$6,H1490=$D$7,H1490=$D$8,H1490=$D$9,H1490=$D$10,H1490=$D$11,H1490=$D$12,H1490=$D$13,H1490=$D$14),SottocategorieUscite[[#Headers],[Personali]],IF(OR(H1490=$E$5,H1490=$E$6,H1490=$E$7,H1490=$E$8,H1490=$E$9,H1490=$E$10,H1490=$E$11,H1490=$E$12,H1490=$E$13,H1490=$E$14),SottocategorieUscite[[#Headers],[Lavoro]],IF(OR(H1490=$F$5,H1490=$F$6,H1490=$F$7,H1490=$F$8,H1490=$F$9,H1490=$F$10,H1490=$F$11,H1490=$F$12,H1490=$F$13,H1490=$F$14),SottocategorieUscite[[#Headers],[Casa]],IF(OR(H1490=$G$5,H1490=$G$6,H1490=$G$7,H1490=$G$8,H1490=$G$9,H1490=$G$10,H1490=$G$11,H1490=$G$12,H1490=$G$13,H1490=$G$14),SottocategorieUscite[[#Headers],[Utenze]],IF(OR(H1490=$H$5,H1490=$H$6,H1490=$H$7,H1490=$H$8,H1490=$H$9,H1490=$H$10,H1490=$H$11,H1490=$H$12,H1490=$H$13,H1490=$H$14),SottocategorieUscite[[#Headers],[Business Uscite]],IF(OR(H1490=$I$5,H1490=$I$6,H1490=$I$7,H1490=$I$8,H1490=$I$9,H1490=$I$10,H1490=$I$11,H1490=$I$12,H1490=$I$13,H1490=$I$14),SottocategorieUscite[[#Headers],[Banca]],IF(OR(H1490=K$5,H1490=K$6,H1490=K$7,H1490=K$8,H1490=K$9,H1490=K$10,H1490=K$11,H1490=K$12,H1490=K$13,H1490=K$14),SottocategorieEntrate[[#Headers],[Business Entrate]],IF(OR(H1490=L$5,H1490=L$6,H1490=L$7,H1490=L$8,H1490=L$9,H1490=L$10,H1490=L$11,H1490=L$12,H1490=L$13,H1490=L$14),SottocategorieEntrate[[#Headers],[Varie Entrate]],IF(OR(H1490=M$5,H1490=M$6,H1490=M$7,H1490=M$8,H1490=M$9,H1490=M$10,H1490=M$11,H1490=M$12,H1490=M$13,H1490=M$14),SottocategorieEntrate[[#Headers],[Real Estate]],IF(OR(H1490=N$5,H1490=N$6,H1490=N$7,H1490=N$8,H1490=N$9,H1490=N$10,H1490=N$11,H1490=N$12,H1490=N$13,H1490=N$14),SottocategorieEntrate[[#Headers],[Other]],""))))))))))))</f>
        <v/>
      </c>
      <c r="J1490" t="str">
        <f>IF(OR(Dati[[#This Row],[Categoria]]="Bollette",Dati[[#This Row],[Categoria]]="Conto &amp; Carte BNL",Dati[[#This Row],[Categoria]]="Prelievo",Dati[[#This Row],[Categoria]]="Affitto",Dati[[#This Row],[Categoria]]="BNL(Interessi Creditori)"),"Carta",IF(Dati[[#This Row],[Categoria]]&lt;&gt;0,"Cash",""))</f>
        <v/>
      </c>
      <c r="K1490" s="59" t="str">
        <f>IF(OR(Data!$I1490=SottocategorieUscite[[#Headers],[Fuori Casa]],Data!$I1490=SottocategorieUscite[[#Headers],[Varie Uscite]],Data!$I1490=SottocategorieUscite[[#Headers],[Personali]],Data!$I1490=SottocategorieUscite[[#Headers],[Lavoro]]),"$ -","")</f>
        <v/>
      </c>
      <c r="L1490" s="59" t="str">
        <f>IF(OR(Data!$I1490=SottocategorieUscite[[#Headers],[Casa]],Data!$I1490=SottocategorieUscite[[#Headers],[Utenze]],Data!$I1490=SottocategorieUscite[[#Headers],[Business Uscite]],Data!$I1490=SottocategorieUscite[[#Headers],[Banca]]),"$ -","")</f>
        <v/>
      </c>
      <c r="M1490" s="59" t="str">
        <f>IF(OR($I1490&lt;&gt;SottocategorieUscite[[#Headers],[Fuori Casa]],$I1490&lt;&gt;SottocategorieUscite[[#Headers],[Varie Uscite]],$I1490&lt;&gt;SottocategorieUscite[[#Headers],[Personali]],$I1490&lt;&gt;SottocategorieUscite[[#Headers],[Lavoro]],$I1490&lt;&gt;SottocategorieUscite[[#Headers],[Casa]],$I1490&lt;&gt;SottocategorieUscite[[#Headers],[Utenze]],$I1490&lt;&gt;SottocategorieUscite[[#Headers],[Business Uscite]],$I1490&lt;&gt;SottocategorieUscite[[#Headers],[Banca]]),"","$ -")</f>
        <v/>
      </c>
      <c r="N1490" s="59" t="str">
        <f>IF(OR(Data!$I1490=SottocategorieEntrate[[#Headers],[Business Entrate]],Data!$I1490=SottocategorieEntrate[[#Headers],[Varie Entrate]]),"$ -","")</f>
        <v/>
      </c>
      <c r="O1490" s="59" t="str">
        <f>IF(OR(Data!$I1490=SottocategorieEntrate[[#Headers],[Real Estate]],SottocategorieEntrate[[#Headers],[Other]]),"$ -","")</f>
        <v/>
      </c>
      <c r="P1490" s="59" t="str">
        <f>IF(OR($I1490&lt;&gt;SottocategorieEntrate[[#Headers],[Business Entrate]],$I1490&lt;&gt;SottocategorieEntrate[[#Headers],[Varie Entrate]],$I1490&lt;&gt;SottocategorieEntrate[[#Headers],[Real Estate]],$I1490&lt;&gt;SottocategorieEntrate[[#Headers],[Other]]),"","$ -")</f>
        <v/>
      </c>
      <c r="Q1490" s="59" t="str">
        <f>IF(Dati[[#This Row],[Categoria]]="Prelievo","€ -","")</f>
        <v/>
      </c>
      <c r="R1490" s="244"/>
      <c r="S1490" s="59" t="str">
        <f>IF(Dati[[#This Row],[Categoria]]="Savings",0,"")</f>
        <v/>
      </c>
      <c r="T1490" s="59"/>
      <c r="U1490" s="59"/>
      <c r="V1490" s="59"/>
      <c r="W1490" s="59"/>
      <c r="X1490" s="59"/>
      <c r="Y1490" s="59"/>
      <c r="Z1490" s="59"/>
      <c r="AA1490" s="59"/>
      <c r="AB1490" s="59"/>
      <c r="AC1490" s="59"/>
      <c r="AD1490" s="59"/>
      <c r="AE1490" s="59"/>
      <c r="AF1490" s="59"/>
      <c r="AG1490" s="59"/>
      <c r="AH1490" s="59"/>
      <c r="AI1490" s="59" t="str">
        <f>IF(SUM(Dati[[#This Row],[Inv. Business]:[Inv. Cryptocurrency]])=0," ",SUM(Dati[[#This Row],[Inv. Business]:[Inv. Cryptocurrency]]))</f>
        <v xml:space="preserve"> </v>
      </c>
      <c r="AJ1490" s="59"/>
      <c r="AK1490" s="59" t="str">
        <f>IF(SUM(Dati[[#This Row],[Inv. Gold]:[Mutuo]])=0," ",SUM(Dati[[#This Row],[Inv. Gold]:[Mutuo]]))</f>
        <v xml:space="preserve"> </v>
      </c>
      <c r="AL1490" s="59"/>
      <c r="AM1490" s="59"/>
    </row>
    <row r="1491" spans="2:39" x14ac:dyDescent="0.35">
      <c r="B1491" s="237">
        <f t="shared" si="109"/>
        <v>1471</v>
      </c>
      <c r="C1491" s="49">
        <f t="shared" si="108"/>
        <v>46049</v>
      </c>
      <c r="D1491" s="29">
        <f>DAY(Dati[[#This Row],[Data]])</f>
        <v>27</v>
      </c>
      <c r="E1491" s="29" t="str">
        <f>IF(DAY(Data!$C$21:$C$1613)&gt;0,TEXT(Data!$C$21:$C$1613, "mmmm"),"")</f>
        <v>gennaio</v>
      </c>
      <c r="F1491" s="29" t="str">
        <f>IF(DAY(Data!$C$21:$C$1613)&gt;0,TEXT(Data!$C$21:$C$1613, "aaaa"),"")</f>
        <v>2026</v>
      </c>
      <c r="I1491" t="str">
        <f>IF(OR(H1491=$B$5,H1491=$B$6,H1491=$B$7,H1491=$B$8,H1491=$B$9,H1491=$B$10,H1491=$B$11,H1491=$B$12,H1491=$B$13,H1491=$B$14),SottocategorieUscite[[#Headers],[Fuori Casa]],IF(OR(H1491=$C$5,H1491=$C$6,H1491=$C$7,H1491=$C$8,H1491=$C$9,H1491=$C$10,H1491=$C$11,H1491=$C$12,H1491=$C$13,H1491=$C$14),SottocategorieUscite[[#Headers],[Varie Uscite]],IF(OR(H1491=$D$5,H1491=$D$6,H1491=$D$7,H1491=$D$8,H1491=$D$9,H1491=$D$10,H1491=$D$11,H1491=$D$12,H1491=$D$13,H1491=$D$14),SottocategorieUscite[[#Headers],[Personali]],IF(OR(H1491=$E$5,H1491=$E$6,H1491=$E$7,H1491=$E$8,H1491=$E$9,H1491=$E$10,H1491=$E$11,H1491=$E$12,H1491=$E$13,H1491=$E$14),SottocategorieUscite[[#Headers],[Lavoro]],IF(OR(H1491=$F$5,H1491=$F$6,H1491=$F$7,H1491=$F$8,H1491=$F$9,H1491=$F$10,H1491=$F$11,H1491=$F$12,H1491=$F$13,H1491=$F$14),SottocategorieUscite[[#Headers],[Casa]],IF(OR(H1491=$G$5,H1491=$G$6,H1491=$G$7,H1491=$G$8,H1491=$G$9,H1491=$G$10,H1491=$G$11,H1491=$G$12,H1491=$G$13,H1491=$G$14),SottocategorieUscite[[#Headers],[Utenze]],IF(OR(H1491=$H$5,H1491=$H$6,H1491=$H$7,H1491=$H$8,H1491=$H$9,H1491=$H$10,H1491=$H$11,H1491=$H$12,H1491=$H$13,H1491=$H$14),SottocategorieUscite[[#Headers],[Business Uscite]],IF(OR(H1491=$I$5,H1491=$I$6,H1491=$I$7,H1491=$I$8,H1491=$I$9,H1491=$I$10,H1491=$I$11,H1491=$I$12,H1491=$I$13,H1491=$I$14),SottocategorieUscite[[#Headers],[Banca]],IF(OR(H1491=K$5,H1491=K$6,H1491=K$7,H1491=K$8,H1491=K$9,H1491=K$10,H1491=K$11,H1491=K$12,H1491=K$13,H1491=K$14),SottocategorieEntrate[[#Headers],[Business Entrate]],IF(OR(H1491=L$5,H1491=L$6,H1491=L$7,H1491=L$8,H1491=L$9,H1491=L$10,H1491=L$11,H1491=L$12,H1491=L$13,H1491=L$14),SottocategorieEntrate[[#Headers],[Varie Entrate]],IF(OR(H1491=M$5,H1491=M$6,H1491=M$7,H1491=M$8,H1491=M$9,H1491=M$10,H1491=M$11,H1491=M$12,H1491=M$13,H1491=M$14),SottocategorieEntrate[[#Headers],[Real Estate]],IF(OR(H1491=N$5,H1491=N$6,H1491=N$7,H1491=N$8,H1491=N$9,H1491=N$10,H1491=N$11,H1491=N$12,H1491=N$13,H1491=N$14),SottocategorieEntrate[[#Headers],[Other]],""))))))))))))</f>
        <v/>
      </c>
      <c r="J1491" t="str">
        <f>IF(OR(Dati[[#This Row],[Categoria]]="Bollette",Dati[[#This Row],[Categoria]]="Conto &amp; Carte BNL",Dati[[#This Row],[Categoria]]="Prelievo",Dati[[#This Row],[Categoria]]="Affitto",Dati[[#This Row],[Categoria]]="BNL(Interessi Creditori)"),"Carta",IF(Dati[[#This Row],[Categoria]]&lt;&gt;0,"Cash",""))</f>
        <v/>
      </c>
      <c r="K1491" s="59" t="str">
        <f>IF(OR(Data!$I1491=SottocategorieUscite[[#Headers],[Fuori Casa]],Data!$I1491=SottocategorieUscite[[#Headers],[Varie Uscite]],Data!$I1491=SottocategorieUscite[[#Headers],[Personali]],Data!$I1491=SottocategorieUscite[[#Headers],[Lavoro]]),"$ -","")</f>
        <v/>
      </c>
      <c r="L1491" s="59" t="str">
        <f>IF(OR(Data!$I1491=SottocategorieUscite[[#Headers],[Casa]],Data!$I1491=SottocategorieUscite[[#Headers],[Utenze]],Data!$I1491=SottocategorieUscite[[#Headers],[Business Uscite]],Data!$I1491=SottocategorieUscite[[#Headers],[Banca]]),"$ -","")</f>
        <v/>
      </c>
      <c r="M1491" s="59" t="str">
        <f>IF(OR($I1491&lt;&gt;SottocategorieUscite[[#Headers],[Fuori Casa]],$I1491&lt;&gt;SottocategorieUscite[[#Headers],[Varie Uscite]],$I1491&lt;&gt;SottocategorieUscite[[#Headers],[Personali]],$I1491&lt;&gt;SottocategorieUscite[[#Headers],[Lavoro]],$I1491&lt;&gt;SottocategorieUscite[[#Headers],[Casa]],$I1491&lt;&gt;SottocategorieUscite[[#Headers],[Utenze]],$I1491&lt;&gt;SottocategorieUscite[[#Headers],[Business Uscite]],$I1491&lt;&gt;SottocategorieUscite[[#Headers],[Banca]]),"","$ -")</f>
        <v/>
      </c>
      <c r="N1491" s="59" t="str">
        <f>IF(OR(Data!$I1491=SottocategorieEntrate[[#Headers],[Business Entrate]],Data!$I1491=SottocategorieEntrate[[#Headers],[Varie Entrate]]),"$ -","")</f>
        <v/>
      </c>
      <c r="O1491" s="59" t="str">
        <f>IF(OR(Data!$I1491=SottocategorieEntrate[[#Headers],[Real Estate]],SottocategorieEntrate[[#Headers],[Other]]),"$ -","")</f>
        <v/>
      </c>
      <c r="P1491" s="59" t="str">
        <f>IF(OR($I1491&lt;&gt;SottocategorieEntrate[[#Headers],[Business Entrate]],$I1491&lt;&gt;SottocategorieEntrate[[#Headers],[Varie Entrate]],$I1491&lt;&gt;SottocategorieEntrate[[#Headers],[Real Estate]],$I1491&lt;&gt;SottocategorieEntrate[[#Headers],[Other]]),"","$ -")</f>
        <v/>
      </c>
      <c r="Q1491" s="59" t="str">
        <f>IF(Dati[[#This Row],[Categoria]]="Prelievo","€ -","")</f>
        <v/>
      </c>
      <c r="R1491" s="244"/>
      <c r="S1491" s="59" t="str">
        <f>IF(Dati[[#This Row],[Categoria]]="Savings",0,"")</f>
        <v/>
      </c>
      <c r="T1491" s="59"/>
      <c r="U1491" s="59"/>
      <c r="V1491" s="59"/>
      <c r="W1491" s="59"/>
      <c r="X1491" s="59"/>
      <c r="Y1491" s="59"/>
      <c r="Z1491" s="59"/>
      <c r="AA1491" s="59"/>
      <c r="AB1491" s="59"/>
      <c r="AC1491" s="59"/>
      <c r="AD1491" s="59"/>
      <c r="AE1491" s="59"/>
      <c r="AF1491" s="59"/>
      <c r="AG1491" s="59"/>
      <c r="AH1491" s="59"/>
      <c r="AI1491" s="59" t="str">
        <f>IF(SUM(Dati[[#This Row],[Inv. Business]:[Inv. Cryptocurrency]])=0," ",SUM(Dati[[#This Row],[Inv. Business]:[Inv. Cryptocurrency]]))</f>
        <v xml:space="preserve"> </v>
      </c>
      <c r="AJ1491" s="59"/>
      <c r="AK1491" s="59" t="str">
        <f>IF(SUM(Dati[[#This Row],[Inv. Gold]:[Mutuo]])=0," ",SUM(Dati[[#This Row],[Inv. Gold]:[Mutuo]]))</f>
        <v xml:space="preserve"> </v>
      </c>
      <c r="AL1491" s="59"/>
      <c r="AM1491" s="59"/>
    </row>
    <row r="1492" spans="2:39" x14ac:dyDescent="0.35">
      <c r="B1492" s="237">
        <f t="shared" si="109"/>
        <v>1472</v>
      </c>
      <c r="C1492" s="49">
        <f t="shared" si="108"/>
        <v>46050</v>
      </c>
      <c r="D1492" s="29">
        <f>DAY(Dati[[#This Row],[Data]])</f>
        <v>28</v>
      </c>
      <c r="E1492" s="29" t="str">
        <f>IF(DAY(Data!$C$21:$C$1613)&gt;0,TEXT(Data!$C$21:$C$1613, "mmmm"),"")</f>
        <v>gennaio</v>
      </c>
      <c r="F1492" s="29" t="str">
        <f>IF(DAY(Data!$C$21:$C$1613)&gt;0,TEXT(Data!$C$21:$C$1613, "aaaa"),"")</f>
        <v>2026</v>
      </c>
      <c r="I1492" t="str">
        <f>IF(OR(H1492=$B$5,H1492=$B$6,H1492=$B$7,H1492=$B$8,H1492=$B$9,H1492=$B$10,H1492=$B$11,H1492=$B$12,H1492=$B$13,H1492=$B$14),SottocategorieUscite[[#Headers],[Fuori Casa]],IF(OR(H1492=$C$5,H1492=$C$6,H1492=$C$7,H1492=$C$8,H1492=$C$9,H1492=$C$10,H1492=$C$11,H1492=$C$12,H1492=$C$13,H1492=$C$14),SottocategorieUscite[[#Headers],[Varie Uscite]],IF(OR(H1492=$D$5,H1492=$D$6,H1492=$D$7,H1492=$D$8,H1492=$D$9,H1492=$D$10,H1492=$D$11,H1492=$D$12,H1492=$D$13,H1492=$D$14),SottocategorieUscite[[#Headers],[Personali]],IF(OR(H1492=$E$5,H1492=$E$6,H1492=$E$7,H1492=$E$8,H1492=$E$9,H1492=$E$10,H1492=$E$11,H1492=$E$12,H1492=$E$13,H1492=$E$14),SottocategorieUscite[[#Headers],[Lavoro]],IF(OR(H1492=$F$5,H1492=$F$6,H1492=$F$7,H1492=$F$8,H1492=$F$9,H1492=$F$10,H1492=$F$11,H1492=$F$12,H1492=$F$13,H1492=$F$14),SottocategorieUscite[[#Headers],[Casa]],IF(OR(H1492=$G$5,H1492=$G$6,H1492=$G$7,H1492=$G$8,H1492=$G$9,H1492=$G$10,H1492=$G$11,H1492=$G$12,H1492=$G$13,H1492=$G$14),SottocategorieUscite[[#Headers],[Utenze]],IF(OR(H1492=$H$5,H1492=$H$6,H1492=$H$7,H1492=$H$8,H1492=$H$9,H1492=$H$10,H1492=$H$11,H1492=$H$12,H1492=$H$13,H1492=$H$14),SottocategorieUscite[[#Headers],[Business Uscite]],IF(OR(H1492=$I$5,H1492=$I$6,H1492=$I$7,H1492=$I$8,H1492=$I$9,H1492=$I$10,H1492=$I$11,H1492=$I$12,H1492=$I$13,H1492=$I$14),SottocategorieUscite[[#Headers],[Banca]],IF(OR(H1492=K$5,H1492=K$6,H1492=K$7,H1492=K$8,H1492=K$9,H1492=K$10,H1492=K$11,H1492=K$12,H1492=K$13,H1492=K$14),SottocategorieEntrate[[#Headers],[Business Entrate]],IF(OR(H1492=L$5,H1492=L$6,H1492=L$7,H1492=L$8,H1492=L$9,H1492=L$10,H1492=L$11,H1492=L$12,H1492=L$13,H1492=L$14),SottocategorieEntrate[[#Headers],[Varie Entrate]],IF(OR(H1492=M$5,H1492=M$6,H1492=M$7,H1492=M$8,H1492=M$9,H1492=M$10,H1492=M$11,H1492=M$12,H1492=M$13,H1492=M$14),SottocategorieEntrate[[#Headers],[Real Estate]],IF(OR(H1492=N$5,H1492=N$6,H1492=N$7,H1492=N$8,H1492=N$9,H1492=N$10,H1492=N$11,H1492=N$12,H1492=N$13,H1492=N$14),SottocategorieEntrate[[#Headers],[Other]],""))))))))))))</f>
        <v/>
      </c>
      <c r="J1492" t="str">
        <f>IF(OR(Dati[[#This Row],[Categoria]]="Bollette",Dati[[#This Row],[Categoria]]="Conto &amp; Carte BNL",Dati[[#This Row],[Categoria]]="Prelievo",Dati[[#This Row],[Categoria]]="Affitto",Dati[[#This Row],[Categoria]]="BNL(Interessi Creditori)"),"Carta",IF(Dati[[#This Row],[Categoria]]&lt;&gt;0,"Cash",""))</f>
        <v/>
      </c>
      <c r="K1492" s="59" t="str">
        <f>IF(OR(Data!$I1492=SottocategorieUscite[[#Headers],[Fuori Casa]],Data!$I1492=SottocategorieUscite[[#Headers],[Varie Uscite]],Data!$I1492=SottocategorieUscite[[#Headers],[Personali]],Data!$I1492=SottocategorieUscite[[#Headers],[Lavoro]]),"$ -","")</f>
        <v/>
      </c>
      <c r="L1492" s="59" t="str">
        <f>IF(OR(Data!$I1492=SottocategorieUscite[[#Headers],[Casa]],Data!$I1492=SottocategorieUscite[[#Headers],[Utenze]],Data!$I1492=SottocategorieUscite[[#Headers],[Business Uscite]],Data!$I1492=SottocategorieUscite[[#Headers],[Banca]]),"$ -","")</f>
        <v/>
      </c>
      <c r="M1492" s="59" t="str">
        <f>IF(OR($I1492&lt;&gt;SottocategorieUscite[[#Headers],[Fuori Casa]],$I1492&lt;&gt;SottocategorieUscite[[#Headers],[Varie Uscite]],$I1492&lt;&gt;SottocategorieUscite[[#Headers],[Personali]],$I1492&lt;&gt;SottocategorieUscite[[#Headers],[Lavoro]],$I1492&lt;&gt;SottocategorieUscite[[#Headers],[Casa]],$I1492&lt;&gt;SottocategorieUscite[[#Headers],[Utenze]],$I1492&lt;&gt;SottocategorieUscite[[#Headers],[Business Uscite]],$I1492&lt;&gt;SottocategorieUscite[[#Headers],[Banca]]),"","$ -")</f>
        <v/>
      </c>
      <c r="N1492" s="59" t="str">
        <f>IF(OR(Data!$I1492=SottocategorieEntrate[[#Headers],[Business Entrate]],Data!$I1492=SottocategorieEntrate[[#Headers],[Varie Entrate]]),"$ -","")</f>
        <v/>
      </c>
      <c r="O1492" s="59" t="str">
        <f>IF(OR(Data!$I1492=SottocategorieEntrate[[#Headers],[Real Estate]],SottocategorieEntrate[[#Headers],[Other]]),"$ -","")</f>
        <v/>
      </c>
      <c r="P1492" s="59" t="str">
        <f>IF(OR($I1492&lt;&gt;SottocategorieEntrate[[#Headers],[Business Entrate]],$I1492&lt;&gt;SottocategorieEntrate[[#Headers],[Varie Entrate]],$I1492&lt;&gt;SottocategorieEntrate[[#Headers],[Real Estate]],$I1492&lt;&gt;SottocategorieEntrate[[#Headers],[Other]]),"","$ -")</f>
        <v/>
      </c>
      <c r="Q1492" s="59" t="str">
        <f>IF(Dati[[#This Row],[Categoria]]="Prelievo","€ -","")</f>
        <v/>
      </c>
      <c r="R1492" s="244"/>
      <c r="S1492" s="59" t="str">
        <f>IF(Dati[[#This Row],[Categoria]]="Savings",0,"")</f>
        <v/>
      </c>
      <c r="T1492" s="59"/>
      <c r="U1492" s="59"/>
      <c r="V1492" s="59"/>
      <c r="W1492" s="59"/>
      <c r="X1492" s="59"/>
      <c r="Y1492" s="59"/>
      <c r="Z1492" s="59"/>
      <c r="AA1492" s="59"/>
      <c r="AB1492" s="59"/>
      <c r="AC1492" s="59"/>
      <c r="AD1492" s="59"/>
      <c r="AE1492" s="59"/>
      <c r="AF1492" s="59"/>
      <c r="AG1492" s="59"/>
      <c r="AH1492" s="59"/>
      <c r="AI1492" s="59" t="str">
        <f>IF(SUM(Dati[[#This Row],[Inv. Business]:[Inv. Cryptocurrency]])=0," ",SUM(Dati[[#This Row],[Inv. Business]:[Inv. Cryptocurrency]]))</f>
        <v xml:space="preserve"> </v>
      </c>
      <c r="AJ1492" s="59"/>
      <c r="AK1492" s="59" t="str">
        <f>IF(SUM(Dati[[#This Row],[Inv. Gold]:[Mutuo]])=0," ",SUM(Dati[[#This Row],[Inv. Gold]:[Mutuo]]))</f>
        <v xml:space="preserve"> </v>
      </c>
      <c r="AL1492" s="59"/>
      <c r="AM1492" s="59"/>
    </row>
    <row r="1493" spans="2:39" x14ac:dyDescent="0.35">
      <c r="B1493" s="237">
        <f t="shared" si="109"/>
        <v>1473</v>
      </c>
      <c r="C1493" s="49">
        <f t="shared" si="108"/>
        <v>46051</v>
      </c>
      <c r="D1493" s="29">
        <f>DAY(Dati[[#This Row],[Data]])</f>
        <v>29</v>
      </c>
      <c r="E1493" s="29" t="str">
        <f>IF(DAY(Data!$C$21:$C$1613)&gt;0,TEXT(Data!$C$21:$C$1613, "mmmm"),"")</f>
        <v>gennaio</v>
      </c>
      <c r="F1493" s="29" t="str">
        <f>IF(DAY(Data!$C$21:$C$1613)&gt;0,TEXT(Data!$C$21:$C$1613, "aaaa"),"")</f>
        <v>2026</v>
      </c>
      <c r="I1493" t="str">
        <f>IF(OR(H1493=$B$5,H1493=$B$6,H1493=$B$7,H1493=$B$8,H1493=$B$9,H1493=$B$10,H1493=$B$11,H1493=$B$12,H1493=$B$13,H1493=$B$14),SottocategorieUscite[[#Headers],[Fuori Casa]],IF(OR(H1493=$C$5,H1493=$C$6,H1493=$C$7,H1493=$C$8,H1493=$C$9,H1493=$C$10,H1493=$C$11,H1493=$C$12,H1493=$C$13,H1493=$C$14),SottocategorieUscite[[#Headers],[Varie Uscite]],IF(OR(H1493=$D$5,H1493=$D$6,H1493=$D$7,H1493=$D$8,H1493=$D$9,H1493=$D$10,H1493=$D$11,H1493=$D$12,H1493=$D$13,H1493=$D$14),SottocategorieUscite[[#Headers],[Personali]],IF(OR(H1493=$E$5,H1493=$E$6,H1493=$E$7,H1493=$E$8,H1493=$E$9,H1493=$E$10,H1493=$E$11,H1493=$E$12,H1493=$E$13,H1493=$E$14),SottocategorieUscite[[#Headers],[Lavoro]],IF(OR(H1493=$F$5,H1493=$F$6,H1493=$F$7,H1493=$F$8,H1493=$F$9,H1493=$F$10,H1493=$F$11,H1493=$F$12,H1493=$F$13,H1493=$F$14),SottocategorieUscite[[#Headers],[Casa]],IF(OR(H1493=$G$5,H1493=$G$6,H1493=$G$7,H1493=$G$8,H1493=$G$9,H1493=$G$10,H1493=$G$11,H1493=$G$12,H1493=$G$13,H1493=$G$14),SottocategorieUscite[[#Headers],[Utenze]],IF(OR(H1493=$H$5,H1493=$H$6,H1493=$H$7,H1493=$H$8,H1493=$H$9,H1493=$H$10,H1493=$H$11,H1493=$H$12,H1493=$H$13,H1493=$H$14),SottocategorieUscite[[#Headers],[Business Uscite]],IF(OR(H1493=$I$5,H1493=$I$6,H1493=$I$7,H1493=$I$8,H1493=$I$9,H1493=$I$10,H1493=$I$11,H1493=$I$12,H1493=$I$13,H1493=$I$14),SottocategorieUscite[[#Headers],[Banca]],IF(OR(H1493=K$5,H1493=K$6,H1493=K$7,H1493=K$8,H1493=K$9,H1493=K$10,H1493=K$11,H1493=K$12,H1493=K$13,H1493=K$14),SottocategorieEntrate[[#Headers],[Business Entrate]],IF(OR(H1493=L$5,H1493=L$6,H1493=L$7,H1493=L$8,H1493=L$9,H1493=L$10,H1493=L$11,H1493=L$12,H1493=L$13,H1493=L$14),SottocategorieEntrate[[#Headers],[Varie Entrate]],IF(OR(H1493=M$5,H1493=M$6,H1493=M$7,H1493=M$8,H1493=M$9,H1493=M$10,H1493=M$11,H1493=M$12,H1493=M$13,H1493=M$14),SottocategorieEntrate[[#Headers],[Real Estate]],IF(OR(H1493=N$5,H1493=N$6,H1493=N$7,H1493=N$8,H1493=N$9,H1493=N$10,H1493=N$11,H1493=N$12,H1493=N$13,H1493=N$14),SottocategorieEntrate[[#Headers],[Other]],""))))))))))))</f>
        <v/>
      </c>
      <c r="J1493" t="str">
        <f>IF(OR(Dati[[#This Row],[Categoria]]="Bollette",Dati[[#This Row],[Categoria]]="Conto &amp; Carte BNL",Dati[[#This Row],[Categoria]]="Prelievo",Dati[[#This Row],[Categoria]]="Affitto",Dati[[#This Row],[Categoria]]="BNL(Interessi Creditori)"),"Carta",IF(Dati[[#This Row],[Categoria]]&lt;&gt;0,"Cash",""))</f>
        <v/>
      </c>
      <c r="K1493" s="59" t="str">
        <f>IF(OR(Data!$I1493=SottocategorieUscite[[#Headers],[Fuori Casa]],Data!$I1493=SottocategorieUscite[[#Headers],[Varie Uscite]],Data!$I1493=SottocategorieUscite[[#Headers],[Personali]],Data!$I1493=SottocategorieUscite[[#Headers],[Lavoro]]),"$ -","")</f>
        <v/>
      </c>
      <c r="L1493" s="59" t="str">
        <f>IF(OR(Data!$I1493=SottocategorieUscite[[#Headers],[Casa]],Data!$I1493=SottocategorieUscite[[#Headers],[Utenze]],Data!$I1493=SottocategorieUscite[[#Headers],[Business Uscite]],Data!$I1493=SottocategorieUscite[[#Headers],[Banca]]),"$ -","")</f>
        <v/>
      </c>
      <c r="M1493" s="59" t="str">
        <f>IF(OR($I1493&lt;&gt;SottocategorieUscite[[#Headers],[Fuori Casa]],$I1493&lt;&gt;SottocategorieUscite[[#Headers],[Varie Uscite]],$I1493&lt;&gt;SottocategorieUscite[[#Headers],[Personali]],$I1493&lt;&gt;SottocategorieUscite[[#Headers],[Lavoro]],$I1493&lt;&gt;SottocategorieUscite[[#Headers],[Casa]],$I1493&lt;&gt;SottocategorieUscite[[#Headers],[Utenze]],$I1493&lt;&gt;SottocategorieUscite[[#Headers],[Business Uscite]],$I1493&lt;&gt;SottocategorieUscite[[#Headers],[Banca]]),"","$ -")</f>
        <v/>
      </c>
      <c r="N1493" s="59" t="str">
        <f>IF(OR(Data!$I1493=SottocategorieEntrate[[#Headers],[Business Entrate]],Data!$I1493=SottocategorieEntrate[[#Headers],[Varie Entrate]]),"$ -","")</f>
        <v/>
      </c>
      <c r="O1493" s="59" t="str">
        <f>IF(OR(Data!$I1493=SottocategorieEntrate[[#Headers],[Real Estate]],SottocategorieEntrate[[#Headers],[Other]]),"$ -","")</f>
        <v/>
      </c>
      <c r="P1493" s="59" t="str">
        <f>IF(OR($I1493&lt;&gt;SottocategorieEntrate[[#Headers],[Business Entrate]],$I1493&lt;&gt;SottocategorieEntrate[[#Headers],[Varie Entrate]],$I1493&lt;&gt;SottocategorieEntrate[[#Headers],[Real Estate]],$I1493&lt;&gt;SottocategorieEntrate[[#Headers],[Other]]),"","$ -")</f>
        <v/>
      </c>
      <c r="Q1493" s="59" t="str">
        <f>IF(Dati[[#This Row],[Categoria]]="Prelievo","€ -","")</f>
        <v/>
      </c>
      <c r="R1493" s="244"/>
      <c r="S1493" s="59" t="str">
        <f>IF(Dati[[#This Row],[Categoria]]="Savings",0,"")</f>
        <v/>
      </c>
      <c r="T1493" s="59"/>
      <c r="U1493" s="59"/>
      <c r="V1493" s="59"/>
      <c r="W1493" s="59"/>
      <c r="X1493" s="59"/>
      <c r="Y1493" s="59"/>
      <c r="Z1493" s="59"/>
      <c r="AA1493" s="59"/>
      <c r="AB1493" s="59"/>
      <c r="AC1493" s="59"/>
      <c r="AD1493" s="59"/>
      <c r="AE1493" s="59"/>
      <c r="AF1493" s="59"/>
      <c r="AG1493" s="59"/>
      <c r="AH1493" s="59"/>
      <c r="AI1493" s="59" t="str">
        <f>IF(SUM(Dati[[#This Row],[Inv. Business]:[Inv. Cryptocurrency]])=0," ",SUM(Dati[[#This Row],[Inv. Business]:[Inv. Cryptocurrency]]))</f>
        <v xml:space="preserve"> </v>
      </c>
      <c r="AJ1493" s="59"/>
      <c r="AK1493" s="59" t="str">
        <f>IF(SUM(Dati[[#This Row],[Inv. Gold]:[Mutuo]])=0," ",SUM(Dati[[#This Row],[Inv. Gold]:[Mutuo]]))</f>
        <v xml:space="preserve"> </v>
      </c>
      <c r="AL1493" s="59"/>
      <c r="AM1493" s="59"/>
    </row>
    <row r="1494" spans="2:39" x14ac:dyDescent="0.35">
      <c r="B1494" s="237">
        <f t="shared" si="109"/>
        <v>1474</v>
      </c>
      <c r="C1494" s="49">
        <f t="shared" si="108"/>
        <v>46052</v>
      </c>
      <c r="D1494" s="29">
        <f>DAY(Dati[[#This Row],[Data]])</f>
        <v>30</v>
      </c>
      <c r="E1494" s="29" t="str">
        <f>IF(DAY(Data!$C$21:$C$1613)&gt;0,TEXT(Data!$C$21:$C$1613, "mmmm"),"")</f>
        <v>gennaio</v>
      </c>
      <c r="F1494" s="29" t="str">
        <f>IF(DAY(Data!$C$21:$C$1613)&gt;0,TEXT(Data!$C$21:$C$1613, "aaaa"),"")</f>
        <v>2026</v>
      </c>
      <c r="I1494" t="str">
        <f>IF(OR(H1494=$B$5,H1494=$B$6,H1494=$B$7,H1494=$B$8,H1494=$B$9,H1494=$B$10,H1494=$B$11,H1494=$B$12,H1494=$B$13,H1494=$B$14),SottocategorieUscite[[#Headers],[Fuori Casa]],IF(OR(H1494=$C$5,H1494=$C$6,H1494=$C$7,H1494=$C$8,H1494=$C$9,H1494=$C$10,H1494=$C$11,H1494=$C$12,H1494=$C$13,H1494=$C$14),SottocategorieUscite[[#Headers],[Varie Uscite]],IF(OR(H1494=$D$5,H1494=$D$6,H1494=$D$7,H1494=$D$8,H1494=$D$9,H1494=$D$10,H1494=$D$11,H1494=$D$12,H1494=$D$13,H1494=$D$14),SottocategorieUscite[[#Headers],[Personali]],IF(OR(H1494=$E$5,H1494=$E$6,H1494=$E$7,H1494=$E$8,H1494=$E$9,H1494=$E$10,H1494=$E$11,H1494=$E$12,H1494=$E$13,H1494=$E$14),SottocategorieUscite[[#Headers],[Lavoro]],IF(OR(H1494=$F$5,H1494=$F$6,H1494=$F$7,H1494=$F$8,H1494=$F$9,H1494=$F$10,H1494=$F$11,H1494=$F$12,H1494=$F$13,H1494=$F$14),SottocategorieUscite[[#Headers],[Casa]],IF(OR(H1494=$G$5,H1494=$G$6,H1494=$G$7,H1494=$G$8,H1494=$G$9,H1494=$G$10,H1494=$G$11,H1494=$G$12,H1494=$G$13,H1494=$G$14),SottocategorieUscite[[#Headers],[Utenze]],IF(OR(H1494=$H$5,H1494=$H$6,H1494=$H$7,H1494=$H$8,H1494=$H$9,H1494=$H$10,H1494=$H$11,H1494=$H$12,H1494=$H$13,H1494=$H$14),SottocategorieUscite[[#Headers],[Business Uscite]],IF(OR(H1494=$I$5,H1494=$I$6,H1494=$I$7,H1494=$I$8,H1494=$I$9,H1494=$I$10,H1494=$I$11,H1494=$I$12,H1494=$I$13,H1494=$I$14),SottocategorieUscite[[#Headers],[Banca]],IF(OR(H1494=K$5,H1494=K$6,H1494=K$7,H1494=K$8,H1494=K$9,H1494=K$10,H1494=K$11,H1494=K$12,H1494=K$13,H1494=K$14),SottocategorieEntrate[[#Headers],[Business Entrate]],IF(OR(H1494=L$5,H1494=L$6,H1494=L$7,H1494=L$8,H1494=L$9,H1494=L$10,H1494=L$11,H1494=L$12,H1494=L$13,H1494=L$14),SottocategorieEntrate[[#Headers],[Varie Entrate]],IF(OR(H1494=M$5,H1494=M$6,H1494=M$7,H1494=M$8,H1494=M$9,H1494=M$10,H1494=M$11,H1494=M$12,H1494=M$13,H1494=M$14),SottocategorieEntrate[[#Headers],[Real Estate]],IF(OR(H1494=N$5,H1494=N$6,H1494=N$7,H1494=N$8,H1494=N$9,H1494=N$10,H1494=N$11,H1494=N$12,H1494=N$13,H1494=N$14),SottocategorieEntrate[[#Headers],[Other]],""))))))))))))</f>
        <v/>
      </c>
      <c r="J1494" t="str">
        <f>IF(OR(Dati[[#This Row],[Categoria]]="Bollette",Dati[[#This Row],[Categoria]]="Conto &amp; Carte BNL",Dati[[#This Row],[Categoria]]="Prelievo",Dati[[#This Row],[Categoria]]="Affitto",Dati[[#This Row],[Categoria]]="BNL(Interessi Creditori)"),"Carta",IF(Dati[[#This Row],[Categoria]]&lt;&gt;0,"Cash",""))</f>
        <v/>
      </c>
      <c r="K1494" s="59" t="str">
        <f>IF(OR(Data!$I1494=SottocategorieUscite[[#Headers],[Fuori Casa]],Data!$I1494=SottocategorieUscite[[#Headers],[Varie Uscite]],Data!$I1494=SottocategorieUscite[[#Headers],[Personali]],Data!$I1494=SottocategorieUscite[[#Headers],[Lavoro]]),"$ -","")</f>
        <v/>
      </c>
      <c r="L1494" s="59" t="str">
        <f>IF(OR(Data!$I1494=SottocategorieUscite[[#Headers],[Casa]],Data!$I1494=SottocategorieUscite[[#Headers],[Utenze]],Data!$I1494=SottocategorieUscite[[#Headers],[Business Uscite]],Data!$I1494=SottocategorieUscite[[#Headers],[Banca]]),"$ -","")</f>
        <v/>
      </c>
      <c r="M1494" s="59" t="str">
        <f>IF(OR($I1494&lt;&gt;SottocategorieUscite[[#Headers],[Fuori Casa]],$I1494&lt;&gt;SottocategorieUscite[[#Headers],[Varie Uscite]],$I1494&lt;&gt;SottocategorieUscite[[#Headers],[Personali]],$I1494&lt;&gt;SottocategorieUscite[[#Headers],[Lavoro]],$I1494&lt;&gt;SottocategorieUscite[[#Headers],[Casa]],$I1494&lt;&gt;SottocategorieUscite[[#Headers],[Utenze]],$I1494&lt;&gt;SottocategorieUscite[[#Headers],[Business Uscite]],$I1494&lt;&gt;SottocategorieUscite[[#Headers],[Banca]]),"","$ -")</f>
        <v/>
      </c>
      <c r="N1494" s="59" t="str">
        <f>IF(OR(Data!$I1494=SottocategorieEntrate[[#Headers],[Business Entrate]],Data!$I1494=SottocategorieEntrate[[#Headers],[Varie Entrate]]),"$ -","")</f>
        <v/>
      </c>
      <c r="O1494" s="59" t="str">
        <f>IF(OR(Data!$I1494=SottocategorieEntrate[[#Headers],[Real Estate]],SottocategorieEntrate[[#Headers],[Other]]),"$ -","")</f>
        <v/>
      </c>
      <c r="P1494" s="59" t="str">
        <f>IF(OR($I1494&lt;&gt;SottocategorieEntrate[[#Headers],[Business Entrate]],$I1494&lt;&gt;SottocategorieEntrate[[#Headers],[Varie Entrate]],$I1494&lt;&gt;SottocategorieEntrate[[#Headers],[Real Estate]],$I1494&lt;&gt;SottocategorieEntrate[[#Headers],[Other]]),"","$ -")</f>
        <v/>
      </c>
      <c r="Q1494" s="59" t="str">
        <f>IF(Dati[[#This Row],[Categoria]]="Prelievo","€ -","")</f>
        <v/>
      </c>
      <c r="R1494" s="244"/>
      <c r="S1494" s="59" t="str">
        <f>IF(Dati[[#This Row],[Categoria]]="Savings",0,"")</f>
        <v/>
      </c>
      <c r="T1494" s="59"/>
      <c r="U1494" s="59"/>
      <c r="V1494" s="59"/>
      <c r="W1494" s="59"/>
      <c r="X1494" s="59"/>
      <c r="Y1494" s="59"/>
      <c r="Z1494" s="59"/>
      <c r="AA1494" s="59"/>
      <c r="AB1494" s="59"/>
      <c r="AC1494" s="59"/>
      <c r="AD1494" s="59"/>
      <c r="AE1494" s="59"/>
      <c r="AF1494" s="59"/>
      <c r="AG1494" s="59"/>
      <c r="AH1494" s="59"/>
      <c r="AI1494" s="59" t="str">
        <f>IF(SUM(Dati[[#This Row],[Inv. Business]:[Inv. Cryptocurrency]])=0," ",SUM(Dati[[#This Row],[Inv. Business]:[Inv. Cryptocurrency]]))</f>
        <v xml:space="preserve"> </v>
      </c>
      <c r="AJ1494" s="59"/>
      <c r="AK1494" s="59" t="str">
        <f>IF(SUM(Dati[[#This Row],[Inv. Gold]:[Mutuo]])=0," ",SUM(Dati[[#This Row],[Inv. Gold]:[Mutuo]]))</f>
        <v xml:space="preserve"> </v>
      </c>
      <c r="AL1494" s="59"/>
      <c r="AM1494" s="59"/>
    </row>
    <row r="1495" spans="2:39" x14ac:dyDescent="0.35">
      <c r="B1495" s="237">
        <f t="shared" si="109"/>
        <v>1475</v>
      </c>
      <c r="C1495" s="49">
        <f t="shared" si="108"/>
        <v>46053</v>
      </c>
      <c r="D1495" s="29">
        <f>DAY(Dati[[#This Row],[Data]])</f>
        <v>31</v>
      </c>
      <c r="E1495" s="29" t="str">
        <f>IF(DAY(Data!$C$21:$C$1613)&gt;0,TEXT(Data!$C$21:$C$1613, "mmmm"),"")</f>
        <v>gennaio</v>
      </c>
      <c r="F1495" s="29" t="str">
        <f>IF(DAY(Data!$C$21:$C$1613)&gt;0,TEXT(Data!$C$21:$C$1613, "aaaa"),"")</f>
        <v>2026</v>
      </c>
      <c r="I1495" t="str">
        <f>IF(OR(H1495=$B$5,H1495=$B$6,H1495=$B$7,H1495=$B$8,H1495=$B$9,H1495=$B$10,H1495=$B$11,H1495=$B$12,H1495=$B$13,H1495=$B$14),SottocategorieUscite[[#Headers],[Fuori Casa]],IF(OR(H1495=$C$5,H1495=$C$6,H1495=$C$7,H1495=$C$8,H1495=$C$9,H1495=$C$10,H1495=$C$11,H1495=$C$12,H1495=$C$13,H1495=$C$14),SottocategorieUscite[[#Headers],[Varie Uscite]],IF(OR(H1495=$D$5,H1495=$D$6,H1495=$D$7,H1495=$D$8,H1495=$D$9,H1495=$D$10,H1495=$D$11,H1495=$D$12,H1495=$D$13,H1495=$D$14),SottocategorieUscite[[#Headers],[Personali]],IF(OR(H1495=$E$5,H1495=$E$6,H1495=$E$7,H1495=$E$8,H1495=$E$9,H1495=$E$10,H1495=$E$11,H1495=$E$12,H1495=$E$13,H1495=$E$14),SottocategorieUscite[[#Headers],[Lavoro]],IF(OR(H1495=$F$5,H1495=$F$6,H1495=$F$7,H1495=$F$8,H1495=$F$9,H1495=$F$10,H1495=$F$11,H1495=$F$12,H1495=$F$13,H1495=$F$14),SottocategorieUscite[[#Headers],[Casa]],IF(OR(H1495=$G$5,H1495=$G$6,H1495=$G$7,H1495=$G$8,H1495=$G$9,H1495=$G$10,H1495=$G$11,H1495=$G$12,H1495=$G$13,H1495=$G$14),SottocategorieUscite[[#Headers],[Utenze]],IF(OR(H1495=$H$5,H1495=$H$6,H1495=$H$7,H1495=$H$8,H1495=$H$9,H1495=$H$10,H1495=$H$11,H1495=$H$12,H1495=$H$13,H1495=$H$14),SottocategorieUscite[[#Headers],[Business Uscite]],IF(OR(H1495=$I$5,H1495=$I$6,H1495=$I$7,H1495=$I$8,H1495=$I$9,H1495=$I$10,H1495=$I$11,H1495=$I$12,H1495=$I$13,H1495=$I$14),SottocategorieUscite[[#Headers],[Banca]],IF(OR(H1495=K$5,H1495=K$6,H1495=K$7,H1495=K$8,H1495=K$9,H1495=K$10,H1495=K$11,H1495=K$12,H1495=K$13,H1495=K$14),SottocategorieEntrate[[#Headers],[Business Entrate]],IF(OR(H1495=L$5,H1495=L$6,H1495=L$7,H1495=L$8,H1495=L$9,H1495=L$10,H1495=L$11,H1495=L$12,H1495=L$13,H1495=L$14),SottocategorieEntrate[[#Headers],[Varie Entrate]],IF(OR(H1495=M$5,H1495=M$6,H1495=M$7,H1495=M$8,H1495=M$9,H1495=M$10,H1495=M$11,H1495=M$12,H1495=M$13,H1495=M$14),SottocategorieEntrate[[#Headers],[Real Estate]],IF(OR(H1495=N$5,H1495=N$6,H1495=N$7,H1495=N$8,H1495=N$9,H1495=N$10,H1495=N$11,H1495=N$12,H1495=N$13,H1495=N$14),SottocategorieEntrate[[#Headers],[Other]],""))))))))))))</f>
        <v/>
      </c>
      <c r="J1495" t="str">
        <f>IF(OR(Dati[[#This Row],[Categoria]]="Bollette",Dati[[#This Row],[Categoria]]="Conto &amp; Carte BNL",Dati[[#This Row],[Categoria]]="Prelievo",Dati[[#This Row],[Categoria]]="Affitto",Dati[[#This Row],[Categoria]]="BNL(Interessi Creditori)"),"Carta",IF(Dati[[#This Row],[Categoria]]&lt;&gt;0,"Cash",""))</f>
        <v/>
      </c>
      <c r="K1495" s="59" t="str">
        <f>IF(OR(Data!$I1495=SottocategorieUscite[[#Headers],[Fuori Casa]],Data!$I1495=SottocategorieUscite[[#Headers],[Varie Uscite]],Data!$I1495=SottocategorieUscite[[#Headers],[Personali]],Data!$I1495=SottocategorieUscite[[#Headers],[Lavoro]]),"$ -","")</f>
        <v/>
      </c>
      <c r="L1495" s="59" t="str">
        <f>IF(OR(Data!$I1495=SottocategorieUscite[[#Headers],[Casa]],Data!$I1495=SottocategorieUscite[[#Headers],[Utenze]],Data!$I1495=SottocategorieUscite[[#Headers],[Business Uscite]],Data!$I1495=SottocategorieUscite[[#Headers],[Banca]]),"$ -","")</f>
        <v/>
      </c>
      <c r="M1495" s="59" t="str">
        <f>IF(OR($I1495&lt;&gt;SottocategorieUscite[[#Headers],[Fuori Casa]],$I1495&lt;&gt;SottocategorieUscite[[#Headers],[Varie Uscite]],$I1495&lt;&gt;SottocategorieUscite[[#Headers],[Personali]],$I1495&lt;&gt;SottocategorieUscite[[#Headers],[Lavoro]],$I1495&lt;&gt;SottocategorieUscite[[#Headers],[Casa]],$I1495&lt;&gt;SottocategorieUscite[[#Headers],[Utenze]],$I1495&lt;&gt;SottocategorieUscite[[#Headers],[Business Uscite]],$I1495&lt;&gt;SottocategorieUscite[[#Headers],[Banca]]),"","$ -")</f>
        <v/>
      </c>
      <c r="N1495" s="59" t="str">
        <f>IF(OR(Data!$I1495=SottocategorieEntrate[[#Headers],[Business Entrate]],Data!$I1495=SottocategorieEntrate[[#Headers],[Varie Entrate]]),"$ -","")</f>
        <v/>
      </c>
      <c r="O1495" s="59" t="str">
        <f>IF(OR(Data!$I1495=SottocategorieEntrate[[#Headers],[Real Estate]],SottocategorieEntrate[[#Headers],[Other]]),"$ -","")</f>
        <v/>
      </c>
      <c r="P1495" s="59" t="str">
        <f>IF(OR($I1495&lt;&gt;SottocategorieEntrate[[#Headers],[Business Entrate]],$I1495&lt;&gt;SottocategorieEntrate[[#Headers],[Varie Entrate]],$I1495&lt;&gt;SottocategorieEntrate[[#Headers],[Real Estate]],$I1495&lt;&gt;SottocategorieEntrate[[#Headers],[Other]]),"","$ -")</f>
        <v/>
      </c>
      <c r="Q1495" s="59" t="str">
        <f>IF(Dati[[#This Row],[Categoria]]="Prelievo","€ -","")</f>
        <v/>
      </c>
      <c r="R1495" s="244"/>
      <c r="S1495" s="59" t="str">
        <f>IF(Dati[[#This Row],[Categoria]]="Savings",0,"")</f>
        <v/>
      </c>
      <c r="T1495" s="59"/>
      <c r="U1495" s="59"/>
      <c r="V1495" s="59"/>
      <c r="W1495" s="59"/>
      <c r="X1495" s="59"/>
      <c r="Y1495" s="59"/>
      <c r="Z1495" s="59"/>
      <c r="AA1495" s="59"/>
      <c r="AB1495" s="59"/>
      <c r="AC1495" s="59"/>
      <c r="AD1495" s="59"/>
      <c r="AE1495" s="59"/>
      <c r="AF1495" s="59"/>
      <c r="AG1495" s="59"/>
      <c r="AH1495" s="59"/>
      <c r="AI1495" s="59" t="str">
        <f>IF(SUM(Dati[[#This Row],[Inv. Business]:[Inv. Cryptocurrency]])=0," ",SUM(Dati[[#This Row],[Inv. Business]:[Inv. Cryptocurrency]]))</f>
        <v xml:space="preserve"> </v>
      </c>
      <c r="AJ1495" s="59"/>
      <c r="AK1495" s="59" t="str">
        <f>IF(SUM(Dati[[#This Row],[Inv. Gold]:[Mutuo]])=0," ",SUM(Dati[[#This Row],[Inv. Gold]:[Mutuo]]))</f>
        <v xml:space="preserve"> </v>
      </c>
      <c r="AL1495" s="59"/>
      <c r="AM1495" s="59"/>
    </row>
    <row r="1496" spans="2:39" x14ac:dyDescent="0.35">
      <c r="B1496" s="237">
        <f t="shared" si="109"/>
        <v>1476</v>
      </c>
      <c r="C1496" s="49">
        <f t="shared" si="108"/>
        <v>46054</v>
      </c>
      <c r="D1496" s="29">
        <f>DAY(Dati[[#This Row],[Data]])</f>
        <v>1</v>
      </c>
      <c r="E1496" s="29" t="str">
        <f>IF(DAY(Data!$C$21:$C$1613)&gt;0,TEXT(Data!$C$21:$C$1613, "mmmm"),"")</f>
        <v>febbraio</v>
      </c>
      <c r="F1496" s="29" t="str">
        <f>IF(DAY(Data!$C$21:$C$1613)&gt;0,TEXT(Data!$C$21:$C$1613, "aaaa"),"")</f>
        <v>2026</v>
      </c>
      <c r="I1496" t="str">
        <f>IF(OR(H1496=$B$5,H1496=$B$6,H1496=$B$7,H1496=$B$8,H1496=$B$9,H1496=$B$10,H1496=$B$11,H1496=$B$12,H1496=$B$13,H1496=$B$14),SottocategorieUscite[[#Headers],[Fuori Casa]],IF(OR(H1496=$C$5,H1496=$C$6,H1496=$C$7,H1496=$C$8,H1496=$C$9,H1496=$C$10,H1496=$C$11,H1496=$C$12,H1496=$C$13,H1496=$C$14),SottocategorieUscite[[#Headers],[Varie Uscite]],IF(OR(H1496=$D$5,H1496=$D$6,H1496=$D$7,H1496=$D$8,H1496=$D$9,H1496=$D$10,H1496=$D$11,H1496=$D$12,H1496=$D$13,H1496=$D$14),SottocategorieUscite[[#Headers],[Personali]],IF(OR(H1496=$E$5,H1496=$E$6,H1496=$E$7,H1496=$E$8,H1496=$E$9,H1496=$E$10,H1496=$E$11,H1496=$E$12,H1496=$E$13,H1496=$E$14),SottocategorieUscite[[#Headers],[Lavoro]],IF(OR(H1496=$F$5,H1496=$F$6,H1496=$F$7,H1496=$F$8,H1496=$F$9,H1496=$F$10,H1496=$F$11,H1496=$F$12,H1496=$F$13,H1496=$F$14),SottocategorieUscite[[#Headers],[Casa]],IF(OR(H1496=$G$5,H1496=$G$6,H1496=$G$7,H1496=$G$8,H1496=$G$9,H1496=$G$10,H1496=$G$11,H1496=$G$12,H1496=$G$13,H1496=$G$14),SottocategorieUscite[[#Headers],[Utenze]],IF(OR(H1496=$H$5,H1496=$H$6,H1496=$H$7,H1496=$H$8,H1496=$H$9,H1496=$H$10,H1496=$H$11,H1496=$H$12,H1496=$H$13,H1496=$H$14),SottocategorieUscite[[#Headers],[Business Uscite]],IF(OR(H1496=$I$5,H1496=$I$6,H1496=$I$7,H1496=$I$8,H1496=$I$9,H1496=$I$10,H1496=$I$11,H1496=$I$12,H1496=$I$13,H1496=$I$14),SottocategorieUscite[[#Headers],[Banca]],IF(OR(H1496=K$5,H1496=K$6,H1496=K$7,H1496=K$8,H1496=K$9,H1496=K$10,H1496=K$11,H1496=K$12,H1496=K$13,H1496=K$14),SottocategorieEntrate[[#Headers],[Business Entrate]],IF(OR(H1496=L$5,H1496=L$6,H1496=L$7,H1496=L$8,H1496=L$9,H1496=L$10,H1496=L$11,H1496=L$12,H1496=L$13,H1496=L$14),SottocategorieEntrate[[#Headers],[Varie Entrate]],IF(OR(H1496=M$5,H1496=M$6,H1496=M$7,H1496=M$8,H1496=M$9,H1496=M$10,H1496=M$11,H1496=M$12,H1496=M$13,H1496=M$14),SottocategorieEntrate[[#Headers],[Real Estate]],IF(OR(H1496=N$5,H1496=N$6,H1496=N$7,H1496=N$8,H1496=N$9,H1496=N$10,H1496=N$11,H1496=N$12,H1496=N$13,H1496=N$14),SottocategorieEntrate[[#Headers],[Other]],""))))))))))))</f>
        <v/>
      </c>
      <c r="J1496" t="str">
        <f>IF(OR(Dati[[#This Row],[Categoria]]="Bollette",Dati[[#This Row],[Categoria]]="Conto &amp; Carte BNL",Dati[[#This Row],[Categoria]]="Prelievo",Dati[[#This Row],[Categoria]]="Affitto",Dati[[#This Row],[Categoria]]="BNL(Interessi Creditori)"),"Carta",IF(Dati[[#This Row],[Categoria]]&lt;&gt;0,"Cash",""))</f>
        <v/>
      </c>
      <c r="K1496" s="59" t="str">
        <f>IF(OR(Data!$I1496=SottocategorieUscite[[#Headers],[Fuori Casa]],Data!$I1496=SottocategorieUscite[[#Headers],[Varie Uscite]],Data!$I1496=SottocategorieUscite[[#Headers],[Personali]],Data!$I1496=SottocategorieUscite[[#Headers],[Lavoro]]),"$ -","")</f>
        <v/>
      </c>
      <c r="L1496" s="59" t="str">
        <f>IF(OR(Data!$I1496=SottocategorieUscite[[#Headers],[Casa]],Data!$I1496=SottocategorieUscite[[#Headers],[Utenze]],Data!$I1496=SottocategorieUscite[[#Headers],[Business Uscite]],Data!$I1496=SottocategorieUscite[[#Headers],[Banca]]),"$ -","")</f>
        <v/>
      </c>
      <c r="M1496" s="59" t="str">
        <f>IF(OR($I1496&lt;&gt;SottocategorieUscite[[#Headers],[Fuori Casa]],$I1496&lt;&gt;SottocategorieUscite[[#Headers],[Varie Uscite]],$I1496&lt;&gt;SottocategorieUscite[[#Headers],[Personali]],$I1496&lt;&gt;SottocategorieUscite[[#Headers],[Lavoro]],$I1496&lt;&gt;SottocategorieUscite[[#Headers],[Casa]],$I1496&lt;&gt;SottocategorieUscite[[#Headers],[Utenze]],$I1496&lt;&gt;SottocategorieUscite[[#Headers],[Business Uscite]],$I1496&lt;&gt;SottocategorieUscite[[#Headers],[Banca]]),"","$ -")</f>
        <v/>
      </c>
      <c r="N1496" s="59" t="str">
        <f>IF(OR(Data!$I1496=SottocategorieEntrate[[#Headers],[Business Entrate]],Data!$I1496=SottocategorieEntrate[[#Headers],[Varie Entrate]]),"$ -","")</f>
        <v/>
      </c>
      <c r="O1496" s="59" t="str">
        <f>IF(OR(Data!$I1496=SottocategorieEntrate[[#Headers],[Real Estate]],SottocategorieEntrate[[#Headers],[Other]]),"$ -","")</f>
        <v/>
      </c>
      <c r="P1496" s="59" t="str">
        <f>IF(OR($I1496&lt;&gt;SottocategorieEntrate[[#Headers],[Business Entrate]],$I1496&lt;&gt;SottocategorieEntrate[[#Headers],[Varie Entrate]],$I1496&lt;&gt;SottocategorieEntrate[[#Headers],[Real Estate]],$I1496&lt;&gt;SottocategorieEntrate[[#Headers],[Other]]),"","$ -")</f>
        <v/>
      </c>
      <c r="Q1496" s="59" t="str">
        <f>IF(Dati[[#This Row],[Categoria]]="Prelievo","€ -","")</f>
        <v/>
      </c>
      <c r="R1496" s="244"/>
      <c r="S1496" s="59" t="str">
        <f>IF(Dati[[#This Row],[Categoria]]="Savings",0,"")</f>
        <v/>
      </c>
      <c r="T1496" s="59"/>
      <c r="U1496" s="59"/>
      <c r="V1496" s="59"/>
      <c r="W1496" s="59"/>
      <c r="X1496" s="59"/>
      <c r="Y1496" s="59"/>
      <c r="Z1496" s="59"/>
      <c r="AA1496" s="59"/>
      <c r="AB1496" s="59"/>
      <c r="AC1496" s="59"/>
      <c r="AD1496" s="59"/>
      <c r="AE1496" s="59"/>
      <c r="AF1496" s="59"/>
      <c r="AG1496" s="59"/>
      <c r="AH1496" s="59"/>
      <c r="AI1496" s="59" t="str">
        <f>IF(SUM(Dati[[#This Row],[Inv. Business]:[Inv. Cryptocurrency]])=0," ",SUM(Dati[[#This Row],[Inv. Business]:[Inv. Cryptocurrency]]))</f>
        <v xml:space="preserve"> </v>
      </c>
      <c r="AJ1496" s="59"/>
      <c r="AK1496" s="59" t="str">
        <f>IF(SUM(Dati[[#This Row],[Inv. Gold]:[Mutuo]])=0," ",SUM(Dati[[#This Row],[Inv. Gold]:[Mutuo]]))</f>
        <v xml:space="preserve"> </v>
      </c>
      <c r="AL1496" s="59"/>
      <c r="AM1496" s="59"/>
    </row>
    <row r="1497" spans="2:39" x14ac:dyDescent="0.35">
      <c r="B1497" s="237">
        <f t="shared" si="109"/>
        <v>1477</v>
      </c>
      <c r="C1497" s="49">
        <f t="shared" si="108"/>
        <v>46055</v>
      </c>
      <c r="D1497" s="29">
        <f>DAY(Dati[[#This Row],[Data]])</f>
        <v>2</v>
      </c>
      <c r="E1497" s="29" t="str">
        <f>IF(DAY(Data!$C$21:$C$1613)&gt;0,TEXT(Data!$C$21:$C$1613, "mmmm"),"")</f>
        <v>febbraio</v>
      </c>
      <c r="F1497" s="29" t="str">
        <f>IF(DAY(Data!$C$21:$C$1613)&gt;0,TEXT(Data!$C$21:$C$1613, "aaaa"),"")</f>
        <v>2026</v>
      </c>
      <c r="I1497" t="str">
        <f>IF(OR(H1497=$B$5,H1497=$B$6,H1497=$B$7,H1497=$B$8,H1497=$B$9,H1497=$B$10,H1497=$B$11,H1497=$B$12,H1497=$B$13,H1497=$B$14),SottocategorieUscite[[#Headers],[Fuori Casa]],IF(OR(H1497=$C$5,H1497=$C$6,H1497=$C$7,H1497=$C$8,H1497=$C$9,H1497=$C$10,H1497=$C$11,H1497=$C$12,H1497=$C$13,H1497=$C$14),SottocategorieUscite[[#Headers],[Varie Uscite]],IF(OR(H1497=$D$5,H1497=$D$6,H1497=$D$7,H1497=$D$8,H1497=$D$9,H1497=$D$10,H1497=$D$11,H1497=$D$12,H1497=$D$13,H1497=$D$14),SottocategorieUscite[[#Headers],[Personali]],IF(OR(H1497=$E$5,H1497=$E$6,H1497=$E$7,H1497=$E$8,H1497=$E$9,H1497=$E$10,H1497=$E$11,H1497=$E$12,H1497=$E$13,H1497=$E$14),SottocategorieUscite[[#Headers],[Lavoro]],IF(OR(H1497=$F$5,H1497=$F$6,H1497=$F$7,H1497=$F$8,H1497=$F$9,H1497=$F$10,H1497=$F$11,H1497=$F$12,H1497=$F$13,H1497=$F$14),SottocategorieUscite[[#Headers],[Casa]],IF(OR(H1497=$G$5,H1497=$G$6,H1497=$G$7,H1497=$G$8,H1497=$G$9,H1497=$G$10,H1497=$G$11,H1497=$G$12,H1497=$G$13,H1497=$G$14),SottocategorieUscite[[#Headers],[Utenze]],IF(OR(H1497=$H$5,H1497=$H$6,H1497=$H$7,H1497=$H$8,H1497=$H$9,H1497=$H$10,H1497=$H$11,H1497=$H$12,H1497=$H$13,H1497=$H$14),SottocategorieUscite[[#Headers],[Business Uscite]],IF(OR(H1497=$I$5,H1497=$I$6,H1497=$I$7,H1497=$I$8,H1497=$I$9,H1497=$I$10,H1497=$I$11,H1497=$I$12,H1497=$I$13,H1497=$I$14),SottocategorieUscite[[#Headers],[Banca]],IF(OR(H1497=K$5,H1497=K$6,H1497=K$7,H1497=K$8,H1497=K$9,H1497=K$10,H1497=K$11,H1497=K$12,H1497=K$13,H1497=K$14),SottocategorieEntrate[[#Headers],[Business Entrate]],IF(OR(H1497=L$5,H1497=L$6,H1497=L$7,H1497=L$8,H1497=L$9,H1497=L$10,H1497=L$11,H1497=L$12,H1497=L$13,H1497=L$14),SottocategorieEntrate[[#Headers],[Varie Entrate]],IF(OR(H1497=M$5,H1497=M$6,H1497=M$7,H1497=M$8,H1497=M$9,H1497=M$10,H1497=M$11,H1497=M$12,H1497=M$13,H1497=M$14),SottocategorieEntrate[[#Headers],[Real Estate]],IF(OR(H1497=N$5,H1497=N$6,H1497=N$7,H1497=N$8,H1497=N$9,H1497=N$10,H1497=N$11,H1497=N$12,H1497=N$13,H1497=N$14),SottocategorieEntrate[[#Headers],[Other]],""))))))))))))</f>
        <v/>
      </c>
      <c r="J1497" t="str">
        <f>IF(OR(Dati[[#This Row],[Categoria]]="Bollette",Dati[[#This Row],[Categoria]]="Conto &amp; Carte BNL",Dati[[#This Row],[Categoria]]="Prelievo",Dati[[#This Row],[Categoria]]="Affitto",Dati[[#This Row],[Categoria]]="BNL(Interessi Creditori)"),"Carta",IF(Dati[[#This Row],[Categoria]]&lt;&gt;0,"Cash",""))</f>
        <v/>
      </c>
      <c r="K1497" s="59" t="str">
        <f>IF(OR(Data!$I1497=SottocategorieUscite[[#Headers],[Fuori Casa]],Data!$I1497=SottocategorieUscite[[#Headers],[Varie Uscite]],Data!$I1497=SottocategorieUscite[[#Headers],[Personali]],Data!$I1497=SottocategorieUscite[[#Headers],[Lavoro]]),"$ -","")</f>
        <v/>
      </c>
      <c r="L1497" s="59" t="str">
        <f>IF(OR(Data!$I1497=SottocategorieUscite[[#Headers],[Casa]],Data!$I1497=SottocategorieUscite[[#Headers],[Utenze]],Data!$I1497=SottocategorieUscite[[#Headers],[Business Uscite]],Data!$I1497=SottocategorieUscite[[#Headers],[Banca]]),"$ -","")</f>
        <v/>
      </c>
      <c r="M1497" s="59" t="str">
        <f>IF(OR($I1497&lt;&gt;SottocategorieUscite[[#Headers],[Fuori Casa]],$I1497&lt;&gt;SottocategorieUscite[[#Headers],[Varie Uscite]],$I1497&lt;&gt;SottocategorieUscite[[#Headers],[Personali]],$I1497&lt;&gt;SottocategorieUscite[[#Headers],[Lavoro]],$I1497&lt;&gt;SottocategorieUscite[[#Headers],[Casa]],$I1497&lt;&gt;SottocategorieUscite[[#Headers],[Utenze]],$I1497&lt;&gt;SottocategorieUscite[[#Headers],[Business Uscite]],$I1497&lt;&gt;SottocategorieUscite[[#Headers],[Banca]]),"","$ -")</f>
        <v/>
      </c>
      <c r="N1497" s="59" t="str">
        <f>IF(OR(Data!$I1497=SottocategorieEntrate[[#Headers],[Business Entrate]],Data!$I1497=SottocategorieEntrate[[#Headers],[Varie Entrate]]),"$ -","")</f>
        <v/>
      </c>
      <c r="O1497" s="59" t="str">
        <f>IF(OR(Data!$I1497=SottocategorieEntrate[[#Headers],[Real Estate]],SottocategorieEntrate[[#Headers],[Other]]),"$ -","")</f>
        <v/>
      </c>
      <c r="P1497" s="59" t="str">
        <f>IF(OR($I1497&lt;&gt;SottocategorieEntrate[[#Headers],[Business Entrate]],$I1497&lt;&gt;SottocategorieEntrate[[#Headers],[Varie Entrate]],$I1497&lt;&gt;SottocategorieEntrate[[#Headers],[Real Estate]],$I1497&lt;&gt;SottocategorieEntrate[[#Headers],[Other]]),"","$ -")</f>
        <v/>
      </c>
      <c r="Q1497" s="59" t="str">
        <f>IF(Dati[[#This Row],[Categoria]]="Prelievo","€ -","")</f>
        <v/>
      </c>
      <c r="R1497" s="244"/>
      <c r="S1497" s="59" t="str">
        <f>IF(Dati[[#This Row],[Categoria]]="Savings",0,"")</f>
        <v/>
      </c>
      <c r="T1497" s="59"/>
      <c r="U1497" s="59"/>
      <c r="V1497" s="59"/>
      <c r="W1497" s="59"/>
      <c r="X1497" s="59"/>
      <c r="Y1497" s="59"/>
      <c r="Z1497" s="59"/>
      <c r="AA1497" s="59"/>
      <c r="AB1497" s="59"/>
      <c r="AC1497" s="59"/>
      <c r="AD1497" s="59"/>
      <c r="AE1497" s="59"/>
      <c r="AF1497" s="59"/>
      <c r="AG1497" s="59"/>
      <c r="AH1497" s="59"/>
      <c r="AI1497" s="59" t="str">
        <f>IF(SUM(Dati[[#This Row],[Inv. Business]:[Inv. Cryptocurrency]])=0," ",SUM(Dati[[#This Row],[Inv. Business]:[Inv. Cryptocurrency]]))</f>
        <v xml:space="preserve"> </v>
      </c>
      <c r="AJ1497" s="59"/>
      <c r="AK1497" s="59" t="str">
        <f>IF(SUM(Dati[[#This Row],[Inv. Gold]:[Mutuo]])=0," ",SUM(Dati[[#This Row],[Inv. Gold]:[Mutuo]]))</f>
        <v xml:space="preserve"> </v>
      </c>
      <c r="AL1497" s="59"/>
      <c r="AM1497" s="59"/>
    </row>
    <row r="1498" spans="2:39" x14ac:dyDescent="0.35">
      <c r="B1498" s="237">
        <f t="shared" si="109"/>
        <v>1478</v>
      </c>
      <c r="C1498" s="49">
        <f t="shared" si="108"/>
        <v>46056</v>
      </c>
      <c r="D1498" s="29">
        <f>DAY(Dati[[#This Row],[Data]])</f>
        <v>3</v>
      </c>
      <c r="E1498" s="29" t="str">
        <f>IF(DAY(Data!$C$21:$C$1613)&gt;0,TEXT(Data!$C$21:$C$1613, "mmmm"),"")</f>
        <v>febbraio</v>
      </c>
      <c r="F1498" s="29" t="str">
        <f>IF(DAY(Data!$C$21:$C$1613)&gt;0,TEXT(Data!$C$21:$C$1613, "aaaa"),"")</f>
        <v>2026</v>
      </c>
      <c r="I1498" t="str">
        <f>IF(OR(H1498=$B$5,H1498=$B$6,H1498=$B$7,H1498=$B$8,H1498=$B$9,H1498=$B$10,H1498=$B$11,H1498=$B$12,H1498=$B$13,H1498=$B$14),SottocategorieUscite[[#Headers],[Fuori Casa]],IF(OR(H1498=$C$5,H1498=$C$6,H1498=$C$7,H1498=$C$8,H1498=$C$9,H1498=$C$10,H1498=$C$11,H1498=$C$12,H1498=$C$13,H1498=$C$14),SottocategorieUscite[[#Headers],[Varie Uscite]],IF(OR(H1498=$D$5,H1498=$D$6,H1498=$D$7,H1498=$D$8,H1498=$D$9,H1498=$D$10,H1498=$D$11,H1498=$D$12,H1498=$D$13,H1498=$D$14),SottocategorieUscite[[#Headers],[Personali]],IF(OR(H1498=$E$5,H1498=$E$6,H1498=$E$7,H1498=$E$8,H1498=$E$9,H1498=$E$10,H1498=$E$11,H1498=$E$12,H1498=$E$13,H1498=$E$14),SottocategorieUscite[[#Headers],[Lavoro]],IF(OR(H1498=$F$5,H1498=$F$6,H1498=$F$7,H1498=$F$8,H1498=$F$9,H1498=$F$10,H1498=$F$11,H1498=$F$12,H1498=$F$13,H1498=$F$14),SottocategorieUscite[[#Headers],[Casa]],IF(OR(H1498=$G$5,H1498=$G$6,H1498=$G$7,H1498=$G$8,H1498=$G$9,H1498=$G$10,H1498=$G$11,H1498=$G$12,H1498=$G$13,H1498=$G$14),SottocategorieUscite[[#Headers],[Utenze]],IF(OR(H1498=$H$5,H1498=$H$6,H1498=$H$7,H1498=$H$8,H1498=$H$9,H1498=$H$10,H1498=$H$11,H1498=$H$12,H1498=$H$13,H1498=$H$14),SottocategorieUscite[[#Headers],[Business Uscite]],IF(OR(H1498=$I$5,H1498=$I$6,H1498=$I$7,H1498=$I$8,H1498=$I$9,H1498=$I$10,H1498=$I$11,H1498=$I$12,H1498=$I$13,H1498=$I$14),SottocategorieUscite[[#Headers],[Banca]],IF(OR(H1498=K$5,H1498=K$6,H1498=K$7,H1498=K$8,H1498=K$9,H1498=K$10,H1498=K$11,H1498=K$12,H1498=K$13,H1498=K$14),SottocategorieEntrate[[#Headers],[Business Entrate]],IF(OR(H1498=L$5,H1498=L$6,H1498=L$7,H1498=L$8,H1498=L$9,H1498=L$10,H1498=L$11,H1498=L$12,H1498=L$13,H1498=L$14),SottocategorieEntrate[[#Headers],[Varie Entrate]],IF(OR(H1498=M$5,H1498=M$6,H1498=M$7,H1498=M$8,H1498=M$9,H1498=M$10,H1498=M$11,H1498=M$12,H1498=M$13,H1498=M$14),SottocategorieEntrate[[#Headers],[Real Estate]],IF(OR(H1498=N$5,H1498=N$6,H1498=N$7,H1498=N$8,H1498=N$9,H1498=N$10,H1498=N$11,H1498=N$12,H1498=N$13,H1498=N$14),SottocategorieEntrate[[#Headers],[Other]],""))))))))))))</f>
        <v/>
      </c>
      <c r="J1498" t="str">
        <f>IF(OR(Dati[[#This Row],[Categoria]]="Bollette",Dati[[#This Row],[Categoria]]="Conto &amp; Carte BNL",Dati[[#This Row],[Categoria]]="Prelievo",Dati[[#This Row],[Categoria]]="Affitto",Dati[[#This Row],[Categoria]]="BNL(Interessi Creditori)"),"Carta",IF(Dati[[#This Row],[Categoria]]&lt;&gt;0,"Cash",""))</f>
        <v/>
      </c>
      <c r="K1498" s="59" t="str">
        <f>IF(OR(Data!$I1498=SottocategorieUscite[[#Headers],[Fuori Casa]],Data!$I1498=SottocategorieUscite[[#Headers],[Varie Uscite]],Data!$I1498=SottocategorieUscite[[#Headers],[Personali]],Data!$I1498=SottocategorieUscite[[#Headers],[Lavoro]]),"$ -","")</f>
        <v/>
      </c>
      <c r="L1498" s="59" t="str">
        <f>IF(OR(Data!$I1498=SottocategorieUscite[[#Headers],[Casa]],Data!$I1498=SottocategorieUscite[[#Headers],[Utenze]],Data!$I1498=SottocategorieUscite[[#Headers],[Business Uscite]],Data!$I1498=SottocategorieUscite[[#Headers],[Banca]]),"$ -","")</f>
        <v/>
      </c>
      <c r="M1498" s="59" t="str">
        <f>IF(OR($I1498&lt;&gt;SottocategorieUscite[[#Headers],[Fuori Casa]],$I1498&lt;&gt;SottocategorieUscite[[#Headers],[Varie Uscite]],$I1498&lt;&gt;SottocategorieUscite[[#Headers],[Personali]],$I1498&lt;&gt;SottocategorieUscite[[#Headers],[Lavoro]],$I1498&lt;&gt;SottocategorieUscite[[#Headers],[Casa]],$I1498&lt;&gt;SottocategorieUscite[[#Headers],[Utenze]],$I1498&lt;&gt;SottocategorieUscite[[#Headers],[Business Uscite]],$I1498&lt;&gt;SottocategorieUscite[[#Headers],[Banca]]),"","$ -")</f>
        <v/>
      </c>
      <c r="N1498" s="59" t="str">
        <f>IF(OR(Data!$I1498=SottocategorieEntrate[[#Headers],[Business Entrate]],Data!$I1498=SottocategorieEntrate[[#Headers],[Varie Entrate]]),"$ -","")</f>
        <v/>
      </c>
      <c r="O1498" s="59" t="str">
        <f>IF(OR(Data!$I1498=SottocategorieEntrate[[#Headers],[Real Estate]],SottocategorieEntrate[[#Headers],[Other]]),"$ -","")</f>
        <v/>
      </c>
      <c r="P1498" s="59" t="str">
        <f>IF(OR($I1498&lt;&gt;SottocategorieEntrate[[#Headers],[Business Entrate]],$I1498&lt;&gt;SottocategorieEntrate[[#Headers],[Varie Entrate]],$I1498&lt;&gt;SottocategorieEntrate[[#Headers],[Real Estate]],$I1498&lt;&gt;SottocategorieEntrate[[#Headers],[Other]]),"","$ -")</f>
        <v/>
      </c>
      <c r="Q1498" s="59" t="str">
        <f>IF(Dati[[#This Row],[Categoria]]="Prelievo","€ -","")</f>
        <v/>
      </c>
      <c r="R1498" s="244"/>
      <c r="S1498" s="59" t="str">
        <f>IF(Dati[[#This Row],[Categoria]]="Savings",0,"")</f>
        <v/>
      </c>
      <c r="T1498" s="59"/>
      <c r="U1498" s="59"/>
      <c r="V1498" s="59"/>
      <c r="W1498" s="59"/>
      <c r="X1498" s="59"/>
      <c r="Y1498" s="59"/>
      <c r="Z1498" s="59"/>
      <c r="AA1498" s="59"/>
      <c r="AB1498" s="59"/>
      <c r="AC1498" s="59"/>
      <c r="AD1498" s="59"/>
      <c r="AE1498" s="59"/>
      <c r="AF1498" s="59"/>
      <c r="AG1498" s="59"/>
      <c r="AH1498" s="59"/>
      <c r="AI1498" s="59" t="str">
        <f>IF(SUM(Dati[[#This Row],[Inv. Business]:[Inv. Cryptocurrency]])=0," ",SUM(Dati[[#This Row],[Inv. Business]:[Inv. Cryptocurrency]]))</f>
        <v xml:space="preserve"> </v>
      </c>
      <c r="AJ1498" s="59"/>
      <c r="AK1498" s="59" t="str">
        <f>IF(SUM(Dati[[#This Row],[Inv. Gold]:[Mutuo]])=0," ",SUM(Dati[[#This Row],[Inv. Gold]:[Mutuo]]))</f>
        <v xml:space="preserve"> </v>
      </c>
      <c r="AL1498" s="59"/>
      <c r="AM1498" s="59"/>
    </row>
    <row r="1499" spans="2:39" x14ac:dyDescent="0.35">
      <c r="B1499" s="237">
        <f t="shared" si="109"/>
        <v>1479</v>
      </c>
      <c r="C1499" s="49">
        <f t="shared" si="108"/>
        <v>46057</v>
      </c>
      <c r="D1499" s="29">
        <f>DAY(Dati[[#This Row],[Data]])</f>
        <v>4</v>
      </c>
      <c r="E1499" s="29" t="str">
        <f>IF(DAY(Data!$C$21:$C$1613)&gt;0,TEXT(Data!$C$21:$C$1613, "mmmm"),"")</f>
        <v>febbraio</v>
      </c>
      <c r="F1499" s="29" t="str">
        <f>IF(DAY(Data!$C$21:$C$1613)&gt;0,TEXT(Data!$C$21:$C$1613, "aaaa"),"")</f>
        <v>2026</v>
      </c>
      <c r="I1499" t="str">
        <f>IF(OR(H1499=$B$5,H1499=$B$6,H1499=$B$7,H1499=$B$8,H1499=$B$9,H1499=$B$10,H1499=$B$11,H1499=$B$12,H1499=$B$13,H1499=$B$14),SottocategorieUscite[[#Headers],[Fuori Casa]],IF(OR(H1499=$C$5,H1499=$C$6,H1499=$C$7,H1499=$C$8,H1499=$C$9,H1499=$C$10,H1499=$C$11,H1499=$C$12,H1499=$C$13,H1499=$C$14),SottocategorieUscite[[#Headers],[Varie Uscite]],IF(OR(H1499=$D$5,H1499=$D$6,H1499=$D$7,H1499=$D$8,H1499=$D$9,H1499=$D$10,H1499=$D$11,H1499=$D$12,H1499=$D$13,H1499=$D$14),SottocategorieUscite[[#Headers],[Personali]],IF(OR(H1499=$E$5,H1499=$E$6,H1499=$E$7,H1499=$E$8,H1499=$E$9,H1499=$E$10,H1499=$E$11,H1499=$E$12,H1499=$E$13,H1499=$E$14),SottocategorieUscite[[#Headers],[Lavoro]],IF(OR(H1499=$F$5,H1499=$F$6,H1499=$F$7,H1499=$F$8,H1499=$F$9,H1499=$F$10,H1499=$F$11,H1499=$F$12,H1499=$F$13,H1499=$F$14),SottocategorieUscite[[#Headers],[Casa]],IF(OR(H1499=$G$5,H1499=$G$6,H1499=$G$7,H1499=$G$8,H1499=$G$9,H1499=$G$10,H1499=$G$11,H1499=$G$12,H1499=$G$13,H1499=$G$14),SottocategorieUscite[[#Headers],[Utenze]],IF(OR(H1499=$H$5,H1499=$H$6,H1499=$H$7,H1499=$H$8,H1499=$H$9,H1499=$H$10,H1499=$H$11,H1499=$H$12,H1499=$H$13,H1499=$H$14),SottocategorieUscite[[#Headers],[Business Uscite]],IF(OR(H1499=$I$5,H1499=$I$6,H1499=$I$7,H1499=$I$8,H1499=$I$9,H1499=$I$10,H1499=$I$11,H1499=$I$12,H1499=$I$13,H1499=$I$14),SottocategorieUscite[[#Headers],[Banca]],IF(OR(H1499=K$5,H1499=K$6,H1499=K$7,H1499=K$8,H1499=K$9,H1499=K$10,H1499=K$11,H1499=K$12,H1499=K$13,H1499=K$14),SottocategorieEntrate[[#Headers],[Business Entrate]],IF(OR(H1499=L$5,H1499=L$6,H1499=L$7,H1499=L$8,H1499=L$9,H1499=L$10,H1499=L$11,H1499=L$12,H1499=L$13,H1499=L$14),SottocategorieEntrate[[#Headers],[Varie Entrate]],IF(OR(H1499=M$5,H1499=M$6,H1499=M$7,H1499=M$8,H1499=M$9,H1499=M$10,H1499=M$11,H1499=M$12,H1499=M$13,H1499=M$14),SottocategorieEntrate[[#Headers],[Real Estate]],IF(OR(H1499=N$5,H1499=N$6,H1499=N$7,H1499=N$8,H1499=N$9,H1499=N$10,H1499=N$11,H1499=N$12,H1499=N$13,H1499=N$14),SottocategorieEntrate[[#Headers],[Other]],""))))))))))))</f>
        <v/>
      </c>
      <c r="J1499" t="str">
        <f>IF(OR(Dati[[#This Row],[Categoria]]="Bollette",Dati[[#This Row],[Categoria]]="Conto &amp; Carte BNL",Dati[[#This Row],[Categoria]]="Prelievo",Dati[[#This Row],[Categoria]]="Affitto",Dati[[#This Row],[Categoria]]="BNL(Interessi Creditori)"),"Carta",IF(Dati[[#This Row],[Categoria]]&lt;&gt;0,"Cash",""))</f>
        <v/>
      </c>
      <c r="K1499" s="59" t="str">
        <f>IF(OR(Data!$I1499=SottocategorieUscite[[#Headers],[Fuori Casa]],Data!$I1499=SottocategorieUscite[[#Headers],[Varie Uscite]],Data!$I1499=SottocategorieUscite[[#Headers],[Personali]],Data!$I1499=SottocategorieUscite[[#Headers],[Lavoro]]),"$ -","")</f>
        <v/>
      </c>
      <c r="L1499" s="59" t="str">
        <f>IF(OR(Data!$I1499=SottocategorieUscite[[#Headers],[Casa]],Data!$I1499=SottocategorieUscite[[#Headers],[Utenze]],Data!$I1499=SottocategorieUscite[[#Headers],[Business Uscite]],Data!$I1499=SottocategorieUscite[[#Headers],[Banca]]),"$ -","")</f>
        <v/>
      </c>
      <c r="M1499" s="59" t="str">
        <f>IF(OR($I1499&lt;&gt;SottocategorieUscite[[#Headers],[Fuori Casa]],$I1499&lt;&gt;SottocategorieUscite[[#Headers],[Varie Uscite]],$I1499&lt;&gt;SottocategorieUscite[[#Headers],[Personali]],$I1499&lt;&gt;SottocategorieUscite[[#Headers],[Lavoro]],$I1499&lt;&gt;SottocategorieUscite[[#Headers],[Casa]],$I1499&lt;&gt;SottocategorieUscite[[#Headers],[Utenze]],$I1499&lt;&gt;SottocategorieUscite[[#Headers],[Business Uscite]],$I1499&lt;&gt;SottocategorieUscite[[#Headers],[Banca]]),"","$ -")</f>
        <v/>
      </c>
      <c r="N1499" s="59" t="str">
        <f>IF(OR(Data!$I1499=SottocategorieEntrate[[#Headers],[Business Entrate]],Data!$I1499=SottocategorieEntrate[[#Headers],[Varie Entrate]]),"$ -","")</f>
        <v/>
      </c>
      <c r="O1499" s="59" t="str">
        <f>IF(OR(Data!$I1499=SottocategorieEntrate[[#Headers],[Real Estate]],SottocategorieEntrate[[#Headers],[Other]]),"$ -","")</f>
        <v/>
      </c>
      <c r="P1499" s="59" t="str">
        <f>IF(OR($I1499&lt;&gt;SottocategorieEntrate[[#Headers],[Business Entrate]],$I1499&lt;&gt;SottocategorieEntrate[[#Headers],[Varie Entrate]],$I1499&lt;&gt;SottocategorieEntrate[[#Headers],[Real Estate]],$I1499&lt;&gt;SottocategorieEntrate[[#Headers],[Other]]),"","$ -")</f>
        <v/>
      </c>
      <c r="Q1499" s="59" t="str">
        <f>IF(Dati[[#This Row],[Categoria]]="Prelievo","€ -","")</f>
        <v/>
      </c>
      <c r="R1499" s="244"/>
      <c r="S1499" s="59" t="str">
        <f>IF(Dati[[#This Row],[Categoria]]="Savings",0,"")</f>
        <v/>
      </c>
      <c r="T1499" s="59"/>
      <c r="U1499" s="59"/>
      <c r="V1499" s="59"/>
      <c r="W1499" s="59"/>
      <c r="X1499" s="59"/>
      <c r="Y1499" s="59"/>
      <c r="Z1499" s="59"/>
      <c r="AA1499" s="59"/>
      <c r="AB1499" s="59"/>
      <c r="AC1499" s="59"/>
      <c r="AD1499" s="59"/>
      <c r="AE1499" s="59"/>
      <c r="AF1499" s="59"/>
      <c r="AG1499" s="59"/>
      <c r="AH1499" s="59"/>
      <c r="AI1499" s="59" t="str">
        <f>IF(SUM(Dati[[#This Row],[Inv. Business]:[Inv. Cryptocurrency]])=0," ",SUM(Dati[[#This Row],[Inv. Business]:[Inv. Cryptocurrency]]))</f>
        <v xml:space="preserve"> </v>
      </c>
      <c r="AJ1499" s="59"/>
      <c r="AK1499" s="59" t="str">
        <f>IF(SUM(Dati[[#This Row],[Inv. Gold]:[Mutuo]])=0," ",SUM(Dati[[#This Row],[Inv. Gold]:[Mutuo]]))</f>
        <v xml:space="preserve"> </v>
      </c>
      <c r="AL1499" s="59"/>
      <c r="AM1499" s="59"/>
    </row>
    <row r="1500" spans="2:39" x14ac:dyDescent="0.35">
      <c r="B1500" s="237">
        <f t="shared" si="109"/>
        <v>1480</v>
      </c>
      <c r="C1500" s="49">
        <f t="shared" si="108"/>
        <v>46058</v>
      </c>
      <c r="D1500" s="29">
        <f>DAY(Dati[[#This Row],[Data]])</f>
        <v>5</v>
      </c>
      <c r="E1500" s="29" t="str">
        <f>IF(DAY(Data!$C$21:$C$1613)&gt;0,TEXT(Data!$C$21:$C$1613, "mmmm"),"")</f>
        <v>febbraio</v>
      </c>
      <c r="F1500" s="29" t="str">
        <f>IF(DAY(Data!$C$21:$C$1613)&gt;0,TEXT(Data!$C$21:$C$1613, "aaaa"),"")</f>
        <v>2026</v>
      </c>
      <c r="I1500" t="str">
        <f>IF(OR(H1500=$B$5,H1500=$B$6,H1500=$B$7,H1500=$B$8,H1500=$B$9,H1500=$B$10,H1500=$B$11,H1500=$B$12,H1500=$B$13,H1500=$B$14),SottocategorieUscite[[#Headers],[Fuori Casa]],IF(OR(H1500=$C$5,H1500=$C$6,H1500=$C$7,H1500=$C$8,H1500=$C$9,H1500=$C$10,H1500=$C$11,H1500=$C$12,H1500=$C$13,H1500=$C$14),SottocategorieUscite[[#Headers],[Varie Uscite]],IF(OR(H1500=$D$5,H1500=$D$6,H1500=$D$7,H1500=$D$8,H1500=$D$9,H1500=$D$10,H1500=$D$11,H1500=$D$12,H1500=$D$13,H1500=$D$14),SottocategorieUscite[[#Headers],[Personali]],IF(OR(H1500=$E$5,H1500=$E$6,H1500=$E$7,H1500=$E$8,H1500=$E$9,H1500=$E$10,H1500=$E$11,H1500=$E$12,H1500=$E$13,H1500=$E$14),SottocategorieUscite[[#Headers],[Lavoro]],IF(OR(H1500=$F$5,H1500=$F$6,H1500=$F$7,H1500=$F$8,H1500=$F$9,H1500=$F$10,H1500=$F$11,H1500=$F$12,H1500=$F$13,H1500=$F$14),SottocategorieUscite[[#Headers],[Casa]],IF(OR(H1500=$G$5,H1500=$G$6,H1500=$G$7,H1500=$G$8,H1500=$G$9,H1500=$G$10,H1500=$G$11,H1500=$G$12,H1500=$G$13,H1500=$G$14),SottocategorieUscite[[#Headers],[Utenze]],IF(OR(H1500=$H$5,H1500=$H$6,H1500=$H$7,H1500=$H$8,H1500=$H$9,H1500=$H$10,H1500=$H$11,H1500=$H$12,H1500=$H$13,H1500=$H$14),SottocategorieUscite[[#Headers],[Business Uscite]],IF(OR(H1500=$I$5,H1500=$I$6,H1500=$I$7,H1500=$I$8,H1500=$I$9,H1500=$I$10,H1500=$I$11,H1500=$I$12,H1500=$I$13,H1500=$I$14),SottocategorieUscite[[#Headers],[Banca]],IF(OR(H1500=K$5,H1500=K$6,H1500=K$7,H1500=K$8,H1500=K$9,H1500=K$10,H1500=K$11,H1500=K$12,H1500=K$13,H1500=K$14),SottocategorieEntrate[[#Headers],[Business Entrate]],IF(OR(H1500=L$5,H1500=L$6,H1500=L$7,H1500=L$8,H1500=L$9,H1500=L$10,H1500=L$11,H1500=L$12,H1500=L$13,H1500=L$14),SottocategorieEntrate[[#Headers],[Varie Entrate]],IF(OR(H1500=M$5,H1500=M$6,H1500=M$7,H1500=M$8,H1500=M$9,H1500=M$10,H1500=M$11,H1500=M$12,H1500=M$13,H1500=M$14),SottocategorieEntrate[[#Headers],[Real Estate]],IF(OR(H1500=N$5,H1500=N$6,H1500=N$7,H1500=N$8,H1500=N$9,H1500=N$10,H1500=N$11,H1500=N$12,H1500=N$13,H1500=N$14),SottocategorieEntrate[[#Headers],[Other]],""))))))))))))</f>
        <v/>
      </c>
      <c r="J1500" t="str">
        <f>IF(OR(Dati[[#This Row],[Categoria]]="Bollette",Dati[[#This Row],[Categoria]]="Conto &amp; Carte BNL",Dati[[#This Row],[Categoria]]="Prelievo",Dati[[#This Row],[Categoria]]="Affitto",Dati[[#This Row],[Categoria]]="BNL(Interessi Creditori)"),"Carta",IF(Dati[[#This Row],[Categoria]]&lt;&gt;0,"Cash",""))</f>
        <v/>
      </c>
      <c r="K1500" s="59" t="str">
        <f>IF(OR(Data!$I1500=SottocategorieUscite[[#Headers],[Fuori Casa]],Data!$I1500=SottocategorieUscite[[#Headers],[Varie Uscite]],Data!$I1500=SottocategorieUscite[[#Headers],[Personali]],Data!$I1500=SottocategorieUscite[[#Headers],[Lavoro]]),"$ -","")</f>
        <v/>
      </c>
      <c r="L1500" s="59" t="str">
        <f>IF(OR(Data!$I1500=SottocategorieUscite[[#Headers],[Casa]],Data!$I1500=SottocategorieUscite[[#Headers],[Utenze]],Data!$I1500=SottocategorieUscite[[#Headers],[Business Uscite]],Data!$I1500=SottocategorieUscite[[#Headers],[Banca]]),"$ -","")</f>
        <v/>
      </c>
      <c r="M1500" s="59" t="str">
        <f>IF(OR($I1500&lt;&gt;SottocategorieUscite[[#Headers],[Fuori Casa]],$I1500&lt;&gt;SottocategorieUscite[[#Headers],[Varie Uscite]],$I1500&lt;&gt;SottocategorieUscite[[#Headers],[Personali]],$I1500&lt;&gt;SottocategorieUscite[[#Headers],[Lavoro]],$I1500&lt;&gt;SottocategorieUscite[[#Headers],[Casa]],$I1500&lt;&gt;SottocategorieUscite[[#Headers],[Utenze]],$I1500&lt;&gt;SottocategorieUscite[[#Headers],[Business Uscite]],$I1500&lt;&gt;SottocategorieUscite[[#Headers],[Banca]]),"","$ -")</f>
        <v/>
      </c>
      <c r="N1500" s="59" t="str">
        <f>IF(OR(Data!$I1500=SottocategorieEntrate[[#Headers],[Business Entrate]],Data!$I1500=SottocategorieEntrate[[#Headers],[Varie Entrate]]),"$ -","")</f>
        <v/>
      </c>
      <c r="O1500" s="59" t="str">
        <f>IF(OR(Data!$I1500=SottocategorieEntrate[[#Headers],[Real Estate]],SottocategorieEntrate[[#Headers],[Other]]),"$ -","")</f>
        <v/>
      </c>
      <c r="P1500" s="59" t="str">
        <f>IF(OR($I1500&lt;&gt;SottocategorieEntrate[[#Headers],[Business Entrate]],$I1500&lt;&gt;SottocategorieEntrate[[#Headers],[Varie Entrate]],$I1500&lt;&gt;SottocategorieEntrate[[#Headers],[Real Estate]],$I1500&lt;&gt;SottocategorieEntrate[[#Headers],[Other]]),"","$ -")</f>
        <v/>
      </c>
      <c r="Q1500" s="59" t="str">
        <f>IF(Dati[[#This Row],[Categoria]]="Prelievo","€ -","")</f>
        <v/>
      </c>
      <c r="R1500" s="244"/>
      <c r="S1500" s="59" t="str">
        <f>IF(Dati[[#This Row],[Categoria]]="Savings",0,"")</f>
        <v/>
      </c>
      <c r="T1500" s="59"/>
      <c r="U1500" s="59"/>
      <c r="V1500" s="59"/>
      <c r="W1500" s="59"/>
      <c r="X1500" s="59"/>
      <c r="Y1500" s="59"/>
      <c r="Z1500" s="59"/>
      <c r="AA1500" s="59"/>
      <c r="AB1500" s="59"/>
      <c r="AC1500" s="59"/>
      <c r="AD1500" s="59"/>
      <c r="AE1500" s="59"/>
      <c r="AF1500" s="59"/>
      <c r="AG1500" s="59"/>
      <c r="AH1500" s="59"/>
      <c r="AI1500" s="59" t="str">
        <f>IF(SUM(Dati[[#This Row],[Inv. Business]:[Inv. Cryptocurrency]])=0," ",SUM(Dati[[#This Row],[Inv. Business]:[Inv. Cryptocurrency]]))</f>
        <v xml:space="preserve"> </v>
      </c>
      <c r="AJ1500" s="59"/>
      <c r="AK1500" s="59" t="str">
        <f>IF(SUM(Dati[[#This Row],[Inv. Gold]:[Mutuo]])=0," ",SUM(Dati[[#This Row],[Inv. Gold]:[Mutuo]]))</f>
        <v xml:space="preserve"> </v>
      </c>
      <c r="AL1500" s="59"/>
      <c r="AM1500" s="59"/>
    </row>
    <row r="1501" spans="2:39" x14ac:dyDescent="0.35">
      <c r="B1501" s="237">
        <f t="shared" si="109"/>
        <v>1481</v>
      </c>
      <c r="C1501" s="49">
        <f t="shared" si="108"/>
        <v>46059</v>
      </c>
      <c r="D1501" s="29">
        <f>DAY(Dati[[#This Row],[Data]])</f>
        <v>6</v>
      </c>
      <c r="E1501" s="29" t="str">
        <f>IF(DAY(Data!$C$21:$C$1613)&gt;0,TEXT(Data!$C$21:$C$1613, "mmmm"),"")</f>
        <v>febbraio</v>
      </c>
      <c r="F1501" s="29" t="str">
        <f>IF(DAY(Data!$C$21:$C$1613)&gt;0,TEXT(Data!$C$21:$C$1613, "aaaa"),"")</f>
        <v>2026</v>
      </c>
      <c r="I1501" t="str">
        <f>IF(OR(H1501=$B$5,H1501=$B$6,H1501=$B$7,H1501=$B$8,H1501=$B$9,H1501=$B$10,H1501=$B$11,H1501=$B$12,H1501=$B$13,H1501=$B$14),SottocategorieUscite[[#Headers],[Fuori Casa]],IF(OR(H1501=$C$5,H1501=$C$6,H1501=$C$7,H1501=$C$8,H1501=$C$9,H1501=$C$10,H1501=$C$11,H1501=$C$12,H1501=$C$13,H1501=$C$14),SottocategorieUscite[[#Headers],[Varie Uscite]],IF(OR(H1501=$D$5,H1501=$D$6,H1501=$D$7,H1501=$D$8,H1501=$D$9,H1501=$D$10,H1501=$D$11,H1501=$D$12,H1501=$D$13,H1501=$D$14),SottocategorieUscite[[#Headers],[Personali]],IF(OR(H1501=$E$5,H1501=$E$6,H1501=$E$7,H1501=$E$8,H1501=$E$9,H1501=$E$10,H1501=$E$11,H1501=$E$12,H1501=$E$13,H1501=$E$14),SottocategorieUscite[[#Headers],[Lavoro]],IF(OR(H1501=$F$5,H1501=$F$6,H1501=$F$7,H1501=$F$8,H1501=$F$9,H1501=$F$10,H1501=$F$11,H1501=$F$12,H1501=$F$13,H1501=$F$14),SottocategorieUscite[[#Headers],[Casa]],IF(OR(H1501=$G$5,H1501=$G$6,H1501=$G$7,H1501=$G$8,H1501=$G$9,H1501=$G$10,H1501=$G$11,H1501=$G$12,H1501=$G$13,H1501=$G$14),SottocategorieUscite[[#Headers],[Utenze]],IF(OR(H1501=$H$5,H1501=$H$6,H1501=$H$7,H1501=$H$8,H1501=$H$9,H1501=$H$10,H1501=$H$11,H1501=$H$12,H1501=$H$13,H1501=$H$14),SottocategorieUscite[[#Headers],[Business Uscite]],IF(OR(H1501=$I$5,H1501=$I$6,H1501=$I$7,H1501=$I$8,H1501=$I$9,H1501=$I$10,H1501=$I$11,H1501=$I$12,H1501=$I$13,H1501=$I$14),SottocategorieUscite[[#Headers],[Banca]],IF(OR(H1501=K$5,H1501=K$6,H1501=K$7,H1501=K$8,H1501=K$9,H1501=K$10,H1501=K$11,H1501=K$12,H1501=K$13,H1501=K$14),SottocategorieEntrate[[#Headers],[Business Entrate]],IF(OR(H1501=L$5,H1501=L$6,H1501=L$7,H1501=L$8,H1501=L$9,H1501=L$10,H1501=L$11,H1501=L$12,H1501=L$13,H1501=L$14),SottocategorieEntrate[[#Headers],[Varie Entrate]],IF(OR(H1501=M$5,H1501=M$6,H1501=M$7,H1501=M$8,H1501=M$9,H1501=M$10,H1501=M$11,H1501=M$12,H1501=M$13,H1501=M$14),SottocategorieEntrate[[#Headers],[Real Estate]],IF(OR(H1501=N$5,H1501=N$6,H1501=N$7,H1501=N$8,H1501=N$9,H1501=N$10,H1501=N$11,H1501=N$12,H1501=N$13,H1501=N$14),SottocategorieEntrate[[#Headers],[Other]],""))))))))))))</f>
        <v/>
      </c>
      <c r="J1501" t="str">
        <f>IF(OR(Dati[[#This Row],[Categoria]]="Bollette",Dati[[#This Row],[Categoria]]="Conto &amp; Carte BNL",Dati[[#This Row],[Categoria]]="Prelievo",Dati[[#This Row],[Categoria]]="Affitto",Dati[[#This Row],[Categoria]]="BNL(Interessi Creditori)"),"Carta",IF(Dati[[#This Row],[Categoria]]&lt;&gt;0,"Cash",""))</f>
        <v/>
      </c>
      <c r="K1501" s="59" t="str">
        <f>IF(OR(Data!$I1501=SottocategorieUscite[[#Headers],[Fuori Casa]],Data!$I1501=SottocategorieUscite[[#Headers],[Varie Uscite]],Data!$I1501=SottocategorieUscite[[#Headers],[Personali]],Data!$I1501=SottocategorieUscite[[#Headers],[Lavoro]]),"$ -","")</f>
        <v/>
      </c>
      <c r="L1501" s="59" t="str">
        <f>IF(OR(Data!$I1501=SottocategorieUscite[[#Headers],[Casa]],Data!$I1501=SottocategorieUscite[[#Headers],[Utenze]],Data!$I1501=SottocategorieUscite[[#Headers],[Business Uscite]],Data!$I1501=SottocategorieUscite[[#Headers],[Banca]]),"$ -","")</f>
        <v/>
      </c>
      <c r="M1501" s="59" t="str">
        <f>IF(OR($I1501&lt;&gt;SottocategorieUscite[[#Headers],[Fuori Casa]],$I1501&lt;&gt;SottocategorieUscite[[#Headers],[Varie Uscite]],$I1501&lt;&gt;SottocategorieUscite[[#Headers],[Personali]],$I1501&lt;&gt;SottocategorieUscite[[#Headers],[Lavoro]],$I1501&lt;&gt;SottocategorieUscite[[#Headers],[Casa]],$I1501&lt;&gt;SottocategorieUscite[[#Headers],[Utenze]],$I1501&lt;&gt;SottocategorieUscite[[#Headers],[Business Uscite]],$I1501&lt;&gt;SottocategorieUscite[[#Headers],[Banca]]),"","$ -")</f>
        <v/>
      </c>
      <c r="N1501" s="59" t="str">
        <f>IF(OR(Data!$I1501=SottocategorieEntrate[[#Headers],[Business Entrate]],Data!$I1501=SottocategorieEntrate[[#Headers],[Varie Entrate]]),"$ -","")</f>
        <v/>
      </c>
      <c r="O1501" s="59" t="str">
        <f>IF(OR(Data!$I1501=SottocategorieEntrate[[#Headers],[Real Estate]],SottocategorieEntrate[[#Headers],[Other]]),"$ -","")</f>
        <v/>
      </c>
      <c r="P1501" s="59" t="str">
        <f>IF(OR($I1501&lt;&gt;SottocategorieEntrate[[#Headers],[Business Entrate]],$I1501&lt;&gt;SottocategorieEntrate[[#Headers],[Varie Entrate]],$I1501&lt;&gt;SottocategorieEntrate[[#Headers],[Real Estate]],$I1501&lt;&gt;SottocategorieEntrate[[#Headers],[Other]]),"","$ -")</f>
        <v/>
      </c>
      <c r="Q1501" s="59" t="str">
        <f>IF(Dati[[#This Row],[Categoria]]="Prelievo","€ -","")</f>
        <v/>
      </c>
      <c r="R1501" s="244"/>
      <c r="S1501" s="59" t="str">
        <f>IF(Dati[[#This Row],[Categoria]]="Savings",0,"")</f>
        <v/>
      </c>
      <c r="T1501" s="59"/>
      <c r="U1501" s="59"/>
      <c r="V1501" s="59"/>
      <c r="W1501" s="59"/>
      <c r="X1501" s="59"/>
      <c r="Y1501" s="59"/>
      <c r="Z1501" s="59"/>
      <c r="AA1501" s="59"/>
      <c r="AB1501" s="59"/>
      <c r="AC1501" s="59"/>
      <c r="AD1501" s="59"/>
      <c r="AE1501" s="59"/>
      <c r="AF1501" s="59"/>
      <c r="AG1501" s="59"/>
      <c r="AH1501" s="59"/>
      <c r="AI1501" s="59" t="str">
        <f>IF(SUM(Dati[[#This Row],[Inv. Business]:[Inv. Cryptocurrency]])=0," ",SUM(Dati[[#This Row],[Inv. Business]:[Inv. Cryptocurrency]]))</f>
        <v xml:space="preserve"> </v>
      </c>
      <c r="AJ1501" s="59"/>
      <c r="AK1501" s="59" t="str">
        <f>IF(SUM(Dati[[#This Row],[Inv. Gold]:[Mutuo]])=0," ",SUM(Dati[[#This Row],[Inv. Gold]:[Mutuo]]))</f>
        <v xml:space="preserve"> </v>
      </c>
      <c r="AL1501" s="59"/>
      <c r="AM1501" s="59"/>
    </row>
    <row r="1502" spans="2:39" x14ac:dyDescent="0.35">
      <c r="B1502" s="237">
        <f t="shared" si="109"/>
        <v>1482</v>
      </c>
      <c r="C1502" s="49">
        <f t="shared" si="108"/>
        <v>46060</v>
      </c>
      <c r="D1502" s="29">
        <f>DAY(Dati[[#This Row],[Data]])</f>
        <v>7</v>
      </c>
      <c r="E1502" s="29" t="str">
        <f>IF(DAY(Data!$C$21:$C$1613)&gt;0,TEXT(Data!$C$21:$C$1613, "mmmm"),"")</f>
        <v>febbraio</v>
      </c>
      <c r="F1502" s="29" t="str">
        <f>IF(DAY(Data!$C$21:$C$1613)&gt;0,TEXT(Data!$C$21:$C$1613, "aaaa"),"")</f>
        <v>2026</v>
      </c>
      <c r="I1502" t="str">
        <f>IF(OR(H1502=$B$5,H1502=$B$6,H1502=$B$7,H1502=$B$8,H1502=$B$9,H1502=$B$10,H1502=$B$11,H1502=$B$12,H1502=$B$13,H1502=$B$14),SottocategorieUscite[[#Headers],[Fuori Casa]],IF(OR(H1502=$C$5,H1502=$C$6,H1502=$C$7,H1502=$C$8,H1502=$C$9,H1502=$C$10,H1502=$C$11,H1502=$C$12,H1502=$C$13,H1502=$C$14),SottocategorieUscite[[#Headers],[Varie Uscite]],IF(OR(H1502=$D$5,H1502=$D$6,H1502=$D$7,H1502=$D$8,H1502=$D$9,H1502=$D$10,H1502=$D$11,H1502=$D$12,H1502=$D$13,H1502=$D$14),SottocategorieUscite[[#Headers],[Personali]],IF(OR(H1502=$E$5,H1502=$E$6,H1502=$E$7,H1502=$E$8,H1502=$E$9,H1502=$E$10,H1502=$E$11,H1502=$E$12,H1502=$E$13,H1502=$E$14),SottocategorieUscite[[#Headers],[Lavoro]],IF(OR(H1502=$F$5,H1502=$F$6,H1502=$F$7,H1502=$F$8,H1502=$F$9,H1502=$F$10,H1502=$F$11,H1502=$F$12,H1502=$F$13,H1502=$F$14),SottocategorieUscite[[#Headers],[Casa]],IF(OR(H1502=$G$5,H1502=$G$6,H1502=$G$7,H1502=$G$8,H1502=$G$9,H1502=$G$10,H1502=$G$11,H1502=$G$12,H1502=$G$13,H1502=$G$14),SottocategorieUscite[[#Headers],[Utenze]],IF(OR(H1502=$H$5,H1502=$H$6,H1502=$H$7,H1502=$H$8,H1502=$H$9,H1502=$H$10,H1502=$H$11,H1502=$H$12,H1502=$H$13,H1502=$H$14),SottocategorieUscite[[#Headers],[Business Uscite]],IF(OR(H1502=$I$5,H1502=$I$6,H1502=$I$7,H1502=$I$8,H1502=$I$9,H1502=$I$10,H1502=$I$11,H1502=$I$12,H1502=$I$13,H1502=$I$14),SottocategorieUscite[[#Headers],[Banca]],IF(OR(H1502=K$5,H1502=K$6,H1502=K$7,H1502=K$8,H1502=K$9,H1502=K$10,H1502=K$11,H1502=K$12,H1502=K$13,H1502=K$14),SottocategorieEntrate[[#Headers],[Business Entrate]],IF(OR(H1502=L$5,H1502=L$6,H1502=L$7,H1502=L$8,H1502=L$9,H1502=L$10,H1502=L$11,H1502=L$12,H1502=L$13,H1502=L$14),SottocategorieEntrate[[#Headers],[Varie Entrate]],IF(OR(H1502=M$5,H1502=M$6,H1502=M$7,H1502=M$8,H1502=M$9,H1502=M$10,H1502=M$11,H1502=M$12,H1502=M$13,H1502=M$14),SottocategorieEntrate[[#Headers],[Real Estate]],IF(OR(H1502=N$5,H1502=N$6,H1502=N$7,H1502=N$8,H1502=N$9,H1502=N$10,H1502=N$11,H1502=N$12,H1502=N$13,H1502=N$14),SottocategorieEntrate[[#Headers],[Other]],""))))))))))))</f>
        <v/>
      </c>
      <c r="J1502" t="str">
        <f>IF(OR(Dati[[#This Row],[Categoria]]="Bollette",Dati[[#This Row],[Categoria]]="Conto &amp; Carte BNL",Dati[[#This Row],[Categoria]]="Prelievo",Dati[[#This Row],[Categoria]]="Affitto",Dati[[#This Row],[Categoria]]="BNL(Interessi Creditori)"),"Carta",IF(Dati[[#This Row],[Categoria]]&lt;&gt;0,"Cash",""))</f>
        <v/>
      </c>
      <c r="K1502" s="59" t="str">
        <f>IF(OR(Data!$I1502=SottocategorieUscite[[#Headers],[Fuori Casa]],Data!$I1502=SottocategorieUscite[[#Headers],[Varie Uscite]],Data!$I1502=SottocategorieUscite[[#Headers],[Personali]],Data!$I1502=SottocategorieUscite[[#Headers],[Lavoro]]),"$ -","")</f>
        <v/>
      </c>
      <c r="L1502" s="59" t="str">
        <f>IF(OR(Data!$I1502=SottocategorieUscite[[#Headers],[Casa]],Data!$I1502=SottocategorieUscite[[#Headers],[Utenze]],Data!$I1502=SottocategorieUscite[[#Headers],[Business Uscite]],Data!$I1502=SottocategorieUscite[[#Headers],[Banca]]),"$ -","")</f>
        <v/>
      </c>
      <c r="M1502" s="59" t="str">
        <f>IF(OR($I1502&lt;&gt;SottocategorieUscite[[#Headers],[Fuori Casa]],$I1502&lt;&gt;SottocategorieUscite[[#Headers],[Varie Uscite]],$I1502&lt;&gt;SottocategorieUscite[[#Headers],[Personali]],$I1502&lt;&gt;SottocategorieUscite[[#Headers],[Lavoro]],$I1502&lt;&gt;SottocategorieUscite[[#Headers],[Casa]],$I1502&lt;&gt;SottocategorieUscite[[#Headers],[Utenze]],$I1502&lt;&gt;SottocategorieUscite[[#Headers],[Business Uscite]],$I1502&lt;&gt;SottocategorieUscite[[#Headers],[Banca]]),"","$ -")</f>
        <v/>
      </c>
      <c r="N1502" s="59" t="str">
        <f>IF(OR(Data!$I1502=SottocategorieEntrate[[#Headers],[Business Entrate]],Data!$I1502=SottocategorieEntrate[[#Headers],[Varie Entrate]]),"$ -","")</f>
        <v/>
      </c>
      <c r="O1502" s="59" t="str">
        <f>IF(OR(Data!$I1502=SottocategorieEntrate[[#Headers],[Real Estate]],SottocategorieEntrate[[#Headers],[Other]]),"$ -","")</f>
        <v/>
      </c>
      <c r="P1502" s="59" t="str">
        <f>IF(OR($I1502&lt;&gt;SottocategorieEntrate[[#Headers],[Business Entrate]],$I1502&lt;&gt;SottocategorieEntrate[[#Headers],[Varie Entrate]],$I1502&lt;&gt;SottocategorieEntrate[[#Headers],[Real Estate]],$I1502&lt;&gt;SottocategorieEntrate[[#Headers],[Other]]),"","$ -")</f>
        <v/>
      </c>
      <c r="Q1502" s="59" t="str">
        <f>IF(Dati[[#This Row],[Categoria]]="Prelievo","€ -","")</f>
        <v/>
      </c>
      <c r="R1502" s="244"/>
      <c r="S1502" s="59" t="str">
        <f>IF(Dati[[#This Row],[Categoria]]="Savings",0,"")</f>
        <v/>
      </c>
      <c r="T1502" s="59"/>
      <c r="U1502" s="59"/>
      <c r="V1502" s="59"/>
      <c r="W1502" s="59"/>
      <c r="X1502" s="59"/>
      <c r="Y1502" s="59"/>
      <c r="Z1502" s="59"/>
      <c r="AA1502" s="59"/>
      <c r="AB1502" s="59"/>
      <c r="AC1502" s="59"/>
      <c r="AD1502" s="59"/>
      <c r="AE1502" s="59"/>
      <c r="AF1502" s="59"/>
      <c r="AG1502" s="59"/>
      <c r="AH1502" s="59"/>
      <c r="AI1502" s="59" t="str">
        <f>IF(SUM(Dati[[#This Row],[Inv. Business]:[Inv. Cryptocurrency]])=0," ",SUM(Dati[[#This Row],[Inv. Business]:[Inv. Cryptocurrency]]))</f>
        <v xml:space="preserve"> </v>
      </c>
      <c r="AJ1502" s="59"/>
      <c r="AK1502" s="59" t="str">
        <f>IF(SUM(Dati[[#This Row],[Inv. Gold]:[Mutuo]])=0," ",SUM(Dati[[#This Row],[Inv. Gold]:[Mutuo]]))</f>
        <v xml:space="preserve"> </v>
      </c>
      <c r="AL1502" s="59"/>
      <c r="AM1502" s="59"/>
    </row>
    <row r="1503" spans="2:39" x14ac:dyDescent="0.35">
      <c r="B1503" s="237">
        <f t="shared" si="109"/>
        <v>1483</v>
      </c>
      <c r="C1503" s="49">
        <f t="shared" si="108"/>
        <v>46061</v>
      </c>
      <c r="D1503" s="29">
        <f>DAY(Dati[[#This Row],[Data]])</f>
        <v>8</v>
      </c>
      <c r="E1503" s="29" t="str">
        <f>IF(DAY(Data!$C$21:$C$1613)&gt;0,TEXT(Data!$C$21:$C$1613, "mmmm"),"")</f>
        <v>febbraio</v>
      </c>
      <c r="F1503" s="29" t="str">
        <f>IF(DAY(Data!$C$21:$C$1613)&gt;0,TEXT(Data!$C$21:$C$1613, "aaaa"),"")</f>
        <v>2026</v>
      </c>
      <c r="I1503" t="str">
        <f>IF(OR(H1503=$B$5,H1503=$B$6,H1503=$B$7,H1503=$B$8,H1503=$B$9,H1503=$B$10,H1503=$B$11,H1503=$B$12,H1503=$B$13,H1503=$B$14),SottocategorieUscite[[#Headers],[Fuori Casa]],IF(OR(H1503=$C$5,H1503=$C$6,H1503=$C$7,H1503=$C$8,H1503=$C$9,H1503=$C$10,H1503=$C$11,H1503=$C$12,H1503=$C$13,H1503=$C$14),SottocategorieUscite[[#Headers],[Varie Uscite]],IF(OR(H1503=$D$5,H1503=$D$6,H1503=$D$7,H1503=$D$8,H1503=$D$9,H1503=$D$10,H1503=$D$11,H1503=$D$12,H1503=$D$13,H1503=$D$14),SottocategorieUscite[[#Headers],[Personali]],IF(OR(H1503=$E$5,H1503=$E$6,H1503=$E$7,H1503=$E$8,H1503=$E$9,H1503=$E$10,H1503=$E$11,H1503=$E$12,H1503=$E$13,H1503=$E$14),SottocategorieUscite[[#Headers],[Lavoro]],IF(OR(H1503=$F$5,H1503=$F$6,H1503=$F$7,H1503=$F$8,H1503=$F$9,H1503=$F$10,H1503=$F$11,H1503=$F$12,H1503=$F$13,H1503=$F$14),SottocategorieUscite[[#Headers],[Casa]],IF(OR(H1503=$G$5,H1503=$G$6,H1503=$G$7,H1503=$G$8,H1503=$G$9,H1503=$G$10,H1503=$G$11,H1503=$G$12,H1503=$G$13,H1503=$G$14),SottocategorieUscite[[#Headers],[Utenze]],IF(OR(H1503=$H$5,H1503=$H$6,H1503=$H$7,H1503=$H$8,H1503=$H$9,H1503=$H$10,H1503=$H$11,H1503=$H$12,H1503=$H$13,H1503=$H$14),SottocategorieUscite[[#Headers],[Business Uscite]],IF(OR(H1503=$I$5,H1503=$I$6,H1503=$I$7,H1503=$I$8,H1503=$I$9,H1503=$I$10,H1503=$I$11,H1503=$I$12,H1503=$I$13,H1503=$I$14),SottocategorieUscite[[#Headers],[Banca]],IF(OR(H1503=K$5,H1503=K$6,H1503=K$7,H1503=K$8,H1503=K$9,H1503=K$10,H1503=K$11,H1503=K$12,H1503=K$13,H1503=K$14),SottocategorieEntrate[[#Headers],[Business Entrate]],IF(OR(H1503=L$5,H1503=L$6,H1503=L$7,H1503=L$8,H1503=L$9,H1503=L$10,H1503=L$11,H1503=L$12,H1503=L$13,H1503=L$14),SottocategorieEntrate[[#Headers],[Varie Entrate]],IF(OR(H1503=M$5,H1503=M$6,H1503=M$7,H1503=M$8,H1503=M$9,H1503=M$10,H1503=M$11,H1503=M$12,H1503=M$13,H1503=M$14),SottocategorieEntrate[[#Headers],[Real Estate]],IF(OR(H1503=N$5,H1503=N$6,H1503=N$7,H1503=N$8,H1503=N$9,H1503=N$10,H1503=N$11,H1503=N$12,H1503=N$13,H1503=N$14),SottocategorieEntrate[[#Headers],[Other]],""))))))))))))</f>
        <v/>
      </c>
      <c r="J1503" t="str">
        <f>IF(OR(Dati[[#This Row],[Categoria]]="Bollette",Dati[[#This Row],[Categoria]]="Conto &amp; Carte BNL",Dati[[#This Row],[Categoria]]="Prelievo",Dati[[#This Row],[Categoria]]="Affitto",Dati[[#This Row],[Categoria]]="BNL(Interessi Creditori)"),"Carta",IF(Dati[[#This Row],[Categoria]]&lt;&gt;0,"Cash",""))</f>
        <v/>
      </c>
      <c r="K1503" s="59" t="str">
        <f>IF(OR(Data!$I1503=SottocategorieUscite[[#Headers],[Fuori Casa]],Data!$I1503=SottocategorieUscite[[#Headers],[Varie Uscite]],Data!$I1503=SottocategorieUscite[[#Headers],[Personali]],Data!$I1503=SottocategorieUscite[[#Headers],[Lavoro]]),"$ -","")</f>
        <v/>
      </c>
      <c r="L1503" s="59" t="str">
        <f>IF(OR(Data!$I1503=SottocategorieUscite[[#Headers],[Casa]],Data!$I1503=SottocategorieUscite[[#Headers],[Utenze]],Data!$I1503=SottocategorieUscite[[#Headers],[Business Uscite]],Data!$I1503=SottocategorieUscite[[#Headers],[Banca]]),"$ -","")</f>
        <v/>
      </c>
      <c r="M1503" s="59" t="str">
        <f>IF(OR($I1503&lt;&gt;SottocategorieUscite[[#Headers],[Fuori Casa]],$I1503&lt;&gt;SottocategorieUscite[[#Headers],[Varie Uscite]],$I1503&lt;&gt;SottocategorieUscite[[#Headers],[Personali]],$I1503&lt;&gt;SottocategorieUscite[[#Headers],[Lavoro]],$I1503&lt;&gt;SottocategorieUscite[[#Headers],[Casa]],$I1503&lt;&gt;SottocategorieUscite[[#Headers],[Utenze]],$I1503&lt;&gt;SottocategorieUscite[[#Headers],[Business Uscite]],$I1503&lt;&gt;SottocategorieUscite[[#Headers],[Banca]]),"","$ -")</f>
        <v/>
      </c>
      <c r="N1503" s="59" t="str">
        <f>IF(OR(Data!$I1503=SottocategorieEntrate[[#Headers],[Business Entrate]],Data!$I1503=SottocategorieEntrate[[#Headers],[Varie Entrate]]),"$ -","")</f>
        <v/>
      </c>
      <c r="O1503" s="59" t="str">
        <f>IF(OR(Data!$I1503=SottocategorieEntrate[[#Headers],[Real Estate]],SottocategorieEntrate[[#Headers],[Other]]),"$ -","")</f>
        <v/>
      </c>
      <c r="P1503" s="59" t="str">
        <f>IF(OR($I1503&lt;&gt;SottocategorieEntrate[[#Headers],[Business Entrate]],$I1503&lt;&gt;SottocategorieEntrate[[#Headers],[Varie Entrate]],$I1503&lt;&gt;SottocategorieEntrate[[#Headers],[Real Estate]],$I1503&lt;&gt;SottocategorieEntrate[[#Headers],[Other]]),"","$ -")</f>
        <v/>
      </c>
      <c r="Q1503" s="59" t="str">
        <f>IF(Dati[[#This Row],[Categoria]]="Prelievo","€ -","")</f>
        <v/>
      </c>
      <c r="R1503" s="244"/>
      <c r="S1503" s="59" t="str">
        <f>IF(Dati[[#This Row],[Categoria]]="Savings",0,"")</f>
        <v/>
      </c>
      <c r="T1503" s="59"/>
      <c r="U1503" s="59"/>
      <c r="V1503" s="59"/>
      <c r="W1503" s="59"/>
      <c r="X1503" s="59"/>
      <c r="Y1503" s="59"/>
      <c r="Z1503" s="59"/>
      <c r="AA1503" s="59"/>
      <c r="AB1503" s="59"/>
      <c r="AC1503" s="59"/>
      <c r="AD1503" s="59"/>
      <c r="AE1503" s="59"/>
      <c r="AF1503" s="59"/>
      <c r="AG1503" s="59"/>
      <c r="AH1503" s="59"/>
      <c r="AI1503" s="59" t="str">
        <f>IF(SUM(Dati[[#This Row],[Inv. Business]:[Inv. Cryptocurrency]])=0," ",SUM(Dati[[#This Row],[Inv. Business]:[Inv. Cryptocurrency]]))</f>
        <v xml:space="preserve"> </v>
      </c>
      <c r="AJ1503" s="59"/>
      <c r="AK1503" s="59" t="str">
        <f>IF(SUM(Dati[[#This Row],[Inv. Gold]:[Mutuo]])=0," ",SUM(Dati[[#This Row],[Inv. Gold]:[Mutuo]]))</f>
        <v xml:space="preserve"> </v>
      </c>
      <c r="AL1503" s="59"/>
      <c r="AM1503" s="59"/>
    </row>
    <row r="1504" spans="2:39" x14ac:dyDescent="0.35">
      <c r="B1504" s="237">
        <f t="shared" si="109"/>
        <v>1484</v>
      </c>
      <c r="C1504" s="49">
        <f t="shared" ref="C1504:C1567" si="110">C1503+1</f>
        <v>46062</v>
      </c>
      <c r="D1504" s="29">
        <f>DAY(Dati[[#This Row],[Data]])</f>
        <v>9</v>
      </c>
      <c r="E1504" s="29" t="str">
        <f>IF(DAY(Data!$C$21:$C$1613)&gt;0,TEXT(Data!$C$21:$C$1613, "mmmm"),"")</f>
        <v>febbraio</v>
      </c>
      <c r="F1504" s="29" t="str">
        <f>IF(DAY(Data!$C$21:$C$1613)&gt;0,TEXT(Data!$C$21:$C$1613, "aaaa"),"")</f>
        <v>2026</v>
      </c>
      <c r="I1504" t="str">
        <f>IF(OR(H1504=$B$5,H1504=$B$6,H1504=$B$7,H1504=$B$8,H1504=$B$9,H1504=$B$10,H1504=$B$11,H1504=$B$12,H1504=$B$13,H1504=$B$14),SottocategorieUscite[[#Headers],[Fuori Casa]],IF(OR(H1504=$C$5,H1504=$C$6,H1504=$C$7,H1504=$C$8,H1504=$C$9,H1504=$C$10,H1504=$C$11,H1504=$C$12,H1504=$C$13,H1504=$C$14),SottocategorieUscite[[#Headers],[Varie Uscite]],IF(OR(H1504=$D$5,H1504=$D$6,H1504=$D$7,H1504=$D$8,H1504=$D$9,H1504=$D$10,H1504=$D$11,H1504=$D$12,H1504=$D$13,H1504=$D$14),SottocategorieUscite[[#Headers],[Personali]],IF(OR(H1504=$E$5,H1504=$E$6,H1504=$E$7,H1504=$E$8,H1504=$E$9,H1504=$E$10,H1504=$E$11,H1504=$E$12,H1504=$E$13,H1504=$E$14),SottocategorieUscite[[#Headers],[Lavoro]],IF(OR(H1504=$F$5,H1504=$F$6,H1504=$F$7,H1504=$F$8,H1504=$F$9,H1504=$F$10,H1504=$F$11,H1504=$F$12,H1504=$F$13,H1504=$F$14),SottocategorieUscite[[#Headers],[Casa]],IF(OR(H1504=$G$5,H1504=$G$6,H1504=$G$7,H1504=$G$8,H1504=$G$9,H1504=$G$10,H1504=$G$11,H1504=$G$12,H1504=$G$13,H1504=$G$14),SottocategorieUscite[[#Headers],[Utenze]],IF(OR(H1504=$H$5,H1504=$H$6,H1504=$H$7,H1504=$H$8,H1504=$H$9,H1504=$H$10,H1504=$H$11,H1504=$H$12,H1504=$H$13,H1504=$H$14),SottocategorieUscite[[#Headers],[Business Uscite]],IF(OR(H1504=$I$5,H1504=$I$6,H1504=$I$7,H1504=$I$8,H1504=$I$9,H1504=$I$10,H1504=$I$11,H1504=$I$12,H1504=$I$13,H1504=$I$14),SottocategorieUscite[[#Headers],[Banca]],IF(OR(H1504=K$5,H1504=K$6,H1504=K$7,H1504=K$8,H1504=K$9,H1504=K$10,H1504=K$11,H1504=K$12,H1504=K$13,H1504=K$14),SottocategorieEntrate[[#Headers],[Business Entrate]],IF(OR(H1504=L$5,H1504=L$6,H1504=L$7,H1504=L$8,H1504=L$9,H1504=L$10,H1504=L$11,H1504=L$12,H1504=L$13,H1504=L$14),SottocategorieEntrate[[#Headers],[Varie Entrate]],IF(OR(H1504=M$5,H1504=M$6,H1504=M$7,H1504=M$8,H1504=M$9,H1504=M$10,H1504=M$11,H1504=M$12,H1504=M$13,H1504=M$14),SottocategorieEntrate[[#Headers],[Real Estate]],IF(OR(H1504=N$5,H1504=N$6,H1504=N$7,H1504=N$8,H1504=N$9,H1504=N$10,H1504=N$11,H1504=N$12,H1504=N$13,H1504=N$14),SottocategorieEntrate[[#Headers],[Other]],""))))))))))))</f>
        <v/>
      </c>
      <c r="J1504" t="str">
        <f>IF(OR(Dati[[#This Row],[Categoria]]="Bollette",Dati[[#This Row],[Categoria]]="Conto &amp; Carte BNL",Dati[[#This Row],[Categoria]]="Prelievo",Dati[[#This Row],[Categoria]]="Affitto",Dati[[#This Row],[Categoria]]="BNL(Interessi Creditori)"),"Carta",IF(Dati[[#This Row],[Categoria]]&lt;&gt;0,"Cash",""))</f>
        <v/>
      </c>
      <c r="K1504" s="59" t="str">
        <f>IF(OR(Data!$I1504=SottocategorieUscite[[#Headers],[Fuori Casa]],Data!$I1504=SottocategorieUscite[[#Headers],[Varie Uscite]],Data!$I1504=SottocategorieUscite[[#Headers],[Personali]],Data!$I1504=SottocategorieUscite[[#Headers],[Lavoro]]),"$ -","")</f>
        <v/>
      </c>
      <c r="L1504" s="59" t="str">
        <f>IF(OR(Data!$I1504=SottocategorieUscite[[#Headers],[Casa]],Data!$I1504=SottocategorieUscite[[#Headers],[Utenze]],Data!$I1504=SottocategorieUscite[[#Headers],[Business Uscite]],Data!$I1504=SottocategorieUscite[[#Headers],[Banca]]),"$ -","")</f>
        <v/>
      </c>
      <c r="M1504" s="59" t="str">
        <f>IF(OR($I1504&lt;&gt;SottocategorieUscite[[#Headers],[Fuori Casa]],$I1504&lt;&gt;SottocategorieUscite[[#Headers],[Varie Uscite]],$I1504&lt;&gt;SottocategorieUscite[[#Headers],[Personali]],$I1504&lt;&gt;SottocategorieUscite[[#Headers],[Lavoro]],$I1504&lt;&gt;SottocategorieUscite[[#Headers],[Casa]],$I1504&lt;&gt;SottocategorieUscite[[#Headers],[Utenze]],$I1504&lt;&gt;SottocategorieUscite[[#Headers],[Business Uscite]],$I1504&lt;&gt;SottocategorieUscite[[#Headers],[Banca]]),"","$ -")</f>
        <v/>
      </c>
      <c r="N1504" s="59" t="str">
        <f>IF(OR(Data!$I1504=SottocategorieEntrate[[#Headers],[Business Entrate]],Data!$I1504=SottocategorieEntrate[[#Headers],[Varie Entrate]]),"$ -","")</f>
        <v/>
      </c>
      <c r="O1504" s="59" t="str">
        <f>IF(OR(Data!$I1504=SottocategorieEntrate[[#Headers],[Real Estate]],SottocategorieEntrate[[#Headers],[Other]]),"$ -","")</f>
        <v/>
      </c>
      <c r="P1504" s="59" t="str">
        <f>IF(OR($I1504&lt;&gt;SottocategorieEntrate[[#Headers],[Business Entrate]],$I1504&lt;&gt;SottocategorieEntrate[[#Headers],[Varie Entrate]],$I1504&lt;&gt;SottocategorieEntrate[[#Headers],[Real Estate]],$I1504&lt;&gt;SottocategorieEntrate[[#Headers],[Other]]),"","$ -")</f>
        <v/>
      </c>
      <c r="Q1504" s="59" t="str">
        <f>IF(Dati[[#This Row],[Categoria]]="Prelievo","€ -","")</f>
        <v/>
      </c>
      <c r="R1504" s="244"/>
      <c r="S1504" s="59" t="str">
        <f>IF(Dati[[#This Row],[Categoria]]="Savings",0,"")</f>
        <v/>
      </c>
      <c r="T1504" s="59"/>
      <c r="U1504" s="59"/>
      <c r="V1504" s="59"/>
      <c r="W1504" s="59"/>
      <c r="X1504" s="59"/>
      <c r="Y1504" s="59"/>
      <c r="Z1504" s="59"/>
      <c r="AA1504" s="59"/>
      <c r="AB1504" s="59"/>
      <c r="AC1504" s="59"/>
      <c r="AD1504" s="59"/>
      <c r="AE1504" s="59"/>
      <c r="AF1504" s="59"/>
      <c r="AG1504" s="59"/>
      <c r="AH1504" s="59"/>
      <c r="AI1504" s="59" t="str">
        <f>IF(SUM(Dati[[#This Row],[Inv. Business]:[Inv. Cryptocurrency]])=0," ",SUM(Dati[[#This Row],[Inv. Business]:[Inv. Cryptocurrency]]))</f>
        <v xml:space="preserve"> </v>
      </c>
      <c r="AJ1504" s="59"/>
      <c r="AK1504" s="59" t="str">
        <f>IF(SUM(Dati[[#This Row],[Inv. Gold]:[Mutuo]])=0," ",SUM(Dati[[#This Row],[Inv. Gold]:[Mutuo]]))</f>
        <v xml:space="preserve"> </v>
      </c>
      <c r="AL1504" s="59"/>
      <c r="AM1504" s="59"/>
    </row>
    <row r="1505" spans="2:39" x14ac:dyDescent="0.35">
      <c r="B1505" s="237">
        <f t="shared" si="109"/>
        <v>1485</v>
      </c>
      <c r="C1505" s="49">
        <f t="shared" si="110"/>
        <v>46063</v>
      </c>
      <c r="D1505" s="29">
        <f>DAY(Dati[[#This Row],[Data]])</f>
        <v>10</v>
      </c>
      <c r="E1505" s="29" t="str">
        <f>IF(DAY(Data!$C$21:$C$1613)&gt;0,TEXT(Data!$C$21:$C$1613, "mmmm"),"")</f>
        <v>febbraio</v>
      </c>
      <c r="F1505" s="29" t="str">
        <f>IF(DAY(Data!$C$21:$C$1613)&gt;0,TEXT(Data!$C$21:$C$1613, "aaaa"),"")</f>
        <v>2026</v>
      </c>
      <c r="I1505" t="str">
        <f>IF(OR(H1505=$B$5,H1505=$B$6,H1505=$B$7,H1505=$B$8,H1505=$B$9,H1505=$B$10,H1505=$B$11,H1505=$B$12,H1505=$B$13,H1505=$B$14),SottocategorieUscite[[#Headers],[Fuori Casa]],IF(OR(H1505=$C$5,H1505=$C$6,H1505=$C$7,H1505=$C$8,H1505=$C$9,H1505=$C$10,H1505=$C$11,H1505=$C$12,H1505=$C$13,H1505=$C$14),SottocategorieUscite[[#Headers],[Varie Uscite]],IF(OR(H1505=$D$5,H1505=$D$6,H1505=$D$7,H1505=$D$8,H1505=$D$9,H1505=$D$10,H1505=$D$11,H1505=$D$12,H1505=$D$13,H1505=$D$14),SottocategorieUscite[[#Headers],[Personali]],IF(OR(H1505=$E$5,H1505=$E$6,H1505=$E$7,H1505=$E$8,H1505=$E$9,H1505=$E$10,H1505=$E$11,H1505=$E$12,H1505=$E$13,H1505=$E$14),SottocategorieUscite[[#Headers],[Lavoro]],IF(OR(H1505=$F$5,H1505=$F$6,H1505=$F$7,H1505=$F$8,H1505=$F$9,H1505=$F$10,H1505=$F$11,H1505=$F$12,H1505=$F$13,H1505=$F$14),SottocategorieUscite[[#Headers],[Casa]],IF(OR(H1505=$G$5,H1505=$G$6,H1505=$G$7,H1505=$G$8,H1505=$G$9,H1505=$G$10,H1505=$G$11,H1505=$G$12,H1505=$G$13,H1505=$G$14),SottocategorieUscite[[#Headers],[Utenze]],IF(OR(H1505=$H$5,H1505=$H$6,H1505=$H$7,H1505=$H$8,H1505=$H$9,H1505=$H$10,H1505=$H$11,H1505=$H$12,H1505=$H$13,H1505=$H$14),SottocategorieUscite[[#Headers],[Business Uscite]],IF(OR(H1505=$I$5,H1505=$I$6,H1505=$I$7,H1505=$I$8,H1505=$I$9,H1505=$I$10,H1505=$I$11,H1505=$I$12,H1505=$I$13,H1505=$I$14),SottocategorieUscite[[#Headers],[Banca]],IF(OR(H1505=K$5,H1505=K$6,H1505=K$7,H1505=K$8,H1505=K$9,H1505=K$10,H1505=K$11,H1505=K$12,H1505=K$13,H1505=K$14),SottocategorieEntrate[[#Headers],[Business Entrate]],IF(OR(H1505=L$5,H1505=L$6,H1505=L$7,H1505=L$8,H1505=L$9,H1505=L$10,H1505=L$11,H1505=L$12,H1505=L$13,H1505=L$14),SottocategorieEntrate[[#Headers],[Varie Entrate]],IF(OR(H1505=M$5,H1505=M$6,H1505=M$7,H1505=M$8,H1505=M$9,H1505=M$10,H1505=M$11,H1505=M$12,H1505=M$13,H1505=M$14),SottocategorieEntrate[[#Headers],[Real Estate]],IF(OR(H1505=N$5,H1505=N$6,H1505=N$7,H1505=N$8,H1505=N$9,H1505=N$10,H1505=N$11,H1505=N$12,H1505=N$13,H1505=N$14),SottocategorieEntrate[[#Headers],[Other]],""))))))))))))</f>
        <v/>
      </c>
      <c r="J1505" t="str">
        <f>IF(OR(Dati[[#This Row],[Categoria]]="Bollette",Dati[[#This Row],[Categoria]]="Conto &amp; Carte BNL",Dati[[#This Row],[Categoria]]="Prelievo",Dati[[#This Row],[Categoria]]="Affitto",Dati[[#This Row],[Categoria]]="BNL(Interessi Creditori)"),"Carta",IF(Dati[[#This Row],[Categoria]]&lt;&gt;0,"Cash",""))</f>
        <v/>
      </c>
      <c r="K1505" s="59" t="str">
        <f>IF(OR(Data!$I1505=SottocategorieUscite[[#Headers],[Fuori Casa]],Data!$I1505=SottocategorieUscite[[#Headers],[Varie Uscite]],Data!$I1505=SottocategorieUscite[[#Headers],[Personali]],Data!$I1505=SottocategorieUscite[[#Headers],[Lavoro]]),"$ -","")</f>
        <v/>
      </c>
      <c r="L1505" s="59" t="str">
        <f>IF(OR(Data!$I1505=SottocategorieUscite[[#Headers],[Casa]],Data!$I1505=SottocategorieUscite[[#Headers],[Utenze]],Data!$I1505=SottocategorieUscite[[#Headers],[Business Uscite]],Data!$I1505=SottocategorieUscite[[#Headers],[Banca]]),"$ -","")</f>
        <v/>
      </c>
      <c r="M1505" s="59" t="str">
        <f>IF(OR($I1505&lt;&gt;SottocategorieUscite[[#Headers],[Fuori Casa]],$I1505&lt;&gt;SottocategorieUscite[[#Headers],[Varie Uscite]],$I1505&lt;&gt;SottocategorieUscite[[#Headers],[Personali]],$I1505&lt;&gt;SottocategorieUscite[[#Headers],[Lavoro]],$I1505&lt;&gt;SottocategorieUscite[[#Headers],[Casa]],$I1505&lt;&gt;SottocategorieUscite[[#Headers],[Utenze]],$I1505&lt;&gt;SottocategorieUscite[[#Headers],[Business Uscite]],$I1505&lt;&gt;SottocategorieUscite[[#Headers],[Banca]]),"","$ -")</f>
        <v/>
      </c>
      <c r="N1505" s="59" t="str">
        <f>IF(OR(Data!$I1505=SottocategorieEntrate[[#Headers],[Business Entrate]],Data!$I1505=SottocategorieEntrate[[#Headers],[Varie Entrate]]),"$ -","")</f>
        <v/>
      </c>
      <c r="O1505" s="59" t="str">
        <f>IF(OR(Data!$I1505=SottocategorieEntrate[[#Headers],[Real Estate]],SottocategorieEntrate[[#Headers],[Other]]),"$ -","")</f>
        <v/>
      </c>
      <c r="P1505" s="59" t="str">
        <f>IF(OR($I1505&lt;&gt;SottocategorieEntrate[[#Headers],[Business Entrate]],$I1505&lt;&gt;SottocategorieEntrate[[#Headers],[Varie Entrate]],$I1505&lt;&gt;SottocategorieEntrate[[#Headers],[Real Estate]],$I1505&lt;&gt;SottocategorieEntrate[[#Headers],[Other]]),"","$ -")</f>
        <v/>
      </c>
      <c r="Q1505" s="59" t="str">
        <f>IF(Dati[[#This Row],[Categoria]]="Prelievo","€ -","")</f>
        <v/>
      </c>
      <c r="R1505" s="244"/>
      <c r="S1505" s="59" t="str">
        <f>IF(Dati[[#This Row],[Categoria]]="Savings",0,"")</f>
        <v/>
      </c>
      <c r="T1505" s="59"/>
      <c r="U1505" s="59"/>
      <c r="V1505" s="59"/>
      <c r="W1505" s="59"/>
      <c r="X1505" s="59"/>
      <c r="Y1505" s="59"/>
      <c r="Z1505" s="59"/>
      <c r="AA1505" s="59"/>
      <c r="AB1505" s="59"/>
      <c r="AC1505" s="59"/>
      <c r="AD1505" s="59"/>
      <c r="AE1505" s="59"/>
      <c r="AF1505" s="59"/>
      <c r="AG1505" s="59"/>
      <c r="AH1505" s="59"/>
      <c r="AI1505" s="59" t="str">
        <f>IF(SUM(Dati[[#This Row],[Inv. Business]:[Inv. Cryptocurrency]])=0," ",SUM(Dati[[#This Row],[Inv. Business]:[Inv. Cryptocurrency]]))</f>
        <v xml:space="preserve"> </v>
      </c>
      <c r="AJ1505" s="59"/>
      <c r="AK1505" s="59" t="str">
        <f>IF(SUM(Dati[[#This Row],[Inv. Gold]:[Mutuo]])=0," ",SUM(Dati[[#This Row],[Inv. Gold]:[Mutuo]]))</f>
        <v xml:space="preserve"> </v>
      </c>
      <c r="AL1505" s="59"/>
      <c r="AM1505" s="59"/>
    </row>
    <row r="1506" spans="2:39" x14ac:dyDescent="0.35">
      <c r="B1506" s="237">
        <f t="shared" si="109"/>
        <v>1486</v>
      </c>
      <c r="C1506" s="49">
        <f t="shared" si="110"/>
        <v>46064</v>
      </c>
      <c r="D1506" s="29">
        <f>DAY(Dati[[#This Row],[Data]])</f>
        <v>11</v>
      </c>
      <c r="E1506" s="29" t="str">
        <f>IF(DAY(Data!$C$21:$C$1613)&gt;0,TEXT(Data!$C$21:$C$1613, "mmmm"),"")</f>
        <v>febbraio</v>
      </c>
      <c r="F1506" s="29" t="str">
        <f>IF(DAY(Data!$C$21:$C$1613)&gt;0,TEXT(Data!$C$21:$C$1613, "aaaa"),"")</f>
        <v>2026</v>
      </c>
      <c r="I1506" t="str">
        <f>IF(OR(H1506=$B$5,H1506=$B$6,H1506=$B$7,H1506=$B$8,H1506=$B$9,H1506=$B$10,H1506=$B$11,H1506=$B$12,H1506=$B$13,H1506=$B$14),SottocategorieUscite[[#Headers],[Fuori Casa]],IF(OR(H1506=$C$5,H1506=$C$6,H1506=$C$7,H1506=$C$8,H1506=$C$9,H1506=$C$10,H1506=$C$11,H1506=$C$12,H1506=$C$13,H1506=$C$14),SottocategorieUscite[[#Headers],[Varie Uscite]],IF(OR(H1506=$D$5,H1506=$D$6,H1506=$D$7,H1506=$D$8,H1506=$D$9,H1506=$D$10,H1506=$D$11,H1506=$D$12,H1506=$D$13,H1506=$D$14),SottocategorieUscite[[#Headers],[Personali]],IF(OR(H1506=$E$5,H1506=$E$6,H1506=$E$7,H1506=$E$8,H1506=$E$9,H1506=$E$10,H1506=$E$11,H1506=$E$12,H1506=$E$13,H1506=$E$14),SottocategorieUscite[[#Headers],[Lavoro]],IF(OR(H1506=$F$5,H1506=$F$6,H1506=$F$7,H1506=$F$8,H1506=$F$9,H1506=$F$10,H1506=$F$11,H1506=$F$12,H1506=$F$13,H1506=$F$14),SottocategorieUscite[[#Headers],[Casa]],IF(OR(H1506=$G$5,H1506=$G$6,H1506=$G$7,H1506=$G$8,H1506=$G$9,H1506=$G$10,H1506=$G$11,H1506=$G$12,H1506=$G$13,H1506=$G$14),SottocategorieUscite[[#Headers],[Utenze]],IF(OR(H1506=$H$5,H1506=$H$6,H1506=$H$7,H1506=$H$8,H1506=$H$9,H1506=$H$10,H1506=$H$11,H1506=$H$12,H1506=$H$13,H1506=$H$14),SottocategorieUscite[[#Headers],[Business Uscite]],IF(OR(H1506=$I$5,H1506=$I$6,H1506=$I$7,H1506=$I$8,H1506=$I$9,H1506=$I$10,H1506=$I$11,H1506=$I$12,H1506=$I$13,H1506=$I$14),SottocategorieUscite[[#Headers],[Banca]],IF(OR(H1506=K$5,H1506=K$6,H1506=K$7,H1506=K$8,H1506=K$9,H1506=K$10,H1506=K$11,H1506=K$12,H1506=K$13,H1506=K$14),SottocategorieEntrate[[#Headers],[Business Entrate]],IF(OR(H1506=L$5,H1506=L$6,H1506=L$7,H1506=L$8,H1506=L$9,H1506=L$10,H1506=L$11,H1506=L$12,H1506=L$13,H1506=L$14),SottocategorieEntrate[[#Headers],[Varie Entrate]],IF(OR(H1506=M$5,H1506=M$6,H1506=M$7,H1506=M$8,H1506=M$9,H1506=M$10,H1506=M$11,H1506=M$12,H1506=M$13,H1506=M$14),SottocategorieEntrate[[#Headers],[Real Estate]],IF(OR(H1506=N$5,H1506=N$6,H1506=N$7,H1506=N$8,H1506=N$9,H1506=N$10,H1506=N$11,H1506=N$12,H1506=N$13,H1506=N$14),SottocategorieEntrate[[#Headers],[Other]],""))))))))))))</f>
        <v/>
      </c>
      <c r="J1506" t="str">
        <f>IF(OR(Dati[[#This Row],[Categoria]]="Bollette",Dati[[#This Row],[Categoria]]="Conto &amp; Carte BNL",Dati[[#This Row],[Categoria]]="Prelievo",Dati[[#This Row],[Categoria]]="Affitto",Dati[[#This Row],[Categoria]]="BNL(Interessi Creditori)"),"Carta",IF(Dati[[#This Row],[Categoria]]&lt;&gt;0,"Cash",""))</f>
        <v/>
      </c>
      <c r="K1506" s="59" t="str">
        <f>IF(OR(Data!$I1506=SottocategorieUscite[[#Headers],[Fuori Casa]],Data!$I1506=SottocategorieUscite[[#Headers],[Varie Uscite]],Data!$I1506=SottocategorieUscite[[#Headers],[Personali]],Data!$I1506=SottocategorieUscite[[#Headers],[Lavoro]]),"$ -","")</f>
        <v/>
      </c>
      <c r="L1506" s="59" t="str">
        <f>IF(OR(Data!$I1506=SottocategorieUscite[[#Headers],[Casa]],Data!$I1506=SottocategorieUscite[[#Headers],[Utenze]],Data!$I1506=SottocategorieUscite[[#Headers],[Business Uscite]],Data!$I1506=SottocategorieUscite[[#Headers],[Banca]]),"$ -","")</f>
        <v/>
      </c>
      <c r="M1506" s="59" t="str">
        <f>IF(OR($I1506&lt;&gt;SottocategorieUscite[[#Headers],[Fuori Casa]],$I1506&lt;&gt;SottocategorieUscite[[#Headers],[Varie Uscite]],$I1506&lt;&gt;SottocategorieUscite[[#Headers],[Personali]],$I1506&lt;&gt;SottocategorieUscite[[#Headers],[Lavoro]],$I1506&lt;&gt;SottocategorieUscite[[#Headers],[Casa]],$I1506&lt;&gt;SottocategorieUscite[[#Headers],[Utenze]],$I1506&lt;&gt;SottocategorieUscite[[#Headers],[Business Uscite]],$I1506&lt;&gt;SottocategorieUscite[[#Headers],[Banca]]),"","$ -")</f>
        <v/>
      </c>
      <c r="N1506" s="59" t="str">
        <f>IF(OR(Data!$I1506=SottocategorieEntrate[[#Headers],[Business Entrate]],Data!$I1506=SottocategorieEntrate[[#Headers],[Varie Entrate]]),"$ -","")</f>
        <v/>
      </c>
      <c r="O1506" s="59" t="str">
        <f>IF(OR(Data!$I1506=SottocategorieEntrate[[#Headers],[Real Estate]],SottocategorieEntrate[[#Headers],[Other]]),"$ -","")</f>
        <v/>
      </c>
      <c r="P1506" s="59" t="str">
        <f>IF(OR($I1506&lt;&gt;SottocategorieEntrate[[#Headers],[Business Entrate]],$I1506&lt;&gt;SottocategorieEntrate[[#Headers],[Varie Entrate]],$I1506&lt;&gt;SottocategorieEntrate[[#Headers],[Real Estate]],$I1506&lt;&gt;SottocategorieEntrate[[#Headers],[Other]]),"","$ -")</f>
        <v/>
      </c>
      <c r="Q1506" s="59" t="str">
        <f>IF(Dati[[#This Row],[Categoria]]="Prelievo","€ -","")</f>
        <v/>
      </c>
      <c r="R1506" s="244"/>
      <c r="S1506" s="59" t="str">
        <f>IF(Dati[[#This Row],[Categoria]]="Savings",0,"")</f>
        <v/>
      </c>
      <c r="T1506" s="59"/>
      <c r="U1506" s="59"/>
      <c r="V1506" s="59"/>
      <c r="W1506" s="59"/>
      <c r="X1506" s="59"/>
      <c r="Y1506" s="59"/>
      <c r="Z1506" s="59"/>
      <c r="AA1506" s="59"/>
      <c r="AB1506" s="59"/>
      <c r="AC1506" s="59"/>
      <c r="AD1506" s="59"/>
      <c r="AE1506" s="59"/>
      <c r="AF1506" s="59"/>
      <c r="AG1506" s="59"/>
      <c r="AH1506" s="59"/>
      <c r="AI1506" s="59" t="str">
        <f>IF(SUM(Dati[[#This Row],[Inv. Business]:[Inv. Cryptocurrency]])=0," ",SUM(Dati[[#This Row],[Inv. Business]:[Inv. Cryptocurrency]]))</f>
        <v xml:space="preserve"> </v>
      </c>
      <c r="AJ1506" s="59"/>
      <c r="AK1506" s="59" t="str">
        <f>IF(SUM(Dati[[#This Row],[Inv. Gold]:[Mutuo]])=0," ",SUM(Dati[[#This Row],[Inv. Gold]:[Mutuo]]))</f>
        <v xml:space="preserve"> </v>
      </c>
      <c r="AL1506" s="59"/>
      <c r="AM1506" s="59"/>
    </row>
    <row r="1507" spans="2:39" x14ac:dyDescent="0.35">
      <c r="B1507" s="237">
        <f t="shared" si="109"/>
        <v>1487</v>
      </c>
      <c r="C1507" s="49">
        <f t="shared" si="110"/>
        <v>46065</v>
      </c>
      <c r="D1507" s="29">
        <f>DAY(Dati[[#This Row],[Data]])</f>
        <v>12</v>
      </c>
      <c r="E1507" s="29" t="str">
        <f>IF(DAY(Data!$C$21:$C$1613)&gt;0,TEXT(Data!$C$21:$C$1613, "mmmm"),"")</f>
        <v>febbraio</v>
      </c>
      <c r="F1507" s="29" t="str">
        <f>IF(DAY(Data!$C$21:$C$1613)&gt;0,TEXT(Data!$C$21:$C$1613, "aaaa"),"")</f>
        <v>2026</v>
      </c>
      <c r="I1507" t="str">
        <f>IF(OR(H1507=$B$5,H1507=$B$6,H1507=$B$7,H1507=$B$8,H1507=$B$9,H1507=$B$10,H1507=$B$11,H1507=$B$12,H1507=$B$13,H1507=$B$14),SottocategorieUscite[[#Headers],[Fuori Casa]],IF(OR(H1507=$C$5,H1507=$C$6,H1507=$C$7,H1507=$C$8,H1507=$C$9,H1507=$C$10,H1507=$C$11,H1507=$C$12,H1507=$C$13,H1507=$C$14),SottocategorieUscite[[#Headers],[Varie Uscite]],IF(OR(H1507=$D$5,H1507=$D$6,H1507=$D$7,H1507=$D$8,H1507=$D$9,H1507=$D$10,H1507=$D$11,H1507=$D$12,H1507=$D$13,H1507=$D$14),SottocategorieUscite[[#Headers],[Personali]],IF(OR(H1507=$E$5,H1507=$E$6,H1507=$E$7,H1507=$E$8,H1507=$E$9,H1507=$E$10,H1507=$E$11,H1507=$E$12,H1507=$E$13,H1507=$E$14),SottocategorieUscite[[#Headers],[Lavoro]],IF(OR(H1507=$F$5,H1507=$F$6,H1507=$F$7,H1507=$F$8,H1507=$F$9,H1507=$F$10,H1507=$F$11,H1507=$F$12,H1507=$F$13,H1507=$F$14),SottocategorieUscite[[#Headers],[Casa]],IF(OR(H1507=$G$5,H1507=$G$6,H1507=$G$7,H1507=$G$8,H1507=$G$9,H1507=$G$10,H1507=$G$11,H1507=$G$12,H1507=$G$13,H1507=$G$14),SottocategorieUscite[[#Headers],[Utenze]],IF(OR(H1507=$H$5,H1507=$H$6,H1507=$H$7,H1507=$H$8,H1507=$H$9,H1507=$H$10,H1507=$H$11,H1507=$H$12,H1507=$H$13,H1507=$H$14),SottocategorieUscite[[#Headers],[Business Uscite]],IF(OR(H1507=$I$5,H1507=$I$6,H1507=$I$7,H1507=$I$8,H1507=$I$9,H1507=$I$10,H1507=$I$11,H1507=$I$12,H1507=$I$13,H1507=$I$14),SottocategorieUscite[[#Headers],[Banca]],IF(OR(H1507=K$5,H1507=K$6,H1507=K$7,H1507=K$8,H1507=K$9,H1507=K$10,H1507=K$11,H1507=K$12,H1507=K$13,H1507=K$14),SottocategorieEntrate[[#Headers],[Business Entrate]],IF(OR(H1507=L$5,H1507=L$6,H1507=L$7,H1507=L$8,H1507=L$9,H1507=L$10,H1507=L$11,H1507=L$12,H1507=L$13,H1507=L$14),SottocategorieEntrate[[#Headers],[Varie Entrate]],IF(OR(H1507=M$5,H1507=M$6,H1507=M$7,H1507=M$8,H1507=M$9,H1507=M$10,H1507=M$11,H1507=M$12,H1507=M$13,H1507=M$14),SottocategorieEntrate[[#Headers],[Real Estate]],IF(OR(H1507=N$5,H1507=N$6,H1507=N$7,H1507=N$8,H1507=N$9,H1507=N$10,H1507=N$11,H1507=N$12,H1507=N$13,H1507=N$14),SottocategorieEntrate[[#Headers],[Other]],""))))))))))))</f>
        <v/>
      </c>
      <c r="J1507" t="str">
        <f>IF(OR(Dati[[#This Row],[Categoria]]="Bollette",Dati[[#This Row],[Categoria]]="Conto &amp; Carte BNL",Dati[[#This Row],[Categoria]]="Prelievo",Dati[[#This Row],[Categoria]]="Affitto",Dati[[#This Row],[Categoria]]="BNL(Interessi Creditori)"),"Carta",IF(Dati[[#This Row],[Categoria]]&lt;&gt;0,"Cash",""))</f>
        <v/>
      </c>
      <c r="K1507" s="59" t="str">
        <f>IF(OR(Data!$I1507=SottocategorieUscite[[#Headers],[Fuori Casa]],Data!$I1507=SottocategorieUscite[[#Headers],[Varie Uscite]],Data!$I1507=SottocategorieUscite[[#Headers],[Personali]],Data!$I1507=SottocategorieUscite[[#Headers],[Lavoro]]),"$ -","")</f>
        <v/>
      </c>
      <c r="L1507" s="59" t="str">
        <f>IF(OR(Data!$I1507=SottocategorieUscite[[#Headers],[Casa]],Data!$I1507=SottocategorieUscite[[#Headers],[Utenze]],Data!$I1507=SottocategorieUscite[[#Headers],[Business Uscite]],Data!$I1507=SottocategorieUscite[[#Headers],[Banca]]),"$ -","")</f>
        <v/>
      </c>
      <c r="M1507" s="59" t="str">
        <f>IF(OR($I1507&lt;&gt;SottocategorieUscite[[#Headers],[Fuori Casa]],$I1507&lt;&gt;SottocategorieUscite[[#Headers],[Varie Uscite]],$I1507&lt;&gt;SottocategorieUscite[[#Headers],[Personali]],$I1507&lt;&gt;SottocategorieUscite[[#Headers],[Lavoro]],$I1507&lt;&gt;SottocategorieUscite[[#Headers],[Casa]],$I1507&lt;&gt;SottocategorieUscite[[#Headers],[Utenze]],$I1507&lt;&gt;SottocategorieUscite[[#Headers],[Business Uscite]],$I1507&lt;&gt;SottocategorieUscite[[#Headers],[Banca]]),"","$ -")</f>
        <v/>
      </c>
      <c r="N1507" s="59" t="str">
        <f>IF(OR(Data!$I1507=SottocategorieEntrate[[#Headers],[Business Entrate]],Data!$I1507=SottocategorieEntrate[[#Headers],[Varie Entrate]]),"$ -","")</f>
        <v/>
      </c>
      <c r="O1507" s="59" t="str">
        <f>IF(OR(Data!$I1507=SottocategorieEntrate[[#Headers],[Real Estate]],SottocategorieEntrate[[#Headers],[Other]]),"$ -","")</f>
        <v/>
      </c>
      <c r="P1507" s="59" t="str">
        <f>IF(OR($I1507&lt;&gt;SottocategorieEntrate[[#Headers],[Business Entrate]],$I1507&lt;&gt;SottocategorieEntrate[[#Headers],[Varie Entrate]],$I1507&lt;&gt;SottocategorieEntrate[[#Headers],[Real Estate]],$I1507&lt;&gt;SottocategorieEntrate[[#Headers],[Other]]),"","$ -")</f>
        <v/>
      </c>
      <c r="Q1507" s="59" t="str">
        <f>IF(Dati[[#This Row],[Categoria]]="Prelievo","€ -","")</f>
        <v/>
      </c>
      <c r="R1507" s="244"/>
      <c r="S1507" s="59" t="str">
        <f>IF(Dati[[#This Row],[Categoria]]="Savings",0,"")</f>
        <v/>
      </c>
      <c r="T1507" s="59"/>
      <c r="U1507" s="59"/>
      <c r="V1507" s="59"/>
      <c r="W1507" s="59"/>
      <c r="X1507" s="59"/>
      <c r="Y1507" s="59"/>
      <c r="Z1507" s="59"/>
      <c r="AA1507" s="59"/>
      <c r="AB1507" s="59"/>
      <c r="AC1507" s="59"/>
      <c r="AD1507" s="59"/>
      <c r="AE1507" s="59"/>
      <c r="AF1507" s="59"/>
      <c r="AG1507" s="59"/>
      <c r="AH1507" s="59"/>
      <c r="AI1507" s="59" t="str">
        <f>IF(SUM(Dati[[#This Row],[Inv. Business]:[Inv. Cryptocurrency]])=0," ",SUM(Dati[[#This Row],[Inv. Business]:[Inv. Cryptocurrency]]))</f>
        <v xml:space="preserve"> </v>
      </c>
      <c r="AJ1507" s="59"/>
      <c r="AK1507" s="59" t="str">
        <f>IF(SUM(Dati[[#This Row],[Inv. Gold]:[Mutuo]])=0," ",SUM(Dati[[#This Row],[Inv. Gold]:[Mutuo]]))</f>
        <v xml:space="preserve"> </v>
      </c>
      <c r="AL1507" s="59"/>
      <c r="AM1507" s="59"/>
    </row>
    <row r="1508" spans="2:39" x14ac:dyDescent="0.35">
      <c r="B1508" s="237">
        <f t="shared" si="109"/>
        <v>1488</v>
      </c>
      <c r="C1508" s="49">
        <f t="shared" si="110"/>
        <v>46066</v>
      </c>
      <c r="D1508" s="29">
        <f>DAY(Dati[[#This Row],[Data]])</f>
        <v>13</v>
      </c>
      <c r="E1508" s="29" t="str">
        <f>IF(DAY(Data!$C$21:$C$1613)&gt;0,TEXT(Data!$C$21:$C$1613, "mmmm"),"")</f>
        <v>febbraio</v>
      </c>
      <c r="F1508" s="29" t="str">
        <f>IF(DAY(Data!$C$21:$C$1613)&gt;0,TEXT(Data!$C$21:$C$1613, "aaaa"),"")</f>
        <v>2026</v>
      </c>
      <c r="I1508" t="str">
        <f>IF(OR(H1508=$B$5,H1508=$B$6,H1508=$B$7,H1508=$B$8,H1508=$B$9,H1508=$B$10,H1508=$B$11,H1508=$B$12,H1508=$B$13,H1508=$B$14),SottocategorieUscite[[#Headers],[Fuori Casa]],IF(OR(H1508=$C$5,H1508=$C$6,H1508=$C$7,H1508=$C$8,H1508=$C$9,H1508=$C$10,H1508=$C$11,H1508=$C$12,H1508=$C$13,H1508=$C$14),SottocategorieUscite[[#Headers],[Varie Uscite]],IF(OR(H1508=$D$5,H1508=$D$6,H1508=$D$7,H1508=$D$8,H1508=$D$9,H1508=$D$10,H1508=$D$11,H1508=$D$12,H1508=$D$13,H1508=$D$14),SottocategorieUscite[[#Headers],[Personali]],IF(OR(H1508=$E$5,H1508=$E$6,H1508=$E$7,H1508=$E$8,H1508=$E$9,H1508=$E$10,H1508=$E$11,H1508=$E$12,H1508=$E$13,H1508=$E$14),SottocategorieUscite[[#Headers],[Lavoro]],IF(OR(H1508=$F$5,H1508=$F$6,H1508=$F$7,H1508=$F$8,H1508=$F$9,H1508=$F$10,H1508=$F$11,H1508=$F$12,H1508=$F$13,H1508=$F$14),SottocategorieUscite[[#Headers],[Casa]],IF(OR(H1508=$G$5,H1508=$G$6,H1508=$G$7,H1508=$G$8,H1508=$G$9,H1508=$G$10,H1508=$G$11,H1508=$G$12,H1508=$G$13,H1508=$G$14),SottocategorieUscite[[#Headers],[Utenze]],IF(OR(H1508=$H$5,H1508=$H$6,H1508=$H$7,H1508=$H$8,H1508=$H$9,H1508=$H$10,H1508=$H$11,H1508=$H$12,H1508=$H$13,H1508=$H$14),SottocategorieUscite[[#Headers],[Business Uscite]],IF(OR(H1508=$I$5,H1508=$I$6,H1508=$I$7,H1508=$I$8,H1508=$I$9,H1508=$I$10,H1508=$I$11,H1508=$I$12,H1508=$I$13,H1508=$I$14),SottocategorieUscite[[#Headers],[Banca]],IF(OR(H1508=K$5,H1508=K$6,H1508=K$7,H1508=K$8,H1508=K$9,H1508=K$10,H1508=K$11,H1508=K$12,H1508=K$13,H1508=K$14),SottocategorieEntrate[[#Headers],[Business Entrate]],IF(OR(H1508=L$5,H1508=L$6,H1508=L$7,H1508=L$8,H1508=L$9,H1508=L$10,H1508=L$11,H1508=L$12,H1508=L$13,H1508=L$14),SottocategorieEntrate[[#Headers],[Varie Entrate]],IF(OR(H1508=M$5,H1508=M$6,H1508=M$7,H1508=M$8,H1508=M$9,H1508=M$10,H1508=M$11,H1508=M$12,H1508=M$13,H1508=M$14),SottocategorieEntrate[[#Headers],[Real Estate]],IF(OR(H1508=N$5,H1508=N$6,H1508=N$7,H1508=N$8,H1508=N$9,H1508=N$10,H1508=N$11,H1508=N$12,H1508=N$13,H1508=N$14),SottocategorieEntrate[[#Headers],[Other]],""))))))))))))</f>
        <v/>
      </c>
      <c r="J1508" t="str">
        <f>IF(OR(Dati[[#This Row],[Categoria]]="Bollette",Dati[[#This Row],[Categoria]]="Conto &amp; Carte BNL",Dati[[#This Row],[Categoria]]="Prelievo",Dati[[#This Row],[Categoria]]="Affitto",Dati[[#This Row],[Categoria]]="BNL(Interessi Creditori)"),"Carta",IF(Dati[[#This Row],[Categoria]]&lt;&gt;0,"Cash",""))</f>
        <v/>
      </c>
      <c r="K1508" s="59" t="str">
        <f>IF(OR(Data!$I1508=SottocategorieUscite[[#Headers],[Fuori Casa]],Data!$I1508=SottocategorieUscite[[#Headers],[Varie Uscite]],Data!$I1508=SottocategorieUscite[[#Headers],[Personali]],Data!$I1508=SottocategorieUscite[[#Headers],[Lavoro]]),"$ -","")</f>
        <v/>
      </c>
      <c r="L1508" s="59" t="str">
        <f>IF(OR(Data!$I1508=SottocategorieUscite[[#Headers],[Casa]],Data!$I1508=SottocategorieUscite[[#Headers],[Utenze]],Data!$I1508=SottocategorieUscite[[#Headers],[Business Uscite]],Data!$I1508=SottocategorieUscite[[#Headers],[Banca]]),"$ -","")</f>
        <v/>
      </c>
      <c r="M1508" s="59" t="str">
        <f>IF(OR($I1508&lt;&gt;SottocategorieUscite[[#Headers],[Fuori Casa]],$I1508&lt;&gt;SottocategorieUscite[[#Headers],[Varie Uscite]],$I1508&lt;&gt;SottocategorieUscite[[#Headers],[Personali]],$I1508&lt;&gt;SottocategorieUscite[[#Headers],[Lavoro]],$I1508&lt;&gt;SottocategorieUscite[[#Headers],[Casa]],$I1508&lt;&gt;SottocategorieUscite[[#Headers],[Utenze]],$I1508&lt;&gt;SottocategorieUscite[[#Headers],[Business Uscite]],$I1508&lt;&gt;SottocategorieUscite[[#Headers],[Banca]]),"","$ -")</f>
        <v/>
      </c>
      <c r="N1508" s="59" t="str">
        <f>IF(OR(Data!$I1508=SottocategorieEntrate[[#Headers],[Business Entrate]],Data!$I1508=SottocategorieEntrate[[#Headers],[Varie Entrate]]),"$ -","")</f>
        <v/>
      </c>
      <c r="O1508" s="59" t="str">
        <f>IF(OR(Data!$I1508=SottocategorieEntrate[[#Headers],[Real Estate]],SottocategorieEntrate[[#Headers],[Other]]),"$ -","")</f>
        <v/>
      </c>
      <c r="P1508" s="59" t="str">
        <f>IF(OR($I1508&lt;&gt;SottocategorieEntrate[[#Headers],[Business Entrate]],$I1508&lt;&gt;SottocategorieEntrate[[#Headers],[Varie Entrate]],$I1508&lt;&gt;SottocategorieEntrate[[#Headers],[Real Estate]],$I1508&lt;&gt;SottocategorieEntrate[[#Headers],[Other]]),"","$ -")</f>
        <v/>
      </c>
      <c r="Q1508" s="59" t="str">
        <f>IF(Dati[[#This Row],[Categoria]]="Prelievo","€ -","")</f>
        <v/>
      </c>
      <c r="R1508" s="244"/>
      <c r="S1508" s="59" t="str">
        <f>IF(Dati[[#This Row],[Categoria]]="Savings",0,"")</f>
        <v/>
      </c>
      <c r="T1508" s="59"/>
      <c r="U1508" s="59"/>
      <c r="V1508" s="59"/>
      <c r="W1508" s="59"/>
      <c r="X1508" s="59"/>
      <c r="Y1508" s="59"/>
      <c r="Z1508" s="59"/>
      <c r="AA1508" s="59"/>
      <c r="AB1508" s="59"/>
      <c r="AC1508" s="59"/>
      <c r="AD1508" s="59"/>
      <c r="AE1508" s="59"/>
      <c r="AF1508" s="59"/>
      <c r="AG1508" s="59"/>
      <c r="AH1508" s="59"/>
      <c r="AI1508" s="59" t="str">
        <f>IF(SUM(Dati[[#This Row],[Inv. Business]:[Inv. Cryptocurrency]])=0," ",SUM(Dati[[#This Row],[Inv. Business]:[Inv. Cryptocurrency]]))</f>
        <v xml:space="preserve"> </v>
      </c>
      <c r="AJ1508" s="59"/>
      <c r="AK1508" s="59" t="str">
        <f>IF(SUM(Dati[[#This Row],[Inv. Gold]:[Mutuo]])=0," ",SUM(Dati[[#This Row],[Inv. Gold]:[Mutuo]]))</f>
        <v xml:space="preserve"> </v>
      </c>
      <c r="AL1508" s="59"/>
      <c r="AM1508" s="59"/>
    </row>
    <row r="1509" spans="2:39" x14ac:dyDescent="0.35">
      <c r="B1509" s="237">
        <f t="shared" si="109"/>
        <v>1489</v>
      </c>
      <c r="C1509" s="49">
        <f t="shared" si="110"/>
        <v>46067</v>
      </c>
      <c r="D1509" s="29">
        <f>DAY(Dati[[#This Row],[Data]])</f>
        <v>14</v>
      </c>
      <c r="E1509" s="29" t="str">
        <f>IF(DAY(Data!$C$21:$C$1613)&gt;0,TEXT(Data!$C$21:$C$1613, "mmmm"),"")</f>
        <v>febbraio</v>
      </c>
      <c r="F1509" s="29" t="str">
        <f>IF(DAY(Data!$C$21:$C$1613)&gt;0,TEXT(Data!$C$21:$C$1613, "aaaa"),"")</f>
        <v>2026</v>
      </c>
      <c r="I1509" t="str">
        <f>IF(OR(H1509=$B$5,H1509=$B$6,H1509=$B$7,H1509=$B$8,H1509=$B$9,H1509=$B$10,H1509=$B$11,H1509=$B$12,H1509=$B$13,H1509=$B$14),SottocategorieUscite[[#Headers],[Fuori Casa]],IF(OR(H1509=$C$5,H1509=$C$6,H1509=$C$7,H1509=$C$8,H1509=$C$9,H1509=$C$10,H1509=$C$11,H1509=$C$12,H1509=$C$13,H1509=$C$14),SottocategorieUscite[[#Headers],[Varie Uscite]],IF(OR(H1509=$D$5,H1509=$D$6,H1509=$D$7,H1509=$D$8,H1509=$D$9,H1509=$D$10,H1509=$D$11,H1509=$D$12,H1509=$D$13,H1509=$D$14),SottocategorieUscite[[#Headers],[Personali]],IF(OR(H1509=$E$5,H1509=$E$6,H1509=$E$7,H1509=$E$8,H1509=$E$9,H1509=$E$10,H1509=$E$11,H1509=$E$12,H1509=$E$13,H1509=$E$14),SottocategorieUscite[[#Headers],[Lavoro]],IF(OR(H1509=$F$5,H1509=$F$6,H1509=$F$7,H1509=$F$8,H1509=$F$9,H1509=$F$10,H1509=$F$11,H1509=$F$12,H1509=$F$13,H1509=$F$14),SottocategorieUscite[[#Headers],[Casa]],IF(OR(H1509=$G$5,H1509=$G$6,H1509=$G$7,H1509=$G$8,H1509=$G$9,H1509=$G$10,H1509=$G$11,H1509=$G$12,H1509=$G$13,H1509=$G$14),SottocategorieUscite[[#Headers],[Utenze]],IF(OR(H1509=$H$5,H1509=$H$6,H1509=$H$7,H1509=$H$8,H1509=$H$9,H1509=$H$10,H1509=$H$11,H1509=$H$12,H1509=$H$13,H1509=$H$14),SottocategorieUscite[[#Headers],[Business Uscite]],IF(OR(H1509=$I$5,H1509=$I$6,H1509=$I$7,H1509=$I$8,H1509=$I$9,H1509=$I$10,H1509=$I$11,H1509=$I$12,H1509=$I$13,H1509=$I$14),SottocategorieUscite[[#Headers],[Banca]],IF(OR(H1509=K$5,H1509=K$6,H1509=K$7,H1509=K$8,H1509=K$9,H1509=K$10,H1509=K$11,H1509=K$12,H1509=K$13,H1509=K$14),SottocategorieEntrate[[#Headers],[Business Entrate]],IF(OR(H1509=L$5,H1509=L$6,H1509=L$7,H1509=L$8,H1509=L$9,H1509=L$10,H1509=L$11,H1509=L$12,H1509=L$13,H1509=L$14),SottocategorieEntrate[[#Headers],[Varie Entrate]],IF(OR(H1509=M$5,H1509=M$6,H1509=M$7,H1509=M$8,H1509=M$9,H1509=M$10,H1509=M$11,H1509=M$12,H1509=M$13,H1509=M$14),SottocategorieEntrate[[#Headers],[Real Estate]],IF(OR(H1509=N$5,H1509=N$6,H1509=N$7,H1509=N$8,H1509=N$9,H1509=N$10,H1509=N$11,H1509=N$12,H1509=N$13,H1509=N$14),SottocategorieEntrate[[#Headers],[Other]],""))))))))))))</f>
        <v/>
      </c>
      <c r="J1509" t="str">
        <f>IF(OR(Dati[[#This Row],[Categoria]]="Bollette",Dati[[#This Row],[Categoria]]="Conto &amp; Carte BNL",Dati[[#This Row],[Categoria]]="Prelievo",Dati[[#This Row],[Categoria]]="Affitto",Dati[[#This Row],[Categoria]]="BNL(Interessi Creditori)"),"Carta",IF(Dati[[#This Row],[Categoria]]&lt;&gt;0,"Cash",""))</f>
        <v/>
      </c>
      <c r="K1509" s="59" t="str">
        <f>IF(OR(Data!$I1509=SottocategorieUscite[[#Headers],[Fuori Casa]],Data!$I1509=SottocategorieUscite[[#Headers],[Varie Uscite]],Data!$I1509=SottocategorieUscite[[#Headers],[Personali]],Data!$I1509=SottocategorieUscite[[#Headers],[Lavoro]]),"$ -","")</f>
        <v/>
      </c>
      <c r="L1509" s="59" t="str">
        <f>IF(OR(Data!$I1509=SottocategorieUscite[[#Headers],[Casa]],Data!$I1509=SottocategorieUscite[[#Headers],[Utenze]],Data!$I1509=SottocategorieUscite[[#Headers],[Business Uscite]],Data!$I1509=SottocategorieUscite[[#Headers],[Banca]]),"$ -","")</f>
        <v/>
      </c>
      <c r="M1509" s="59" t="str">
        <f>IF(OR($I1509&lt;&gt;SottocategorieUscite[[#Headers],[Fuori Casa]],$I1509&lt;&gt;SottocategorieUscite[[#Headers],[Varie Uscite]],$I1509&lt;&gt;SottocategorieUscite[[#Headers],[Personali]],$I1509&lt;&gt;SottocategorieUscite[[#Headers],[Lavoro]],$I1509&lt;&gt;SottocategorieUscite[[#Headers],[Casa]],$I1509&lt;&gt;SottocategorieUscite[[#Headers],[Utenze]],$I1509&lt;&gt;SottocategorieUscite[[#Headers],[Business Uscite]],$I1509&lt;&gt;SottocategorieUscite[[#Headers],[Banca]]),"","$ -")</f>
        <v/>
      </c>
      <c r="N1509" s="59" t="str">
        <f>IF(OR(Data!$I1509=SottocategorieEntrate[[#Headers],[Business Entrate]],Data!$I1509=SottocategorieEntrate[[#Headers],[Varie Entrate]]),"$ -","")</f>
        <v/>
      </c>
      <c r="O1509" s="59" t="str">
        <f>IF(OR(Data!$I1509=SottocategorieEntrate[[#Headers],[Real Estate]],SottocategorieEntrate[[#Headers],[Other]]),"$ -","")</f>
        <v/>
      </c>
      <c r="P1509" s="59" t="str">
        <f>IF(OR($I1509&lt;&gt;SottocategorieEntrate[[#Headers],[Business Entrate]],$I1509&lt;&gt;SottocategorieEntrate[[#Headers],[Varie Entrate]],$I1509&lt;&gt;SottocategorieEntrate[[#Headers],[Real Estate]],$I1509&lt;&gt;SottocategorieEntrate[[#Headers],[Other]]),"","$ -")</f>
        <v/>
      </c>
      <c r="Q1509" s="59" t="str">
        <f>IF(Dati[[#This Row],[Categoria]]="Prelievo","€ -","")</f>
        <v/>
      </c>
      <c r="R1509" s="244"/>
      <c r="S1509" s="59" t="str">
        <f>IF(Dati[[#This Row],[Categoria]]="Savings",0,"")</f>
        <v/>
      </c>
      <c r="T1509" s="59"/>
      <c r="U1509" s="59"/>
      <c r="V1509" s="59"/>
      <c r="W1509" s="59"/>
      <c r="X1509" s="59"/>
      <c r="Y1509" s="59"/>
      <c r="Z1509" s="59"/>
      <c r="AA1509" s="59"/>
      <c r="AB1509" s="59"/>
      <c r="AC1509" s="59"/>
      <c r="AD1509" s="59"/>
      <c r="AE1509" s="59"/>
      <c r="AF1509" s="59"/>
      <c r="AG1509" s="59"/>
      <c r="AH1509" s="59"/>
      <c r="AI1509" s="59" t="str">
        <f>IF(SUM(Dati[[#This Row],[Inv. Business]:[Inv. Cryptocurrency]])=0," ",SUM(Dati[[#This Row],[Inv. Business]:[Inv. Cryptocurrency]]))</f>
        <v xml:space="preserve"> </v>
      </c>
      <c r="AJ1509" s="59"/>
      <c r="AK1509" s="59" t="str">
        <f>IF(SUM(Dati[[#This Row],[Inv. Gold]:[Mutuo]])=0," ",SUM(Dati[[#This Row],[Inv. Gold]:[Mutuo]]))</f>
        <v xml:space="preserve"> </v>
      </c>
      <c r="AL1509" s="59"/>
      <c r="AM1509" s="59"/>
    </row>
    <row r="1510" spans="2:39" x14ac:dyDescent="0.35">
      <c r="B1510" s="237">
        <f t="shared" si="109"/>
        <v>1490</v>
      </c>
      <c r="C1510" s="49">
        <f t="shared" si="110"/>
        <v>46068</v>
      </c>
      <c r="D1510" s="29">
        <f>DAY(Dati[[#This Row],[Data]])</f>
        <v>15</v>
      </c>
      <c r="E1510" s="29" t="str">
        <f>IF(DAY(Data!$C$21:$C$1613)&gt;0,TEXT(Data!$C$21:$C$1613, "mmmm"),"")</f>
        <v>febbraio</v>
      </c>
      <c r="F1510" s="29" t="str">
        <f>IF(DAY(Data!$C$21:$C$1613)&gt;0,TEXT(Data!$C$21:$C$1613, "aaaa"),"")</f>
        <v>2026</v>
      </c>
      <c r="I1510" t="str">
        <f>IF(OR(H1510=$B$5,H1510=$B$6,H1510=$B$7,H1510=$B$8,H1510=$B$9,H1510=$B$10,H1510=$B$11,H1510=$B$12,H1510=$B$13,H1510=$B$14),SottocategorieUscite[[#Headers],[Fuori Casa]],IF(OR(H1510=$C$5,H1510=$C$6,H1510=$C$7,H1510=$C$8,H1510=$C$9,H1510=$C$10,H1510=$C$11,H1510=$C$12,H1510=$C$13,H1510=$C$14),SottocategorieUscite[[#Headers],[Varie Uscite]],IF(OR(H1510=$D$5,H1510=$D$6,H1510=$D$7,H1510=$D$8,H1510=$D$9,H1510=$D$10,H1510=$D$11,H1510=$D$12,H1510=$D$13,H1510=$D$14),SottocategorieUscite[[#Headers],[Personali]],IF(OR(H1510=$E$5,H1510=$E$6,H1510=$E$7,H1510=$E$8,H1510=$E$9,H1510=$E$10,H1510=$E$11,H1510=$E$12,H1510=$E$13,H1510=$E$14),SottocategorieUscite[[#Headers],[Lavoro]],IF(OR(H1510=$F$5,H1510=$F$6,H1510=$F$7,H1510=$F$8,H1510=$F$9,H1510=$F$10,H1510=$F$11,H1510=$F$12,H1510=$F$13,H1510=$F$14),SottocategorieUscite[[#Headers],[Casa]],IF(OR(H1510=$G$5,H1510=$G$6,H1510=$G$7,H1510=$G$8,H1510=$G$9,H1510=$G$10,H1510=$G$11,H1510=$G$12,H1510=$G$13,H1510=$G$14),SottocategorieUscite[[#Headers],[Utenze]],IF(OR(H1510=$H$5,H1510=$H$6,H1510=$H$7,H1510=$H$8,H1510=$H$9,H1510=$H$10,H1510=$H$11,H1510=$H$12,H1510=$H$13,H1510=$H$14),SottocategorieUscite[[#Headers],[Business Uscite]],IF(OR(H1510=$I$5,H1510=$I$6,H1510=$I$7,H1510=$I$8,H1510=$I$9,H1510=$I$10,H1510=$I$11,H1510=$I$12,H1510=$I$13,H1510=$I$14),SottocategorieUscite[[#Headers],[Banca]],IF(OR(H1510=K$5,H1510=K$6,H1510=K$7,H1510=K$8,H1510=K$9,H1510=K$10,H1510=K$11,H1510=K$12,H1510=K$13,H1510=K$14),SottocategorieEntrate[[#Headers],[Business Entrate]],IF(OR(H1510=L$5,H1510=L$6,H1510=L$7,H1510=L$8,H1510=L$9,H1510=L$10,H1510=L$11,H1510=L$12,H1510=L$13,H1510=L$14),SottocategorieEntrate[[#Headers],[Varie Entrate]],IF(OR(H1510=M$5,H1510=M$6,H1510=M$7,H1510=M$8,H1510=M$9,H1510=M$10,H1510=M$11,H1510=M$12,H1510=M$13,H1510=M$14),SottocategorieEntrate[[#Headers],[Real Estate]],IF(OR(H1510=N$5,H1510=N$6,H1510=N$7,H1510=N$8,H1510=N$9,H1510=N$10,H1510=N$11,H1510=N$12,H1510=N$13,H1510=N$14),SottocategorieEntrate[[#Headers],[Other]],""))))))))))))</f>
        <v/>
      </c>
      <c r="J1510" t="str">
        <f>IF(OR(Dati[[#This Row],[Categoria]]="Bollette",Dati[[#This Row],[Categoria]]="Conto &amp; Carte BNL",Dati[[#This Row],[Categoria]]="Prelievo",Dati[[#This Row],[Categoria]]="Affitto",Dati[[#This Row],[Categoria]]="BNL(Interessi Creditori)"),"Carta",IF(Dati[[#This Row],[Categoria]]&lt;&gt;0,"Cash",""))</f>
        <v/>
      </c>
      <c r="K1510" s="59" t="str">
        <f>IF(OR(Data!$I1510=SottocategorieUscite[[#Headers],[Fuori Casa]],Data!$I1510=SottocategorieUscite[[#Headers],[Varie Uscite]],Data!$I1510=SottocategorieUscite[[#Headers],[Personali]],Data!$I1510=SottocategorieUscite[[#Headers],[Lavoro]]),"$ -","")</f>
        <v/>
      </c>
      <c r="L1510" s="59" t="str">
        <f>IF(OR(Data!$I1510=SottocategorieUscite[[#Headers],[Casa]],Data!$I1510=SottocategorieUscite[[#Headers],[Utenze]],Data!$I1510=SottocategorieUscite[[#Headers],[Business Uscite]],Data!$I1510=SottocategorieUscite[[#Headers],[Banca]]),"$ -","")</f>
        <v/>
      </c>
      <c r="M1510" s="59" t="str">
        <f>IF(OR($I1510&lt;&gt;SottocategorieUscite[[#Headers],[Fuori Casa]],$I1510&lt;&gt;SottocategorieUscite[[#Headers],[Varie Uscite]],$I1510&lt;&gt;SottocategorieUscite[[#Headers],[Personali]],$I1510&lt;&gt;SottocategorieUscite[[#Headers],[Lavoro]],$I1510&lt;&gt;SottocategorieUscite[[#Headers],[Casa]],$I1510&lt;&gt;SottocategorieUscite[[#Headers],[Utenze]],$I1510&lt;&gt;SottocategorieUscite[[#Headers],[Business Uscite]],$I1510&lt;&gt;SottocategorieUscite[[#Headers],[Banca]]),"","$ -")</f>
        <v/>
      </c>
      <c r="N1510" s="59" t="str">
        <f>IF(OR(Data!$I1510=SottocategorieEntrate[[#Headers],[Business Entrate]],Data!$I1510=SottocategorieEntrate[[#Headers],[Varie Entrate]]),"$ -","")</f>
        <v/>
      </c>
      <c r="O1510" s="59" t="str">
        <f>IF(OR(Data!$I1510=SottocategorieEntrate[[#Headers],[Real Estate]],SottocategorieEntrate[[#Headers],[Other]]),"$ -","")</f>
        <v/>
      </c>
      <c r="P1510" s="59" t="str">
        <f>IF(OR($I1510&lt;&gt;SottocategorieEntrate[[#Headers],[Business Entrate]],$I1510&lt;&gt;SottocategorieEntrate[[#Headers],[Varie Entrate]],$I1510&lt;&gt;SottocategorieEntrate[[#Headers],[Real Estate]],$I1510&lt;&gt;SottocategorieEntrate[[#Headers],[Other]]),"","$ -")</f>
        <v/>
      </c>
      <c r="Q1510" s="59" t="str">
        <f>IF(Dati[[#This Row],[Categoria]]="Prelievo","€ -","")</f>
        <v/>
      </c>
      <c r="R1510" s="244"/>
      <c r="S1510" s="59" t="str">
        <f>IF(Dati[[#This Row],[Categoria]]="Savings",0,"")</f>
        <v/>
      </c>
      <c r="T1510" s="59"/>
      <c r="U1510" s="59"/>
      <c r="V1510" s="59"/>
      <c r="W1510" s="59"/>
      <c r="X1510" s="59"/>
      <c r="Y1510" s="59"/>
      <c r="Z1510" s="59"/>
      <c r="AA1510" s="59"/>
      <c r="AB1510" s="59"/>
      <c r="AC1510" s="59"/>
      <c r="AD1510" s="59"/>
      <c r="AE1510" s="59"/>
      <c r="AF1510" s="59"/>
      <c r="AG1510" s="59"/>
      <c r="AH1510" s="59"/>
      <c r="AI1510" s="59" t="str">
        <f>IF(SUM(Dati[[#This Row],[Inv. Business]:[Inv. Cryptocurrency]])=0," ",SUM(Dati[[#This Row],[Inv. Business]:[Inv. Cryptocurrency]]))</f>
        <v xml:space="preserve"> </v>
      </c>
      <c r="AJ1510" s="59"/>
      <c r="AK1510" s="59" t="str">
        <f>IF(SUM(Dati[[#This Row],[Inv. Gold]:[Mutuo]])=0," ",SUM(Dati[[#This Row],[Inv. Gold]:[Mutuo]]))</f>
        <v xml:space="preserve"> </v>
      </c>
      <c r="AL1510" s="59"/>
      <c r="AM1510" s="59"/>
    </row>
    <row r="1511" spans="2:39" x14ac:dyDescent="0.35">
      <c r="B1511" s="237">
        <f t="shared" si="109"/>
        <v>1491</v>
      </c>
      <c r="C1511" s="49">
        <f t="shared" si="110"/>
        <v>46069</v>
      </c>
      <c r="D1511" s="29">
        <f>DAY(Dati[[#This Row],[Data]])</f>
        <v>16</v>
      </c>
      <c r="E1511" s="29" t="str">
        <f>IF(DAY(Data!$C$21:$C$1613)&gt;0,TEXT(Data!$C$21:$C$1613, "mmmm"),"")</f>
        <v>febbraio</v>
      </c>
      <c r="F1511" s="29" t="str">
        <f>IF(DAY(Data!$C$21:$C$1613)&gt;0,TEXT(Data!$C$21:$C$1613, "aaaa"),"")</f>
        <v>2026</v>
      </c>
      <c r="I1511" t="str">
        <f>IF(OR(H1511=$B$5,H1511=$B$6,H1511=$B$7,H1511=$B$8,H1511=$B$9,H1511=$B$10,H1511=$B$11,H1511=$B$12,H1511=$B$13,H1511=$B$14),SottocategorieUscite[[#Headers],[Fuori Casa]],IF(OR(H1511=$C$5,H1511=$C$6,H1511=$C$7,H1511=$C$8,H1511=$C$9,H1511=$C$10,H1511=$C$11,H1511=$C$12,H1511=$C$13,H1511=$C$14),SottocategorieUscite[[#Headers],[Varie Uscite]],IF(OR(H1511=$D$5,H1511=$D$6,H1511=$D$7,H1511=$D$8,H1511=$D$9,H1511=$D$10,H1511=$D$11,H1511=$D$12,H1511=$D$13,H1511=$D$14),SottocategorieUscite[[#Headers],[Personali]],IF(OR(H1511=$E$5,H1511=$E$6,H1511=$E$7,H1511=$E$8,H1511=$E$9,H1511=$E$10,H1511=$E$11,H1511=$E$12,H1511=$E$13,H1511=$E$14),SottocategorieUscite[[#Headers],[Lavoro]],IF(OR(H1511=$F$5,H1511=$F$6,H1511=$F$7,H1511=$F$8,H1511=$F$9,H1511=$F$10,H1511=$F$11,H1511=$F$12,H1511=$F$13,H1511=$F$14),SottocategorieUscite[[#Headers],[Casa]],IF(OR(H1511=$G$5,H1511=$G$6,H1511=$G$7,H1511=$G$8,H1511=$G$9,H1511=$G$10,H1511=$G$11,H1511=$G$12,H1511=$G$13,H1511=$G$14),SottocategorieUscite[[#Headers],[Utenze]],IF(OR(H1511=$H$5,H1511=$H$6,H1511=$H$7,H1511=$H$8,H1511=$H$9,H1511=$H$10,H1511=$H$11,H1511=$H$12,H1511=$H$13,H1511=$H$14),SottocategorieUscite[[#Headers],[Business Uscite]],IF(OR(H1511=$I$5,H1511=$I$6,H1511=$I$7,H1511=$I$8,H1511=$I$9,H1511=$I$10,H1511=$I$11,H1511=$I$12,H1511=$I$13,H1511=$I$14),SottocategorieUscite[[#Headers],[Banca]],IF(OR(H1511=K$5,H1511=K$6,H1511=K$7,H1511=K$8,H1511=K$9,H1511=K$10,H1511=K$11,H1511=K$12,H1511=K$13,H1511=K$14),SottocategorieEntrate[[#Headers],[Business Entrate]],IF(OR(H1511=L$5,H1511=L$6,H1511=L$7,H1511=L$8,H1511=L$9,H1511=L$10,H1511=L$11,H1511=L$12,H1511=L$13,H1511=L$14),SottocategorieEntrate[[#Headers],[Varie Entrate]],IF(OR(H1511=M$5,H1511=M$6,H1511=M$7,H1511=M$8,H1511=M$9,H1511=M$10,H1511=M$11,H1511=M$12,H1511=M$13,H1511=M$14),SottocategorieEntrate[[#Headers],[Real Estate]],IF(OR(H1511=N$5,H1511=N$6,H1511=N$7,H1511=N$8,H1511=N$9,H1511=N$10,H1511=N$11,H1511=N$12,H1511=N$13,H1511=N$14),SottocategorieEntrate[[#Headers],[Other]],""))))))))))))</f>
        <v/>
      </c>
      <c r="J1511" t="str">
        <f>IF(OR(Dati[[#This Row],[Categoria]]="Bollette",Dati[[#This Row],[Categoria]]="Conto &amp; Carte BNL",Dati[[#This Row],[Categoria]]="Prelievo",Dati[[#This Row],[Categoria]]="Affitto",Dati[[#This Row],[Categoria]]="BNL(Interessi Creditori)"),"Carta",IF(Dati[[#This Row],[Categoria]]&lt;&gt;0,"Cash",""))</f>
        <v/>
      </c>
      <c r="K1511" s="59" t="str">
        <f>IF(OR(Data!$I1511=SottocategorieUscite[[#Headers],[Fuori Casa]],Data!$I1511=SottocategorieUscite[[#Headers],[Varie Uscite]],Data!$I1511=SottocategorieUscite[[#Headers],[Personali]],Data!$I1511=SottocategorieUscite[[#Headers],[Lavoro]]),"$ -","")</f>
        <v/>
      </c>
      <c r="L1511" s="59" t="str">
        <f>IF(OR(Data!$I1511=SottocategorieUscite[[#Headers],[Casa]],Data!$I1511=SottocategorieUscite[[#Headers],[Utenze]],Data!$I1511=SottocategorieUscite[[#Headers],[Business Uscite]],Data!$I1511=SottocategorieUscite[[#Headers],[Banca]]),"$ -","")</f>
        <v/>
      </c>
      <c r="M1511" s="59" t="str">
        <f>IF(OR($I1511&lt;&gt;SottocategorieUscite[[#Headers],[Fuori Casa]],$I1511&lt;&gt;SottocategorieUscite[[#Headers],[Varie Uscite]],$I1511&lt;&gt;SottocategorieUscite[[#Headers],[Personali]],$I1511&lt;&gt;SottocategorieUscite[[#Headers],[Lavoro]],$I1511&lt;&gt;SottocategorieUscite[[#Headers],[Casa]],$I1511&lt;&gt;SottocategorieUscite[[#Headers],[Utenze]],$I1511&lt;&gt;SottocategorieUscite[[#Headers],[Business Uscite]],$I1511&lt;&gt;SottocategorieUscite[[#Headers],[Banca]]),"","$ -")</f>
        <v/>
      </c>
      <c r="N1511" s="59" t="str">
        <f>IF(OR(Data!$I1511=SottocategorieEntrate[[#Headers],[Business Entrate]],Data!$I1511=SottocategorieEntrate[[#Headers],[Varie Entrate]]),"$ -","")</f>
        <v/>
      </c>
      <c r="O1511" s="59" t="str">
        <f>IF(OR(Data!$I1511=SottocategorieEntrate[[#Headers],[Real Estate]],SottocategorieEntrate[[#Headers],[Other]]),"$ -","")</f>
        <v/>
      </c>
      <c r="P1511" s="59" t="str">
        <f>IF(OR($I1511&lt;&gt;SottocategorieEntrate[[#Headers],[Business Entrate]],$I1511&lt;&gt;SottocategorieEntrate[[#Headers],[Varie Entrate]],$I1511&lt;&gt;SottocategorieEntrate[[#Headers],[Real Estate]],$I1511&lt;&gt;SottocategorieEntrate[[#Headers],[Other]]),"","$ -")</f>
        <v/>
      </c>
      <c r="Q1511" s="59" t="str">
        <f>IF(Dati[[#This Row],[Categoria]]="Prelievo","€ -","")</f>
        <v/>
      </c>
      <c r="R1511" s="244"/>
      <c r="S1511" s="59" t="str">
        <f>IF(Dati[[#This Row],[Categoria]]="Savings",0,"")</f>
        <v/>
      </c>
      <c r="T1511" s="59"/>
      <c r="U1511" s="59"/>
      <c r="V1511" s="59"/>
      <c r="W1511" s="59"/>
      <c r="X1511" s="59"/>
      <c r="Y1511" s="59"/>
      <c r="Z1511" s="59"/>
      <c r="AA1511" s="59"/>
      <c r="AB1511" s="59"/>
      <c r="AC1511" s="59"/>
      <c r="AD1511" s="59"/>
      <c r="AE1511" s="59"/>
      <c r="AF1511" s="59"/>
      <c r="AG1511" s="59"/>
      <c r="AH1511" s="59"/>
      <c r="AI1511" s="59" t="str">
        <f>IF(SUM(Dati[[#This Row],[Inv. Business]:[Inv. Cryptocurrency]])=0," ",SUM(Dati[[#This Row],[Inv. Business]:[Inv. Cryptocurrency]]))</f>
        <v xml:space="preserve"> </v>
      </c>
      <c r="AJ1511" s="59"/>
      <c r="AK1511" s="59" t="str">
        <f>IF(SUM(Dati[[#This Row],[Inv. Gold]:[Mutuo]])=0," ",SUM(Dati[[#This Row],[Inv. Gold]:[Mutuo]]))</f>
        <v xml:space="preserve"> </v>
      </c>
      <c r="AL1511" s="59"/>
      <c r="AM1511" s="59"/>
    </row>
    <row r="1512" spans="2:39" x14ac:dyDescent="0.35">
      <c r="B1512" s="237">
        <f t="shared" si="109"/>
        <v>1492</v>
      </c>
      <c r="C1512" s="49">
        <f t="shared" si="110"/>
        <v>46070</v>
      </c>
      <c r="D1512" s="29">
        <f>DAY(Dati[[#This Row],[Data]])</f>
        <v>17</v>
      </c>
      <c r="E1512" s="29" t="str">
        <f>IF(DAY(Data!$C$21:$C$1613)&gt;0,TEXT(Data!$C$21:$C$1613, "mmmm"),"")</f>
        <v>febbraio</v>
      </c>
      <c r="F1512" s="29" t="str">
        <f>IF(DAY(Data!$C$21:$C$1613)&gt;0,TEXT(Data!$C$21:$C$1613, "aaaa"),"")</f>
        <v>2026</v>
      </c>
      <c r="I1512" t="str">
        <f>IF(OR(H1512=$B$5,H1512=$B$6,H1512=$B$7,H1512=$B$8,H1512=$B$9,H1512=$B$10,H1512=$B$11,H1512=$B$12,H1512=$B$13,H1512=$B$14),SottocategorieUscite[[#Headers],[Fuori Casa]],IF(OR(H1512=$C$5,H1512=$C$6,H1512=$C$7,H1512=$C$8,H1512=$C$9,H1512=$C$10,H1512=$C$11,H1512=$C$12,H1512=$C$13,H1512=$C$14),SottocategorieUscite[[#Headers],[Varie Uscite]],IF(OR(H1512=$D$5,H1512=$D$6,H1512=$D$7,H1512=$D$8,H1512=$D$9,H1512=$D$10,H1512=$D$11,H1512=$D$12,H1512=$D$13,H1512=$D$14),SottocategorieUscite[[#Headers],[Personali]],IF(OR(H1512=$E$5,H1512=$E$6,H1512=$E$7,H1512=$E$8,H1512=$E$9,H1512=$E$10,H1512=$E$11,H1512=$E$12,H1512=$E$13,H1512=$E$14),SottocategorieUscite[[#Headers],[Lavoro]],IF(OR(H1512=$F$5,H1512=$F$6,H1512=$F$7,H1512=$F$8,H1512=$F$9,H1512=$F$10,H1512=$F$11,H1512=$F$12,H1512=$F$13,H1512=$F$14),SottocategorieUscite[[#Headers],[Casa]],IF(OR(H1512=$G$5,H1512=$G$6,H1512=$G$7,H1512=$G$8,H1512=$G$9,H1512=$G$10,H1512=$G$11,H1512=$G$12,H1512=$G$13,H1512=$G$14),SottocategorieUscite[[#Headers],[Utenze]],IF(OR(H1512=$H$5,H1512=$H$6,H1512=$H$7,H1512=$H$8,H1512=$H$9,H1512=$H$10,H1512=$H$11,H1512=$H$12,H1512=$H$13,H1512=$H$14),SottocategorieUscite[[#Headers],[Business Uscite]],IF(OR(H1512=$I$5,H1512=$I$6,H1512=$I$7,H1512=$I$8,H1512=$I$9,H1512=$I$10,H1512=$I$11,H1512=$I$12,H1512=$I$13,H1512=$I$14),SottocategorieUscite[[#Headers],[Banca]],IF(OR(H1512=K$5,H1512=K$6,H1512=K$7,H1512=K$8,H1512=K$9,H1512=K$10,H1512=K$11,H1512=K$12,H1512=K$13,H1512=K$14),SottocategorieEntrate[[#Headers],[Business Entrate]],IF(OR(H1512=L$5,H1512=L$6,H1512=L$7,H1512=L$8,H1512=L$9,H1512=L$10,H1512=L$11,H1512=L$12,H1512=L$13,H1512=L$14),SottocategorieEntrate[[#Headers],[Varie Entrate]],IF(OR(H1512=M$5,H1512=M$6,H1512=M$7,H1512=M$8,H1512=M$9,H1512=M$10,H1512=M$11,H1512=M$12,H1512=M$13,H1512=M$14),SottocategorieEntrate[[#Headers],[Real Estate]],IF(OR(H1512=N$5,H1512=N$6,H1512=N$7,H1512=N$8,H1512=N$9,H1512=N$10,H1512=N$11,H1512=N$12,H1512=N$13,H1512=N$14),SottocategorieEntrate[[#Headers],[Other]],""))))))))))))</f>
        <v/>
      </c>
      <c r="J1512" t="str">
        <f>IF(OR(Dati[[#This Row],[Categoria]]="Bollette",Dati[[#This Row],[Categoria]]="Conto &amp; Carte BNL",Dati[[#This Row],[Categoria]]="Prelievo",Dati[[#This Row],[Categoria]]="Affitto",Dati[[#This Row],[Categoria]]="BNL(Interessi Creditori)"),"Carta",IF(Dati[[#This Row],[Categoria]]&lt;&gt;0,"Cash",""))</f>
        <v/>
      </c>
      <c r="K1512" s="59" t="str">
        <f>IF(OR(Data!$I1512=SottocategorieUscite[[#Headers],[Fuori Casa]],Data!$I1512=SottocategorieUscite[[#Headers],[Varie Uscite]],Data!$I1512=SottocategorieUscite[[#Headers],[Personali]],Data!$I1512=SottocategorieUscite[[#Headers],[Lavoro]]),"$ -","")</f>
        <v/>
      </c>
      <c r="L1512" s="59" t="str">
        <f>IF(OR(Data!$I1512=SottocategorieUscite[[#Headers],[Casa]],Data!$I1512=SottocategorieUscite[[#Headers],[Utenze]],Data!$I1512=SottocategorieUscite[[#Headers],[Business Uscite]],Data!$I1512=SottocategorieUscite[[#Headers],[Banca]]),"$ -","")</f>
        <v/>
      </c>
      <c r="M1512" s="59" t="str">
        <f>IF(OR($I1512&lt;&gt;SottocategorieUscite[[#Headers],[Fuori Casa]],$I1512&lt;&gt;SottocategorieUscite[[#Headers],[Varie Uscite]],$I1512&lt;&gt;SottocategorieUscite[[#Headers],[Personali]],$I1512&lt;&gt;SottocategorieUscite[[#Headers],[Lavoro]],$I1512&lt;&gt;SottocategorieUscite[[#Headers],[Casa]],$I1512&lt;&gt;SottocategorieUscite[[#Headers],[Utenze]],$I1512&lt;&gt;SottocategorieUscite[[#Headers],[Business Uscite]],$I1512&lt;&gt;SottocategorieUscite[[#Headers],[Banca]]),"","$ -")</f>
        <v/>
      </c>
      <c r="N1512" s="59" t="str">
        <f>IF(OR(Data!$I1512=SottocategorieEntrate[[#Headers],[Business Entrate]],Data!$I1512=SottocategorieEntrate[[#Headers],[Varie Entrate]]),"$ -","")</f>
        <v/>
      </c>
      <c r="O1512" s="59" t="str">
        <f>IF(OR(Data!$I1512=SottocategorieEntrate[[#Headers],[Real Estate]],SottocategorieEntrate[[#Headers],[Other]]),"$ -","")</f>
        <v/>
      </c>
      <c r="P1512" s="59" t="str">
        <f>IF(OR($I1512&lt;&gt;SottocategorieEntrate[[#Headers],[Business Entrate]],$I1512&lt;&gt;SottocategorieEntrate[[#Headers],[Varie Entrate]],$I1512&lt;&gt;SottocategorieEntrate[[#Headers],[Real Estate]],$I1512&lt;&gt;SottocategorieEntrate[[#Headers],[Other]]),"","$ -")</f>
        <v/>
      </c>
      <c r="Q1512" s="59" t="str">
        <f>IF(Dati[[#This Row],[Categoria]]="Prelievo","€ -","")</f>
        <v/>
      </c>
      <c r="R1512" s="244"/>
      <c r="S1512" s="59" t="str">
        <f>IF(Dati[[#This Row],[Categoria]]="Savings",0,"")</f>
        <v/>
      </c>
      <c r="T1512" s="59"/>
      <c r="U1512" s="59"/>
      <c r="V1512" s="59"/>
      <c r="W1512" s="59"/>
      <c r="X1512" s="59"/>
      <c r="Y1512" s="59"/>
      <c r="Z1512" s="59"/>
      <c r="AA1512" s="59"/>
      <c r="AB1512" s="59"/>
      <c r="AC1512" s="59"/>
      <c r="AD1512" s="59"/>
      <c r="AE1512" s="59"/>
      <c r="AF1512" s="59"/>
      <c r="AG1512" s="59"/>
      <c r="AH1512" s="59"/>
      <c r="AI1512" s="59" t="str">
        <f>IF(SUM(Dati[[#This Row],[Inv. Business]:[Inv. Cryptocurrency]])=0," ",SUM(Dati[[#This Row],[Inv. Business]:[Inv. Cryptocurrency]]))</f>
        <v xml:space="preserve"> </v>
      </c>
      <c r="AJ1512" s="59"/>
      <c r="AK1512" s="59" t="str">
        <f>IF(SUM(Dati[[#This Row],[Inv. Gold]:[Mutuo]])=0," ",SUM(Dati[[#This Row],[Inv. Gold]:[Mutuo]]))</f>
        <v xml:space="preserve"> </v>
      </c>
      <c r="AL1512" s="59"/>
      <c r="AM1512" s="59"/>
    </row>
    <row r="1513" spans="2:39" x14ac:dyDescent="0.35">
      <c r="B1513" s="237">
        <f t="shared" si="109"/>
        <v>1493</v>
      </c>
      <c r="C1513" s="49">
        <f t="shared" si="110"/>
        <v>46071</v>
      </c>
      <c r="D1513" s="29">
        <f>DAY(Dati[[#This Row],[Data]])</f>
        <v>18</v>
      </c>
      <c r="E1513" s="29" t="str">
        <f>IF(DAY(Data!$C$21:$C$1613)&gt;0,TEXT(Data!$C$21:$C$1613, "mmmm"),"")</f>
        <v>febbraio</v>
      </c>
      <c r="F1513" s="29" t="str">
        <f>IF(DAY(Data!$C$21:$C$1613)&gt;0,TEXT(Data!$C$21:$C$1613, "aaaa"),"")</f>
        <v>2026</v>
      </c>
      <c r="I1513" t="str">
        <f>IF(OR(H1513=$B$5,H1513=$B$6,H1513=$B$7,H1513=$B$8,H1513=$B$9,H1513=$B$10,H1513=$B$11,H1513=$B$12,H1513=$B$13,H1513=$B$14),SottocategorieUscite[[#Headers],[Fuori Casa]],IF(OR(H1513=$C$5,H1513=$C$6,H1513=$C$7,H1513=$C$8,H1513=$C$9,H1513=$C$10,H1513=$C$11,H1513=$C$12,H1513=$C$13,H1513=$C$14),SottocategorieUscite[[#Headers],[Varie Uscite]],IF(OR(H1513=$D$5,H1513=$D$6,H1513=$D$7,H1513=$D$8,H1513=$D$9,H1513=$D$10,H1513=$D$11,H1513=$D$12,H1513=$D$13,H1513=$D$14),SottocategorieUscite[[#Headers],[Personali]],IF(OR(H1513=$E$5,H1513=$E$6,H1513=$E$7,H1513=$E$8,H1513=$E$9,H1513=$E$10,H1513=$E$11,H1513=$E$12,H1513=$E$13,H1513=$E$14),SottocategorieUscite[[#Headers],[Lavoro]],IF(OR(H1513=$F$5,H1513=$F$6,H1513=$F$7,H1513=$F$8,H1513=$F$9,H1513=$F$10,H1513=$F$11,H1513=$F$12,H1513=$F$13,H1513=$F$14),SottocategorieUscite[[#Headers],[Casa]],IF(OR(H1513=$G$5,H1513=$G$6,H1513=$G$7,H1513=$G$8,H1513=$G$9,H1513=$G$10,H1513=$G$11,H1513=$G$12,H1513=$G$13,H1513=$G$14),SottocategorieUscite[[#Headers],[Utenze]],IF(OR(H1513=$H$5,H1513=$H$6,H1513=$H$7,H1513=$H$8,H1513=$H$9,H1513=$H$10,H1513=$H$11,H1513=$H$12,H1513=$H$13,H1513=$H$14),SottocategorieUscite[[#Headers],[Business Uscite]],IF(OR(H1513=$I$5,H1513=$I$6,H1513=$I$7,H1513=$I$8,H1513=$I$9,H1513=$I$10,H1513=$I$11,H1513=$I$12,H1513=$I$13,H1513=$I$14),SottocategorieUscite[[#Headers],[Banca]],IF(OR(H1513=K$5,H1513=K$6,H1513=K$7,H1513=K$8,H1513=K$9,H1513=K$10,H1513=K$11,H1513=K$12,H1513=K$13,H1513=K$14),SottocategorieEntrate[[#Headers],[Business Entrate]],IF(OR(H1513=L$5,H1513=L$6,H1513=L$7,H1513=L$8,H1513=L$9,H1513=L$10,H1513=L$11,H1513=L$12,H1513=L$13,H1513=L$14),SottocategorieEntrate[[#Headers],[Varie Entrate]],IF(OR(H1513=M$5,H1513=M$6,H1513=M$7,H1513=M$8,H1513=M$9,H1513=M$10,H1513=M$11,H1513=M$12,H1513=M$13,H1513=M$14),SottocategorieEntrate[[#Headers],[Real Estate]],IF(OR(H1513=N$5,H1513=N$6,H1513=N$7,H1513=N$8,H1513=N$9,H1513=N$10,H1513=N$11,H1513=N$12,H1513=N$13,H1513=N$14),SottocategorieEntrate[[#Headers],[Other]],""))))))))))))</f>
        <v/>
      </c>
      <c r="J1513" t="str">
        <f>IF(OR(Dati[[#This Row],[Categoria]]="Bollette",Dati[[#This Row],[Categoria]]="Conto &amp; Carte BNL",Dati[[#This Row],[Categoria]]="Prelievo",Dati[[#This Row],[Categoria]]="Affitto",Dati[[#This Row],[Categoria]]="BNL(Interessi Creditori)"),"Carta",IF(Dati[[#This Row],[Categoria]]&lt;&gt;0,"Cash",""))</f>
        <v/>
      </c>
      <c r="K1513" s="59" t="str">
        <f>IF(OR(Data!$I1513=SottocategorieUscite[[#Headers],[Fuori Casa]],Data!$I1513=SottocategorieUscite[[#Headers],[Varie Uscite]],Data!$I1513=SottocategorieUscite[[#Headers],[Personali]],Data!$I1513=SottocategorieUscite[[#Headers],[Lavoro]]),"$ -","")</f>
        <v/>
      </c>
      <c r="L1513" s="59" t="str">
        <f>IF(OR(Data!$I1513=SottocategorieUscite[[#Headers],[Casa]],Data!$I1513=SottocategorieUscite[[#Headers],[Utenze]],Data!$I1513=SottocategorieUscite[[#Headers],[Business Uscite]],Data!$I1513=SottocategorieUscite[[#Headers],[Banca]]),"$ -","")</f>
        <v/>
      </c>
      <c r="M1513" s="59" t="str">
        <f>IF(OR($I1513&lt;&gt;SottocategorieUscite[[#Headers],[Fuori Casa]],$I1513&lt;&gt;SottocategorieUscite[[#Headers],[Varie Uscite]],$I1513&lt;&gt;SottocategorieUscite[[#Headers],[Personali]],$I1513&lt;&gt;SottocategorieUscite[[#Headers],[Lavoro]],$I1513&lt;&gt;SottocategorieUscite[[#Headers],[Casa]],$I1513&lt;&gt;SottocategorieUscite[[#Headers],[Utenze]],$I1513&lt;&gt;SottocategorieUscite[[#Headers],[Business Uscite]],$I1513&lt;&gt;SottocategorieUscite[[#Headers],[Banca]]),"","$ -")</f>
        <v/>
      </c>
      <c r="N1513" s="59" t="str">
        <f>IF(OR(Data!$I1513=SottocategorieEntrate[[#Headers],[Business Entrate]],Data!$I1513=SottocategorieEntrate[[#Headers],[Varie Entrate]]),"$ -","")</f>
        <v/>
      </c>
      <c r="O1513" s="59" t="str">
        <f>IF(OR(Data!$I1513=SottocategorieEntrate[[#Headers],[Real Estate]],SottocategorieEntrate[[#Headers],[Other]]),"$ -","")</f>
        <v/>
      </c>
      <c r="P1513" s="59" t="str">
        <f>IF(OR($I1513&lt;&gt;SottocategorieEntrate[[#Headers],[Business Entrate]],$I1513&lt;&gt;SottocategorieEntrate[[#Headers],[Varie Entrate]],$I1513&lt;&gt;SottocategorieEntrate[[#Headers],[Real Estate]],$I1513&lt;&gt;SottocategorieEntrate[[#Headers],[Other]]),"","$ -")</f>
        <v/>
      </c>
      <c r="Q1513" s="59" t="str">
        <f>IF(Dati[[#This Row],[Categoria]]="Prelievo","€ -","")</f>
        <v/>
      </c>
      <c r="R1513" s="244"/>
      <c r="S1513" s="59" t="str">
        <f>IF(Dati[[#This Row],[Categoria]]="Savings",0,"")</f>
        <v/>
      </c>
      <c r="T1513" s="59"/>
      <c r="U1513" s="59"/>
      <c r="V1513" s="59"/>
      <c r="W1513" s="59"/>
      <c r="X1513" s="59"/>
      <c r="Y1513" s="59"/>
      <c r="Z1513" s="59"/>
      <c r="AA1513" s="59"/>
      <c r="AB1513" s="59"/>
      <c r="AC1513" s="59"/>
      <c r="AD1513" s="59"/>
      <c r="AE1513" s="59"/>
      <c r="AF1513" s="59"/>
      <c r="AG1513" s="59"/>
      <c r="AH1513" s="59"/>
      <c r="AI1513" s="59" t="str">
        <f>IF(SUM(Dati[[#This Row],[Inv. Business]:[Inv. Cryptocurrency]])=0," ",SUM(Dati[[#This Row],[Inv. Business]:[Inv. Cryptocurrency]]))</f>
        <v xml:space="preserve"> </v>
      </c>
      <c r="AJ1513" s="59"/>
      <c r="AK1513" s="59" t="str">
        <f>IF(SUM(Dati[[#This Row],[Inv. Gold]:[Mutuo]])=0," ",SUM(Dati[[#This Row],[Inv. Gold]:[Mutuo]]))</f>
        <v xml:space="preserve"> </v>
      </c>
      <c r="AL1513" s="59"/>
      <c r="AM1513" s="59"/>
    </row>
    <row r="1514" spans="2:39" x14ac:dyDescent="0.35">
      <c r="B1514" s="237">
        <f t="shared" si="109"/>
        <v>1494</v>
      </c>
      <c r="C1514" s="49">
        <f t="shared" si="110"/>
        <v>46072</v>
      </c>
      <c r="D1514" s="29">
        <f>DAY(Dati[[#This Row],[Data]])</f>
        <v>19</v>
      </c>
      <c r="E1514" s="29" t="str">
        <f>IF(DAY(Data!$C$21:$C$1613)&gt;0,TEXT(Data!$C$21:$C$1613, "mmmm"),"")</f>
        <v>febbraio</v>
      </c>
      <c r="F1514" s="29" t="str">
        <f>IF(DAY(Data!$C$21:$C$1613)&gt;0,TEXT(Data!$C$21:$C$1613, "aaaa"),"")</f>
        <v>2026</v>
      </c>
      <c r="I1514" t="str">
        <f>IF(OR(H1514=$B$5,H1514=$B$6,H1514=$B$7,H1514=$B$8,H1514=$B$9,H1514=$B$10,H1514=$B$11,H1514=$B$12,H1514=$B$13,H1514=$B$14),SottocategorieUscite[[#Headers],[Fuori Casa]],IF(OR(H1514=$C$5,H1514=$C$6,H1514=$C$7,H1514=$C$8,H1514=$C$9,H1514=$C$10,H1514=$C$11,H1514=$C$12,H1514=$C$13,H1514=$C$14),SottocategorieUscite[[#Headers],[Varie Uscite]],IF(OR(H1514=$D$5,H1514=$D$6,H1514=$D$7,H1514=$D$8,H1514=$D$9,H1514=$D$10,H1514=$D$11,H1514=$D$12,H1514=$D$13,H1514=$D$14),SottocategorieUscite[[#Headers],[Personali]],IF(OR(H1514=$E$5,H1514=$E$6,H1514=$E$7,H1514=$E$8,H1514=$E$9,H1514=$E$10,H1514=$E$11,H1514=$E$12,H1514=$E$13,H1514=$E$14),SottocategorieUscite[[#Headers],[Lavoro]],IF(OR(H1514=$F$5,H1514=$F$6,H1514=$F$7,H1514=$F$8,H1514=$F$9,H1514=$F$10,H1514=$F$11,H1514=$F$12,H1514=$F$13,H1514=$F$14),SottocategorieUscite[[#Headers],[Casa]],IF(OR(H1514=$G$5,H1514=$G$6,H1514=$G$7,H1514=$G$8,H1514=$G$9,H1514=$G$10,H1514=$G$11,H1514=$G$12,H1514=$G$13,H1514=$G$14),SottocategorieUscite[[#Headers],[Utenze]],IF(OR(H1514=$H$5,H1514=$H$6,H1514=$H$7,H1514=$H$8,H1514=$H$9,H1514=$H$10,H1514=$H$11,H1514=$H$12,H1514=$H$13,H1514=$H$14),SottocategorieUscite[[#Headers],[Business Uscite]],IF(OR(H1514=$I$5,H1514=$I$6,H1514=$I$7,H1514=$I$8,H1514=$I$9,H1514=$I$10,H1514=$I$11,H1514=$I$12,H1514=$I$13,H1514=$I$14),SottocategorieUscite[[#Headers],[Banca]],IF(OR(H1514=K$5,H1514=K$6,H1514=K$7,H1514=K$8,H1514=K$9,H1514=K$10,H1514=K$11,H1514=K$12,H1514=K$13,H1514=K$14),SottocategorieEntrate[[#Headers],[Business Entrate]],IF(OR(H1514=L$5,H1514=L$6,H1514=L$7,H1514=L$8,H1514=L$9,H1514=L$10,H1514=L$11,H1514=L$12,H1514=L$13,H1514=L$14),SottocategorieEntrate[[#Headers],[Varie Entrate]],IF(OR(H1514=M$5,H1514=M$6,H1514=M$7,H1514=M$8,H1514=M$9,H1514=M$10,H1514=M$11,H1514=M$12,H1514=M$13,H1514=M$14),SottocategorieEntrate[[#Headers],[Real Estate]],IF(OR(H1514=N$5,H1514=N$6,H1514=N$7,H1514=N$8,H1514=N$9,H1514=N$10,H1514=N$11,H1514=N$12,H1514=N$13,H1514=N$14),SottocategorieEntrate[[#Headers],[Other]],""))))))))))))</f>
        <v/>
      </c>
      <c r="J1514" t="str">
        <f>IF(OR(Dati[[#This Row],[Categoria]]="Bollette",Dati[[#This Row],[Categoria]]="Conto &amp; Carte BNL",Dati[[#This Row],[Categoria]]="Prelievo",Dati[[#This Row],[Categoria]]="Affitto",Dati[[#This Row],[Categoria]]="BNL(Interessi Creditori)"),"Carta",IF(Dati[[#This Row],[Categoria]]&lt;&gt;0,"Cash",""))</f>
        <v/>
      </c>
      <c r="K1514" s="59" t="str">
        <f>IF(OR(Data!$I1514=SottocategorieUscite[[#Headers],[Fuori Casa]],Data!$I1514=SottocategorieUscite[[#Headers],[Varie Uscite]],Data!$I1514=SottocategorieUscite[[#Headers],[Personali]],Data!$I1514=SottocategorieUscite[[#Headers],[Lavoro]]),"$ -","")</f>
        <v/>
      </c>
      <c r="L1514" s="59" t="str">
        <f>IF(OR(Data!$I1514=SottocategorieUscite[[#Headers],[Casa]],Data!$I1514=SottocategorieUscite[[#Headers],[Utenze]],Data!$I1514=SottocategorieUscite[[#Headers],[Business Uscite]],Data!$I1514=SottocategorieUscite[[#Headers],[Banca]]),"$ -","")</f>
        <v/>
      </c>
      <c r="M1514" s="59" t="str">
        <f>IF(OR($I1514&lt;&gt;SottocategorieUscite[[#Headers],[Fuori Casa]],$I1514&lt;&gt;SottocategorieUscite[[#Headers],[Varie Uscite]],$I1514&lt;&gt;SottocategorieUscite[[#Headers],[Personali]],$I1514&lt;&gt;SottocategorieUscite[[#Headers],[Lavoro]],$I1514&lt;&gt;SottocategorieUscite[[#Headers],[Casa]],$I1514&lt;&gt;SottocategorieUscite[[#Headers],[Utenze]],$I1514&lt;&gt;SottocategorieUscite[[#Headers],[Business Uscite]],$I1514&lt;&gt;SottocategorieUscite[[#Headers],[Banca]]),"","$ -")</f>
        <v/>
      </c>
      <c r="N1514" s="59" t="str">
        <f>IF(OR(Data!$I1514=SottocategorieEntrate[[#Headers],[Business Entrate]],Data!$I1514=SottocategorieEntrate[[#Headers],[Varie Entrate]]),"$ -","")</f>
        <v/>
      </c>
      <c r="O1514" s="59" t="str">
        <f>IF(OR(Data!$I1514=SottocategorieEntrate[[#Headers],[Real Estate]],SottocategorieEntrate[[#Headers],[Other]]),"$ -","")</f>
        <v/>
      </c>
      <c r="P1514" s="59" t="str">
        <f>IF(OR($I1514&lt;&gt;SottocategorieEntrate[[#Headers],[Business Entrate]],$I1514&lt;&gt;SottocategorieEntrate[[#Headers],[Varie Entrate]],$I1514&lt;&gt;SottocategorieEntrate[[#Headers],[Real Estate]],$I1514&lt;&gt;SottocategorieEntrate[[#Headers],[Other]]),"","$ -")</f>
        <v/>
      </c>
      <c r="Q1514" s="59" t="str">
        <f>IF(Dati[[#This Row],[Categoria]]="Prelievo","€ -","")</f>
        <v/>
      </c>
      <c r="R1514" s="244"/>
      <c r="S1514" s="59" t="str">
        <f>IF(Dati[[#This Row],[Categoria]]="Savings",0,"")</f>
        <v/>
      </c>
      <c r="T1514" s="59"/>
      <c r="U1514" s="59"/>
      <c r="V1514" s="59"/>
      <c r="W1514" s="59"/>
      <c r="X1514" s="59"/>
      <c r="Y1514" s="59"/>
      <c r="Z1514" s="59"/>
      <c r="AA1514" s="59"/>
      <c r="AB1514" s="59"/>
      <c r="AC1514" s="59"/>
      <c r="AD1514" s="59"/>
      <c r="AE1514" s="59"/>
      <c r="AF1514" s="59"/>
      <c r="AG1514" s="59"/>
      <c r="AH1514" s="59"/>
      <c r="AI1514" s="59" t="str">
        <f>IF(SUM(Dati[[#This Row],[Inv. Business]:[Inv. Cryptocurrency]])=0," ",SUM(Dati[[#This Row],[Inv. Business]:[Inv. Cryptocurrency]]))</f>
        <v xml:space="preserve"> </v>
      </c>
      <c r="AJ1514" s="59"/>
      <c r="AK1514" s="59" t="str">
        <f>IF(SUM(Dati[[#This Row],[Inv. Gold]:[Mutuo]])=0," ",SUM(Dati[[#This Row],[Inv. Gold]:[Mutuo]]))</f>
        <v xml:space="preserve"> </v>
      </c>
      <c r="AL1514" s="59"/>
      <c r="AM1514" s="59"/>
    </row>
    <row r="1515" spans="2:39" x14ac:dyDescent="0.35">
      <c r="B1515" s="237">
        <f t="shared" si="109"/>
        <v>1495</v>
      </c>
      <c r="C1515" s="49">
        <f t="shared" si="110"/>
        <v>46073</v>
      </c>
      <c r="D1515" s="29">
        <f>DAY(Dati[[#This Row],[Data]])</f>
        <v>20</v>
      </c>
      <c r="E1515" s="29" t="str">
        <f>IF(DAY(Data!$C$21:$C$1613)&gt;0,TEXT(Data!$C$21:$C$1613, "mmmm"),"")</f>
        <v>febbraio</v>
      </c>
      <c r="F1515" s="29" t="str">
        <f>IF(DAY(Data!$C$21:$C$1613)&gt;0,TEXT(Data!$C$21:$C$1613, "aaaa"),"")</f>
        <v>2026</v>
      </c>
      <c r="I1515" t="str">
        <f>IF(OR(H1515=$B$5,H1515=$B$6,H1515=$B$7,H1515=$B$8,H1515=$B$9,H1515=$B$10,H1515=$B$11,H1515=$B$12,H1515=$B$13,H1515=$B$14),SottocategorieUscite[[#Headers],[Fuori Casa]],IF(OR(H1515=$C$5,H1515=$C$6,H1515=$C$7,H1515=$C$8,H1515=$C$9,H1515=$C$10,H1515=$C$11,H1515=$C$12,H1515=$C$13,H1515=$C$14),SottocategorieUscite[[#Headers],[Varie Uscite]],IF(OR(H1515=$D$5,H1515=$D$6,H1515=$D$7,H1515=$D$8,H1515=$D$9,H1515=$D$10,H1515=$D$11,H1515=$D$12,H1515=$D$13,H1515=$D$14),SottocategorieUscite[[#Headers],[Personali]],IF(OR(H1515=$E$5,H1515=$E$6,H1515=$E$7,H1515=$E$8,H1515=$E$9,H1515=$E$10,H1515=$E$11,H1515=$E$12,H1515=$E$13,H1515=$E$14),SottocategorieUscite[[#Headers],[Lavoro]],IF(OR(H1515=$F$5,H1515=$F$6,H1515=$F$7,H1515=$F$8,H1515=$F$9,H1515=$F$10,H1515=$F$11,H1515=$F$12,H1515=$F$13,H1515=$F$14),SottocategorieUscite[[#Headers],[Casa]],IF(OR(H1515=$G$5,H1515=$G$6,H1515=$G$7,H1515=$G$8,H1515=$G$9,H1515=$G$10,H1515=$G$11,H1515=$G$12,H1515=$G$13,H1515=$G$14),SottocategorieUscite[[#Headers],[Utenze]],IF(OR(H1515=$H$5,H1515=$H$6,H1515=$H$7,H1515=$H$8,H1515=$H$9,H1515=$H$10,H1515=$H$11,H1515=$H$12,H1515=$H$13,H1515=$H$14),SottocategorieUscite[[#Headers],[Business Uscite]],IF(OR(H1515=$I$5,H1515=$I$6,H1515=$I$7,H1515=$I$8,H1515=$I$9,H1515=$I$10,H1515=$I$11,H1515=$I$12,H1515=$I$13,H1515=$I$14),SottocategorieUscite[[#Headers],[Banca]],IF(OR(H1515=K$5,H1515=K$6,H1515=K$7,H1515=K$8,H1515=K$9,H1515=K$10,H1515=K$11,H1515=K$12,H1515=K$13,H1515=K$14),SottocategorieEntrate[[#Headers],[Business Entrate]],IF(OR(H1515=L$5,H1515=L$6,H1515=L$7,H1515=L$8,H1515=L$9,H1515=L$10,H1515=L$11,H1515=L$12,H1515=L$13,H1515=L$14),SottocategorieEntrate[[#Headers],[Varie Entrate]],IF(OR(H1515=M$5,H1515=M$6,H1515=M$7,H1515=M$8,H1515=M$9,H1515=M$10,H1515=M$11,H1515=M$12,H1515=M$13,H1515=M$14),SottocategorieEntrate[[#Headers],[Real Estate]],IF(OR(H1515=N$5,H1515=N$6,H1515=N$7,H1515=N$8,H1515=N$9,H1515=N$10,H1515=N$11,H1515=N$12,H1515=N$13,H1515=N$14),SottocategorieEntrate[[#Headers],[Other]],""))))))))))))</f>
        <v/>
      </c>
      <c r="J1515" t="str">
        <f>IF(OR(Dati[[#This Row],[Categoria]]="Bollette",Dati[[#This Row],[Categoria]]="Conto &amp; Carte BNL",Dati[[#This Row],[Categoria]]="Prelievo",Dati[[#This Row],[Categoria]]="Affitto",Dati[[#This Row],[Categoria]]="BNL(Interessi Creditori)"),"Carta",IF(Dati[[#This Row],[Categoria]]&lt;&gt;0,"Cash",""))</f>
        <v/>
      </c>
      <c r="K1515" s="59" t="str">
        <f>IF(OR(Data!$I1515=SottocategorieUscite[[#Headers],[Fuori Casa]],Data!$I1515=SottocategorieUscite[[#Headers],[Varie Uscite]],Data!$I1515=SottocategorieUscite[[#Headers],[Personali]],Data!$I1515=SottocategorieUscite[[#Headers],[Lavoro]]),"$ -","")</f>
        <v/>
      </c>
      <c r="L1515" s="59" t="str">
        <f>IF(OR(Data!$I1515=SottocategorieUscite[[#Headers],[Casa]],Data!$I1515=SottocategorieUscite[[#Headers],[Utenze]],Data!$I1515=SottocategorieUscite[[#Headers],[Business Uscite]],Data!$I1515=SottocategorieUscite[[#Headers],[Banca]]),"$ -","")</f>
        <v/>
      </c>
      <c r="M1515" s="59" t="str">
        <f>IF(OR($I1515&lt;&gt;SottocategorieUscite[[#Headers],[Fuori Casa]],$I1515&lt;&gt;SottocategorieUscite[[#Headers],[Varie Uscite]],$I1515&lt;&gt;SottocategorieUscite[[#Headers],[Personali]],$I1515&lt;&gt;SottocategorieUscite[[#Headers],[Lavoro]],$I1515&lt;&gt;SottocategorieUscite[[#Headers],[Casa]],$I1515&lt;&gt;SottocategorieUscite[[#Headers],[Utenze]],$I1515&lt;&gt;SottocategorieUscite[[#Headers],[Business Uscite]],$I1515&lt;&gt;SottocategorieUscite[[#Headers],[Banca]]),"","$ -")</f>
        <v/>
      </c>
      <c r="N1515" s="59" t="str">
        <f>IF(OR(Data!$I1515=SottocategorieEntrate[[#Headers],[Business Entrate]],Data!$I1515=SottocategorieEntrate[[#Headers],[Varie Entrate]]),"$ -","")</f>
        <v/>
      </c>
      <c r="O1515" s="59" t="str">
        <f>IF(OR(Data!$I1515=SottocategorieEntrate[[#Headers],[Real Estate]],SottocategorieEntrate[[#Headers],[Other]]),"$ -","")</f>
        <v/>
      </c>
      <c r="P1515" s="59" t="str">
        <f>IF(OR($I1515&lt;&gt;SottocategorieEntrate[[#Headers],[Business Entrate]],$I1515&lt;&gt;SottocategorieEntrate[[#Headers],[Varie Entrate]],$I1515&lt;&gt;SottocategorieEntrate[[#Headers],[Real Estate]],$I1515&lt;&gt;SottocategorieEntrate[[#Headers],[Other]]),"","$ -")</f>
        <v/>
      </c>
      <c r="Q1515" s="59" t="str">
        <f>IF(Dati[[#This Row],[Categoria]]="Prelievo","€ -","")</f>
        <v/>
      </c>
      <c r="R1515" s="244"/>
      <c r="S1515" s="59" t="str">
        <f>IF(Dati[[#This Row],[Categoria]]="Savings",0,"")</f>
        <v/>
      </c>
      <c r="T1515" s="59"/>
      <c r="U1515" s="59"/>
      <c r="V1515" s="59"/>
      <c r="W1515" s="59"/>
      <c r="X1515" s="59"/>
      <c r="Y1515" s="59"/>
      <c r="Z1515" s="59"/>
      <c r="AA1515" s="59"/>
      <c r="AB1515" s="59"/>
      <c r="AC1515" s="59"/>
      <c r="AD1515" s="59"/>
      <c r="AE1515" s="59"/>
      <c r="AF1515" s="59"/>
      <c r="AG1515" s="59"/>
      <c r="AH1515" s="59"/>
      <c r="AI1515" s="59" t="str">
        <f>IF(SUM(Dati[[#This Row],[Inv. Business]:[Inv. Cryptocurrency]])=0," ",SUM(Dati[[#This Row],[Inv. Business]:[Inv. Cryptocurrency]]))</f>
        <v xml:space="preserve"> </v>
      </c>
      <c r="AJ1515" s="59"/>
      <c r="AK1515" s="59" t="str">
        <f>IF(SUM(Dati[[#This Row],[Inv. Gold]:[Mutuo]])=0," ",SUM(Dati[[#This Row],[Inv. Gold]:[Mutuo]]))</f>
        <v xml:space="preserve"> </v>
      </c>
      <c r="AL1515" s="59"/>
      <c r="AM1515" s="59"/>
    </row>
    <row r="1516" spans="2:39" x14ac:dyDescent="0.35">
      <c r="B1516" s="237">
        <f t="shared" si="109"/>
        <v>1496</v>
      </c>
      <c r="C1516" s="49">
        <f t="shared" si="110"/>
        <v>46074</v>
      </c>
      <c r="D1516" s="29">
        <f>DAY(Dati[[#This Row],[Data]])</f>
        <v>21</v>
      </c>
      <c r="E1516" s="29" t="str">
        <f>IF(DAY(Data!$C$21:$C$1613)&gt;0,TEXT(Data!$C$21:$C$1613, "mmmm"),"")</f>
        <v>febbraio</v>
      </c>
      <c r="F1516" s="29" t="str">
        <f>IF(DAY(Data!$C$21:$C$1613)&gt;0,TEXT(Data!$C$21:$C$1613, "aaaa"),"")</f>
        <v>2026</v>
      </c>
      <c r="I1516" t="str">
        <f>IF(OR(H1516=$B$5,H1516=$B$6,H1516=$B$7,H1516=$B$8,H1516=$B$9,H1516=$B$10,H1516=$B$11,H1516=$B$12,H1516=$B$13,H1516=$B$14),SottocategorieUscite[[#Headers],[Fuori Casa]],IF(OR(H1516=$C$5,H1516=$C$6,H1516=$C$7,H1516=$C$8,H1516=$C$9,H1516=$C$10,H1516=$C$11,H1516=$C$12,H1516=$C$13,H1516=$C$14),SottocategorieUscite[[#Headers],[Varie Uscite]],IF(OR(H1516=$D$5,H1516=$D$6,H1516=$D$7,H1516=$D$8,H1516=$D$9,H1516=$D$10,H1516=$D$11,H1516=$D$12,H1516=$D$13,H1516=$D$14),SottocategorieUscite[[#Headers],[Personali]],IF(OR(H1516=$E$5,H1516=$E$6,H1516=$E$7,H1516=$E$8,H1516=$E$9,H1516=$E$10,H1516=$E$11,H1516=$E$12,H1516=$E$13,H1516=$E$14),SottocategorieUscite[[#Headers],[Lavoro]],IF(OR(H1516=$F$5,H1516=$F$6,H1516=$F$7,H1516=$F$8,H1516=$F$9,H1516=$F$10,H1516=$F$11,H1516=$F$12,H1516=$F$13,H1516=$F$14),SottocategorieUscite[[#Headers],[Casa]],IF(OR(H1516=$G$5,H1516=$G$6,H1516=$G$7,H1516=$G$8,H1516=$G$9,H1516=$G$10,H1516=$G$11,H1516=$G$12,H1516=$G$13,H1516=$G$14),SottocategorieUscite[[#Headers],[Utenze]],IF(OR(H1516=$H$5,H1516=$H$6,H1516=$H$7,H1516=$H$8,H1516=$H$9,H1516=$H$10,H1516=$H$11,H1516=$H$12,H1516=$H$13,H1516=$H$14),SottocategorieUscite[[#Headers],[Business Uscite]],IF(OR(H1516=$I$5,H1516=$I$6,H1516=$I$7,H1516=$I$8,H1516=$I$9,H1516=$I$10,H1516=$I$11,H1516=$I$12,H1516=$I$13,H1516=$I$14),SottocategorieUscite[[#Headers],[Banca]],IF(OR(H1516=K$5,H1516=K$6,H1516=K$7,H1516=K$8,H1516=K$9,H1516=K$10,H1516=K$11,H1516=K$12,H1516=K$13,H1516=K$14),SottocategorieEntrate[[#Headers],[Business Entrate]],IF(OR(H1516=L$5,H1516=L$6,H1516=L$7,H1516=L$8,H1516=L$9,H1516=L$10,H1516=L$11,H1516=L$12,H1516=L$13,H1516=L$14),SottocategorieEntrate[[#Headers],[Varie Entrate]],IF(OR(H1516=M$5,H1516=M$6,H1516=M$7,H1516=M$8,H1516=M$9,H1516=M$10,H1516=M$11,H1516=M$12,H1516=M$13,H1516=M$14),SottocategorieEntrate[[#Headers],[Real Estate]],IF(OR(H1516=N$5,H1516=N$6,H1516=N$7,H1516=N$8,H1516=N$9,H1516=N$10,H1516=N$11,H1516=N$12,H1516=N$13,H1516=N$14),SottocategorieEntrate[[#Headers],[Other]],""))))))))))))</f>
        <v/>
      </c>
      <c r="J1516" t="str">
        <f>IF(OR(Dati[[#This Row],[Categoria]]="Bollette",Dati[[#This Row],[Categoria]]="Conto &amp; Carte BNL",Dati[[#This Row],[Categoria]]="Prelievo",Dati[[#This Row],[Categoria]]="Affitto",Dati[[#This Row],[Categoria]]="BNL(Interessi Creditori)"),"Carta",IF(Dati[[#This Row],[Categoria]]&lt;&gt;0,"Cash",""))</f>
        <v/>
      </c>
      <c r="K1516" s="59" t="str">
        <f>IF(OR(Data!$I1516=SottocategorieUscite[[#Headers],[Fuori Casa]],Data!$I1516=SottocategorieUscite[[#Headers],[Varie Uscite]],Data!$I1516=SottocategorieUscite[[#Headers],[Personali]],Data!$I1516=SottocategorieUscite[[#Headers],[Lavoro]]),"$ -","")</f>
        <v/>
      </c>
      <c r="L1516" s="59" t="str">
        <f>IF(OR(Data!$I1516=SottocategorieUscite[[#Headers],[Casa]],Data!$I1516=SottocategorieUscite[[#Headers],[Utenze]],Data!$I1516=SottocategorieUscite[[#Headers],[Business Uscite]],Data!$I1516=SottocategorieUscite[[#Headers],[Banca]]),"$ -","")</f>
        <v/>
      </c>
      <c r="M1516" s="59" t="str">
        <f>IF(OR($I1516&lt;&gt;SottocategorieUscite[[#Headers],[Fuori Casa]],$I1516&lt;&gt;SottocategorieUscite[[#Headers],[Varie Uscite]],$I1516&lt;&gt;SottocategorieUscite[[#Headers],[Personali]],$I1516&lt;&gt;SottocategorieUscite[[#Headers],[Lavoro]],$I1516&lt;&gt;SottocategorieUscite[[#Headers],[Casa]],$I1516&lt;&gt;SottocategorieUscite[[#Headers],[Utenze]],$I1516&lt;&gt;SottocategorieUscite[[#Headers],[Business Uscite]],$I1516&lt;&gt;SottocategorieUscite[[#Headers],[Banca]]),"","$ -")</f>
        <v/>
      </c>
      <c r="N1516" s="59" t="str">
        <f>IF(OR(Data!$I1516=SottocategorieEntrate[[#Headers],[Business Entrate]],Data!$I1516=SottocategorieEntrate[[#Headers],[Varie Entrate]]),"$ -","")</f>
        <v/>
      </c>
      <c r="O1516" s="59" t="str">
        <f>IF(OR(Data!$I1516=SottocategorieEntrate[[#Headers],[Real Estate]],SottocategorieEntrate[[#Headers],[Other]]),"$ -","")</f>
        <v/>
      </c>
      <c r="P1516" s="59" t="str">
        <f>IF(OR($I1516&lt;&gt;SottocategorieEntrate[[#Headers],[Business Entrate]],$I1516&lt;&gt;SottocategorieEntrate[[#Headers],[Varie Entrate]],$I1516&lt;&gt;SottocategorieEntrate[[#Headers],[Real Estate]],$I1516&lt;&gt;SottocategorieEntrate[[#Headers],[Other]]),"","$ -")</f>
        <v/>
      </c>
      <c r="Q1516" s="59" t="str">
        <f>IF(Dati[[#This Row],[Categoria]]="Prelievo","€ -","")</f>
        <v/>
      </c>
      <c r="R1516" s="244"/>
      <c r="S1516" s="59" t="str">
        <f>IF(Dati[[#This Row],[Categoria]]="Savings",0,"")</f>
        <v/>
      </c>
      <c r="T1516" s="59"/>
      <c r="U1516" s="59"/>
      <c r="V1516" s="59"/>
      <c r="W1516" s="59"/>
      <c r="X1516" s="59"/>
      <c r="Y1516" s="59"/>
      <c r="Z1516" s="59"/>
      <c r="AA1516" s="59"/>
      <c r="AB1516" s="59"/>
      <c r="AC1516" s="59"/>
      <c r="AD1516" s="59"/>
      <c r="AE1516" s="59"/>
      <c r="AF1516" s="59"/>
      <c r="AG1516" s="59"/>
      <c r="AH1516" s="59"/>
      <c r="AI1516" s="59" t="str">
        <f>IF(SUM(Dati[[#This Row],[Inv. Business]:[Inv. Cryptocurrency]])=0," ",SUM(Dati[[#This Row],[Inv. Business]:[Inv. Cryptocurrency]]))</f>
        <v xml:space="preserve"> </v>
      </c>
      <c r="AJ1516" s="59"/>
      <c r="AK1516" s="59" t="str">
        <f>IF(SUM(Dati[[#This Row],[Inv. Gold]:[Mutuo]])=0," ",SUM(Dati[[#This Row],[Inv. Gold]:[Mutuo]]))</f>
        <v xml:space="preserve"> </v>
      </c>
      <c r="AL1516" s="59"/>
      <c r="AM1516" s="59"/>
    </row>
    <row r="1517" spans="2:39" x14ac:dyDescent="0.35">
      <c r="B1517" s="237">
        <f t="shared" si="109"/>
        <v>1497</v>
      </c>
      <c r="C1517" s="49">
        <f t="shared" si="110"/>
        <v>46075</v>
      </c>
      <c r="D1517" s="29">
        <f>DAY(Dati[[#This Row],[Data]])</f>
        <v>22</v>
      </c>
      <c r="E1517" s="29" t="str">
        <f>IF(DAY(Data!$C$21:$C$1613)&gt;0,TEXT(Data!$C$21:$C$1613, "mmmm"),"")</f>
        <v>febbraio</v>
      </c>
      <c r="F1517" s="29" t="str">
        <f>IF(DAY(Data!$C$21:$C$1613)&gt;0,TEXT(Data!$C$21:$C$1613, "aaaa"),"")</f>
        <v>2026</v>
      </c>
      <c r="I1517" t="str">
        <f>IF(OR(H1517=$B$5,H1517=$B$6,H1517=$B$7,H1517=$B$8,H1517=$B$9,H1517=$B$10,H1517=$B$11,H1517=$B$12,H1517=$B$13,H1517=$B$14),SottocategorieUscite[[#Headers],[Fuori Casa]],IF(OR(H1517=$C$5,H1517=$C$6,H1517=$C$7,H1517=$C$8,H1517=$C$9,H1517=$C$10,H1517=$C$11,H1517=$C$12,H1517=$C$13,H1517=$C$14),SottocategorieUscite[[#Headers],[Varie Uscite]],IF(OR(H1517=$D$5,H1517=$D$6,H1517=$D$7,H1517=$D$8,H1517=$D$9,H1517=$D$10,H1517=$D$11,H1517=$D$12,H1517=$D$13,H1517=$D$14),SottocategorieUscite[[#Headers],[Personali]],IF(OR(H1517=$E$5,H1517=$E$6,H1517=$E$7,H1517=$E$8,H1517=$E$9,H1517=$E$10,H1517=$E$11,H1517=$E$12,H1517=$E$13,H1517=$E$14),SottocategorieUscite[[#Headers],[Lavoro]],IF(OR(H1517=$F$5,H1517=$F$6,H1517=$F$7,H1517=$F$8,H1517=$F$9,H1517=$F$10,H1517=$F$11,H1517=$F$12,H1517=$F$13,H1517=$F$14),SottocategorieUscite[[#Headers],[Casa]],IF(OR(H1517=$G$5,H1517=$G$6,H1517=$G$7,H1517=$G$8,H1517=$G$9,H1517=$G$10,H1517=$G$11,H1517=$G$12,H1517=$G$13,H1517=$G$14),SottocategorieUscite[[#Headers],[Utenze]],IF(OR(H1517=$H$5,H1517=$H$6,H1517=$H$7,H1517=$H$8,H1517=$H$9,H1517=$H$10,H1517=$H$11,H1517=$H$12,H1517=$H$13,H1517=$H$14),SottocategorieUscite[[#Headers],[Business Uscite]],IF(OR(H1517=$I$5,H1517=$I$6,H1517=$I$7,H1517=$I$8,H1517=$I$9,H1517=$I$10,H1517=$I$11,H1517=$I$12,H1517=$I$13,H1517=$I$14),SottocategorieUscite[[#Headers],[Banca]],IF(OR(H1517=K$5,H1517=K$6,H1517=K$7,H1517=K$8,H1517=K$9,H1517=K$10,H1517=K$11,H1517=K$12,H1517=K$13,H1517=K$14),SottocategorieEntrate[[#Headers],[Business Entrate]],IF(OR(H1517=L$5,H1517=L$6,H1517=L$7,H1517=L$8,H1517=L$9,H1517=L$10,H1517=L$11,H1517=L$12,H1517=L$13,H1517=L$14),SottocategorieEntrate[[#Headers],[Varie Entrate]],IF(OR(H1517=M$5,H1517=M$6,H1517=M$7,H1517=M$8,H1517=M$9,H1517=M$10,H1517=M$11,H1517=M$12,H1517=M$13,H1517=M$14),SottocategorieEntrate[[#Headers],[Real Estate]],IF(OR(H1517=N$5,H1517=N$6,H1517=N$7,H1517=N$8,H1517=N$9,H1517=N$10,H1517=N$11,H1517=N$12,H1517=N$13,H1517=N$14),SottocategorieEntrate[[#Headers],[Other]],""))))))))))))</f>
        <v/>
      </c>
      <c r="J1517" t="str">
        <f>IF(OR(Dati[[#This Row],[Categoria]]="Bollette",Dati[[#This Row],[Categoria]]="Conto &amp; Carte BNL",Dati[[#This Row],[Categoria]]="Prelievo",Dati[[#This Row],[Categoria]]="Affitto",Dati[[#This Row],[Categoria]]="BNL(Interessi Creditori)"),"Carta",IF(Dati[[#This Row],[Categoria]]&lt;&gt;0,"Cash",""))</f>
        <v/>
      </c>
      <c r="K1517" s="59" t="str">
        <f>IF(OR(Data!$I1517=SottocategorieUscite[[#Headers],[Fuori Casa]],Data!$I1517=SottocategorieUscite[[#Headers],[Varie Uscite]],Data!$I1517=SottocategorieUscite[[#Headers],[Personali]],Data!$I1517=SottocategorieUscite[[#Headers],[Lavoro]]),"$ -","")</f>
        <v/>
      </c>
      <c r="L1517" s="59" t="str">
        <f>IF(OR(Data!$I1517=SottocategorieUscite[[#Headers],[Casa]],Data!$I1517=SottocategorieUscite[[#Headers],[Utenze]],Data!$I1517=SottocategorieUscite[[#Headers],[Business Uscite]],Data!$I1517=SottocategorieUscite[[#Headers],[Banca]]),"$ -","")</f>
        <v/>
      </c>
      <c r="M1517" s="59" t="str">
        <f>IF(OR($I1517&lt;&gt;SottocategorieUscite[[#Headers],[Fuori Casa]],$I1517&lt;&gt;SottocategorieUscite[[#Headers],[Varie Uscite]],$I1517&lt;&gt;SottocategorieUscite[[#Headers],[Personali]],$I1517&lt;&gt;SottocategorieUscite[[#Headers],[Lavoro]],$I1517&lt;&gt;SottocategorieUscite[[#Headers],[Casa]],$I1517&lt;&gt;SottocategorieUscite[[#Headers],[Utenze]],$I1517&lt;&gt;SottocategorieUscite[[#Headers],[Business Uscite]],$I1517&lt;&gt;SottocategorieUscite[[#Headers],[Banca]]),"","$ -")</f>
        <v/>
      </c>
      <c r="N1517" s="59" t="str">
        <f>IF(OR(Data!$I1517=SottocategorieEntrate[[#Headers],[Business Entrate]],Data!$I1517=SottocategorieEntrate[[#Headers],[Varie Entrate]]),"$ -","")</f>
        <v/>
      </c>
      <c r="O1517" s="59" t="str">
        <f>IF(OR(Data!$I1517=SottocategorieEntrate[[#Headers],[Real Estate]],SottocategorieEntrate[[#Headers],[Other]]),"$ -","")</f>
        <v/>
      </c>
      <c r="P1517" s="59" t="str">
        <f>IF(OR($I1517&lt;&gt;SottocategorieEntrate[[#Headers],[Business Entrate]],$I1517&lt;&gt;SottocategorieEntrate[[#Headers],[Varie Entrate]],$I1517&lt;&gt;SottocategorieEntrate[[#Headers],[Real Estate]],$I1517&lt;&gt;SottocategorieEntrate[[#Headers],[Other]]),"","$ -")</f>
        <v/>
      </c>
      <c r="Q1517" s="59" t="str">
        <f>IF(Dati[[#This Row],[Categoria]]="Prelievo","€ -","")</f>
        <v/>
      </c>
      <c r="R1517" s="244"/>
      <c r="S1517" s="59" t="str">
        <f>IF(Dati[[#This Row],[Categoria]]="Savings",0,"")</f>
        <v/>
      </c>
      <c r="T1517" s="59"/>
      <c r="U1517" s="59"/>
      <c r="V1517" s="59"/>
      <c r="W1517" s="59"/>
      <c r="X1517" s="59"/>
      <c r="Y1517" s="59"/>
      <c r="Z1517" s="59"/>
      <c r="AA1517" s="59"/>
      <c r="AB1517" s="59"/>
      <c r="AC1517" s="59"/>
      <c r="AD1517" s="59"/>
      <c r="AE1517" s="59"/>
      <c r="AF1517" s="59"/>
      <c r="AG1517" s="59"/>
      <c r="AH1517" s="59"/>
      <c r="AI1517" s="59" t="str">
        <f>IF(SUM(Dati[[#This Row],[Inv. Business]:[Inv. Cryptocurrency]])=0," ",SUM(Dati[[#This Row],[Inv. Business]:[Inv. Cryptocurrency]]))</f>
        <v xml:space="preserve"> </v>
      </c>
      <c r="AJ1517" s="59"/>
      <c r="AK1517" s="59" t="str">
        <f>IF(SUM(Dati[[#This Row],[Inv. Gold]:[Mutuo]])=0," ",SUM(Dati[[#This Row],[Inv. Gold]:[Mutuo]]))</f>
        <v xml:space="preserve"> </v>
      </c>
      <c r="AL1517" s="59"/>
      <c r="AM1517" s="59"/>
    </row>
    <row r="1518" spans="2:39" x14ac:dyDescent="0.35">
      <c r="B1518" s="237">
        <f t="shared" si="109"/>
        <v>1498</v>
      </c>
      <c r="C1518" s="49">
        <f t="shared" si="110"/>
        <v>46076</v>
      </c>
      <c r="D1518" s="29">
        <f>DAY(Dati[[#This Row],[Data]])</f>
        <v>23</v>
      </c>
      <c r="E1518" s="29" t="str">
        <f>IF(DAY(Data!$C$21:$C$1613)&gt;0,TEXT(Data!$C$21:$C$1613, "mmmm"),"")</f>
        <v>febbraio</v>
      </c>
      <c r="F1518" s="29" t="str">
        <f>IF(DAY(Data!$C$21:$C$1613)&gt;0,TEXT(Data!$C$21:$C$1613, "aaaa"),"")</f>
        <v>2026</v>
      </c>
      <c r="I1518" t="str">
        <f>IF(OR(H1518=$B$5,H1518=$B$6,H1518=$B$7,H1518=$B$8,H1518=$B$9,H1518=$B$10,H1518=$B$11,H1518=$B$12,H1518=$B$13,H1518=$B$14),SottocategorieUscite[[#Headers],[Fuori Casa]],IF(OR(H1518=$C$5,H1518=$C$6,H1518=$C$7,H1518=$C$8,H1518=$C$9,H1518=$C$10,H1518=$C$11,H1518=$C$12,H1518=$C$13,H1518=$C$14),SottocategorieUscite[[#Headers],[Varie Uscite]],IF(OR(H1518=$D$5,H1518=$D$6,H1518=$D$7,H1518=$D$8,H1518=$D$9,H1518=$D$10,H1518=$D$11,H1518=$D$12,H1518=$D$13,H1518=$D$14),SottocategorieUscite[[#Headers],[Personali]],IF(OR(H1518=$E$5,H1518=$E$6,H1518=$E$7,H1518=$E$8,H1518=$E$9,H1518=$E$10,H1518=$E$11,H1518=$E$12,H1518=$E$13,H1518=$E$14),SottocategorieUscite[[#Headers],[Lavoro]],IF(OR(H1518=$F$5,H1518=$F$6,H1518=$F$7,H1518=$F$8,H1518=$F$9,H1518=$F$10,H1518=$F$11,H1518=$F$12,H1518=$F$13,H1518=$F$14),SottocategorieUscite[[#Headers],[Casa]],IF(OR(H1518=$G$5,H1518=$G$6,H1518=$G$7,H1518=$G$8,H1518=$G$9,H1518=$G$10,H1518=$G$11,H1518=$G$12,H1518=$G$13,H1518=$G$14),SottocategorieUscite[[#Headers],[Utenze]],IF(OR(H1518=$H$5,H1518=$H$6,H1518=$H$7,H1518=$H$8,H1518=$H$9,H1518=$H$10,H1518=$H$11,H1518=$H$12,H1518=$H$13,H1518=$H$14),SottocategorieUscite[[#Headers],[Business Uscite]],IF(OR(H1518=$I$5,H1518=$I$6,H1518=$I$7,H1518=$I$8,H1518=$I$9,H1518=$I$10,H1518=$I$11,H1518=$I$12,H1518=$I$13,H1518=$I$14),SottocategorieUscite[[#Headers],[Banca]],IF(OR(H1518=K$5,H1518=K$6,H1518=K$7,H1518=K$8,H1518=K$9,H1518=K$10,H1518=K$11,H1518=K$12,H1518=K$13,H1518=K$14),SottocategorieEntrate[[#Headers],[Business Entrate]],IF(OR(H1518=L$5,H1518=L$6,H1518=L$7,H1518=L$8,H1518=L$9,H1518=L$10,H1518=L$11,H1518=L$12,H1518=L$13,H1518=L$14),SottocategorieEntrate[[#Headers],[Varie Entrate]],IF(OR(H1518=M$5,H1518=M$6,H1518=M$7,H1518=M$8,H1518=M$9,H1518=M$10,H1518=M$11,H1518=M$12,H1518=M$13,H1518=M$14),SottocategorieEntrate[[#Headers],[Real Estate]],IF(OR(H1518=N$5,H1518=N$6,H1518=N$7,H1518=N$8,H1518=N$9,H1518=N$10,H1518=N$11,H1518=N$12,H1518=N$13,H1518=N$14),SottocategorieEntrate[[#Headers],[Other]],""))))))))))))</f>
        <v/>
      </c>
      <c r="J1518" t="str">
        <f>IF(OR(Dati[[#This Row],[Categoria]]="Bollette",Dati[[#This Row],[Categoria]]="Conto &amp; Carte BNL",Dati[[#This Row],[Categoria]]="Prelievo",Dati[[#This Row],[Categoria]]="Affitto",Dati[[#This Row],[Categoria]]="BNL(Interessi Creditori)"),"Carta",IF(Dati[[#This Row],[Categoria]]&lt;&gt;0,"Cash",""))</f>
        <v/>
      </c>
      <c r="K1518" s="59" t="str">
        <f>IF(OR(Data!$I1518=SottocategorieUscite[[#Headers],[Fuori Casa]],Data!$I1518=SottocategorieUscite[[#Headers],[Varie Uscite]],Data!$I1518=SottocategorieUscite[[#Headers],[Personali]],Data!$I1518=SottocategorieUscite[[#Headers],[Lavoro]]),"$ -","")</f>
        <v/>
      </c>
      <c r="L1518" s="59" t="str">
        <f>IF(OR(Data!$I1518=SottocategorieUscite[[#Headers],[Casa]],Data!$I1518=SottocategorieUscite[[#Headers],[Utenze]],Data!$I1518=SottocategorieUscite[[#Headers],[Business Uscite]],Data!$I1518=SottocategorieUscite[[#Headers],[Banca]]),"$ -","")</f>
        <v/>
      </c>
      <c r="M1518" s="59" t="str">
        <f>IF(OR($I1518&lt;&gt;SottocategorieUscite[[#Headers],[Fuori Casa]],$I1518&lt;&gt;SottocategorieUscite[[#Headers],[Varie Uscite]],$I1518&lt;&gt;SottocategorieUscite[[#Headers],[Personali]],$I1518&lt;&gt;SottocategorieUscite[[#Headers],[Lavoro]],$I1518&lt;&gt;SottocategorieUscite[[#Headers],[Casa]],$I1518&lt;&gt;SottocategorieUscite[[#Headers],[Utenze]],$I1518&lt;&gt;SottocategorieUscite[[#Headers],[Business Uscite]],$I1518&lt;&gt;SottocategorieUscite[[#Headers],[Banca]]),"","$ -")</f>
        <v/>
      </c>
      <c r="N1518" s="59" t="str">
        <f>IF(OR(Data!$I1518=SottocategorieEntrate[[#Headers],[Business Entrate]],Data!$I1518=SottocategorieEntrate[[#Headers],[Varie Entrate]]),"$ -","")</f>
        <v/>
      </c>
      <c r="O1518" s="59" t="str">
        <f>IF(OR(Data!$I1518=SottocategorieEntrate[[#Headers],[Real Estate]],SottocategorieEntrate[[#Headers],[Other]]),"$ -","")</f>
        <v/>
      </c>
      <c r="P1518" s="59" t="str">
        <f>IF(OR($I1518&lt;&gt;SottocategorieEntrate[[#Headers],[Business Entrate]],$I1518&lt;&gt;SottocategorieEntrate[[#Headers],[Varie Entrate]],$I1518&lt;&gt;SottocategorieEntrate[[#Headers],[Real Estate]],$I1518&lt;&gt;SottocategorieEntrate[[#Headers],[Other]]),"","$ -")</f>
        <v/>
      </c>
      <c r="Q1518" s="59" t="str">
        <f>IF(Dati[[#This Row],[Categoria]]="Prelievo","€ -","")</f>
        <v/>
      </c>
      <c r="R1518" s="244"/>
      <c r="S1518" s="59" t="str">
        <f>IF(Dati[[#This Row],[Categoria]]="Savings",0,"")</f>
        <v/>
      </c>
      <c r="T1518" s="59"/>
      <c r="U1518" s="59"/>
      <c r="V1518" s="59"/>
      <c r="W1518" s="59"/>
      <c r="X1518" s="59"/>
      <c r="Y1518" s="59"/>
      <c r="Z1518" s="59"/>
      <c r="AA1518" s="59"/>
      <c r="AB1518" s="59"/>
      <c r="AC1518" s="59"/>
      <c r="AD1518" s="59"/>
      <c r="AE1518" s="59"/>
      <c r="AF1518" s="59"/>
      <c r="AG1518" s="59"/>
      <c r="AH1518" s="59"/>
      <c r="AI1518" s="59" t="str">
        <f>IF(SUM(Dati[[#This Row],[Inv. Business]:[Inv. Cryptocurrency]])=0," ",SUM(Dati[[#This Row],[Inv. Business]:[Inv. Cryptocurrency]]))</f>
        <v xml:space="preserve"> </v>
      </c>
      <c r="AJ1518" s="59"/>
      <c r="AK1518" s="59" t="str">
        <f>IF(SUM(Dati[[#This Row],[Inv. Gold]:[Mutuo]])=0," ",SUM(Dati[[#This Row],[Inv. Gold]:[Mutuo]]))</f>
        <v xml:space="preserve"> </v>
      </c>
      <c r="AL1518" s="59"/>
      <c r="AM1518" s="59"/>
    </row>
    <row r="1519" spans="2:39" x14ac:dyDescent="0.35">
      <c r="B1519" s="237">
        <f t="shared" si="109"/>
        <v>1499</v>
      </c>
      <c r="C1519" s="49">
        <f t="shared" si="110"/>
        <v>46077</v>
      </c>
      <c r="D1519" s="29">
        <f>DAY(Dati[[#This Row],[Data]])</f>
        <v>24</v>
      </c>
      <c r="E1519" s="29" t="str">
        <f>IF(DAY(Data!$C$21:$C$1613)&gt;0,TEXT(Data!$C$21:$C$1613, "mmmm"),"")</f>
        <v>febbraio</v>
      </c>
      <c r="F1519" s="29" t="str">
        <f>IF(DAY(Data!$C$21:$C$1613)&gt;0,TEXT(Data!$C$21:$C$1613, "aaaa"),"")</f>
        <v>2026</v>
      </c>
      <c r="I1519" t="str">
        <f>IF(OR(H1519=$B$5,H1519=$B$6,H1519=$B$7,H1519=$B$8,H1519=$B$9,H1519=$B$10,H1519=$B$11,H1519=$B$12,H1519=$B$13,H1519=$B$14),SottocategorieUscite[[#Headers],[Fuori Casa]],IF(OR(H1519=$C$5,H1519=$C$6,H1519=$C$7,H1519=$C$8,H1519=$C$9,H1519=$C$10,H1519=$C$11,H1519=$C$12,H1519=$C$13,H1519=$C$14),SottocategorieUscite[[#Headers],[Varie Uscite]],IF(OR(H1519=$D$5,H1519=$D$6,H1519=$D$7,H1519=$D$8,H1519=$D$9,H1519=$D$10,H1519=$D$11,H1519=$D$12,H1519=$D$13,H1519=$D$14),SottocategorieUscite[[#Headers],[Personali]],IF(OR(H1519=$E$5,H1519=$E$6,H1519=$E$7,H1519=$E$8,H1519=$E$9,H1519=$E$10,H1519=$E$11,H1519=$E$12,H1519=$E$13,H1519=$E$14),SottocategorieUscite[[#Headers],[Lavoro]],IF(OR(H1519=$F$5,H1519=$F$6,H1519=$F$7,H1519=$F$8,H1519=$F$9,H1519=$F$10,H1519=$F$11,H1519=$F$12,H1519=$F$13,H1519=$F$14),SottocategorieUscite[[#Headers],[Casa]],IF(OR(H1519=$G$5,H1519=$G$6,H1519=$G$7,H1519=$G$8,H1519=$G$9,H1519=$G$10,H1519=$G$11,H1519=$G$12,H1519=$G$13,H1519=$G$14),SottocategorieUscite[[#Headers],[Utenze]],IF(OR(H1519=$H$5,H1519=$H$6,H1519=$H$7,H1519=$H$8,H1519=$H$9,H1519=$H$10,H1519=$H$11,H1519=$H$12,H1519=$H$13,H1519=$H$14),SottocategorieUscite[[#Headers],[Business Uscite]],IF(OR(H1519=$I$5,H1519=$I$6,H1519=$I$7,H1519=$I$8,H1519=$I$9,H1519=$I$10,H1519=$I$11,H1519=$I$12,H1519=$I$13,H1519=$I$14),SottocategorieUscite[[#Headers],[Banca]],IF(OR(H1519=K$5,H1519=K$6,H1519=K$7,H1519=K$8,H1519=K$9,H1519=K$10,H1519=K$11,H1519=K$12,H1519=K$13,H1519=K$14),SottocategorieEntrate[[#Headers],[Business Entrate]],IF(OR(H1519=L$5,H1519=L$6,H1519=L$7,H1519=L$8,H1519=L$9,H1519=L$10,H1519=L$11,H1519=L$12,H1519=L$13,H1519=L$14),SottocategorieEntrate[[#Headers],[Varie Entrate]],IF(OR(H1519=M$5,H1519=M$6,H1519=M$7,H1519=M$8,H1519=M$9,H1519=M$10,H1519=M$11,H1519=M$12,H1519=M$13,H1519=M$14),SottocategorieEntrate[[#Headers],[Real Estate]],IF(OR(H1519=N$5,H1519=N$6,H1519=N$7,H1519=N$8,H1519=N$9,H1519=N$10,H1519=N$11,H1519=N$12,H1519=N$13,H1519=N$14),SottocategorieEntrate[[#Headers],[Other]],""))))))))))))</f>
        <v/>
      </c>
      <c r="J1519" t="str">
        <f>IF(OR(Dati[[#This Row],[Categoria]]="Bollette",Dati[[#This Row],[Categoria]]="Conto &amp; Carte BNL",Dati[[#This Row],[Categoria]]="Prelievo",Dati[[#This Row],[Categoria]]="Affitto",Dati[[#This Row],[Categoria]]="BNL(Interessi Creditori)"),"Carta",IF(Dati[[#This Row],[Categoria]]&lt;&gt;0,"Cash",""))</f>
        <v/>
      </c>
      <c r="K1519" s="59" t="str">
        <f>IF(OR(Data!$I1519=SottocategorieUscite[[#Headers],[Fuori Casa]],Data!$I1519=SottocategorieUscite[[#Headers],[Varie Uscite]],Data!$I1519=SottocategorieUscite[[#Headers],[Personali]],Data!$I1519=SottocategorieUscite[[#Headers],[Lavoro]]),"$ -","")</f>
        <v/>
      </c>
      <c r="L1519" s="59" t="str">
        <f>IF(OR(Data!$I1519=SottocategorieUscite[[#Headers],[Casa]],Data!$I1519=SottocategorieUscite[[#Headers],[Utenze]],Data!$I1519=SottocategorieUscite[[#Headers],[Business Uscite]],Data!$I1519=SottocategorieUscite[[#Headers],[Banca]]),"$ -","")</f>
        <v/>
      </c>
      <c r="M1519" s="59" t="str">
        <f>IF(OR($I1519&lt;&gt;SottocategorieUscite[[#Headers],[Fuori Casa]],$I1519&lt;&gt;SottocategorieUscite[[#Headers],[Varie Uscite]],$I1519&lt;&gt;SottocategorieUscite[[#Headers],[Personali]],$I1519&lt;&gt;SottocategorieUscite[[#Headers],[Lavoro]],$I1519&lt;&gt;SottocategorieUscite[[#Headers],[Casa]],$I1519&lt;&gt;SottocategorieUscite[[#Headers],[Utenze]],$I1519&lt;&gt;SottocategorieUscite[[#Headers],[Business Uscite]],$I1519&lt;&gt;SottocategorieUscite[[#Headers],[Banca]]),"","$ -")</f>
        <v/>
      </c>
      <c r="N1519" s="59" t="str">
        <f>IF(OR(Data!$I1519=SottocategorieEntrate[[#Headers],[Business Entrate]],Data!$I1519=SottocategorieEntrate[[#Headers],[Varie Entrate]]),"$ -","")</f>
        <v/>
      </c>
      <c r="O1519" s="59" t="str">
        <f>IF(OR(Data!$I1519=SottocategorieEntrate[[#Headers],[Real Estate]],SottocategorieEntrate[[#Headers],[Other]]),"$ -","")</f>
        <v/>
      </c>
      <c r="P1519" s="59" t="str">
        <f>IF(OR($I1519&lt;&gt;SottocategorieEntrate[[#Headers],[Business Entrate]],$I1519&lt;&gt;SottocategorieEntrate[[#Headers],[Varie Entrate]],$I1519&lt;&gt;SottocategorieEntrate[[#Headers],[Real Estate]],$I1519&lt;&gt;SottocategorieEntrate[[#Headers],[Other]]),"","$ -")</f>
        <v/>
      </c>
      <c r="Q1519" s="59" t="str">
        <f>IF(Dati[[#This Row],[Categoria]]="Prelievo","€ -","")</f>
        <v/>
      </c>
      <c r="R1519" s="244"/>
      <c r="S1519" s="59" t="str">
        <f>IF(Dati[[#This Row],[Categoria]]="Savings",0,"")</f>
        <v/>
      </c>
      <c r="T1519" s="59"/>
      <c r="U1519" s="59"/>
      <c r="V1519" s="59"/>
      <c r="W1519" s="59"/>
      <c r="X1519" s="59"/>
      <c r="Y1519" s="59"/>
      <c r="Z1519" s="59"/>
      <c r="AA1519" s="59"/>
      <c r="AB1519" s="59"/>
      <c r="AC1519" s="59"/>
      <c r="AD1519" s="59"/>
      <c r="AE1519" s="59"/>
      <c r="AF1519" s="59"/>
      <c r="AG1519" s="59"/>
      <c r="AH1519" s="59"/>
      <c r="AI1519" s="59" t="str">
        <f>IF(SUM(Dati[[#This Row],[Inv. Business]:[Inv. Cryptocurrency]])=0," ",SUM(Dati[[#This Row],[Inv. Business]:[Inv. Cryptocurrency]]))</f>
        <v xml:space="preserve"> </v>
      </c>
      <c r="AJ1519" s="59"/>
      <c r="AK1519" s="59" t="str">
        <f>IF(SUM(Dati[[#This Row],[Inv. Gold]:[Mutuo]])=0," ",SUM(Dati[[#This Row],[Inv. Gold]:[Mutuo]]))</f>
        <v xml:space="preserve"> </v>
      </c>
      <c r="AL1519" s="59"/>
      <c r="AM1519" s="59"/>
    </row>
    <row r="1520" spans="2:39" x14ac:dyDescent="0.35">
      <c r="B1520" s="237">
        <f t="shared" si="109"/>
        <v>1500</v>
      </c>
      <c r="C1520" s="49">
        <f t="shared" si="110"/>
        <v>46078</v>
      </c>
      <c r="D1520" s="29">
        <f>DAY(Dati[[#This Row],[Data]])</f>
        <v>25</v>
      </c>
      <c r="E1520" s="29" t="str">
        <f>IF(DAY(Data!$C$21:$C$1613)&gt;0,TEXT(Data!$C$21:$C$1613, "mmmm"),"")</f>
        <v>febbraio</v>
      </c>
      <c r="F1520" s="29" t="str">
        <f>IF(DAY(Data!$C$21:$C$1613)&gt;0,TEXT(Data!$C$21:$C$1613, "aaaa"),"")</f>
        <v>2026</v>
      </c>
      <c r="I1520" t="str">
        <f>IF(OR(H1520=$B$5,H1520=$B$6,H1520=$B$7,H1520=$B$8,H1520=$B$9,H1520=$B$10,H1520=$B$11,H1520=$B$12,H1520=$B$13,H1520=$B$14),SottocategorieUscite[[#Headers],[Fuori Casa]],IF(OR(H1520=$C$5,H1520=$C$6,H1520=$C$7,H1520=$C$8,H1520=$C$9,H1520=$C$10,H1520=$C$11,H1520=$C$12,H1520=$C$13,H1520=$C$14),SottocategorieUscite[[#Headers],[Varie Uscite]],IF(OR(H1520=$D$5,H1520=$D$6,H1520=$D$7,H1520=$D$8,H1520=$D$9,H1520=$D$10,H1520=$D$11,H1520=$D$12,H1520=$D$13,H1520=$D$14),SottocategorieUscite[[#Headers],[Personali]],IF(OR(H1520=$E$5,H1520=$E$6,H1520=$E$7,H1520=$E$8,H1520=$E$9,H1520=$E$10,H1520=$E$11,H1520=$E$12,H1520=$E$13,H1520=$E$14),SottocategorieUscite[[#Headers],[Lavoro]],IF(OR(H1520=$F$5,H1520=$F$6,H1520=$F$7,H1520=$F$8,H1520=$F$9,H1520=$F$10,H1520=$F$11,H1520=$F$12,H1520=$F$13,H1520=$F$14),SottocategorieUscite[[#Headers],[Casa]],IF(OR(H1520=$G$5,H1520=$G$6,H1520=$G$7,H1520=$G$8,H1520=$G$9,H1520=$G$10,H1520=$G$11,H1520=$G$12,H1520=$G$13,H1520=$G$14),SottocategorieUscite[[#Headers],[Utenze]],IF(OR(H1520=$H$5,H1520=$H$6,H1520=$H$7,H1520=$H$8,H1520=$H$9,H1520=$H$10,H1520=$H$11,H1520=$H$12,H1520=$H$13,H1520=$H$14),SottocategorieUscite[[#Headers],[Business Uscite]],IF(OR(H1520=$I$5,H1520=$I$6,H1520=$I$7,H1520=$I$8,H1520=$I$9,H1520=$I$10,H1520=$I$11,H1520=$I$12,H1520=$I$13,H1520=$I$14),SottocategorieUscite[[#Headers],[Banca]],IF(OR(H1520=K$5,H1520=K$6,H1520=K$7,H1520=K$8,H1520=K$9,H1520=K$10,H1520=K$11,H1520=K$12,H1520=K$13,H1520=K$14),SottocategorieEntrate[[#Headers],[Business Entrate]],IF(OR(H1520=L$5,H1520=L$6,H1520=L$7,H1520=L$8,H1520=L$9,H1520=L$10,H1520=L$11,H1520=L$12,H1520=L$13,H1520=L$14),SottocategorieEntrate[[#Headers],[Varie Entrate]],IF(OR(H1520=M$5,H1520=M$6,H1520=M$7,H1520=M$8,H1520=M$9,H1520=M$10,H1520=M$11,H1520=M$12,H1520=M$13,H1520=M$14),SottocategorieEntrate[[#Headers],[Real Estate]],IF(OR(H1520=N$5,H1520=N$6,H1520=N$7,H1520=N$8,H1520=N$9,H1520=N$10,H1520=N$11,H1520=N$12,H1520=N$13,H1520=N$14),SottocategorieEntrate[[#Headers],[Other]],""))))))))))))</f>
        <v/>
      </c>
      <c r="J1520" t="str">
        <f>IF(OR(Dati[[#This Row],[Categoria]]="Bollette",Dati[[#This Row],[Categoria]]="Conto &amp; Carte BNL",Dati[[#This Row],[Categoria]]="Prelievo",Dati[[#This Row],[Categoria]]="Affitto",Dati[[#This Row],[Categoria]]="BNL(Interessi Creditori)"),"Carta",IF(Dati[[#This Row],[Categoria]]&lt;&gt;0,"Cash",""))</f>
        <v/>
      </c>
      <c r="K1520" s="59" t="str">
        <f>IF(OR(Data!$I1520=SottocategorieUscite[[#Headers],[Fuori Casa]],Data!$I1520=SottocategorieUscite[[#Headers],[Varie Uscite]],Data!$I1520=SottocategorieUscite[[#Headers],[Personali]],Data!$I1520=SottocategorieUscite[[#Headers],[Lavoro]]),"$ -","")</f>
        <v/>
      </c>
      <c r="L1520" s="59" t="str">
        <f>IF(OR(Data!$I1520=SottocategorieUscite[[#Headers],[Casa]],Data!$I1520=SottocategorieUscite[[#Headers],[Utenze]],Data!$I1520=SottocategorieUscite[[#Headers],[Business Uscite]],Data!$I1520=SottocategorieUscite[[#Headers],[Banca]]),"$ -","")</f>
        <v/>
      </c>
      <c r="M1520" s="59" t="str">
        <f>IF(OR($I1520&lt;&gt;SottocategorieUscite[[#Headers],[Fuori Casa]],$I1520&lt;&gt;SottocategorieUscite[[#Headers],[Varie Uscite]],$I1520&lt;&gt;SottocategorieUscite[[#Headers],[Personali]],$I1520&lt;&gt;SottocategorieUscite[[#Headers],[Lavoro]],$I1520&lt;&gt;SottocategorieUscite[[#Headers],[Casa]],$I1520&lt;&gt;SottocategorieUscite[[#Headers],[Utenze]],$I1520&lt;&gt;SottocategorieUscite[[#Headers],[Business Uscite]],$I1520&lt;&gt;SottocategorieUscite[[#Headers],[Banca]]),"","$ -")</f>
        <v/>
      </c>
      <c r="N1520" s="59" t="str">
        <f>IF(OR(Data!$I1520=SottocategorieEntrate[[#Headers],[Business Entrate]],Data!$I1520=SottocategorieEntrate[[#Headers],[Varie Entrate]]),"$ -","")</f>
        <v/>
      </c>
      <c r="O1520" s="59" t="str">
        <f>IF(OR(Data!$I1520=SottocategorieEntrate[[#Headers],[Real Estate]],SottocategorieEntrate[[#Headers],[Other]]),"$ -","")</f>
        <v/>
      </c>
      <c r="P1520" s="59" t="str">
        <f>IF(OR($I1520&lt;&gt;SottocategorieEntrate[[#Headers],[Business Entrate]],$I1520&lt;&gt;SottocategorieEntrate[[#Headers],[Varie Entrate]],$I1520&lt;&gt;SottocategorieEntrate[[#Headers],[Real Estate]],$I1520&lt;&gt;SottocategorieEntrate[[#Headers],[Other]]),"","$ -")</f>
        <v/>
      </c>
      <c r="Q1520" s="59" t="str">
        <f>IF(Dati[[#This Row],[Categoria]]="Prelievo","€ -","")</f>
        <v/>
      </c>
      <c r="R1520" s="244"/>
      <c r="S1520" s="59" t="str">
        <f>IF(Dati[[#This Row],[Categoria]]="Savings",0,"")</f>
        <v/>
      </c>
      <c r="T1520" s="59"/>
      <c r="U1520" s="59"/>
      <c r="V1520" s="59"/>
      <c r="W1520" s="59"/>
      <c r="X1520" s="59"/>
      <c r="Y1520" s="59"/>
      <c r="Z1520" s="59"/>
      <c r="AA1520" s="59"/>
      <c r="AB1520" s="59"/>
      <c r="AC1520" s="59"/>
      <c r="AD1520" s="59"/>
      <c r="AE1520" s="59"/>
      <c r="AF1520" s="59"/>
      <c r="AG1520" s="59"/>
      <c r="AH1520" s="59"/>
      <c r="AI1520" s="59" t="str">
        <f>IF(SUM(Dati[[#This Row],[Inv. Business]:[Inv. Cryptocurrency]])=0," ",SUM(Dati[[#This Row],[Inv. Business]:[Inv. Cryptocurrency]]))</f>
        <v xml:space="preserve"> </v>
      </c>
      <c r="AJ1520" s="59"/>
      <c r="AK1520" s="59" t="str">
        <f>IF(SUM(Dati[[#This Row],[Inv. Gold]:[Mutuo]])=0," ",SUM(Dati[[#This Row],[Inv. Gold]:[Mutuo]]))</f>
        <v xml:space="preserve"> </v>
      </c>
      <c r="AL1520" s="59"/>
      <c r="AM1520" s="59"/>
    </row>
    <row r="1521" spans="2:39" x14ac:dyDescent="0.35">
      <c r="B1521" s="237">
        <f t="shared" si="109"/>
        <v>1501</v>
      </c>
      <c r="C1521" s="49">
        <f t="shared" si="110"/>
        <v>46079</v>
      </c>
      <c r="D1521" s="29">
        <f>DAY(Dati[[#This Row],[Data]])</f>
        <v>26</v>
      </c>
      <c r="E1521" s="29" t="str">
        <f>IF(DAY(Data!$C$21:$C$1613)&gt;0,TEXT(Data!$C$21:$C$1613, "mmmm"),"")</f>
        <v>febbraio</v>
      </c>
      <c r="F1521" s="29" t="str">
        <f>IF(DAY(Data!$C$21:$C$1613)&gt;0,TEXT(Data!$C$21:$C$1613, "aaaa"),"")</f>
        <v>2026</v>
      </c>
      <c r="I1521" t="str">
        <f>IF(OR(H1521=$B$5,H1521=$B$6,H1521=$B$7,H1521=$B$8,H1521=$B$9,H1521=$B$10,H1521=$B$11,H1521=$B$12,H1521=$B$13,H1521=$B$14),SottocategorieUscite[[#Headers],[Fuori Casa]],IF(OR(H1521=$C$5,H1521=$C$6,H1521=$C$7,H1521=$C$8,H1521=$C$9,H1521=$C$10,H1521=$C$11,H1521=$C$12,H1521=$C$13,H1521=$C$14),SottocategorieUscite[[#Headers],[Varie Uscite]],IF(OR(H1521=$D$5,H1521=$D$6,H1521=$D$7,H1521=$D$8,H1521=$D$9,H1521=$D$10,H1521=$D$11,H1521=$D$12,H1521=$D$13,H1521=$D$14),SottocategorieUscite[[#Headers],[Personali]],IF(OR(H1521=$E$5,H1521=$E$6,H1521=$E$7,H1521=$E$8,H1521=$E$9,H1521=$E$10,H1521=$E$11,H1521=$E$12,H1521=$E$13,H1521=$E$14),SottocategorieUscite[[#Headers],[Lavoro]],IF(OR(H1521=$F$5,H1521=$F$6,H1521=$F$7,H1521=$F$8,H1521=$F$9,H1521=$F$10,H1521=$F$11,H1521=$F$12,H1521=$F$13,H1521=$F$14),SottocategorieUscite[[#Headers],[Casa]],IF(OR(H1521=$G$5,H1521=$G$6,H1521=$G$7,H1521=$G$8,H1521=$G$9,H1521=$G$10,H1521=$G$11,H1521=$G$12,H1521=$G$13,H1521=$G$14),SottocategorieUscite[[#Headers],[Utenze]],IF(OR(H1521=$H$5,H1521=$H$6,H1521=$H$7,H1521=$H$8,H1521=$H$9,H1521=$H$10,H1521=$H$11,H1521=$H$12,H1521=$H$13,H1521=$H$14),SottocategorieUscite[[#Headers],[Business Uscite]],IF(OR(H1521=$I$5,H1521=$I$6,H1521=$I$7,H1521=$I$8,H1521=$I$9,H1521=$I$10,H1521=$I$11,H1521=$I$12,H1521=$I$13,H1521=$I$14),SottocategorieUscite[[#Headers],[Banca]],IF(OR(H1521=K$5,H1521=K$6,H1521=K$7,H1521=K$8,H1521=K$9,H1521=K$10,H1521=K$11,H1521=K$12,H1521=K$13,H1521=K$14),SottocategorieEntrate[[#Headers],[Business Entrate]],IF(OR(H1521=L$5,H1521=L$6,H1521=L$7,H1521=L$8,H1521=L$9,H1521=L$10,H1521=L$11,H1521=L$12,H1521=L$13,H1521=L$14),SottocategorieEntrate[[#Headers],[Varie Entrate]],IF(OR(H1521=M$5,H1521=M$6,H1521=M$7,H1521=M$8,H1521=M$9,H1521=M$10,H1521=M$11,H1521=M$12,H1521=M$13,H1521=M$14),SottocategorieEntrate[[#Headers],[Real Estate]],IF(OR(H1521=N$5,H1521=N$6,H1521=N$7,H1521=N$8,H1521=N$9,H1521=N$10,H1521=N$11,H1521=N$12,H1521=N$13,H1521=N$14),SottocategorieEntrate[[#Headers],[Other]],""))))))))))))</f>
        <v/>
      </c>
      <c r="J1521" t="str">
        <f>IF(OR(Dati[[#This Row],[Categoria]]="Bollette",Dati[[#This Row],[Categoria]]="Conto &amp; Carte BNL",Dati[[#This Row],[Categoria]]="Prelievo",Dati[[#This Row],[Categoria]]="Affitto",Dati[[#This Row],[Categoria]]="BNL(Interessi Creditori)"),"Carta",IF(Dati[[#This Row],[Categoria]]&lt;&gt;0,"Cash",""))</f>
        <v/>
      </c>
      <c r="K1521" s="59" t="str">
        <f>IF(OR(Data!$I1521=SottocategorieUscite[[#Headers],[Fuori Casa]],Data!$I1521=SottocategorieUscite[[#Headers],[Varie Uscite]],Data!$I1521=SottocategorieUscite[[#Headers],[Personali]],Data!$I1521=SottocategorieUscite[[#Headers],[Lavoro]]),"$ -","")</f>
        <v/>
      </c>
      <c r="L1521" s="59" t="str">
        <f>IF(OR(Data!$I1521=SottocategorieUscite[[#Headers],[Casa]],Data!$I1521=SottocategorieUscite[[#Headers],[Utenze]],Data!$I1521=SottocategorieUscite[[#Headers],[Business Uscite]],Data!$I1521=SottocategorieUscite[[#Headers],[Banca]]),"$ -","")</f>
        <v/>
      </c>
      <c r="M1521" s="59" t="str">
        <f>IF(OR($I1521&lt;&gt;SottocategorieUscite[[#Headers],[Fuori Casa]],$I1521&lt;&gt;SottocategorieUscite[[#Headers],[Varie Uscite]],$I1521&lt;&gt;SottocategorieUscite[[#Headers],[Personali]],$I1521&lt;&gt;SottocategorieUscite[[#Headers],[Lavoro]],$I1521&lt;&gt;SottocategorieUscite[[#Headers],[Casa]],$I1521&lt;&gt;SottocategorieUscite[[#Headers],[Utenze]],$I1521&lt;&gt;SottocategorieUscite[[#Headers],[Business Uscite]],$I1521&lt;&gt;SottocategorieUscite[[#Headers],[Banca]]),"","$ -")</f>
        <v/>
      </c>
      <c r="N1521" s="59" t="str">
        <f>IF(OR(Data!$I1521=SottocategorieEntrate[[#Headers],[Business Entrate]],Data!$I1521=SottocategorieEntrate[[#Headers],[Varie Entrate]]),"$ -","")</f>
        <v/>
      </c>
      <c r="O1521" s="59" t="str">
        <f>IF(OR(Data!$I1521=SottocategorieEntrate[[#Headers],[Real Estate]],SottocategorieEntrate[[#Headers],[Other]]),"$ -","")</f>
        <v/>
      </c>
      <c r="P1521" s="59" t="str">
        <f>IF(OR($I1521&lt;&gt;SottocategorieEntrate[[#Headers],[Business Entrate]],$I1521&lt;&gt;SottocategorieEntrate[[#Headers],[Varie Entrate]],$I1521&lt;&gt;SottocategorieEntrate[[#Headers],[Real Estate]],$I1521&lt;&gt;SottocategorieEntrate[[#Headers],[Other]]),"","$ -")</f>
        <v/>
      </c>
      <c r="Q1521" s="59" t="str">
        <f>IF(Dati[[#This Row],[Categoria]]="Prelievo","€ -","")</f>
        <v/>
      </c>
      <c r="R1521" s="244"/>
      <c r="S1521" s="59" t="str">
        <f>IF(Dati[[#This Row],[Categoria]]="Savings",0,"")</f>
        <v/>
      </c>
      <c r="T1521" s="59"/>
      <c r="U1521" s="59"/>
      <c r="V1521" s="59"/>
      <c r="W1521" s="59"/>
      <c r="X1521" s="59"/>
      <c r="Y1521" s="59"/>
      <c r="Z1521" s="59"/>
      <c r="AA1521" s="59"/>
      <c r="AB1521" s="59"/>
      <c r="AC1521" s="59"/>
      <c r="AD1521" s="59"/>
      <c r="AE1521" s="59"/>
      <c r="AF1521" s="59"/>
      <c r="AG1521" s="59"/>
      <c r="AH1521" s="59"/>
      <c r="AI1521" s="59" t="str">
        <f>IF(SUM(Dati[[#This Row],[Inv. Business]:[Inv. Cryptocurrency]])=0," ",SUM(Dati[[#This Row],[Inv. Business]:[Inv. Cryptocurrency]]))</f>
        <v xml:space="preserve"> </v>
      </c>
      <c r="AJ1521" s="59"/>
      <c r="AK1521" s="59" t="str">
        <f>IF(SUM(Dati[[#This Row],[Inv. Gold]:[Mutuo]])=0," ",SUM(Dati[[#This Row],[Inv. Gold]:[Mutuo]]))</f>
        <v xml:space="preserve"> </v>
      </c>
      <c r="AL1521" s="59"/>
      <c r="AM1521" s="59"/>
    </row>
    <row r="1522" spans="2:39" x14ac:dyDescent="0.35">
      <c r="B1522" s="237">
        <f t="shared" si="109"/>
        <v>1502</v>
      </c>
      <c r="C1522" s="49">
        <f t="shared" si="110"/>
        <v>46080</v>
      </c>
      <c r="D1522" s="29">
        <f>DAY(Dati[[#This Row],[Data]])</f>
        <v>27</v>
      </c>
      <c r="E1522" s="29" t="str">
        <f>IF(DAY(Data!$C$21:$C$1613)&gt;0,TEXT(Data!$C$21:$C$1613, "mmmm"),"")</f>
        <v>febbraio</v>
      </c>
      <c r="F1522" s="29" t="str">
        <f>IF(DAY(Data!$C$21:$C$1613)&gt;0,TEXT(Data!$C$21:$C$1613, "aaaa"),"")</f>
        <v>2026</v>
      </c>
      <c r="I1522" t="str">
        <f>IF(OR(H1522=$B$5,H1522=$B$6,H1522=$B$7,H1522=$B$8,H1522=$B$9,H1522=$B$10,H1522=$B$11,H1522=$B$12,H1522=$B$13,H1522=$B$14),SottocategorieUscite[[#Headers],[Fuori Casa]],IF(OR(H1522=$C$5,H1522=$C$6,H1522=$C$7,H1522=$C$8,H1522=$C$9,H1522=$C$10,H1522=$C$11,H1522=$C$12,H1522=$C$13,H1522=$C$14),SottocategorieUscite[[#Headers],[Varie Uscite]],IF(OR(H1522=$D$5,H1522=$D$6,H1522=$D$7,H1522=$D$8,H1522=$D$9,H1522=$D$10,H1522=$D$11,H1522=$D$12,H1522=$D$13,H1522=$D$14),SottocategorieUscite[[#Headers],[Personali]],IF(OR(H1522=$E$5,H1522=$E$6,H1522=$E$7,H1522=$E$8,H1522=$E$9,H1522=$E$10,H1522=$E$11,H1522=$E$12,H1522=$E$13,H1522=$E$14),SottocategorieUscite[[#Headers],[Lavoro]],IF(OR(H1522=$F$5,H1522=$F$6,H1522=$F$7,H1522=$F$8,H1522=$F$9,H1522=$F$10,H1522=$F$11,H1522=$F$12,H1522=$F$13,H1522=$F$14),SottocategorieUscite[[#Headers],[Casa]],IF(OR(H1522=$G$5,H1522=$G$6,H1522=$G$7,H1522=$G$8,H1522=$G$9,H1522=$G$10,H1522=$G$11,H1522=$G$12,H1522=$G$13,H1522=$G$14),SottocategorieUscite[[#Headers],[Utenze]],IF(OR(H1522=$H$5,H1522=$H$6,H1522=$H$7,H1522=$H$8,H1522=$H$9,H1522=$H$10,H1522=$H$11,H1522=$H$12,H1522=$H$13,H1522=$H$14),SottocategorieUscite[[#Headers],[Business Uscite]],IF(OR(H1522=$I$5,H1522=$I$6,H1522=$I$7,H1522=$I$8,H1522=$I$9,H1522=$I$10,H1522=$I$11,H1522=$I$12,H1522=$I$13,H1522=$I$14),SottocategorieUscite[[#Headers],[Banca]],IF(OR(H1522=K$5,H1522=K$6,H1522=K$7,H1522=K$8,H1522=K$9,H1522=K$10,H1522=K$11,H1522=K$12,H1522=K$13,H1522=K$14),SottocategorieEntrate[[#Headers],[Business Entrate]],IF(OR(H1522=L$5,H1522=L$6,H1522=L$7,H1522=L$8,H1522=L$9,H1522=L$10,H1522=L$11,H1522=L$12,H1522=L$13,H1522=L$14),SottocategorieEntrate[[#Headers],[Varie Entrate]],IF(OR(H1522=M$5,H1522=M$6,H1522=M$7,H1522=M$8,H1522=M$9,H1522=M$10,H1522=M$11,H1522=M$12,H1522=M$13,H1522=M$14),SottocategorieEntrate[[#Headers],[Real Estate]],IF(OR(H1522=N$5,H1522=N$6,H1522=N$7,H1522=N$8,H1522=N$9,H1522=N$10,H1522=N$11,H1522=N$12,H1522=N$13,H1522=N$14),SottocategorieEntrate[[#Headers],[Other]],""))))))))))))</f>
        <v/>
      </c>
      <c r="J1522" t="str">
        <f>IF(OR(Dati[[#This Row],[Categoria]]="Bollette",Dati[[#This Row],[Categoria]]="Conto &amp; Carte BNL",Dati[[#This Row],[Categoria]]="Prelievo",Dati[[#This Row],[Categoria]]="Affitto",Dati[[#This Row],[Categoria]]="BNL(Interessi Creditori)"),"Carta",IF(Dati[[#This Row],[Categoria]]&lt;&gt;0,"Cash",""))</f>
        <v/>
      </c>
      <c r="K1522" s="59" t="str">
        <f>IF(OR(Data!$I1522=SottocategorieUscite[[#Headers],[Fuori Casa]],Data!$I1522=SottocategorieUscite[[#Headers],[Varie Uscite]],Data!$I1522=SottocategorieUscite[[#Headers],[Personali]],Data!$I1522=SottocategorieUscite[[#Headers],[Lavoro]]),"$ -","")</f>
        <v/>
      </c>
      <c r="L1522" s="59" t="str">
        <f>IF(OR(Data!$I1522=SottocategorieUscite[[#Headers],[Casa]],Data!$I1522=SottocategorieUscite[[#Headers],[Utenze]],Data!$I1522=SottocategorieUscite[[#Headers],[Business Uscite]],Data!$I1522=SottocategorieUscite[[#Headers],[Banca]]),"$ -","")</f>
        <v/>
      </c>
      <c r="M1522" s="59" t="str">
        <f>IF(OR($I1522&lt;&gt;SottocategorieUscite[[#Headers],[Fuori Casa]],$I1522&lt;&gt;SottocategorieUscite[[#Headers],[Varie Uscite]],$I1522&lt;&gt;SottocategorieUscite[[#Headers],[Personali]],$I1522&lt;&gt;SottocategorieUscite[[#Headers],[Lavoro]],$I1522&lt;&gt;SottocategorieUscite[[#Headers],[Casa]],$I1522&lt;&gt;SottocategorieUscite[[#Headers],[Utenze]],$I1522&lt;&gt;SottocategorieUscite[[#Headers],[Business Uscite]],$I1522&lt;&gt;SottocategorieUscite[[#Headers],[Banca]]),"","$ -")</f>
        <v/>
      </c>
      <c r="N1522" s="59" t="str">
        <f>IF(OR(Data!$I1522=SottocategorieEntrate[[#Headers],[Business Entrate]],Data!$I1522=SottocategorieEntrate[[#Headers],[Varie Entrate]]),"$ -","")</f>
        <v/>
      </c>
      <c r="O1522" s="59" t="str">
        <f>IF(OR(Data!$I1522=SottocategorieEntrate[[#Headers],[Real Estate]],SottocategorieEntrate[[#Headers],[Other]]),"$ -","")</f>
        <v/>
      </c>
      <c r="P1522" s="59" t="str">
        <f>IF(OR($I1522&lt;&gt;SottocategorieEntrate[[#Headers],[Business Entrate]],$I1522&lt;&gt;SottocategorieEntrate[[#Headers],[Varie Entrate]],$I1522&lt;&gt;SottocategorieEntrate[[#Headers],[Real Estate]],$I1522&lt;&gt;SottocategorieEntrate[[#Headers],[Other]]),"","$ -")</f>
        <v/>
      </c>
      <c r="Q1522" s="59" t="str">
        <f>IF(Dati[[#This Row],[Categoria]]="Prelievo","€ -","")</f>
        <v/>
      </c>
      <c r="R1522" s="244"/>
      <c r="S1522" s="59" t="str">
        <f>IF(Dati[[#This Row],[Categoria]]="Savings",0,"")</f>
        <v/>
      </c>
      <c r="T1522" s="59"/>
      <c r="U1522" s="59"/>
      <c r="V1522" s="59"/>
      <c r="W1522" s="59"/>
      <c r="X1522" s="59"/>
      <c r="Y1522" s="59"/>
      <c r="Z1522" s="59"/>
      <c r="AA1522" s="59"/>
      <c r="AB1522" s="59"/>
      <c r="AC1522" s="59"/>
      <c r="AD1522" s="59"/>
      <c r="AE1522" s="59"/>
      <c r="AF1522" s="59"/>
      <c r="AG1522" s="59"/>
      <c r="AH1522" s="59"/>
      <c r="AI1522" s="59" t="str">
        <f>IF(SUM(Dati[[#This Row],[Inv. Business]:[Inv. Cryptocurrency]])=0," ",SUM(Dati[[#This Row],[Inv. Business]:[Inv. Cryptocurrency]]))</f>
        <v xml:space="preserve"> </v>
      </c>
      <c r="AJ1522" s="59"/>
      <c r="AK1522" s="59" t="str">
        <f>IF(SUM(Dati[[#This Row],[Inv. Gold]:[Mutuo]])=0," ",SUM(Dati[[#This Row],[Inv. Gold]:[Mutuo]]))</f>
        <v xml:space="preserve"> </v>
      </c>
      <c r="AL1522" s="59"/>
      <c r="AM1522" s="59"/>
    </row>
    <row r="1523" spans="2:39" x14ac:dyDescent="0.35">
      <c r="B1523" s="237">
        <f t="shared" si="109"/>
        <v>1503</v>
      </c>
      <c r="C1523" s="49">
        <f t="shared" si="110"/>
        <v>46081</v>
      </c>
      <c r="D1523" s="29">
        <f>DAY(Dati[[#This Row],[Data]])</f>
        <v>28</v>
      </c>
      <c r="E1523" s="29" t="str">
        <f>IF(DAY(Data!$C$21:$C$1613)&gt;0,TEXT(Data!$C$21:$C$1613, "mmmm"),"")</f>
        <v>febbraio</v>
      </c>
      <c r="F1523" s="29" t="str">
        <f>IF(DAY(Data!$C$21:$C$1613)&gt;0,TEXT(Data!$C$21:$C$1613, "aaaa"),"")</f>
        <v>2026</v>
      </c>
      <c r="I1523" t="str">
        <f>IF(OR(H1523=$B$5,H1523=$B$6,H1523=$B$7,H1523=$B$8,H1523=$B$9,H1523=$B$10,H1523=$B$11,H1523=$B$12,H1523=$B$13,H1523=$B$14),SottocategorieUscite[[#Headers],[Fuori Casa]],IF(OR(H1523=$C$5,H1523=$C$6,H1523=$C$7,H1523=$C$8,H1523=$C$9,H1523=$C$10,H1523=$C$11,H1523=$C$12,H1523=$C$13,H1523=$C$14),SottocategorieUscite[[#Headers],[Varie Uscite]],IF(OR(H1523=$D$5,H1523=$D$6,H1523=$D$7,H1523=$D$8,H1523=$D$9,H1523=$D$10,H1523=$D$11,H1523=$D$12,H1523=$D$13,H1523=$D$14),SottocategorieUscite[[#Headers],[Personali]],IF(OR(H1523=$E$5,H1523=$E$6,H1523=$E$7,H1523=$E$8,H1523=$E$9,H1523=$E$10,H1523=$E$11,H1523=$E$12,H1523=$E$13,H1523=$E$14),SottocategorieUscite[[#Headers],[Lavoro]],IF(OR(H1523=$F$5,H1523=$F$6,H1523=$F$7,H1523=$F$8,H1523=$F$9,H1523=$F$10,H1523=$F$11,H1523=$F$12,H1523=$F$13,H1523=$F$14),SottocategorieUscite[[#Headers],[Casa]],IF(OR(H1523=$G$5,H1523=$G$6,H1523=$G$7,H1523=$G$8,H1523=$G$9,H1523=$G$10,H1523=$G$11,H1523=$G$12,H1523=$G$13,H1523=$G$14),SottocategorieUscite[[#Headers],[Utenze]],IF(OR(H1523=$H$5,H1523=$H$6,H1523=$H$7,H1523=$H$8,H1523=$H$9,H1523=$H$10,H1523=$H$11,H1523=$H$12,H1523=$H$13,H1523=$H$14),SottocategorieUscite[[#Headers],[Business Uscite]],IF(OR(H1523=$I$5,H1523=$I$6,H1523=$I$7,H1523=$I$8,H1523=$I$9,H1523=$I$10,H1523=$I$11,H1523=$I$12,H1523=$I$13,H1523=$I$14),SottocategorieUscite[[#Headers],[Banca]],IF(OR(H1523=K$5,H1523=K$6,H1523=K$7,H1523=K$8,H1523=K$9,H1523=K$10,H1523=K$11,H1523=K$12,H1523=K$13,H1523=K$14),SottocategorieEntrate[[#Headers],[Business Entrate]],IF(OR(H1523=L$5,H1523=L$6,H1523=L$7,H1523=L$8,H1523=L$9,H1523=L$10,H1523=L$11,H1523=L$12,H1523=L$13,H1523=L$14),SottocategorieEntrate[[#Headers],[Varie Entrate]],IF(OR(H1523=M$5,H1523=M$6,H1523=M$7,H1523=M$8,H1523=M$9,H1523=M$10,H1523=M$11,H1523=M$12,H1523=M$13,H1523=M$14),SottocategorieEntrate[[#Headers],[Real Estate]],IF(OR(H1523=N$5,H1523=N$6,H1523=N$7,H1523=N$8,H1523=N$9,H1523=N$10,H1523=N$11,H1523=N$12,H1523=N$13,H1523=N$14),SottocategorieEntrate[[#Headers],[Other]],""))))))))))))</f>
        <v/>
      </c>
      <c r="J1523" t="str">
        <f>IF(OR(Dati[[#This Row],[Categoria]]="Bollette",Dati[[#This Row],[Categoria]]="Conto &amp; Carte BNL",Dati[[#This Row],[Categoria]]="Prelievo",Dati[[#This Row],[Categoria]]="Affitto",Dati[[#This Row],[Categoria]]="BNL(Interessi Creditori)"),"Carta",IF(Dati[[#This Row],[Categoria]]&lt;&gt;0,"Cash",""))</f>
        <v/>
      </c>
      <c r="K1523" s="59" t="str">
        <f>IF(OR(Data!$I1523=SottocategorieUscite[[#Headers],[Fuori Casa]],Data!$I1523=SottocategorieUscite[[#Headers],[Varie Uscite]],Data!$I1523=SottocategorieUscite[[#Headers],[Personali]],Data!$I1523=SottocategorieUscite[[#Headers],[Lavoro]]),"$ -","")</f>
        <v/>
      </c>
      <c r="L1523" s="59" t="str">
        <f>IF(OR(Data!$I1523=SottocategorieUscite[[#Headers],[Casa]],Data!$I1523=SottocategorieUscite[[#Headers],[Utenze]],Data!$I1523=SottocategorieUscite[[#Headers],[Business Uscite]],Data!$I1523=SottocategorieUscite[[#Headers],[Banca]]),"$ -","")</f>
        <v/>
      </c>
      <c r="M1523" s="59" t="str">
        <f>IF(OR($I1523&lt;&gt;SottocategorieUscite[[#Headers],[Fuori Casa]],$I1523&lt;&gt;SottocategorieUscite[[#Headers],[Varie Uscite]],$I1523&lt;&gt;SottocategorieUscite[[#Headers],[Personali]],$I1523&lt;&gt;SottocategorieUscite[[#Headers],[Lavoro]],$I1523&lt;&gt;SottocategorieUscite[[#Headers],[Casa]],$I1523&lt;&gt;SottocategorieUscite[[#Headers],[Utenze]],$I1523&lt;&gt;SottocategorieUscite[[#Headers],[Business Uscite]],$I1523&lt;&gt;SottocategorieUscite[[#Headers],[Banca]]),"","$ -")</f>
        <v/>
      </c>
      <c r="N1523" s="59" t="str">
        <f>IF(OR(Data!$I1523=SottocategorieEntrate[[#Headers],[Business Entrate]],Data!$I1523=SottocategorieEntrate[[#Headers],[Varie Entrate]]),"$ -","")</f>
        <v/>
      </c>
      <c r="O1523" s="59" t="str">
        <f>IF(OR(Data!$I1523=SottocategorieEntrate[[#Headers],[Real Estate]],SottocategorieEntrate[[#Headers],[Other]]),"$ -","")</f>
        <v/>
      </c>
      <c r="P1523" s="59" t="str">
        <f>IF(OR($I1523&lt;&gt;SottocategorieEntrate[[#Headers],[Business Entrate]],$I1523&lt;&gt;SottocategorieEntrate[[#Headers],[Varie Entrate]],$I1523&lt;&gt;SottocategorieEntrate[[#Headers],[Real Estate]],$I1523&lt;&gt;SottocategorieEntrate[[#Headers],[Other]]),"","$ -")</f>
        <v/>
      </c>
      <c r="Q1523" s="59" t="str">
        <f>IF(Dati[[#This Row],[Categoria]]="Prelievo","€ -","")</f>
        <v/>
      </c>
      <c r="R1523" s="244"/>
      <c r="S1523" s="59" t="str">
        <f>IF(Dati[[#This Row],[Categoria]]="Savings",0,"")</f>
        <v/>
      </c>
      <c r="T1523" s="59"/>
      <c r="U1523" s="59"/>
      <c r="V1523" s="59"/>
      <c r="W1523" s="59"/>
      <c r="X1523" s="59"/>
      <c r="Y1523" s="59"/>
      <c r="Z1523" s="59"/>
      <c r="AA1523" s="59"/>
      <c r="AB1523" s="59"/>
      <c r="AC1523" s="59"/>
      <c r="AD1523" s="59"/>
      <c r="AE1523" s="59"/>
      <c r="AF1523" s="59"/>
      <c r="AG1523" s="59"/>
      <c r="AH1523" s="59"/>
      <c r="AI1523" s="59" t="str">
        <f>IF(SUM(Dati[[#This Row],[Inv. Business]:[Inv. Cryptocurrency]])=0," ",SUM(Dati[[#This Row],[Inv. Business]:[Inv. Cryptocurrency]]))</f>
        <v xml:space="preserve"> </v>
      </c>
      <c r="AJ1523" s="59"/>
      <c r="AK1523" s="59" t="str">
        <f>IF(SUM(Dati[[#This Row],[Inv. Gold]:[Mutuo]])=0," ",SUM(Dati[[#This Row],[Inv. Gold]:[Mutuo]]))</f>
        <v xml:space="preserve"> </v>
      </c>
      <c r="AL1523" s="59"/>
      <c r="AM1523" s="59"/>
    </row>
    <row r="1524" spans="2:39" x14ac:dyDescent="0.35">
      <c r="B1524" s="237">
        <f t="shared" si="109"/>
        <v>1504</v>
      </c>
      <c r="C1524" s="49">
        <f t="shared" si="110"/>
        <v>46082</v>
      </c>
      <c r="D1524" s="29">
        <f>DAY(Dati[[#This Row],[Data]])</f>
        <v>1</v>
      </c>
      <c r="E1524" s="29" t="str">
        <f>IF(DAY(Data!$C$21:$C$1613)&gt;0,TEXT(Data!$C$21:$C$1613, "mmmm"),"")</f>
        <v>marzo</v>
      </c>
      <c r="F1524" s="29" t="str">
        <f>IF(DAY(Data!$C$21:$C$1613)&gt;0,TEXT(Data!$C$21:$C$1613, "aaaa"),"")</f>
        <v>2026</v>
      </c>
      <c r="I1524" t="str">
        <f>IF(OR(H1524=$B$5,H1524=$B$6,H1524=$B$7,H1524=$B$8,H1524=$B$9,H1524=$B$10,H1524=$B$11,H1524=$B$12,H1524=$B$13,H1524=$B$14),SottocategorieUscite[[#Headers],[Fuori Casa]],IF(OR(H1524=$C$5,H1524=$C$6,H1524=$C$7,H1524=$C$8,H1524=$C$9,H1524=$C$10,H1524=$C$11,H1524=$C$12,H1524=$C$13,H1524=$C$14),SottocategorieUscite[[#Headers],[Varie Uscite]],IF(OR(H1524=$D$5,H1524=$D$6,H1524=$D$7,H1524=$D$8,H1524=$D$9,H1524=$D$10,H1524=$D$11,H1524=$D$12,H1524=$D$13,H1524=$D$14),SottocategorieUscite[[#Headers],[Personali]],IF(OR(H1524=$E$5,H1524=$E$6,H1524=$E$7,H1524=$E$8,H1524=$E$9,H1524=$E$10,H1524=$E$11,H1524=$E$12,H1524=$E$13,H1524=$E$14),SottocategorieUscite[[#Headers],[Lavoro]],IF(OR(H1524=$F$5,H1524=$F$6,H1524=$F$7,H1524=$F$8,H1524=$F$9,H1524=$F$10,H1524=$F$11,H1524=$F$12,H1524=$F$13,H1524=$F$14),SottocategorieUscite[[#Headers],[Casa]],IF(OR(H1524=$G$5,H1524=$G$6,H1524=$G$7,H1524=$G$8,H1524=$G$9,H1524=$G$10,H1524=$G$11,H1524=$G$12,H1524=$G$13,H1524=$G$14),SottocategorieUscite[[#Headers],[Utenze]],IF(OR(H1524=$H$5,H1524=$H$6,H1524=$H$7,H1524=$H$8,H1524=$H$9,H1524=$H$10,H1524=$H$11,H1524=$H$12,H1524=$H$13,H1524=$H$14),SottocategorieUscite[[#Headers],[Business Uscite]],IF(OR(H1524=$I$5,H1524=$I$6,H1524=$I$7,H1524=$I$8,H1524=$I$9,H1524=$I$10,H1524=$I$11,H1524=$I$12,H1524=$I$13,H1524=$I$14),SottocategorieUscite[[#Headers],[Banca]],IF(OR(H1524=K$5,H1524=K$6,H1524=K$7,H1524=K$8,H1524=K$9,H1524=K$10,H1524=K$11,H1524=K$12,H1524=K$13,H1524=K$14),SottocategorieEntrate[[#Headers],[Business Entrate]],IF(OR(H1524=L$5,H1524=L$6,H1524=L$7,H1524=L$8,H1524=L$9,H1524=L$10,H1524=L$11,H1524=L$12,H1524=L$13,H1524=L$14),SottocategorieEntrate[[#Headers],[Varie Entrate]],IF(OR(H1524=M$5,H1524=M$6,H1524=M$7,H1524=M$8,H1524=M$9,H1524=M$10,H1524=M$11,H1524=M$12,H1524=M$13,H1524=M$14),SottocategorieEntrate[[#Headers],[Real Estate]],IF(OR(H1524=N$5,H1524=N$6,H1524=N$7,H1524=N$8,H1524=N$9,H1524=N$10,H1524=N$11,H1524=N$12,H1524=N$13,H1524=N$14),SottocategorieEntrate[[#Headers],[Other]],""))))))))))))</f>
        <v/>
      </c>
      <c r="J1524" t="str">
        <f>IF(OR(Dati[[#This Row],[Categoria]]="Bollette",Dati[[#This Row],[Categoria]]="Conto &amp; Carte BNL",Dati[[#This Row],[Categoria]]="Prelievo",Dati[[#This Row],[Categoria]]="Affitto",Dati[[#This Row],[Categoria]]="BNL(Interessi Creditori)"),"Carta",IF(Dati[[#This Row],[Categoria]]&lt;&gt;0,"Cash",""))</f>
        <v/>
      </c>
      <c r="K1524" s="59" t="str">
        <f>IF(OR(Data!$I1524=SottocategorieUscite[[#Headers],[Fuori Casa]],Data!$I1524=SottocategorieUscite[[#Headers],[Varie Uscite]],Data!$I1524=SottocategorieUscite[[#Headers],[Personali]],Data!$I1524=SottocategorieUscite[[#Headers],[Lavoro]]),"$ -","")</f>
        <v/>
      </c>
      <c r="L1524" s="59" t="str">
        <f>IF(OR(Data!$I1524=SottocategorieUscite[[#Headers],[Casa]],Data!$I1524=SottocategorieUscite[[#Headers],[Utenze]],Data!$I1524=SottocategorieUscite[[#Headers],[Business Uscite]],Data!$I1524=SottocategorieUscite[[#Headers],[Banca]]),"$ -","")</f>
        <v/>
      </c>
      <c r="M1524" s="59" t="str">
        <f>IF(OR($I1524&lt;&gt;SottocategorieUscite[[#Headers],[Fuori Casa]],$I1524&lt;&gt;SottocategorieUscite[[#Headers],[Varie Uscite]],$I1524&lt;&gt;SottocategorieUscite[[#Headers],[Personali]],$I1524&lt;&gt;SottocategorieUscite[[#Headers],[Lavoro]],$I1524&lt;&gt;SottocategorieUscite[[#Headers],[Casa]],$I1524&lt;&gt;SottocategorieUscite[[#Headers],[Utenze]],$I1524&lt;&gt;SottocategorieUscite[[#Headers],[Business Uscite]],$I1524&lt;&gt;SottocategorieUscite[[#Headers],[Banca]]),"","$ -")</f>
        <v/>
      </c>
      <c r="N1524" s="59" t="str">
        <f>IF(OR(Data!$I1524=SottocategorieEntrate[[#Headers],[Business Entrate]],Data!$I1524=SottocategorieEntrate[[#Headers],[Varie Entrate]]),"$ -","")</f>
        <v/>
      </c>
      <c r="O1524" s="59" t="str">
        <f>IF(OR(Data!$I1524=SottocategorieEntrate[[#Headers],[Real Estate]],SottocategorieEntrate[[#Headers],[Other]]),"$ -","")</f>
        <v/>
      </c>
      <c r="P1524" s="59" t="str">
        <f>IF(OR($I1524&lt;&gt;SottocategorieEntrate[[#Headers],[Business Entrate]],$I1524&lt;&gt;SottocategorieEntrate[[#Headers],[Varie Entrate]],$I1524&lt;&gt;SottocategorieEntrate[[#Headers],[Real Estate]],$I1524&lt;&gt;SottocategorieEntrate[[#Headers],[Other]]),"","$ -")</f>
        <v/>
      </c>
      <c r="Q1524" s="59" t="str">
        <f>IF(Dati[[#This Row],[Categoria]]="Prelievo","€ -","")</f>
        <v/>
      </c>
      <c r="R1524" s="244"/>
      <c r="S1524" s="59" t="str">
        <f>IF(Dati[[#This Row],[Categoria]]="Savings",0,"")</f>
        <v/>
      </c>
      <c r="T1524" s="59"/>
      <c r="U1524" s="59"/>
      <c r="V1524" s="59"/>
      <c r="W1524" s="59"/>
      <c r="X1524" s="59"/>
      <c r="Y1524" s="59"/>
      <c r="Z1524" s="59"/>
      <c r="AA1524" s="59"/>
      <c r="AB1524" s="59"/>
      <c r="AC1524" s="59"/>
      <c r="AD1524" s="59"/>
      <c r="AE1524" s="59"/>
      <c r="AF1524" s="59"/>
      <c r="AG1524" s="59"/>
      <c r="AH1524" s="59"/>
      <c r="AI1524" s="59" t="str">
        <f>IF(SUM(Dati[[#This Row],[Inv. Business]:[Inv. Cryptocurrency]])=0," ",SUM(Dati[[#This Row],[Inv. Business]:[Inv. Cryptocurrency]]))</f>
        <v xml:space="preserve"> </v>
      </c>
      <c r="AJ1524" s="59"/>
      <c r="AK1524" s="59" t="str">
        <f>IF(SUM(Dati[[#This Row],[Inv. Gold]:[Mutuo]])=0," ",SUM(Dati[[#This Row],[Inv. Gold]:[Mutuo]]))</f>
        <v xml:space="preserve"> </v>
      </c>
      <c r="AL1524" s="59"/>
      <c r="AM1524" s="59"/>
    </row>
    <row r="1525" spans="2:39" x14ac:dyDescent="0.35">
      <c r="B1525" s="237">
        <f t="shared" ref="B1525:B1588" si="111">ROW(1505:1505)</f>
        <v>1505</v>
      </c>
      <c r="C1525" s="49">
        <f t="shared" si="110"/>
        <v>46083</v>
      </c>
      <c r="D1525" s="29">
        <f>DAY(Dati[[#This Row],[Data]])</f>
        <v>2</v>
      </c>
      <c r="E1525" s="29" t="str">
        <f>IF(DAY(Data!$C$21:$C$1613)&gt;0,TEXT(Data!$C$21:$C$1613, "mmmm"),"")</f>
        <v>marzo</v>
      </c>
      <c r="F1525" s="29" t="str">
        <f>IF(DAY(Data!$C$21:$C$1613)&gt;0,TEXT(Data!$C$21:$C$1613, "aaaa"),"")</f>
        <v>2026</v>
      </c>
      <c r="I1525" t="str">
        <f>IF(OR(H1525=$B$5,H1525=$B$6,H1525=$B$7,H1525=$B$8,H1525=$B$9,H1525=$B$10,H1525=$B$11,H1525=$B$12,H1525=$B$13,H1525=$B$14),SottocategorieUscite[[#Headers],[Fuori Casa]],IF(OR(H1525=$C$5,H1525=$C$6,H1525=$C$7,H1525=$C$8,H1525=$C$9,H1525=$C$10,H1525=$C$11,H1525=$C$12,H1525=$C$13,H1525=$C$14),SottocategorieUscite[[#Headers],[Varie Uscite]],IF(OR(H1525=$D$5,H1525=$D$6,H1525=$D$7,H1525=$D$8,H1525=$D$9,H1525=$D$10,H1525=$D$11,H1525=$D$12,H1525=$D$13,H1525=$D$14),SottocategorieUscite[[#Headers],[Personali]],IF(OR(H1525=$E$5,H1525=$E$6,H1525=$E$7,H1525=$E$8,H1525=$E$9,H1525=$E$10,H1525=$E$11,H1525=$E$12,H1525=$E$13,H1525=$E$14),SottocategorieUscite[[#Headers],[Lavoro]],IF(OR(H1525=$F$5,H1525=$F$6,H1525=$F$7,H1525=$F$8,H1525=$F$9,H1525=$F$10,H1525=$F$11,H1525=$F$12,H1525=$F$13,H1525=$F$14),SottocategorieUscite[[#Headers],[Casa]],IF(OR(H1525=$G$5,H1525=$G$6,H1525=$G$7,H1525=$G$8,H1525=$G$9,H1525=$G$10,H1525=$G$11,H1525=$G$12,H1525=$G$13,H1525=$G$14),SottocategorieUscite[[#Headers],[Utenze]],IF(OR(H1525=$H$5,H1525=$H$6,H1525=$H$7,H1525=$H$8,H1525=$H$9,H1525=$H$10,H1525=$H$11,H1525=$H$12,H1525=$H$13,H1525=$H$14),SottocategorieUscite[[#Headers],[Business Uscite]],IF(OR(H1525=$I$5,H1525=$I$6,H1525=$I$7,H1525=$I$8,H1525=$I$9,H1525=$I$10,H1525=$I$11,H1525=$I$12,H1525=$I$13,H1525=$I$14),SottocategorieUscite[[#Headers],[Banca]],IF(OR(H1525=K$5,H1525=K$6,H1525=K$7,H1525=K$8,H1525=K$9,H1525=K$10,H1525=K$11,H1525=K$12,H1525=K$13,H1525=K$14),SottocategorieEntrate[[#Headers],[Business Entrate]],IF(OR(H1525=L$5,H1525=L$6,H1525=L$7,H1525=L$8,H1525=L$9,H1525=L$10,H1525=L$11,H1525=L$12,H1525=L$13,H1525=L$14),SottocategorieEntrate[[#Headers],[Varie Entrate]],IF(OR(H1525=M$5,H1525=M$6,H1525=M$7,H1525=M$8,H1525=M$9,H1525=M$10,H1525=M$11,H1525=M$12,H1525=M$13,H1525=M$14),SottocategorieEntrate[[#Headers],[Real Estate]],IF(OR(H1525=N$5,H1525=N$6,H1525=N$7,H1525=N$8,H1525=N$9,H1525=N$10,H1525=N$11,H1525=N$12,H1525=N$13,H1525=N$14),SottocategorieEntrate[[#Headers],[Other]],""))))))))))))</f>
        <v/>
      </c>
      <c r="J1525" t="str">
        <f>IF(OR(Dati[[#This Row],[Categoria]]="Bollette",Dati[[#This Row],[Categoria]]="Conto &amp; Carte BNL",Dati[[#This Row],[Categoria]]="Prelievo",Dati[[#This Row],[Categoria]]="Affitto",Dati[[#This Row],[Categoria]]="BNL(Interessi Creditori)"),"Carta",IF(Dati[[#This Row],[Categoria]]&lt;&gt;0,"Cash",""))</f>
        <v/>
      </c>
      <c r="K1525" s="59" t="str">
        <f>IF(OR(Data!$I1525=SottocategorieUscite[[#Headers],[Fuori Casa]],Data!$I1525=SottocategorieUscite[[#Headers],[Varie Uscite]],Data!$I1525=SottocategorieUscite[[#Headers],[Personali]],Data!$I1525=SottocategorieUscite[[#Headers],[Lavoro]]),"$ -","")</f>
        <v/>
      </c>
      <c r="L1525" s="59" t="str">
        <f>IF(OR(Data!$I1525=SottocategorieUscite[[#Headers],[Casa]],Data!$I1525=SottocategorieUscite[[#Headers],[Utenze]],Data!$I1525=SottocategorieUscite[[#Headers],[Business Uscite]],Data!$I1525=SottocategorieUscite[[#Headers],[Banca]]),"$ -","")</f>
        <v/>
      </c>
      <c r="M1525" s="59" t="str">
        <f>IF(OR($I1525&lt;&gt;SottocategorieUscite[[#Headers],[Fuori Casa]],$I1525&lt;&gt;SottocategorieUscite[[#Headers],[Varie Uscite]],$I1525&lt;&gt;SottocategorieUscite[[#Headers],[Personali]],$I1525&lt;&gt;SottocategorieUscite[[#Headers],[Lavoro]],$I1525&lt;&gt;SottocategorieUscite[[#Headers],[Casa]],$I1525&lt;&gt;SottocategorieUscite[[#Headers],[Utenze]],$I1525&lt;&gt;SottocategorieUscite[[#Headers],[Business Uscite]],$I1525&lt;&gt;SottocategorieUscite[[#Headers],[Banca]]),"","$ -")</f>
        <v/>
      </c>
      <c r="N1525" s="59" t="str">
        <f>IF(OR(Data!$I1525=SottocategorieEntrate[[#Headers],[Business Entrate]],Data!$I1525=SottocategorieEntrate[[#Headers],[Varie Entrate]]),"$ -","")</f>
        <v/>
      </c>
      <c r="O1525" s="59" t="str">
        <f>IF(OR(Data!$I1525=SottocategorieEntrate[[#Headers],[Real Estate]],SottocategorieEntrate[[#Headers],[Other]]),"$ -","")</f>
        <v/>
      </c>
      <c r="P1525" s="59" t="str">
        <f>IF(OR($I1525&lt;&gt;SottocategorieEntrate[[#Headers],[Business Entrate]],$I1525&lt;&gt;SottocategorieEntrate[[#Headers],[Varie Entrate]],$I1525&lt;&gt;SottocategorieEntrate[[#Headers],[Real Estate]],$I1525&lt;&gt;SottocategorieEntrate[[#Headers],[Other]]),"","$ -")</f>
        <v/>
      </c>
      <c r="Q1525" s="59" t="str">
        <f>IF(Dati[[#This Row],[Categoria]]="Prelievo","€ -","")</f>
        <v/>
      </c>
      <c r="R1525" s="244"/>
      <c r="S1525" s="59" t="str">
        <f>IF(Dati[[#This Row],[Categoria]]="Savings",0,"")</f>
        <v/>
      </c>
      <c r="T1525" s="59"/>
      <c r="U1525" s="59"/>
      <c r="V1525" s="59"/>
      <c r="W1525" s="59"/>
      <c r="X1525" s="59"/>
      <c r="Y1525" s="59"/>
      <c r="Z1525" s="59"/>
      <c r="AA1525" s="59"/>
      <c r="AB1525" s="59"/>
      <c r="AC1525" s="59"/>
      <c r="AD1525" s="59"/>
      <c r="AE1525" s="59"/>
      <c r="AF1525" s="59"/>
      <c r="AG1525" s="59"/>
      <c r="AH1525" s="59"/>
      <c r="AI1525" s="59" t="str">
        <f>IF(SUM(Dati[[#This Row],[Inv. Business]:[Inv. Cryptocurrency]])=0," ",SUM(Dati[[#This Row],[Inv. Business]:[Inv. Cryptocurrency]]))</f>
        <v xml:space="preserve"> </v>
      </c>
      <c r="AJ1525" s="59"/>
      <c r="AK1525" s="59" t="str">
        <f>IF(SUM(Dati[[#This Row],[Inv. Gold]:[Mutuo]])=0," ",SUM(Dati[[#This Row],[Inv. Gold]:[Mutuo]]))</f>
        <v xml:space="preserve"> </v>
      </c>
      <c r="AL1525" s="59"/>
      <c r="AM1525" s="59"/>
    </row>
    <row r="1526" spans="2:39" x14ac:dyDescent="0.35">
      <c r="B1526" s="237">
        <f t="shared" si="111"/>
        <v>1506</v>
      </c>
      <c r="C1526" s="49">
        <f t="shared" si="110"/>
        <v>46084</v>
      </c>
      <c r="D1526" s="29">
        <f>DAY(Dati[[#This Row],[Data]])</f>
        <v>3</v>
      </c>
      <c r="E1526" s="29" t="str">
        <f>IF(DAY(Data!$C$21:$C$1613)&gt;0,TEXT(Data!$C$21:$C$1613, "mmmm"),"")</f>
        <v>marzo</v>
      </c>
      <c r="F1526" s="29" t="str">
        <f>IF(DAY(Data!$C$21:$C$1613)&gt;0,TEXT(Data!$C$21:$C$1613, "aaaa"),"")</f>
        <v>2026</v>
      </c>
      <c r="I1526" t="str">
        <f>IF(OR(H1526=$B$5,H1526=$B$6,H1526=$B$7,H1526=$B$8,H1526=$B$9,H1526=$B$10,H1526=$B$11,H1526=$B$12,H1526=$B$13,H1526=$B$14),SottocategorieUscite[[#Headers],[Fuori Casa]],IF(OR(H1526=$C$5,H1526=$C$6,H1526=$C$7,H1526=$C$8,H1526=$C$9,H1526=$C$10,H1526=$C$11,H1526=$C$12,H1526=$C$13,H1526=$C$14),SottocategorieUscite[[#Headers],[Varie Uscite]],IF(OR(H1526=$D$5,H1526=$D$6,H1526=$D$7,H1526=$D$8,H1526=$D$9,H1526=$D$10,H1526=$D$11,H1526=$D$12,H1526=$D$13,H1526=$D$14),SottocategorieUscite[[#Headers],[Personali]],IF(OR(H1526=$E$5,H1526=$E$6,H1526=$E$7,H1526=$E$8,H1526=$E$9,H1526=$E$10,H1526=$E$11,H1526=$E$12,H1526=$E$13,H1526=$E$14),SottocategorieUscite[[#Headers],[Lavoro]],IF(OR(H1526=$F$5,H1526=$F$6,H1526=$F$7,H1526=$F$8,H1526=$F$9,H1526=$F$10,H1526=$F$11,H1526=$F$12,H1526=$F$13,H1526=$F$14),SottocategorieUscite[[#Headers],[Casa]],IF(OR(H1526=$G$5,H1526=$G$6,H1526=$G$7,H1526=$G$8,H1526=$G$9,H1526=$G$10,H1526=$G$11,H1526=$G$12,H1526=$G$13,H1526=$G$14),SottocategorieUscite[[#Headers],[Utenze]],IF(OR(H1526=$H$5,H1526=$H$6,H1526=$H$7,H1526=$H$8,H1526=$H$9,H1526=$H$10,H1526=$H$11,H1526=$H$12,H1526=$H$13,H1526=$H$14),SottocategorieUscite[[#Headers],[Business Uscite]],IF(OR(H1526=$I$5,H1526=$I$6,H1526=$I$7,H1526=$I$8,H1526=$I$9,H1526=$I$10,H1526=$I$11,H1526=$I$12,H1526=$I$13,H1526=$I$14),SottocategorieUscite[[#Headers],[Banca]],IF(OR(H1526=K$5,H1526=K$6,H1526=K$7,H1526=K$8,H1526=K$9,H1526=K$10,H1526=K$11,H1526=K$12,H1526=K$13,H1526=K$14),SottocategorieEntrate[[#Headers],[Business Entrate]],IF(OR(H1526=L$5,H1526=L$6,H1526=L$7,H1526=L$8,H1526=L$9,H1526=L$10,H1526=L$11,H1526=L$12,H1526=L$13,H1526=L$14),SottocategorieEntrate[[#Headers],[Varie Entrate]],IF(OR(H1526=M$5,H1526=M$6,H1526=M$7,H1526=M$8,H1526=M$9,H1526=M$10,H1526=M$11,H1526=M$12,H1526=M$13,H1526=M$14),SottocategorieEntrate[[#Headers],[Real Estate]],IF(OR(H1526=N$5,H1526=N$6,H1526=N$7,H1526=N$8,H1526=N$9,H1526=N$10,H1526=N$11,H1526=N$12,H1526=N$13,H1526=N$14),SottocategorieEntrate[[#Headers],[Other]],""))))))))))))</f>
        <v/>
      </c>
      <c r="J1526" t="str">
        <f>IF(OR(Dati[[#This Row],[Categoria]]="Bollette",Dati[[#This Row],[Categoria]]="Conto &amp; Carte BNL",Dati[[#This Row],[Categoria]]="Prelievo",Dati[[#This Row],[Categoria]]="Affitto",Dati[[#This Row],[Categoria]]="BNL(Interessi Creditori)"),"Carta",IF(Dati[[#This Row],[Categoria]]&lt;&gt;0,"Cash",""))</f>
        <v/>
      </c>
      <c r="K1526" s="59" t="str">
        <f>IF(OR(Data!$I1526=SottocategorieUscite[[#Headers],[Fuori Casa]],Data!$I1526=SottocategorieUscite[[#Headers],[Varie Uscite]],Data!$I1526=SottocategorieUscite[[#Headers],[Personali]],Data!$I1526=SottocategorieUscite[[#Headers],[Lavoro]]),"$ -","")</f>
        <v/>
      </c>
      <c r="L1526" s="59" t="str">
        <f>IF(OR(Data!$I1526=SottocategorieUscite[[#Headers],[Casa]],Data!$I1526=SottocategorieUscite[[#Headers],[Utenze]],Data!$I1526=SottocategorieUscite[[#Headers],[Business Uscite]],Data!$I1526=SottocategorieUscite[[#Headers],[Banca]]),"$ -","")</f>
        <v/>
      </c>
      <c r="M1526" s="59" t="str">
        <f>IF(OR($I1526&lt;&gt;SottocategorieUscite[[#Headers],[Fuori Casa]],$I1526&lt;&gt;SottocategorieUscite[[#Headers],[Varie Uscite]],$I1526&lt;&gt;SottocategorieUscite[[#Headers],[Personali]],$I1526&lt;&gt;SottocategorieUscite[[#Headers],[Lavoro]],$I1526&lt;&gt;SottocategorieUscite[[#Headers],[Casa]],$I1526&lt;&gt;SottocategorieUscite[[#Headers],[Utenze]],$I1526&lt;&gt;SottocategorieUscite[[#Headers],[Business Uscite]],$I1526&lt;&gt;SottocategorieUscite[[#Headers],[Banca]]),"","$ -")</f>
        <v/>
      </c>
      <c r="N1526" s="59" t="str">
        <f>IF(OR(Data!$I1526=SottocategorieEntrate[[#Headers],[Business Entrate]],Data!$I1526=SottocategorieEntrate[[#Headers],[Varie Entrate]]),"$ -","")</f>
        <v/>
      </c>
      <c r="O1526" s="59" t="str">
        <f>IF(OR(Data!$I1526=SottocategorieEntrate[[#Headers],[Real Estate]],SottocategorieEntrate[[#Headers],[Other]]),"$ -","")</f>
        <v/>
      </c>
      <c r="P1526" s="59" t="str">
        <f>IF(OR($I1526&lt;&gt;SottocategorieEntrate[[#Headers],[Business Entrate]],$I1526&lt;&gt;SottocategorieEntrate[[#Headers],[Varie Entrate]],$I1526&lt;&gt;SottocategorieEntrate[[#Headers],[Real Estate]],$I1526&lt;&gt;SottocategorieEntrate[[#Headers],[Other]]),"","$ -")</f>
        <v/>
      </c>
      <c r="Q1526" s="59" t="str">
        <f>IF(Dati[[#This Row],[Categoria]]="Prelievo","€ -","")</f>
        <v/>
      </c>
      <c r="R1526" s="244"/>
      <c r="S1526" s="59" t="str">
        <f>IF(Dati[[#This Row],[Categoria]]="Savings",0,"")</f>
        <v/>
      </c>
      <c r="T1526" s="59"/>
      <c r="U1526" s="59"/>
      <c r="V1526" s="59"/>
      <c r="W1526" s="59"/>
      <c r="X1526" s="59"/>
      <c r="Y1526" s="59"/>
      <c r="Z1526" s="59"/>
      <c r="AA1526" s="59"/>
      <c r="AB1526" s="59"/>
      <c r="AC1526" s="59"/>
      <c r="AD1526" s="59"/>
      <c r="AE1526" s="59"/>
      <c r="AF1526" s="59"/>
      <c r="AG1526" s="59"/>
      <c r="AH1526" s="59"/>
      <c r="AI1526" s="59" t="str">
        <f>IF(SUM(Dati[[#This Row],[Inv. Business]:[Inv. Cryptocurrency]])=0," ",SUM(Dati[[#This Row],[Inv. Business]:[Inv. Cryptocurrency]]))</f>
        <v xml:space="preserve"> </v>
      </c>
      <c r="AJ1526" s="59"/>
      <c r="AK1526" s="59" t="str">
        <f>IF(SUM(Dati[[#This Row],[Inv. Gold]:[Mutuo]])=0," ",SUM(Dati[[#This Row],[Inv. Gold]:[Mutuo]]))</f>
        <v xml:space="preserve"> </v>
      </c>
      <c r="AL1526" s="59"/>
      <c r="AM1526" s="59"/>
    </row>
    <row r="1527" spans="2:39" x14ac:dyDescent="0.35">
      <c r="B1527" s="237">
        <f t="shared" si="111"/>
        <v>1507</v>
      </c>
      <c r="C1527" s="49">
        <f t="shared" si="110"/>
        <v>46085</v>
      </c>
      <c r="D1527" s="29">
        <f>DAY(Dati[[#This Row],[Data]])</f>
        <v>4</v>
      </c>
      <c r="E1527" s="29" t="str">
        <f>IF(DAY(Data!$C$21:$C$1613)&gt;0,TEXT(Data!$C$21:$C$1613, "mmmm"),"")</f>
        <v>marzo</v>
      </c>
      <c r="F1527" s="29" t="str">
        <f>IF(DAY(Data!$C$21:$C$1613)&gt;0,TEXT(Data!$C$21:$C$1613, "aaaa"),"")</f>
        <v>2026</v>
      </c>
      <c r="I1527" t="str">
        <f>IF(OR(H1527=$B$5,H1527=$B$6,H1527=$B$7,H1527=$B$8,H1527=$B$9,H1527=$B$10,H1527=$B$11,H1527=$B$12,H1527=$B$13,H1527=$B$14),SottocategorieUscite[[#Headers],[Fuori Casa]],IF(OR(H1527=$C$5,H1527=$C$6,H1527=$C$7,H1527=$C$8,H1527=$C$9,H1527=$C$10,H1527=$C$11,H1527=$C$12,H1527=$C$13,H1527=$C$14),SottocategorieUscite[[#Headers],[Varie Uscite]],IF(OR(H1527=$D$5,H1527=$D$6,H1527=$D$7,H1527=$D$8,H1527=$D$9,H1527=$D$10,H1527=$D$11,H1527=$D$12,H1527=$D$13,H1527=$D$14),SottocategorieUscite[[#Headers],[Personali]],IF(OR(H1527=$E$5,H1527=$E$6,H1527=$E$7,H1527=$E$8,H1527=$E$9,H1527=$E$10,H1527=$E$11,H1527=$E$12,H1527=$E$13,H1527=$E$14),SottocategorieUscite[[#Headers],[Lavoro]],IF(OR(H1527=$F$5,H1527=$F$6,H1527=$F$7,H1527=$F$8,H1527=$F$9,H1527=$F$10,H1527=$F$11,H1527=$F$12,H1527=$F$13,H1527=$F$14),SottocategorieUscite[[#Headers],[Casa]],IF(OR(H1527=$G$5,H1527=$G$6,H1527=$G$7,H1527=$G$8,H1527=$G$9,H1527=$G$10,H1527=$G$11,H1527=$G$12,H1527=$G$13,H1527=$G$14),SottocategorieUscite[[#Headers],[Utenze]],IF(OR(H1527=$H$5,H1527=$H$6,H1527=$H$7,H1527=$H$8,H1527=$H$9,H1527=$H$10,H1527=$H$11,H1527=$H$12,H1527=$H$13,H1527=$H$14),SottocategorieUscite[[#Headers],[Business Uscite]],IF(OR(H1527=$I$5,H1527=$I$6,H1527=$I$7,H1527=$I$8,H1527=$I$9,H1527=$I$10,H1527=$I$11,H1527=$I$12,H1527=$I$13,H1527=$I$14),SottocategorieUscite[[#Headers],[Banca]],IF(OR(H1527=K$5,H1527=K$6,H1527=K$7,H1527=K$8,H1527=K$9,H1527=K$10,H1527=K$11,H1527=K$12,H1527=K$13,H1527=K$14),SottocategorieEntrate[[#Headers],[Business Entrate]],IF(OR(H1527=L$5,H1527=L$6,H1527=L$7,H1527=L$8,H1527=L$9,H1527=L$10,H1527=L$11,H1527=L$12,H1527=L$13,H1527=L$14),SottocategorieEntrate[[#Headers],[Varie Entrate]],IF(OR(H1527=M$5,H1527=M$6,H1527=M$7,H1527=M$8,H1527=M$9,H1527=M$10,H1527=M$11,H1527=M$12,H1527=M$13,H1527=M$14),SottocategorieEntrate[[#Headers],[Real Estate]],IF(OR(H1527=N$5,H1527=N$6,H1527=N$7,H1527=N$8,H1527=N$9,H1527=N$10,H1527=N$11,H1527=N$12,H1527=N$13,H1527=N$14),SottocategorieEntrate[[#Headers],[Other]],""))))))))))))</f>
        <v/>
      </c>
      <c r="J1527" t="str">
        <f>IF(OR(Dati[[#This Row],[Categoria]]="Bollette",Dati[[#This Row],[Categoria]]="Conto &amp; Carte BNL",Dati[[#This Row],[Categoria]]="Prelievo",Dati[[#This Row],[Categoria]]="Affitto",Dati[[#This Row],[Categoria]]="BNL(Interessi Creditori)"),"Carta",IF(Dati[[#This Row],[Categoria]]&lt;&gt;0,"Cash",""))</f>
        <v/>
      </c>
      <c r="K1527" s="59" t="str">
        <f>IF(OR(Data!$I1527=SottocategorieUscite[[#Headers],[Fuori Casa]],Data!$I1527=SottocategorieUscite[[#Headers],[Varie Uscite]],Data!$I1527=SottocategorieUscite[[#Headers],[Personali]],Data!$I1527=SottocategorieUscite[[#Headers],[Lavoro]]),"$ -","")</f>
        <v/>
      </c>
      <c r="L1527" s="59" t="str">
        <f>IF(OR(Data!$I1527=SottocategorieUscite[[#Headers],[Casa]],Data!$I1527=SottocategorieUscite[[#Headers],[Utenze]],Data!$I1527=SottocategorieUscite[[#Headers],[Business Uscite]],Data!$I1527=SottocategorieUscite[[#Headers],[Banca]]),"$ -","")</f>
        <v/>
      </c>
      <c r="M1527" s="59" t="str">
        <f>IF(OR($I1527&lt;&gt;SottocategorieUscite[[#Headers],[Fuori Casa]],$I1527&lt;&gt;SottocategorieUscite[[#Headers],[Varie Uscite]],$I1527&lt;&gt;SottocategorieUscite[[#Headers],[Personali]],$I1527&lt;&gt;SottocategorieUscite[[#Headers],[Lavoro]],$I1527&lt;&gt;SottocategorieUscite[[#Headers],[Casa]],$I1527&lt;&gt;SottocategorieUscite[[#Headers],[Utenze]],$I1527&lt;&gt;SottocategorieUscite[[#Headers],[Business Uscite]],$I1527&lt;&gt;SottocategorieUscite[[#Headers],[Banca]]),"","$ -")</f>
        <v/>
      </c>
      <c r="N1527" s="59" t="str">
        <f>IF(OR(Data!$I1527=SottocategorieEntrate[[#Headers],[Business Entrate]],Data!$I1527=SottocategorieEntrate[[#Headers],[Varie Entrate]]),"$ -","")</f>
        <v/>
      </c>
      <c r="O1527" s="59" t="str">
        <f>IF(OR(Data!$I1527=SottocategorieEntrate[[#Headers],[Real Estate]],SottocategorieEntrate[[#Headers],[Other]]),"$ -","")</f>
        <v/>
      </c>
      <c r="P1527" s="59" t="str">
        <f>IF(OR($I1527&lt;&gt;SottocategorieEntrate[[#Headers],[Business Entrate]],$I1527&lt;&gt;SottocategorieEntrate[[#Headers],[Varie Entrate]],$I1527&lt;&gt;SottocategorieEntrate[[#Headers],[Real Estate]],$I1527&lt;&gt;SottocategorieEntrate[[#Headers],[Other]]),"","$ -")</f>
        <v/>
      </c>
      <c r="Q1527" s="59" t="str">
        <f>IF(Dati[[#This Row],[Categoria]]="Prelievo","€ -","")</f>
        <v/>
      </c>
      <c r="R1527" s="244"/>
      <c r="S1527" s="59" t="str">
        <f>IF(Dati[[#This Row],[Categoria]]="Savings",0,"")</f>
        <v/>
      </c>
      <c r="T1527" s="59"/>
      <c r="U1527" s="59"/>
      <c r="V1527" s="59"/>
      <c r="W1527" s="59"/>
      <c r="X1527" s="59"/>
      <c r="Y1527" s="59"/>
      <c r="Z1527" s="59"/>
      <c r="AA1527" s="59"/>
      <c r="AB1527" s="59"/>
      <c r="AC1527" s="59"/>
      <c r="AD1527" s="59"/>
      <c r="AE1527" s="59"/>
      <c r="AF1527" s="59"/>
      <c r="AG1527" s="59"/>
      <c r="AH1527" s="59"/>
      <c r="AI1527" s="59" t="str">
        <f>IF(SUM(Dati[[#This Row],[Inv. Business]:[Inv. Cryptocurrency]])=0," ",SUM(Dati[[#This Row],[Inv. Business]:[Inv. Cryptocurrency]]))</f>
        <v xml:space="preserve"> </v>
      </c>
      <c r="AJ1527" s="59"/>
      <c r="AK1527" s="59" t="str">
        <f>IF(SUM(Dati[[#This Row],[Inv. Gold]:[Mutuo]])=0," ",SUM(Dati[[#This Row],[Inv. Gold]:[Mutuo]]))</f>
        <v xml:space="preserve"> </v>
      </c>
      <c r="AL1527" s="59"/>
      <c r="AM1527" s="59"/>
    </row>
    <row r="1528" spans="2:39" x14ac:dyDescent="0.35">
      <c r="B1528" s="237">
        <f t="shared" si="111"/>
        <v>1508</v>
      </c>
      <c r="C1528" s="49">
        <f t="shared" si="110"/>
        <v>46086</v>
      </c>
      <c r="D1528" s="29">
        <f>DAY(Dati[[#This Row],[Data]])</f>
        <v>5</v>
      </c>
      <c r="E1528" s="29" t="str">
        <f>IF(DAY(Data!$C$21:$C$1613)&gt;0,TEXT(Data!$C$21:$C$1613, "mmmm"),"")</f>
        <v>marzo</v>
      </c>
      <c r="F1528" s="29" t="str">
        <f>IF(DAY(Data!$C$21:$C$1613)&gt;0,TEXT(Data!$C$21:$C$1613, "aaaa"),"")</f>
        <v>2026</v>
      </c>
      <c r="I1528" t="str">
        <f>IF(OR(H1528=$B$5,H1528=$B$6,H1528=$B$7,H1528=$B$8,H1528=$B$9,H1528=$B$10,H1528=$B$11,H1528=$B$12,H1528=$B$13,H1528=$B$14),SottocategorieUscite[[#Headers],[Fuori Casa]],IF(OR(H1528=$C$5,H1528=$C$6,H1528=$C$7,H1528=$C$8,H1528=$C$9,H1528=$C$10,H1528=$C$11,H1528=$C$12,H1528=$C$13,H1528=$C$14),SottocategorieUscite[[#Headers],[Varie Uscite]],IF(OR(H1528=$D$5,H1528=$D$6,H1528=$D$7,H1528=$D$8,H1528=$D$9,H1528=$D$10,H1528=$D$11,H1528=$D$12,H1528=$D$13,H1528=$D$14),SottocategorieUscite[[#Headers],[Personali]],IF(OR(H1528=$E$5,H1528=$E$6,H1528=$E$7,H1528=$E$8,H1528=$E$9,H1528=$E$10,H1528=$E$11,H1528=$E$12,H1528=$E$13,H1528=$E$14),SottocategorieUscite[[#Headers],[Lavoro]],IF(OR(H1528=$F$5,H1528=$F$6,H1528=$F$7,H1528=$F$8,H1528=$F$9,H1528=$F$10,H1528=$F$11,H1528=$F$12,H1528=$F$13,H1528=$F$14),SottocategorieUscite[[#Headers],[Casa]],IF(OR(H1528=$G$5,H1528=$G$6,H1528=$G$7,H1528=$G$8,H1528=$G$9,H1528=$G$10,H1528=$G$11,H1528=$G$12,H1528=$G$13,H1528=$G$14),SottocategorieUscite[[#Headers],[Utenze]],IF(OR(H1528=$H$5,H1528=$H$6,H1528=$H$7,H1528=$H$8,H1528=$H$9,H1528=$H$10,H1528=$H$11,H1528=$H$12,H1528=$H$13,H1528=$H$14),SottocategorieUscite[[#Headers],[Business Uscite]],IF(OR(H1528=$I$5,H1528=$I$6,H1528=$I$7,H1528=$I$8,H1528=$I$9,H1528=$I$10,H1528=$I$11,H1528=$I$12,H1528=$I$13,H1528=$I$14),SottocategorieUscite[[#Headers],[Banca]],IF(OR(H1528=K$5,H1528=K$6,H1528=K$7,H1528=K$8,H1528=K$9,H1528=K$10,H1528=K$11,H1528=K$12,H1528=K$13,H1528=K$14),SottocategorieEntrate[[#Headers],[Business Entrate]],IF(OR(H1528=L$5,H1528=L$6,H1528=L$7,H1528=L$8,H1528=L$9,H1528=L$10,H1528=L$11,H1528=L$12,H1528=L$13,H1528=L$14),SottocategorieEntrate[[#Headers],[Varie Entrate]],IF(OR(H1528=M$5,H1528=M$6,H1528=M$7,H1528=M$8,H1528=M$9,H1528=M$10,H1528=M$11,H1528=M$12,H1528=M$13,H1528=M$14),SottocategorieEntrate[[#Headers],[Real Estate]],IF(OR(H1528=N$5,H1528=N$6,H1528=N$7,H1528=N$8,H1528=N$9,H1528=N$10,H1528=N$11,H1528=N$12,H1528=N$13,H1528=N$14),SottocategorieEntrate[[#Headers],[Other]],""))))))))))))</f>
        <v/>
      </c>
      <c r="J1528" t="str">
        <f>IF(OR(Dati[[#This Row],[Categoria]]="Bollette",Dati[[#This Row],[Categoria]]="Conto &amp; Carte BNL",Dati[[#This Row],[Categoria]]="Prelievo",Dati[[#This Row],[Categoria]]="Affitto",Dati[[#This Row],[Categoria]]="BNL(Interessi Creditori)"),"Carta",IF(Dati[[#This Row],[Categoria]]&lt;&gt;0,"Cash",""))</f>
        <v/>
      </c>
      <c r="K1528" s="59" t="str">
        <f>IF(OR(Data!$I1528=SottocategorieUscite[[#Headers],[Fuori Casa]],Data!$I1528=SottocategorieUscite[[#Headers],[Varie Uscite]],Data!$I1528=SottocategorieUscite[[#Headers],[Personali]],Data!$I1528=SottocategorieUscite[[#Headers],[Lavoro]]),"$ -","")</f>
        <v/>
      </c>
      <c r="L1528" s="59" t="str">
        <f>IF(OR(Data!$I1528=SottocategorieUscite[[#Headers],[Casa]],Data!$I1528=SottocategorieUscite[[#Headers],[Utenze]],Data!$I1528=SottocategorieUscite[[#Headers],[Business Uscite]],Data!$I1528=SottocategorieUscite[[#Headers],[Banca]]),"$ -","")</f>
        <v/>
      </c>
      <c r="M1528" s="59" t="str">
        <f>IF(OR($I1528&lt;&gt;SottocategorieUscite[[#Headers],[Fuori Casa]],$I1528&lt;&gt;SottocategorieUscite[[#Headers],[Varie Uscite]],$I1528&lt;&gt;SottocategorieUscite[[#Headers],[Personali]],$I1528&lt;&gt;SottocategorieUscite[[#Headers],[Lavoro]],$I1528&lt;&gt;SottocategorieUscite[[#Headers],[Casa]],$I1528&lt;&gt;SottocategorieUscite[[#Headers],[Utenze]],$I1528&lt;&gt;SottocategorieUscite[[#Headers],[Business Uscite]],$I1528&lt;&gt;SottocategorieUscite[[#Headers],[Banca]]),"","$ -")</f>
        <v/>
      </c>
      <c r="N1528" s="59" t="str">
        <f>IF(OR(Data!$I1528=SottocategorieEntrate[[#Headers],[Business Entrate]],Data!$I1528=SottocategorieEntrate[[#Headers],[Varie Entrate]]),"$ -","")</f>
        <v/>
      </c>
      <c r="O1528" s="59" t="str">
        <f>IF(OR(Data!$I1528=SottocategorieEntrate[[#Headers],[Real Estate]],SottocategorieEntrate[[#Headers],[Other]]),"$ -","")</f>
        <v/>
      </c>
      <c r="P1528" s="59" t="str">
        <f>IF(OR($I1528&lt;&gt;SottocategorieEntrate[[#Headers],[Business Entrate]],$I1528&lt;&gt;SottocategorieEntrate[[#Headers],[Varie Entrate]],$I1528&lt;&gt;SottocategorieEntrate[[#Headers],[Real Estate]],$I1528&lt;&gt;SottocategorieEntrate[[#Headers],[Other]]),"","$ -")</f>
        <v/>
      </c>
      <c r="Q1528" s="59" t="str">
        <f>IF(Dati[[#This Row],[Categoria]]="Prelievo","€ -","")</f>
        <v/>
      </c>
      <c r="R1528" s="244"/>
      <c r="S1528" s="59" t="str">
        <f>IF(Dati[[#This Row],[Categoria]]="Savings",0,"")</f>
        <v/>
      </c>
      <c r="T1528" s="59"/>
      <c r="U1528" s="59"/>
      <c r="V1528" s="59"/>
      <c r="W1528" s="59"/>
      <c r="X1528" s="59"/>
      <c r="Y1528" s="59"/>
      <c r="Z1528" s="59"/>
      <c r="AA1528" s="59"/>
      <c r="AB1528" s="59"/>
      <c r="AC1528" s="59"/>
      <c r="AD1528" s="59"/>
      <c r="AE1528" s="59"/>
      <c r="AF1528" s="59"/>
      <c r="AG1528" s="59"/>
      <c r="AH1528" s="59"/>
      <c r="AI1528" s="59" t="str">
        <f>IF(SUM(Dati[[#This Row],[Inv. Business]:[Inv. Cryptocurrency]])=0," ",SUM(Dati[[#This Row],[Inv. Business]:[Inv. Cryptocurrency]]))</f>
        <v xml:space="preserve"> </v>
      </c>
      <c r="AJ1528" s="59"/>
      <c r="AK1528" s="59" t="str">
        <f>IF(SUM(Dati[[#This Row],[Inv. Gold]:[Mutuo]])=0," ",SUM(Dati[[#This Row],[Inv. Gold]:[Mutuo]]))</f>
        <v xml:space="preserve"> </v>
      </c>
      <c r="AL1528" s="59"/>
      <c r="AM1528" s="59"/>
    </row>
    <row r="1529" spans="2:39" x14ac:dyDescent="0.35">
      <c r="B1529" s="237">
        <f t="shared" si="111"/>
        <v>1509</v>
      </c>
      <c r="C1529" s="49">
        <f t="shared" si="110"/>
        <v>46087</v>
      </c>
      <c r="D1529" s="29">
        <f>DAY(Dati[[#This Row],[Data]])</f>
        <v>6</v>
      </c>
      <c r="E1529" s="29" t="str">
        <f>IF(DAY(Data!$C$21:$C$1613)&gt;0,TEXT(Data!$C$21:$C$1613, "mmmm"),"")</f>
        <v>marzo</v>
      </c>
      <c r="F1529" s="29" t="str">
        <f>IF(DAY(Data!$C$21:$C$1613)&gt;0,TEXT(Data!$C$21:$C$1613, "aaaa"),"")</f>
        <v>2026</v>
      </c>
      <c r="I1529" t="str">
        <f>IF(OR(H1529=$B$5,H1529=$B$6,H1529=$B$7,H1529=$B$8,H1529=$B$9,H1529=$B$10,H1529=$B$11,H1529=$B$12,H1529=$B$13,H1529=$B$14),SottocategorieUscite[[#Headers],[Fuori Casa]],IF(OR(H1529=$C$5,H1529=$C$6,H1529=$C$7,H1529=$C$8,H1529=$C$9,H1529=$C$10,H1529=$C$11,H1529=$C$12,H1529=$C$13,H1529=$C$14),SottocategorieUscite[[#Headers],[Varie Uscite]],IF(OR(H1529=$D$5,H1529=$D$6,H1529=$D$7,H1529=$D$8,H1529=$D$9,H1529=$D$10,H1529=$D$11,H1529=$D$12,H1529=$D$13,H1529=$D$14),SottocategorieUscite[[#Headers],[Personali]],IF(OR(H1529=$E$5,H1529=$E$6,H1529=$E$7,H1529=$E$8,H1529=$E$9,H1529=$E$10,H1529=$E$11,H1529=$E$12,H1529=$E$13,H1529=$E$14),SottocategorieUscite[[#Headers],[Lavoro]],IF(OR(H1529=$F$5,H1529=$F$6,H1529=$F$7,H1529=$F$8,H1529=$F$9,H1529=$F$10,H1529=$F$11,H1529=$F$12,H1529=$F$13,H1529=$F$14),SottocategorieUscite[[#Headers],[Casa]],IF(OR(H1529=$G$5,H1529=$G$6,H1529=$G$7,H1529=$G$8,H1529=$G$9,H1529=$G$10,H1529=$G$11,H1529=$G$12,H1529=$G$13,H1529=$G$14),SottocategorieUscite[[#Headers],[Utenze]],IF(OR(H1529=$H$5,H1529=$H$6,H1529=$H$7,H1529=$H$8,H1529=$H$9,H1529=$H$10,H1529=$H$11,H1529=$H$12,H1529=$H$13,H1529=$H$14),SottocategorieUscite[[#Headers],[Business Uscite]],IF(OR(H1529=$I$5,H1529=$I$6,H1529=$I$7,H1529=$I$8,H1529=$I$9,H1529=$I$10,H1529=$I$11,H1529=$I$12,H1529=$I$13,H1529=$I$14),SottocategorieUscite[[#Headers],[Banca]],IF(OR(H1529=K$5,H1529=K$6,H1529=K$7,H1529=K$8,H1529=K$9,H1529=K$10,H1529=K$11,H1529=K$12,H1529=K$13,H1529=K$14),SottocategorieEntrate[[#Headers],[Business Entrate]],IF(OR(H1529=L$5,H1529=L$6,H1529=L$7,H1529=L$8,H1529=L$9,H1529=L$10,H1529=L$11,H1529=L$12,H1529=L$13,H1529=L$14),SottocategorieEntrate[[#Headers],[Varie Entrate]],IF(OR(H1529=M$5,H1529=M$6,H1529=M$7,H1529=M$8,H1529=M$9,H1529=M$10,H1529=M$11,H1529=M$12,H1529=M$13,H1529=M$14),SottocategorieEntrate[[#Headers],[Real Estate]],IF(OR(H1529=N$5,H1529=N$6,H1529=N$7,H1529=N$8,H1529=N$9,H1529=N$10,H1529=N$11,H1529=N$12,H1529=N$13,H1529=N$14),SottocategorieEntrate[[#Headers],[Other]],""))))))))))))</f>
        <v/>
      </c>
      <c r="J1529" t="str">
        <f>IF(OR(Dati[[#This Row],[Categoria]]="Bollette",Dati[[#This Row],[Categoria]]="Conto &amp; Carte BNL",Dati[[#This Row],[Categoria]]="Prelievo",Dati[[#This Row],[Categoria]]="Affitto",Dati[[#This Row],[Categoria]]="BNL(Interessi Creditori)"),"Carta",IF(Dati[[#This Row],[Categoria]]&lt;&gt;0,"Cash",""))</f>
        <v/>
      </c>
      <c r="K1529" s="59" t="str">
        <f>IF(OR(Data!$I1529=SottocategorieUscite[[#Headers],[Fuori Casa]],Data!$I1529=SottocategorieUscite[[#Headers],[Varie Uscite]],Data!$I1529=SottocategorieUscite[[#Headers],[Personali]],Data!$I1529=SottocategorieUscite[[#Headers],[Lavoro]]),"$ -","")</f>
        <v/>
      </c>
      <c r="L1529" s="59" t="str">
        <f>IF(OR(Data!$I1529=SottocategorieUscite[[#Headers],[Casa]],Data!$I1529=SottocategorieUscite[[#Headers],[Utenze]],Data!$I1529=SottocategorieUscite[[#Headers],[Business Uscite]],Data!$I1529=SottocategorieUscite[[#Headers],[Banca]]),"$ -","")</f>
        <v/>
      </c>
      <c r="M1529" s="59" t="str">
        <f>IF(OR($I1529&lt;&gt;SottocategorieUscite[[#Headers],[Fuori Casa]],$I1529&lt;&gt;SottocategorieUscite[[#Headers],[Varie Uscite]],$I1529&lt;&gt;SottocategorieUscite[[#Headers],[Personali]],$I1529&lt;&gt;SottocategorieUscite[[#Headers],[Lavoro]],$I1529&lt;&gt;SottocategorieUscite[[#Headers],[Casa]],$I1529&lt;&gt;SottocategorieUscite[[#Headers],[Utenze]],$I1529&lt;&gt;SottocategorieUscite[[#Headers],[Business Uscite]],$I1529&lt;&gt;SottocategorieUscite[[#Headers],[Banca]]),"","$ -")</f>
        <v/>
      </c>
      <c r="N1529" s="59" t="str">
        <f>IF(OR(Data!$I1529=SottocategorieEntrate[[#Headers],[Business Entrate]],Data!$I1529=SottocategorieEntrate[[#Headers],[Varie Entrate]]),"$ -","")</f>
        <v/>
      </c>
      <c r="O1529" s="59" t="str">
        <f>IF(OR(Data!$I1529=SottocategorieEntrate[[#Headers],[Real Estate]],SottocategorieEntrate[[#Headers],[Other]]),"$ -","")</f>
        <v/>
      </c>
      <c r="P1529" s="59" t="str">
        <f>IF(OR($I1529&lt;&gt;SottocategorieEntrate[[#Headers],[Business Entrate]],$I1529&lt;&gt;SottocategorieEntrate[[#Headers],[Varie Entrate]],$I1529&lt;&gt;SottocategorieEntrate[[#Headers],[Real Estate]],$I1529&lt;&gt;SottocategorieEntrate[[#Headers],[Other]]),"","$ -")</f>
        <v/>
      </c>
      <c r="Q1529" s="59" t="str">
        <f>IF(Dati[[#This Row],[Categoria]]="Prelievo","€ -","")</f>
        <v/>
      </c>
      <c r="R1529" s="244"/>
      <c r="S1529" s="59" t="str">
        <f>IF(Dati[[#This Row],[Categoria]]="Savings",0,"")</f>
        <v/>
      </c>
      <c r="T1529" s="59"/>
      <c r="U1529" s="59"/>
      <c r="V1529" s="59"/>
      <c r="W1529" s="59"/>
      <c r="X1529" s="59"/>
      <c r="Y1529" s="59"/>
      <c r="Z1529" s="59"/>
      <c r="AA1529" s="59"/>
      <c r="AB1529" s="59"/>
      <c r="AC1529" s="59"/>
      <c r="AD1529" s="59"/>
      <c r="AE1529" s="59"/>
      <c r="AF1529" s="59"/>
      <c r="AG1529" s="59"/>
      <c r="AH1529" s="59"/>
      <c r="AI1529" s="59" t="str">
        <f>IF(SUM(Dati[[#This Row],[Inv. Business]:[Inv. Cryptocurrency]])=0," ",SUM(Dati[[#This Row],[Inv. Business]:[Inv. Cryptocurrency]]))</f>
        <v xml:space="preserve"> </v>
      </c>
      <c r="AJ1529" s="59"/>
      <c r="AK1529" s="59" t="str">
        <f>IF(SUM(Dati[[#This Row],[Inv. Gold]:[Mutuo]])=0," ",SUM(Dati[[#This Row],[Inv. Gold]:[Mutuo]]))</f>
        <v xml:space="preserve"> </v>
      </c>
      <c r="AL1529" s="59"/>
      <c r="AM1529" s="59"/>
    </row>
    <row r="1530" spans="2:39" x14ac:dyDescent="0.35">
      <c r="B1530" s="237">
        <f t="shared" si="111"/>
        <v>1510</v>
      </c>
      <c r="C1530" s="49">
        <f t="shared" si="110"/>
        <v>46088</v>
      </c>
      <c r="D1530" s="29">
        <f>DAY(Dati[[#This Row],[Data]])</f>
        <v>7</v>
      </c>
      <c r="E1530" s="29" t="str">
        <f>IF(DAY(Data!$C$21:$C$1613)&gt;0,TEXT(Data!$C$21:$C$1613, "mmmm"),"")</f>
        <v>marzo</v>
      </c>
      <c r="F1530" s="29" t="str">
        <f>IF(DAY(Data!$C$21:$C$1613)&gt;0,TEXT(Data!$C$21:$C$1613, "aaaa"),"")</f>
        <v>2026</v>
      </c>
      <c r="I1530" t="str">
        <f>IF(OR(H1530=$B$5,H1530=$B$6,H1530=$B$7,H1530=$B$8,H1530=$B$9,H1530=$B$10,H1530=$B$11,H1530=$B$12,H1530=$B$13,H1530=$B$14),SottocategorieUscite[[#Headers],[Fuori Casa]],IF(OR(H1530=$C$5,H1530=$C$6,H1530=$C$7,H1530=$C$8,H1530=$C$9,H1530=$C$10,H1530=$C$11,H1530=$C$12,H1530=$C$13,H1530=$C$14),SottocategorieUscite[[#Headers],[Varie Uscite]],IF(OR(H1530=$D$5,H1530=$D$6,H1530=$D$7,H1530=$D$8,H1530=$D$9,H1530=$D$10,H1530=$D$11,H1530=$D$12,H1530=$D$13,H1530=$D$14),SottocategorieUscite[[#Headers],[Personali]],IF(OR(H1530=$E$5,H1530=$E$6,H1530=$E$7,H1530=$E$8,H1530=$E$9,H1530=$E$10,H1530=$E$11,H1530=$E$12,H1530=$E$13,H1530=$E$14),SottocategorieUscite[[#Headers],[Lavoro]],IF(OR(H1530=$F$5,H1530=$F$6,H1530=$F$7,H1530=$F$8,H1530=$F$9,H1530=$F$10,H1530=$F$11,H1530=$F$12,H1530=$F$13,H1530=$F$14),SottocategorieUscite[[#Headers],[Casa]],IF(OR(H1530=$G$5,H1530=$G$6,H1530=$G$7,H1530=$G$8,H1530=$G$9,H1530=$G$10,H1530=$G$11,H1530=$G$12,H1530=$G$13,H1530=$G$14),SottocategorieUscite[[#Headers],[Utenze]],IF(OR(H1530=$H$5,H1530=$H$6,H1530=$H$7,H1530=$H$8,H1530=$H$9,H1530=$H$10,H1530=$H$11,H1530=$H$12,H1530=$H$13,H1530=$H$14),SottocategorieUscite[[#Headers],[Business Uscite]],IF(OR(H1530=$I$5,H1530=$I$6,H1530=$I$7,H1530=$I$8,H1530=$I$9,H1530=$I$10,H1530=$I$11,H1530=$I$12,H1530=$I$13,H1530=$I$14),SottocategorieUscite[[#Headers],[Banca]],IF(OR(H1530=K$5,H1530=K$6,H1530=K$7,H1530=K$8,H1530=K$9,H1530=K$10,H1530=K$11,H1530=K$12,H1530=K$13,H1530=K$14),SottocategorieEntrate[[#Headers],[Business Entrate]],IF(OR(H1530=L$5,H1530=L$6,H1530=L$7,H1530=L$8,H1530=L$9,H1530=L$10,H1530=L$11,H1530=L$12,H1530=L$13,H1530=L$14),SottocategorieEntrate[[#Headers],[Varie Entrate]],IF(OR(H1530=M$5,H1530=M$6,H1530=M$7,H1530=M$8,H1530=M$9,H1530=M$10,H1530=M$11,H1530=M$12,H1530=M$13,H1530=M$14),SottocategorieEntrate[[#Headers],[Real Estate]],IF(OR(H1530=N$5,H1530=N$6,H1530=N$7,H1530=N$8,H1530=N$9,H1530=N$10,H1530=N$11,H1530=N$12,H1530=N$13,H1530=N$14),SottocategorieEntrate[[#Headers],[Other]],""))))))))))))</f>
        <v/>
      </c>
      <c r="J1530" t="str">
        <f>IF(OR(Dati[[#This Row],[Categoria]]="Bollette",Dati[[#This Row],[Categoria]]="Conto &amp; Carte BNL",Dati[[#This Row],[Categoria]]="Prelievo",Dati[[#This Row],[Categoria]]="Affitto",Dati[[#This Row],[Categoria]]="BNL(Interessi Creditori)"),"Carta",IF(Dati[[#This Row],[Categoria]]&lt;&gt;0,"Cash",""))</f>
        <v/>
      </c>
      <c r="K1530" s="59" t="str">
        <f>IF(OR(Data!$I1530=SottocategorieUscite[[#Headers],[Fuori Casa]],Data!$I1530=SottocategorieUscite[[#Headers],[Varie Uscite]],Data!$I1530=SottocategorieUscite[[#Headers],[Personali]],Data!$I1530=SottocategorieUscite[[#Headers],[Lavoro]]),"$ -","")</f>
        <v/>
      </c>
      <c r="L1530" s="59" t="str">
        <f>IF(OR(Data!$I1530=SottocategorieUscite[[#Headers],[Casa]],Data!$I1530=SottocategorieUscite[[#Headers],[Utenze]],Data!$I1530=SottocategorieUscite[[#Headers],[Business Uscite]],Data!$I1530=SottocategorieUscite[[#Headers],[Banca]]),"$ -","")</f>
        <v/>
      </c>
      <c r="M1530" s="59" t="str">
        <f>IF(OR($I1530&lt;&gt;SottocategorieUscite[[#Headers],[Fuori Casa]],$I1530&lt;&gt;SottocategorieUscite[[#Headers],[Varie Uscite]],$I1530&lt;&gt;SottocategorieUscite[[#Headers],[Personali]],$I1530&lt;&gt;SottocategorieUscite[[#Headers],[Lavoro]],$I1530&lt;&gt;SottocategorieUscite[[#Headers],[Casa]],$I1530&lt;&gt;SottocategorieUscite[[#Headers],[Utenze]],$I1530&lt;&gt;SottocategorieUscite[[#Headers],[Business Uscite]],$I1530&lt;&gt;SottocategorieUscite[[#Headers],[Banca]]),"","$ -")</f>
        <v/>
      </c>
      <c r="N1530" s="59" t="str">
        <f>IF(OR(Data!$I1530=SottocategorieEntrate[[#Headers],[Business Entrate]],Data!$I1530=SottocategorieEntrate[[#Headers],[Varie Entrate]]),"$ -","")</f>
        <v/>
      </c>
      <c r="O1530" s="59" t="str">
        <f>IF(OR(Data!$I1530=SottocategorieEntrate[[#Headers],[Real Estate]],SottocategorieEntrate[[#Headers],[Other]]),"$ -","")</f>
        <v/>
      </c>
      <c r="P1530" s="59" t="str">
        <f>IF(OR($I1530&lt;&gt;SottocategorieEntrate[[#Headers],[Business Entrate]],$I1530&lt;&gt;SottocategorieEntrate[[#Headers],[Varie Entrate]],$I1530&lt;&gt;SottocategorieEntrate[[#Headers],[Real Estate]],$I1530&lt;&gt;SottocategorieEntrate[[#Headers],[Other]]),"","$ -")</f>
        <v/>
      </c>
      <c r="Q1530" s="59" t="str">
        <f>IF(Dati[[#This Row],[Categoria]]="Prelievo","€ -","")</f>
        <v/>
      </c>
      <c r="R1530" s="244"/>
      <c r="S1530" s="59" t="str">
        <f>IF(Dati[[#This Row],[Categoria]]="Savings",0,"")</f>
        <v/>
      </c>
      <c r="T1530" s="59"/>
      <c r="U1530" s="59"/>
      <c r="V1530" s="59"/>
      <c r="W1530" s="59"/>
      <c r="X1530" s="59"/>
      <c r="Y1530" s="59"/>
      <c r="Z1530" s="59"/>
      <c r="AA1530" s="59"/>
      <c r="AB1530" s="59"/>
      <c r="AC1530" s="59"/>
      <c r="AD1530" s="59"/>
      <c r="AE1530" s="59"/>
      <c r="AF1530" s="59"/>
      <c r="AG1530" s="59"/>
      <c r="AH1530" s="59"/>
      <c r="AI1530" s="59" t="str">
        <f>IF(SUM(Dati[[#This Row],[Inv. Business]:[Inv. Cryptocurrency]])=0," ",SUM(Dati[[#This Row],[Inv. Business]:[Inv. Cryptocurrency]]))</f>
        <v xml:space="preserve"> </v>
      </c>
      <c r="AJ1530" s="59"/>
      <c r="AK1530" s="59" t="str">
        <f>IF(SUM(Dati[[#This Row],[Inv. Gold]:[Mutuo]])=0," ",SUM(Dati[[#This Row],[Inv. Gold]:[Mutuo]]))</f>
        <v xml:space="preserve"> </v>
      </c>
      <c r="AL1530" s="59"/>
      <c r="AM1530" s="59"/>
    </row>
    <row r="1531" spans="2:39" x14ac:dyDescent="0.35">
      <c r="B1531" s="237">
        <f t="shared" si="111"/>
        <v>1511</v>
      </c>
      <c r="C1531" s="49">
        <f t="shared" si="110"/>
        <v>46089</v>
      </c>
      <c r="D1531" s="29">
        <f>DAY(Dati[[#This Row],[Data]])</f>
        <v>8</v>
      </c>
      <c r="E1531" s="29" t="str">
        <f>IF(DAY(Data!$C$21:$C$1613)&gt;0,TEXT(Data!$C$21:$C$1613, "mmmm"),"")</f>
        <v>marzo</v>
      </c>
      <c r="F1531" s="29" t="str">
        <f>IF(DAY(Data!$C$21:$C$1613)&gt;0,TEXT(Data!$C$21:$C$1613, "aaaa"),"")</f>
        <v>2026</v>
      </c>
      <c r="I1531" t="str">
        <f>IF(OR(H1531=$B$5,H1531=$B$6,H1531=$B$7,H1531=$B$8,H1531=$B$9,H1531=$B$10,H1531=$B$11,H1531=$B$12,H1531=$B$13,H1531=$B$14),SottocategorieUscite[[#Headers],[Fuori Casa]],IF(OR(H1531=$C$5,H1531=$C$6,H1531=$C$7,H1531=$C$8,H1531=$C$9,H1531=$C$10,H1531=$C$11,H1531=$C$12,H1531=$C$13,H1531=$C$14),SottocategorieUscite[[#Headers],[Varie Uscite]],IF(OR(H1531=$D$5,H1531=$D$6,H1531=$D$7,H1531=$D$8,H1531=$D$9,H1531=$D$10,H1531=$D$11,H1531=$D$12,H1531=$D$13,H1531=$D$14),SottocategorieUscite[[#Headers],[Personali]],IF(OR(H1531=$E$5,H1531=$E$6,H1531=$E$7,H1531=$E$8,H1531=$E$9,H1531=$E$10,H1531=$E$11,H1531=$E$12,H1531=$E$13,H1531=$E$14),SottocategorieUscite[[#Headers],[Lavoro]],IF(OR(H1531=$F$5,H1531=$F$6,H1531=$F$7,H1531=$F$8,H1531=$F$9,H1531=$F$10,H1531=$F$11,H1531=$F$12,H1531=$F$13,H1531=$F$14),SottocategorieUscite[[#Headers],[Casa]],IF(OR(H1531=$G$5,H1531=$G$6,H1531=$G$7,H1531=$G$8,H1531=$G$9,H1531=$G$10,H1531=$G$11,H1531=$G$12,H1531=$G$13,H1531=$G$14),SottocategorieUscite[[#Headers],[Utenze]],IF(OR(H1531=$H$5,H1531=$H$6,H1531=$H$7,H1531=$H$8,H1531=$H$9,H1531=$H$10,H1531=$H$11,H1531=$H$12,H1531=$H$13,H1531=$H$14),SottocategorieUscite[[#Headers],[Business Uscite]],IF(OR(H1531=$I$5,H1531=$I$6,H1531=$I$7,H1531=$I$8,H1531=$I$9,H1531=$I$10,H1531=$I$11,H1531=$I$12,H1531=$I$13,H1531=$I$14),SottocategorieUscite[[#Headers],[Banca]],IF(OR(H1531=K$5,H1531=K$6,H1531=K$7,H1531=K$8,H1531=K$9,H1531=K$10,H1531=K$11,H1531=K$12,H1531=K$13,H1531=K$14),SottocategorieEntrate[[#Headers],[Business Entrate]],IF(OR(H1531=L$5,H1531=L$6,H1531=L$7,H1531=L$8,H1531=L$9,H1531=L$10,H1531=L$11,H1531=L$12,H1531=L$13,H1531=L$14),SottocategorieEntrate[[#Headers],[Varie Entrate]],IF(OR(H1531=M$5,H1531=M$6,H1531=M$7,H1531=M$8,H1531=M$9,H1531=M$10,H1531=M$11,H1531=M$12,H1531=M$13,H1531=M$14),SottocategorieEntrate[[#Headers],[Real Estate]],IF(OR(H1531=N$5,H1531=N$6,H1531=N$7,H1531=N$8,H1531=N$9,H1531=N$10,H1531=N$11,H1531=N$12,H1531=N$13,H1531=N$14),SottocategorieEntrate[[#Headers],[Other]],""))))))))))))</f>
        <v/>
      </c>
      <c r="J1531" t="str">
        <f>IF(OR(Dati[[#This Row],[Categoria]]="Bollette",Dati[[#This Row],[Categoria]]="Conto &amp; Carte BNL",Dati[[#This Row],[Categoria]]="Prelievo",Dati[[#This Row],[Categoria]]="Affitto",Dati[[#This Row],[Categoria]]="BNL(Interessi Creditori)"),"Carta",IF(Dati[[#This Row],[Categoria]]&lt;&gt;0,"Cash",""))</f>
        <v/>
      </c>
      <c r="K1531" s="59" t="str">
        <f>IF(OR(Data!$I1531=SottocategorieUscite[[#Headers],[Fuori Casa]],Data!$I1531=SottocategorieUscite[[#Headers],[Varie Uscite]],Data!$I1531=SottocategorieUscite[[#Headers],[Personali]],Data!$I1531=SottocategorieUscite[[#Headers],[Lavoro]]),"$ -","")</f>
        <v/>
      </c>
      <c r="L1531" s="59" t="str">
        <f>IF(OR(Data!$I1531=SottocategorieUscite[[#Headers],[Casa]],Data!$I1531=SottocategorieUscite[[#Headers],[Utenze]],Data!$I1531=SottocategorieUscite[[#Headers],[Business Uscite]],Data!$I1531=SottocategorieUscite[[#Headers],[Banca]]),"$ -","")</f>
        <v/>
      </c>
      <c r="M1531" s="59" t="str">
        <f>IF(OR($I1531&lt;&gt;SottocategorieUscite[[#Headers],[Fuori Casa]],$I1531&lt;&gt;SottocategorieUscite[[#Headers],[Varie Uscite]],$I1531&lt;&gt;SottocategorieUscite[[#Headers],[Personali]],$I1531&lt;&gt;SottocategorieUscite[[#Headers],[Lavoro]],$I1531&lt;&gt;SottocategorieUscite[[#Headers],[Casa]],$I1531&lt;&gt;SottocategorieUscite[[#Headers],[Utenze]],$I1531&lt;&gt;SottocategorieUscite[[#Headers],[Business Uscite]],$I1531&lt;&gt;SottocategorieUscite[[#Headers],[Banca]]),"","$ -")</f>
        <v/>
      </c>
      <c r="N1531" s="59" t="str">
        <f>IF(OR(Data!$I1531=SottocategorieEntrate[[#Headers],[Business Entrate]],Data!$I1531=SottocategorieEntrate[[#Headers],[Varie Entrate]]),"$ -","")</f>
        <v/>
      </c>
      <c r="O1531" s="59" t="str">
        <f>IF(OR(Data!$I1531=SottocategorieEntrate[[#Headers],[Real Estate]],SottocategorieEntrate[[#Headers],[Other]]),"$ -","")</f>
        <v/>
      </c>
      <c r="P1531" s="59" t="str">
        <f>IF(OR($I1531&lt;&gt;SottocategorieEntrate[[#Headers],[Business Entrate]],$I1531&lt;&gt;SottocategorieEntrate[[#Headers],[Varie Entrate]],$I1531&lt;&gt;SottocategorieEntrate[[#Headers],[Real Estate]],$I1531&lt;&gt;SottocategorieEntrate[[#Headers],[Other]]),"","$ -")</f>
        <v/>
      </c>
      <c r="Q1531" s="59" t="str">
        <f>IF(Dati[[#This Row],[Categoria]]="Prelievo","€ -","")</f>
        <v/>
      </c>
      <c r="R1531" s="244"/>
      <c r="S1531" s="59" t="str">
        <f>IF(Dati[[#This Row],[Categoria]]="Savings",0,"")</f>
        <v/>
      </c>
      <c r="T1531" s="59"/>
      <c r="U1531" s="59"/>
      <c r="V1531" s="59"/>
      <c r="W1531" s="59"/>
      <c r="X1531" s="59"/>
      <c r="Y1531" s="59"/>
      <c r="Z1531" s="59"/>
      <c r="AA1531" s="59"/>
      <c r="AB1531" s="59"/>
      <c r="AC1531" s="59"/>
      <c r="AD1531" s="59"/>
      <c r="AE1531" s="59"/>
      <c r="AF1531" s="59"/>
      <c r="AG1531" s="59"/>
      <c r="AH1531" s="59"/>
      <c r="AI1531" s="59" t="str">
        <f>IF(SUM(Dati[[#This Row],[Inv. Business]:[Inv. Cryptocurrency]])=0," ",SUM(Dati[[#This Row],[Inv. Business]:[Inv. Cryptocurrency]]))</f>
        <v xml:space="preserve"> </v>
      </c>
      <c r="AJ1531" s="59"/>
      <c r="AK1531" s="59" t="str">
        <f>IF(SUM(Dati[[#This Row],[Inv. Gold]:[Mutuo]])=0," ",SUM(Dati[[#This Row],[Inv. Gold]:[Mutuo]]))</f>
        <v xml:space="preserve"> </v>
      </c>
      <c r="AL1531" s="59"/>
      <c r="AM1531" s="59"/>
    </row>
    <row r="1532" spans="2:39" x14ac:dyDescent="0.35">
      <c r="B1532" s="237">
        <f t="shared" si="111"/>
        <v>1512</v>
      </c>
      <c r="C1532" s="49">
        <f t="shared" si="110"/>
        <v>46090</v>
      </c>
      <c r="D1532" s="29">
        <f>DAY(Dati[[#This Row],[Data]])</f>
        <v>9</v>
      </c>
      <c r="E1532" s="29" t="str">
        <f>IF(DAY(Data!$C$21:$C$1613)&gt;0,TEXT(Data!$C$21:$C$1613, "mmmm"),"")</f>
        <v>marzo</v>
      </c>
      <c r="F1532" s="29" t="str">
        <f>IF(DAY(Data!$C$21:$C$1613)&gt;0,TEXT(Data!$C$21:$C$1613, "aaaa"),"")</f>
        <v>2026</v>
      </c>
      <c r="I1532" t="str">
        <f>IF(OR(H1532=$B$5,H1532=$B$6,H1532=$B$7,H1532=$B$8,H1532=$B$9,H1532=$B$10,H1532=$B$11,H1532=$B$12,H1532=$B$13,H1532=$B$14),SottocategorieUscite[[#Headers],[Fuori Casa]],IF(OR(H1532=$C$5,H1532=$C$6,H1532=$C$7,H1532=$C$8,H1532=$C$9,H1532=$C$10,H1532=$C$11,H1532=$C$12,H1532=$C$13,H1532=$C$14),SottocategorieUscite[[#Headers],[Varie Uscite]],IF(OR(H1532=$D$5,H1532=$D$6,H1532=$D$7,H1532=$D$8,H1532=$D$9,H1532=$D$10,H1532=$D$11,H1532=$D$12,H1532=$D$13,H1532=$D$14),SottocategorieUscite[[#Headers],[Personali]],IF(OR(H1532=$E$5,H1532=$E$6,H1532=$E$7,H1532=$E$8,H1532=$E$9,H1532=$E$10,H1532=$E$11,H1532=$E$12,H1532=$E$13,H1532=$E$14),SottocategorieUscite[[#Headers],[Lavoro]],IF(OR(H1532=$F$5,H1532=$F$6,H1532=$F$7,H1532=$F$8,H1532=$F$9,H1532=$F$10,H1532=$F$11,H1532=$F$12,H1532=$F$13,H1532=$F$14),SottocategorieUscite[[#Headers],[Casa]],IF(OR(H1532=$G$5,H1532=$G$6,H1532=$G$7,H1532=$G$8,H1532=$G$9,H1532=$G$10,H1532=$G$11,H1532=$G$12,H1532=$G$13,H1532=$G$14),SottocategorieUscite[[#Headers],[Utenze]],IF(OR(H1532=$H$5,H1532=$H$6,H1532=$H$7,H1532=$H$8,H1532=$H$9,H1532=$H$10,H1532=$H$11,H1532=$H$12,H1532=$H$13,H1532=$H$14),SottocategorieUscite[[#Headers],[Business Uscite]],IF(OR(H1532=$I$5,H1532=$I$6,H1532=$I$7,H1532=$I$8,H1532=$I$9,H1532=$I$10,H1532=$I$11,H1532=$I$12,H1532=$I$13,H1532=$I$14),SottocategorieUscite[[#Headers],[Banca]],IF(OR(H1532=K$5,H1532=K$6,H1532=K$7,H1532=K$8,H1532=K$9,H1532=K$10,H1532=K$11,H1532=K$12,H1532=K$13,H1532=K$14),SottocategorieEntrate[[#Headers],[Business Entrate]],IF(OR(H1532=L$5,H1532=L$6,H1532=L$7,H1532=L$8,H1532=L$9,H1532=L$10,H1532=L$11,H1532=L$12,H1532=L$13,H1532=L$14),SottocategorieEntrate[[#Headers],[Varie Entrate]],IF(OR(H1532=M$5,H1532=M$6,H1532=M$7,H1532=M$8,H1532=M$9,H1532=M$10,H1532=M$11,H1532=M$12,H1532=M$13,H1532=M$14),SottocategorieEntrate[[#Headers],[Real Estate]],IF(OR(H1532=N$5,H1532=N$6,H1532=N$7,H1532=N$8,H1532=N$9,H1532=N$10,H1532=N$11,H1532=N$12,H1532=N$13,H1532=N$14),SottocategorieEntrate[[#Headers],[Other]],""))))))))))))</f>
        <v/>
      </c>
      <c r="J1532" t="str">
        <f>IF(OR(Dati[[#This Row],[Categoria]]="Bollette",Dati[[#This Row],[Categoria]]="Conto &amp; Carte BNL",Dati[[#This Row],[Categoria]]="Prelievo",Dati[[#This Row],[Categoria]]="Affitto",Dati[[#This Row],[Categoria]]="BNL(Interessi Creditori)"),"Carta",IF(Dati[[#This Row],[Categoria]]&lt;&gt;0,"Cash",""))</f>
        <v/>
      </c>
      <c r="K1532" s="59" t="str">
        <f>IF(OR(Data!$I1532=SottocategorieUscite[[#Headers],[Fuori Casa]],Data!$I1532=SottocategorieUscite[[#Headers],[Varie Uscite]],Data!$I1532=SottocategorieUscite[[#Headers],[Personali]],Data!$I1532=SottocategorieUscite[[#Headers],[Lavoro]]),"$ -","")</f>
        <v/>
      </c>
      <c r="L1532" s="59" t="str">
        <f>IF(OR(Data!$I1532=SottocategorieUscite[[#Headers],[Casa]],Data!$I1532=SottocategorieUscite[[#Headers],[Utenze]],Data!$I1532=SottocategorieUscite[[#Headers],[Business Uscite]],Data!$I1532=SottocategorieUscite[[#Headers],[Banca]]),"$ -","")</f>
        <v/>
      </c>
      <c r="M1532" s="59" t="str">
        <f>IF(OR($I1532&lt;&gt;SottocategorieUscite[[#Headers],[Fuori Casa]],$I1532&lt;&gt;SottocategorieUscite[[#Headers],[Varie Uscite]],$I1532&lt;&gt;SottocategorieUscite[[#Headers],[Personali]],$I1532&lt;&gt;SottocategorieUscite[[#Headers],[Lavoro]],$I1532&lt;&gt;SottocategorieUscite[[#Headers],[Casa]],$I1532&lt;&gt;SottocategorieUscite[[#Headers],[Utenze]],$I1532&lt;&gt;SottocategorieUscite[[#Headers],[Business Uscite]],$I1532&lt;&gt;SottocategorieUscite[[#Headers],[Banca]]),"","$ -")</f>
        <v/>
      </c>
      <c r="N1532" s="59" t="str">
        <f>IF(OR(Data!$I1532=SottocategorieEntrate[[#Headers],[Business Entrate]],Data!$I1532=SottocategorieEntrate[[#Headers],[Varie Entrate]]),"$ -","")</f>
        <v/>
      </c>
      <c r="O1532" s="59" t="str">
        <f>IF(OR(Data!$I1532=SottocategorieEntrate[[#Headers],[Real Estate]],SottocategorieEntrate[[#Headers],[Other]]),"$ -","")</f>
        <v/>
      </c>
      <c r="P1532" s="59" t="str">
        <f>IF(OR($I1532&lt;&gt;SottocategorieEntrate[[#Headers],[Business Entrate]],$I1532&lt;&gt;SottocategorieEntrate[[#Headers],[Varie Entrate]],$I1532&lt;&gt;SottocategorieEntrate[[#Headers],[Real Estate]],$I1532&lt;&gt;SottocategorieEntrate[[#Headers],[Other]]),"","$ -")</f>
        <v/>
      </c>
      <c r="Q1532" s="59" t="str">
        <f>IF(Dati[[#This Row],[Categoria]]="Prelievo","€ -","")</f>
        <v/>
      </c>
      <c r="R1532" s="244"/>
      <c r="S1532" s="59" t="str">
        <f>IF(Dati[[#This Row],[Categoria]]="Savings",0,"")</f>
        <v/>
      </c>
      <c r="T1532" s="59"/>
      <c r="U1532" s="59"/>
      <c r="V1532" s="59"/>
      <c r="W1532" s="59"/>
      <c r="X1532" s="59"/>
      <c r="Y1532" s="59"/>
      <c r="Z1532" s="59"/>
      <c r="AA1532" s="59"/>
      <c r="AB1532" s="59"/>
      <c r="AC1532" s="59"/>
      <c r="AD1532" s="59"/>
      <c r="AE1532" s="59"/>
      <c r="AF1532" s="59"/>
      <c r="AG1532" s="59"/>
      <c r="AH1532" s="59"/>
      <c r="AI1532" s="59" t="str">
        <f>IF(SUM(Dati[[#This Row],[Inv. Business]:[Inv. Cryptocurrency]])=0," ",SUM(Dati[[#This Row],[Inv. Business]:[Inv. Cryptocurrency]]))</f>
        <v xml:space="preserve"> </v>
      </c>
      <c r="AJ1532" s="59"/>
      <c r="AK1532" s="59" t="str">
        <f>IF(SUM(Dati[[#This Row],[Inv. Gold]:[Mutuo]])=0," ",SUM(Dati[[#This Row],[Inv. Gold]:[Mutuo]]))</f>
        <v xml:space="preserve"> </v>
      </c>
      <c r="AL1532" s="59"/>
      <c r="AM1532" s="59"/>
    </row>
    <row r="1533" spans="2:39" x14ac:dyDescent="0.35">
      <c r="B1533" s="237">
        <f t="shared" si="111"/>
        <v>1513</v>
      </c>
      <c r="C1533" s="49">
        <f t="shared" si="110"/>
        <v>46091</v>
      </c>
      <c r="D1533" s="29">
        <f>DAY(Dati[[#This Row],[Data]])</f>
        <v>10</v>
      </c>
      <c r="E1533" s="29" t="str">
        <f>IF(DAY(Data!$C$21:$C$1613)&gt;0,TEXT(Data!$C$21:$C$1613, "mmmm"),"")</f>
        <v>marzo</v>
      </c>
      <c r="F1533" s="29" t="str">
        <f>IF(DAY(Data!$C$21:$C$1613)&gt;0,TEXT(Data!$C$21:$C$1613, "aaaa"),"")</f>
        <v>2026</v>
      </c>
      <c r="I1533" t="str">
        <f>IF(OR(H1533=$B$5,H1533=$B$6,H1533=$B$7,H1533=$B$8,H1533=$B$9,H1533=$B$10,H1533=$B$11,H1533=$B$12,H1533=$B$13,H1533=$B$14),SottocategorieUscite[[#Headers],[Fuori Casa]],IF(OR(H1533=$C$5,H1533=$C$6,H1533=$C$7,H1533=$C$8,H1533=$C$9,H1533=$C$10,H1533=$C$11,H1533=$C$12,H1533=$C$13,H1533=$C$14),SottocategorieUscite[[#Headers],[Varie Uscite]],IF(OR(H1533=$D$5,H1533=$D$6,H1533=$D$7,H1533=$D$8,H1533=$D$9,H1533=$D$10,H1533=$D$11,H1533=$D$12,H1533=$D$13,H1533=$D$14),SottocategorieUscite[[#Headers],[Personali]],IF(OR(H1533=$E$5,H1533=$E$6,H1533=$E$7,H1533=$E$8,H1533=$E$9,H1533=$E$10,H1533=$E$11,H1533=$E$12,H1533=$E$13,H1533=$E$14),SottocategorieUscite[[#Headers],[Lavoro]],IF(OR(H1533=$F$5,H1533=$F$6,H1533=$F$7,H1533=$F$8,H1533=$F$9,H1533=$F$10,H1533=$F$11,H1533=$F$12,H1533=$F$13,H1533=$F$14),SottocategorieUscite[[#Headers],[Casa]],IF(OR(H1533=$G$5,H1533=$G$6,H1533=$G$7,H1533=$G$8,H1533=$G$9,H1533=$G$10,H1533=$G$11,H1533=$G$12,H1533=$G$13,H1533=$G$14),SottocategorieUscite[[#Headers],[Utenze]],IF(OR(H1533=$H$5,H1533=$H$6,H1533=$H$7,H1533=$H$8,H1533=$H$9,H1533=$H$10,H1533=$H$11,H1533=$H$12,H1533=$H$13,H1533=$H$14),SottocategorieUscite[[#Headers],[Business Uscite]],IF(OR(H1533=$I$5,H1533=$I$6,H1533=$I$7,H1533=$I$8,H1533=$I$9,H1533=$I$10,H1533=$I$11,H1533=$I$12,H1533=$I$13,H1533=$I$14),SottocategorieUscite[[#Headers],[Banca]],IF(OR(H1533=K$5,H1533=K$6,H1533=K$7,H1533=K$8,H1533=K$9,H1533=K$10,H1533=K$11,H1533=K$12,H1533=K$13,H1533=K$14),SottocategorieEntrate[[#Headers],[Business Entrate]],IF(OR(H1533=L$5,H1533=L$6,H1533=L$7,H1533=L$8,H1533=L$9,H1533=L$10,H1533=L$11,H1533=L$12,H1533=L$13,H1533=L$14),SottocategorieEntrate[[#Headers],[Varie Entrate]],IF(OR(H1533=M$5,H1533=M$6,H1533=M$7,H1533=M$8,H1533=M$9,H1533=M$10,H1533=M$11,H1533=M$12,H1533=M$13,H1533=M$14),SottocategorieEntrate[[#Headers],[Real Estate]],IF(OR(H1533=N$5,H1533=N$6,H1533=N$7,H1533=N$8,H1533=N$9,H1533=N$10,H1533=N$11,H1533=N$12,H1533=N$13,H1533=N$14),SottocategorieEntrate[[#Headers],[Other]],""))))))))))))</f>
        <v/>
      </c>
      <c r="J1533" t="str">
        <f>IF(OR(Dati[[#This Row],[Categoria]]="Bollette",Dati[[#This Row],[Categoria]]="Conto &amp; Carte BNL",Dati[[#This Row],[Categoria]]="Prelievo",Dati[[#This Row],[Categoria]]="Affitto",Dati[[#This Row],[Categoria]]="BNL(Interessi Creditori)"),"Carta",IF(Dati[[#This Row],[Categoria]]&lt;&gt;0,"Cash",""))</f>
        <v/>
      </c>
      <c r="K1533" s="59" t="str">
        <f>IF(OR(Data!$I1533=SottocategorieUscite[[#Headers],[Fuori Casa]],Data!$I1533=SottocategorieUscite[[#Headers],[Varie Uscite]],Data!$I1533=SottocategorieUscite[[#Headers],[Personali]],Data!$I1533=SottocategorieUscite[[#Headers],[Lavoro]]),"$ -","")</f>
        <v/>
      </c>
      <c r="L1533" s="59" t="str">
        <f>IF(OR(Data!$I1533=SottocategorieUscite[[#Headers],[Casa]],Data!$I1533=SottocategorieUscite[[#Headers],[Utenze]],Data!$I1533=SottocategorieUscite[[#Headers],[Business Uscite]],Data!$I1533=SottocategorieUscite[[#Headers],[Banca]]),"$ -","")</f>
        <v/>
      </c>
      <c r="M1533" s="59" t="str">
        <f>IF(OR($I1533&lt;&gt;SottocategorieUscite[[#Headers],[Fuori Casa]],$I1533&lt;&gt;SottocategorieUscite[[#Headers],[Varie Uscite]],$I1533&lt;&gt;SottocategorieUscite[[#Headers],[Personali]],$I1533&lt;&gt;SottocategorieUscite[[#Headers],[Lavoro]],$I1533&lt;&gt;SottocategorieUscite[[#Headers],[Casa]],$I1533&lt;&gt;SottocategorieUscite[[#Headers],[Utenze]],$I1533&lt;&gt;SottocategorieUscite[[#Headers],[Business Uscite]],$I1533&lt;&gt;SottocategorieUscite[[#Headers],[Banca]]),"","$ -")</f>
        <v/>
      </c>
      <c r="N1533" s="59" t="str">
        <f>IF(OR(Data!$I1533=SottocategorieEntrate[[#Headers],[Business Entrate]],Data!$I1533=SottocategorieEntrate[[#Headers],[Varie Entrate]]),"$ -","")</f>
        <v/>
      </c>
      <c r="O1533" s="59" t="str">
        <f>IF(OR(Data!$I1533=SottocategorieEntrate[[#Headers],[Real Estate]],SottocategorieEntrate[[#Headers],[Other]]),"$ -","")</f>
        <v/>
      </c>
      <c r="P1533" s="59" t="str">
        <f>IF(OR($I1533&lt;&gt;SottocategorieEntrate[[#Headers],[Business Entrate]],$I1533&lt;&gt;SottocategorieEntrate[[#Headers],[Varie Entrate]],$I1533&lt;&gt;SottocategorieEntrate[[#Headers],[Real Estate]],$I1533&lt;&gt;SottocategorieEntrate[[#Headers],[Other]]),"","$ -")</f>
        <v/>
      </c>
      <c r="Q1533" s="59" t="str">
        <f>IF(Dati[[#This Row],[Categoria]]="Prelievo","€ -","")</f>
        <v/>
      </c>
      <c r="R1533" s="244"/>
      <c r="S1533" s="59" t="str">
        <f>IF(Dati[[#This Row],[Categoria]]="Savings",0,"")</f>
        <v/>
      </c>
      <c r="T1533" s="59"/>
      <c r="U1533" s="59"/>
      <c r="V1533" s="59"/>
      <c r="W1533" s="59"/>
      <c r="X1533" s="59"/>
      <c r="Y1533" s="59"/>
      <c r="Z1533" s="59"/>
      <c r="AA1533" s="59"/>
      <c r="AB1533" s="59"/>
      <c r="AC1533" s="59"/>
      <c r="AD1533" s="59"/>
      <c r="AE1533" s="59"/>
      <c r="AF1533" s="59"/>
      <c r="AG1533" s="59"/>
      <c r="AH1533" s="59"/>
      <c r="AI1533" s="59" t="str">
        <f>IF(SUM(Dati[[#This Row],[Inv. Business]:[Inv. Cryptocurrency]])=0," ",SUM(Dati[[#This Row],[Inv. Business]:[Inv. Cryptocurrency]]))</f>
        <v xml:space="preserve"> </v>
      </c>
      <c r="AJ1533" s="59"/>
      <c r="AK1533" s="59" t="str">
        <f>IF(SUM(Dati[[#This Row],[Inv. Gold]:[Mutuo]])=0," ",SUM(Dati[[#This Row],[Inv. Gold]:[Mutuo]]))</f>
        <v xml:space="preserve"> </v>
      </c>
      <c r="AL1533" s="59"/>
      <c r="AM1533" s="59"/>
    </row>
    <row r="1534" spans="2:39" x14ac:dyDescent="0.35">
      <c r="B1534" s="237">
        <f t="shared" si="111"/>
        <v>1514</v>
      </c>
      <c r="C1534" s="49">
        <f t="shared" si="110"/>
        <v>46092</v>
      </c>
      <c r="D1534" s="29">
        <f>DAY(Dati[[#This Row],[Data]])</f>
        <v>11</v>
      </c>
      <c r="E1534" s="29" t="str">
        <f>IF(DAY(Data!$C$21:$C$1613)&gt;0,TEXT(Data!$C$21:$C$1613, "mmmm"),"")</f>
        <v>marzo</v>
      </c>
      <c r="F1534" s="29" t="str">
        <f>IF(DAY(Data!$C$21:$C$1613)&gt;0,TEXT(Data!$C$21:$C$1613, "aaaa"),"")</f>
        <v>2026</v>
      </c>
      <c r="I1534" t="str">
        <f>IF(OR(H1534=$B$5,H1534=$B$6,H1534=$B$7,H1534=$B$8,H1534=$B$9,H1534=$B$10,H1534=$B$11,H1534=$B$12,H1534=$B$13,H1534=$B$14),SottocategorieUscite[[#Headers],[Fuori Casa]],IF(OR(H1534=$C$5,H1534=$C$6,H1534=$C$7,H1534=$C$8,H1534=$C$9,H1534=$C$10,H1534=$C$11,H1534=$C$12,H1534=$C$13,H1534=$C$14),SottocategorieUscite[[#Headers],[Varie Uscite]],IF(OR(H1534=$D$5,H1534=$D$6,H1534=$D$7,H1534=$D$8,H1534=$D$9,H1534=$D$10,H1534=$D$11,H1534=$D$12,H1534=$D$13,H1534=$D$14),SottocategorieUscite[[#Headers],[Personali]],IF(OR(H1534=$E$5,H1534=$E$6,H1534=$E$7,H1534=$E$8,H1534=$E$9,H1534=$E$10,H1534=$E$11,H1534=$E$12,H1534=$E$13,H1534=$E$14),SottocategorieUscite[[#Headers],[Lavoro]],IF(OR(H1534=$F$5,H1534=$F$6,H1534=$F$7,H1534=$F$8,H1534=$F$9,H1534=$F$10,H1534=$F$11,H1534=$F$12,H1534=$F$13,H1534=$F$14),SottocategorieUscite[[#Headers],[Casa]],IF(OR(H1534=$G$5,H1534=$G$6,H1534=$G$7,H1534=$G$8,H1534=$G$9,H1534=$G$10,H1534=$G$11,H1534=$G$12,H1534=$G$13,H1534=$G$14),SottocategorieUscite[[#Headers],[Utenze]],IF(OR(H1534=$H$5,H1534=$H$6,H1534=$H$7,H1534=$H$8,H1534=$H$9,H1534=$H$10,H1534=$H$11,H1534=$H$12,H1534=$H$13,H1534=$H$14),SottocategorieUscite[[#Headers],[Business Uscite]],IF(OR(H1534=$I$5,H1534=$I$6,H1534=$I$7,H1534=$I$8,H1534=$I$9,H1534=$I$10,H1534=$I$11,H1534=$I$12,H1534=$I$13,H1534=$I$14),SottocategorieUscite[[#Headers],[Banca]],IF(OR(H1534=K$5,H1534=K$6,H1534=K$7,H1534=K$8,H1534=K$9,H1534=K$10,H1534=K$11,H1534=K$12,H1534=K$13,H1534=K$14),SottocategorieEntrate[[#Headers],[Business Entrate]],IF(OR(H1534=L$5,H1534=L$6,H1534=L$7,H1534=L$8,H1534=L$9,H1534=L$10,H1534=L$11,H1534=L$12,H1534=L$13,H1534=L$14),SottocategorieEntrate[[#Headers],[Varie Entrate]],IF(OR(H1534=M$5,H1534=M$6,H1534=M$7,H1534=M$8,H1534=M$9,H1534=M$10,H1534=M$11,H1534=M$12,H1534=M$13,H1534=M$14),SottocategorieEntrate[[#Headers],[Real Estate]],IF(OR(H1534=N$5,H1534=N$6,H1534=N$7,H1534=N$8,H1534=N$9,H1534=N$10,H1534=N$11,H1534=N$12,H1534=N$13,H1534=N$14),SottocategorieEntrate[[#Headers],[Other]],""))))))))))))</f>
        <v/>
      </c>
      <c r="J1534" t="str">
        <f>IF(OR(Dati[[#This Row],[Categoria]]="Bollette",Dati[[#This Row],[Categoria]]="Conto &amp; Carte BNL",Dati[[#This Row],[Categoria]]="Prelievo",Dati[[#This Row],[Categoria]]="Affitto",Dati[[#This Row],[Categoria]]="BNL(Interessi Creditori)"),"Carta",IF(Dati[[#This Row],[Categoria]]&lt;&gt;0,"Cash",""))</f>
        <v/>
      </c>
      <c r="K1534" s="59" t="str">
        <f>IF(OR(Data!$I1534=SottocategorieUscite[[#Headers],[Fuori Casa]],Data!$I1534=SottocategorieUscite[[#Headers],[Varie Uscite]],Data!$I1534=SottocategorieUscite[[#Headers],[Personali]],Data!$I1534=SottocategorieUscite[[#Headers],[Lavoro]]),"$ -","")</f>
        <v/>
      </c>
      <c r="L1534" s="59" t="str">
        <f>IF(OR(Data!$I1534=SottocategorieUscite[[#Headers],[Casa]],Data!$I1534=SottocategorieUscite[[#Headers],[Utenze]],Data!$I1534=SottocategorieUscite[[#Headers],[Business Uscite]],Data!$I1534=SottocategorieUscite[[#Headers],[Banca]]),"$ -","")</f>
        <v/>
      </c>
      <c r="M1534" s="59" t="str">
        <f>IF(OR($I1534&lt;&gt;SottocategorieUscite[[#Headers],[Fuori Casa]],$I1534&lt;&gt;SottocategorieUscite[[#Headers],[Varie Uscite]],$I1534&lt;&gt;SottocategorieUscite[[#Headers],[Personali]],$I1534&lt;&gt;SottocategorieUscite[[#Headers],[Lavoro]],$I1534&lt;&gt;SottocategorieUscite[[#Headers],[Casa]],$I1534&lt;&gt;SottocategorieUscite[[#Headers],[Utenze]],$I1534&lt;&gt;SottocategorieUscite[[#Headers],[Business Uscite]],$I1534&lt;&gt;SottocategorieUscite[[#Headers],[Banca]]),"","$ -")</f>
        <v/>
      </c>
      <c r="N1534" s="59" t="str">
        <f>IF(OR(Data!$I1534=SottocategorieEntrate[[#Headers],[Business Entrate]],Data!$I1534=SottocategorieEntrate[[#Headers],[Varie Entrate]]),"$ -","")</f>
        <v/>
      </c>
      <c r="O1534" s="59" t="str">
        <f>IF(OR(Data!$I1534=SottocategorieEntrate[[#Headers],[Real Estate]],SottocategorieEntrate[[#Headers],[Other]]),"$ -","")</f>
        <v/>
      </c>
      <c r="P1534" s="59" t="str">
        <f>IF(OR($I1534&lt;&gt;SottocategorieEntrate[[#Headers],[Business Entrate]],$I1534&lt;&gt;SottocategorieEntrate[[#Headers],[Varie Entrate]],$I1534&lt;&gt;SottocategorieEntrate[[#Headers],[Real Estate]],$I1534&lt;&gt;SottocategorieEntrate[[#Headers],[Other]]),"","$ -")</f>
        <v/>
      </c>
      <c r="Q1534" s="59" t="str">
        <f>IF(Dati[[#This Row],[Categoria]]="Prelievo","€ -","")</f>
        <v/>
      </c>
      <c r="R1534" s="244"/>
      <c r="S1534" s="59" t="str">
        <f>IF(Dati[[#This Row],[Categoria]]="Savings",0,"")</f>
        <v/>
      </c>
      <c r="T1534" s="59"/>
      <c r="U1534" s="59"/>
      <c r="V1534" s="59"/>
      <c r="W1534" s="59"/>
      <c r="X1534" s="59"/>
      <c r="Y1534" s="59"/>
      <c r="Z1534" s="59"/>
      <c r="AA1534" s="59"/>
      <c r="AB1534" s="59"/>
      <c r="AC1534" s="59"/>
      <c r="AD1534" s="59"/>
      <c r="AE1534" s="59"/>
      <c r="AF1534" s="59"/>
      <c r="AG1534" s="59"/>
      <c r="AH1534" s="59"/>
      <c r="AI1534" s="59" t="str">
        <f>IF(SUM(Dati[[#This Row],[Inv. Business]:[Inv. Cryptocurrency]])=0," ",SUM(Dati[[#This Row],[Inv. Business]:[Inv. Cryptocurrency]]))</f>
        <v xml:space="preserve"> </v>
      </c>
      <c r="AJ1534" s="59"/>
      <c r="AK1534" s="59" t="str">
        <f>IF(SUM(Dati[[#This Row],[Inv. Gold]:[Mutuo]])=0," ",SUM(Dati[[#This Row],[Inv. Gold]:[Mutuo]]))</f>
        <v xml:space="preserve"> </v>
      </c>
      <c r="AL1534" s="59"/>
      <c r="AM1534" s="59"/>
    </row>
    <row r="1535" spans="2:39" x14ac:dyDescent="0.35">
      <c r="B1535" s="237">
        <f t="shared" si="111"/>
        <v>1515</v>
      </c>
      <c r="C1535" s="49">
        <f t="shared" si="110"/>
        <v>46093</v>
      </c>
      <c r="D1535" s="29">
        <f>DAY(Dati[[#This Row],[Data]])</f>
        <v>12</v>
      </c>
      <c r="E1535" s="29" t="str">
        <f>IF(DAY(Data!$C$21:$C$1613)&gt;0,TEXT(Data!$C$21:$C$1613, "mmmm"),"")</f>
        <v>marzo</v>
      </c>
      <c r="F1535" s="29" t="str">
        <f>IF(DAY(Data!$C$21:$C$1613)&gt;0,TEXT(Data!$C$21:$C$1613, "aaaa"),"")</f>
        <v>2026</v>
      </c>
      <c r="I1535" t="str">
        <f>IF(OR(H1535=$B$5,H1535=$B$6,H1535=$B$7,H1535=$B$8,H1535=$B$9,H1535=$B$10,H1535=$B$11,H1535=$B$12,H1535=$B$13,H1535=$B$14),SottocategorieUscite[[#Headers],[Fuori Casa]],IF(OR(H1535=$C$5,H1535=$C$6,H1535=$C$7,H1535=$C$8,H1535=$C$9,H1535=$C$10,H1535=$C$11,H1535=$C$12,H1535=$C$13,H1535=$C$14),SottocategorieUscite[[#Headers],[Varie Uscite]],IF(OR(H1535=$D$5,H1535=$D$6,H1535=$D$7,H1535=$D$8,H1535=$D$9,H1535=$D$10,H1535=$D$11,H1535=$D$12,H1535=$D$13,H1535=$D$14),SottocategorieUscite[[#Headers],[Personali]],IF(OR(H1535=$E$5,H1535=$E$6,H1535=$E$7,H1535=$E$8,H1535=$E$9,H1535=$E$10,H1535=$E$11,H1535=$E$12,H1535=$E$13,H1535=$E$14),SottocategorieUscite[[#Headers],[Lavoro]],IF(OR(H1535=$F$5,H1535=$F$6,H1535=$F$7,H1535=$F$8,H1535=$F$9,H1535=$F$10,H1535=$F$11,H1535=$F$12,H1535=$F$13,H1535=$F$14),SottocategorieUscite[[#Headers],[Casa]],IF(OR(H1535=$G$5,H1535=$G$6,H1535=$G$7,H1535=$G$8,H1535=$G$9,H1535=$G$10,H1535=$G$11,H1535=$G$12,H1535=$G$13,H1535=$G$14),SottocategorieUscite[[#Headers],[Utenze]],IF(OR(H1535=$H$5,H1535=$H$6,H1535=$H$7,H1535=$H$8,H1535=$H$9,H1535=$H$10,H1535=$H$11,H1535=$H$12,H1535=$H$13,H1535=$H$14),SottocategorieUscite[[#Headers],[Business Uscite]],IF(OR(H1535=$I$5,H1535=$I$6,H1535=$I$7,H1535=$I$8,H1535=$I$9,H1535=$I$10,H1535=$I$11,H1535=$I$12,H1535=$I$13,H1535=$I$14),SottocategorieUscite[[#Headers],[Banca]],IF(OR(H1535=K$5,H1535=K$6,H1535=K$7,H1535=K$8,H1535=K$9,H1535=K$10,H1535=K$11,H1535=K$12,H1535=K$13,H1535=K$14),SottocategorieEntrate[[#Headers],[Business Entrate]],IF(OR(H1535=L$5,H1535=L$6,H1535=L$7,H1535=L$8,H1535=L$9,H1535=L$10,H1535=L$11,H1535=L$12,H1535=L$13,H1535=L$14),SottocategorieEntrate[[#Headers],[Varie Entrate]],IF(OR(H1535=M$5,H1535=M$6,H1535=M$7,H1535=M$8,H1535=M$9,H1535=M$10,H1535=M$11,H1535=M$12,H1535=M$13,H1535=M$14),SottocategorieEntrate[[#Headers],[Real Estate]],IF(OR(H1535=N$5,H1535=N$6,H1535=N$7,H1535=N$8,H1535=N$9,H1535=N$10,H1535=N$11,H1535=N$12,H1535=N$13,H1535=N$14),SottocategorieEntrate[[#Headers],[Other]],""))))))))))))</f>
        <v/>
      </c>
      <c r="J1535" t="str">
        <f>IF(OR(Dati[[#This Row],[Categoria]]="Bollette",Dati[[#This Row],[Categoria]]="Conto &amp; Carte BNL",Dati[[#This Row],[Categoria]]="Prelievo",Dati[[#This Row],[Categoria]]="Affitto",Dati[[#This Row],[Categoria]]="BNL(Interessi Creditori)"),"Carta",IF(Dati[[#This Row],[Categoria]]&lt;&gt;0,"Cash",""))</f>
        <v/>
      </c>
      <c r="K1535" s="59" t="str">
        <f>IF(OR(Data!$I1535=SottocategorieUscite[[#Headers],[Fuori Casa]],Data!$I1535=SottocategorieUscite[[#Headers],[Varie Uscite]],Data!$I1535=SottocategorieUscite[[#Headers],[Personali]],Data!$I1535=SottocategorieUscite[[#Headers],[Lavoro]]),"$ -","")</f>
        <v/>
      </c>
      <c r="L1535" s="59" t="str">
        <f>IF(OR(Data!$I1535=SottocategorieUscite[[#Headers],[Casa]],Data!$I1535=SottocategorieUscite[[#Headers],[Utenze]],Data!$I1535=SottocategorieUscite[[#Headers],[Business Uscite]],Data!$I1535=SottocategorieUscite[[#Headers],[Banca]]),"$ -","")</f>
        <v/>
      </c>
      <c r="M1535" s="59" t="str">
        <f>IF(OR($I1535&lt;&gt;SottocategorieUscite[[#Headers],[Fuori Casa]],$I1535&lt;&gt;SottocategorieUscite[[#Headers],[Varie Uscite]],$I1535&lt;&gt;SottocategorieUscite[[#Headers],[Personali]],$I1535&lt;&gt;SottocategorieUscite[[#Headers],[Lavoro]],$I1535&lt;&gt;SottocategorieUscite[[#Headers],[Casa]],$I1535&lt;&gt;SottocategorieUscite[[#Headers],[Utenze]],$I1535&lt;&gt;SottocategorieUscite[[#Headers],[Business Uscite]],$I1535&lt;&gt;SottocategorieUscite[[#Headers],[Banca]]),"","$ -")</f>
        <v/>
      </c>
      <c r="N1535" s="59" t="str">
        <f>IF(OR(Data!$I1535=SottocategorieEntrate[[#Headers],[Business Entrate]],Data!$I1535=SottocategorieEntrate[[#Headers],[Varie Entrate]]),"$ -","")</f>
        <v/>
      </c>
      <c r="O1535" s="59" t="str">
        <f>IF(OR(Data!$I1535=SottocategorieEntrate[[#Headers],[Real Estate]],SottocategorieEntrate[[#Headers],[Other]]),"$ -","")</f>
        <v/>
      </c>
      <c r="P1535" s="59" t="str">
        <f>IF(OR($I1535&lt;&gt;SottocategorieEntrate[[#Headers],[Business Entrate]],$I1535&lt;&gt;SottocategorieEntrate[[#Headers],[Varie Entrate]],$I1535&lt;&gt;SottocategorieEntrate[[#Headers],[Real Estate]],$I1535&lt;&gt;SottocategorieEntrate[[#Headers],[Other]]),"","$ -")</f>
        <v/>
      </c>
      <c r="Q1535" s="59" t="str">
        <f>IF(Dati[[#This Row],[Categoria]]="Prelievo","€ -","")</f>
        <v/>
      </c>
      <c r="R1535" s="244"/>
      <c r="S1535" s="59" t="str">
        <f>IF(Dati[[#This Row],[Categoria]]="Savings",0,"")</f>
        <v/>
      </c>
      <c r="T1535" s="59"/>
      <c r="U1535" s="59"/>
      <c r="V1535" s="59"/>
      <c r="W1535" s="59"/>
      <c r="X1535" s="59"/>
      <c r="Y1535" s="59"/>
      <c r="Z1535" s="59"/>
      <c r="AA1535" s="59"/>
      <c r="AB1535" s="59"/>
      <c r="AC1535" s="59"/>
      <c r="AD1535" s="59"/>
      <c r="AE1535" s="59"/>
      <c r="AF1535" s="59"/>
      <c r="AG1535" s="59"/>
      <c r="AH1535" s="59"/>
      <c r="AI1535" s="59" t="str">
        <f>IF(SUM(Dati[[#This Row],[Inv. Business]:[Inv. Cryptocurrency]])=0," ",SUM(Dati[[#This Row],[Inv. Business]:[Inv. Cryptocurrency]]))</f>
        <v xml:space="preserve"> </v>
      </c>
      <c r="AJ1535" s="59"/>
      <c r="AK1535" s="59" t="str">
        <f>IF(SUM(Dati[[#This Row],[Inv. Gold]:[Mutuo]])=0," ",SUM(Dati[[#This Row],[Inv. Gold]:[Mutuo]]))</f>
        <v xml:space="preserve"> </v>
      </c>
      <c r="AL1535" s="59"/>
      <c r="AM1535" s="59"/>
    </row>
    <row r="1536" spans="2:39" x14ac:dyDescent="0.35">
      <c r="B1536" s="237">
        <f t="shared" si="111"/>
        <v>1516</v>
      </c>
      <c r="C1536" s="49">
        <f t="shared" si="110"/>
        <v>46094</v>
      </c>
      <c r="D1536" s="29">
        <f>DAY(Dati[[#This Row],[Data]])</f>
        <v>13</v>
      </c>
      <c r="E1536" s="29" t="str">
        <f>IF(DAY(Data!$C$21:$C$1613)&gt;0,TEXT(Data!$C$21:$C$1613, "mmmm"),"")</f>
        <v>marzo</v>
      </c>
      <c r="F1536" s="29" t="str">
        <f>IF(DAY(Data!$C$21:$C$1613)&gt;0,TEXT(Data!$C$21:$C$1613, "aaaa"),"")</f>
        <v>2026</v>
      </c>
      <c r="I1536" t="str">
        <f>IF(OR(H1536=$B$5,H1536=$B$6,H1536=$B$7,H1536=$B$8,H1536=$B$9,H1536=$B$10,H1536=$B$11,H1536=$B$12,H1536=$B$13,H1536=$B$14),SottocategorieUscite[[#Headers],[Fuori Casa]],IF(OR(H1536=$C$5,H1536=$C$6,H1536=$C$7,H1536=$C$8,H1536=$C$9,H1536=$C$10,H1536=$C$11,H1536=$C$12,H1536=$C$13,H1536=$C$14),SottocategorieUscite[[#Headers],[Varie Uscite]],IF(OR(H1536=$D$5,H1536=$D$6,H1536=$D$7,H1536=$D$8,H1536=$D$9,H1536=$D$10,H1536=$D$11,H1536=$D$12,H1536=$D$13,H1536=$D$14),SottocategorieUscite[[#Headers],[Personali]],IF(OR(H1536=$E$5,H1536=$E$6,H1536=$E$7,H1536=$E$8,H1536=$E$9,H1536=$E$10,H1536=$E$11,H1536=$E$12,H1536=$E$13,H1536=$E$14),SottocategorieUscite[[#Headers],[Lavoro]],IF(OR(H1536=$F$5,H1536=$F$6,H1536=$F$7,H1536=$F$8,H1536=$F$9,H1536=$F$10,H1536=$F$11,H1536=$F$12,H1536=$F$13,H1536=$F$14),SottocategorieUscite[[#Headers],[Casa]],IF(OR(H1536=$G$5,H1536=$G$6,H1536=$G$7,H1536=$G$8,H1536=$G$9,H1536=$G$10,H1536=$G$11,H1536=$G$12,H1536=$G$13,H1536=$G$14),SottocategorieUscite[[#Headers],[Utenze]],IF(OR(H1536=$H$5,H1536=$H$6,H1536=$H$7,H1536=$H$8,H1536=$H$9,H1536=$H$10,H1536=$H$11,H1536=$H$12,H1536=$H$13,H1536=$H$14),SottocategorieUscite[[#Headers],[Business Uscite]],IF(OR(H1536=$I$5,H1536=$I$6,H1536=$I$7,H1536=$I$8,H1536=$I$9,H1536=$I$10,H1536=$I$11,H1536=$I$12,H1536=$I$13,H1536=$I$14),SottocategorieUscite[[#Headers],[Banca]],IF(OR(H1536=K$5,H1536=K$6,H1536=K$7,H1536=K$8,H1536=K$9,H1536=K$10,H1536=K$11,H1536=K$12,H1536=K$13,H1536=K$14),SottocategorieEntrate[[#Headers],[Business Entrate]],IF(OR(H1536=L$5,H1536=L$6,H1536=L$7,H1536=L$8,H1536=L$9,H1536=L$10,H1536=L$11,H1536=L$12,H1536=L$13,H1536=L$14),SottocategorieEntrate[[#Headers],[Varie Entrate]],IF(OR(H1536=M$5,H1536=M$6,H1536=M$7,H1536=M$8,H1536=M$9,H1536=M$10,H1536=M$11,H1536=M$12,H1536=M$13,H1536=M$14),SottocategorieEntrate[[#Headers],[Real Estate]],IF(OR(H1536=N$5,H1536=N$6,H1536=N$7,H1536=N$8,H1536=N$9,H1536=N$10,H1536=N$11,H1536=N$12,H1536=N$13,H1536=N$14),SottocategorieEntrate[[#Headers],[Other]],""))))))))))))</f>
        <v/>
      </c>
      <c r="J1536" t="str">
        <f>IF(OR(Dati[[#This Row],[Categoria]]="Bollette",Dati[[#This Row],[Categoria]]="Conto &amp; Carte BNL",Dati[[#This Row],[Categoria]]="Prelievo",Dati[[#This Row],[Categoria]]="Affitto",Dati[[#This Row],[Categoria]]="BNL(Interessi Creditori)"),"Carta",IF(Dati[[#This Row],[Categoria]]&lt;&gt;0,"Cash",""))</f>
        <v/>
      </c>
      <c r="K1536" s="59" t="str">
        <f>IF(OR(Data!$I1536=SottocategorieUscite[[#Headers],[Fuori Casa]],Data!$I1536=SottocategorieUscite[[#Headers],[Varie Uscite]],Data!$I1536=SottocategorieUscite[[#Headers],[Personali]],Data!$I1536=SottocategorieUscite[[#Headers],[Lavoro]]),"$ -","")</f>
        <v/>
      </c>
      <c r="L1536" s="59" t="str">
        <f>IF(OR(Data!$I1536=SottocategorieUscite[[#Headers],[Casa]],Data!$I1536=SottocategorieUscite[[#Headers],[Utenze]],Data!$I1536=SottocategorieUscite[[#Headers],[Business Uscite]],Data!$I1536=SottocategorieUscite[[#Headers],[Banca]]),"$ -","")</f>
        <v/>
      </c>
      <c r="M1536" s="59" t="str">
        <f>IF(OR($I1536&lt;&gt;SottocategorieUscite[[#Headers],[Fuori Casa]],$I1536&lt;&gt;SottocategorieUscite[[#Headers],[Varie Uscite]],$I1536&lt;&gt;SottocategorieUscite[[#Headers],[Personali]],$I1536&lt;&gt;SottocategorieUscite[[#Headers],[Lavoro]],$I1536&lt;&gt;SottocategorieUscite[[#Headers],[Casa]],$I1536&lt;&gt;SottocategorieUscite[[#Headers],[Utenze]],$I1536&lt;&gt;SottocategorieUscite[[#Headers],[Business Uscite]],$I1536&lt;&gt;SottocategorieUscite[[#Headers],[Banca]]),"","$ -")</f>
        <v/>
      </c>
      <c r="N1536" s="59" t="str">
        <f>IF(OR(Data!$I1536=SottocategorieEntrate[[#Headers],[Business Entrate]],Data!$I1536=SottocategorieEntrate[[#Headers],[Varie Entrate]]),"$ -","")</f>
        <v/>
      </c>
      <c r="O1536" s="59" t="str">
        <f>IF(OR(Data!$I1536=SottocategorieEntrate[[#Headers],[Real Estate]],SottocategorieEntrate[[#Headers],[Other]]),"$ -","")</f>
        <v/>
      </c>
      <c r="P1536" s="59" t="str">
        <f>IF(OR($I1536&lt;&gt;SottocategorieEntrate[[#Headers],[Business Entrate]],$I1536&lt;&gt;SottocategorieEntrate[[#Headers],[Varie Entrate]],$I1536&lt;&gt;SottocategorieEntrate[[#Headers],[Real Estate]],$I1536&lt;&gt;SottocategorieEntrate[[#Headers],[Other]]),"","$ -")</f>
        <v/>
      </c>
      <c r="Q1536" s="59" t="str">
        <f>IF(Dati[[#This Row],[Categoria]]="Prelievo","€ -","")</f>
        <v/>
      </c>
      <c r="R1536" s="244"/>
      <c r="S1536" s="59" t="str">
        <f>IF(Dati[[#This Row],[Categoria]]="Savings",0,"")</f>
        <v/>
      </c>
      <c r="T1536" s="59"/>
      <c r="U1536" s="59"/>
      <c r="V1536" s="59"/>
      <c r="W1536" s="59"/>
      <c r="X1536" s="59"/>
      <c r="Y1536" s="59"/>
      <c r="Z1536" s="59"/>
      <c r="AA1536" s="59"/>
      <c r="AB1536" s="59"/>
      <c r="AC1536" s="59"/>
      <c r="AD1536" s="59"/>
      <c r="AE1536" s="59"/>
      <c r="AF1536" s="59"/>
      <c r="AG1536" s="59"/>
      <c r="AH1536" s="59"/>
      <c r="AI1536" s="59" t="str">
        <f>IF(SUM(Dati[[#This Row],[Inv. Business]:[Inv. Cryptocurrency]])=0," ",SUM(Dati[[#This Row],[Inv. Business]:[Inv. Cryptocurrency]]))</f>
        <v xml:space="preserve"> </v>
      </c>
      <c r="AJ1536" s="59"/>
      <c r="AK1536" s="59" t="str">
        <f>IF(SUM(Dati[[#This Row],[Inv. Gold]:[Mutuo]])=0," ",SUM(Dati[[#This Row],[Inv. Gold]:[Mutuo]]))</f>
        <v xml:space="preserve"> </v>
      </c>
      <c r="AL1536" s="59"/>
      <c r="AM1536" s="59"/>
    </row>
    <row r="1537" spans="2:39" x14ac:dyDescent="0.35">
      <c r="B1537" s="237">
        <f t="shared" si="111"/>
        <v>1517</v>
      </c>
      <c r="C1537" s="49">
        <f t="shared" si="110"/>
        <v>46095</v>
      </c>
      <c r="D1537" s="29">
        <f>DAY(Dati[[#This Row],[Data]])</f>
        <v>14</v>
      </c>
      <c r="E1537" s="29" t="str">
        <f>IF(DAY(Data!$C$21:$C$1613)&gt;0,TEXT(Data!$C$21:$C$1613, "mmmm"),"")</f>
        <v>marzo</v>
      </c>
      <c r="F1537" s="29" t="str">
        <f>IF(DAY(Data!$C$21:$C$1613)&gt;0,TEXT(Data!$C$21:$C$1613, "aaaa"),"")</f>
        <v>2026</v>
      </c>
      <c r="I1537" t="str">
        <f>IF(OR(H1537=$B$5,H1537=$B$6,H1537=$B$7,H1537=$B$8,H1537=$B$9,H1537=$B$10,H1537=$B$11,H1537=$B$12,H1537=$B$13,H1537=$B$14),SottocategorieUscite[[#Headers],[Fuori Casa]],IF(OR(H1537=$C$5,H1537=$C$6,H1537=$C$7,H1537=$C$8,H1537=$C$9,H1537=$C$10,H1537=$C$11,H1537=$C$12,H1537=$C$13,H1537=$C$14),SottocategorieUscite[[#Headers],[Varie Uscite]],IF(OR(H1537=$D$5,H1537=$D$6,H1537=$D$7,H1537=$D$8,H1537=$D$9,H1537=$D$10,H1537=$D$11,H1537=$D$12,H1537=$D$13,H1537=$D$14),SottocategorieUscite[[#Headers],[Personali]],IF(OR(H1537=$E$5,H1537=$E$6,H1537=$E$7,H1537=$E$8,H1537=$E$9,H1537=$E$10,H1537=$E$11,H1537=$E$12,H1537=$E$13,H1537=$E$14),SottocategorieUscite[[#Headers],[Lavoro]],IF(OR(H1537=$F$5,H1537=$F$6,H1537=$F$7,H1537=$F$8,H1537=$F$9,H1537=$F$10,H1537=$F$11,H1537=$F$12,H1537=$F$13,H1537=$F$14),SottocategorieUscite[[#Headers],[Casa]],IF(OR(H1537=$G$5,H1537=$G$6,H1537=$G$7,H1537=$G$8,H1537=$G$9,H1537=$G$10,H1537=$G$11,H1537=$G$12,H1537=$G$13,H1537=$G$14),SottocategorieUscite[[#Headers],[Utenze]],IF(OR(H1537=$H$5,H1537=$H$6,H1537=$H$7,H1537=$H$8,H1537=$H$9,H1537=$H$10,H1537=$H$11,H1537=$H$12,H1537=$H$13,H1537=$H$14),SottocategorieUscite[[#Headers],[Business Uscite]],IF(OR(H1537=$I$5,H1537=$I$6,H1537=$I$7,H1537=$I$8,H1537=$I$9,H1537=$I$10,H1537=$I$11,H1537=$I$12,H1537=$I$13,H1537=$I$14),SottocategorieUscite[[#Headers],[Banca]],IF(OR(H1537=K$5,H1537=K$6,H1537=K$7,H1537=K$8,H1537=K$9,H1537=K$10,H1537=K$11,H1537=K$12,H1537=K$13,H1537=K$14),SottocategorieEntrate[[#Headers],[Business Entrate]],IF(OR(H1537=L$5,H1537=L$6,H1537=L$7,H1537=L$8,H1537=L$9,H1537=L$10,H1537=L$11,H1537=L$12,H1537=L$13,H1537=L$14),SottocategorieEntrate[[#Headers],[Varie Entrate]],IF(OR(H1537=M$5,H1537=M$6,H1537=M$7,H1537=M$8,H1537=M$9,H1537=M$10,H1537=M$11,H1537=M$12,H1537=M$13,H1537=M$14),SottocategorieEntrate[[#Headers],[Real Estate]],IF(OR(H1537=N$5,H1537=N$6,H1537=N$7,H1537=N$8,H1537=N$9,H1537=N$10,H1537=N$11,H1537=N$12,H1537=N$13,H1537=N$14),SottocategorieEntrate[[#Headers],[Other]],""))))))))))))</f>
        <v/>
      </c>
      <c r="J1537" t="str">
        <f>IF(OR(Dati[[#This Row],[Categoria]]="Bollette",Dati[[#This Row],[Categoria]]="Conto &amp; Carte BNL",Dati[[#This Row],[Categoria]]="Prelievo",Dati[[#This Row],[Categoria]]="Affitto",Dati[[#This Row],[Categoria]]="BNL(Interessi Creditori)"),"Carta",IF(Dati[[#This Row],[Categoria]]&lt;&gt;0,"Cash",""))</f>
        <v/>
      </c>
      <c r="K1537" s="59" t="str">
        <f>IF(OR(Data!$I1537=SottocategorieUscite[[#Headers],[Fuori Casa]],Data!$I1537=SottocategorieUscite[[#Headers],[Varie Uscite]],Data!$I1537=SottocategorieUscite[[#Headers],[Personali]],Data!$I1537=SottocategorieUscite[[#Headers],[Lavoro]]),"$ -","")</f>
        <v/>
      </c>
      <c r="L1537" s="59" t="str">
        <f>IF(OR(Data!$I1537=SottocategorieUscite[[#Headers],[Casa]],Data!$I1537=SottocategorieUscite[[#Headers],[Utenze]],Data!$I1537=SottocategorieUscite[[#Headers],[Business Uscite]],Data!$I1537=SottocategorieUscite[[#Headers],[Banca]]),"$ -","")</f>
        <v/>
      </c>
      <c r="M1537" s="59" t="str">
        <f>IF(OR($I1537&lt;&gt;SottocategorieUscite[[#Headers],[Fuori Casa]],$I1537&lt;&gt;SottocategorieUscite[[#Headers],[Varie Uscite]],$I1537&lt;&gt;SottocategorieUscite[[#Headers],[Personali]],$I1537&lt;&gt;SottocategorieUscite[[#Headers],[Lavoro]],$I1537&lt;&gt;SottocategorieUscite[[#Headers],[Casa]],$I1537&lt;&gt;SottocategorieUscite[[#Headers],[Utenze]],$I1537&lt;&gt;SottocategorieUscite[[#Headers],[Business Uscite]],$I1537&lt;&gt;SottocategorieUscite[[#Headers],[Banca]]),"","$ -")</f>
        <v/>
      </c>
      <c r="N1537" s="59" t="str">
        <f>IF(OR(Data!$I1537=SottocategorieEntrate[[#Headers],[Business Entrate]],Data!$I1537=SottocategorieEntrate[[#Headers],[Varie Entrate]]),"$ -","")</f>
        <v/>
      </c>
      <c r="O1537" s="59" t="str">
        <f>IF(OR(Data!$I1537=SottocategorieEntrate[[#Headers],[Real Estate]],SottocategorieEntrate[[#Headers],[Other]]),"$ -","")</f>
        <v/>
      </c>
      <c r="P1537" s="59" t="str">
        <f>IF(OR($I1537&lt;&gt;SottocategorieEntrate[[#Headers],[Business Entrate]],$I1537&lt;&gt;SottocategorieEntrate[[#Headers],[Varie Entrate]],$I1537&lt;&gt;SottocategorieEntrate[[#Headers],[Real Estate]],$I1537&lt;&gt;SottocategorieEntrate[[#Headers],[Other]]),"","$ -")</f>
        <v/>
      </c>
      <c r="Q1537" s="59" t="str">
        <f>IF(Dati[[#This Row],[Categoria]]="Prelievo","€ -","")</f>
        <v/>
      </c>
      <c r="R1537" s="244"/>
      <c r="S1537" s="59" t="str">
        <f>IF(Dati[[#This Row],[Categoria]]="Savings",0,"")</f>
        <v/>
      </c>
      <c r="T1537" s="59"/>
      <c r="U1537" s="59"/>
      <c r="V1537" s="59"/>
      <c r="W1537" s="59"/>
      <c r="X1537" s="59"/>
      <c r="Y1537" s="59"/>
      <c r="Z1537" s="59"/>
      <c r="AA1537" s="59"/>
      <c r="AB1537" s="59"/>
      <c r="AC1537" s="59"/>
      <c r="AD1537" s="59"/>
      <c r="AE1537" s="59"/>
      <c r="AF1537" s="59"/>
      <c r="AG1537" s="59"/>
      <c r="AH1537" s="59"/>
      <c r="AI1537" s="59" t="str">
        <f>IF(SUM(Dati[[#This Row],[Inv. Business]:[Inv. Cryptocurrency]])=0," ",SUM(Dati[[#This Row],[Inv. Business]:[Inv. Cryptocurrency]]))</f>
        <v xml:space="preserve"> </v>
      </c>
      <c r="AJ1537" s="59"/>
      <c r="AK1537" s="59" t="str">
        <f>IF(SUM(Dati[[#This Row],[Inv. Gold]:[Mutuo]])=0," ",SUM(Dati[[#This Row],[Inv. Gold]:[Mutuo]]))</f>
        <v xml:space="preserve"> </v>
      </c>
      <c r="AL1537" s="59"/>
      <c r="AM1537" s="59"/>
    </row>
    <row r="1538" spans="2:39" x14ac:dyDescent="0.35">
      <c r="B1538" s="237">
        <f t="shared" si="111"/>
        <v>1518</v>
      </c>
      <c r="C1538" s="49">
        <f t="shared" si="110"/>
        <v>46096</v>
      </c>
      <c r="D1538" s="29">
        <f>DAY(Dati[[#This Row],[Data]])</f>
        <v>15</v>
      </c>
      <c r="E1538" s="29" t="str">
        <f>IF(DAY(Data!$C$21:$C$1613)&gt;0,TEXT(Data!$C$21:$C$1613, "mmmm"),"")</f>
        <v>marzo</v>
      </c>
      <c r="F1538" s="29" t="str">
        <f>IF(DAY(Data!$C$21:$C$1613)&gt;0,TEXT(Data!$C$21:$C$1613, "aaaa"),"")</f>
        <v>2026</v>
      </c>
      <c r="I1538" t="str">
        <f>IF(OR(H1538=$B$5,H1538=$B$6,H1538=$B$7,H1538=$B$8,H1538=$B$9,H1538=$B$10,H1538=$B$11,H1538=$B$12,H1538=$B$13,H1538=$B$14),SottocategorieUscite[[#Headers],[Fuori Casa]],IF(OR(H1538=$C$5,H1538=$C$6,H1538=$C$7,H1538=$C$8,H1538=$C$9,H1538=$C$10,H1538=$C$11,H1538=$C$12,H1538=$C$13,H1538=$C$14),SottocategorieUscite[[#Headers],[Varie Uscite]],IF(OR(H1538=$D$5,H1538=$D$6,H1538=$D$7,H1538=$D$8,H1538=$D$9,H1538=$D$10,H1538=$D$11,H1538=$D$12,H1538=$D$13,H1538=$D$14),SottocategorieUscite[[#Headers],[Personali]],IF(OR(H1538=$E$5,H1538=$E$6,H1538=$E$7,H1538=$E$8,H1538=$E$9,H1538=$E$10,H1538=$E$11,H1538=$E$12,H1538=$E$13,H1538=$E$14),SottocategorieUscite[[#Headers],[Lavoro]],IF(OR(H1538=$F$5,H1538=$F$6,H1538=$F$7,H1538=$F$8,H1538=$F$9,H1538=$F$10,H1538=$F$11,H1538=$F$12,H1538=$F$13,H1538=$F$14),SottocategorieUscite[[#Headers],[Casa]],IF(OR(H1538=$G$5,H1538=$G$6,H1538=$G$7,H1538=$G$8,H1538=$G$9,H1538=$G$10,H1538=$G$11,H1538=$G$12,H1538=$G$13,H1538=$G$14),SottocategorieUscite[[#Headers],[Utenze]],IF(OR(H1538=$H$5,H1538=$H$6,H1538=$H$7,H1538=$H$8,H1538=$H$9,H1538=$H$10,H1538=$H$11,H1538=$H$12,H1538=$H$13,H1538=$H$14),SottocategorieUscite[[#Headers],[Business Uscite]],IF(OR(H1538=$I$5,H1538=$I$6,H1538=$I$7,H1538=$I$8,H1538=$I$9,H1538=$I$10,H1538=$I$11,H1538=$I$12,H1538=$I$13,H1538=$I$14),SottocategorieUscite[[#Headers],[Banca]],IF(OR(H1538=K$5,H1538=K$6,H1538=K$7,H1538=K$8,H1538=K$9,H1538=K$10,H1538=K$11,H1538=K$12,H1538=K$13,H1538=K$14),SottocategorieEntrate[[#Headers],[Business Entrate]],IF(OR(H1538=L$5,H1538=L$6,H1538=L$7,H1538=L$8,H1538=L$9,H1538=L$10,H1538=L$11,H1538=L$12,H1538=L$13,H1538=L$14),SottocategorieEntrate[[#Headers],[Varie Entrate]],IF(OR(H1538=M$5,H1538=M$6,H1538=M$7,H1538=M$8,H1538=M$9,H1538=M$10,H1538=M$11,H1538=M$12,H1538=M$13,H1538=M$14),SottocategorieEntrate[[#Headers],[Real Estate]],IF(OR(H1538=N$5,H1538=N$6,H1538=N$7,H1538=N$8,H1538=N$9,H1538=N$10,H1538=N$11,H1538=N$12,H1538=N$13,H1538=N$14),SottocategorieEntrate[[#Headers],[Other]],""))))))))))))</f>
        <v/>
      </c>
      <c r="J1538" t="str">
        <f>IF(OR(Dati[[#This Row],[Categoria]]="Bollette",Dati[[#This Row],[Categoria]]="Conto &amp; Carte BNL",Dati[[#This Row],[Categoria]]="Prelievo",Dati[[#This Row],[Categoria]]="Affitto",Dati[[#This Row],[Categoria]]="BNL(Interessi Creditori)"),"Carta",IF(Dati[[#This Row],[Categoria]]&lt;&gt;0,"Cash",""))</f>
        <v/>
      </c>
      <c r="K1538" s="59" t="str">
        <f>IF(OR(Data!$I1538=SottocategorieUscite[[#Headers],[Fuori Casa]],Data!$I1538=SottocategorieUscite[[#Headers],[Varie Uscite]],Data!$I1538=SottocategorieUscite[[#Headers],[Personali]],Data!$I1538=SottocategorieUscite[[#Headers],[Lavoro]]),"$ -","")</f>
        <v/>
      </c>
      <c r="L1538" s="59" t="str">
        <f>IF(OR(Data!$I1538=SottocategorieUscite[[#Headers],[Casa]],Data!$I1538=SottocategorieUscite[[#Headers],[Utenze]],Data!$I1538=SottocategorieUscite[[#Headers],[Business Uscite]],Data!$I1538=SottocategorieUscite[[#Headers],[Banca]]),"$ -","")</f>
        <v/>
      </c>
      <c r="M1538" s="59" t="str">
        <f>IF(OR($I1538&lt;&gt;SottocategorieUscite[[#Headers],[Fuori Casa]],$I1538&lt;&gt;SottocategorieUscite[[#Headers],[Varie Uscite]],$I1538&lt;&gt;SottocategorieUscite[[#Headers],[Personali]],$I1538&lt;&gt;SottocategorieUscite[[#Headers],[Lavoro]],$I1538&lt;&gt;SottocategorieUscite[[#Headers],[Casa]],$I1538&lt;&gt;SottocategorieUscite[[#Headers],[Utenze]],$I1538&lt;&gt;SottocategorieUscite[[#Headers],[Business Uscite]],$I1538&lt;&gt;SottocategorieUscite[[#Headers],[Banca]]),"","$ -")</f>
        <v/>
      </c>
      <c r="N1538" s="59" t="str">
        <f>IF(OR(Data!$I1538=SottocategorieEntrate[[#Headers],[Business Entrate]],Data!$I1538=SottocategorieEntrate[[#Headers],[Varie Entrate]]),"$ -","")</f>
        <v/>
      </c>
      <c r="O1538" s="59" t="str">
        <f>IF(OR(Data!$I1538=SottocategorieEntrate[[#Headers],[Real Estate]],SottocategorieEntrate[[#Headers],[Other]]),"$ -","")</f>
        <v/>
      </c>
      <c r="P1538" s="59" t="str">
        <f>IF(OR($I1538&lt;&gt;SottocategorieEntrate[[#Headers],[Business Entrate]],$I1538&lt;&gt;SottocategorieEntrate[[#Headers],[Varie Entrate]],$I1538&lt;&gt;SottocategorieEntrate[[#Headers],[Real Estate]],$I1538&lt;&gt;SottocategorieEntrate[[#Headers],[Other]]),"","$ -")</f>
        <v/>
      </c>
      <c r="Q1538" s="59" t="str">
        <f>IF(Dati[[#This Row],[Categoria]]="Prelievo","€ -","")</f>
        <v/>
      </c>
      <c r="R1538" s="244"/>
      <c r="S1538" s="59" t="str">
        <f>IF(Dati[[#This Row],[Categoria]]="Savings",0,"")</f>
        <v/>
      </c>
      <c r="T1538" s="59"/>
      <c r="U1538" s="59"/>
      <c r="V1538" s="59"/>
      <c r="W1538" s="59"/>
      <c r="X1538" s="59"/>
      <c r="Y1538" s="59"/>
      <c r="Z1538" s="59"/>
      <c r="AA1538" s="59"/>
      <c r="AB1538" s="59"/>
      <c r="AC1538" s="59"/>
      <c r="AD1538" s="59"/>
      <c r="AE1538" s="59"/>
      <c r="AF1538" s="59"/>
      <c r="AG1538" s="59"/>
      <c r="AH1538" s="59"/>
      <c r="AI1538" s="59" t="str">
        <f>IF(SUM(Dati[[#This Row],[Inv. Business]:[Inv. Cryptocurrency]])=0," ",SUM(Dati[[#This Row],[Inv. Business]:[Inv. Cryptocurrency]]))</f>
        <v xml:space="preserve"> </v>
      </c>
      <c r="AJ1538" s="59"/>
      <c r="AK1538" s="59" t="str">
        <f>IF(SUM(Dati[[#This Row],[Inv. Gold]:[Mutuo]])=0," ",SUM(Dati[[#This Row],[Inv. Gold]:[Mutuo]]))</f>
        <v xml:space="preserve"> </v>
      </c>
      <c r="AL1538" s="59"/>
      <c r="AM1538" s="59"/>
    </row>
    <row r="1539" spans="2:39" x14ac:dyDescent="0.35">
      <c r="B1539" s="237">
        <f t="shared" si="111"/>
        <v>1519</v>
      </c>
      <c r="C1539" s="49">
        <f t="shared" si="110"/>
        <v>46097</v>
      </c>
      <c r="D1539" s="29">
        <f>DAY(Dati[[#This Row],[Data]])</f>
        <v>16</v>
      </c>
      <c r="E1539" s="29" t="str">
        <f>IF(DAY(Data!$C$21:$C$1613)&gt;0,TEXT(Data!$C$21:$C$1613, "mmmm"),"")</f>
        <v>marzo</v>
      </c>
      <c r="F1539" s="29" t="str">
        <f>IF(DAY(Data!$C$21:$C$1613)&gt;0,TEXT(Data!$C$21:$C$1613, "aaaa"),"")</f>
        <v>2026</v>
      </c>
      <c r="I1539" t="str">
        <f>IF(OR(H1539=$B$5,H1539=$B$6,H1539=$B$7,H1539=$B$8,H1539=$B$9,H1539=$B$10,H1539=$B$11,H1539=$B$12,H1539=$B$13,H1539=$B$14),SottocategorieUscite[[#Headers],[Fuori Casa]],IF(OR(H1539=$C$5,H1539=$C$6,H1539=$C$7,H1539=$C$8,H1539=$C$9,H1539=$C$10,H1539=$C$11,H1539=$C$12,H1539=$C$13,H1539=$C$14),SottocategorieUscite[[#Headers],[Varie Uscite]],IF(OR(H1539=$D$5,H1539=$D$6,H1539=$D$7,H1539=$D$8,H1539=$D$9,H1539=$D$10,H1539=$D$11,H1539=$D$12,H1539=$D$13,H1539=$D$14),SottocategorieUscite[[#Headers],[Personali]],IF(OR(H1539=$E$5,H1539=$E$6,H1539=$E$7,H1539=$E$8,H1539=$E$9,H1539=$E$10,H1539=$E$11,H1539=$E$12,H1539=$E$13,H1539=$E$14),SottocategorieUscite[[#Headers],[Lavoro]],IF(OR(H1539=$F$5,H1539=$F$6,H1539=$F$7,H1539=$F$8,H1539=$F$9,H1539=$F$10,H1539=$F$11,H1539=$F$12,H1539=$F$13,H1539=$F$14),SottocategorieUscite[[#Headers],[Casa]],IF(OR(H1539=$G$5,H1539=$G$6,H1539=$G$7,H1539=$G$8,H1539=$G$9,H1539=$G$10,H1539=$G$11,H1539=$G$12,H1539=$G$13,H1539=$G$14),SottocategorieUscite[[#Headers],[Utenze]],IF(OR(H1539=$H$5,H1539=$H$6,H1539=$H$7,H1539=$H$8,H1539=$H$9,H1539=$H$10,H1539=$H$11,H1539=$H$12,H1539=$H$13,H1539=$H$14),SottocategorieUscite[[#Headers],[Business Uscite]],IF(OR(H1539=$I$5,H1539=$I$6,H1539=$I$7,H1539=$I$8,H1539=$I$9,H1539=$I$10,H1539=$I$11,H1539=$I$12,H1539=$I$13,H1539=$I$14),SottocategorieUscite[[#Headers],[Banca]],IF(OR(H1539=K$5,H1539=K$6,H1539=K$7,H1539=K$8,H1539=K$9,H1539=K$10,H1539=K$11,H1539=K$12,H1539=K$13,H1539=K$14),SottocategorieEntrate[[#Headers],[Business Entrate]],IF(OR(H1539=L$5,H1539=L$6,H1539=L$7,H1539=L$8,H1539=L$9,H1539=L$10,H1539=L$11,H1539=L$12,H1539=L$13,H1539=L$14),SottocategorieEntrate[[#Headers],[Varie Entrate]],IF(OR(H1539=M$5,H1539=M$6,H1539=M$7,H1539=M$8,H1539=M$9,H1539=M$10,H1539=M$11,H1539=M$12,H1539=M$13,H1539=M$14),SottocategorieEntrate[[#Headers],[Real Estate]],IF(OR(H1539=N$5,H1539=N$6,H1539=N$7,H1539=N$8,H1539=N$9,H1539=N$10,H1539=N$11,H1539=N$12,H1539=N$13,H1539=N$14),SottocategorieEntrate[[#Headers],[Other]],""))))))))))))</f>
        <v/>
      </c>
      <c r="J1539" t="str">
        <f>IF(OR(Dati[[#This Row],[Categoria]]="Bollette",Dati[[#This Row],[Categoria]]="Conto &amp; Carte BNL",Dati[[#This Row],[Categoria]]="Prelievo",Dati[[#This Row],[Categoria]]="Affitto",Dati[[#This Row],[Categoria]]="BNL(Interessi Creditori)"),"Carta",IF(Dati[[#This Row],[Categoria]]&lt;&gt;0,"Cash",""))</f>
        <v/>
      </c>
      <c r="K1539" s="59" t="str">
        <f>IF(OR(Data!$I1539=SottocategorieUscite[[#Headers],[Fuori Casa]],Data!$I1539=SottocategorieUscite[[#Headers],[Varie Uscite]],Data!$I1539=SottocategorieUscite[[#Headers],[Personali]],Data!$I1539=SottocategorieUscite[[#Headers],[Lavoro]]),"$ -","")</f>
        <v/>
      </c>
      <c r="L1539" s="59" t="str">
        <f>IF(OR(Data!$I1539=SottocategorieUscite[[#Headers],[Casa]],Data!$I1539=SottocategorieUscite[[#Headers],[Utenze]],Data!$I1539=SottocategorieUscite[[#Headers],[Business Uscite]],Data!$I1539=SottocategorieUscite[[#Headers],[Banca]]),"$ -","")</f>
        <v/>
      </c>
      <c r="M1539" s="59" t="str">
        <f>IF(OR($I1539&lt;&gt;SottocategorieUscite[[#Headers],[Fuori Casa]],$I1539&lt;&gt;SottocategorieUscite[[#Headers],[Varie Uscite]],$I1539&lt;&gt;SottocategorieUscite[[#Headers],[Personali]],$I1539&lt;&gt;SottocategorieUscite[[#Headers],[Lavoro]],$I1539&lt;&gt;SottocategorieUscite[[#Headers],[Casa]],$I1539&lt;&gt;SottocategorieUscite[[#Headers],[Utenze]],$I1539&lt;&gt;SottocategorieUscite[[#Headers],[Business Uscite]],$I1539&lt;&gt;SottocategorieUscite[[#Headers],[Banca]]),"","$ -")</f>
        <v/>
      </c>
      <c r="N1539" s="59" t="str">
        <f>IF(OR(Data!$I1539=SottocategorieEntrate[[#Headers],[Business Entrate]],Data!$I1539=SottocategorieEntrate[[#Headers],[Varie Entrate]]),"$ -","")</f>
        <v/>
      </c>
      <c r="O1539" s="59" t="str">
        <f>IF(OR(Data!$I1539=SottocategorieEntrate[[#Headers],[Real Estate]],SottocategorieEntrate[[#Headers],[Other]]),"$ -","")</f>
        <v/>
      </c>
      <c r="P1539" s="59" t="str">
        <f>IF(OR($I1539&lt;&gt;SottocategorieEntrate[[#Headers],[Business Entrate]],$I1539&lt;&gt;SottocategorieEntrate[[#Headers],[Varie Entrate]],$I1539&lt;&gt;SottocategorieEntrate[[#Headers],[Real Estate]],$I1539&lt;&gt;SottocategorieEntrate[[#Headers],[Other]]),"","$ -")</f>
        <v/>
      </c>
      <c r="Q1539" s="59" t="str">
        <f>IF(Dati[[#This Row],[Categoria]]="Prelievo","€ -","")</f>
        <v/>
      </c>
      <c r="R1539" s="244"/>
      <c r="S1539" s="59" t="str">
        <f>IF(Dati[[#This Row],[Categoria]]="Savings",0,"")</f>
        <v/>
      </c>
      <c r="T1539" s="59"/>
      <c r="U1539" s="59"/>
      <c r="V1539" s="59"/>
      <c r="W1539" s="59"/>
      <c r="X1539" s="59"/>
      <c r="Y1539" s="59"/>
      <c r="Z1539" s="59"/>
      <c r="AA1539" s="59"/>
      <c r="AB1539" s="59"/>
      <c r="AC1539" s="59"/>
      <c r="AD1539" s="59"/>
      <c r="AE1539" s="59"/>
      <c r="AF1539" s="59"/>
      <c r="AG1539" s="59"/>
      <c r="AH1539" s="59"/>
      <c r="AI1539" s="59" t="str">
        <f>IF(SUM(Dati[[#This Row],[Inv. Business]:[Inv. Cryptocurrency]])=0," ",SUM(Dati[[#This Row],[Inv. Business]:[Inv. Cryptocurrency]]))</f>
        <v xml:space="preserve"> </v>
      </c>
      <c r="AJ1539" s="59"/>
      <c r="AK1539" s="59" t="str">
        <f>IF(SUM(Dati[[#This Row],[Inv. Gold]:[Mutuo]])=0," ",SUM(Dati[[#This Row],[Inv. Gold]:[Mutuo]]))</f>
        <v xml:space="preserve"> </v>
      </c>
      <c r="AL1539" s="59"/>
      <c r="AM1539" s="59"/>
    </row>
    <row r="1540" spans="2:39" x14ac:dyDescent="0.35">
      <c r="B1540" s="237">
        <f t="shared" si="111"/>
        <v>1520</v>
      </c>
      <c r="C1540" s="49">
        <f t="shared" si="110"/>
        <v>46098</v>
      </c>
      <c r="D1540" s="29">
        <f>DAY(Dati[[#This Row],[Data]])</f>
        <v>17</v>
      </c>
      <c r="E1540" s="29" t="str">
        <f>IF(DAY(Data!$C$21:$C$1613)&gt;0,TEXT(Data!$C$21:$C$1613, "mmmm"),"")</f>
        <v>marzo</v>
      </c>
      <c r="F1540" s="29" t="str">
        <f>IF(DAY(Data!$C$21:$C$1613)&gt;0,TEXT(Data!$C$21:$C$1613, "aaaa"),"")</f>
        <v>2026</v>
      </c>
      <c r="I1540" t="str">
        <f>IF(OR(H1540=$B$5,H1540=$B$6,H1540=$B$7,H1540=$B$8,H1540=$B$9,H1540=$B$10,H1540=$B$11,H1540=$B$12,H1540=$B$13,H1540=$B$14),SottocategorieUscite[[#Headers],[Fuori Casa]],IF(OR(H1540=$C$5,H1540=$C$6,H1540=$C$7,H1540=$C$8,H1540=$C$9,H1540=$C$10,H1540=$C$11,H1540=$C$12,H1540=$C$13,H1540=$C$14),SottocategorieUscite[[#Headers],[Varie Uscite]],IF(OR(H1540=$D$5,H1540=$D$6,H1540=$D$7,H1540=$D$8,H1540=$D$9,H1540=$D$10,H1540=$D$11,H1540=$D$12,H1540=$D$13,H1540=$D$14),SottocategorieUscite[[#Headers],[Personali]],IF(OR(H1540=$E$5,H1540=$E$6,H1540=$E$7,H1540=$E$8,H1540=$E$9,H1540=$E$10,H1540=$E$11,H1540=$E$12,H1540=$E$13,H1540=$E$14),SottocategorieUscite[[#Headers],[Lavoro]],IF(OR(H1540=$F$5,H1540=$F$6,H1540=$F$7,H1540=$F$8,H1540=$F$9,H1540=$F$10,H1540=$F$11,H1540=$F$12,H1540=$F$13,H1540=$F$14),SottocategorieUscite[[#Headers],[Casa]],IF(OR(H1540=$G$5,H1540=$G$6,H1540=$G$7,H1540=$G$8,H1540=$G$9,H1540=$G$10,H1540=$G$11,H1540=$G$12,H1540=$G$13,H1540=$G$14),SottocategorieUscite[[#Headers],[Utenze]],IF(OR(H1540=$H$5,H1540=$H$6,H1540=$H$7,H1540=$H$8,H1540=$H$9,H1540=$H$10,H1540=$H$11,H1540=$H$12,H1540=$H$13,H1540=$H$14),SottocategorieUscite[[#Headers],[Business Uscite]],IF(OR(H1540=$I$5,H1540=$I$6,H1540=$I$7,H1540=$I$8,H1540=$I$9,H1540=$I$10,H1540=$I$11,H1540=$I$12,H1540=$I$13,H1540=$I$14),SottocategorieUscite[[#Headers],[Banca]],IF(OR(H1540=K$5,H1540=K$6,H1540=K$7,H1540=K$8,H1540=K$9,H1540=K$10,H1540=K$11,H1540=K$12,H1540=K$13,H1540=K$14),SottocategorieEntrate[[#Headers],[Business Entrate]],IF(OR(H1540=L$5,H1540=L$6,H1540=L$7,H1540=L$8,H1540=L$9,H1540=L$10,H1540=L$11,H1540=L$12,H1540=L$13,H1540=L$14),SottocategorieEntrate[[#Headers],[Varie Entrate]],IF(OR(H1540=M$5,H1540=M$6,H1540=M$7,H1540=M$8,H1540=M$9,H1540=M$10,H1540=M$11,H1540=M$12,H1540=M$13,H1540=M$14),SottocategorieEntrate[[#Headers],[Real Estate]],IF(OR(H1540=N$5,H1540=N$6,H1540=N$7,H1540=N$8,H1540=N$9,H1540=N$10,H1540=N$11,H1540=N$12,H1540=N$13,H1540=N$14),SottocategorieEntrate[[#Headers],[Other]],""))))))))))))</f>
        <v/>
      </c>
      <c r="J1540" t="str">
        <f>IF(OR(Dati[[#This Row],[Categoria]]="Bollette",Dati[[#This Row],[Categoria]]="Conto &amp; Carte BNL",Dati[[#This Row],[Categoria]]="Prelievo",Dati[[#This Row],[Categoria]]="Affitto",Dati[[#This Row],[Categoria]]="BNL(Interessi Creditori)"),"Carta",IF(Dati[[#This Row],[Categoria]]&lt;&gt;0,"Cash",""))</f>
        <v/>
      </c>
      <c r="K1540" s="59" t="str">
        <f>IF(OR(Data!$I1540=SottocategorieUscite[[#Headers],[Fuori Casa]],Data!$I1540=SottocategorieUscite[[#Headers],[Varie Uscite]],Data!$I1540=SottocategorieUscite[[#Headers],[Personali]],Data!$I1540=SottocategorieUscite[[#Headers],[Lavoro]]),"$ -","")</f>
        <v/>
      </c>
      <c r="L1540" s="59" t="str">
        <f>IF(OR(Data!$I1540=SottocategorieUscite[[#Headers],[Casa]],Data!$I1540=SottocategorieUscite[[#Headers],[Utenze]],Data!$I1540=SottocategorieUscite[[#Headers],[Business Uscite]],Data!$I1540=SottocategorieUscite[[#Headers],[Banca]]),"$ -","")</f>
        <v/>
      </c>
      <c r="M1540" s="59" t="str">
        <f>IF(OR($I1540&lt;&gt;SottocategorieUscite[[#Headers],[Fuori Casa]],$I1540&lt;&gt;SottocategorieUscite[[#Headers],[Varie Uscite]],$I1540&lt;&gt;SottocategorieUscite[[#Headers],[Personali]],$I1540&lt;&gt;SottocategorieUscite[[#Headers],[Lavoro]],$I1540&lt;&gt;SottocategorieUscite[[#Headers],[Casa]],$I1540&lt;&gt;SottocategorieUscite[[#Headers],[Utenze]],$I1540&lt;&gt;SottocategorieUscite[[#Headers],[Business Uscite]],$I1540&lt;&gt;SottocategorieUscite[[#Headers],[Banca]]),"","$ -")</f>
        <v/>
      </c>
      <c r="N1540" s="59" t="str">
        <f>IF(OR(Data!$I1540=SottocategorieEntrate[[#Headers],[Business Entrate]],Data!$I1540=SottocategorieEntrate[[#Headers],[Varie Entrate]]),"$ -","")</f>
        <v/>
      </c>
      <c r="O1540" s="59" t="str">
        <f>IF(OR(Data!$I1540=SottocategorieEntrate[[#Headers],[Real Estate]],SottocategorieEntrate[[#Headers],[Other]]),"$ -","")</f>
        <v/>
      </c>
      <c r="P1540" s="59" t="str">
        <f>IF(OR($I1540&lt;&gt;SottocategorieEntrate[[#Headers],[Business Entrate]],$I1540&lt;&gt;SottocategorieEntrate[[#Headers],[Varie Entrate]],$I1540&lt;&gt;SottocategorieEntrate[[#Headers],[Real Estate]],$I1540&lt;&gt;SottocategorieEntrate[[#Headers],[Other]]),"","$ -")</f>
        <v/>
      </c>
      <c r="Q1540" s="59" t="str">
        <f>IF(Dati[[#This Row],[Categoria]]="Prelievo","€ -","")</f>
        <v/>
      </c>
      <c r="R1540" s="244"/>
      <c r="S1540" s="59" t="str">
        <f>IF(Dati[[#This Row],[Categoria]]="Savings",0,"")</f>
        <v/>
      </c>
      <c r="T1540" s="59"/>
      <c r="U1540" s="59"/>
      <c r="V1540" s="59"/>
      <c r="W1540" s="59"/>
      <c r="X1540" s="59"/>
      <c r="Y1540" s="59"/>
      <c r="Z1540" s="59"/>
      <c r="AA1540" s="59"/>
      <c r="AB1540" s="59"/>
      <c r="AC1540" s="59"/>
      <c r="AD1540" s="59"/>
      <c r="AE1540" s="59"/>
      <c r="AF1540" s="59"/>
      <c r="AG1540" s="59"/>
      <c r="AH1540" s="59"/>
      <c r="AI1540" s="59" t="str">
        <f>IF(SUM(Dati[[#This Row],[Inv. Business]:[Inv. Cryptocurrency]])=0," ",SUM(Dati[[#This Row],[Inv. Business]:[Inv. Cryptocurrency]]))</f>
        <v xml:space="preserve"> </v>
      </c>
      <c r="AJ1540" s="59"/>
      <c r="AK1540" s="59" t="str">
        <f>IF(SUM(Dati[[#This Row],[Inv. Gold]:[Mutuo]])=0," ",SUM(Dati[[#This Row],[Inv. Gold]:[Mutuo]]))</f>
        <v xml:space="preserve"> </v>
      </c>
      <c r="AL1540" s="59"/>
      <c r="AM1540" s="59"/>
    </row>
    <row r="1541" spans="2:39" x14ac:dyDescent="0.35">
      <c r="B1541" s="237">
        <f t="shared" si="111"/>
        <v>1521</v>
      </c>
      <c r="C1541" s="49">
        <f t="shared" si="110"/>
        <v>46099</v>
      </c>
      <c r="D1541" s="29">
        <f>DAY(Dati[[#This Row],[Data]])</f>
        <v>18</v>
      </c>
      <c r="E1541" s="29" t="str">
        <f>IF(DAY(Data!$C$21:$C$1613)&gt;0,TEXT(Data!$C$21:$C$1613, "mmmm"),"")</f>
        <v>marzo</v>
      </c>
      <c r="F1541" s="29" t="str">
        <f>IF(DAY(Data!$C$21:$C$1613)&gt;0,TEXT(Data!$C$21:$C$1613, "aaaa"),"")</f>
        <v>2026</v>
      </c>
      <c r="I1541" t="str">
        <f>IF(OR(H1541=$B$5,H1541=$B$6,H1541=$B$7,H1541=$B$8,H1541=$B$9,H1541=$B$10,H1541=$B$11,H1541=$B$12,H1541=$B$13,H1541=$B$14),SottocategorieUscite[[#Headers],[Fuori Casa]],IF(OR(H1541=$C$5,H1541=$C$6,H1541=$C$7,H1541=$C$8,H1541=$C$9,H1541=$C$10,H1541=$C$11,H1541=$C$12,H1541=$C$13,H1541=$C$14),SottocategorieUscite[[#Headers],[Varie Uscite]],IF(OR(H1541=$D$5,H1541=$D$6,H1541=$D$7,H1541=$D$8,H1541=$D$9,H1541=$D$10,H1541=$D$11,H1541=$D$12,H1541=$D$13,H1541=$D$14),SottocategorieUscite[[#Headers],[Personali]],IF(OR(H1541=$E$5,H1541=$E$6,H1541=$E$7,H1541=$E$8,H1541=$E$9,H1541=$E$10,H1541=$E$11,H1541=$E$12,H1541=$E$13,H1541=$E$14),SottocategorieUscite[[#Headers],[Lavoro]],IF(OR(H1541=$F$5,H1541=$F$6,H1541=$F$7,H1541=$F$8,H1541=$F$9,H1541=$F$10,H1541=$F$11,H1541=$F$12,H1541=$F$13,H1541=$F$14),SottocategorieUscite[[#Headers],[Casa]],IF(OR(H1541=$G$5,H1541=$G$6,H1541=$G$7,H1541=$G$8,H1541=$G$9,H1541=$G$10,H1541=$G$11,H1541=$G$12,H1541=$G$13,H1541=$G$14),SottocategorieUscite[[#Headers],[Utenze]],IF(OR(H1541=$H$5,H1541=$H$6,H1541=$H$7,H1541=$H$8,H1541=$H$9,H1541=$H$10,H1541=$H$11,H1541=$H$12,H1541=$H$13,H1541=$H$14),SottocategorieUscite[[#Headers],[Business Uscite]],IF(OR(H1541=$I$5,H1541=$I$6,H1541=$I$7,H1541=$I$8,H1541=$I$9,H1541=$I$10,H1541=$I$11,H1541=$I$12,H1541=$I$13,H1541=$I$14),SottocategorieUscite[[#Headers],[Banca]],IF(OR(H1541=K$5,H1541=K$6,H1541=K$7,H1541=K$8,H1541=K$9,H1541=K$10,H1541=K$11,H1541=K$12,H1541=K$13,H1541=K$14),SottocategorieEntrate[[#Headers],[Business Entrate]],IF(OR(H1541=L$5,H1541=L$6,H1541=L$7,H1541=L$8,H1541=L$9,H1541=L$10,H1541=L$11,H1541=L$12,H1541=L$13,H1541=L$14),SottocategorieEntrate[[#Headers],[Varie Entrate]],IF(OR(H1541=M$5,H1541=M$6,H1541=M$7,H1541=M$8,H1541=M$9,H1541=M$10,H1541=M$11,H1541=M$12,H1541=M$13,H1541=M$14),SottocategorieEntrate[[#Headers],[Real Estate]],IF(OR(H1541=N$5,H1541=N$6,H1541=N$7,H1541=N$8,H1541=N$9,H1541=N$10,H1541=N$11,H1541=N$12,H1541=N$13,H1541=N$14),SottocategorieEntrate[[#Headers],[Other]],""))))))))))))</f>
        <v/>
      </c>
      <c r="J1541" t="str">
        <f>IF(OR(Dati[[#This Row],[Categoria]]="Bollette",Dati[[#This Row],[Categoria]]="Conto &amp; Carte BNL",Dati[[#This Row],[Categoria]]="Prelievo",Dati[[#This Row],[Categoria]]="Affitto",Dati[[#This Row],[Categoria]]="BNL(Interessi Creditori)"),"Carta",IF(Dati[[#This Row],[Categoria]]&lt;&gt;0,"Cash",""))</f>
        <v/>
      </c>
      <c r="K1541" s="59" t="str">
        <f>IF(OR(Data!$I1541=SottocategorieUscite[[#Headers],[Fuori Casa]],Data!$I1541=SottocategorieUscite[[#Headers],[Varie Uscite]],Data!$I1541=SottocategorieUscite[[#Headers],[Personali]],Data!$I1541=SottocategorieUscite[[#Headers],[Lavoro]]),"$ -","")</f>
        <v/>
      </c>
      <c r="L1541" s="59" t="str">
        <f>IF(OR(Data!$I1541=SottocategorieUscite[[#Headers],[Casa]],Data!$I1541=SottocategorieUscite[[#Headers],[Utenze]],Data!$I1541=SottocategorieUscite[[#Headers],[Business Uscite]],Data!$I1541=SottocategorieUscite[[#Headers],[Banca]]),"$ -","")</f>
        <v/>
      </c>
      <c r="M1541" s="59" t="str">
        <f>IF(OR($I1541&lt;&gt;SottocategorieUscite[[#Headers],[Fuori Casa]],$I1541&lt;&gt;SottocategorieUscite[[#Headers],[Varie Uscite]],$I1541&lt;&gt;SottocategorieUscite[[#Headers],[Personali]],$I1541&lt;&gt;SottocategorieUscite[[#Headers],[Lavoro]],$I1541&lt;&gt;SottocategorieUscite[[#Headers],[Casa]],$I1541&lt;&gt;SottocategorieUscite[[#Headers],[Utenze]],$I1541&lt;&gt;SottocategorieUscite[[#Headers],[Business Uscite]],$I1541&lt;&gt;SottocategorieUscite[[#Headers],[Banca]]),"","$ -")</f>
        <v/>
      </c>
      <c r="N1541" s="59" t="str">
        <f>IF(OR(Data!$I1541=SottocategorieEntrate[[#Headers],[Business Entrate]],Data!$I1541=SottocategorieEntrate[[#Headers],[Varie Entrate]]),"$ -","")</f>
        <v/>
      </c>
      <c r="O1541" s="59" t="str">
        <f>IF(OR(Data!$I1541=SottocategorieEntrate[[#Headers],[Real Estate]],SottocategorieEntrate[[#Headers],[Other]]),"$ -","")</f>
        <v/>
      </c>
      <c r="P1541" s="59" t="str">
        <f>IF(OR($I1541&lt;&gt;SottocategorieEntrate[[#Headers],[Business Entrate]],$I1541&lt;&gt;SottocategorieEntrate[[#Headers],[Varie Entrate]],$I1541&lt;&gt;SottocategorieEntrate[[#Headers],[Real Estate]],$I1541&lt;&gt;SottocategorieEntrate[[#Headers],[Other]]),"","$ -")</f>
        <v/>
      </c>
      <c r="Q1541" s="59" t="str">
        <f>IF(Dati[[#This Row],[Categoria]]="Prelievo","€ -","")</f>
        <v/>
      </c>
      <c r="R1541" s="244"/>
      <c r="S1541" s="59" t="str">
        <f>IF(Dati[[#This Row],[Categoria]]="Savings",0,"")</f>
        <v/>
      </c>
      <c r="T1541" s="59"/>
      <c r="U1541" s="59"/>
      <c r="V1541" s="59"/>
      <c r="W1541" s="59"/>
      <c r="X1541" s="59"/>
      <c r="Y1541" s="59"/>
      <c r="Z1541" s="59"/>
      <c r="AA1541" s="59"/>
      <c r="AB1541" s="59"/>
      <c r="AC1541" s="59"/>
      <c r="AD1541" s="59"/>
      <c r="AE1541" s="59"/>
      <c r="AF1541" s="59"/>
      <c r="AG1541" s="59"/>
      <c r="AH1541" s="59"/>
      <c r="AI1541" s="59" t="str">
        <f>IF(SUM(Dati[[#This Row],[Inv. Business]:[Inv. Cryptocurrency]])=0," ",SUM(Dati[[#This Row],[Inv. Business]:[Inv. Cryptocurrency]]))</f>
        <v xml:space="preserve"> </v>
      </c>
      <c r="AJ1541" s="59"/>
      <c r="AK1541" s="59" t="str">
        <f>IF(SUM(Dati[[#This Row],[Inv. Gold]:[Mutuo]])=0," ",SUM(Dati[[#This Row],[Inv. Gold]:[Mutuo]]))</f>
        <v xml:space="preserve"> </v>
      </c>
      <c r="AL1541" s="59"/>
      <c r="AM1541" s="59"/>
    </row>
    <row r="1542" spans="2:39" x14ac:dyDescent="0.35">
      <c r="B1542" s="237">
        <f t="shared" si="111"/>
        <v>1522</v>
      </c>
      <c r="C1542" s="49">
        <f t="shared" si="110"/>
        <v>46100</v>
      </c>
      <c r="D1542" s="29">
        <f>DAY(Dati[[#This Row],[Data]])</f>
        <v>19</v>
      </c>
      <c r="E1542" s="29" t="str">
        <f>IF(DAY(Data!$C$21:$C$1613)&gt;0,TEXT(Data!$C$21:$C$1613, "mmmm"),"")</f>
        <v>marzo</v>
      </c>
      <c r="F1542" s="29" t="str">
        <f>IF(DAY(Data!$C$21:$C$1613)&gt;0,TEXT(Data!$C$21:$C$1613, "aaaa"),"")</f>
        <v>2026</v>
      </c>
      <c r="I1542" t="str">
        <f>IF(OR(H1542=$B$5,H1542=$B$6,H1542=$B$7,H1542=$B$8,H1542=$B$9,H1542=$B$10,H1542=$B$11,H1542=$B$12,H1542=$B$13,H1542=$B$14),SottocategorieUscite[[#Headers],[Fuori Casa]],IF(OR(H1542=$C$5,H1542=$C$6,H1542=$C$7,H1542=$C$8,H1542=$C$9,H1542=$C$10,H1542=$C$11,H1542=$C$12,H1542=$C$13,H1542=$C$14),SottocategorieUscite[[#Headers],[Varie Uscite]],IF(OR(H1542=$D$5,H1542=$D$6,H1542=$D$7,H1542=$D$8,H1542=$D$9,H1542=$D$10,H1542=$D$11,H1542=$D$12,H1542=$D$13,H1542=$D$14),SottocategorieUscite[[#Headers],[Personali]],IF(OR(H1542=$E$5,H1542=$E$6,H1542=$E$7,H1542=$E$8,H1542=$E$9,H1542=$E$10,H1542=$E$11,H1542=$E$12,H1542=$E$13,H1542=$E$14),SottocategorieUscite[[#Headers],[Lavoro]],IF(OR(H1542=$F$5,H1542=$F$6,H1542=$F$7,H1542=$F$8,H1542=$F$9,H1542=$F$10,H1542=$F$11,H1542=$F$12,H1542=$F$13,H1542=$F$14),SottocategorieUscite[[#Headers],[Casa]],IF(OR(H1542=$G$5,H1542=$G$6,H1542=$G$7,H1542=$G$8,H1542=$G$9,H1542=$G$10,H1542=$G$11,H1542=$G$12,H1542=$G$13,H1542=$G$14),SottocategorieUscite[[#Headers],[Utenze]],IF(OR(H1542=$H$5,H1542=$H$6,H1542=$H$7,H1542=$H$8,H1542=$H$9,H1542=$H$10,H1542=$H$11,H1542=$H$12,H1542=$H$13,H1542=$H$14),SottocategorieUscite[[#Headers],[Business Uscite]],IF(OR(H1542=$I$5,H1542=$I$6,H1542=$I$7,H1542=$I$8,H1542=$I$9,H1542=$I$10,H1542=$I$11,H1542=$I$12,H1542=$I$13,H1542=$I$14),SottocategorieUscite[[#Headers],[Banca]],IF(OR(H1542=K$5,H1542=K$6,H1542=K$7,H1542=K$8,H1542=K$9,H1542=K$10,H1542=K$11,H1542=K$12,H1542=K$13,H1542=K$14),SottocategorieEntrate[[#Headers],[Business Entrate]],IF(OR(H1542=L$5,H1542=L$6,H1542=L$7,H1542=L$8,H1542=L$9,H1542=L$10,H1542=L$11,H1542=L$12,H1542=L$13,H1542=L$14),SottocategorieEntrate[[#Headers],[Varie Entrate]],IF(OR(H1542=M$5,H1542=M$6,H1542=M$7,H1542=M$8,H1542=M$9,H1542=M$10,H1542=M$11,H1542=M$12,H1542=M$13,H1542=M$14),SottocategorieEntrate[[#Headers],[Real Estate]],IF(OR(H1542=N$5,H1542=N$6,H1542=N$7,H1542=N$8,H1542=N$9,H1542=N$10,H1542=N$11,H1542=N$12,H1542=N$13,H1542=N$14),SottocategorieEntrate[[#Headers],[Other]],""))))))))))))</f>
        <v/>
      </c>
      <c r="J1542" t="str">
        <f>IF(OR(Dati[[#This Row],[Categoria]]="Bollette",Dati[[#This Row],[Categoria]]="Conto &amp; Carte BNL",Dati[[#This Row],[Categoria]]="Prelievo",Dati[[#This Row],[Categoria]]="Affitto",Dati[[#This Row],[Categoria]]="BNL(Interessi Creditori)"),"Carta",IF(Dati[[#This Row],[Categoria]]&lt;&gt;0,"Cash",""))</f>
        <v/>
      </c>
      <c r="K1542" s="59" t="str">
        <f>IF(OR(Data!$I1542=SottocategorieUscite[[#Headers],[Fuori Casa]],Data!$I1542=SottocategorieUscite[[#Headers],[Varie Uscite]],Data!$I1542=SottocategorieUscite[[#Headers],[Personali]],Data!$I1542=SottocategorieUscite[[#Headers],[Lavoro]]),"$ -","")</f>
        <v/>
      </c>
      <c r="L1542" s="59" t="str">
        <f>IF(OR(Data!$I1542=SottocategorieUscite[[#Headers],[Casa]],Data!$I1542=SottocategorieUscite[[#Headers],[Utenze]],Data!$I1542=SottocategorieUscite[[#Headers],[Business Uscite]],Data!$I1542=SottocategorieUscite[[#Headers],[Banca]]),"$ -","")</f>
        <v/>
      </c>
      <c r="M1542" s="59" t="str">
        <f>IF(OR($I1542&lt;&gt;SottocategorieUscite[[#Headers],[Fuori Casa]],$I1542&lt;&gt;SottocategorieUscite[[#Headers],[Varie Uscite]],$I1542&lt;&gt;SottocategorieUscite[[#Headers],[Personali]],$I1542&lt;&gt;SottocategorieUscite[[#Headers],[Lavoro]],$I1542&lt;&gt;SottocategorieUscite[[#Headers],[Casa]],$I1542&lt;&gt;SottocategorieUscite[[#Headers],[Utenze]],$I1542&lt;&gt;SottocategorieUscite[[#Headers],[Business Uscite]],$I1542&lt;&gt;SottocategorieUscite[[#Headers],[Banca]]),"","$ -")</f>
        <v/>
      </c>
      <c r="N1542" s="59" t="str">
        <f>IF(OR(Data!$I1542=SottocategorieEntrate[[#Headers],[Business Entrate]],Data!$I1542=SottocategorieEntrate[[#Headers],[Varie Entrate]]),"$ -","")</f>
        <v/>
      </c>
      <c r="O1542" s="59" t="str">
        <f>IF(OR(Data!$I1542=SottocategorieEntrate[[#Headers],[Real Estate]],SottocategorieEntrate[[#Headers],[Other]]),"$ -","")</f>
        <v/>
      </c>
      <c r="P1542" s="59" t="str">
        <f>IF(OR($I1542&lt;&gt;SottocategorieEntrate[[#Headers],[Business Entrate]],$I1542&lt;&gt;SottocategorieEntrate[[#Headers],[Varie Entrate]],$I1542&lt;&gt;SottocategorieEntrate[[#Headers],[Real Estate]],$I1542&lt;&gt;SottocategorieEntrate[[#Headers],[Other]]),"","$ -")</f>
        <v/>
      </c>
      <c r="Q1542" s="59" t="str">
        <f>IF(Dati[[#This Row],[Categoria]]="Prelievo","€ -","")</f>
        <v/>
      </c>
      <c r="R1542" s="244"/>
      <c r="S1542" s="59" t="str">
        <f>IF(Dati[[#This Row],[Categoria]]="Savings",0,"")</f>
        <v/>
      </c>
      <c r="T1542" s="59"/>
      <c r="U1542" s="59"/>
      <c r="V1542" s="59"/>
      <c r="W1542" s="59"/>
      <c r="X1542" s="59"/>
      <c r="Y1542" s="59"/>
      <c r="Z1542" s="59"/>
      <c r="AA1542" s="59"/>
      <c r="AB1542" s="59"/>
      <c r="AC1542" s="59"/>
      <c r="AD1542" s="59"/>
      <c r="AE1542" s="59"/>
      <c r="AF1542" s="59"/>
      <c r="AG1542" s="59"/>
      <c r="AH1542" s="59"/>
      <c r="AI1542" s="59" t="str">
        <f>IF(SUM(Dati[[#This Row],[Inv. Business]:[Inv. Cryptocurrency]])=0," ",SUM(Dati[[#This Row],[Inv. Business]:[Inv. Cryptocurrency]]))</f>
        <v xml:space="preserve"> </v>
      </c>
      <c r="AJ1542" s="59"/>
      <c r="AK1542" s="59" t="str">
        <f>IF(SUM(Dati[[#This Row],[Inv. Gold]:[Mutuo]])=0," ",SUM(Dati[[#This Row],[Inv. Gold]:[Mutuo]]))</f>
        <v xml:space="preserve"> </v>
      </c>
      <c r="AL1542" s="59"/>
      <c r="AM1542" s="59"/>
    </row>
    <row r="1543" spans="2:39" x14ac:dyDescent="0.35">
      <c r="B1543" s="237">
        <f t="shared" si="111"/>
        <v>1523</v>
      </c>
      <c r="C1543" s="49">
        <f t="shared" si="110"/>
        <v>46101</v>
      </c>
      <c r="D1543" s="29">
        <f>DAY(Dati[[#This Row],[Data]])</f>
        <v>20</v>
      </c>
      <c r="E1543" s="29" t="str">
        <f>IF(DAY(Data!$C$21:$C$1613)&gt;0,TEXT(Data!$C$21:$C$1613, "mmmm"),"")</f>
        <v>marzo</v>
      </c>
      <c r="F1543" s="29" t="str">
        <f>IF(DAY(Data!$C$21:$C$1613)&gt;0,TEXT(Data!$C$21:$C$1613, "aaaa"),"")</f>
        <v>2026</v>
      </c>
      <c r="I1543" t="str">
        <f>IF(OR(H1543=$B$5,H1543=$B$6,H1543=$B$7,H1543=$B$8,H1543=$B$9,H1543=$B$10,H1543=$B$11,H1543=$B$12,H1543=$B$13,H1543=$B$14),SottocategorieUscite[[#Headers],[Fuori Casa]],IF(OR(H1543=$C$5,H1543=$C$6,H1543=$C$7,H1543=$C$8,H1543=$C$9,H1543=$C$10,H1543=$C$11,H1543=$C$12,H1543=$C$13,H1543=$C$14),SottocategorieUscite[[#Headers],[Varie Uscite]],IF(OR(H1543=$D$5,H1543=$D$6,H1543=$D$7,H1543=$D$8,H1543=$D$9,H1543=$D$10,H1543=$D$11,H1543=$D$12,H1543=$D$13,H1543=$D$14),SottocategorieUscite[[#Headers],[Personali]],IF(OR(H1543=$E$5,H1543=$E$6,H1543=$E$7,H1543=$E$8,H1543=$E$9,H1543=$E$10,H1543=$E$11,H1543=$E$12,H1543=$E$13,H1543=$E$14),SottocategorieUscite[[#Headers],[Lavoro]],IF(OR(H1543=$F$5,H1543=$F$6,H1543=$F$7,H1543=$F$8,H1543=$F$9,H1543=$F$10,H1543=$F$11,H1543=$F$12,H1543=$F$13,H1543=$F$14),SottocategorieUscite[[#Headers],[Casa]],IF(OR(H1543=$G$5,H1543=$G$6,H1543=$G$7,H1543=$G$8,H1543=$G$9,H1543=$G$10,H1543=$G$11,H1543=$G$12,H1543=$G$13,H1543=$G$14),SottocategorieUscite[[#Headers],[Utenze]],IF(OR(H1543=$H$5,H1543=$H$6,H1543=$H$7,H1543=$H$8,H1543=$H$9,H1543=$H$10,H1543=$H$11,H1543=$H$12,H1543=$H$13,H1543=$H$14),SottocategorieUscite[[#Headers],[Business Uscite]],IF(OR(H1543=$I$5,H1543=$I$6,H1543=$I$7,H1543=$I$8,H1543=$I$9,H1543=$I$10,H1543=$I$11,H1543=$I$12,H1543=$I$13,H1543=$I$14),SottocategorieUscite[[#Headers],[Banca]],IF(OR(H1543=K$5,H1543=K$6,H1543=K$7,H1543=K$8,H1543=K$9,H1543=K$10,H1543=K$11,H1543=K$12,H1543=K$13,H1543=K$14),SottocategorieEntrate[[#Headers],[Business Entrate]],IF(OR(H1543=L$5,H1543=L$6,H1543=L$7,H1543=L$8,H1543=L$9,H1543=L$10,H1543=L$11,H1543=L$12,H1543=L$13,H1543=L$14),SottocategorieEntrate[[#Headers],[Varie Entrate]],IF(OR(H1543=M$5,H1543=M$6,H1543=M$7,H1543=M$8,H1543=M$9,H1543=M$10,H1543=M$11,H1543=M$12,H1543=M$13,H1543=M$14),SottocategorieEntrate[[#Headers],[Real Estate]],IF(OR(H1543=N$5,H1543=N$6,H1543=N$7,H1543=N$8,H1543=N$9,H1543=N$10,H1543=N$11,H1543=N$12,H1543=N$13,H1543=N$14),SottocategorieEntrate[[#Headers],[Other]],""))))))))))))</f>
        <v/>
      </c>
      <c r="J1543" t="str">
        <f>IF(OR(Dati[[#This Row],[Categoria]]="Bollette",Dati[[#This Row],[Categoria]]="Conto &amp; Carte BNL",Dati[[#This Row],[Categoria]]="Prelievo",Dati[[#This Row],[Categoria]]="Affitto",Dati[[#This Row],[Categoria]]="BNL(Interessi Creditori)"),"Carta",IF(Dati[[#This Row],[Categoria]]&lt;&gt;0,"Cash",""))</f>
        <v/>
      </c>
      <c r="K1543" s="59" t="str">
        <f>IF(OR(Data!$I1543=SottocategorieUscite[[#Headers],[Fuori Casa]],Data!$I1543=SottocategorieUscite[[#Headers],[Varie Uscite]],Data!$I1543=SottocategorieUscite[[#Headers],[Personali]],Data!$I1543=SottocategorieUscite[[#Headers],[Lavoro]]),"$ -","")</f>
        <v/>
      </c>
      <c r="L1543" s="59" t="str">
        <f>IF(OR(Data!$I1543=SottocategorieUscite[[#Headers],[Casa]],Data!$I1543=SottocategorieUscite[[#Headers],[Utenze]],Data!$I1543=SottocategorieUscite[[#Headers],[Business Uscite]],Data!$I1543=SottocategorieUscite[[#Headers],[Banca]]),"$ -","")</f>
        <v/>
      </c>
      <c r="M1543" s="59" t="str">
        <f>IF(OR($I1543&lt;&gt;SottocategorieUscite[[#Headers],[Fuori Casa]],$I1543&lt;&gt;SottocategorieUscite[[#Headers],[Varie Uscite]],$I1543&lt;&gt;SottocategorieUscite[[#Headers],[Personali]],$I1543&lt;&gt;SottocategorieUscite[[#Headers],[Lavoro]],$I1543&lt;&gt;SottocategorieUscite[[#Headers],[Casa]],$I1543&lt;&gt;SottocategorieUscite[[#Headers],[Utenze]],$I1543&lt;&gt;SottocategorieUscite[[#Headers],[Business Uscite]],$I1543&lt;&gt;SottocategorieUscite[[#Headers],[Banca]]),"","$ -")</f>
        <v/>
      </c>
      <c r="N1543" s="59" t="str">
        <f>IF(OR(Data!$I1543=SottocategorieEntrate[[#Headers],[Business Entrate]],Data!$I1543=SottocategorieEntrate[[#Headers],[Varie Entrate]]),"$ -","")</f>
        <v/>
      </c>
      <c r="O1543" s="59" t="str">
        <f>IF(OR(Data!$I1543=SottocategorieEntrate[[#Headers],[Real Estate]],SottocategorieEntrate[[#Headers],[Other]]),"$ -","")</f>
        <v/>
      </c>
      <c r="P1543" s="59" t="str">
        <f>IF(OR($I1543&lt;&gt;SottocategorieEntrate[[#Headers],[Business Entrate]],$I1543&lt;&gt;SottocategorieEntrate[[#Headers],[Varie Entrate]],$I1543&lt;&gt;SottocategorieEntrate[[#Headers],[Real Estate]],$I1543&lt;&gt;SottocategorieEntrate[[#Headers],[Other]]),"","$ -")</f>
        <v/>
      </c>
      <c r="Q1543" s="59" t="str">
        <f>IF(Dati[[#This Row],[Categoria]]="Prelievo","€ -","")</f>
        <v/>
      </c>
      <c r="R1543" s="244"/>
      <c r="S1543" s="59" t="str">
        <f>IF(Dati[[#This Row],[Categoria]]="Savings",0,"")</f>
        <v/>
      </c>
      <c r="T1543" s="59"/>
      <c r="U1543" s="59"/>
      <c r="V1543" s="59"/>
      <c r="W1543" s="59"/>
      <c r="X1543" s="59"/>
      <c r="Y1543" s="59"/>
      <c r="Z1543" s="59"/>
      <c r="AA1543" s="59"/>
      <c r="AB1543" s="59"/>
      <c r="AC1543" s="59"/>
      <c r="AD1543" s="59"/>
      <c r="AE1543" s="59"/>
      <c r="AF1543" s="59"/>
      <c r="AG1543" s="59"/>
      <c r="AH1543" s="59"/>
      <c r="AI1543" s="59" t="str">
        <f>IF(SUM(Dati[[#This Row],[Inv. Business]:[Inv. Cryptocurrency]])=0," ",SUM(Dati[[#This Row],[Inv. Business]:[Inv. Cryptocurrency]]))</f>
        <v xml:space="preserve"> </v>
      </c>
      <c r="AJ1543" s="59"/>
      <c r="AK1543" s="59" t="str">
        <f>IF(SUM(Dati[[#This Row],[Inv. Gold]:[Mutuo]])=0," ",SUM(Dati[[#This Row],[Inv. Gold]:[Mutuo]]))</f>
        <v xml:space="preserve"> </v>
      </c>
      <c r="AL1543" s="59"/>
      <c r="AM1543" s="59"/>
    </row>
    <row r="1544" spans="2:39" x14ac:dyDescent="0.35">
      <c r="B1544" s="237">
        <f t="shared" si="111"/>
        <v>1524</v>
      </c>
      <c r="C1544" s="49">
        <f t="shared" si="110"/>
        <v>46102</v>
      </c>
      <c r="D1544" s="29">
        <f>DAY(Dati[[#This Row],[Data]])</f>
        <v>21</v>
      </c>
      <c r="E1544" s="29" t="str">
        <f>IF(DAY(Data!$C$21:$C$1613)&gt;0,TEXT(Data!$C$21:$C$1613, "mmmm"),"")</f>
        <v>marzo</v>
      </c>
      <c r="F1544" s="29" t="str">
        <f>IF(DAY(Data!$C$21:$C$1613)&gt;0,TEXT(Data!$C$21:$C$1613, "aaaa"),"")</f>
        <v>2026</v>
      </c>
      <c r="I1544" t="str">
        <f>IF(OR(H1544=$B$5,H1544=$B$6,H1544=$B$7,H1544=$B$8,H1544=$B$9,H1544=$B$10,H1544=$B$11,H1544=$B$12,H1544=$B$13,H1544=$B$14),SottocategorieUscite[[#Headers],[Fuori Casa]],IF(OR(H1544=$C$5,H1544=$C$6,H1544=$C$7,H1544=$C$8,H1544=$C$9,H1544=$C$10,H1544=$C$11,H1544=$C$12,H1544=$C$13,H1544=$C$14),SottocategorieUscite[[#Headers],[Varie Uscite]],IF(OR(H1544=$D$5,H1544=$D$6,H1544=$D$7,H1544=$D$8,H1544=$D$9,H1544=$D$10,H1544=$D$11,H1544=$D$12,H1544=$D$13,H1544=$D$14),SottocategorieUscite[[#Headers],[Personali]],IF(OR(H1544=$E$5,H1544=$E$6,H1544=$E$7,H1544=$E$8,H1544=$E$9,H1544=$E$10,H1544=$E$11,H1544=$E$12,H1544=$E$13,H1544=$E$14),SottocategorieUscite[[#Headers],[Lavoro]],IF(OR(H1544=$F$5,H1544=$F$6,H1544=$F$7,H1544=$F$8,H1544=$F$9,H1544=$F$10,H1544=$F$11,H1544=$F$12,H1544=$F$13,H1544=$F$14),SottocategorieUscite[[#Headers],[Casa]],IF(OR(H1544=$G$5,H1544=$G$6,H1544=$G$7,H1544=$G$8,H1544=$G$9,H1544=$G$10,H1544=$G$11,H1544=$G$12,H1544=$G$13,H1544=$G$14),SottocategorieUscite[[#Headers],[Utenze]],IF(OR(H1544=$H$5,H1544=$H$6,H1544=$H$7,H1544=$H$8,H1544=$H$9,H1544=$H$10,H1544=$H$11,H1544=$H$12,H1544=$H$13,H1544=$H$14),SottocategorieUscite[[#Headers],[Business Uscite]],IF(OR(H1544=$I$5,H1544=$I$6,H1544=$I$7,H1544=$I$8,H1544=$I$9,H1544=$I$10,H1544=$I$11,H1544=$I$12,H1544=$I$13,H1544=$I$14),SottocategorieUscite[[#Headers],[Banca]],IF(OR(H1544=K$5,H1544=K$6,H1544=K$7,H1544=K$8,H1544=K$9,H1544=K$10,H1544=K$11,H1544=K$12,H1544=K$13,H1544=K$14),SottocategorieEntrate[[#Headers],[Business Entrate]],IF(OR(H1544=L$5,H1544=L$6,H1544=L$7,H1544=L$8,H1544=L$9,H1544=L$10,H1544=L$11,H1544=L$12,H1544=L$13,H1544=L$14),SottocategorieEntrate[[#Headers],[Varie Entrate]],IF(OR(H1544=M$5,H1544=M$6,H1544=M$7,H1544=M$8,H1544=M$9,H1544=M$10,H1544=M$11,H1544=M$12,H1544=M$13,H1544=M$14),SottocategorieEntrate[[#Headers],[Real Estate]],IF(OR(H1544=N$5,H1544=N$6,H1544=N$7,H1544=N$8,H1544=N$9,H1544=N$10,H1544=N$11,H1544=N$12,H1544=N$13,H1544=N$14),SottocategorieEntrate[[#Headers],[Other]],""))))))))))))</f>
        <v/>
      </c>
      <c r="J1544" t="str">
        <f>IF(OR(Dati[[#This Row],[Categoria]]="Bollette",Dati[[#This Row],[Categoria]]="Conto &amp; Carte BNL",Dati[[#This Row],[Categoria]]="Prelievo",Dati[[#This Row],[Categoria]]="Affitto",Dati[[#This Row],[Categoria]]="BNL(Interessi Creditori)"),"Carta",IF(Dati[[#This Row],[Categoria]]&lt;&gt;0,"Cash",""))</f>
        <v/>
      </c>
      <c r="K1544" s="59" t="str">
        <f>IF(OR(Data!$I1544=SottocategorieUscite[[#Headers],[Fuori Casa]],Data!$I1544=SottocategorieUscite[[#Headers],[Varie Uscite]],Data!$I1544=SottocategorieUscite[[#Headers],[Personali]],Data!$I1544=SottocategorieUscite[[#Headers],[Lavoro]]),"$ -","")</f>
        <v/>
      </c>
      <c r="L1544" s="59" t="str">
        <f>IF(OR(Data!$I1544=SottocategorieUscite[[#Headers],[Casa]],Data!$I1544=SottocategorieUscite[[#Headers],[Utenze]],Data!$I1544=SottocategorieUscite[[#Headers],[Business Uscite]],Data!$I1544=SottocategorieUscite[[#Headers],[Banca]]),"$ -","")</f>
        <v/>
      </c>
      <c r="M1544" s="59" t="str">
        <f>IF(OR($I1544&lt;&gt;SottocategorieUscite[[#Headers],[Fuori Casa]],$I1544&lt;&gt;SottocategorieUscite[[#Headers],[Varie Uscite]],$I1544&lt;&gt;SottocategorieUscite[[#Headers],[Personali]],$I1544&lt;&gt;SottocategorieUscite[[#Headers],[Lavoro]],$I1544&lt;&gt;SottocategorieUscite[[#Headers],[Casa]],$I1544&lt;&gt;SottocategorieUscite[[#Headers],[Utenze]],$I1544&lt;&gt;SottocategorieUscite[[#Headers],[Business Uscite]],$I1544&lt;&gt;SottocategorieUscite[[#Headers],[Banca]]),"","$ -")</f>
        <v/>
      </c>
      <c r="N1544" s="59" t="str">
        <f>IF(OR(Data!$I1544=SottocategorieEntrate[[#Headers],[Business Entrate]],Data!$I1544=SottocategorieEntrate[[#Headers],[Varie Entrate]]),"$ -","")</f>
        <v/>
      </c>
      <c r="O1544" s="59" t="str">
        <f>IF(OR(Data!$I1544=SottocategorieEntrate[[#Headers],[Real Estate]],SottocategorieEntrate[[#Headers],[Other]]),"$ -","")</f>
        <v/>
      </c>
      <c r="P1544" s="59" t="str">
        <f>IF(OR($I1544&lt;&gt;SottocategorieEntrate[[#Headers],[Business Entrate]],$I1544&lt;&gt;SottocategorieEntrate[[#Headers],[Varie Entrate]],$I1544&lt;&gt;SottocategorieEntrate[[#Headers],[Real Estate]],$I1544&lt;&gt;SottocategorieEntrate[[#Headers],[Other]]),"","$ -")</f>
        <v/>
      </c>
      <c r="Q1544" s="59" t="str">
        <f>IF(Dati[[#This Row],[Categoria]]="Prelievo","€ -","")</f>
        <v/>
      </c>
      <c r="R1544" s="244"/>
      <c r="S1544" s="59" t="str">
        <f>IF(Dati[[#This Row],[Categoria]]="Savings",0,"")</f>
        <v/>
      </c>
      <c r="T1544" s="59"/>
      <c r="U1544" s="59"/>
      <c r="V1544" s="59"/>
      <c r="W1544" s="59"/>
      <c r="X1544" s="59"/>
      <c r="Y1544" s="59"/>
      <c r="Z1544" s="59"/>
      <c r="AA1544" s="59"/>
      <c r="AB1544" s="59"/>
      <c r="AC1544" s="59"/>
      <c r="AD1544" s="59"/>
      <c r="AE1544" s="59"/>
      <c r="AF1544" s="59"/>
      <c r="AG1544" s="59"/>
      <c r="AH1544" s="59"/>
      <c r="AI1544" s="59" t="str">
        <f>IF(SUM(Dati[[#This Row],[Inv. Business]:[Inv. Cryptocurrency]])=0," ",SUM(Dati[[#This Row],[Inv. Business]:[Inv. Cryptocurrency]]))</f>
        <v xml:space="preserve"> </v>
      </c>
      <c r="AJ1544" s="59"/>
      <c r="AK1544" s="59" t="str">
        <f>IF(SUM(Dati[[#This Row],[Inv. Gold]:[Mutuo]])=0," ",SUM(Dati[[#This Row],[Inv. Gold]:[Mutuo]]))</f>
        <v xml:space="preserve"> </v>
      </c>
      <c r="AL1544" s="59"/>
      <c r="AM1544" s="59"/>
    </row>
    <row r="1545" spans="2:39" x14ac:dyDescent="0.35">
      <c r="B1545" s="237">
        <f t="shared" si="111"/>
        <v>1525</v>
      </c>
      <c r="C1545" s="49">
        <f t="shared" si="110"/>
        <v>46103</v>
      </c>
      <c r="D1545" s="29">
        <f>DAY(Dati[[#This Row],[Data]])</f>
        <v>22</v>
      </c>
      <c r="E1545" s="29" t="str">
        <f>IF(DAY(Data!$C$21:$C$1613)&gt;0,TEXT(Data!$C$21:$C$1613, "mmmm"),"")</f>
        <v>marzo</v>
      </c>
      <c r="F1545" s="29" t="str">
        <f>IF(DAY(Data!$C$21:$C$1613)&gt;0,TEXT(Data!$C$21:$C$1613, "aaaa"),"")</f>
        <v>2026</v>
      </c>
      <c r="I1545" t="str">
        <f>IF(OR(H1545=$B$5,H1545=$B$6,H1545=$B$7,H1545=$B$8,H1545=$B$9,H1545=$B$10,H1545=$B$11,H1545=$B$12,H1545=$B$13,H1545=$B$14),SottocategorieUscite[[#Headers],[Fuori Casa]],IF(OR(H1545=$C$5,H1545=$C$6,H1545=$C$7,H1545=$C$8,H1545=$C$9,H1545=$C$10,H1545=$C$11,H1545=$C$12,H1545=$C$13,H1545=$C$14),SottocategorieUscite[[#Headers],[Varie Uscite]],IF(OR(H1545=$D$5,H1545=$D$6,H1545=$D$7,H1545=$D$8,H1545=$D$9,H1545=$D$10,H1545=$D$11,H1545=$D$12,H1545=$D$13,H1545=$D$14),SottocategorieUscite[[#Headers],[Personali]],IF(OR(H1545=$E$5,H1545=$E$6,H1545=$E$7,H1545=$E$8,H1545=$E$9,H1545=$E$10,H1545=$E$11,H1545=$E$12,H1545=$E$13,H1545=$E$14),SottocategorieUscite[[#Headers],[Lavoro]],IF(OR(H1545=$F$5,H1545=$F$6,H1545=$F$7,H1545=$F$8,H1545=$F$9,H1545=$F$10,H1545=$F$11,H1545=$F$12,H1545=$F$13,H1545=$F$14),SottocategorieUscite[[#Headers],[Casa]],IF(OR(H1545=$G$5,H1545=$G$6,H1545=$G$7,H1545=$G$8,H1545=$G$9,H1545=$G$10,H1545=$G$11,H1545=$G$12,H1545=$G$13,H1545=$G$14),SottocategorieUscite[[#Headers],[Utenze]],IF(OR(H1545=$H$5,H1545=$H$6,H1545=$H$7,H1545=$H$8,H1545=$H$9,H1545=$H$10,H1545=$H$11,H1545=$H$12,H1545=$H$13,H1545=$H$14),SottocategorieUscite[[#Headers],[Business Uscite]],IF(OR(H1545=$I$5,H1545=$I$6,H1545=$I$7,H1545=$I$8,H1545=$I$9,H1545=$I$10,H1545=$I$11,H1545=$I$12,H1545=$I$13,H1545=$I$14),SottocategorieUscite[[#Headers],[Banca]],IF(OR(H1545=K$5,H1545=K$6,H1545=K$7,H1545=K$8,H1545=K$9,H1545=K$10,H1545=K$11,H1545=K$12,H1545=K$13,H1545=K$14),SottocategorieEntrate[[#Headers],[Business Entrate]],IF(OR(H1545=L$5,H1545=L$6,H1545=L$7,H1545=L$8,H1545=L$9,H1545=L$10,H1545=L$11,H1545=L$12,H1545=L$13,H1545=L$14),SottocategorieEntrate[[#Headers],[Varie Entrate]],IF(OR(H1545=M$5,H1545=M$6,H1545=M$7,H1545=M$8,H1545=M$9,H1545=M$10,H1545=M$11,H1545=M$12,H1545=M$13,H1545=M$14),SottocategorieEntrate[[#Headers],[Real Estate]],IF(OR(H1545=N$5,H1545=N$6,H1545=N$7,H1545=N$8,H1545=N$9,H1545=N$10,H1545=N$11,H1545=N$12,H1545=N$13,H1545=N$14),SottocategorieEntrate[[#Headers],[Other]],""))))))))))))</f>
        <v/>
      </c>
      <c r="J1545" t="str">
        <f>IF(OR(Dati[[#This Row],[Categoria]]="Bollette",Dati[[#This Row],[Categoria]]="Conto &amp; Carte BNL",Dati[[#This Row],[Categoria]]="Prelievo",Dati[[#This Row],[Categoria]]="Affitto",Dati[[#This Row],[Categoria]]="BNL(Interessi Creditori)"),"Carta",IF(Dati[[#This Row],[Categoria]]&lt;&gt;0,"Cash",""))</f>
        <v/>
      </c>
      <c r="K1545" s="59" t="str">
        <f>IF(OR(Data!$I1545=SottocategorieUscite[[#Headers],[Fuori Casa]],Data!$I1545=SottocategorieUscite[[#Headers],[Varie Uscite]],Data!$I1545=SottocategorieUscite[[#Headers],[Personali]],Data!$I1545=SottocategorieUscite[[#Headers],[Lavoro]]),"$ -","")</f>
        <v/>
      </c>
      <c r="L1545" s="59" t="str">
        <f>IF(OR(Data!$I1545=SottocategorieUscite[[#Headers],[Casa]],Data!$I1545=SottocategorieUscite[[#Headers],[Utenze]],Data!$I1545=SottocategorieUscite[[#Headers],[Business Uscite]],Data!$I1545=SottocategorieUscite[[#Headers],[Banca]]),"$ -","")</f>
        <v/>
      </c>
      <c r="M1545" s="59" t="str">
        <f>IF(OR($I1545&lt;&gt;SottocategorieUscite[[#Headers],[Fuori Casa]],$I1545&lt;&gt;SottocategorieUscite[[#Headers],[Varie Uscite]],$I1545&lt;&gt;SottocategorieUscite[[#Headers],[Personali]],$I1545&lt;&gt;SottocategorieUscite[[#Headers],[Lavoro]],$I1545&lt;&gt;SottocategorieUscite[[#Headers],[Casa]],$I1545&lt;&gt;SottocategorieUscite[[#Headers],[Utenze]],$I1545&lt;&gt;SottocategorieUscite[[#Headers],[Business Uscite]],$I1545&lt;&gt;SottocategorieUscite[[#Headers],[Banca]]),"","$ -")</f>
        <v/>
      </c>
      <c r="N1545" s="59" t="str">
        <f>IF(OR(Data!$I1545=SottocategorieEntrate[[#Headers],[Business Entrate]],Data!$I1545=SottocategorieEntrate[[#Headers],[Varie Entrate]]),"$ -","")</f>
        <v/>
      </c>
      <c r="O1545" s="59" t="str">
        <f>IF(OR(Data!$I1545=SottocategorieEntrate[[#Headers],[Real Estate]],SottocategorieEntrate[[#Headers],[Other]]),"$ -","")</f>
        <v/>
      </c>
      <c r="P1545" s="59" t="str">
        <f>IF(OR($I1545&lt;&gt;SottocategorieEntrate[[#Headers],[Business Entrate]],$I1545&lt;&gt;SottocategorieEntrate[[#Headers],[Varie Entrate]],$I1545&lt;&gt;SottocategorieEntrate[[#Headers],[Real Estate]],$I1545&lt;&gt;SottocategorieEntrate[[#Headers],[Other]]),"","$ -")</f>
        <v/>
      </c>
      <c r="Q1545" s="59" t="str">
        <f>IF(Dati[[#This Row],[Categoria]]="Prelievo","€ -","")</f>
        <v/>
      </c>
      <c r="R1545" s="244"/>
      <c r="S1545" s="59" t="str">
        <f>IF(Dati[[#This Row],[Categoria]]="Savings",0,"")</f>
        <v/>
      </c>
      <c r="T1545" s="59"/>
      <c r="U1545" s="59"/>
      <c r="V1545" s="59"/>
      <c r="W1545" s="59"/>
      <c r="X1545" s="59"/>
      <c r="Y1545" s="59"/>
      <c r="Z1545" s="59"/>
      <c r="AA1545" s="59"/>
      <c r="AB1545" s="59"/>
      <c r="AC1545" s="59"/>
      <c r="AD1545" s="59"/>
      <c r="AE1545" s="59"/>
      <c r="AF1545" s="59"/>
      <c r="AG1545" s="59"/>
      <c r="AH1545" s="59"/>
      <c r="AI1545" s="59" t="str">
        <f>IF(SUM(Dati[[#This Row],[Inv. Business]:[Inv. Cryptocurrency]])=0," ",SUM(Dati[[#This Row],[Inv. Business]:[Inv. Cryptocurrency]]))</f>
        <v xml:space="preserve"> </v>
      </c>
      <c r="AJ1545" s="59"/>
      <c r="AK1545" s="59" t="str">
        <f>IF(SUM(Dati[[#This Row],[Inv. Gold]:[Mutuo]])=0," ",SUM(Dati[[#This Row],[Inv. Gold]:[Mutuo]]))</f>
        <v xml:space="preserve"> </v>
      </c>
      <c r="AL1545" s="59"/>
      <c r="AM1545" s="59"/>
    </row>
    <row r="1546" spans="2:39" x14ac:dyDescent="0.35">
      <c r="B1546" s="237">
        <f t="shared" si="111"/>
        <v>1526</v>
      </c>
      <c r="C1546" s="49">
        <f t="shared" si="110"/>
        <v>46104</v>
      </c>
      <c r="D1546" s="29">
        <f>DAY(Dati[[#This Row],[Data]])</f>
        <v>23</v>
      </c>
      <c r="E1546" s="29" t="str">
        <f>IF(DAY(Data!$C$21:$C$1613)&gt;0,TEXT(Data!$C$21:$C$1613, "mmmm"),"")</f>
        <v>marzo</v>
      </c>
      <c r="F1546" s="29" t="str">
        <f>IF(DAY(Data!$C$21:$C$1613)&gt;0,TEXT(Data!$C$21:$C$1613, "aaaa"),"")</f>
        <v>2026</v>
      </c>
      <c r="I1546" t="str">
        <f>IF(OR(H1546=$B$5,H1546=$B$6,H1546=$B$7,H1546=$B$8,H1546=$B$9,H1546=$B$10,H1546=$B$11,H1546=$B$12,H1546=$B$13,H1546=$B$14),SottocategorieUscite[[#Headers],[Fuori Casa]],IF(OR(H1546=$C$5,H1546=$C$6,H1546=$C$7,H1546=$C$8,H1546=$C$9,H1546=$C$10,H1546=$C$11,H1546=$C$12,H1546=$C$13,H1546=$C$14),SottocategorieUscite[[#Headers],[Varie Uscite]],IF(OR(H1546=$D$5,H1546=$D$6,H1546=$D$7,H1546=$D$8,H1546=$D$9,H1546=$D$10,H1546=$D$11,H1546=$D$12,H1546=$D$13,H1546=$D$14),SottocategorieUscite[[#Headers],[Personali]],IF(OR(H1546=$E$5,H1546=$E$6,H1546=$E$7,H1546=$E$8,H1546=$E$9,H1546=$E$10,H1546=$E$11,H1546=$E$12,H1546=$E$13,H1546=$E$14),SottocategorieUscite[[#Headers],[Lavoro]],IF(OR(H1546=$F$5,H1546=$F$6,H1546=$F$7,H1546=$F$8,H1546=$F$9,H1546=$F$10,H1546=$F$11,H1546=$F$12,H1546=$F$13,H1546=$F$14),SottocategorieUscite[[#Headers],[Casa]],IF(OR(H1546=$G$5,H1546=$G$6,H1546=$G$7,H1546=$G$8,H1546=$G$9,H1546=$G$10,H1546=$G$11,H1546=$G$12,H1546=$G$13,H1546=$G$14),SottocategorieUscite[[#Headers],[Utenze]],IF(OR(H1546=$H$5,H1546=$H$6,H1546=$H$7,H1546=$H$8,H1546=$H$9,H1546=$H$10,H1546=$H$11,H1546=$H$12,H1546=$H$13,H1546=$H$14),SottocategorieUscite[[#Headers],[Business Uscite]],IF(OR(H1546=$I$5,H1546=$I$6,H1546=$I$7,H1546=$I$8,H1546=$I$9,H1546=$I$10,H1546=$I$11,H1546=$I$12,H1546=$I$13,H1546=$I$14),SottocategorieUscite[[#Headers],[Banca]],IF(OR(H1546=K$5,H1546=K$6,H1546=K$7,H1546=K$8,H1546=K$9,H1546=K$10,H1546=K$11,H1546=K$12,H1546=K$13,H1546=K$14),SottocategorieEntrate[[#Headers],[Business Entrate]],IF(OR(H1546=L$5,H1546=L$6,H1546=L$7,H1546=L$8,H1546=L$9,H1546=L$10,H1546=L$11,H1546=L$12,H1546=L$13,H1546=L$14),SottocategorieEntrate[[#Headers],[Varie Entrate]],IF(OR(H1546=M$5,H1546=M$6,H1546=M$7,H1546=M$8,H1546=M$9,H1546=M$10,H1546=M$11,H1546=M$12,H1546=M$13,H1546=M$14),SottocategorieEntrate[[#Headers],[Real Estate]],IF(OR(H1546=N$5,H1546=N$6,H1546=N$7,H1546=N$8,H1546=N$9,H1546=N$10,H1546=N$11,H1546=N$12,H1546=N$13,H1546=N$14),SottocategorieEntrate[[#Headers],[Other]],""))))))))))))</f>
        <v/>
      </c>
      <c r="J1546" t="str">
        <f>IF(OR(Dati[[#This Row],[Categoria]]="Bollette",Dati[[#This Row],[Categoria]]="Conto &amp; Carte BNL",Dati[[#This Row],[Categoria]]="Prelievo",Dati[[#This Row],[Categoria]]="Affitto",Dati[[#This Row],[Categoria]]="BNL(Interessi Creditori)"),"Carta",IF(Dati[[#This Row],[Categoria]]&lt;&gt;0,"Cash",""))</f>
        <v/>
      </c>
      <c r="K1546" s="59" t="str">
        <f>IF(OR(Data!$I1546=SottocategorieUscite[[#Headers],[Fuori Casa]],Data!$I1546=SottocategorieUscite[[#Headers],[Varie Uscite]],Data!$I1546=SottocategorieUscite[[#Headers],[Personali]],Data!$I1546=SottocategorieUscite[[#Headers],[Lavoro]]),"$ -","")</f>
        <v/>
      </c>
      <c r="L1546" s="59" t="str">
        <f>IF(OR(Data!$I1546=SottocategorieUscite[[#Headers],[Casa]],Data!$I1546=SottocategorieUscite[[#Headers],[Utenze]],Data!$I1546=SottocategorieUscite[[#Headers],[Business Uscite]],Data!$I1546=SottocategorieUscite[[#Headers],[Banca]]),"$ -","")</f>
        <v/>
      </c>
      <c r="M1546" s="59" t="str">
        <f>IF(OR($I1546&lt;&gt;SottocategorieUscite[[#Headers],[Fuori Casa]],$I1546&lt;&gt;SottocategorieUscite[[#Headers],[Varie Uscite]],$I1546&lt;&gt;SottocategorieUscite[[#Headers],[Personali]],$I1546&lt;&gt;SottocategorieUscite[[#Headers],[Lavoro]],$I1546&lt;&gt;SottocategorieUscite[[#Headers],[Casa]],$I1546&lt;&gt;SottocategorieUscite[[#Headers],[Utenze]],$I1546&lt;&gt;SottocategorieUscite[[#Headers],[Business Uscite]],$I1546&lt;&gt;SottocategorieUscite[[#Headers],[Banca]]),"","$ -")</f>
        <v/>
      </c>
      <c r="N1546" s="59" t="str">
        <f>IF(OR(Data!$I1546=SottocategorieEntrate[[#Headers],[Business Entrate]],Data!$I1546=SottocategorieEntrate[[#Headers],[Varie Entrate]]),"$ -","")</f>
        <v/>
      </c>
      <c r="O1546" s="59" t="str">
        <f>IF(OR(Data!$I1546=SottocategorieEntrate[[#Headers],[Real Estate]],SottocategorieEntrate[[#Headers],[Other]]),"$ -","")</f>
        <v/>
      </c>
      <c r="P1546" s="59" t="str">
        <f>IF(OR($I1546&lt;&gt;SottocategorieEntrate[[#Headers],[Business Entrate]],$I1546&lt;&gt;SottocategorieEntrate[[#Headers],[Varie Entrate]],$I1546&lt;&gt;SottocategorieEntrate[[#Headers],[Real Estate]],$I1546&lt;&gt;SottocategorieEntrate[[#Headers],[Other]]),"","$ -")</f>
        <v/>
      </c>
      <c r="Q1546" s="59" t="str">
        <f>IF(Dati[[#This Row],[Categoria]]="Prelievo","€ -","")</f>
        <v/>
      </c>
      <c r="R1546" s="244"/>
      <c r="S1546" s="59" t="str">
        <f>IF(Dati[[#This Row],[Categoria]]="Savings",0,"")</f>
        <v/>
      </c>
      <c r="T1546" s="59"/>
      <c r="U1546" s="59"/>
      <c r="V1546" s="59"/>
      <c r="W1546" s="59"/>
      <c r="X1546" s="59"/>
      <c r="Y1546" s="59"/>
      <c r="Z1546" s="59"/>
      <c r="AA1546" s="59"/>
      <c r="AB1546" s="59"/>
      <c r="AC1546" s="59"/>
      <c r="AD1546" s="59"/>
      <c r="AE1546" s="59"/>
      <c r="AF1546" s="59"/>
      <c r="AG1546" s="59"/>
      <c r="AH1546" s="59"/>
      <c r="AI1546" s="59" t="str">
        <f>IF(SUM(Dati[[#This Row],[Inv. Business]:[Inv. Cryptocurrency]])=0," ",SUM(Dati[[#This Row],[Inv. Business]:[Inv. Cryptocurrency]]))</f>
        <v xml:space="preserve"> </v>
      </c>
      <c r="AJ1546" s="59"/>
      <c r="AK1546" s="59" t="str">
        <f>IF(SUM(Dati[[#This Row],[Inv. Gold]:[Mutuo]])=0," ",SUM(Dati[[#This Row],[Inv. Gold]:[Mutuo]]))</f>
        <v xml:space="preserve"> </v>
      </c>
      <c r="AL1546" s="59"/>
      <c r="AM1546" s="59"/>
    </row>
    <row r="1547" spans="2:39" x14ac:dyDescent="0.35">
      <c r="B1547" s="237">
        <f t="shared" si="111"/>
        <v>1527</v>
      </c>
      <c r="C1547" s="49">
        <f t="shared" si="110"/>
        <v>46105</v>
      </c>
      <c r="D1547" s="29">
        <f>DAY(Dati[[#This Row],[Data]])</f>
        <v>24</v>
      </c>
      <c r="E1547" s="29" t="str">
        <f>IF(DAY(Data!$C$21:$C$1613)&gt;0,TEXT(Data!$C$21:$C$1613, "mmmm"),"")</f>
        <v>marzo</v>
      </c>
      <c r="F1547" s="29" t="str">
        <f>IF(DAY(Data!$C$21:$C$1613)&gt;0,TEXT(Data!$C$21:$C$1613, "aaaa"),"")</f>
        <v>2026</v>
      </c>
      <c r="I1547" t="str">
        <f>IF(OR(H1547=$B$5,H1547=$B$6,H1547=$B$7,H1547=$B$8,H1547=$B$9,H1547=$B$10,H1547=$B$11,H1547=$B$12,H1547=$B$13,H1547=$B$14),SottocategorieUscite[[#Headers],[Fuori Casa]],IF(OR(H1547=$C$5,H1547=$C$6,H1547=$C$7,H1547=$C$8,H1547=$C$9,H1547=$C$10,H1547=$C$11,H1547=$C$12,H1547=$C$13,H1547=$C$14),SottocategorieUscite[[#Headers],[Varie Uscite]],IF(OR(H1547=$D$5,H1547=$D$6,H1547=$D$7,H1547=$D$8,H1547=$D$9,H1547=$D$10,H1547=$D$11,H1547=$D$12,H1547=$D$13,H1547=$D$14),SottocategorieUscite[[#Headers],[Personali]],IF(OR(H1547=$E$5,H1547=$E$6,H1547=$E$7,H1547=$E$8,H1547=$E$9,H1547=$E$10,H1547=$E$11,H1547=$E$12,H1547=$E$13,H1547=$E$14),SottocategorieUscite[[#Headers],[Lavoro]],IF(OR(H1547=$F$5,H1547=$F$6,H1547=$F$7,H1547=$F$8,H1547=$F$9,H1547=$F$10,H1547=$F$11,H1547=$F$12,H1547=$F$13,H1547=$F$14),SottocategorieUscite[[#Headers],[Casa]],IF(OR(H1547=$G$5,H1547=$G$6,H1547=$G$7,H1547=$G$8,H1547=$G$9,H1547=$G$10,H1547=$G$11,H1547=$G$12,H1547=$G$13,H1547=$G$14),SottocategorieUscite[[#Headers],[Utenze]],IF(OR(H1547=$H$5,H1547=$H$6,H1547=$H$7,H1547=$H$8,H1547=$H$9,H1547=$H$10,H1547=$H$11,H1547=$H$12,H1547=$H$13,H1547=$H$14),SottocategorieUscite[[#Headers],[Business Uscite]],IF(OR(H1547=$I$5,H1547=$I$6,H1547=$I$7,H1547=$I$8,H1547=$I$9,H1547=$I$10,H1547=$I$11,H1547=$I$12,H1547=$I$13,H1547=$I$14),SottocategorieUscite[[#Headers],[Banca]],IF(OR(H1547=K$5,H1547=K$6,H1547=K$7,H1547=K$8,H1547=K$9,H1547=K$10,H1547=K$11,H1547=K$12,H1547=K$13,H1547=K$14),SottocategorieEntrate[[#Headers],[Business Entrate]],IF(OR(H1547=L$5,H1547=L$6,H1547=L$7,H1547=L$8,H1547=L$9,H1547=L$10,H1547=L$11,H1547=L$12,H1547=L$13,H1547=L$14),SottocategorieEntrate[[#Headers],[Varie Entrate]],IF(OR(H1547=M$5,H1547=M$6,H1547=M$7,H1547=M$8,H1547=M$9,H1547=M$10,H1547=M$11,H1547=M$12,H1547=M$13,H1547=M$14),SottocategorieEntrate[[#Headers],[Real Estate]],IF(OR(H1547=N$5,H1547=N$6,H1547=N$7,H1547=N$8,H1547=N$9,H1547=N$10,H1547=N$11,H1547=N$12,H1547=N$13,H1547=N$14),SottocategorieEntrate[[#Headers],[Other]],""))))))))))))</f>
        <v/>
      </c>
      <c r="J1547" t="str">
        <f>IF(OR(Dati[[#This Row],[Categoria]]="Bollette",Dati[[#This Row],[Categoria]]="Conto &amp; Carte BNL",Dati[[#This Row],[Categoria]]="Prelievo",Dati[[#This Row],[Categoria]]="Affitto",Dati[[#This Row],[Categoria]]="BNL(Interessi Creditori)"),"Carta",IF(Dati[[#This Row],[Categoria]]&lt;&gt;0,"Cash",""))</f>
        <v/>
      </c>
      <c r="K1547" s="59" t="str">
        <f>IF(OR(Data!$I1547=SottocategorieUscite[[#Headers],[Fuori Casa]],Data!$I1547=SottocategorieUscite[[#Headers],[Varie Uscite]],Data!$I1547=SottocategorieUscite[[#Headers],[Personali]],Data!$I1547=SottocategorieUscite[[#Headers],[Lavoro]]),"$ -","")</f>
        <v/>
      </c>
      <c r="L1547" s="59" t="str">
        <f>IF(OR(Data!$I1547=SottocategorieUscite[[#Headers],[Casa]],Data!$I1547=SottocategorieUscite[[#Headers],[Utenze]],Data!$I1547=SottocategorieUscite[[#Headers],[Business Uscite]],Data!$I1547=SottocategorieUscite[[#Headers],[Banca]]),"$ -","")</f>
        <v/>
      </c>
      <c r="M1547" s="59" t="str">
        <f>IF(OR($I1547&lt;&gt;SottocategorieUscite[[#Headers],[Fuori Casa]],$I1547&lt;&gt;SottocategorieUscite[[#Headers],[Varie Uscite]],$I1547&lt;&gt;SottocategorieUscite[[#Headers],[Personali]],$I1547&lt;&gt;SottocategorieUscite[[#Headers],[Lavoro]],$I1547&lt;&gt;SottocategorieUscite[[#Headers],[Casa]],$I1547&lt;&gt;SottocategorieUscite[[#Headers],[Utenze]],$I1547&lt;&gt;SottocategorieUscite[[#Headers],[Business Uscite]],$I1547&lt;&gt;SottocategorieUscite[[#Headers],[Banca]]),"","$ -")</f>
        <v/>
      </c>
      <c r="N1547" s="59" t="str">
        <f>IF(OR(Data!$I1547=SottocategorieEntrate[[#Headers],[Business Entrate]],Data!$I1547=SottocategorieEntrate[[#Headers],[Varie Entrate]]),"$ -","")</f>
        <v/>
      </c>
      <c r="O1547" s="59" t="str">
        <f>IF(OR(Data!$I1547=SottocategorieEntrate[[#Headers],[Real Estate]],SottocategorieEntrate[[#Headers],[Other]]),"$ -","")</f>
        <v/>
      </c>
      <c r="P1547" s="59" t="str">
        <f>IF(OR($I1547&lt;&gt;SottocategorieEntrate[[#Headers],[Business Entrate]],$I1547&lt;&gt;SottocategorieEntrate[[#Headers],[Varie Entrate]],$I1547&lt;&gt;SottocategorieEntrate[[#Headers],[Real Estate]],$I1547&lt;&gt;SottocategorieEntrate[[#Headers],[Other]]),"","$ -")</f>
        <v/>
      </c>
      <c r="Q1547" s="59" t="str">
        <f>IF(Dati[[#This Row],[Categoria]]="Prelievo","€ -","")</f>
        <v/>
      </c>
      <c r="R1547" s="244"/>
      <c r="S1547" s="59" t="str">
        <f>IF(Dati[[#This Row],[Categoria]]="Savings",0,"")</f>
        <v/>
      </c>
      <c r="T1547" s="59"/>
      <c r="U1547" s="59"/>
      <c r="V1547" s="59"/>
      <c r="W1547" s="59"/>
      <c r="X1547" s="59"/>
      <c r="Y1547" s="59"/>
      <c r="Z1547" s="59"/>
      <c r="AA1547" s="59"/>
      <c r="AB1547" s="59"/>
      <c r="AC1547" s="59"/>
      <c r="AD1547" s="59"/>
      <c r="AE1547" s="59"/>
      <c r="AF1547" s="59"/>
      <c r="AG1547" s="59"/>
      <c r="AH1547" s="59"/>
      <c r="AI1547" s="59" t="str">
        <f>IF(SUM(Dati[[#This Row],[Inv. Business]:[Inv. Cryptocurrency]])=0," ",SUM(Dati[[#This Row],[Inv. Business]:[Inv. Cryptocurrency]]))</f>
        <v xml:space="preserve"> </v>
      </c>
      <c r="AJ1547" s="59"/>
      <c r="AK1547" s="59" t="str">
        <f>IF(SUM(Dati[[#This Row],[Inv. Gold]:[Mutuo]])=0," ",SUM(Dati[[#This Row],[Inv. Gold]:[Mutuo]]))</f>
        <v xml:space="preserve"> </v>
      </c>
      <c r="AL1547" s="59"/>
      <c r="AM1547" s="59"/>
    </row>
    <row r="1548" spans="2:39" x14ac:dyDescent="0.35">
      <c r="B1548" s="237">
        <f t="shared" si="111"/>
        <v>1528</v>
      </c>
      <c r="C1548" s="49">
        <f t="shared" si="110"/>
        <v>46106</v>
      </c>
      <c r="D1548" s="29">
        <f>DAY(Dati[[#This Row],[Data]])</f>
        <v>25</v>
      </c>
      <c r="E1548" s="29" t="str">
        <f>IF(DAY(Data!$C$21:$C$1613)&gt;0,TEXT(Data!$C$21:$C$1613, "mmmm"),"")</f>
        <v>marzo</v>
      </c>
      <c r="F1548" s="29" t="str">
        <f>IF(DAY(Data!$C$21:$C$1613)&gt;0,TEXT(Data!$C$21:$C$1613, "aaaa"),"")</f>
        <v>2026</v>
      </c>
      <c r="I1548" t="str">
        <f>IF(OR(H1548=$B$5,H1548=$B$6,H1548=$B$7,H1548=$B$8,H1548=$B$9,H1548=$B$10,H1548=$B$11,H1548=$B$12,H1548=$B$13,H1548=$B$14),SottocategorieUscite[[#Headers],[Fuori Casa]],IF(OR(H1548=$C$5,H1548=$C$6,H1548=$C$7,H1548=$C$8,H1548=$C$9,H1548=$C$10,H1548=$C$11,H1548=$C$12,H1548=$C$13,H1548=$C$14),SottocategorieUscite[[#Headers],[Varie Uscite]],IF(OR(H1548=$D$5,H1548=$D$6,H1548=$D$7,H1548=$D$8,H1548=$D$9,H1548=$D$10,H1548=$D$11,H1548=$D$12,H1548=$D$13,H1548=$D$14),SottocategorieUscite[[#Headers],[Personali]],IF(OR(H1548=$E$5,H1548=$E$6,H1548=$E$7,H1548=$E$8,H1548=$E$9,H1548=$E$10,H1548=$E$11,H1548=$E$12,H1548=$E$13,H1548=$E$14),SottocategorieUscite[[#Headers],[Lavoro]],IF(OR(H1548=$F$5,H1548=$F$6,H1548=$F$7,H1548=$F$8,H1548=$F$9,H1548=$F$10,H1548=$F$11,H1548=$F$12,H1548=$F$13,H1548=$F$14),SottocategorieUscite[[#Headers],[Casa]],IF(OR(H1548=$G$5,H1548=$G$6,H1548=$G$7,H1548=$G$8,H1548=$G$9,H1548=$G$10,H1548=$G$11,H1548=$G$12,H1548=$G$13,H1548=$G$14),SottocategorieUscite[[#Headers],[Utenze]],IF(OR(H1548=$H$5,H1548=$H$6,H1548=$H$7,H1548=$H$8,H1548=$H$9,H1548=$H$10,H1548=$H$11,H1548=$H$12,H1548=$H$13,H1548=$H$14),SottocategorieUscite[[#Headers],[Business Uscite]],IF(OR(H1548=$I$5,H1548=$I$6,H1548=$I$7,H1548=$I$8,H1548=$I$9,H1548=$I$10,H1548=$I$11,H1548=$I$12,H1548=$I$13,H1548=$I$14),SottocategorieUscite[[#Headers],[Banca]],IF(OR(H1548=K$5,H1548=K$6,H1548=K$7,H1548=K$8,H1548=K$9,H1548=K$10,H1548=K$11,H1548=K$12,H1548=K$13,H1548=K$14),SottocategorieEntrate[[#Headers],[Business Entrate]],IF(OR(H1548=L$5,H1548=L$6,H1548=L$7,H1548=L$8,H1548=L$9,H1548=L$10,H1548=L$11,H1548=L$12,H1548=L$13,H1548=L$14),SottocategorieEntrate[[#Headers],[Varie Entrate]],IF(OR(H1548=M$5,H1548=M$6,H1548=M$7,H1548=M$8,H1548=M$9,H1548=M$10,H1548=M$11,H1548=M$12,H1548=M$13,H1548=M$14),SottocategorieEntrate[[#Headers],[Real Estate]],IF(OR(H1548=N$5,H1548=N$6,H1548=N$7,H1548=N$8,H1548=N$9,H1548=N$10,H1548=N$11,H1548=N$12,H1548=N$13,H1548=N$14),SottocategorieEntrate[[#Headers],[Other]],""))))))))))))</f>
        <v/>
      </c>
      <c r="J1548" t="str">
        <f>IF(OR(Dati[[#This Row],[Categoria]]="Bollette",Dati[[#This Row],[Categoria]]="Conto &amp; Carte BNL",Dati[[#This Row],[Categoria]]="Prelievo",Dati[[#This Row],[Categoria]]="Affitto",Dati[[#This Row],[Categoria]]="BNL(Interessi Creditori)"),"Carta",IF(Dati[[#This Row],[Categoria]]&lt;&gt;0,"Cash",""))</f>
        <v/>
      </c>
      <c r="K1548" s="59" t="str">
        <f>IF(OR(Data!$I1548=SottocategorieUscite[[#Headers],[Fuori Casa]],Data!$I1548=SottocategorieUscite[[#Headers],[Varie Uscite]],Data!$I1548=SottocategorieUscite[[#Headers],[Personali]],Data!$I1548=SottocategorieUscite[[#Headers],[Lavoro]]),"$ -","")</f>
        <v/>
      </c>
      <c r="L1548" s="59" t="str">
        <f>IF(OR(Data!$I1548=SottocategorieUscite[[#Headers],[Casa]],Data!$I1548=SottocategorieUscite[[#Headers],[Utenze]],Data!$I1548=SottocategorieUscite[[#Headers],[Business Uscite]],Data!$I1548=SottocategorieUscite[[#Headers],[Banca]]),"$ -","")</f>
        <v/>
      </c>
      <c r="M1548" s="59" t="str">
        <f>IF(OR($I1548&lt;&gt;SottocategorieUscite[[#Headers],[Fuori Casa]],$I1548&lt;&gt;SottocategorieUscite[[#Headers],[Varie Uscite]],$I1548&lt;&gt;SottocategorieUscite[[#Headers],[Personali]],$I1548&lt;&gt;SottocategorieUscite[[#Headers],[Lavoro]],$I1548&lt;&gt;SottocategorieUscite[[#Headers],[Casa]],$I1548&lt;&gt;SottocategorieUscite[[#Headers],[Utenze]],$I1548&lt;&gt;SottocategorieUscite[[#Headers],[Business Uscite]],$I1548&lt;&gt;SottocategorieUscite[[#Headers],[Banca]]),"","$ -")</f>
        <v/>
      </c>
      <c r="N1548" s="59" t="str">
        <f>IF(OR(Data!$I1548=SottocategorieEntrate[[#Headers],[Business Entrate]],Data!$I1548=SottocategorieEntrate[[#Headers],[Varie Entrate]]),"$ -","")</f>
        <v/>
      </c>
      <c r="O1548" s="59" t="str">
        <f>IF(OR(Data!$I1548=SottocategorieEntrate[[#Headers],[Real Estate]],SottocategorieEntrate[[#Headers],[Other]]),"$ -","")</f>
        <v/>
      </c>
      <c r="P1548" s="59" t="str">
        <f>IF(OR($I1548&lt;&gt;SottocategorieEntrate[[#Headers],[Business Entrate]],$I1548&lt;&gt;SottocategorieEntrate[[#Headers],[Varie Entrate]],$I1548&lt;&gt;SottocategorieEntrate[[#Headers],[Real Estate]],$I1548&lt;&gt;SottocategorieEntrate[[#Headers],[Other]]),"","$ -")</f>
        <v/>
      </c>
      <c r="Q1548" s="59" t="str">
        <f>IF(Dati[[#This Row],[Categoria]]="Prelievo","€ -","")</f>
        <v/>
      </c>
      <c r="R1548" s="244"/>
      <c r="S1548" s="59" t="str">
        <f>IF(Dati[[#This Row],[Categoria]]="Savings",0,"")</f>
        <v/>
      </c>
      <c r="T1548" s="59"/>
      <c r="U1548" s="59"/>
      <c r="V1548" s="59"/>
      <c r="W1548" s="59"/>
      <c r="X1548" s="59"/>
      <c r="Y1548" s="59"/>
      <c r="Z1548" s="59"/>
      <c r="AA1548" s="59"/>
      <c r="AB1548" s="59"/>
      <c r="AC1548" s="59"/>
      <c r="AD1548" s="59"/>
      <c r="AE1548" s="59"/>
      <c r="AF1548" s="59"/>
      <c r="AG1548" s="59"/>
      <c r="AH1548" s="59"/>
      <c r="AI1548" s="59" t="str">
        <f>IF(SUM(Dati[[#This Row],[Inv. Business]:[Inv. Cryptocurrency]])=0," ",SUM(Dati[[#This Row],[Inv. Business]:[Inv. Cryptocurrency]]))</f>
        <v xml:space="preserve"> </v>
      </c>
      <c r="AJ1548" s="59"/>
      <c r="AK1548" s="59" t="str">
        <f>IF(SUM(Dati[[#This Row],[Inv. Gold]:[Mutuo]])=0," ",SUM(Dati[[#This Row],[Inv. Gold]:[Mutuo]]))</f>
        <v xml:space="preserve"> </v>
      </c>
      <c r="AL1548" s="59"/>
      <c r="AM1548" s="59"/>
    </row>
    <row r="1549" spans="2:39" x14ac:dyDescent="0.35">
      <c r="B1549" s="237">
        <f t="shared" si="111"/>
        <v>1529</v>
      </c>
      <c r="C1549" s="49">
        <f t="shared" si="110"/>
        <v>46107</v>
      </c>
      <c r="D1549" s="29">
        <f>DAY(Dati[[#This Row],[Data]])</f>
        <v>26</v>
      </c>
      <c r="E1549" s="29" t="str">
        <f>IF(DAY(Data!$C$21:$C$1613)&gt;0,TEXT(Data!$C$21:$C$1613, "mmmm"),"")</f>
        <v>marzo</v>
      </c>
      <c r="F1549" s="29" t="str">
        <f>IF(DAY(Data!$C$21:$C$1613)&gt;0,TEXT(Data!$C$21:$C$1613, "aaaa"),"")</f>
        <v>2026</v>
      </c>
      <c r="I1549" t="str">
        <f>IF(OR(H1549=$B$5,H1549=$B$6,H1549=$B$7,H1549=$B$8,H1549=$B$9,H1549=$B$10,H1549=$B$11,H1549=$B$12,H1549=$B$13,H1549=$B$14),SottocategorieUscite[[#Headers],[Fuori Casa]],IF(OR(H1549=$C$5,H1549=$C$6,H1549=$C$7,H1549=$C$8,H1549=$C$9,H1549=$C$10,H1549=$C$11,H1549=$C$12,H1549=$C$13,H1549=$C$14),SottocategorieUscite[[#Headers],[Varie Uscite]],IF(OR(H1549=$D$5,H1549=$D$6,H1549=$D$7,H1549=$D$8,H1549=$D$9,H1549=$D$10,H1549=$D$11,H1549=$D$12,H1549=$D$13,H1549=$D$14),SottocategorieUscite[[#Headers],[Personali]],IF(OR(H1549=$E$5,H1549=$E$6,H1549=$E$7,H1549=$E$8,H1549=$E$9,H1549=$E$10,H1549=$E$11,H1549=$E$12,H1549=$E$13,H1549=$E$14),SottocategorieUscite[[#Headers],[Lavoro]],IF(OR(H1549=$F$5,H1549=$F$6,H1549=$F$7,H1549=$F$8,H1549=$F$9,H1549=$F$10,H1549=$F$11,H1549=$F$12,H1549=$F$13,H1549=$F$14),SottocategorieUscite[[#Headers],[Casa]],IF(OR(H1549=$G$5,H1549=$G$6,H1549=$G$7,H1549=$G$8,H1549=$G$9,H1549=$G$10,H1549=$G$11,H1549=$G$12,H1549=$G$13,H1549=$G$14),SottocategorieUscite[[#Headers],[Utenze]],IF(OR(H1549=$H$5,H1549=$H$6,H1549=$H$7,H1549=$H$8,H1549=$H$9,H1549=$H$10,H1549=$H$11,H1549=$H$12,H1549=$H$13,H1549=$H$14),SottocategorieUscite[[#Headers],[Business Uscite]],IF(OR(H1549=$I$5,H1549=$I$6,H1549=$I$7,H1549=$I$8,H1549=$I$9,H1549=$I$10,H1549=$I$11,H1549=$I$12,H1549=$I$13,H1549=$I$14),SottocategorieUscite[[#Headers],[Banca]],IF(OR(H1549=K$5,H1549=K$6,H1549=K$7,H1549=K$8,H1549=K$9,H1549=K$10,H1549=K$11,H1549=K$12,H1549=K$13,H1549=K$14),SottocategorieEntrate[[#Headers],[Business Entrate]],IF(OR(H1549=L$5,H1549=L$6,H1549=L$7,H1549=L$8,H1549=L$9,H1549=L$10,H1549=L$11,H1549=L$12,H1549=L$13,H1549=L$14),SottocategorieEntrate[[#Headers],[Varie Entrate]],IF(OR(H1549=M$5,H1549=M$6,H1549=M$7,H1549=M$8,H1549=M$9,H1549=M$10,H1549=M$11,H1549=M$12,H1549=M$13,H1549=M$14),SottocategorieEntrate[[#Headers],[Real Estate]],IF(OR(H1549=N$5,H1549=N$6,H1549=N$7,H1549=N$8,H1549=N$9,H1549=N$10,H1549=N$11,H1549=N$12,H1549=N$13,H1549=N$14),SottocategorieEntrate[[#Headers],[Other]],""))))))))))))</f>
        <v/>
      </c>
      <c r="J1549" t="str">
        <f>IF(OR(Dati[[#This Row],[Categoria]]="Bollette",Dati[[#This Row],[Categoria]]="Conto &amp; Carte BNL",Dati[[#This Row],[Categoria]]="Prelievo",Dati[[#This Row],[Categoria]]="Affitto",Dati[[#This Row],[Categoria]]="BNL(Interessi Creditori)"),"Carta",IF(Dati[[#This Row],[Categoria]]&lt;&gt;0,"Cash",""))</f>
        <v/>
      </c>
      <c r="K1549" s="59" t="str">
        <f>IF(OR(Data!$I1549=SottocategorieUscite[[#Headers],[Fuori Casa]],Data!$I1549=SottocategorieUscite[[#Headers],[Varie Uscite]],Data!$I1549=SottocategorieUscite[[#Headers],[Personali]],Data!$I1549=SottocategorieUscite[[#Headers],[Lavoro]]),"$ -","")</f>
        <v/>
      </c>
      <c r="L1549" s="59" t="str">
        <f>IF(OR(Data!$I1549=SottocategorieUscite[[#Headers],[Casa]],Data!$I1549=SottocategorieUscite[[#Headers],[Utenze]],Data!$I1549=SottocategorieUscite[[#Headers],[Business Uscite]],Data!$I1549=SottocategorieUscite[[#Headers],[Banca]]),"$ -","")</f>
        <v/>
      </c>
      <c r="M1549" s="59" t="str">
        <f>IF(OR($I1549&lt;&gt;SottocategorieUscite[[#Headers],[Fuori Casa]],$I1549&lt;&gt;SottocategorieUscite[[#Headers],[Varie Uscite]],$I1549&lt;&gt;SottocategorieUscite[[#Headers],[Personali]],$I1549&lt;&gt;SottocategorieUscite[[#Headers],[Lavoro]],$I1549&lt;&gt;SottocategorieUscite[[#Headers],[Casa]],$I1549&lt;&gt;SottocategorieUscite[[#Headers],[Utenze]],$I1549&lt;&gt;SottocategorieUscite[[#Headers],[Business Uscite]],$I1549&lt;&gt;SottocategorieUscite[[#Headers],[Banca]]),"","$ -")</f>
        <v/>
      </c>
      <c r="N1549" s="59" t="str">
        <f>IF(OR(Data!$I1549=SottocategorieEntrate[[#Headers],[Business Entrate]],Data!$I1549=SottocategorieEntrate[[#Headers],[Varie Entrate]]),"$ -","")</f>
        <v/>
      </c>
      <c r="O1549" s="59" t="str">
        <f>IF(OR(Data!$I1549=SottocategorieEntrate[[#Headers],[Real Estate]],SottocategorieEntrate[[#Headers],[Other]]),"$ -","")</f>
        <v/>
      </c>
      <c r="P1549" s="59" t="str">
        <f>IF(OR($I1549&lt;&gt;SottocategorieEntrate[[#Headers],[Business Entrate]],$I1549&lt;&gt;SottocategorieEntrate[[#Headers],[Varie Entrate]],$I1549&lt;&gt;SottocategorieEntrate[[#Headers],[Real Estate]],$I1549&lt;&gt;SottocategorieEntrate[[#Headers],[Other]]),"","$ -")</f>
        <v/>
      </c>
      <c r="Q1549" s="59" t="str">
        <f>IF(Dati[[#This Row],[Categoria]]="Prelievo","€ -","")</f>
        <v/>
      </c>
      <c r="R1549" s="244"/>
      <c r="S1549" s="59" t="str">
        <f>IF(Dati[[#This Row],[Categoria]]="Savings",0,"")</f>
        <v/>
      </c>
      <c r="T1549" s="59"/>
      <c r="U1549" s="59"/>
      <c r="V1549" s="59"/>
      <c r="W1549" s="59"/>
      <c r="X1549" s="59"/>
      <c r="Y1549" s="59"/>
      <c r="Z1549" s="59"/>
      <c r="AA1549" s="59"/>
      <c r="AB1549" s="59"/>
      <c r="AC1549" s="59"/>
      <c r="AD1549" s="59"/>
      <c r="AE1549" s="59"/>
      <c r="AF1549" s="59"/>
      <c r="AG1549" s="59"/>
      <c r="AH1549" s="59"/>
      <c r="AI1549" s="59" t="str">
        <f>IF(SUM(Dati[[#This Row],[Inv. Business]:[Inv. Cryptocurrency]])=0," ",SUM(Dati[[#This Row],[Inv. Business]:[Inv. Cryptocurrency]]))</f>
        <v xml:space="preserve"> </v>
      </c>
      <c r="AJ1549" s="59"/>
      <c r="AK1549" s="59" t="str">
        <f>IF(SUM(Dati[[#This Row],[Inv. Gold]:[Mutuo]])=0," ",SUM(Dati[[#This Row],[Inv. Gold]:[Mutuo]]))</f>
        <v xml:space="preserve"> </v>
      </c>
      <c r="AL1549" s="59"/>
      <c r="AM1549" s="59"/>
    </row>
    <row r="1550" spans="2:39" x14ac:dyDescent="0.35">
      <c r="B1550" s="237">
        <f t="shared" si="111"/>
        <v>1530</v>
      </c>
      <c r="C1550" s="49">
        <f t="shared" si="110"/>
        <v>46108</v>
      </c>
      <c r="D1550" s="29">
        <f>DAY(Dati[[#This Row],[Data]])</f>
        <v>27</v>
      </c>
      <c r="E1550" s="29" t="str">
        <f>IF(DAY(Data!$C$21:$C$1613)&gt;0,TEXT(Data!$C$21:$C$1613, "mmmm"),"")</f>
        <v>marzo</v>
      </c>
      <c r="F1550" s="29" t="str">
        <f>IF(DAY(Data!$C$21:$C$1613)&gt;0,TEXT(Data!$C$21:$C$1613, "aaaa"),"")</f>
        <v>2026</v>
      </c>
      <c r="I1550" t="str">
        <f>IF(OR(H1550=$B$5,H1550=$B$6,H1550=$B$7,H1550=$B$8,H1550=$B$9,H1550=$B$10,H1550=$B$11,H1550=$B$12,H1550=$B$13,H1550=$B$14),SottocategorieUscite[[#Headers],[Fuori Casa]],IF(OR(H1550=$C$5,H1550=$C$6,H1550=$C$7,H1550=$C$8,H1550=$C$9,H1550=$C$10,H1550=$C$11,H1550=$C$12,H1550=$C$13,H1550=$C$14),SottocategorieUscite[[#Headers],[Varie Uscite]],IF(OR(H1550=$D$5,H1550=$D$6,H1550=$D$7,H1550=$D$8,H1550=$D$9,H1550=$D$10,H1550=$D$11,H1550=$D$12,H1550=$D$13,H1550=$D$14),SottocategorieUscite[[#Headers],[Personali]],IF(OR(H1550=$E$5,H1550=$E$6,H1550=$E$7,H1550=$E$8,H1550=$E$9,H1550=$E$10,H1550=$E$11,H1550=$E$12,H1550=$E$13,H1550=$E$14),SottocategorieUscite[[#Headers],[Lavoro]],IF(OR(H1550=$F$5,H1550=$F$6,H1550=$F$7,H1550=$F$8,H1550=$F$9,H1550=$F$10,H1550=$F$11,H1550=$F$12,H1550=$F$13,H1550=$F$14),SottocategorieUscite[[#Headers],[Casa]],IF(OR(H1550=$G$5,H1550=$G$6,H1550=$G$7,H1550=$G$8,H1550=$G$9,H1550=$G$10,H1550=$G$11,H1550=$G$12,H1550=$G$13,H1550=$G$14),SottocategorieUscite[[#Headers],[Utenze]],IF(OR(H1550=$H$5,H1550=$H$6,H1550=$H$7,H1550=$H$8,H1550=$H$9,H1550=$H$10,H1550=$H$11,H1550=$H$12,H1550=$H$13,H1550=$H$14),SottocategorieUscite[[#Headers],[Business Uscite]],IF(OR(H1550=$I$5,H1550=$I$6,H1550=$I$7,H1550=$I$8,H1550=$I$9,H1550=$I$10,H1550=$I$11,H1550=$I$12,H1550=$I$13,H1550=$I$14),SottocategorieUscite[[#Headers],[Banca]],IF(OR(H1550=K$5,H1550=K$6,H1550=K$7,H1550=K$8,H1550=K$9,H1550=K$10,H1550=K$11,H1550=K$12,H1550=K$13,H1550=K$14),SottocategorieEntrate[[#Headers],[Business Entrate]],IF(OR(H1550=L$5,H1550=L$6,H1550=L$7,H1550=L$8,H1550=L$9,H1550=L$10,H1550=L$11,H1550=L$12,H1550=L$13,H1550=L$14),SottocategorieEntrate[[#Headers],[Varie Entrate]],IF(OR(H1550=M$5,H1550=M$6,H1550=M$7,H1550=M$8,H1550=M$9,H1550=M$10,H1550=M$11,H1550=M$12,H1550=M$13,H1550=M$14),SottocategorieEntrate[[#Headers],[Real Estate]],IF(OR(H1550=N$5,H1550=N$6,H1550=N$7,H1550=N$8,H1550=N$9,H1550=N$10,H1550=N$11,H1550=N$12,H1550=N$13,H1550=N$14),SottocategorieEntrate[[#Headers],[Other]],""))))))))))))</f>
        <v/>
      </c>
      <c r="J1550" t="str">
        <f>IF(OR(Dati[[#This Row],[Categoria]]="Bollette",Dati[[#This Row],[Categoria]]="Conto &amp; Carte BNL",Dati[[#This Row],[Categoria]]="Prelievo",Dati[[#This Row],[Categoria]]="Affitto",Dati[[#This Row],[Categoria]]="BNL(Interessi Creditori)"),"Carta",IF(Dati[[#This Row],[Categoria]]&lt;&gt;0,"Cash",""))</f>
        <v/>
      </c>
      <c r="K1550" s="59" t="str">
        <f>IF(OR(Data!$I1550=SottocategorieUscite[[#Headers],[Fuori Casa]],Data!$I1550=SottocategorieUscite[[#Headers],[Varie Uscite]],Data!$I1550=SottocategorieUscite[[#Headers],[Personali]],Data!$I1550=SottocategorieUscite[[#Headers],[Lavoro]]),"$ -","")</f>
        <v/>
      </c>
      <c r="L1550" s="59" t="str">
        <f>IF(OR(Data!$I1550=SottocategorieUscite[[#Headers],[Casa]],Data!$I1550=SottocategorieUscite[[#Headers],[Utenze]],Data!$I1550=SottocategorieUscite[[#Headers],[Business Uscite]],Data!$I1550=SottocategorieUscite[[#Headers],[Banca]]),"$ -","")</f>
        <v/>
      </c>
      <c r="M1550" s="59" t="str">
        <f>IF(OR($I1550&lt;&gt;SottocategorieUscite[[#Headers],[Fuori Casa]],$I1550&lt;&gt;SottocategorieUscite[[#Headers],[Varie Uscite]],$I1550&lt;&gt;SottocategorieUscite[[#Headers],[Personali]],$I1550&lt;&gt;SottocategorieUscite[[#Headers],[Lavoro]],$I1550&lt;&gt;SottocategorieUscite[[#Headers],[Casa]],$I1550&lt;&gt;SottocategorieUscite[[#Headers],[Utenze]],$I1550&lt;&gt;SottocategorieUscite[[#Headers],[Business Uscite]],$I1550&lt;&gt;SottocategorieUscite[[#Headers],[Banca]]),"","$ -")</f>
        <v/>
      </c>
      <c r="N1550" s="59" t="str">
        <f>IF(OR(Data!$I1550=SottocategorieEntrate[[#Headers],[Business Entrate]],Data!$I1550=SottocategorieEntrate[[#Headers],[Varie Entrate]]),"$ -","")</f>
        <v/>
      </c>
      <c r="O1550" s="59" t="str">
        <f>IF(OR(Data!$I1550=SottocategorieEntrate[[#Headers],[Real Estate]],SottocategorieEntrate[[#Headers],[Other]]),"$ -","")</f>
        <v/>
      </c>
      <c r="P1550" s="59" t="str">
        <f>IF(OR($I1550&lt;&gt;SottocategorieEntrate[[#Headers],[Business Entrate]],$I1550&lt;&gt;SottocategorieEntrate[[#Headers],[Varie Entrate]],$I1550&lt;&gt;SottocategorieEntrate[[#Headers],[Real Estate]],$I1550&lt;&gt;SottocategorieEntrate[[#Headers],[Other]]),"","$ -")</f>
        <v/>
      </c>
      <c r="Q1550" s="59" t="str">
        <f>IF(Dati[[#This Row],[Categoria]]="Prelievo","€ -","")</f>
        <v/>
      </c>
      <c r="R1550" s="244"/>
      <c r="S1550" s="59" t="str">
        <f>IF(Dati[[#This Row],[Categoria]]="Savings",0,"")</f>
        <v/>
      </c>
      <c r="T1550" s="59"/>
      <c r="U1550" s="59"/>
      <c r="V1550" s="59"/>
      <c r="W1550" s="59"/>
      <c r="X1550" s="59"/>
      <c r="Y1550" s="59"/>
      <c r="Z1550" s="59"/>
      <c r="AA1550" s="59"/>
      <c r="AB1550" s="59"/>
      <c r="AC1550" s="59"/>
      <c r="AD1550" s="59"/>
      <c r="AE1550" s="59"/>
      <c r="AF1550" s="59"/>
      <c r="AG1550" s="59"/>
      <c r="AH1550" s="59"/>
      <c r="AI1550" s="59" t="str">
        <f>IF(SUM(Dati[[#This Row],[Inv. Business]:[Inv. Cryptocurrency]])=0," ",SUM(Dati[[#This Row],[Inv. Business]:[Inv. Cryptocurrency]]))</f>
        <v xml:space="preserve"> </v>
      </c>
      <c r="AJ1550" s="59"/>
      <c r="AK1550" s="59" t="str">
        <f>IF(SUM(Dati[[#This Row],[Inv. Gold]:[Mutuo]])=0," ",SUM(Dati[[#This Row],[Inv. Gold]:[Mutuo]]))</f>
        <v xml:space="preserve"> </v>
      </c>
      <c r="AL1550" s="59"/>
      <c r="AM1550" s="59"/>
    </row>
    <row r="1551" spans="2:39" x14ac:dyDescent="0.35">
      <c r="B1551" s="237">
        <f t="shared" si="111"/>
        <v>1531</v>
      </c>
      <c r="C1551" s="49">
        <f t="shared" si="110"/>
        <v>46109</v>
      </c>
      <c r="D1551" s="29">
        <f>DAY(Dati[[#This Row],[Data]])</f>
        <v>28</v>
      </c>
      <c r="E1551" s="29" t="str">
        <f>IF(DAY(Data!$C$21:$C$1613)&gt;0,TEXT(Data!$C$21:$C$1613, "mmmm"),"")</f>
        <v>marzo</v>
      </c>
      <c r="F1551" s="29" t="str">
        <f>IF(DAY(Data!$C$21:$C$1613)&gt;0,TEXT(Data!$C$21:$C$1613, "aaaa"),"")</f>
        <v>2026</v>
      </c>
      <c r="I1551" t="str">
        <f>IF(OR(H1551=$B$5,H1551=$B$6,H1551=$B$7,H1551=$B$8,H1551=$B$9,H1551=$B$10,H1551=$B$11,H1551=$B$12,H1551=$B$13,H1551=$B$14),SottocategorieUscite[[#Headers],[Fuori Casa]],IF(OR(H1551=$C$5,H1551=$C$6,H1551=$C$7,H1551=$C$8,H1551=$C$9,H1551=$C$10,H1551=$C$11,H1551=$C$12,H1551=$C$13,H1551=$C$14),SottocategorieUscite[[#Headers],[Varie Uscite]],IF(OR(H1551=$D$5,H1551=$D$6,H1551=$D$7,H1551=$D$8,H1551=$D$9,H1551=$D$10,H1551=$D$11,H1551=$D$12,H1551=$D$13,H1551=$D$14),SottocategorieUscite[[#Headers],[Personali]],IF(OR(H1551=$E$5,H1551=$E$6,H1551=$E$7,H1551=$E$8,H1551=$E$9,H1551=$E$10,H1551=$E$11,H1551=$E$12,H1551=$E$13,H1551=$E$14),SottocategorieUscite[[#Headers],[Lavoro]],IF(OR(H1551=$F$5,H1551=$F$6,H1551=$F$7,H1551=$F$8,H1551=$F$9,H1551=$F$10,H1551=$F$11,H1551=$F$12,H1551=$F$13,H1551=$F$14),SottocategorieUscite[[#Headers],[Casa]],IF(OR(H1551=$G$5,H1551=$G$6,H1551=$G$7,H1551=$G$8,H1551=$G$9,H1551=$G$10,H1551=$G$11,H1551=$G$12,H1551=$G$13,H1551=$G$14),SottocategorieUscite[[#Headers],[Utenze]],IF(OR(H1551=$H$5,H1551=$H$6,H1551=$H$7,H1551=$H$8,H1551=$H$9,H1551=$H$10,H1551=$H$11,H1551=$H$12,H1551=$H$13,H1551=$H$14),SottocategorieUscite[[#Headers],[Business Uscite]],IF(OR(H1551=$I$5,H1551=$I$6,H1551=$I$7,H1551=$I$8,H1551=$I$9,H1551=$I$10,H1551=$I$11,H1551=$I$12,H1551=$I$13,H1551=$I$14),SottocategorieUscite[[#Headers],[Banca]],IF(OR(H1551=K$5,H1551=K$6,H1551=K$7,H1551=K$8,H1551=K$9,H1551=K$10,H1551=K$11,H1551=K$12,H1551=K$13,H1551=K$14),SottocategorieEntrate[[#Headers],[Business Entrate]],IF(OR(H1551=L$5,H1551=L$6,H1551=L$7,H1551=L$8,H1551=L$9,H1551=L$10,H1551=L$11,H1551=L$12,H1551=L$13,H1551=L$14),SottocategorieEntrate[[#Headers],[Varie Entrate]],IF(OR(H1551=M$5,H1551=M$6,H1551=M$7,H1551=M$8,H1551=M$9,H1551=M$10,H1551=M$11,H1551=M$12,H1551=M$13,H1551=M$14),SottocategorieEntrate[[#Headers],[Real Estate]],IF(OR(H1551=N$5,H1551=N$6,H1551=N$7,H1551=N$8,H1551=N$9,H1551=N$10,H1551=N$11,H1551=N$12,H1551=N$13,H1551=N$14),SottocategorieEntrate[[#Headers],[Other]],""))))))))))))</f>
        <v/>
      </c>
      <c r="J1551" t="str">
        <f>IF(OR(Dati[[#This Row],[Categoria]]="Bollette",Dati[[#This Row],[Categoria]]="Conto &amp; Carte BNL",Dati[[#This Row],[Categoria]]="Prelievo",Dati[[#This Row],[Categoria]]="Affitto",Dati[[#This Row],[Categoria]]="BNL(Interessi Creditori)"),"Carta",IF(Dati[[#This Row],[Categoria]]&lt;&gt;0,"Cash",""))</f>
        <v/>
      </c>
      <c r="K1551" s="59" t="str">
        <f>IF(OR(Data!$I1551=SottocategorieUscite[[#Headers],[Fuori Casa]],Data!$I1551=SottocategorieUscite[[#Headers],[Varie Uscite]],Data!$I1551=SottocategorieUscite[[#Headers],[Personali]],Data!$I1551=SottocategorieUscite[[#Headers],[Lavoro]]),"$ -","")</f>
        <v/>
      </c>
      <c r="L1551" s="59" t="str">
        <f>IF(OR(Data!$I1551=SottocategorieUscite[[#Headers],[Casa]],Data!$I1551=SottocategorieUscite[[#Headers],[Utenze]],Data!$I1551=SottocategorieUscite[[#Headers],[Business Uscite]],Data!$I1551=SottocategorieUscite[[#Headers],[Banca]]),"$ -","")</f>
        <v/>
      </c>
      <c r="M1551" s="59" t="str">
        <f>IF(OR($I1551&lt;&gt;SottocategorieUscite[[#Headers],[Fuori Casa]],$I1551&lt;&gt;SottocategorieUscite[[#Headers],[Varie Uscite]],$I1551&lt;&gt;SottocategorieUscite[[#Headers],[Personali]],$I1551&lt;&gt;SottocategorieUscite[[#Headers],[Lavoro]],$I1551&lt;&gt;SottocategorieUscite[[#Headers],[Casa]],$I1551&lt;&gt;SottocategorieUscite[[#Headers],[Utenze]],$I1551&lt;&gt;SottocategorieUscite[[#Headers],[Business Uscite]],$I1551&lt;&gt;SottocategorieUscite[[#Headers],[Banca]]),"","$ -")</f>
        <v/>
      </c>
      <c r="N1551" s="59" t="str">
        <f>IF(OR(Data!$I1551=SottocategorieEntrate[[#Headers],[Business Entrate]],Data!$I1551=SottocategorieEntrate[[#Headers],[Varie Entrate]]),"$ -","")</f>
        <v/>
      </c>
      <c r="O1551" s="59" t="str">
        <f>IF(OR(Data!$I1551=SottocategorieEntrate[[#Headers],[Real Estate]],SottocategorieEntrate[[#Headers],[Other]]),"$ -","")</f>
        <v/>
      </c>
      <c r="P1551" s="59" t="str">
        <f>IF(OR($I1551&lt;&gt;SottocategorieEntrate[[#Headers],[Business Entrate]],$I1551&lt;&gt;SottocategorieEntrate[[#Headers],[Varie Entrate]],$I1551&lt;&gt;SottocategorieEntrate[[#Headers],[Real Estate]],$I1551&lt;&gt;SottocategorieEntrate[[#Headers],[Other]]),"","$ -")</f>
        <v/>
      </c>
      <c r="Q1551" s="59" t="str">
        <f>IF(Dati[[#This Row],[Categoria]]="Prelievo","€ -","")</f>
        <v/>
      </c>
      <c r="R1551" s="244"/>
      <c r="S1551" s="59" t="str">
        <f>IF(Dati[[#This Row],[Categoria]]="Savings",0,"")</f>
        <v/>
      </c>
      <c r="T1551" s="59"/>
      <c r="U1551" s="59"/>
      <c r="V1551" s="59"/>
      <c r="W1551" s="59"/>
      <c r="X1551" s="59"/>
      <c r="Y1551" s="59"/>
      <c r="Z1551" s="59"/>
      <c r="AA1551" s="59"/>
      <c r="AB1551" s="59"/>
      <c r="AC1551" s="59"/>
      <c r="AD1551" s="59"/>
      <c r="AE1551" s="59"/>
      <c r="AF1551" s="59"/>
      <c r="AG1551" s="59"/>
      <c r="AH1551" s="59"/>
      <c r="AI1551" s="59" t="str">
        <f>IF(SUM(Dati[[#This Row],[Inv. Business]:[Inv. Cryptocurrency]])=0," ",SUM(Dati[[#This Row],[Inv. Business]:[Inv. Cryptocurrency]]))</f>
        <v xml:space="preserve"> </v>
      </c>
      <c r="AJ1551" s="59"/>
      <c r="AK1551" s="59" t="str">
        <f>IF(SUM(Dati[[#This Row],[Inv. Gold]:[Mutuo]])=0," ",SUM(Dati[[#This Row],[Inv. Gold]:[Mutuo]]))</f>
        <v xml:space="preserve"> </v>
      </c>
      <c r="AL1551" s="59"/>
      <c r="AM1551" s="59"/>
    </row>
    <row r="1552" spans="2:39" x14ac:dyDescent="0.35">
      <c r="B1552" s="237">
        <f t="shared" si="111"/>
        <v>1532</v>
      </c>
      <c r="C1552" s="49">
        <f t="shared" si="110"/>
        <v>46110</v>
      </c>
      <c r="D1552" s="29">
        <f>DAY(Dati[[#This Row],[Data]])</f>
        <v>29</v>
      </c>
      <c r="E1552" s="29" t="str">
        <f>IF(DAY(Data!$C$21:$C$1613)&gt;0,TEXT(Data!$C$21:$C$1613, "mmmm"),"")</f>
        <v>marzo</v>
      </c>
      <c r="F1552" s="29" t="str">
        <f>IF(DAY(Data!$C$21:$C$1613)&gt;0,TEXT(Data!$C$21:$C$1613, "aaaa"),"")</f>
        <v>2026</v>
      </c>
      <c r="I1552" t="str">
        <f>IF(OR(H1552=$B$5,H1552=$B$6,H1552=$B$7,H1552=$B$8,H1552=$B$9,H1552=$B$10,H1552=$B$11,H1552=$B$12,H1552=$B$13,H1552=$B$14),SottocategorieUscite[[#Headers],[Fuori Casa]],IF(OR(H1552=$C$5,H1552=$C$6,H1552=$C$7,H1552=$C$8,H1552=$C$9,H1552=$C$10,H1552=$C$11,H1552=$C$12,H1552=$C$13,H1552=$C$14),SottocategorieUscite[[#Headers],[Varie Uscite]],IF(OR(H1552=$D$5,H1552=$D$6,H1552=$D$7,H1552=$D$8,H1552=$D$9,H1552=$D$10,H1552=$D$11,H1552=$D$12,H1552=$D$13,H1552=$D$14),SottocategorieUscite[[#Headers],[Personali]],IF(OR(H1552=$E$5,H1552=$E$6,H1552=$E$7,H1552=$E$8,H1552=$E$9,H1552=$E$10,H1552=$E$11,H1552=$E$12,H1552=$E$13,H1552=$E$14),SottocategorieUscite[[#Headers],[Lavoro]],IF(OR(H1552=$F$5,H1552=$F$6,H1552=$F$7,H1552=$F$8,H1552=$F$9,H1552=$F$10,H1552=$F$11,H1552=$F$12,H1552=$F$13,H1552=$F$14),SottocategorieUscite[[#Headers],[Casa]],IF(OR(H1552=$G$5,H1552=$G$6,H1552=$G$7,H1552=$G$8,H1552=$G$9,H1552=$G$10,H1552=$G$11,H1552=$G$12,H1552=$G$13,H1552=$G$14),SottocategorieUscite[[#Headers],[Utenze]],IF(OR(H1552=$H$5,H1552=$H$6,H1552=$H$7,H1552=$H$8,H1552=$H$9,H1552=$H$10,H1552=$H$11,H1552=$H$12,H1552=$H$13,H1552=$H$14),SottocategorieUscite[[#Headers],[Business Uscite]],IF(OR(H1552=$I$5,H1552=$I$6,H1552=$I$7,H1552=$I$8,H1552=$I$9,H1552=$I$10,H1552=$I$11,H1552=$I$12,H1552=$I$13,H1552=$I$14),SottocategorieUscite[[#Headers],[Banca]],IF(OR(H1552=K$5,H1552=K$6,H1552=K$7,H1552=K$8,H1552=K$9,H1552=K$10,H1552=K$11,H1552=K$12,H1552=K$13,H1552=K$14),SottocategorieEntrate[[#Headers],[Business Entrate]],IF(OR(H1552=L$5,H1552=L$6,H1552=L$7,H1552=L$8,H1552=L$9,H1552=L$10,H1552=L$11,H1552=L$12,H1552=L$13,H1552=L$14),SottocategorieEntrate[[#Headers],[Varie Entrate]],IF(OR(H1552=M$5,H1552=M$6,H1552=M$7,H1552=M$8,H1552=M$9,H1552=M$10,H1552=M$11,H1552=M$12,H1552=M$13,H1552=M$14),SottocategorieEntrate[[#Headers],[Real Estate]],IF(OR(H1552=N$5,H1552=N$6,H1552=N$7,H1552=N$8,H1552=N$9,H1552=N$10,H1552=N$11,H1552=N$12,H1552=N$13,H1552=N$14),SottocategorieEntrate[[#Headers],[Other]],""))))))))))))</f>
        <v/>
      </c>
      <c r="J1552" t="str">
        <f>IF(OR(Dati[[#This Row],[Categoria]]="Bollette",Dati[[#This Row],[Categoria]]="Conto &amp; Carte BNL",Dati[[#This Row],[Categoria]]="Prelievo",Dati[[#This Row],[Categoria]]="Affitto",Dati[[#This Row],[Categoria]]="BNL(Interessi Creditori)"),"Carta",IF(Dati[[#This Row],[Categoria]]&lt;&gt;0,"Cash",""))</f>
        <v/>
      </c>
      <c r="K1552" s="59" t="str">
        <f>IF(OR(Data!$I1552=SottocategorieUscite[[#Headers],[Fuori Casa]],Data!$I1552=SottocategorieUscite[[#Headers],[Varie Uscite]],Data!$I1552=SottocategorieUscite[[#Headers],[Personali]],Data!$I1552=SottocategorieUscite[[#Headers],[Lavoro]]),"$ -","")</f>
        <v/>
      </c>
      <c r="L1552" s="59" t="str">
        <f>IF(OR(Data!$I1552=SottocategorieUscite[[#Headers],[Casa]],Data!$I1552=SottocategorieUscite[[#Headers],[Utenze]],Data!$I1552=SottocategorieUscite[[#Headers],[Business Uscite]],Data!$I1552=SottocategorieUscite[[#Headers],[Banca]]),"$ -","")</f>
        <v/>
      </c>
      <c r="M1552" s="59" t="str">
        <f>IF(OR($I1552&lt;&gt;SottocategorieUscite[[#Headers],[Fuori Casa]],$I1552&lt;&gt;SottocategorieUscite[[#Headers],[Varie Uscite]],$I1552&lt;&gt;SottocategorieUscite[[#Headers],[Personali]],$I1552&lt;&gt;SottocategorieUscite[[#Headers],[Lavoro]],$I1552&lt;&gt;SottocategorieUscite[[#Headers],[Casa]],$I1552&lt;&gt;SottocategorieUscite[[#Headers],[Utenze]],$I1552&lt;&gt;SottocategorieUscite[[#Headers],[Business Uscite]],$I1552&lt;&gt;SottocategorieUscite[[#Headers],[Banca]]),"","$ -")</f>
        <v/>
      </c>
      <c r="N1552" s="59" t="str">
        <f>IF(OR(Data!$I1552=SottocategorieEntrate[[#Headers],[Business Entrate]],Data!$I1552=SottocategorieEntrate[[#Headers],[Varie Entrate]]),"$ -","")</f>
        <v/>
      </c>
      <c r="O1552" s="59" t="str">
        <f>IF(OR(Data!$I1552=SottocategorieEntrate[[#Headers],[Real Estate]],SottocategorieEntrate[[#Headers],[Other]]),"$ -","")</f>
        <v/>
      </c>
      <c r="P1552" s="59" t="str">
        <f>IF(OR($I1552&lt;&gt;SottocategorieEntrate[[#Headers],[Business Entrate]],$I1552&lt;&gt;SottocategorieEntrate[[#Headers],[Varie Entrate]],$I1552&lt;&gt;SottocategorieEntrate[[#Headers],[Real Estate]],$I1552&lt;&gt;SottocategorieEntrate[[#Headers],[Other]]),"","$ -")</f>
        <v/>
      </c>
      <c r="Q1552" s="59" t="str">
        <f>IF(Dati[[#This Row],[Categoria]]="Prelievo","€ -","")</f>
        <v/>
      </c>
      <c r="R1552" s="244"/>
      <c r="S1552" s="59" t="str">
        <f>IF(Dati[[#This Row],[Categoria]]="Savings",0,"")</f>
        <v/>
      </c>
      <c r="T1552" s="59"/>
      <c r="U1552" s="59"/>
      <c r="V1552" s="59"/>
      <c r="W1552" s="59"/>
      <c r="X1552" s="59"/>
      <c r="Y1552" s="59"/>
      <c r="Z1552" s="59"/>
      <c r="AA1552" s="59"/>
      <c r="AB1552" s="59"/>
      <c r="AC1552" s="59"/>
      <c r="AD1552" s="59"/>
      <c r="AE1552" s="59"/>
      <c r="AF1552" s="59"/>
      <c r="AG1552" s="59"/>
      <c r="AH1552" s="59"/>
      <c r="AI1552" s="59" t="str">
        <f>IF(SUM(Dati[[#This Row],[Inv. Business]:[Inv. Cryptocurrency]])=0," ",SUM(Dati[[#This Row],[Inv. Business]:[Inv. Cryptocurrency]]))</f>
        <v xml:space="preserve"> </v>
      </c>
      <c r="AJ1552" s="59"/>
      <c r="AK1552" s="59" t="str">
        <f>IF(SUM(Dati[[#This Row],[Inv. Gold]:[Mutuo]])=0," ",SUM(Dati[[#This Row],[Inv. Gold]:[Mutuo]]))</f>
        <v xml:space="preserve"> </v>
      </c>
      <c r="AL1552" s="59"/>
      <c r="AM1552" s="59"/>
    </row>
    <row r="1553" spans="2:39" x14ac:dyDescent="0.35">
      <c r="B1553" s="237">
        <f t="shared" si="111"/>
        <v>1533</v>
      </c>
      <c r="C1553" s="49">
        <f t="shared" si="110"/>
        <v>46111</v>
      </c>
      <c r="D1553" s="29">
        <f>DAY(Dati[[#This Row],[Data]])</f>
        <v>30</v>
      </c>
      <c r="E1553" s="29" t="str">
        <f>IF(DAY(Data!$C$21:$C$1613)&gt;0,TEXT(Data!$C$21:$C$1613, "mmmm"),"")</f>
        <v>marzo</v>
      </c>
      <c r="F1553" s="29" t="str">
        <f>IF(DAY(Data!$C$21:$C$1613)&gt;0,TEXT(Data!$C$21:$C$1613, "aaaa"),"")</f>
        <v>2026</v>
      </c>
      <c r="I1553" t="str">
        <f>IF(OR(H1553=$B$5,H1553=$B$6,H1553=$B$7,H1553=$B$8,H1553=$B$9,H1553=$B$10,H1553=$B$11,H1553=$B$12,H1553=$B$13,H1553=$B$14),SottocategorieUscite[[#Headers],[Fuori Casa]],IF(OR(H1553=$C$5,H1553=$C$6,H1553=$C$7,H1553=$C$8,H1553=$C$9,H1553=$C$10,H1553=$C$11,H1553=$C$12,H1553=$C$13,H1553=$C$14),SottocategorieUscite[[#Headers],[Varie Uscite]],IF(OR(H1553=$D$5,H1553=$D$6,H1553=$D$7,H1553=$D$8,H1553=$D$9,H1553=$D$10,H1553=$D$11,H1553=$D$12,H1553=$D$13,H1553=$D$14),SottocategorieUscite[[#Headers],[Personali]],IF(OR(H1553=$E$5,H1553=$E$6,H1553=$E$7,H1553=$E$8,H1553=$E$9,H1553=$E$10,H1553=$E$11,H1553=$E$12,H1553=$E$13,H1553=$E$14),SottocategorieUscite[[#Headers],[Lavoro]],IF(OR(H1553=$F$5,H1553=$F$6,H1553=$F$7,H1553=$F$8,H1553=$F$9,H1553=$F$10,H1553=$F$11,H1553=$F$12,H1553=$F$13,H1553=$F$14),SottocategorieUscite[[#Headers],[Casa]],IF(OR(H1553=$G$5,H1553=$G$6,H1553=$G$7,H1553=$G$8,H1553=$G$9,H1553=$G$10,H1553=$G$11,H1553=$G$12,H1553=$G$13,H1553=$G$14),SottocategorieUscite[[#Headers],[Utenze]],IF(OR(H1553=$H$5,H1553=$H$6,H1553=$H$7,H1553=$H$8,H1553=$H$9,H1553=$H$10,H1553=$H$11,H1553=$H$12,H1553=$H$13,H1553=$H$14),SottocategorieUscite[[#Headers],[Business Uscite]],IF(OR(H1553=$I$5,H1553=$I$6,H1553=$I$7,H1553=$I$8,H1553=$I$9,H1553=$I$10,H1553=$I$11,H1553=$I$12,H1553=$I$13,H1553=$I$14),SottocategorieUscite[[#Headers],[Banca]],IF(OR(H1553=K$5,H1553=K$6,H1553=K$7,H1553=K$8,H1553=K$9,H1553=K$10,H1553=K$11,H1553=K$12,H1553=K$13,H1553=K$14),SottocategorieEntrate[[#Headers],[Business Entrate]],IF(OR(H1553=L$5,H1553=L$6,H1553=L$7,H1553=L$8,H1553=L$9,H1553=L$10,H1553=L$11,H1553=L$12,H1553=L$13,H1553=L$14),SottocategorieEntrate[[#Headers],[Varie Entrate]],IF(OR(H1553=M$5,H1553=M$6,H1553=M$7,H1553=M$8,H1553=M$9,H1553=M$10,H1553=M$11,H1553=M$12,H1553=M$13,H1553=M$14),SottocategorieEntrate[[#Headers],[Real Estate]],IF(OR(H1553=N$5,H1553=N$6,H1553=N$7,H1553=N$8,H1553=N$9,H1553=N$10,H1553=N$11,H1553=N$12,H1553=N$13,H1553=N$14),SottocategorieEntrate[[#Headers],[Other]],""))))))))))))</f>
        <v/>
      </c>
      <c r="J1553" t="str">
        <f>IF(OR(Dati[[#This Row],[Categoria]]="Bollette",Dati[[#This Row],[Categoria]]="Conto &amp; Carte BNL",Dati[[#This Row],[Categoria]]="Prelievo",Dati[[#This Row],[Categoria]]="Affitto",Dati[[#This Row],[Categoria]]="BNL(Interessi Creditori)"),"Carta",IF(Dati[[#This Row],[Categoria]]&lt;&gt;0,"Cash",""))</f>
        <v/>
      </c>
      <c r="K1553" s="59" t="str">
        <f>IF(OR(Data!$I1553=SottocategorieUscite[[#Headers],[Fuori Casa]],Data!$I1553=SottocategorieUscite[[#Headers],[Varie Uscite]],Data!$I1553=SottocategorieUscite[[#Headers],[Personali]],Data!$I1553=SottocategorieUscite[[#Headers],[Lavoro]]),"$ -","")</f>
        <v/>
      </c>
      <c r="L1553" s="59" t="str">
        <f>IF(OR(Data!$I1553=SottocategorieUscite[[#Headers],[Casa]],Data!$I1553=SottocategorieUscite[[#Headers],[Utenze]],Data!$I1553=SottocategorieUscite[[#Headers],[Business Uscite]],Data!$I1553=SottocategorieUscite[[#Headers],[Banca]]),"$ -","")</f>
        <v/>
      </c>
      <c r="M1553" s="59" t="str">
        <f>IF(OR($I1553&lt;&gt;SottocategorieUscite[[#Headers],[Fuori Casa]],$I1553&lt;&gt;SottocategorieUscite[[#Headers],[Varie Uscite]],$I1553&lt;&gt;SottocategorieUscite[[#Headers],[Personali]],$I1553&lt;&gt;SottocategorieUscite[[#Headers],[Lavoro]],$I1553&lt;&gt;SottocategorieUscite[[#Headers],[Casa]],$I1553&lt;&gt;SottocategorieUscite[[#Headers],[Utenze]],$I1553&lt;&gt;SottocategorieUscite[[#Headers],[Business Uscite]],$I1553&lt;&gt;SottocategorieUscite[[#Headers],[Banca]]),"","$ -")</f>
        <v/>
      </c>
      <c r="N1553" s="59" t="str">
        <f>IF(OR(Data!$I1553=SottocategorieEntrate[[#Headers],[Business Entrate]],Data!$I1553=SottocategorieEntrate[[#Headers],[Varie Entrate]]),"$ -","")</f>
        <v/>
      </c>
      <c r="O1553" s="59" t="str">
        <f>IF(OR(Data!$I1553=SottocategorieEntrate[[#Headers],[Real Estate]],SottocategorieEntrate[[#Headers],[Other]]),"$ -","")</f>
        <v/>
      </c>
      <c r="P1553" s="59" t="str">
        <f>IF(OR($I1553&lt;&gt;SottocategorieEntrate[[#Headers],[Business Entrate]],$I1553&lt;&gt;SottocategorieEntrate[[#Headers],[Varie Entrate]],$I1553&lt;&gt;SottocategorieEntrate[[#Headers],[Real Estate]],$I1553&lt;&gt;SottocategorieEntrate[[#Headers],[Other]]),"","$ -")</f>
        <v/>
      </c>
      <c r="Q1553" s="59" t="str">
        <f>IF(Dati[[#This Row],[Categoria]]="Prelievo","€ -","")</f>
        <v/>
      </c>
      <c r="R1553" s="244"/>
      <c r="S1553" s="59" t="str">
        <f>IF(Dati[[#This Row],[Categoria]]="Savings",0,"")</f>
        <v/>
      </c>
      <c r="T1553" s="59"/>
      <c r="U1553" s="59"/>
      <c r="V1553" s="59"/>
      <c r="W1553" s="59"/>
      <c r="X1553" s="59"/>
      <c r="Y1553" s="59"/>
      <c r="Z1553" s="59"/>
      <c r="AA1553" s="59"/>
      <c r="AB1553" s="59"/>
      <c r="AC1553" s="59"/>
      <c r="AD1553" s="59"/>
      <c r="AE1553" s="59"/>
      <c r="AF1553" s="59"/>
      <c r="AG1553" s="59"/>
      <c r="AH1553" s="59"/>
      <c r="AI1553" s="59" t="str">
        <f>IF(SUM(Dati[[#This Row],[Inv. Business]:[Inv. Cryptocurrency]])=0," ",SUM(Dati[[#This Row],[Inv. Business]:[Inv. Cryptocurrency]]))</f>
        <v xml:space="preserve"> </v>
      </c>
      <c r="AJ1553" s="59"/>
      <c r="AK1553" s="59" t="str">
        <f>IF(SUM(Dati[[#This Row],[Inv. Gold]:[Mutuo]])=0," ",SUM(Dati[[#This Row],[Inv. Gold]:[Mutuo]]))</f>
        <v xml:space="preserve"> </v>
      </c>
      <c r="AL1553" s="59"/>
      <c r="AM1553" s="59"/>
    </row>
    <row r="1554" spans="2:39" x14ac:dyDescent="0.35">
      <c r="B1554" s="237">
        <f t="shared" si="111"/>
        <v>1534</v>
      </c>
      <c r="C1554" s="49">
        <f t="shared" si="110"/>
        <v>46112</v>
      </c>
      <c r="D1554" s="29">
        <f>DAY(Dati[[#This Row],[Data]])</f>
        <v>31</v>
      </c>
      <c r="E1554" s="29" t="str">
        <f>IF(DAY(Data!$C$21:$C$1613)&gt;0,TEXT(Data!$C$21:$C$1613, "mmmm"),"")</f>
        <v>marzo</v>
      </c>
      <c r="F1554" s="29" t="str">
        <f>IF(DAY(Data!$C$21:$C$1613)&gt;0,TEXT(Data!$C$21:$C$1613, "aaaa"),"")</f>
        <v>2026</v>
      </c>
      <c r="I1554" t="str">
        <f>IF(OR(H1554=$B$5,H1554=$B$6,H1554=$B$7,H1554=$B$8,H1554=$B$9,H1554=$B$10,H1554=$B$11,H1554=$B$12,H1554=$B$13,H1554=$B$14),SottocategorieUscite[[#Headers],[Fuori Casa]],IF(OR(H1554=$C$5,H1554=$C$6,H1554=$C$7,H1554=$C$8,H1554=$C$9,H1554=$C$10,H1554=$C$11,H1554=$C$12,H1554=$C$13,H1554=$C$14),SottocategorieUscite[[#Headers],[Varie Uscite]],IF(OR(H1554=$D$5,H1554=$D$6,H1554=$D$7,H1554=$D$8,H1554=$D$9,H1554=$D$10,H1554=$D$11,H1554=$D$12,H1554=$D$13,H1554=$D$14),SottocategorieUscite[[#Headers],[Personali]],IF(OR(H1554=$E$5,H1554=$E$6,H1554=$E$7,H1554=$E$8,H1554=$E$9,H1554=$E$10,H1554=$E$11,H1554=$E$12,H1554=$E$13,H1554=$E$14),SottocategorieUscite[[#Headers],[Lavoro]],IF(OR(H1554=$F$5,H1554=$F$6,H1554=$F$7,H1554=$F$8,H1554=$F$9,H1554=$F$10,H1554=$F$11,H1554=$F$12,H1554=$F$13,H1554=$F$14),SottocategorieUscite[[#Headers],[Casa]],IF(OR(H1554=$G$5,H1554=$G$6,H1554=$G$7,H1554=$G$8,H1554=$G$9,H1554=$G$10,H1554=$G$11,H1554=$G$12,H1554=$G$13,H1554=$G$14),SottocategorieUscite[[#Headers],[Utenze]],IF(OR(H1554=$H$5,H1554=$H$6,H1554=$H$7,H1554=$H$8,H1554=$H$9,H1554=$H$10,H1554=$H$11,H1554=$H$12,H1554=$H$13,H1554=$H$14),SottocategorieUscite[[#Headers],[Business Uscite]],IF(OR(H1554=$I$5,H1554=$I$6,H1554=$I$7,H1554=$I$8,H1554=$I$9,H1554=$I$10,H1554=$I$11,H1554=$I$12,H1554=$I$13,H1554=$I$14),SottocategorieUscite[[#Headers],[Banca]],IF(OR(H1554=K$5,H1554=K$6,H1554=K$7,H1554=K$8,H1554=K$9,H1554=K$10,H1554=K$11,H1554=K$12,H1554=K$13,H1554=K$14),SottocategorieEntrate[[#Headers],[Business Entrate]],IF(OR(H1554=L$5,H1554=L$6,H1554=L$7,H1554=L$8,H1554=L$9,H1554=L$10,H1554=L$11,H1554=L$12,H1554=L$13,H1554=L$14),SottocategorieEntrate[[#Headers],[Varie Entrate]],IF(OR(H1554=M$5,H1554=M$6,H1554=M$7,H1554=M$8,H1554=M$9,H1554=M$10,H1554=M$11,H1554=M$12,H1554=M$13,H1554=M$14),SottocategorieEntrate[[#Headers],[Real Estate]],IF(OR(H1554=N$5,H1554=N$6,H1554=N$7,H1554=N$8,H1554=N$9,H1554=N$10,H1554=N$11,H1554=N$12,H1554=N$13,H1554=N$14),SottocategorieEntrate[[#Headers],[Other]],""))))))))))))</f>
        <v/>
      </c>
      <c r="J1554" t="str">
        <f>IF(OR(Dati[[#This Row],[Categoria]]="Bollette",Dati[[#This Row],[Categoria]]="Conto &amp; Carte BNL",Dati[[#This Row],[Categoria]]="Prelievo",Dati[[#This Row],[Categoria]]="Affitto",Dati[[#This Row],[Categoria]]="BNL(Interessi Creditori)"),"Carta",IF(Dati[[#This Row],[Categoria]]&lt;&gt;0,"Cash",""))</f>
        <v/>
      </c>
      <c r="K1554" s="59" t="str">
        <f>IF(OR(Data!$I1554=SottocategorieUscite[[#Headers],[Fuori Casa]],Data!$I1554=SottocategorieUscite[[#Headers],[Varie Uscite]],Data!$I1554=SottocategorieUscite[[#Headers],[Personali]],Data!$I1554=SottocategorieUscite[[#Headers],[Lavoro]]),"$ -","")</f>
        <v/>
      </c>
      <c r="L1554" s="59" t="str">
        <f>IF(OR(Data!$I1554=SottocategorieUscite[[#Headers],[Casa]],Data!$I1554=SottocategorieUscite[[#Headers],[Utenze]],Data!$I1554=SottocategorieUscite[[#Headers],[Business Uscite]],Data!$I1554=SottocategorieUscite[[#Headers],[Banca]]),"$ -","")</f>
        <v/>
      </c>
      <c r="M1554" s="59" t="str">
        <f>IF(OR($I1554&lt;&gt;SottocategorieUscite[[#Headers],[Fuori Casa]],$I1554&lt;&gt;SottocategorieUscite[[#Headers],[Varie Uscite]],$I1554&lt;&gt;SottocategorieUscite[[#Headers],[Personali]],$I1554&lt;&gt;SottocategorieUscite[[#Headers],[Lavoro]],$I1554&lt;&gt;SottocategorieUscite[[#Headers],[Casa]],$I1554&lt;&gt;SottocategorieUscite[[#Headers],[Utenze]],$I1554&lt;&gt;SottocategorieUscite[[#Headers],[Business Uscite]],$I1554&lt;&gt;SottocategorieUscite[[#Headers],[Banca]]),"","$ -")</f>
        <v/>
      </c>
      <c r="N1554" s="59" t="str">
        <f>IF(OR(Data!$I1554=SottocategorieEntrate[[#Headers],[Business Entrate]],Data!$I1554=SottocategorieEntrate[[#Headers],[Varie Entrate]]),"$ -","")</f>
        <v/>
      </c>
      <c r="O1554" s="59" t="str">
        <f>IF(OR(Data!$I1554=SottocategorieEntrate[[#Headers],[Real Estate]],SottocategorieEntrate[[#Headers],[Other]]),"$ -","")</f>
        <v/>
      </c>
      <c r="P1554" s="59" t="str">
        <f>IF(OR($I1554&lt;&gt;SottocategorieEntrate[[#Headers],[Business Entrate]],$I1554&lt;&gt;SottocategorieEntrate[[#Headers],[Varie Entrate]],$I1554&lt;&gt;SottocategorieEntrate[[#Headers],[Real Estate]],$I1554&lt;&gt;SottocategorieEntrate[[#Headers],[Other]]),"","$ -")</f>
        <v/>
      </c>
      <c r="Q1554" s="59" t="str">
        <f>IF(Dati[[#This Row],[Categoria]]="Prelievo","€ -","")</f>
        <v/>
      </c>
      <c r="R1554" s="244"/>
      <c r="S1554" s="59" t="str">
        <f>IF(Dati[[#This Row],[Categoria]]="Savings",0,"")</f>
        <v/>
      </c>
      <c r="T1554" s="59"/>
      <c r="U1554" s="59"/>
      <c r="V1554" s="59"/>
      <c r="W1554" s="59"/>
      <c r="X1554" s="59"/>
      <c r="Y1554" s="59"/>
      <c r="Z1554" s="59"/>
      <c r="AA1554" s="59"/>
      <c r="AB1554" s="59"/>
      <c r="AC1554" s="59"/>
      <c r="AD1554" s="59"/>
      <c r="AE1554" s="59"/>
      <c r="AF1554" s="59"/>
      <c r="AG1554" s="59"/>
      <c r="AH1554" s="59"/>
      <c r="AI1554" s="59" t="str">
        <f>IF(SUM(Dati[[#This Row],[Inv. Business]:[Inv. Cryptocurrency]])=0," ",SUM(Dati[[#This Row],[Inv. Business]:[Inv. Cryptocurrency]]))</f>
        <v xml:space="preserve"> </v>
      </c>
      <c r="AJ1554" s="59"/>
      <c r="AK1554" s="59" t="str">
        <f>IF(SUM(Dati[[#This Row],[Inv. Gold]:[Mutuo]])=0," ",SUM(Dati[[#This Row],[Inv. Gold]:[Mutuo]]))</f>
        <v xml:space="preserve"> </v>
      </c>
      <c r="AL1554" s="59"/>
      <c r="AM1554" s="59"/>
    </row>
    <row r="1555" spans="2:39" x14ac:dyDescent="0.35">
      <c r="B1555" s="237">
        <f t="shared" si="111"/>
        <v>1535</v>
      </c>
      <c r="C1555" s="49">
        <f t="shared" si="110"/>
        <v>46113</v>
      </c>
      <c r="D1555" s="29">
        <f>DAY(Dati[[#This Row],[Data]])</f>
        <v>1</v>
      </c>
      <c r="E1555" s="29" t="str">
        <f>IF(DAY(Data!$C$21:$C$1613)&gt;0,TEXT(Data!$C$21:$C$1613, "mmmm"),"")</f>
        <v>aprile</v>
      </c>
      <c r="F1555" s="29" t="str">
        <f>IF(DAY(Data!$C$21:$C$1613)&gt;0,TEXT(Data!$C$21:$C$1613, "aaaa"),"")</f>
        <v>2026</v>
      </c>
      <c r="I1555" t="str">
        <f>IF(OR(H1555=$B$5,H1555=$B$6,H1555=$B$7,H1555=$B$8,H1555=$B$9,H1555=$B$10,H1555=$B$11,H1555=$B$12,H1555=$B$13,H1555=$B$14),SottocategorieUscite[[#Headers],[Fuori Casa]],IF(OR(H1555=$C$5,H1555=$C$6,H1555=$C$7,H1555=$C$8,H1555=$C$9,H1555=$C$10,H1555=$C$11,H1555=$C$12,H1555=$C$13,H1555=$C$14),SottocategorieUscite[[#Headers],[Varie Uscite]],IF(OR(H1555=$D$5,H1555=$D$6,H1555=$D$7,H1555=$D$8,H1555=$D$9,H1555=$D$10,H1555=$D$11,H1555=$D$12,H1555=$D$13,H1555=$D$14),SottocategorieUscite[[#Headers],[Personali]],IF(OR(H1555=$E$5,H1555=$E$6,H1555=$E$7,H1555=$E$8,H1555=$E$9,H1555=$E$10,H1555=$E$11,H1555=$E$12,H1555=$E$13,H1555=$E$14),SottocategorieUscite[[#Headers],[Lavoro]],IF(OR(H1555=$F$5,H1555=$F$6,H1555=$F$7,H1555=$F$8,H1555=$F$9,H1555=$F$10,H1555=$F$11,H1555=$F$12,H1555=$F$13,H1555=$F$14),SottocategorieUscite[[#Headers],[Casa]],IF(OR(H1555=$G$5,H1555=$G$6,H1555=$G$7,H1555=$G$8,H1555=$G$9,H1555=$G$10,H1555=$G$11,H1555=$G$12,H1555=$G$13,H1555=$G$14),SottocategorieUscite[[#Headers],[Utenze]],IF(OR(H1555=$H$5,H1555=$H$6,H1555=$H$7,H1555=$H$8,H1555=$H$9,H1555=$H$10,H1555=$H$11,H1555=$H$12,H1555=$H$13,H1555=$H$14),SottocategorieUscite[[#Headers],[Business Uscite]],IF(OR(H1555=$I$5,H1555=$I$6,H1555=$I$7,H1555=$I$8,H1555=$I$9,H1555=$I$10,H1555=$I$11,H1555=$I$12,H1555=$I$13,H1555=$I$14),SottocategorieUscite[[#Headers],[Banca]],IF(OR(H1555=K$5,H1555=K$6,H1555=K$7,H1555=K$8,H1555=K$9,H1555=K$10,H1555=K$11,H1555=K$12,H1555=K$13,H1555=K$14),SottocategorieEntrate[[#Headers],[Business Entrate]],IF(OR(H1555=L$5,H1555=L$6,H1555=L$7,H1555=L$8,H1555=L$9,H1555=L$10,H1555=L$11,H1555=L$12,H1555=L$13,H1555=L$14),SottocategorieEntrate[[#Headers],[Varie Entrate]],IF(OR(H1555=M$5,H1555=M$6,H1555=M$7,H1555=M$8,H1555=M$9,H1555=M$10,H1555=M$11,H1555=M$12,H1555=M$13,H1555=M$14),SottocategorieEntrate[[#Headers],[Real Estate]],IF(OR(H1555=N$5,H1555=N$6,H1555=N$7,H1555=N$8,H1555=N$9,H1555=N$10,H1555=N$11,H1555=N$12,H1555=N$13,H1555=N$14),SottocategorieEntrate[[#Headers],[Other]],""))))))))))))</f>
        <v/>
      </c>
      <c r="J1555" t="str">
        <f>IF(OR(Dati[[#This Row],[Categoria]]="Bollette",Dati[[#This Row],[Categoria]]="Conto &amp; Carte BNL",Dati[[#This Row],[Categoria]]="Prelievo",Dati[[#This Row],[Categoria]]="Affitto",Dati[[#This Row],[Categoria]]="BNL(Interessi Creditori)"),"Carta",IF(Dati[[#This Row],[Categoria]]&lt;&gt;0,"Cash",""))</f>
        <v/>
      </c>
      <c r="K1555" s="59" t="str">
        <f>IF(OR(Data!$I1555=SottocategorieUscite[[#Headers],[Fuori Casa]],Data!$I1555=SottocategorieUscite[[#Headers],[Varie Uscite]],Data!$I1555=SottocategorieUscite[[#Headers],[Personali]],Data!$I1555=SottocategorieUscite[[#Headers],[Lavoro]]),"$ -","")</f>
        <v/>
      </c>
      <c r="L1555" s="59" t="str">
        <f>IF(OR(Data!$I1555=SottocategorieUscite[[#Headers],[Casa]],Data!$I1555=SottocategorieUscite[[#Headers],[Utenze]],Data!$I1555=SottocategorieUscite[[#Headers],[Business Uscite]],Data!$I1555=SottocategorieUscite[[#Headers],[Banca]]),"$ -","")</f>
        <v/>
      </c>
      <c r="M1555" s="59" t="str">
        <f>IF(OR($I1555&lt;&gt;SottocategorieUscite[[#Headers],[Fuori Casa]],$I1555&lt;&gt;SottocategorieUscite[[#Headers],[Varie Uscite]],$I1555&lt;&gt;SottocategorieUscite[[#Headers],[Personali]],$I1555&lt;&gt;SottocategorieUscite[[#Headers],[Lavoro]],$I1555&lt;&gt;SottocategorieUscite[[#Headers],[Casa]],$I1555&lt;&gt;SottocategorieUscite[[#Headers],[Utenze]],$I1555&lt;&gt;SottocategorieUscite[[#Headers],[Business Uscite]],$I1555&lt;&gt;SottocategorieUscite[[#Headers],[Banca]]),"","$ -")</f>
        <v/>
      </c>
      <c r="N1555" s="59" t="str">
        <f>IF(OR(Data!$I1555=SottocategorieEntrate[[#Headers],[Business Entrate]],Data!$I1555=SottocategorieEntrate[[#Headers],[Varie Entrate]]),"$ -","")</f>
        <v/>
      </c>
      <c r="O1555" s="59" t="str">
        <f>IF(OR(Data!$I1555=SottocategorieEntrate[[#Headers],[Real Estate]],SottocategorieEntrate[[#Headers],[Other]]),"$ -","")</f>
        <v/>
      </c>
      <c r="P1555" s="59" t="str">
        <f>IF(OR($I1555&lt;&gt;SottocategorieEntrate[[#Headers],[Business Entrate]],$I1555&lt;&gt;SottocategorieEntrate[[#Headers],[Varie Entrate]],$I1555&lt;&gt;SottocategorieEntrate[[#Headers],[Real Estate]],$I1555&lt;&gt;SottocategorieEntrate[[#Headers],[Other]]),"","$ -")</f>
        <v/>
      </c>
      <c r="Q1555" s="59" t="str">
        <f>IF(Dati[[#This Row],[Categoria]]="Prelievo","€ -","")</f>
        <v/>
      </c>
      <c r="R1555" s="244"/>
      <c r="S1555" s="59" t="str">
        <f>IF(Dati[[#This Row],[Categoria]]="Savings",0,"")</f>
        <v/>
      </c>
      <c r="T1555" s="59"/>
      <c r="U1555" s="59"/>
      <c r="V1555" s="59"/>
      <c r="W1555" s="59"/>
      <c r="X1555" s="59"/>
      <c r="Y1555" s="59"/>
      <c r="Z1555" s="59"/>
      <c r="AA1555" s="59"/>
      <c r="AB1555" s="59"/>
      <c r="AC1555" s="59"/>
      <c r="AD1555" s="59"/>
      <c r="AE1555" s="59"/>
      <c r="AF1555" s="59"/>
      <c r="AG1555" s="59"/>
      <c r="AH1555" s="59"/>
      <c r="AI1555" s="59" t="str">
        <f>IF(SUM(Dati[[#This Row],[Inv. Business]:[Inv. Cryptocurrency]])=0," ",SUM(Dati[[#This Row],[Inv. Business]:[Inv. Cryptocurrency]]))</f>
        <v xml:space="preserve"> </v>
      </c>
      <c r="AJ1555" s="59"/>
      <c r="AK1555" s="59" t="str">
        <f>IF(SUM(Dati[[#This Row],[Inv. Gold]:[Mutuo]])=0," ",SUM(Dati[[#This Row],[Inv. Gold]:[Mutuo]]))</f>
        <v xml:space="preserve"> </v>
      </c>
      <c r="AL1555" s="59"/>
      <c r="AM1555" s="59"/>
    </row>
    <row r="1556" spans="2:39" x14ac:dyDescent="0.35">
      <c r="B1556" s="237">
        <f t="shared" si="111"/>
        <v>1536</v>
      </c>
      <c r="C1556" s="49">
        <f t="shared" si="110"/>
        <v>46114</v>
      </c>
      <c r="D1556" s="29">
        <f>DAY(Dati[[#This Row],[Data]])</f>
        <v>2</v>
      </c>
      <c r="E1556" s="29" t="str">
        <f>IF(DAY(Data!$C$21:$C$1613)&gt;0,TEXT(Data!$C$21:$C$1613, "mmmm"),"")</f>
        <v>aprile</v>
      </c>
      <c r="F1556" s="29" t="str">
        <f>IF(DAY(Data!$C$21:$C$1613)&gt;0,TEXT(Data!$C$21:$C$1613, "aaaa"),"")</f>
        <v>2026</v>
      </c>
      <c r="I1556" t="str">
        <f>IF(OR(H1556=$B$5,H1556=$B$6,H1556=$B$7,H1556=$B$8,H1556=$B$9,H1556=$B$10,H1556=$B$11,H1556=$B$12,H1556=$B$13,H1556=$B$14),SottocategorieUscite[[#Headers],[Fuori Casa]],IF(OR(H1556=$C$5,H1556=$C$6,H1556=$C$7,H1556=$C$8,H1556=$C$9,H1556=$C$10,H1556=$C$11,H1556=$C$12,H1556=$C$13,H1556=$C$14),SottocategorieUscite[[#Headers],[Varie Uscite]],IF(OR(H1556=$D$5,H1556=$D$6,H1556=$D$7,H1556=$D$8,H1556=$D$9,H1556=$D$10,H1556=$D$11,H1556=$D$12,H1556=$D$13,H1556=$D$14),SottocategorieUscite[[#Headers],[Personali]],IF(OR(H1556=$E$5,H1556=$E$6,H1556=$E$7,H1556=$E$8,H1556=$E$9,H1556=$E$10,H1556=$E$11,H1556=$E$12,H1556=$E$13,H1556=$E$14),SottocategorieUscite[[#Headers],[Lavoro]],IF(OR(H1556=$F$5,H1556=$F$6,H1556=$F$7,H1556=$F$8,H1556=$F$9,H1556=$F$10,H1556=$F$11,H1556=$F$12,H1556=$F$13,H1556=$F$14),SottocategorieUscite[[#Headers],[Casa]],IF(OR(H1556=$G$5,H1556=$G$6,H1556=$G$7,H1556=$G$8,H1556=$G$9,H1556=$G$10,H1556=$G$11,H1556=$G$12,H1556=$G$13,H1556=$G$14),SottocategorieUscite[[#Headers],[Utenze]],IF(OR(H1556=$H$5,H1556=$H$6,H1556=$H$7,H1556=$H$8,H1556=$H$9,H1556=$H$10,H1556=$H$11,H1556=$H$12,H1556=$H$13,H1556=$H$14),SottocategorieUscite[[#Headers],[Business Uscite]],IF(OR(H1556=$I$5,H1556=$I$6,H1556=$I$7,H1556=$I$8,H1556=$I$9,H1556=$I$10,H1556=$I$11,H1556=$I$12,H1556=$I$13,H1556=$I$14),SottocategorieUscite[[#Headers],[Banca]],IF(OR(H1556=K$5,H1556=K$6,H1556=K$7,H1556=K$8,H1556=K$9,H1556=K$10,H1556=K$11,H1556=K$12,H1556=K$13,H1556=K$14),SottocategorieEntrate[[#Headers],[Business Entrate]],IF(OR(H1556=L$5,H1556=L$6,H1556=L$7,H1556=L$8,H1556=L$9,H1556=L$10,H1556=L$11,H1556=L$12,H1556=L$13,H1556=L$14),SottocategorieEntrate[[#Headers],[Varie Entrate]],IF(OR(H1556=M$5,H1556=M$6,H1556=M$7,H1556=M$8,H1556=M$9,H1556=M$10,H1556=M$11,H1556=M$12,H1556=M$13,H1556=M$14),SottocategorieEntrate[[#Headers],[Real Estate]],IF(OR(H1556=N$5,H1556=N$6,H1556=N$7,H1556=N$8,H1556=N$9,H1556=N$10,H1556=N$11,H1556=N$12,H1556=N$13,H1556=N$14),SottocategorieEntrate[[#Headers],[Other]],""))))))))))))</f>
        <v/>
      </c>
      <c r="J1556" t="str">
        <f>IF(OR(Dati[[#This Row],[Categoria]]="Bollette",Dati[[#This Row],[Categoria]]="Conto &amp; Carte BNL",Dati[[#This Row],[Categoria]]="Prelievo",Dati[[#This Row],[Categoria]]="Affitto",Dati[[#This Row],[Categoria]]="BNL(Interessi Creditori)"),"Carta",IF(Dati[[#This Row],[Categoria]]&lt;&gt;0,"Cash",""))</f>
        <v/>
      </c>
      <c r="K1556" s="59" t="str">
        <f>IF(OR(Data!$I1556=SottocategorieUscite[[#Headers],[Fuori Casa]],Data!$I1556=SottocategorieUscite[[#Headers],[Varie Uscite]],Data!$I1556=SottocategorieUscite[[#Headers],[Personali]],Data!$I1556=SottocategorieUscite[[#Headers],[Lavoro]]),"$ -","")</f>
        <v/>
      </c>
      <c r="L1556" s="59" t="str">
        <f>IF(OR(Data!$I1556=SottocategorieUscite[[#Headers],[Casa]],Data!$I1556=SottocategorieUscite[[#Headers],[Utenze]],Data!$I1556=SottocategorieUscite[[#Headers],[Business Uscite]],Data!$I1556=SottocategorieUscite[[#Headers],[Banca]]),"$ -","")</f>
        <v/>
      </c>
      <c r="M1556" s="59" t="str">
        <f>IF(OR($I1556&lt;&gt;SottocategorieUscite[[#Headers],[Fuori Casa]],$I1556&lt;&gt;SottocategorieUscite[[#Headers],[Varie Uscite]],$I1556&lt;&gt;SottocategorieUscite[[#Headers],[Personali]],$I1556&lt;&gt;SottocategorieUscite[[#Headers],[Lavoro]],$I1556&lt;&gt;SottocategorieUscite[[#Headers],[Casa]],$I1556&lt;&gt;SottocategorieUscite[[#Headers],[Utenze]],$I1556&lt;&gt;SottocategorieUscite[[#Headers],[Business Uscite]],$I1556&lt;&gt;SottocategorieUscite[[#Headers],[Banca]]),"","$ -")</f>
        <v/>
      </c>
      <c r="N1556" s="59" t="str">
        <f>IF(OR(Data!$I1556=SottocategorieEntrate[[#Headers],[Business Entrate]],Data!$I1556=SottocategorieEntrate[[#Headers],[Varie Entrate]]),"$ -","")</f>
        <v/>
      </c>
      <c r="O1556" s="59" t="str">
        <f>IF(OR(Data!$I1556=SottocategorieEntrate[[#Headers],[Real Estate]],SottocategorieEntrate[[#Headers],[Other]]),"$ -","")</f>
        <v/>
      </c>
      <c r="P1556" s="59" t="str">
        <f>IF(OR($I1556&lt;&gt;SottocategorieEntrate[[#Headers],[Business Entrate]],$I1556&lt;&gt;SottocategorieEntrate[[#Headers],[Varie Entrate]],$I1556&lt;&gt;SottocategorieEntrate[[#Headers],[Real Estate]],$I1556&lt;&gt;SottocategorieEntrate[[#Headers],[Other]]),"","$ -")</f>
        <v/>
      </c>
      <c r="Q1556" s="59" t="str">
        <f>IF(Dati[[#This Row],[Categoria]]="Prelievo","€ -","")</f>
        <v/>
      </c>
      <c r="R1556" s="244"/>
      <c r="S1556" s="59" t="str">
        <f>IF(Dati[[#This Row],[Categoria]]="Savings",0,"")</f>
        <v/>
      </c>
      <c r="T1556" s="59"/>
      <c r="U1556" s="59"/>
      <c r="V1556" s="59"/>
      <c r="W1556" s="59"/>
      <c r="X1556" s="59"/>
      <c r="Y1556" s="59"/>
      <c r="Z1556" s="59"/>
      <c r="AA1556" s="59"/>
      <c r="AB1556" s="59"/>
      <c r="AC1556" s="59"/>
      <c r="AD1556" s="59"/>
      <c r="AE1556" s="59"/>
      <c r="AF1556" s="59"/>
      <c r="AG1556" s="59"/>
      <c r="AH1556" s="59"/>
      <c r="AI1556" s="59" t="str">
        <f>IF(SUM(Dati[[#This Row],[Inv. Business]:[Inv. Cryptocurrency]])=0," ",SUM(Dati[[#This Row],[Inv. Business]:[Inv. Cryptocurrency]]))</f>
        <v xml:space="preserve"> </v>
      </c>
      <c r="AJ1556" s="59"/>
      <c r="AK1556" s="59" t="str">
        <f>IF(SUM(Dati[[#This Row],[Inv. Gold]:[Mutuo]])=0," ",SUM(Dati[[#This Row],[Inv. Gold]:[Mutuo]]))</f>
        <v xml:space="preserve"> </v>
      </c>
      <c r="AL1556" s="59"/>
      <c r="AM1556" s="59"/>
    </row>
    <row r="1557" spans="2:39" x14ac:dyDescent="0.35">
      <c r="B1557" s="237">
        <f t="shared" si="111"/>
        <v>1537</v>
      </c>
      <c r="C1557" s="49">
        <f t="shared" si="110"/>
        <v>46115</v>
      </c>
      <c r="D1557" s="29">
        <f>DAY(Dati[[#This Row],[Data]])</f>
        <v>3</v>
      </c>
      <c r="E1557" s="29" t="str">
        <f>IF(DAY(Data!$C$21:$C$1613)&gt;0,TEXT(Data!$C$21:$C$1613, "mmmm"),"")</f>
        <v>aprile</v>
      </c>
      <c r="F1557" s="29" t="str">
        <f>IF(DAY(Data!$C$21:$C$1613)&gt;0,TEXT(Data!$C$21:$C$1613, "aaaa"),"")</f>
        <v>2026</v>
      </c>
      <c r="I1557" t="str">
        <f>IF(OR(H1557=$B$5,H1557=$B$6,H1557=$B$7,H1557=$B$8,H1557=$B$9,H1557=$B$10,H1557=$B$11,H1557=$B$12,H1557=$B$13,H1557=$B$14),SottocategorieUscite[[#Headers],[Fuori Casa]],IF(OR(H1557=$C$5,H1557=$C$6,H1557=$C$7,H1557=$C$8,H1557=$C$9,H1557=$C$10,H1557=$C$11,H1557=$C$12,H1557=$C$13,H1557=$C$14),SottocategorieUscite[[#Headers],[Varie Uscite]],IF(OR(H1557=$D$5,H1557=$D$6,H1557=$D$7,H1557=$D$8,H1557=$D$9,H1557=$D$10,H1557=$D$11,H1557=$D$12,H1557=$D$13,H1557=$D$14),SottocategorieUscite[[#Headers],[Personali]],IF(OR(H1557=$E$5,H1557=$E$6,H1557=$E$7,H1557=$E$8,H1557=$E$9,H1557=$E$10,H1557=$E$11,H1557=$E$12,H1557=$E$13,H1557=$E$14),SottocategorieUscite[[#Headers],[Lavoro]],IF(OR(H1557=$F$5,H1557=$F$6,H1557=$F$7,H1557=$F$8,H1557=$F$9,H1557=$F$10,H1557=$F$11,H1557=$F$12,H1557=$F$13,H1557=$F$14),SottocategorieUscite[[#Headers],[Casa]],IF(OR(H1557=$G$5,H1557=$G$6,H1557=$G$7,H1557=$G$8,H1557=$G$9,H1557=$G$10,H1557=$G$11,H1557=$G$12,H1557=$G$13,H1557=$G$14),SottocategorieUscite[[#Headers],[Utenze]],IF(OR(H1557=$H$5,H1557=$H$6,H1557=$H$7,H1557=$H$8,H1557=$H$9,H1557=$H$10,H1557=$H$11,H1557=$H$12,H1557=$H$13,H1557=$H$14),SottocategorieUscite[[#Headers],[Business Uscite]],IF(OR(H1557=$I$5,H1557=$I$6,H1557=$I$7,H1557=$I$8,H1557=$I$9,H1557=$I$10,H1557=$I$11,H1557=$I$12,H1557=$I$13,H1557=$I$14),SottocategorieUscite[[#Headers],[Banca]],IF(OR(H1557=K$5,H1557=K$6,H1557=K$7,H1557=K$8,H1557=K$9,H1557=K$10,H1557=K$11,H1557=K$12,H1557=K$13,H1557=K$14),SottocategorieEntrate[[#Headers],[Business Entrate]],IF(OR(H1557=L$5,H1557=L$6,H1557=L$7,H1557=L$8,H1557=L$9,H1557=L$10,H1557=L$11,H1557=L$12,H1557=L$13,H1557=L$14),SottocategorieEntrate[[#Headers],[Varie Entrate]],IF(OR(H1557=M$5,H1557=M$6,H1557=M$7,H1557=M$8,H1557=M$9,H1557=M$10,H1557=M$11,H1557=M$12,H1557=M$13,H1557=M$14),SottocategorieEntrate[[#Headers],[Real Estate]],IF(OR(H1557=N$5,H1557=N$6,H1557=N$7,H1557=N$8,H1557=N$9,H1557=N$10,H1557=N$11,H1557=N$12,H1557=N$13,H1557=N$14),SottocategorieEntrate[[#Headers],[Other]],""))))))))))))</f>
        <v/>
      </c>
      <c r="J1557" t="str">
        <f>IF(OR(Dati[[#This Row],[Categoria]]="Bollette",Dati[[#This Row],[Categoria]]="Conto &amp; Carte BNL",Dati[[#This Row],[Categoria]]="Prelievo",Dati[[#This Row],[Categoria]]="Affitto",Dati[[#This Row],[Categoria]]="BNL(Interessi Creditori)"),"Carta",IF(Dati[[#This Row],[Categoria]]&lt;&gt;0,"Cash",""))</f>
        <v/>
      </c>
      <c r="K1557" s="59" t="str">
        <f>IF(OR(Data!$I1557=SottocategorieUscite[[#Headers],[Fuori Casa]],Data!$I1557=SottocategorieUscite[[#Headers],[Varie Uscite]],Data!$I1557=SottocategorieUscite[[#Headers],[Personali]],Data!$I1557=SottocategorieUscite[[#Headers],[Lavoro]]),"$ -","")</f>
        <v/>
      </c>
      <c r="L1557" s="59" t="str">
        <f>IF(OR(Data!$I1557=SottocategorieUscite[[#Headers],[Casa]],Data!$I1557=SottocategorieUscite[[#Headers],[Utenze]],Data!$I1557=SottocategorieUscite[[#Headers],[Business Uscite]],Data!$I1557=SottocategorieUscite[[#Headers],[Banca]]),"$ -","")</f>
        <v/>
      </c>
      <c r="M1557" s="59" t="str">
        <f>IF(OR($I1557&lt;&gt;SottocategorieUscite[[#Headers],[Fuori Casa]],$I1557&lt;&gt;SottocategorieUscite[[#Headers],[Varie Uscite]],$I1557&lt;&gt;SottocategorieUscite[[#Headers],[Personali]],$I1557&lt;&gt;SottocategorieUscite[[#Headers],[Lavoro]],$I1557&lt;&gt;SottocategorieUscite[[#Headers],[Casa]],$I1557&lt;&gt;SottocategorieUscite[[#Headers],[Utenze]],$I1557&lt;&gt;SottocategorieUscite[[#Headers],[Business Uscite]],$I1557&lt;&gt;SottocategorieUscite[[#Headers],[Banca]]),"","$ -")</f>
        <v/>
      </c>
      <c r="N1557" s="59" t="str">
        <f>IF(OR(Data!$I1557=SottocategorieEntrate[[#Headers],[Business Entrate]],Data!$I1557=SottocategorieEntrate[[#Headers],[Varie Entrate]]),"$ -","")</f>
        <v/>
      </c>
      <c r="O1557" s="59" t="str">
        <f>IF(OR(Data!$I1557=SottocategorieEntrate[[#Headers],[Real Estate]],SottocategorieEntrate[[#Headers],[Other]]),"$ -","")</f>
        <v/>
      </c>
      <c r="P1557" s="59" t="str">
        <f>IF(OR($I1557&lt;&gt;SottocategorieEntrate[[#Headers],[Business Entrate]],$I1557&lt;&gt;SottocategorieEntrate[[#Headers],[Varie Entrate]],$I1557&lt;&gt;SottocategorieEntrate[[#Headers],[Real Estate]],$I1557&lt;&gt;SottocategorieEntrate[[#Headers],[Other]]),"","$ -")</f>
        <v/>
      </c>
      <c r="Q1557" s="59" t="str">
        <f>IF(Dati[[#This Row],[Categoria]]="Prelievo","€ -","")</f>
        <v/>
      </c>
      <c r="R1557" s="244"/>
      <c r="S1557" s="59" t="str">
        <f>IF(Dati[[#This Row],[Categoria]]="Savings",0,"")</f>
        <v/>
      </c>
      <c r="T1557" s="59"/>
      <c r="U1557" s="59"/>
      <c r="V1557" s="59"/>
      <c r="W1557" s="59"/>
      <c r="X1557" s="59"/>
      <c r="Y1557" s="59"/>
      <c r="Z1557" s="59"/>
      <c r="AA1557" s="59"/>
      <c r="AB1557" s="59"/>
      <c r="AC1557" s="59"/>
      <c r="AD1557" s="59"/>
      <c r="AE1557" s="59"/>
      <c r="AF1557" s="59"/>
      <c r="AG1557" s="59"/>
      <c r="AH1557" s="59"/>
      <c r="AI1557" s="59" t="str">
        <f>IF(SUM(Dati[[#This Row],[Inv. Business]:[Inv. Cryptocurrency]])=0," ",SUM(Dati[[#This Row],[Inv. Business]:[Inv. Cryptocurrency]]))</f>
        <v xml:space="preserve"> </v>
      </c>
      <c r="AJ1557" s="59"/>
      <c r="AK1557" s="59" t="str">
        <f>IF(SUM(Dati[[#This Row],[Inv. Gold]:[Mutuo]])=0," ",SUM(Dati[[#This Row],[Inv. Gold]:[Mutuo]]))</f>
        <v xml:space="preserve"> </v>
      </c>
      <c r="AL1557" s="59"/>
      <c r="AM1557" s="59"/>
    </row>
    <row r="1558" spans="2:39" x14ac:dyDescent="0.35">
      <c r="B1558" s="237">
        <f t="shared" si="111"/>
        <v>1538</v>
      </c>
      <c r="C1558" s="49">
        <f t="shared" si="110"/>
        <v>46116</v>
      </c>
      <c r="D1558" s="29">
        <f>DAY(Dati[[#This Row],[Data]])</f>
        <v>4</v>
      </c>
      <c r="E1558" s="29" t="str">
        <f>IF(DAY(Data!$C$21:$C$1613)&gt;0,TEXT(Data!$C$21:$C$1613, "mmmm"),"")</f>
        <v>aprile</v>
      </c>
      <c r="F1558" s="29" t="str">
        <f>IF(DAY(Data!$C$21:$C$1613)&gt;0,TEXT(Data!$C$21:$C$1613, "aaaa"),"")</f>
        <v>2026</v>
      </c>
      <c r="I1558" t="str">
        <f>IF(OR(H1558=$B$5,H1558=$B$6,H1558=$B$7,H1558=$B$8,H1558=$B$9,H1558=$B$10,H1558=$B$11,H1558=$B$12,H1558=$B$13,H1558=$B$14),SottocategorieUscite[[#Headers],[Fuori Casa]],IF(OR(H1558=$C$5,H1558=$C$6,H1558=$C$7,H1558=$C$8,H1558=$C$9,H1558=$C$10,H1558=$C$11,H1558=$C$12,H1558=$C$13,H1558=$C$14),SottocategorieUscite[[#Headers],[Varie Uscite]],IF(OR(H1558=$D$5,H1558=$D$6,H1558=$D$7,H1558=$D$8,H1558=$D$9,H1558=$D$10,H1558=$D$11,H1558=$D$12,H1558=$D$13,H1558=$D$14),SottocategorieUscite[[#Headers],[Personali]],IF(OR(H1558=$E$5,H1558=$E$6,H1558=$E$7,H1558=$E$8,H1558=$E$9,H1558=$E$10,H1558=$E$11,H1558=$E$12,H1558=$E$13,H1558=$E$14),SottocategorieUscite[[#Headers],[Lavoro]],IF(OR(H1558=$F$5,H1558=$F$6,H1558=$F$7,H1558=$F$8,H1558=$F$9,H1558=$F$10,H1558=$F$11,H1558=$F$12,H1558=$F$13,H1558=$F$14),SottocategorieUscite[[#Headers],[Casa]],IF(OR(H1558=$G$5,H1558=$G$6,H1558=$G$7,H1558=$G$8,H1558=$G$9,H1558=$G$10,H1558=$G$11,H1558=$G$12,H1558=$G$13,H1558=$G$14),SottocategorieUscite[[#Headers],[Utenze]],IF(OR(H1558=$H$5,H1558=$H$6,H1558=$H$7,H1558=$H$8,H1558=$H$9,H1558=$H$10,H1558=$H$11,H1558=$H$12,H1558=$H$13,H1558=$H$14),SottocategorieUscite[[#Headers],[Business Uscite]],IF(OR(H1558=$I$5,H1558=$I$6,H1558=$I$7,H1558=$I$8,H1558=$I$9,H1558=$I$10,H1558=$I$11,H1558=$I$12,H1558=$I$13,H1558=$I$14),SottocategorieUscite[[#Headers],[Banca]],IF(OR(H1558=K$5,H1558=K$6,H1558=K$7,H1558=K$8,H1558=K$9,H1558=K$10,H1558=K$11,H1558=K$12,H1558=K$13,H1558=K$14),SottocategorieEntrate[[#Headers],[Business Entrate]],IF(OR(H1558=L$5,H1558=L$6,H1558=L$7,H1558=L$8,H1558=L$9,H1558=L$10,H1558=L$11,H1558=L$12,H1558=L$13,H1558=L$14),SottocategorieEntrate[[#Headers],[Varie Entrate]],IF(OR(H1558=M$5,H1558=M$6,H1558=M$7,H1558=M$8,H1558=M$9,H1558=M$10,H1558=M$11,H1558=M$12,H1558=M$13,H1558=M$14),SottocategorieEntrate[[#Headers],[Real Estate]],IF(OR(H1558=N$5,H1558=N$6,H1558=N$7,H1558=N$8,H1558=N$9,H1558=N$10,H1558=N$11,H1558=N$12,H1558=N$13,H1558=N$14),SottocategorieEntrate[[#Headers],[Other]],""))))))))))))</f>
        <v/>
      </c>
      <c r="J1558" t="str">
        <f>IF(OR(Dati[[#This Row],[Categoria]]="Bollette",Dati[[#This Row],[Categoria]]="Conto &amp; Carte BNL",Dati[[#This Row],[Categoria]]="Prelievo",Dati[[#This Row],[Categoria]]="Affitto",Dati[[#This Row],[Categoria]]="BNL(Interessi Creditori)"),"Carta",IF(Dati[[#This Row],[Categoria]]&lt;&gt;0,"Cash",""))</f>
        <v/>
      </c>
      <c r="K1558" s="59" t="str">
        <f>IF(OR(Data!$I1558=SottocategorieUscite[[#Headers],[Fuori Casa]],Data!$I1558=SottocategorieUscite[[#Headers],[Varie Uscite]],Data!$I1558=SottocategorieUscite[[#Headers],[Personali]],Data!$I1558=SottocategorieUscite[[#Headers],[Lavoro]]),"$ -","")</f>
        <v/>
      </c>
      <c r="L1558" s="59" t="str">
        <f>IF(OR(Data!$I1558=SottocategorieUscite[[#Headers],[Casa]],Data!$I1558=SottocategorieUscite[[#Headers],[Utenze]],Data!$I1558=SottocategorieUscite[[#Headers],[Business Uscite]],Data!$I1558=SottocategorieUscite[[#Headers],[Banca]]),"$ -","")</f>
        <v/>
      </c>
      <c r="M1558" s="59" t="str">
        <f>IF(OR($I1558&lt;&gt;SottocategorieUscite[[#Headers],[Fuori Casa]],$I1558&lt;&gt;SottocategorieUscite[[#Headers],[Varie Uscite]],$I1558&lt;&gt;SottocategorieUscite[[#Headers],[Personali]],$I1558&lt;&gt;SottocategorieUscite[[#Headers],[Lavoro]],$I1558&lt;&gt;SottocategorieUscite[[#Headers],[Casa]],$I1558&lt;&gt;SottocategorieUscite[[#Headers],[Utenze]],$I1558&lt;&gt;SottocategorieUscite[[#Headers],[Business Uscite]],$I1558&lt;&gt;SottocategorieUscite[[#Headers],[Banca]]),"","$ -")</f>
        <v/>
      </c>
      <c r="N1558" s="59" t="str">
        <f>IF(OR(Data!$I1558=SottocategorieEntrate[[#Headers],[Business Entrate]],Data!$I1558=SottocategorieEntrate[[#Headers],[Varie Entrate]]),"$ -","")</f>
        <v/>
      </c>
      <c r="O1558" s="59" t="str">
        <f>IF(OR(Data!$I1558=SottocategorieEntrate[[#Headers],[Real Estate]],SottocategorieEntrate[[#Headers],[Other]]),"$ -","")</f>
        <v/>
      </c>
      <c r="P1558" s="59" t="str">
        <f>IF(OR($I1558&lt;&gt;SottocategorieEntrate[[#Headers],[Business Entrate]],$I1558&lt;&gt;SottocategorieEntrate[[#Headers],[Varie Entrate]],$I1558&lt;&gt;SottocategorieEntrate[[#Headers],[Real Estate]],$I1558&lt;&gt;SottocategorieEntrate[[#Headers],[Other]]),"","$ -")</f>
        <v/>
      </c>
      <c r="Q1558" s="59" t="str">
        <f>IF(Dati[[#This Row],[Categoria]]="Prelievo","€ -","")</f>
        <v/>
      </c>
      <c r="R1558" s="244"/>
      <c r="S1558" s="59" t="str">
        <f>IF(Dati[[#This Row],[Categoria]]="Savings",0,"")</f>
        <v/>
      </c>
      <c r="T1558" s="59"/>
      <c r="U1558" s="59"/>
      <c r="V1558" s="59"/>
      <c r="W1558" s="59"/>
      <c r="X1558" s="59"/>
      <c r="Y1558" s="59"/>
      <c r="Z1558" s="59"/>
      <c r="AA1558" s="59"/>
      <c r="AB1558" s="59"/>
      <c r="AC1558" s="59"/>
      <c r="AD1558" s="59"/>
      <c r="AE1558" s="59"/>
      <c r="AF1558" s="59"/>
      <c r="AG1558" s="59"/>
      <c r="AH1558" s="59"/>
      <c r="AI1558" s="59" t="str">
        <f>IF(SUM(Dati[[#This Row],[Inv. Business]:[Inv. Cryptocurrency]])=0," ",SUM(Dati[[#This Row],[Inv. Business]:[Inv. Cryptocurrency]]))</f>
        <v xml:space="preserve"> </v>
      </c>
      <c r="AJ1558" s="59"/>
      <c r="AK1558" s="59" t="str">
        <f>IF(SUM(Dati[[#This Row],[Inv. Gold]:[Mutuo]])=0," ",SUM(Dati[[#This Row],[Inv. Gold]:[Mutuo]]))</f>
        <v xml:space="preserve"> </v>
      </c>
      <c r="AL1558" s="59"/>
      <c r="AM1558" s="59"/>
    </row>
    <row r="1559" spans="2:39" x14ac:dyDescent="0.35">
      <c r="B1559" s="237">
        <f t="shared" si="111"/>
        <v>1539</v>
      </c>
      <c r="C1559" s="49">
        <f t="shared" si="110"/>
        <v>46117</v>
      </c>
      <c r="D1559" s="29">
        <f>DAY(Dati[[#This Row],[Data]])</f>
        <v>5</v>
      </c>
      <c r="E1559" s="29" t="str">
        <f>IF(DAY(Data!$C$21:$C$1613)&gt;0,TEXT(Data!$C$21:$C$1613, "mmmm"),"")</f>
        <v>aprile</v>
      </c>
      <c r="F1559" s="29" t="str">
        <f>IF(DAY(Data!$C$21:$C$1613)&gt;0,TEXT(Data!$C$21:$C$1613, "aaaa"),"")</f>
        <v>2026</v>
      </c>
      <c r="I1559" t="str">
        <f>IF(OR(H1559=$B$5,H1559=$B$6,H1559=$B$7,H1559=$B$8,H1559=$B$9,H1559=$B$10,H1559=$B$11,H1559=$B$12,H1559=$B$13,H1559=$B$14),SottocategorieUscite[[#Headers],[Fuori Casa]],IF(OR(H1559=$C$5,H1559=$C$6,H1559=$C$7,H1559=$C$8,H1559=$C$9,H1559=$C$10,H1559=$C$11,H1559=$C$12,H1559=$C$13,H1559=$C$14),SottocategorieUscite[[#Headers],[Varie Uscite]],IF(OR(H1559=$D$5,H1559=$D$6,H1559=$D$7,H1559=$D$8,H1559=$D$9,H1559=$D$10,H1559=$D$11,H1559=$D$12,H1559=$D$13,H1559=$D$14),SottocategorieUscite[[#Headers],[Personali]],IF(OR(H1559=$E$5,H1559=$E$6,H1559=$E$7,H1559=$E$8,H1559=$E$9,H1559=$E$10,H1559=$E$11,H1559=$E$12,H1559=$E$13,H1559=$E$14),SottocategorieUscite[[#Headers],[Lavoro]],IF(OR(H1559=$F$5,H1559=$F$6,H1559=$F$7,H1559=$F$8,H1559=$F$9,H1559=$F$10,H1559=$F$11,H1559=$F$12,H1559=$F$13,H1559=$F$14),SottocategorieUscite[[#Headers],[Casa]],IF(OR(H1559=$G$5,H1559=$G$6,H1559=$G$7,H1559=$G$8,H1559=$G$9,H1559=$G$10,H1559=$G$11,H1559=$G$12,H1559=$G$13,H1559=$G$14),SottocategorieUscite[[#Headers],[Utenze]],IF(OR(H1559=$H$5,H1559=$H$6,H1559=$H$7,H1559=$H$8,H1559=$H$9,H1559=$H$10,H1559=$H$11,H1559=$H$12,H1559=$H$13,H1559=$H$14),SottocategorieUscite[[#Headers],[Business Uscite]],IF(OR(H1559=$I$5,H1559=$I$6,H1559=$I$7,H1559=$I$8,H1559=$I$9,H1559=$I$10,H1559=$I$11,H1559=$I$12,H1559=$I$13,H1559=$I$14),SottocategorieUscite[[#Headers],[Banca]],IF(OR(H1559=K$5,H1559=K$6,H1559=K$7,H1559=K$8,H1559=K$9,H1559=K$10,H1559=K$11,H1559=K$12,H1559=K$13,H1559=K$14),SottocategorieEntrate[[#Headers],[Business Entrate]],IF(OR(H1559=L$5,H1559=L$6,H1559=L$7,H1559=L$8,H1559=L$9,H1559=L$10,H1559=L$11,H1559=L$12,H1559=L$13,H1559=L$14),SottocategorieEntrate[[#Headers],[Varie Entrate]],IF(OR(H1559=M$5,H1559=M$6,H1559=M$7,H1559=M$8,H1559=M$9,H1559=M$10,H1559=M$11,H1559=M$12,H1559=M$13,H1559=M$14),SottocategorieEntrate[[#Headers],[Real Estate]],IF(OR(H1559=N$5,H1559=N$6,H1559=N$7,H1559=N$8,H1559=N$9,H1559=N$10,H1559=N$11,H1559=N$12,H1559=N$13,H1559=N$14),SottocategorieEntrate[[#Headers],[Other]],""))))))))))))</f>
        <v/>
      </c>
      <c r="J1559" t="str">
        <f>IF(OR(Dati[[#This Row],[Categoria]]="Bollette",Dati[[#This Row],[Categoria]]="Conto &amp; Carte BNL",Dati[[#This Row],[Categoria]]="Prelievo",Dati[[#This Row],[Categoria]]="Affitto",Dati[[#This Row],[Categoria]]="BNL(Interessi Creditori)"),"Carta",IF(Dati[[#This Row],[Categoria]]&lt;&gt;0,"Cash",""))</f>
        <v/>
      </c>
      <c r="K1559" s="59" t="str">
        <f>IF(OR(Data!$I1559=SottocategorieUscite[[#Headers],[Fuori Casa]],Data!$I1559=SottocategorieUscite[[#Headers],[Varie Uscite]],Data!$I1559=SottocategorieUscite[[#Headers],[Personali]],Data!$I1559=SottocategorieUscite[[#Headers],[Lavoro]]),"$ -","")</f>
        <v/>
      </c>
      <c r="L1559" s="59" t="str">
        <f>IF(OR(Data!$I1559=SottocategorieUscite[[#Headers],[Casa]],Data!$I1559=SottocategorieUscite[[#Headers],[Utenze]],Data!$I1559=SottocategorieUscite[[#Headers],[Business Uscite]],Data!$I1559=SottocategorieUscite[[#Headers],[Banca]]),"$ -","")</f>
        <v/>
      </c>
      <c r="M1559" s="59" t="str">
        <f>IF(OR($I1559&lt;&gt;SottocategorieUscite[[#Headers],[Fuori Casa]],$I1559&lt;&gt;SottocategorieUscite[[#Headers],[Varie Uscite]],$I1559&lt;&gt;SottocategorieUscite[[#Headers],[Personali]],$I1559&lt;&gt;SottocategorieUscite[[#Headers],[Lavoro]],$I1559&lt;&gt;SottocategorieUscite[[#Headers],[Casa]],$I1559&lt;&gt;SottocategorieUscite[[#Headers],[Utenze]],$I1559&lt;&gt;SottocategorieUscite[[#Headers],[Business Uscite]],$I1559&lt;&gt;SottocategorieUscite[[#Headers],[Banca]]),"","$ -")</f>
        <v/>
      </c>
      <c r="N1559" s="59" t="str">
        <f>IF(OR(Data!$I1559=SottocategorieEntrate[[#Headers],[Business Entrate]],Data!$I1559=SottocategorieEntrate[[#Headers],[Varie Entrate]]),"$ -","")</f>
        <v/>
      </c>
      <c r="O1559" s="59" t="str">
        <f>IF(OR(Data!$I1559=SottocategorieEntrate[[#Headers],[Real Estate]],SottocategorieEntrate[[#Headers],[Other]]),"$ -","")</f>
        <v/>
      </c>
      <c r="P1559" s="59" t="str">
        <f>IF(OR($I1559&lt;&gt;SottocategorieEntrate[[#Headers],[Business Entrate]],$I1559&lt;&gt;SottocategorieEntrate[[#Headers],[Varie Entrate]],$I1559&lt;&gt;SottocategorieEntrate[[#Headers],[Real Estate]],$I1559&lt;&gt;SottocategorieEntrate[[#Headers],[Other]]),"","$ -")</f>
        <v/>
      </c>
      <c r="Q1559" s="59" t="str">
        <f>IF(Dati[[#This Row],[Categoria]]="Prelievo","€ -","")</f>
        <v/>
      </c>
      <c r="R1559" s="244"/>
      <c r="S1559" s="59" t="str">
        <f>IF(Dati[[#This Row],[Categoria]]="Savings",0,"")</f>
        <v/>
      </c>
      <c r="T1559" s="59"/>
      <c r="U1559" s="59"/>
      <c r="V1559" s="59"/>
      <c r="W1559" s="59"/>
      <c r="X1559" s="59"/>
      <c r="Y1559" s="59"/>
      <c r="Z1559" s="59"/>
      <c r="AA1559" s="59"/>
      <c r="AB1559" s="59"/>
      <c r="AC1559" s="59"/>
      <c r="AD1559" s="59"/>
      <c r="AE1559" s="59"/>
      <c r="AF1559" s="59"/>
      <c r="AG1559" s="59"/>
      <c r="AH1559" s="59"/>
      <c r="AI1559" s="59" t="str">
        <f>IF(SUM(Dati[[#This Row],[Inv. Business]:[Inv. Cryptocurrency]])=0," ",SUM(Dati[[#This Row],[Inv. Business]:[Inv. Cryptocurrency]]))</f>
        <v xml:space="preserve"> </v>
      </c>
      <c r="AJ1559" s="59"/>
      <c r="AK1559" s="59" t="str">
        <f>IF(SUM(Dati[[#This Row],[Inv. Gold]:[Mutuo]])=0," ",SUM(Dati[[#This Row],[Inv. Gold]:[Mutuo]]))</f>
        <v xml:space="preserve"> </v>
      </c>
      <c r="AL1559" s="59"/>
      <c r="AM1559" s="59"/>
    </row>
    <row r="1560" spans="2:39" x14ac:dyDescent="0.35">
      <c r="B1560" s="237">
        <f t="shared" si="111"/>
        <v>1540</v>
      </c>
      <c r="C1560" s="49">
        <f t="shared" si="110"/>
        <v>46118</v>
      </c>
      <c r="D1560" s="29">
        <f>DAY(Dati[[#This Row],[Data]])</f>
        <v>6</v>
      </c>
      <c r="E1560" s="29" t="str">
        <f>IF(DAY(Data!$C$21:$C$1613)&gt;0,TEXT(Data!$C$21:$C$1613, "mmmm"),"")</f>
        <v>aprile</v>
      </c>
      <c r="F1560" s="29" t="str">
        <f>IF(DAY(Data!$C$21:$C$1613)&gt;0,TEXT(Data!$C$21:$C$1613, "aaaa"),"")</f>
        <v>2026</v>
      </c>
      <c r="I1560" t="str">
        <f>IF(OR(H1560=$B$5,H1560=$B$6,H1560=$B$7,H1560=$B$8,H1560=$B$9,H1560=$B$10,H1560=$B$11,H1560=$B$12,H1560=$B$13,H1560=$B$14),SottocategorieUscite[[#Headers],[Fuori Casa]],IF(OR(H1560=$C$5,H1560=$C$6,H1560=$C$7,H1560=$C$8,H1560=$C$9,H1560=$C$10,H1560=$C$11,H1560=$C$12,H1560=$C$13,H1560=$C$14),SottocategorieUscite[[#Headers],[Varie Uscite]],IF(OR(H1560=$D$5,H1560=$D$6,H1560=$D$7,H1560=$D$8,H1560=$D$9,H1560=$D$10,H1560=$D$11,H1560=$D$12,H1560=$D$13,H1560=$D$14),SottocategorieUscite[[#Headers],[Personali]],IF(OR(H1560=$E$5,H1560=$E$6,H1560=$E$7,H1560=$E$8,H1560=$E$9,H1560=$E$10,H1560=$E$11,H1560=$E$12,H1560=$E$13,H1560=$E$14),SottocategorieUscite[[#Headers],[Lavoro]],IF(OR(H1560=$F$5,H1560=$F$6,H1560=$F$7,H1560=$F$8,H1560=$F$9,H1560=$F$10,H1560=$F$11,H1560=$F$12,H1560=$F$13,H1560=$F$14),SottocategorieUscite[[#Headers],[Casa]],IF(OR(H1560=$G$5,H1560=$G$6,H1560=$G$7,H1560=$G$8,H1560=$G$9,H1560=$G$10,H1560=$G$11,H1560=$G$12,H1560=$G$13,H1560=$G$14),SottocategorieUscite[[#Headers],[Utenze]],IF(OR(H1560=$H$5,H1560=$H$6,H1560=$H$7,H1560=$H$8,H1560=$H$9,H1560=$H$10,H1560=$H$11,H1560=$H$12,H1560=$H$13,H1560=$H$14),SottocategorieUscite[[#Headers],[Business Uscite]],IF(OR(H1560=$I$5,H1560=$I$6,H1560=$I$7,H1560=$I$8,H1560=$I$9,H1560=$I$10,H1560=$I$11,H1560=$I$12,H1560=$I$13,H1560=$I$14),SottocategorieUscite[[#Headers],[Banca]],IF(OR(H1560=K$5,H1560=K$6,H1560=K$7,H1560=K$8,H1560=K$9,H1560=K$10,H1560=K$11,H1560=K$12,H1560=K$13,H1560=K$14),SottocategorieEntrate[[#Headers],[Business Entrate]],IF(OR(H1560=L$5,H1560=L$6,H1560=L$7,H1560=L$8,H1560=L$9,H1560=L$10,H1560=L$11,H1560=L$12,H1560=L$13,H1560=L$14),SottocategorieEntrate[[#Headers],[Varie Entrate]],IF(OR(H1560=M$5,H1560=M$6,H1560=M$7,H1560=M$8,H1560=M$9,H1560=M$10,H1560=M$11,H1560=M$12,H1560=M$13,H1560=M$14),SottocategorieEntrate[[#Headers],[Real Estate]],IF(OR(H1560=N$5,H1560=N$6,H1560=N$7,H1560=N$8,H1560=N$9,H1560=N$10,H1560=N$11,H1560=N$12,H1560=N$13,H1560=N$14),SottocategorieEntrate[[#Headers],[Other]],""))))))))))))</f>
        <v/>
      </c>
      <c r="J1560" t="str">
        <f>IF(OR(Dati[[#This Row],[Categoria]]="Bollette",Dati[[#This Row],[Categoria]]="Conto &amp; Carte BNL",Dati[[#This Row],[Categoria]]="Prelievo",Dati[[#This Row],[Categoria]]="Affitto",Dati[[#This Row],[Categoria]]="BNL(Interessi Creditori)"),"Carta",IF(Dati[[#This Row],[Categoria]]&lt;&gt;0,"Cash",""))</f>
        <v/>
      </c>
      <c r="K1560" s="59" t="str">
        <f>IF(OR(Data!$I1560=SottocategorieUscite[[#Headers],[Fuori Casa]],Data!$I1560=SottocategorieUscite[[#Headers],[Varie Uscite]],Data!$I1560=SottocategorieUscite[[#Headers],[Personali]],Data!$I1560=SottocategorieUscite[[#Headers],[Lavoro]]),"$ -","")</f>
        <v/>
      </c>
      <c r="L1560" s="59" t="str">
        <f>IF(OR(Data!$I1560=SottocategorieUscite[[#Headers],[Casa]],Data!$I1560=SottocategorieUscite[[#Headers],[Utenze]],Data!$I1560=SottocategorieUscite[[#Headers],[Business Uscite]],Data!$I1560=SottocategorieUscite[[#Headers],[Banca]]),"$ -","")</f>
        <v/>
      </c>
      <c r="M1560" s="59" t="str">
        <f>IF(OR($I1560&lt;&gt;SottocategorieUscite[[#Headers],[Fuori Casa]],$I1560&lt;&gt;SottocategorieUscite[[#Headers],[Varie Uscite]],$I1560&lt;&gt;SottocategorieUscite[[#Headers],[Personali]],$I1560&lt;&gt;SottocategorieUscite[[#Headers],[Lavoro]],$I1560&lt;&gt;SottocategorieUscite[[#Headers],[Casa]],$I1560&lt;&gt;SottocategorieUscite[[#Headers],[Utenze]],$I1560&lt;&gt;SottocategorieUscite[[#Headers],[Business Uscite]],$I1560&lt;&gt;SottocategorieUscite[[#Headers],[Banca]]),"","$ -")</f>
        <v/>
      </c>
      <c r="N1560" s="59" t="str">
        <f>IF(OR(Data!$I1560=SottocategorieEntrate[[#Headers],[Business Entrate]],Data!$I1560=SottocategorieEntrate[[#Headers],[Varie Entrate]]),"$ -","")</f>
        <v/>
      </c>
      <c r="O1560" s="59" t="str">
        <f>IF(OR(Data!$I1560=SottocategorieEntrate[[#Headers],[Real Estate]],SottocategorieEntrate[[#Headers],[Other]]),"$ -","")</f>
        <v/>
      </c>
      <c r="P1560" s="59" t="str">
        <f>IF(OR($I1560&lt;&gt;SottocategorieEntrate[[#Headers],[Business Entrate]],$I1560&lt;&gt;SottocategorieEntrate[[#Headers],[Varie Entrate]],$I1560&lt;&gt;SottocategorieEntrate[[#Headers],[Real Estate]],$I1560&lt;&gt;SottocategorieEntrate[[#Headers],[Other]]),"","$ -")</f>
        <v/>
      </c>
      <c r="Q1560" s="59" t="str">
        <f>IF(Dati[[#This Row],[Categoria]]="Prelievo","€ -","")</f>
        <v/>
      </c>
      <c r="R1560" s="244"/>
      <c r="S1560" s="59" t="str">
        <f>IF(Dati[[#This Row],[Categoria]]="Savings",0,"")</f>
        <v/>
      </c>
      <c r="T1560" s="59"/>
      <c r="U1560" s="59"/>
      <c r="V1560" s="59"/>
      <c r="W1560" s="59"/>
      <c r="X1560" s="59"/>
      <c r="Y1560" s="59"/>
      <c r="Z1560" s="59"/>
      <c r="AA1560" s="59"/>
      <c r="AB1560" s="59"/>
      <c r="AC1560" s="59"/>
      <c r="AD1560" s="59"/>
      <c r="AE1560" s="59"/>
      <c r="AF1560" s="59"/>
      <c r="AG1560" s="59"/>
      <c r="AH1560" s="59"/>
      <c r="AI1560" s="59" t="str">
        <f>IF(SUM(Dati[[#This Row],[Inv. Business]:[Inv. Cryptocurrency]])=0," ",SUM(Dati[[#This Row],[Inv. Business]:[Inv. Cryptocurrency]]))</f>
        <v xml:space="preserve"> </v>
      </c>
      <c r="AJ1560" s="59"/>
      <c r="AK1560" s="59" t="str">
        <f>IF(SUM(Dati[[#This Row],[Inv. Gold]:[Mutuo]])=0," ",SUM(Dati[[#This Row],[Inv. Gold]:[Mutuo]]))</f>
        <v xml:space="preserve"> </v>
      </c>
      <c r="AL1560" s="59"/>
      <c r="AM1560" s="59"/>
    </row>
    <row r="1561" spans="2:39" x14ac:dyDescent="0.35">
      <c r="B1561" s="237">
        <f t="shared" si="111"/>
        <v>1541</v>
      </c>
      <c r="C1561" s="49">
        <f t="shared" si="110"/>
        <v>46119</v>
      </c>
      <c r="D1561" s="29">
        <f>DAY(Dati[[#This Row],[Data]])</f>
        <v>7</v>
      </c>
      <c r="E1561" s="29" t="str">
        <f>IF(DAY(Data!$C$21:$C$1613)&gt;0,TEXT(Data!$C$21:$C$1613, "mmmm"),"")</f>
        <v>aprile</v>
      </c>
      <c r="F1561" s="29" t="str">
        <f>IF(DAY(Data!$C$21:$C$1613)&gt;0,TEXT(Data!$C$21:$C$1613, "aaaa"),"")</f>
        <v>2026</v>
      </c>
      <c r="I1561" t="str">
        <f>IF(OR(H1561=$B$5,H1561=$B$6,H1561=$B$7,H1561=$B$8,H1561=$B$9,H1561=$B$10,H1561=$B$11,H1561=$B$12,H1561=$B$13,H1561=$B$14),SottocategorieUscite[[#Headers],[Fuori Casa]],IF(OR(H1561=$C$5,H1561=$C$6,H1561=$C$7,H1561=$C$8,H1561=$C$9,H1561=$C$10,H1561=$C$11,H1561=$C$12,H1561=$C$13,H1561=$C$14),SottocategorieUscite[[#Headers],[Varie Uscite]],IF(OR(H1561=$D$5,H1561=$D$6,H1561=$D$7,H1561=$D$8,H1561=$D$9,H1561=$D$10,H1561=$D$11,H1561=$D$12,H1561=$D$13,H1561=$D$14),SottocategorieUscite[[#Headers],[Personali]],IF(OR(H1561=$E$5,H1561=$E$6,H1561=$E$7,H1561=$E$8,H1561=$E$9,H1561=$E$10,H1561=$E$11,H1561=$E$12,H1561=$E$13,H1561=$E$14),SottocategorieUscite[[#Headers],[Lavoro]],IF(OR(H1561=$F$5,H1561=$F$6,H1561=$F$7,H1561=$F$8,H1561=$F$9,H1561=$F$10,H1561=$F$11,H1561=$F$12,H1561=$F$13,H1561=$F$14),SottocategorieUscite[[#Headers],[Casa]],IF(OR(H1561=$G$5,H1561=$G$6,H1561=$G$7,H1561=$G$8,H1561=$G$9,H1561=$G$10,H1561=$G$11,H1561=$G$12,H1561=$G$13,H1561=$G$14),SottocategorieUscite[[#Headers],[Utenze]],IF(OR(H1561=$H$5,H1561=$H$6,H1561=$H$7,H1561=$H$8,H1561=$H$9,H1561=$H$10,H1561=$H$11,H1561=$H$12,H1561=$H$13,H1561=$H$14),SottocategorieUscite[[#Headers],[Business Uscite]],IF(OR(H1561=$I$5,H1561=$I$6,H1561=$I$7,H1561=$I$8,H1561=$I$9,H1561=$I$10,H1561=$I$11,H1561=$I$12,H1561=$I$13,H1561=$I$14),SottocategorieUscite[[#Headers],[Banca]],IF(OR(H1561=K$5,H1561=K$6,H1561=K$7,H1561=K$8,H1561=K$9,H1561=K$10,H1561=K$11,H1561=K$12,H1561=K$13,H1561=K$14),SottocategorieEntrate[[#Headers],[Business Entrate]],IF(OR(H1561=L$5,H1561=L$6,H1561=L$7,H1561=L$8,H1561=L$9,H1561=L$10,H1561=L$11,H1561=L$12,H1561=L$13,H1561=L$14),SottocategorieEntrate[[#Headers],[Varie Entrate]],IF(OR(H1561=M$5,H1561=M$6,H1561=M$7,H1561=M$8,H1561=M$9,H1561=M$10,H1561=M$11,H1561=M$12,H1561=M$13,H1561=M$14),SottocategorieEntrate[[#Headers],[Real Estate]],IF(OR(H1561=N$5,H1561=N$6,H1561=N$7,H1561=N$8,H1561=N$9,H1561=N$10,H1561=N$11,H1561=N$12,H1561=N$13,H1561=N$14),SottocategorieEntrate[[#Headers],[Other]],""))))))))))))</f>
        <v/>
      </c>
      <c r="J1561" t="str">
        <f>IF(OR(Dati[[#This Row],[Categoria]]="Bollette",Dati[[#This Row],[Categoria]]="Conto &amp; Carte BNL",Dati[[#This Row],[Categoria]]="Prelievo",Dati[[#This Row],[Categoria]]="Affitto",Dati[[#This Row],[Categoria]]="BNL(Interessi Creditori)"),"Carta",IF(Dati[[#This Row],[Categoria]]&lt;&gt;0,"Cash",""))</f>
        <v/>
      </c>
      <c r="K1561" s="59" t="str">
        <f>IF(OR(Data!$I1561=SottocategorieUscite[[#Headers],[Fuori Casa]],Data!$I1561=SottocategorieUscite[[#Headers],[Varie Uscite]],Data!$I1561=SottocategorieUscite[[#Headers],[Personali]],Data!$I1561=SottocategorieUscite[[#Headers],[Lavoro]]),"$ -","")</f>
        <v/>
      </c>
      <c r="L1561" s="59" t="str">
        <f>IF(OR(Data!$I1561=SottocategorieUscite[[#Headers],[Casa]],Data!$I1561=SottocategorieUscite[[#Headers],[Utenze]],Data!$I1561=SottocategorieUscite[[#Headers],[Business Uscite]],Data!$I1561=SottocategorieUscite[[#Headers],[Banca]]),"$ -","")</f>
        <v/>
      </c>
      <c r="M1561" s="59" t="str">
        <f>IF(OR($I1561&lt;&gt;SottocategorieUscite[[#Headers],[Fuori Casa]],$I1561&lt;&gt;SottocategorieUscite[[#Headers],[Varie Uscite]],$I1561&lt;&gt;SottocategorieUscite[[#Headers],[Personali]],$I1561&lt;&gt;SottocategorieUscite[[#Headers],[Lavoro]],$I1561&lt;&gt;SottocategorieUscite[[#Headers],[Casa]],$I1561&lt;&gt;SottocategorieUscite[[#Headers],[Utenze]],$I1561&lt;&gt;SottocategorieUscite[[#Headers],[Business Uscite]],$I1561&lt;&gt;SottocategorieUscite[[#Headers],[Banca]]),"","$ -")</f>
        <v/>
      </c>
      <c r="N1561" s="59" t="str">
        <f>IF(OR(Data!$I1561=SottocategorieEntrate[[#Headers],[Business Entrate]],Data!$I1561=SottocategorieEntrate[[#Headers],[Varie Entrate]]),"$ -","")</f>
        <v/>
      </c>
      <c r="O1561" s="59" t="str">
        <f>IF(OR(Data!$I1561=SottocategorieEntrate[[#Headers],[Real Estate]],SottocategorieEntrate[[#Headers],[Other]]),"$ -","")</f>
        <v/>
      </c>
      <c r="P1561" s="59" t="str">
        <f>IF(OR($I1561&lt;&gt;SottocategorieEntrate[[#Headers],[Business Entrate]],$I1561&lt;&gt;SottocategorieEntrate[[#Headers],[Varie Entrate]],$I1561&lt;&gt;SottocategorieEntrate[[#Headers],[Real Estate]],$I1561&lt;&gt;SottocategorieEntrate[[#Headers],[Other]]),"","$ -")</f>
        <v/>
      </c>
      <c r="Q1561" s="59" t="str">
        <f>IF(Dati[[#This Row],[Categoria]]="Prelievo","€ -","")</f>
        <v/>
      </c>
      <c r="R1561" s="244"/>
      <c r="S1561" s="59" t="str">
        <f>IF(Dati[[#This Row],[Categoria]]="Savings",0,"")</f>
        <v/>
      </c>
      <c r="T1561" s="59"/>
      <c r="U1561" s="59"/>
      <c r="V1561" s="59"/>
      <c r="W1561" s="59"/>
      <c r="X1561" s="59"/>
      <c r="Y1561" s="59"/>
      <c r="Z1561" s="59"/>
      <c r="AA1561" s="59"/>
      <c r="AB1561" s="59"/>
      <c r="AC1561" s="59"/>
      <c r="AD1561" s="59"/>
      <c r="AE1561" s="59"/>
      <c r="AF1561" s="59"/>
      <c r="AG1561" s="59"/>
      <c r="AH1561" s="59"/>
      <c r="AI1561" s="59" t="str">
        <f>IF(SUM(Dati[[#This Row],[Inv. Business]:[Inv. Cryptocurrency]])=0," ",SUM(Dati[[#This Row],[Inv. Business]:[Inv. Cryptocurrency]]))</f>
        <v xml:space="preserve"> </v>
      </c>
      <c r="AJ1561" s="59"/>
      <c r="AK1561" s="59" t="str">
        <f>IF(SUM(Dati[[#This Row],[Inv. Gold]:[Mutuo]])=0," ",SUM(Dati[[#This Row],[Inv. Gold]:[Mutuo]]))</f>
        <v xml:space="preserve"> </v>
      </c>
      <c r="AL1561" s="59"/>
      <c r="AM1561" s="59"/>
    </row>
    <row r="1562" spans="2:39" x14ac:dyDescent="0.35">
      <c r="B1562" s="237">
        <f t="shared" si="111"/>
        <v>1542</v>
      </c>
      <c r="C1562" s="49">
        <f t="shared" si="110"/>
        <v>46120</v>
      </c>
      <c r="D1562" s="29">
        <f>DAY(Dati[[#This Row],[Data]])</f>
        <v>8</v>
      </c>
      <c r="E1562" s="29" t="str">
        <f>IF(DAY(Data!$C$21:$C$1613)&gt;0,TEXT(Data!$C$21:$C$1613, "mmmm"),"")</f>
        <v>aprile</v>
      </c>
      <c r="F1562" s="29" t="str">
        <f>IF(DAY(Data!$C$21:$C$1613)&gt;0,TEXT(Data!$C$21:$C$1613, "aaaa"),"")</f>
        <v>2026</v>
      </c>
      <c r="I1562" t="str">
        <f>IF(OR(H1562=$B$5,H1562=$B$6,H1562=$B$7,H1562=$B$8,H1562=$B$9,H1562=$B$10,H1562=$B$11,H1562=$B$12,H1562=$B$13,H1562=$B$14),SottocategorieUscite[[#Headers],[Fuori Casa]],IF(OR(H1562=$C$5,H1562=$C$6,H1562=$C$7,H1562=$C$8,H1562=$C$9,H1562=$C$10,H1562=$C$11,H1562=$C$12,H1562=$C$13,H1562=$C$14),SottocategorieUscite[[#Headers],[Varie Uscite]],IF(OR(H1562=$D$5,H1562=$D$6,H1562=$D$7,H1562=$D$8,H1562=$D$9,H1562=$D$10,H1562=$D$11,H1562=$D$12,H1562=$D$13,H1562=$D$14),SottocategorieUscite[[#Headers],[Personali]],IF(OR(H1562=$E$5,H1562=$E$6,H1562=$E$7,H1562=$E$8,H1562=$E$9,H1562=$E$10,H1562=$E$11,H1562=$E$12,H1562=$E$13,H1562=$E$14),SottocategorieUscite[[#Headers],[Lavoro]],IF(OR(H1562=$F$5,H1562=$F$6,H1562=$F$7,H1562=$F$8,H1562=$F$9,H1562=$F$10,H1562=$F$11,H1562=$F$12,H1562=$F$13,H1562=$F$14),SottocategorieUscite[[#Headers],[Casa]],IF(OR(H1562=$G$5,H1562=$G$6,H1562=$G$7,H1562=$G$8,H1562=$G$9,H1562=$G$10,H1562=$G$11,H1562=$G$12,H1562=$G$13,H1562=$G$14),SottocategorieUscite[[#Headers],[Utenze]],IF(OR(H1562=$H$5,H1562=$H$6,H1562=$H$7,H1562=$H$8,H1562=$H$9,H1562=$H$10,H1562=$H$11,H1562=$H$12,H1562=$H$13,H1562=$H$14),SottocategorieUscite[[#Headers],[Business Uscite]],IF(OR(H1562=$I$5,H1562=$I$6,H1562=$I$7,H1562=$I$8,H1562=$I$9,H1562=$I$10,H1562=$I$11,H1562=$I$12,H1562=$I$13,H1562=$I$14),SottocategorieUscite[[#Headers],[Banca]],IF(OR(H1562=K$5,H1562=K$6,H1562=K$7,H1562=K$8,H1562=K$9,H1562=K$10,H1562=K$11,H1562=K$12,H1562=K$13,H1562=K$14),SottocategorieEntrate[[#Headers],[Business Entrate]],IF(OR(H1562=L$5,H1562=L$6,H1562=L$7,H1562=L$8,H1562=L$9,H1562=L$10,H1562=L$11,H1562=L$12,H1562=L$13,H1562=L$14),SottocategorieEntrate[[#Headers],[Varie Entrate]],IF(OR(H1562=M$5,H1562=M$6,H1562=M$7,H1562=M$8,H1562=M$9,H1562=M$10,H1562=M$11,H1562=M$12,H1562=M$13,H1562=M$14),SottocategorieEntrate[[#Headers],[Real Estate]],IF(OR(H1562=N$5,H1562=N$6,H1562=N$7,H1562=N$8,H1562=N$9,H1562=N$10,H1562=N$11,H1562=N$12,H1562=N$13,H1562=N$14),SottocategorieEntrate[[#Headers],[Other]],""))))))))))))</f>
        <v/>
      </c>
      <c r="J1562" t="str">
        <f>IF(OR(Dati[[#This Row],[Categoria]]="Bollette",Dati[[#This Row],[Categoria]]="Conto &amp; Carte BNL",Dati[[#This Row],[Categoria]]="Prelievo",Dati[[#This Row],[Categoria]]="Affitto",Dati[[#This Row],[Categoria]]="BNL(Interessi Creditori)"),"Carta",IF(Dati[[#This Row],[Categoria]]&lt;&gt;0,"Cash",""))</f>
        <v/>
      </c>
      <c r="K1562" s="59" t="str">
        <f>IF(OR(Data!$I1562=SottocategorieUscite[[#Headers],[Fuori Casa]],Data!$I1562=SottocategorieUscite[[#Headers],[Varie Uscite]],Data!$I1562=SottocategorieUscite[[#Headers],[Personali]],Data!$I1562=SottocategorieUscite[[#Headers],[Lavoro]]),"$ -","")</f>
        <v/>
      </c>
      <c r="L1562" s="59" t="str">
        <f>IF(OR(Data!$I1562=SottocategorieUscite[[#Headers],[Casa]],Data!$I1562=SottocategorieUscite[[#Headers],[Utenze]],Data!$I1562=SottocategorieUscite[[#Headers],[Business Uscite]],Data!$I1562=SottocategorieUscite[[#Headers],[Banca]]),"$ -","")</f>
        <v/>
      </c>
      <c r="M1562" s="59" t="str">
        <f>IF(OR($I1562&lt;&gt;SottocategorieUscite[[#Headers],[Fuori Casa]],$I1562&lt;&gt;SottocategorieUscite[[#Headers],[Varie Uscite]],$I1562&lt;&gt;SottocategorieUscite[[#Headers],[Personali]],$I1562&lt;&gt;SottocategorieUscite[[#Headers],[Lavoro]],$I1562&lt;&gt;SottocategorieUscite[[#Headers],[Casa]],$I1562&lt;&gt;SottocategorieUscite[[#Headers],[Utenze]],$I1562&lt;&gt;SottocategorieUscite[[#Headers],[Business Uscite]],$I1562&lt;&gt;SottocategorieUscite[[#Headers],[Banca]]),"","$ -")</f>
        <v/>
      </c>
      <c r="N1562" s="59" t="str">
        <f>IF(OR(Data!$I1562=SottocategorieEntrate[[#Headers],[Business Entrate]],Data!$I1562=SottocategorieEntrate[[#Headers],[Varie Entrate]]),"$ -","")</f>
        <v/>
      </c>
      <c r="O1562" s="59" t="str">
        <f>IF(OR(Data!$I1562=SottocategorieEntrate[[#Headers],[Real Estate]],SottocategorieEntrate[[#Headers],[Other]]),"$ -","")</f>
        <v/>
      </c>
      <c r="P1562" s="59" t="str">
        <f>IF(OR($I1562&lt;&gt;SottocategorieEntrate[[#Headers],[Business Entrate]],$I1562&lt;&gt;SottocategorieEntrate[[#Headers],[Varie Entrate]],$I1562&lt;&gt;SottocategorieEntrate[[#Headers],[Real Estate]],$I1562&lt;&gt;SottocategorieEntrate[[#Headers],[Other]]),"","$ -")</f>
        <v/>
      </c>
      <c r="Q1562" s="59" t="str">
        <f>IF(Dati[[#This Row],[Categoria]]="Prelievo","€ -","")</f>
        <v/>
      </c>
      <c r="R1562" s="244"/>
      <c r="S1562" s="59" t="str">
        <f>IF(Dati[[#This Row],[Categoria]]="Savings",0,"")</f>
        <v/>
      </c>
      <c r="T1562" s="59"/>
      <c r="U1562" s="59"/>
      <c r="V1562" s="59"/>
      <c r="W1562" s="59"/>
      <c r="X1562" s="59"/>
      <c r="Y1562" s="59"/>
      <c r="Z1562" s="59"/>
      <c r="AA1562" s="59"/>
      <c r="AB1562" s="59"/>
      <c r="AC1562" s="59"/>
      <c r="AD1562" s="59"/>
      <c r="AE1562" s="59"/>
      <c r="AF1562" s="59"/>
      <c r="AG1562" s="59"/>
      <c r="AH1562" s="59"/>
      <c r="AI1562" s="59" t="str">
        <f>IF(SUM(Dati[[#This Row],[Inv. Business]:[Inv. Cryptocurrency]])=0," ",SUM(Dati[[#This Row],[Inv. Business]:[Inv. Cryptocurrency]]))</f>
        <v xml:space="preserve"> </v>
      </c>
      <c r="AJ1562" s="59"/>
      <c r="AK1562" s="59" t="str">
        <f>IF(SUM(Dati[[#This Row],[Inv. Gold]:[Mutuo]])=0," ",SUM(Dati[[#This Row],[Inv. Gold]:[Mutuo]]))</f>
        <v xml:space="preserve"> </v>
      </c>
      <c r="AL1562" s="59"/>
      <c r="AM1562" s="59"/>
    </row>
    <row r="1563" spans="2:39" x14ac:dyDescent="0.35">
      <c r="B1563" s="237">
        <f t="shared" si="111"/>
        <v>1543</v>
      </c>
      <c r="C1563" s="49">
        <f t="shared" si="110"/>
        <v>46121</v>
      </c>
      <c r="D1563" s="29">
        <f>DAY(Dati[[#This Row],[Data]])</f>
        <v>9</v>
      </c>
      <c r="E1563" s="29" t="str">
        <f>IF(DAY(Data!$C$21:$C$1613)&gt;0,TEXT(Data!$C$21:$C$1613, "mmmm"),"")</f>
        <v>aprile</v>
      </c>
      <c r="F1563" s="29" t="str">
        <f>IF(DAY(Data!$C$21:$C$1613)&gt;0,TEXT(Data!$C$21:$C$1613, "aaaa"),"")</f>
        <v>2026</v>
      </c>
      <c r="I1563" t="str">
        <f>IF(OR(H1563=$B$5,H1563=$B$6,H1563=$B$7,H1563=$B$8,H1563=$B$9,H1563=$B$10,H1563=$B$11,H1563=$B$12,H1563=$B$13,H1563=$B$14),SottocategorieUscite[[#Headers],[Fuori Casa]],IF(OR(H1563=$C$5,H1563=$C$6,H1563=$C$7,H1563=$C$8,H1563=$C$9,H1563=$C$10,H1563=$C$11,H1563=$C$12,H1563=$C$13,H1563=$C$14),SottocategorieUscite[[#Headers],[Varie Uscite]],IF(OR(H1563=$D$5,H1563=$D$6,H1563=$D$7,H1563=$D$8,H1563=$D$9,H1563=$D$10,H1563=$D$11,H1563=$D$12,H1563=$D$13,H1563=$D$14),SottocategorieUscite[[#Headers],[Personali]],IF(OR(H1563=$E$5,H1563=$E$6,H1563=$E$7,H1563=$E$8,H1563=$E$9,H1563=$E$10,H1563=$E$11,H1563=$E$12,H1563=$E$13,H1563=$E$14),SottocategorieUscite[[#Headers],[Lavoro]],IF(OR(H1563=$F$5,H1563=$F$6,H1563=$F$7,H1563=$F$8,H1563=$F$9,H1563=$F$10,H1563=$F$11,H1563=$F$12,H1563=$F$13,H1563=$F$14),SottocategorieUscite[[#Headers],[Casa]],IF(OR(H1563=$G$5,H1563=$G$6,H1563=$G$7,H1563=$G$8,H1563=$G$9,H1563=$G$10,H1563=$G$11,H1563=$G$12,H1563=$G$13,H1563=$G$14),SottocategorieUscite[[#Headers],[Utenze]],IF(OR(H1563=$H$5,H1563=$H$6,H1563=$H$7,H1563=$H$8,H1563=$H$9,H1563=$H$10,H1563=$H$11,H1563=$H$12,H1563=$H$13,H1563=$H$14),SottocategorieUscite[[#Headers],[Business Uscite]],IF(OR(H1563=$I$5,H1563=$I$6,H1563=$I$7,H1563=$I$8,H1563=$I$9,H1563=$I$10,H1563=$I$11,H1563=$I$12,H1563=$I$13,H1563=$I$14),SottocategorieUscite[[#Headers],[Banca]],IF(OR(H1563=K$5,H1563=K$6,H1563=K$7,H1563=K$8,H1563=K$9,H1563=K$10,H1563=K$11,H1563=K$12,H1563=K$13,H1563=K$14),SottocategorieEntrate[[#Headers],[Business Entrate]],IF(OR(H1563=L$5,H1563=L$6,H1563=L$7,H1563=L$8,H1563=L$9,H1563=L$10,H1563=L$11,H1563=L$12,H1563=L$13,H1563=L$14),SottocategorieEntrate[[#Headers],[Varie Entrate]],IF(OR(H1563=M$5,H1563=M$6,H1563=M$7,H1563=M$8,H1563=M$9,H1563=M$10,H1563=M$11,H1563=M$12,H1563=M$13,H1563=M$14),SottocategorieEntrate[[#Headers],[Real Estate]],IF(OR(H1563=N$5,H1563=N$6,H1563=N$7,H1563=N$8,H1563=N$9,H1563=N$10,H1563=N$11,H1563=N$12,H1563=N$13,H1563=N$14),SottocategorieEntrate[[#Headers],[Other]],""))))))))))))</f>
        <v/>
      </c>
      <c r="J1563" t="str">
        <f>IF(OR(Dati[[#This Row],[Categoria]]="Bollette",Dati[[#This Row],[Categoria]]="Conto &amp; Carte BNL",Dati[[#This Row],[Categoria]]="Prelievo",Dati[[#This Row],[Categoria]]="Affitto",Dati[[#This Row],[Categoria]]="BNL(Interessi Creditori)"),"Carta",IF(Dati[[#This Row],[Categoria]]&lt;&gt;0,"Cash",""))</f>
        <v/>
      </c>
      <c r="K1563" s="59" t="str">
        <f>IF(OR(Data!$I1563=SottocategorieUscite[[#Headers],[Fuori Casa]],Data!$I1563=SottocategorieUscite[[#Headers],[Varie Uscite]],Data!$I1563=SottocategorieUscite[[#Headers],[Personali]],Data!$I1563=SottocategorieUscite[[#Headers],[Lavoro]]),"$ -","")</f>
        <v/>
      </c>
      <c r="L1563" s="59" t="str">
        <f>IF(OR(Data!$I1563=SottocategorieUscite[[#Headers],[Casa]],Data!$I1563=SottocategorieUscite[[#Headers],[Utenze]],Data!$I1563=SottocategorieUscite[[#Headers],[Business Uscite]],Data!$I1563=SottocategorieUscite[[#Headers],[Banca]]),"$ -","")</f>
        <v/>
      </c>
      <c r="M1563" s="59" t="str">
        <f>IF(OR($I1563&lt;&gt;SottocategorieUscite[[#Headers],[Fuori Casa]],$I1563&lt;&gt;SottocategorieUscite[[#Headers],[Varie Uscite]],$I1563&lt;&gt;SottocategorieUscite[[#Headers],[Personali]],$I1563&lt;&gt;SottocategorieUscite[[#Headers],[Lavoro]],$I1563&lt;&gt;SottocategorieUscite[[#Headers],[Casa]],$I1563&lt;&gt;SottocategorieUscite[[#Headers],[Utenze]],$I1563&lt;&gt;SottocategorieUscite[[#Headers],[Business Uscite]],$I1563&lt;&gt;SottocategorieUscite[[#Headers],[Banca]]),"","$ -")</f>
        <v/>
      </c>
      <c r="N1563" s="59" t="str">
        <f>IF(OR(Data!$I1563=SottocategorieEntrate[[#Headers],[Business Entrate]],Data!$I1563=SottocategorieEntrate[[#Headers],[Varie Entrate]]),"$ -","")</f>
        <v/>
      </c>
      <c r="O1563" s="59" t="str">
        <f>IF(OR(Data!$I1563=SottocategorieEntrate[[#Headers],[Real Estate]],SottocategorieEntrate[[#Headers],[Other]]),"$ -","")</f>
        <v/>
      </c>
      <c r="P1563" s="59" t="str">
        <f>IF(OR($I1563&lt;&gt;SottocategorieEntrate[[#Headers],[Business Entrate]],$I1563&lt;&gt;SottocategorieEntrate[[#Headers],[Varie Entrate]],$I1563&lt;&gt;SottocategorieEntrate[[#Headers],[Real Estate]],$I1563&lt;&gt;SottocategorieEntrate[[#Headers],[Other]]),"","$ -")</f>
        <v/>
      </c>
      <c r="Q1563" s="59" t="str">
        <f>IF(Dati[[#This Row],[Categoria]]="Prelievo","€ -","")</f>
        <v/>
      </c>
      <c r="R1563" s="244"/>
      <c r="S1563" s="59" t="str">
        <f>IF(Dati[[#This Row],[Categoria]]="Savings",0,"")</f>
        <v/>
      </c>
      <c r="T1563" s="59"/>
      <c r="U1563" s="59"/>
      <c r="V1563" s="59"/>
      <c r="W1563" s="59"/>
      <c r="X1563" s="59"/>
      <c r="Y1563" s="59"/>
      <c r="Z1563" s="59"/>
      <c r="AA1563" s="59"/>
      <c r="AB1563" s="59"/>
      <c r="AC1563" s="59"/>
      <c r="AD1563" s="59"/>
      <c r="AE1563" s="59"/>
      <c r="AF1563" s="59"/>
      <c r="AG1563" s="59"/>
      <c r="AH1563" s="59"/>
      <c r="AI1563" s="59" t="str">
        <f>IF(SUM(Dati[[#This Row],[Inv. Business]:[Inv. Cryptocurrency]])=0," ",SUM(Dati[[#This Row],[Inv. Business]:[Inv. Cryptocurrency]]))</f>
        <v xml:space="preserve"> </v>
      </c>
      <c r="AJ1563" s="59"/>
      <c r="AK1563" s="59" t="str">
        <f>IF(SUM(Dati[[#This Row],[Inv. Gold]:[Mutuo]])=0," ",SUM(Dati[[#This Row],[Inv. Gold]:[Mutuo]]))</f>
        <v xml:space="preserve"> </v>
      </c>
      <c r="AL1563" s="59"/>
      <c r="AM1563" s="59"/>
    </row>
    <row r="1564" spans="2:39" x14ac:dyDescent="0.35">
      <c r="B1564" s="237">
        <f t="shared" si="111"/>
        <v>1544</v>
      </c>
      <c r="C1564" s="49">
        <f t="shared" si="110"/>
        <v>46122</v>
      </c>
      <c r="D1564" s="29">
        <f>DAY(Dati[[#This Row],[Data]])</f>
        <v>10</v>
      </c>
      <c r="E1564" s="29" t="str">
        <f>IF(DAY(Data!$C$21:$C$1613)&gt;0,TEXT(Data!$C$21:$C$1613, "mmmm"),"")</f>
        <v>aprile</v>
      </c>
      <c r="F1564" s="29" t="str">
        <f>IF(DAY(Data!$C$21:$C$1613)&gt;0,TEXT(Data!$C$21:$C$1613, "aaaa"),"")</f>
        <v>2026</v>
      </c>
      <c r="I1564" t="str">
        <f>IF(OR(H1564=$B$5,H1564=$B$6,H1564=$B$7,H1564=$B$8,H1564=$B$9,H1564=$B$10,H1564=$B$11,H1564=$B$12,H1564=$B$13,H1564=$B$14),SottocategorieUscite[[#Headers],[Fuori Casa]],IF(OR(H1564=$C$5,H1564=$C$6,H1564=$C$7,H1564=$C$8,H1564=$C$9,H1564=$C$10,H1564=$C$11,H1564=$C$12,H1564=$C$13,H1564=$C$14),SottocategorieUscite[[#Headers],[Varie Uscite]],IF(OR(H1564=$D$5,H1564=$D$6,H1564=$D$7,H1564=$D$8,H1564=$D$9,H1564=$D$10,H1564=$D$11,H1564=$D$12,H1564=$D$13,H1564=$D$14),SottocategorieUscite[[#Headers],[Personali]],IF(OR(H1564=$E$5,H1564=$E$6,H1564=$E$7,H1564=$E$8,H1564=$E$9,H1564=$E$10,H1564=$E$11,H1564=$E$12,H1564=$E$13,H1564=$E$14),SottocategorieUscite[[#Headers],[Lavoro]],IF(OR(H1564=$F$5,H1564=$F$6,H1564=$F$7,H1564=$F$8,H1564=$F$9,H1564=$F$10,H1564=$F$11,H1564=$F$12,H1564=$F$13,H1564=$F$14),SottocategorieUscite[[#Headers],[Casa]],IF(OR(H1564=$G$5,H1564=$G$6,H1564=$G$7,H1564=$G$8,H1564=$G$9,H1564=$G$10,H1564=$G$11,H1564=$G$12,H1564=$G$13,H1564=$G$14),SottocategorieUscite[[#Headers],[Utenze]],IF(OR(H1564=$H$5,H1564=$H$6,H1564=$H$7,H1564=$H$8,H1564=$H$9,H1564=$H$10,H1564=$H$11,H1564=$H$12,H1564=$H$13,H1564=$H$14),SottocategorieUscite[[#Headers],[Business Uscite]],IF(OR(H1564=$I$5,H1564=$I$6,H1564=$I$7,H1564=$I$8,H1564=$I$9,H1564=$I$10,H1564=$I$11,H1564=$I$12,H1564=$I$13,H1564=$I$14),SottocategorieUscite[[#Headers],[Banca]],IF(OR(H1564=K$5,H1564=K$6,H1564=K$7,H1564=K$8,H1564=K$9,H1564=K$10,H1564=K$11,H1564=K$12,H1564=K$13,H1564=K$14),SottocategorieEntrate[[#Headers],[Business Entrate]],IF(OR(H1564=L$5,H1564=L$6,H1564=L$7,H1564=L$8,H1564=L$9,H1564=L$10,H1564=L$11,H1564=L$12,H1564=L$13,H1564=L$14),SottocategorieEntrate[[#Headers],[Varie Entrate]],IF(OR(H1564=M$5,H1564=M$6,H1564=M$7,H1564=M$8,H1564=M$9,H1564=M$10,H1564=M$11,H1564=M$12,H1564=M$13,H1564=M$14),SottocategorieEntrate[[#Headers],[Real Estate]],IF(OR(H1564=N$5,H1564=N$6,H1564=N$7,H1564=N$8,H1564=N$9,H1564=N$10,H1564=N$11,H1564=N$12,H1564=N$13,H1564=N$14),SottocategorieEntrate[[#Headers],[Other]],""))))))))))))</f>
        <v/>
      </c>
      <c r="J1564" t="str">
        <f>IF(OR(Dati[[#This Row],[Categoria]]="Bollette",Dati[[#This Row],[Categoria]]="Conto &amp; Carte BNL",Dati[[#This Row],[Categoria]]="Prelievo",Dati[[#This Row],[Categoria]]="Affitto",Dati[[#This Row],[Categoria]]="BNL(Interessi Creditori)"),"Carta",IF(Dati[[#This Row],[Categoria]]&lt;&gt;0,"Cash",""))</f>
        <v/>
      </c>
      <c r="K1564" s="59" t="str">
        <f>IF(OR(Data!$I1564=SottocategorieUscite[[#Headers],[Fuori Casa]],Data!$I1564=SottocategorieUscite[[#Headers],[Varie Uscite]],Data!$I1564=SottocategorieUscite[[#Headers],[Personali]],Data!$I1564=SottocategorieUscite[[#Headers],[Lavoro]]),"$ -","")</f>
        <v/>
      </c>
      <c r="L1564" s="59" t="str">
        <f>IF(OR(Data!$I1564=SottocategorieUscite[[#Headers],[Casa]],Data!$I1564=SottocategorieUscite[[#Headers],[Utenze]],Data!$I1564=SottocategorieUscite[[#Headers],[Business Uscite]],Data!$I1564=SottocategorieUscite[[#Headers],[Banca]]),"$ -","")</f>
        <v/>
      </c>
      <c r="M1564" s="59" t="str">
        <f>IF(OR($I1564&lt;&gt;SottocategorieUscite[[#Headers],[Fuori Casa]],$I1564&lt;&gt;SottocategorieUscite[[#Headers],[Varie Uscite]],$I1564&lt;&gt;SottocategorieUscite[[#Headers],[Personali]],$I1564&lt;&gt;SottocategorieUscite[[#Headers],[Lavoro]],$I1564&lt;&gt;SottocategorieUscite[[#Headers],[Casa]],$I1564&lt;&gt;SottocategorieUscite[[#Headers],[Utenze]],$I1564&lt;&gt;SottocategorieUscite[[#Headers],[Business Uscite]],$I1564&lt;&gt;SottocategorieUscite[[#Headers],[Banca]]),"","$ -")</f>
        <v/>
      </c>
      <c r="N1564" s="59" t="str">
        <f>IF(OR(Data!$I1564=SottocategorieEntrate[[#Headers],[Business Entrate]],Data!$I1564=SottocategorieEntrate[[#Headers],[Varie Entrate]]),"$ -","")</f>
        <v/>
      </c>
      <c r="O1564" s="59" t="str">
        <f>IF(OR(Data!$I1564=SottocategorieEntrate[[#Headers],[Real Estate]],SottocategorieEntrate[[#Headers],[Other]]),"$ -","")</f>
        <v/>
      </c>
      <c r="P1564" s="59" t="str">
        <f>IF(OR($I1564&lt;&gt;SottocategorieEntrate[[#Headers],[Business Entrate]],$I1564&lt;&gt;SottocategorieEntrate[[#Headers],[Varie Entrate]],$I1564&lt;&gt;SottocategorieEntrate[[#Headers],[Real Estate]],$I1564&lt;&gt;SottocategorieEntrate[[#Headers],[Other]]),"","$ -")</f>
        <v/>
      </c>
      <c r="Q1564" s="59" t="str">
        <f>IF(Dati[[#This Row],[Categoria]]="Prelievo","€ -","")</f>
        <v/>
      </c>
      <c r="R1564" s="244"/>
      <c r="S1564" s="59" t="str">
        <f>IF(Dati[[#This Row],[Categoria]]="Savings",0,"")</f>
        <v/>
      </c>
      <c r="T1564" s="59"/>
      <c r="U1564" s="59"/>
      <c r="V1564" s="59"/>
      <c r="W1564" s="59"/>
      <c r="X1564" s="59"/>
      <c r="Y1564" s="59"/>
      <c r="Z1564" s="59"/>
      <c r="AA1564" s="59"/>
      <c r="AB1564" s="59"/>
      <c r="AC1564" s="59"/>
      <c r="AD1564" s="59"/>
      <c r="AE1564" s="59"/>
      <c r="AF1564" s="59"/>
      <c r="AG1564" s="59"/>
      <c r="AH1564" s="59"/>
      <c r="AI1564" s="59" t="str">
        <f>IF(SUM(Dati[[#This Row],[Inv. Business]:[Inv. Cryptocurrency]])=0," ",SUM(Dati[[#This Row],[Inv. Business]:[Inv. Cryptocurrency]]))</f>
        <v xml:space="preserve"> </v>
      </c>
      <c r="AJ1564" s="59"/>
      <c r="AK1564" s="59" t="str">
        <f>IF(SUM(Dati[[#This Row],[Inv. Gold]:[Mutuo]])=0," ",SUM(Dati[[#This Row],[Inv. Gold]:[Mutuo]]))</f>
        <v xml:space="preserve"> </v>
      </c>
      <c r="AL1564" s="59"/>
      <c r="AM1564" s="59"/>
    </row>
    <row r="1565" spans="2:39" x14ac:dyDescent="0.35">
      <c r="B1565" s="237">
        <f t="shared" si="111"/>
        <v>1545</v>
      </c>
      <c r="C1565" s="49">
        <f t="shared" si="110"/>
        <v>46123</v>
      </c>
      <c r="D1565" s="29">
        <f>DAY(Dati[[#This Row],[Data]])</f>
        <v>11</v>
      </c>
      <c r="E1565" s="29" t="str">
        <f>IF(DAY(Data!$C$21:$C$1613)&gt;0,TEXT(Data!$C$21:$C$1613, "mmmm"),"")</f>
        <v>aprile</v>
      </c>
      <c r="F1565" s="29" t="str">
        <f>IF(DAY(Data!$C$21:$C$1613)&gt;0,TEXT(Data!$C$21:$C$1613, "aaaa"),"")</f>
        <v>2026</v>
      </c>
      <c r="I1565" t="str">
        <f>IF(OR(H1565=$B$5,H1565=$B$6,H1565=$B$7,H1565=$B$8,H1565=$B$9,H1565=$B$10,H1565=$B$11,H1565=$B$12,H1565=$B$13,H1565=$B$14),SottocategorieUscite[[#Headers],[Fuori Casa]],IF(OR(H1565=$C$5,H1565=$C$6,H1565=$C$7,H1565=$C$8,H1565=$C$9,H1565=$C$10,H1565=$C$11,H1565=$C$12,H1565=$C$13,H1565=$C$14),SottocategorieUscite[[#Headers],[Varie Uscite]],IF(OR(H1565=$D$5,H1565=$D$6,H1565=$D$7,H1565=$D$8,H1565=$D$9,H1565=$D$10,H1565=$D$11,H1565=$D$12,H1565=$D$13,H1565=$D$14),SottocategorieUscite[[#Headers],[Personali]],IF(OR(H1565=$E$5,H1565=$E$6,H1565=$E$7,H1565=$E$8,H1565=$E$9,H1565=$E$10,H1565=$E$11,H1565=$E$12,H1565=$E$13,H1565=$E$14),SottocategorieUscite[[#Headers],[Lavoro]],IF(OR(H1565=$F$5,H1565=$F$6,H1565=$F$7,H1565=$F$8,H1565=$F$9,H1565=$F$10,H1565=$F$11,H1565=$F$12,H1565=$F$13,H1565=$F$14),SottocategorieUscite[[#Headers],[Casa]],IF(OR(H1565=$G$5,H1565=$G$6,H1565=$G$7,H1565=$G$8,H1565=$G$9,H1565=$G$10,H1565=$G$11,H1565=$G$12,H1565=$G$13,H1565=$G$14),SottocategorieUscite[[#Headers],[Utenze]],IF(OR(H1565=$H$5,H1565=$H$6,H1565=$H$7,H1565=$H$8,H1565=$H$9,H1565=$H$10,H1565=$H$11,H1565=$H$12,H1565=$H$13,H1565=$H$14),SottocategorieUscite[[#Headers],[Business Uscite]],IF(OR(H1565=$I$5,H1565=$I$6,H1565=$I$7,H1565=$I$8,H1565=$I$9,H1565=$I$10,H1565=$I$11,H1565=$I$12,H1565=$I$13,H1565=$I$14),SottocategorieUscite[[#Headers],[Banca]],IF(OR(H1565=K$5,H1565=K$6,H1565=K$7,H1565=K$8,H1565=K$9,H1565=K$10,H1565=K$11,H1565=K$12,H1565=K$13,H1565=K$14),SottocategorieEntrate[[#Headers],[Business Entrate]],IF(OR(H1565=L$5,H1565=L$6,H1565=L$7,H1565=L$8,H1565=L$9,H1565=L$10,H1565=L$11,H1565=L$12,H1565=L$13,H1565=L$14),SottocategorieEntrate[[#Headers],[Varie Entrate]],IF(OR(H1565=M$5,H1565=M$6,H1565=M$7,H1565=M$8,H1565=M$9,H1565=M$10,H1565=M$11,H1565=M$12,H1565=M$13,H1565=M$14),SottocategorieEntrate[[#Headers],[Real Estate]],IF(OR(H1565=N$5,H1565=N$6,H1565=N$7,H1565=N$8,H1565=N$9,H1565=N$10,H1565=N$11,H1565=N$12,H1565=N$13,H1565=N$14),SottocategorieEntrate[[#Headers],[Other]],""))))))))))))</f>
        <v/>
      </c>
      <c r="J1565" t="str">
        <f>IF(OR(Dati[[#This Row],[Categoria]]="Bollette",Dati[[#This Row],[Categoria]]="Conto &amp; Carte BNL",Dati[[#This Row],[Categoria]]="Prelievo",Dati[[#This Row],[Categoria]]="Affitto",Dati[[#This Row],[Categoria]]="BNL(Interessi Creditori)"),"Carta",IF(Dati[[#This Row],[Categoria]]&lt;&gt;0,"Cash",""))</f>
        <v/>
      </c>
      <c r="K1565" s="59" t="str">
        <f>IF(OR(Data!$I1565=SottocategorieUscite[[#Headers],[Fuori Casa]],Data!$I1565=SottocategorieUscite[[#Headers],[Varie Uscite]],Data!$I1565=SottocategorieUscite[[#Headers],[Personali]],Data!$I1565=SottocategorieUscite[[#Headers],[Lavoro]]),"$ -","")</f>
        <v/>
      </c>
      <c r="L1565" s="59" t="str">
        <f>IF(OR(Data!$I1565=SottocategorieUscite[[#Headers],[Casa]],Data!$I1565=SottocategorieUscite[[#Headers],[Utenze]],Data!$I1565=SottocategorieUscite[[#Headers],[Business Uscite]],Data!$I1565=SottocategorieUscite[[#Headers],[Banca]]),"$ -","")</f>
        <v/>
      </c>
      <c r="M1565" s="59" t="str">
        <f>IF(OR($I1565&lt;&gt;SottocategorieUscite[[#Headers],[Fuori Casa]],$I1565&lt;&gt;SottocategorieUscite[[#Headers],[Varie Uscite]],$I1565&lt;&gt;SottocategorieUscite[[#Headers],[Personali]],$I1565&lt;&gt;SottocategorieUscite[[#Headers],[Lavoro]],$I1565&lt;&gt;SottocategorieUscite[[#Headers],[Casa]],$I1565&lt;&gt;SottocategorieUscite[[#Headers],[Utenze]],$I1565&lt;&gt;SottocategorieUscite[[#Headers],[Business Uscite]],$I1565&lt;&gt;SottocategorieUscite[[#Headers],[Banca]]),"","$ -")</f>
        <v/>
      </c>
      <c r="N1565" s="59" t="str">
        <f>IF(OR(Data!$I1565=SottocategorieEntrate[[#Headers],[Business Entrate]],Data!$I1565=SottocategorieEntrate[[#Headers],[Varie Entrate]]),"$ -","")</f>
        <v/>
      </c>
      <c r="O1565" s="59" t="str">
        <f>IF(OR(Data!$I1565=SottocategorieEntrate[[#Headers],[Real Estate]],SottocategorieEntrate[[#Headers],[Other]]),"$ -","")</f>
        <v/>
      </c>
      <c r="P1565" s="59" t="str">
        <f>IF(OR($I1565&lt;&gt;SottocategorieEntrate[[#Headers],[Business Entrate]],$I1565&lt;&gt;SottocategorieEntrate[[#Headers],[Varie Entrate]],$I1565&lt;&gt;SottocategorieEntrate[[#Headers],[Real Estate]],$I1565&lt;&gt;SottocategorieEntrate[[#Headers],[Other]]),"","$ -")</f>
        <v/>
      </c>
      <c r="Q1565" s="59" t="str">
        <f>IF(Dati[[#This Row],[Categoria]]="Prelievo","€ -","")</f>
        <v/>
      </c>
      <c r="R1565" s="244"/>
      <c r="S1565" s="59" t="str">
        <f>IF(Dati[[#This Row],[Categoria]]="Savings",0,"")</f>
        <v/>
      </c>
      <c r="T1565" s="59"/>
      <c r="U1565" s="59"/>
      <c r="V1565" s="59"/>
      <c r="W1565" s="59"/>
      <c r="X1565" s="59"/>
      <c r="Y1565" s="59"/>
      <c r="Z1565" s="59"/>
      <c r="AA1565" s="59"/>
      <c r="AB1565" s="59"/>
      <c r="AC1565" s="59"/>
      <c r="AD1565" s="59"/>
      <c r="AE1565" s="59"/>
      <c r="AF1565" s="59"/>
      <c r="AG1565" s="59"/>
      <c r="AH1565" s="59"/>
      <c r="AI1565" s="59" t="str">
        <f>IF(SUM(Dati[[#This Row],[Inv. Business]:[Inv. Cryptocurrency]])=0," ",SUM(Dati[[#This Row],[Inv. Business]:[Inv. Cryptocurrency]]))</f>
        <v xml:space="preserve"> </v>
      </c>
      <c r="AJ1565" s="59"/>
      <c r="AK1565" s="59" t="str">
        <f>IF(SUM(Dati[[#This Row],[Inv. Gold]:[Mutuo]])=0," ",SUM(Dati[[#This Row],[Inv. Gold]:[Mutuo]]))</f>
        <v xml:space="preserve"> </v>
      </c>
      <c r="AL1565" s="59"/>
      <c r="AM1565" s="59"/>
    </row>
    <row r="1566" spans="2:39" x14ac:dyDescent="0.35">
      <c r="B1566" s="237">
        <f t="shared" si="111"/>
        <v>1546</v>
      </c>
      <c r="C1566" s="49">
        <f t="shared" si="110"/>
        <v>46124</v>
      </c>
      <c r="D1566" s="29">
        <f>DAY(Dati[[#This Row],[Data]])</f>
        <v>12</v>
      </c>
      <c r="E1566" s="29" t="str">
        <f>IF(DAY(Data!$C$21:$C$1613)&gt;0,TEXT(Data!$C$21:$C$1613, "mmmm"),"")</f>
        <v>aprile</v>
      </c>
      <c r="F1566" s="29" t="str">
        <f>IF(DAY(Data!$C$21:$C$1613)&gt;0,TEXT(Data!$C$21:$C$1613, "aaaa"),"")</f>
        <v>2026</v>
      </c>
      <c r="I1566" t="str">
        <f>IF(OR(H1566=$B$5,H1566=$B$6,H1566=$B$7,H1566=$B$8,H1566=$B$9,H1566=$B$10,H1566=$B$11,H1566=$B$12,H1566=$B$13,H1566=$B$14),SottocategorieUscite[[#Headers],[Fuori Casa]],IF(OR(H1566=$C$5,H1566=$C$6,H1566=$C$7,H1566=$C$8,H1566=$C$9,H1566=$C$10,H1566=$C$11,H1566=$C$12,H1566=$C$13,H1566=$C$14),SottocategorieUscite[[#Headers],[Varie Uscite]],IF(OR(H1566=$D$5,H1566=$D$6,H1566=$D$7,H1566=$D$8,H1566=$D$9,H1566=$D$10,H1566=$D$11,H1566=$D$12,H1566=$D$13,H1566=$D$14),SottocategorieUscite[[#Headers],[Personali]],IF(OR(H1566=$E$5,H1566=$E$6,H1566=$E$7,H1566=$E$8,H1566=$E$9,H1566=$E$10,H1566=$E$11,H1566=$E$12,H1566=$E$13,H1566=$E$14),SottocategorieUscite[[#Headers],[Lavoro]],IF(OR(H1566=$F$5,H1566=$F$6,H1566=$F$7,H1566=$F$8,H1566=$F$9,H1566=$F$10,H1566=$F$11,H1566=$F$12,H1566=$F$13,H1566=$F$14),SottocategorieUscite[[#Headers],[Casa]],IF(OR(H1566=$G$5,H1566=$G$6,H1566=$G$7,H1566=$G$8,H1566=$G$9,H1566=$G$10,H1566=$G$11,H1566=$G$12,H1566=$G$13,H1566=$G$14),SottocategorieUscite[[#Headers],[Utenze]],IF(OR(H1566=$H$5,H1566=$H$6,H1566=$H$7,H1566=$H$8,H1566=$H$9,H1566=$H$10,H1566=$H$11,H1566=$H$12,H1566=$H$13,H1566=$H$14),SottocategorieUscite[[#Headers],[Business Uscite]],IF(OR(H1566=$I$5,H1566=$I$6,H1566=$I$7,H1566=$I$8,H1566=$I$9,H1566=$I$10,H1566=$I$11,H1566=$I$12,H1566=$I$13,H1566=$I$14),SottocategorieUscite[[#Headers],[Banca]],IF(OR(H1566=K$5,H1566=K$6,H1566=K$7,H1566=K$8,H1566=K$9,H1566=K$10,H1566=K$11,H1566=K$12,H1566=K$13,H1566=K$14),SottocategorieEntrate[[#Headers],[Business Entrate]],IF(OR(H1566=L$5,H1566=L$6,H1566=L$7,H1566=L$8,H1566=L$9,H1566=L$10,H1566=L$11,H1566=L$12,H1566=L$13,H1566=L$14),SottocategorieEntrate[[#Headers],[Varie Entrate]],IF(OR(H1566=M$5,H1566=M$6,H1566=M$7,H1566=M$8,H1566=M$9,H1566=M$10,H1566=M$11,H1566=M$12,H1566=M$13,H1566=M$14),SottocategorieEntrate[[#Headers],[Real Estate]],IF(OR(H1566=N$5,H1566=N$6,H1566=N$7,H1566=N$8,H1566=N$9,H1566=N$10,H1566=N$11,H1566=N$12,H1566=N$13,H1566=N$14),SottocategorieEntrate[[#Headers],[Other]],""))))))))))))</f>
        <v/>
      </c>
      <c r="J1566" t="str">
        <f>IF(OR(Dati[[#This Row],[Categoria]]="Bollette",Dati[[#This Row],[Categoria]]="Conto &amp; Carte BNL",Dati[[#This Row],[Categoria]]="Prelievo",Dati[[#This Row],[Categoria]]="Affitto",Dati[[#This Row],[Categoria]]="BNL(Interessi Creditori)"),"Carta",IF(Dati[[#This Row],[Categoria]]&lt;&gt;0,"Cash",""))</f>
        <v/>
      </c>
      <c r="K1566" s="59" t="str">
        <f>IF(OR(Data!$I1566=SottocategorieUscite[[#Headers],[Fuori Casa]],Data!$I1566=SottocategorieUscite[[#Headers],[Varie Uscite]],Data!$I1566=SottocategorieUscite[[#Headers],[Personali]],Data!$I1566=SottocategorieUscite[[#Headers],[Lavoro]]),"$ -","")</f>
        <v/>
      </c>
      <c r="L1566" s="59" t="str">
        <f>IF(OR(Data!$I1566=SottocategorieUscite[[#Headers],[Casa]],Data!$I1566=SottocategorieUscite[[#Headers],[Utenze]],Data!$I1566=SottocategorieUscite[[#Headers],[Business Uscite]],Data!$I1566=SottocategorieUscite[[#Headers],[Banca]]),"$ -","")</f>
        <v/>
      </c>
      <c r="M1566" s="59" t="str">
        <f>IF(OR($I1566&lt;&gt;SottocategorieUscite[[#Headers],[Fuori Casa]],$I1566&lt;&gt;SottocategorieUscite[[#Headers],[Varie Uscite]],$I1566&lt;&gt;SottocategorieUscite[[#Headers],[Personali]],$I1566&lt;&gt;SottocategorieUscite[[#Headers],[Lavoro]],$I1566&lt;&gt;SottocategorieUscite[[#Headers],[Casa]],$I1566&lt;&gt;SottocategorieUscite[[#Headers],[Utenze]],$I1566&lt;&gt;SottocategorieUscite[[#Headers],[Business Uscite]],$I1566&lt;&gt;SottocategorieUscite[[#Headers],[Banca]]),"","$ -")</f>
        <v/>
      </c>
      <c r="N1566" s="59" t="str">
        <f>IF(OR(Data!$I1566=SottocategorieEntrate[[#Headers],[Business Entrate]],Data!$I1566=SottocategorieEntrate[[#Headers],[Varie Entrate]]),"$ -","")</f>
        <v/>
      </c>
      <c r="O1566" s="59" t="str">
        <f>IF(OR(Data!$I1566=SottocategorieEntrate[[#Headers],[Real Estate]],SottocategorieEntrate[[#Headers],[Other]]),"$ -","")</f>
        <v/>
      </c>
      <c r="P1566" s="59" t="str">
        <f>IF(OR($I1566&lt;&gt;SottocategorieEntrate[[#Headers],[Business Entrate]],$I1566&lt;&gt;SottocategorieEntrate[[#Headers],[Varie Entrate]],$I1566&lt;&gt;SottocategorieEntrate[[#Headers],[Real Estate]],$I1566&lt;&gt;SottocategorieEntrate[[#Headers],[Other]]),"","$ -")</f>
        <v/>
      </c>
      <c r="Q1566" s="59" t="str">
        <f>IF(Dati[[#This Row],[Categoria]]="Prelievo","€ -","")</f>
        <v/>
      </c>
      <c r="R1566" s="244"/>
      <c r="S1566" s="59" t="str">
        <f>IF(Dati[[#This Row],[Categoria]]="Savings",0,"")</f>
        <v/>
      </c>
      <c r="T1566" s="59"/>
      <c r="U1566" s="59"/>
      <c r="V1566" s="59"/>
      <c r="W1566" s="59"/>
      <c r="X1566" s="59"/>
      <c r="Y1566" s="59"/>
      <c r="Z1566" s="59"/>
      <c r="AA1566" s="59"/>
      <c r="AB1566" s="59"/>
      <c r="AC1566" s="59"/>
      <c r="AD1566" s="59"/>
      <c r="AE1566" s="59"/>
      <c r="AF1566" s="59"/>
      <c r="AG1566" s="59"/>
      <c r="AH1566" s="59"/>
      <c r="AI1566" s="59" t="str">
        <f>IF(SUM(Dati[[#This Row],[Inv. Business]:[Inv. Cryptocurrency]])=0," ",SUM(Dati[[#This Row],[Inv. Business]:[Inv. Cryptocurrency]]))</f>
        <v xml:space="preserve"> </v>
      </c>
      <c r="AJ1566" s="59"/>
      <c r="AK1566" s="59" t="str">
        <f>IF(SUM(Dati[[#This Row],[Inv. Gold]:[Mutuo]])=0," ",SUM(Dati[[#This Row],[Inv. Gold]:[Mutuo]]))</f>
        <v xml:space="preserve"> </v>
      </c>
      <c r="AL1566" s="59"/>
      <c r="AM1566" s="59"/>
    </row>
    <row r="1567" spans="2:39" x14ac:dyDescent="0.35">
      <c r="B1567" s="237">
        <f t="shared" si="111"/>
        <v>1547</v>
      </c>
      <c r="C1567" s="49">
        <f t="shared" si="110"/>
        <v>46125</v>
      </c>
      <c r="D1567" s="29">
        <f>DAY(Dati[[#This Row],[Data]])</f>
        <v>13</v>
      </c>
      <c r="E1567" s="29" t="str">
        <f>IF(DAY(Data!$C$21:$C$1613)&gt;0,TEXT(Data!$C$21:$C$1613, "mmmm"),"")</f>
        <v>aprile</v>
      </c>
      <c r="F1567" s="29" t="str">
        <f>IF(DAY(Data!$C$21:$C$1613)&gt;0,TEXT(Data!$C$21:$C$1613, "aaaa"),"")</f>
        <v>2026</v>
      </c>
      <c r="I1567" t="str">
        <f>IF(OR(H1567=$B$5,H1567=$B$6,H1567=$B$7,H1567=$B$8,H1567=$B$9,H1567=$B$10,H1567=$B$11,H1567=$B$12,H1567=$B$13,H1567=$B$14),SottocategorieUscite[[#Headers],[Fuori Casa]],IF(OR(H1567=$C$5,H1567=$C$6,H1567=$C$7,H1567=$C$8,H1567=$C$9,H1567=$C$10,H1567=$C$11,H1567=$C$12,H1567=$C$13,H1567=$C$14),SottocategorieUscite[[#Headers],[Varie Uscite]],IF(OR(H1567=$D$5,H1567=$D$6,H1567=$D$7,H1567=$D$8,H1567=$D$9,H1567=$D$10,H1567=$D$11,H1567=$D$12,H1567=$D$13,H1567=$D$14),SottocategorieUscite[[#Headers],[Personali]],IF(OR(H1567=$E$5,H1567=$E$6,H1567=$E$7,H1567=$E$8,H1567=$E$9,H1567=$E$10,H1567=$E$11,H1567=$E$12,H1567=$E$13,H1567=$E$14),SottocategorieUscite[[#Headers],[Lavoro]],IF(OR(H1567=$F$5,H1567=$F$6,H1567=$F$7,H1567=$F$8,H1567=$F$9,H1567=$F$10,H1567=$F$11,H1567=$F$12,H1567=$F$13,H1567=$F$14),SottocategorieUscite[[#Headers],[Casa]],IF(OR(H1567=$G$5,H1567=$G$6,H1567=$G$7,H1567=$G$8,H1567=$G$9,H1567=$G$10,H1567=$G$11,H1567=$G$12,H1567=$G$13,H1567=$G$14),SottocategorieUscite[[#Headers],[Utenze]],IF(OR(H1567=$H$5,H1567=$H$6,H1567=$H$7,H1567=$H$8,H1567=$H$9,H1567=$H$10,H1567=$H$11,H1567=$H$12,H1567=$H$13,H1567=$H$14),SottocategorieUscite[[#Headers],[Business Uscite]],IF(OR(H1567=$I$5,H1567=$I$6,H1567=$I$7,H1567=$I$8,H1567=$I$9,H1567=$I$10,H1567=$I$11,H1567=$I$12,H1567=$I$13,H1567=$I$14),SottocategorieUscite[[#Headers],[Banca]],IF(OR(H1567=K$5,H1567=K$6,H1567=K$7,H1567=K$8,H1567=K$9,H1567=K$10,H1567=K$11,H1567=K$12,H1567=K$13,H1567=K$14),SottocategorieEntrate[[#Headers],[Business Entrate]],IF(OR(H1567=L$5,H1567=L$6,H1567=L$7,H1567=L$8,H1567=L$9,H1567=L$10,H1567=L$11,H1567=L$12,H1567=L$13,H1567=L$14),SottocategorieEntrate[[#Headers],[Varie Entrate]],IF(OR(H1567=M$5,H1567=M$6,H1567=M$7,H1567=M$8,H1567=M$9,H1567=M$10,H1567=M$11,H1567=M$12,H1567=M$13,H1567=M$14),SottocategorieEntrate[[#Headers],[Real Estate]],IF(OR(H1567=N$5,H1567=N$6,H1567=N$7,H1567=N$8,H1567=N$9,H1567=N$10,H1567=N$11,H1567=N$12,H1567=N$13,H1567=N$14),SottocategorieEntrate[[#Headers],[Other]],""))))))))))))</f>
        <v/>
      </c>
      <c r="J1567" t="str">
        <f>IF(OR(Dati[[#This Row],[Categoria]]="Bollette",Dati[[#This Row],[Categoria]]="Conto &amp; Carte BNL",Dati[[#This Row],[Categoria]]="Prelievo",Dati[[#This Row],[Categoria]]="Affitto",Dati[[#This Row],[Categoria]]="BNL(Interessi Creditori)"),"Carta",IF(Dati[[#This Row],[Categoria]]&lt;&gt;0,"Cash",""))</f>
        <v/>
      </c>
      <c r="K1567" s="59" t="str">
        <f>IF(OR(Data!$I1567=SottocategorieUscite[[#Headers],[Fuori Casa]],Data!$I1567=SottocategorieUscite[[#Headers],[Varie Uscite]],Data!$I1567=SottocategorieUscite[[#Headers],[Personali]],Data!$I1567=SottocategorieUscite[[#Headers],[Lavoro]]),"$ -","")</f>
        <v/>
      </c>
      <c r="L1567" s="59" t="str">
        <f>IF(OR(Data!$I1567=SottocategorieUscite[[#Headers],[Casa]],Data!$I1567=SottocategorieUscite[[#Headers],[Utenze]],Data!$I1567=SottocategorieUscite[[#Headers],[Business Uscite]],Data!$I1567=SottocategorieUscite[[#Headers],[Banca]]),"$ -","")</f>
        <v/>
      </c>
      <c r="M1567" s="59" t="str">
        <f>IF(OR($I1567&lt;&gt;SottocategorieUscite[[#Headers],[Fuori Casa]],$I1567&lt;&gt;SottocategorieUscite[[#Headers],[Varie Uscite]],$I1567&lt;&gt;SottocategorieUscite[[#Headers],[Personali]],$I1567&lt;&gt;SottocategorieUscite[[#Headers],[Lavoro]],$I1567&lt;&gt;SottocategorieUscite[[#Headers],[Casa]],$I1567&lt;&gt;SottocategorieUscite[[#Headers],[Utenze]],$I1567&lt;&gt;SottocategorieUscite[[#Headers],[Business Uscite]],$I1567&lt;&gt;SottocategorieUscite[[#Headers],[Banca]]),"","$ -")</f>
        <v/>
      </c>
      <c r="N1567" s="59" t="str">
        <f>IF(OR(Data!$I1567=SottocategorieEntrate[[#Headers],[Business Entrate]],Data!$I1567=SottocategorieEntrate[[#Headers],[Varie Entrate]]),"$ -","")</f>
        <v/>
      </c>
      <c r="O1567" s="59" t="str">
        <f>IF(OR(Data!$I1567=SottocategorieEntrate[[#Headers],[Real Estate]],SottocategorieEntrate[[#Headers],[Other]]),"$ -","")</f>
        <v/>
      </c>
      <c r="P1567" s="59" t="str">
        <f>IF(OR($I1567&lt;&gt;SottocategorieEntrate[[#Headers],[Business Entrate]],$I1567&lt;&gt;SottocategorieEntrate[[#Headers],[Varie Entrate]],$I1567&lt;&gt;SottocategorieEntrate[[#Headers],[Real Estate]],$I1567&lt;&gt;SottocategorieEntrate[[#Headers],[Other]]),"","$ -")</f>
        <v/>
      </c>
      <c r="Q1567" s="59" t="str">
        <f>IF(Dati[[#This Row],[Categoria]]="Prelievo","€ -","")</f>
        <v/>
      </c>
      <c r="R1567" s="244"/>
      <c r="S1567" s="59" t="str">
        <f>IF(Dati[[#This Row],[Categoria]]="Savings",0,"")</f>
        <v/>
      </c>
      <c r="T1567" s="59"/>
      <c r="U1567" s="59"/>
      <c r="V1567" s="59"/>
      <c r="W1567" s="59"/>
      <c r="X1567" s="59"/>
      <c r="Y1567" s="59"/>
      <c r="Z1567" s="59"/>
      <c r="AA1567" s="59"/>
      <c r="AB1567" s="59"/>
      <c r="AC1567" s="59"/>
      <c r="AD1567" s="59"/>
      <c r="AE1567" s="59"/>
      <c r="AF1567" s="59"/>
      <c r="AG1567" s="59"/>
      <c r="AH1567" s="59"/>
      <c r="AI1567" s="59" t="str">
        <f>IF(SUM(Dati[[#This Row],[Inv. Business]:[Inv. Cryptocurrency]])=0," ",SUM(Dati[[#This Row],[Inv. Business]:[Inv. Cryptocurrency]]))</f>
        <v xml:space="preserve"> </v>
      </c>
      <c r="AJ1567" s="59"/>
      <c r="AK1567" s="59" t="str">
        <f>IF(SUM(Dati[[#This Row],[Inv. Gold]:[Mutuo]])=0," ",SUM(Dati[[#This Row],[Inv. Gold]:[Mutuo]]))</f>
        <v xml:space="preserve"> </v>
      </c>
      <c r="AL1567" s="59"/>
      <c r="AM1567" s="59"/>
    </row>
    <row r="1568" spans="2:39" x14ac:dyDescent="0.35">
      <c r="B1568" s="237">
        <f t="shared" si="111"/>
        <v>1548</v>
      </c>
      <c r="C1568" s="49">
        <f t="shared" ref="C1568:C1613" si="112">C1567+1</f>
        <v>46126</v>
      </c>
      <c r="D1568" s="29">
        <f>DAY(Dati[[#This Row],[Data]])</f>
        <v>14</v>
      </c>
      <c r="E1568" s="29" t="str">
        <f>IF(DAY(Data!$C$21:$C$1613)&gt;0,TEXT(Data!$C$21:$C$1613, "mmmm"),"")</f>
        <v>aprile</v>
      </c>
      <c r="F1568" s="29" t="str">
        <f>IF(DAY(Data!$C$21:$C$1613)&gt;0,TEXT(Data!$C$21:$C$1613, "aaaa"),"")</f>
        <v>2026</v>
      </c>
      <c r="I1568" t="str">
        <f>IF(OR(H1568=$B$5,H1568=$B$6,H1568=$B$7,H1568=$B$8,H1568=$B$9,H1568=$B$10,H1568=$B$11,H1568=$B$12,H1568=$B$13,H1568=$B$14),SottocategorieUscite[[#Headers],[Fuori Casa]],IF(OR(H1568=$C$5,H1568=$C$6,H1568=$C$7,H1568=$C$8,H1568=$C$9,H1568=$C$10,H1568=$C$11,H1568=$C$12,H1568=$C$13,H1568=$C$14),SottocategorieUscite[[#Headers],[Varie Uscite]],IF(OR(H1568=$D$5,H1568=$D$6,H1568=$D$7,H1568=$D$8,H1568=$D$9,H1568=$D$10,H1568=$D$11,H1568=$D$12,H1568=$D$13,H1568=$D$14),SottocategorieUscite[[#Headers],[Personali]],IF(OR(H1568=$E$5,H1568=$E$6,H1568=$E$7,H1568=$E$8,H1568=$E$9,H1568=$E$10,H1568=$E$11,H1568=$E$12,H1568=$E$13,H1568=$E$14),SottocategorieUscite[[#Headers],[Lavoro]],IF(OR(H1568=$F$5,H1568=$F$6,H1568=$F$7,H1568=$F$8,H1568=$F$9,H1568=$F$10,H1568=$F$11,H1568=$F$12,H1568=$F$13,H1568=$F$14),SottocategorieUscite[[#Headers],[Casa]],IF(OR(H1568=$G$5,H1568=$G$6,H1568=$G$7,H1568=$G$8,H1568=$G$9,H1568=$G$10,H1568=$G$11,H1568=$G$12,H1568=$G$13,H1568=$G$14),SottocategorieUscite[[#Headers],[Utenze]],IF(OR(H1568=$H$5,H1568=$H$6,H1568=$H$7,H1568=$H$8,H1568=$H$9,H1568=$H$10,H1568=$H$11,H1568=$H$12,H1568=$H$13,H1568=$H$14),SottocategorieUscite[[#Headers],[Business Uscite]],IF(OR(H1568=$I$5,H1568=$I$6,H1568=$I$7,H1568=$I$8,H1568=$I$9,H1568=$I$10,H1568=$I$11,H1568=$I$12,H1568=$I$13,H1568=$I$14),SottocategorieUscite[[#Headers],[Banca]],IF(OR(H1568=K$5,H1568=K$6,H1568=K$7,H1568=K$8,H1568=K$9,H1568=K$10,H1568=K$11,H1568=K$12,H1568=K$13,H1568=K$14),SottocategorieEntrate[[#Headers],[Business Entrate]],IF(OR(H1568=L$5,H1568=L$6,H1568=L$7,H1568=L$8,H1568=L$9,H1568=L$10,H1568=L$11,H1568=L$12,H1568=L$13,H1568=L$14),SottocategorieEntrate[[#Headers],[Varie Entrate]],IF(OR(H1568=M$5,H1568=M$6,H1568=M$7,H1568=M$8,H1568=M$9,H1568=M$10,H1568=M$11,H1568=M$12,H1568=M$13,H1568=M$14),SottocategorieEntrate[[#Headers],[Real Estate]],IF(OR(H1568=N$5,H1568=N$6,H1568=N$7,H1568=N$8,H1568=N$9,H1568=N$10,H1568=N$11,H1568=N$12,H1568=N$13,H1568=N$14),SottocategorieEntrate[[#Headers],[Other]],""))))))))))))</f>
        <v/>
      </c>
      <c r="J1568" t="str">
        <f>IF(OR(Dati[[#This Row],[Categoria]]="Bollette",Dati[[#This Row],[Categoria]]="Conto &amp; Carte BNL",Dati[[#This Row],[Categoria]]="Prelievo",Dati[[#This Row],[Categoria]]="Affitto",Dati[[#This Row],[Categoria]]="BNL(Interessi Creditori)"),"Carta",IF(Dati[[#This Row],[Categoria]]&lt;&gt;0,"Cash",""))</f>
        <v/>
      </c>
      <c r="K1568" s="59" t="str">
        <f>IF(OR(Data!$I1568=SottocategorieUscite[[#Headers],[Fuori Casa]],Data!$I1568=SottocategorieUscite[[#Headers],[Varie Uscite]],Data!$I1568=SottocategorieUscite[[#Headers],[Personali]],Data!$I1568=SottocategorieUscite[[#Headers],[Lavoro]]),"$ -","")</f>
        <v/>
      </c>
      <c r="L1568" s="59" t="str">
        <f>IF(OR(Data!$I1568=SottocategorieUscite[[#Headers],[Casa]],Data!$I1568=SottocategorieUscite[[#Headers],[Utenze]],Data!$I1568=SottocategorieUscite[[#Headers],[Business Uscite]],Data!$I1568=SottocategorieUscite[[#Headers],[Banca]]),"$ -","")</f>
        <v/>
      </c>
      <c r="M1568" s="59" t="str">
        <f>IF(OR($I1568&lt;&gt;SottocategorieUscite[[#Headers],[Fuori Casa]],$I1568&lt;&gt;SottocategorieUscite[[#Headers],[Varie Uscite]],$I1568&lt;&gt;SottocategorieUscite[[#Headers],[Personali]],$I1568&lt;&gt;SottocategorieUscite[[#Headers],[Lavoro]],$I1568&lt;&gt;SottocategorieUscite[[#Headers],[Casa]],$I1568&lt;&gt;SottocategorieUscite[[#Headers],[Utenze]],$I1568&lt;&gt;SottocategorieUscite[[#Headers],[Business Uscite]],$I1568&lt;&gt;SottocategorieUscite[[#Headers],[Banca]]),"","$ -")</f>
        <v/>
      </c>
      <c r="N1568" s="59" t="str">
        <f>IF(OR(Data!$I1568=SottocategorieEntrate[[#Headers],[Business Entrate]],Data!$I1568=SottocategorieEntrate[[#Headers],[Varie Entrate]]),"$ -","")</f>
        <v/>
      </c>
      <c r="O1568" s="59" t="str">
        <f>IF(OR(Data!$I1568=SottocategorieEntrate[[#Headers],[Real Estate]],SottocategorieEntrate[[#Headers],[Other]]),"$ -","")</f>
        <v/>
      </c>
      <c r="P1568" s="59" t="str">
        <f>IF(OR($I1568&lt;&gt;SottocategorieEntrate[[#Headers],[Business Entrate]],$I1568&lt;&gt;SottocategorieEntrate[[#Headers],[Varie Entrate]],$I1568&lt;&gt;SottocategorieEntrate[[#Headers],[Real Estate]],$I1568&lt;&gt;SottocategorieEntrate[[#Headers],[Other]]),"","$ -")</f>
        <v/>
      </c>
      <c r="Q1568" s="59" t="str">
        <f>IF(Dati[[#This Row],[Categoria]]="Prelievo","€ -","")</f>
        <v/>
      </c>
      <c r="R1568" s="244"/>
      <c r="S1568" s="59" t="str">
        <f>IF(Dati[[#This Row],[Categoria]]="Savings",0,"")</f>
        <v/>
      </c>
      <c r="T1568" s="59"/>
      <c r="U1568" s="59"/>
      <c r="V1568" s="59"/>
      <c r="W1568" s="59"/>
      <c r="X1568" s="59"/>
      <c r="Y1568" s="59"/>
      <c r="Z1568" s="59"/>
      <c r="AA1568" s="59"/>
      <c r="AB1568" s="59"/>
      <c r="AC1568" s="59"/>
      <c r="AD1568" s="59"/>
      <c r="AE1568" s="59"/>
      <c r="AF1568" s="59"/>
      <c r="AG1568" s="59"/>
      <c r="AH1568" s="59"/>
      <c r="AI1568" s="59" t="str">
        <f>IF(SUM(Dati[[#This Row],[Inv. Business]:[Inv. Cryptocurrency]])=0," ",SUM(Dati[[#This Row],[Inv. Business]:[Inv. Cryptocurrency]]))</f>
        <v xml:space="preserve"> </v>
      </c>
      <c r="AJ1568" s="59"/>
      <c r="AK1568" s="59" t="str">
        <f>IF(SUM(Dati[[#This Row],[Inv. Gold]:[Mutuo]])=0," ",SUM(Dati[[#This Row],[Inv. Gold]:[Mutuo]]))</f>
        <v xml:space="preserve"> </v>
      </c>
      <c r="AL1568" s="59"/>
      <c r="AM1568" s="59"/>
    </row>
    <row r="1569" spans="2:39" x14ac:dyDescent="0.35">
      <c r="B1569" s="237">
        <f t="shared" si="111"/>
        <v>1549</v>
      </c>
      <c r="C1569" s="49">
        <f t="shared" si="112"/>
        <v>46127</v>
      </c>
      <c r="D1569" s="29">
        <f>DAY(Dati[[#This Row],[Data]])</f>
        <v>15</v>
      </c>
      <c r="E1569" s="29" t="str">
        <f>IF(DAY(Data!$C$21:$C$1613)&gt;0,TEXT(Data!$C$21:$C$1613, "mmmm"),"")</f>
        <v>aprile</v>
      </c>
      <c r="F1569" s="29" t="str">
        <f>IF(DAY(Data!$C$21:$C$1613)&gt;0,TEXT(Data!$C$21:$C$1613, "aaaa"),"")</f>
        <v>2026</v>
      </c>
      <c r="I1569" t="str">
        <f>IF(OR(H1569=$B$5,H1569=$B$6,H1569=$B$7,H1569=$B$8,H1569=$B$9,H1569=$B$10,H1569=$B$11,H1569=$B$12,H1569=$B$13,H1569=$B$14),SottocategorieUscite[[#Headers],[Fuori Casa]],IF(OR(H1569=$C$5,H1569=$C$6,H1569=$C$7,H1569=$C$8,H1569=$C$9,H1569=$C$10,H1569=$C$11,H1569=$C$12,H1569=$C$13,H1569=$C$14),SottocategorieUscite[[#Headers],[Varie Uscite]],IF(OR(H1569=$D$5,H1569=$D$6,H1569=$D$7,H1569=$D$8,H1569=$D$9,H1569=$D$10,H1569=$D$11,H1569=$D$12,H1569=$D$13,H1569=$D$14),SottocategorieUscite[[#Headers],[Personali]],IF(OR(H1569=$E$5,H1569=$E$6,H1569=$E$7,H1569=$E$8,H1569=$E$9,H1569=$E$10,H1569=$E$11,H1569=$E$12,H1569=$E$13,H1569=$E$14),SottocategorieUscite[[#Headers],[Lavoro]],IF(OR(H1569=$F$5,H1569=$F$6,H1569=$F$7,H1569=$F$8,H1569=$F$9,H1569=$F$10,H1569=$F$11,H1569=$F$12,H1569=$F$13,H1569=$F$14),SottocategorieUscite[[#Headers],[Casa]],IF(OR(H1569=$G$5,H1569=$G$6,H1569=$G$7,H1569=$G$8,H1569=$G$9,H1569=$G$10,H1569=$G$11,H1569=$G$12,H1569=$G$13,H1569=$G$14),SottocategorieUscite[[#Headers],[Utenze]],IF(OR(H1569=$H$5,H1569=$H$6,H1569=$H$7,H1569=$H$8,H1569=$H$9,H1569=$H$10,H1569=$H$11,H1569=$H$12,H1569=$H$13,H1569=$H$14),SottocategorieUscite[[#Headers],[Business Uscite]],IF(OR(H1569=$I$5,H1569=$I$6,H1569=$I$7,H1569=$I$8,H1569=$I$9,H1569=$I$10,H1569=$I$11,H1569=$I$12,H1569=$I$13,H1569=$I$14),SottocategorieUscite[[#Headers],[Banca]],IF(OR(H1569=K$5,H1569=K$6,H1569=K$7,H1569=K$8,H1569=K$9,H1569=K$10,H1569=K$11,H1569=K$12,H1569=K$13,H1569=K$14),SottocategorieEntrate[[#Headers],[Business Entrate]],IF(OR(H1569=L$5,H1569=L$6,H1569=L$7,H1569=L$8,H1569=L$9,H1569=L$10,H1569=L$11,H1569=L$12,H1569=L$13,H1569=L$14),SottocategorieEntrate[[#Headers],[Varie Entrate]],IF(OR(H1569=M$5,H1569=M$6,H1569=M$7,H1569=M$8,H1569=M$9,H1569=M$10,H1569=M$11,H1569=M$12,H1569=M$13,H1569=M$14),SottocategorieEntrate[[#Headers],[Real Estate]],IF(OR(H1569=N$5,H1569=N$6,H1569=N$7,H1569=N$8,H1569=N$9,H1569=N$10,H1569=N$11,H1569=N$12,H1569=N$13,H1569=N$14),SottocategorieEntrate[[#Headers],[Other]],""))))))))))))</f>
        <v/>
      </c>
      <c r="J1569" t="str">
        <f>IF(OR(Dati[[#This Row],[Categoria]]="Bollette",Dati[[#This Row],[Categoria]]="Conto &amp; Carte BNL",Dati[[#This Row],[Categoria]]="Prelievo",Dati[[#This Row],[Categoria]]="Affitto",Dati[[#This Row],[Categoria]]="BNL(Interessi Creditori)"),"Carta",IF(Dati[[#This Row],[Categoria]]&lt;&gt;0,"Cash",""))</f>
        <v/>
      </c>
      <c r="K1569" s="59" t="str">
        <f>IF(OR(Data!$I1569=SottocategorieUscite[[#Headers],[Fuori Casa]],Data!$I1569=SottocategorieUscite[[#Headers],[Varie Uscite]],Data!$I1569=SottocategorieUscite[[#Headers],[Personali]],Data!$I1569=SottocategorieUscite[[#Headers],[Lavoro]]),"$ -","")</f>
        <v/>
      </c>
      <c r="L1569" s="59" t="str">
        <f>IF(OR(Data!$I1569=SottocategorieUscite[[#Headers],[Casa]],Data!$I1569=SottocategorieUscite[[#Headers],[Utenze]],Data!$I1569=SottocategorieUscite[[#Headers],[Business Uscite]],Data!$I1569=SottocategorieUscite[[#Headers],[Banca]]),"$ -","")</f>
        <v/>
      </c>
      <c r="M1569" s="59" t="str">
        <f>IF(OR($I1569&lt;&gt;SottocategorieUscite[[#Headers],[Fuori Casa]],$I1569&lt;&gt;SottocategorieUscite[[#Headers],[Varie Uscite]],$I1569&lt;&gt;SottocategorieUscite[[#Headers],[Personali]],$I1569&lt;&gt;SottocategorieUscite[[#Headers],[Lavoro]],$I1569&lt;&gt;SottocategorieUscite[[#Headers],[Casa]],$I1569&lt;&gt;SottocategorieUscite[[#Headers],[Utenze]],$I1569&lt;&gt;SottocategorieUscite[[#Headers],[Business Uscite]],$I1569&lt;&gt;SottocategorieUscite[[#Headers],[Banca]]),"","$ -")</f>
        <v/>
      </c>
      <c r="N1569" s="59" t="str">
        <f>IF(OR(Data!$I1569=SottocategorieEntrate[[#Headers],[Business Entrate]],Data!$I1569=SottocategorieEntrate[[#Headers],[Varie Entrate]]),"$ -","")</f>
        <v/>
      </c>
      <c r="O1569" s="59" t="str">
        <f>IF(OR(Data!$I1569=SottocategorieEntrate[[#Headers],[Real Estate]],SottocategorieEntrate[[#Headers],[Other]]),"$ -","")</f>
        <v/>
      </c>
      <c r="P1569" s="59" t="str">
        <f>IF(OR($I1569&lt;&gt;SottocategorieEntrate[[#Headers],[Business Entrate]],$I1569&lt;&gt;SottocategorieEntrate[[#Headers],[Varie Entrate]],$I1569&lt;&gt;SottocategorieEntrate[[#Headers],[Real Estate]],$I1569&lt;&gt;SottocategorieEntrate[[#Headers],[Other]]),"","$ -")</f>
        <v/>
      </c>
      <c r="Q1569" s="59" t="str">
        <f>IF(Dati[[#This Row],[Categoria]]="Prelievo","€ -","")</f>
        <v/>
      </c>
      <c r="R1569" s="244"/>
      <c r="S1569" s="59" t="str">
        <f>IF(Dati[[#This Row],[Categoria]]="Savings",0,"")</f>
        <v/>
      </c>
      <c r="T1569" s="59"/>
      <c r="U1569" s="59"/>
      <c r="V1569" s="59"/>
      <c r="W1569" s="59"/>
      <c r="X1569" s="59"/>
      <c r="Y1569" s="59"/>
      <c r="Z1569" s="59"/>
      <c r="AA1569" s="59"/>
      <c r="AB1569" s="59"/>
      <c r="AC1569" s="59"/>
      <c r="AD1569" s="59"/>
      <c r="AE1569" s="59"/>
      <c r="AF1569" s="59"/>
      <c r="AG1569" s="59"/>
      <c r="AH1569" s="59"/>
      <c r="AI1569" s="59" t="str">
        <f>IF(SUM(Dati[[#This Row],[Inv. Business]:[Inv. Cryptocurrency]])=0," ",SUM(Dati[[#This Row],[Inv. Business]:[Inv. Cryptocurrency]]))</f>
        <v xml:space="preserve"> </v>
      </c>
      <c r="AJ1569" s="59"/>
      <c r="AK1569" s="59" t="str">
        <f>IF(SUM(Dati[[#This Row],[Inv. Gold]:[Mutuo]])=0," ",SUM(Dati[[#This Row],[Inv. Gold]:[Mutuo]]))</f>
        <v xml:space="preserve"> </v>
      </c>
      <c r="AL1569" s="59"/>
      <c r="AM1569" s="59"/>
    </row>
    <row r="1570" spans="2:39" x14ac:dyDescent="0.35">
      <c r="B1570" s="237">
        <f t="shared" si="111"/>
        <v>1550</v>
      </c>
      <c r="C1570" s="49">
        <f t="shared" si="112"/>
        <v>46128</v>
      </c>
      <c r="D1570" s="29">
        <f>DAY(Dati[[#This Row],[Data]])</f>
        <v>16</v>
      </c>
      <c r="E1570" s="29" t="str">
        <f>IF(DAY(Data!$C$21:$C$1613)&gt;0,TEXT(Data!$C$21:$C$1613, "mmmm"),"")</f>
        <v>aprile</v>
      </c>
      <c r="F1570" s="29" t="str">
        <f>IF(DAY(Data!$C$21:$C$1613)&gt;0,TEXT(Data!$C$21:$C$1613, "aaaa"),"")</f>
        <v>2026</v>
      </c>
      <c r="I1570" t="str">
        <f>IF(OR(H1570=$B$5,H1570=$B$6,H1570=$B$7,H1570=$B$8,H1570=$B$9,H1570=$B$10,H1570=$B$11,H1570=$B$12,H1570=$B$13,H1570=$B$14),SottocategorieUscite[[#Headers],[Fuori Casa]],IF(OR(H1570=$C$5,H1570=$C$6,H1570=$C$7,H1570=$C$8,H1570=$C$9,H1570=$C$10,H1570=$C$11,H1570=$C$12,H1570=$C$13,H1570=$C$14),SottocategorieUscite[[#Headers],[Varie Uscite]],IF(OR(H1570=$D$5,H1570=$D$6,H1570=$D$7,H1570=$D$8,H1570=$D$9,H1570=$D$10,H1570=$D$11,H1570=$D$12,H1570=$D$13,H1570=$D$14),SottocategorieUscite[[#Headers],[Personali]],IF(OR(H1570=$E$5,H1570=$E$6,H1570=$E$7,H1570=$E$8,H1570=$E$9,H1570=$E$10,H1570=$E$11,H1570=$E$12,H1570=$E$13,H1570=$E$14),SottocategorieUscite[[#Headers],[Lavoro]],IF(OR(H1570=$F$5,H1570=$F$6,H1570=$F$7,H1570=$F$8,H1570=$F$9,H1570=$F$10,H1570=$F$11,H1570=$F$12,H1570=$F$13,H1570=$F$14),SottocategorieUscite[[#Headers],[Casa]],IF(OR(H1570=$G$5,H1570=$G$6,H1570=$G$7,H1570=$G$8,H1570=$G$9,H1570=$G$10,H1570=$G$11,H1570=$G$12,H1570=$G$13,H1570=$G$14),SottocategorieUscite[[#Headers],[Utenze]],IF(OR(H1570=$H$5,H1570=$H$6,H1570=$H$7,H1570=$H$8,H1570=$H$9,H1570=$H$10,H1570=$H$11,H1570=$H$12,H1570=$H$13,H1570=$H$14),SottocategorieUscite[[#Headers],[Business Uscite]],IF(OR(H1570=$I$5,H1570=$I$6,H1570=$I$7,H1570=$I$8,H1570=$I$9,H1570=$I$10,H1570=$I$11,H1570=$I$12,H1570=$I$13,H1570=$I$14),SottocategorieUscite[[#Headers],[Banca]],IF(OR(H1570=K$5,H1570=K$6,H1570=K$7,H1570=K$8,H1570=K$9,H1570=K$10,H1570=K$11,H1570=K$12,H1570=K$13,H1570=K$14),SottocategorieEntrate[[#Headers],[Business Entrate]],IF(OR(H1570=L$5,H1570=L$6,H1570=L$7,H1570=L$8,H1570=L$9,H1570=L$10,H1570=L$11,H1570=L$12,H1570=L$13,H1570=L$14),SottocategorieEntrate[[#Headers],[Varie Entrate]],IF(OR(H1570=M$5,H1570=M$6,H1570=M$7,H1570=M$8,H1570=M$9,H1570=M$10,H1570=M$11,H1570=M$12,H1570=M$13,H1570=M$14),SottocategorieEntrate[[#Headers],[Real Estate]],IF(OR(H1570=N$5,H1570=N$6,H1570=N$7,H1570=N$8,H1570=N$9,H1570=N$10,H1570=N$11,H1570=N$12,H1570=N$13,H1570=N$14),SottocategorieEntrate[[#Headers],[Other]],""))))))))))))</f>
        <v/>
      </c>
      <c r="J1570" t="str">
        <f>IF(OR(Dati[[#This Row],[Categoria]]="Bollette",Dati[[#This Row],[Categoria]]="Conto &amp; Carte BNL",Dati[[#This Row],[Categoria]]="Prelievo",Dati[[#This Row],[Categoria]]="Affitto",Dati[[#This Row],[Categoria]]="BNL(Interessi Creditori)"),"Carta",IF(Dati[[#This Row],[Categoria]]&lt;&gt;0,"Cash",""))</f>
        <v/>
      </c>
      <c r="K1570" s="59" t="str">
        <f>IF(OR(Data!$I1570=SottocategorieUscite[[#Headers],[Fuori Casa]],Data!$I1570=SottocategorieUscite[[#Headers],[Varie Uscite]],Data!$I1570=SottocategorieUscite[[#Headers],[Personali]],Data!$I1570=SottocategorieUscite[[#Headers],[Lavoro]]),"$ -","")</f>
        <v/>
      </c>
      <c r="L1570" s="59" t="str">
        <f>IF(OR(Data!$I1570=SottocategorieUscite[[#Headers],[Casa]],Data!$I1570=SottocategorieUscite[[#Headers],[Utenze]],Data!$I1570=SottocategorieUscite[[#Headers],[Business Uscite]],Data!$I1570=SottocategorieUscite[[#Headers],[Banca]]),"$ -","")</f>
        <v/>
      </c>
      <c r="M1570" s="59" t="str">
        <f>IF(OR($I1570&lt;&gt;SottocategorieUscite[[#Headers],[Fuori Casa]],$I1570&lt;&gt;SottocategorieUscite[[#Headers],[Varie Uscite]],$I1570&lt;&gt;SottocategorieUscite[[#Headers],[Personali]],$I1570&lt;&gt;SottocategorieUscite[[#Headers],[Lavoro]],$I1570&lt;&gt;SottocategorieUscite[[#Headers],[Casa]],$I1570&lt;&gt;SottocategorieUscite[[#Headers],[Utenze]],$I1570&lt;&gt;SottocategorieUscite[[#Headers],[Business Uscite]],$I1570&lt;&gt;SottocategorieUscite[[#Headers],[Banca]]),"","$ -")</f>
        <v/>
      </c>
      <c r="N1570" s="59" t="str">
        <f>IF(OR(Data!$I1570=SottocategorieEntrate[[#Headers],[Business Entrate]],Data!$I1570=SottocategorieEntrate[[#Headers],[Varie Entrate]]),"$ -","")</f>
        <v/>
      </c>
      <c r="O1570" s="59" t="str">
        <f>IF(OR(Data!$I1570=SottocategorieEntrate[[#Headers],[Real Estate]],SottocategorieEntrate[[#Headers],[Other]]),"$ -","")</f>
        <v/>
      </c>
      <c r="P1570" s="59" t="str">
        <f>IF(OR($I1570&lt;&gt;SottocategorieEntrate[[#Headers],[Business Entrate]],$I1570&lt;&gt;SottocategorieEntrate[[#Headers],[Varie Entrate]],$I1570&lt;&gt;SottocategorieEntrate[[#Headers],[Real Estate]],$I1570&lt;&gt;SottocategorieEntrate[[#Headers],[Other]]),"","$ -")</f>
        <v/>
      </c>
      <c r="Q1570" s="59" t="str">
        <f>IF(Dati[[#This Row],[Categoria]]="Prelievo","€ -","")</f>
        <v/>
      </c>
      <c r="R1570" s="244"/>
      <c r="S1570" s="59" t="str">
        <f>IF(Dati[[#This Row],[Categoria]]="Savings",0,"")</f>
        <v/>
      </c>
      <c r="T1570" s="59"/>
      <c r="U1570" s="59"/>
      <c r="V1570" s="59"/>
      <c r="W1570" s="59"/>
      <c r="X1570" s="59"/>
      <c r="Y1570" s="59"/>
      <c r="Z1570" s="59"/>
      <c r="AA1570" s="59"/>
      <c r="AB1570" s="59"/>
      <c r="AC1570" s="59"/>
      <c r="AD1570" s="59"/>
      <c r="AE1570" s="59"/>
      <c r="AF1570" s="59"/>
      <c r="AG1570" s="59"/>
      <c r="AH1570" s="59"/>
      <c r="AI1570" s="59" t="str">
        <f>IF(SUM(Dati[[#This Row],[Inv. Business]:[Inv. Cryptocurrency]])=0," ",SUM(Dati[[#This Row],[Inv. Business]:[Inv. Cryptocurrency]]))</f>
        <v xml:space="preserve"> </v>
      </c>
      <c r="AJ1570" s="59"/>
      <c r="AK1570" s="59" t="str">
        <f>IF(SUM(Dati[[#This Row],[Inv. Gold]:[Mutuo]])=0," ",SUM(Dati[[#This Row],[Inv. Gold]:[Mutuo]]))</f>
        <v xml:space="preserve"> </v>
      </c>
      <c r="AL1570" s="59"/>
      <c r="AM1570" s="59"/>
    </row>
    <row r="1571" spans="2:39" x14ac:dyDescent="0.35">
      <c r="B1571" s="237">
        <f t="shared" si="111"/>
        <v>1551</v>
      </c>
      <c r="C1571" s="49">
        <f t="shared" si="112"/>
        <v>46129</v>
      </c>
      <c r="D1571" s="29">
        <f>DAY(Dati[[#This Row],[Data]])</f>
        <v>17</v>
      </c>
      <c r="E1571" s="29" t="str">
        <f>IF(DAY(Data!$C$21:$C$1613)&gt;0,TEXT(Data!$C$21:$C$1613, "mmmm"),"")</f>
        <v>aprile</v>
      </c>
      <c r="F1571" s="29" t="str">
        <f>IF(DAY(Data!$C$21:$C$1613)&gt;0,TEXT(Data!$C$21:$C$1613, "aaaa"),"")</f>
        <v>2026</v>
      </c>
      <c r="I1571" t="str">
        <f>IF(OR(H1571=$B$5,H1571=$B$6,H1571=$B$7,H1571=$B$8,H1571=$B$9,H1571=$B$10,H1571=$B$11,H1571=$B$12,H1571=$B$13,H1571=$B$14),SottocategorieUscite[[#Headers],[Fuori Casa]],IF(OR(H1571=$C$5,H1571=$C$6,H1571=$C$7,H1571=$C$8,H1571=$C$9,H1571=$C$10,H1571=$C$11,H1571=$C$12,H1571=$C$13,H1571=$C$14),SottocategorieUscite[[#Headers],[Varie Uscite]],IF(OR(H1571=$D$5,H1571=$D$6,H1571=$D$7,H1571=$D$8,H1571=$D$9,H1571=$D$10,H1571=$D$11,H1571=$D$12,H1571=$D$13,H1571=$D$14),SottocategorieUscite[[#Headers],[Personali]],IF(OR(H1571=$E$5,H1571=$E$6,H1571=$E$7,H1571=$E$8,H1571=$E$9,H1571=$E$10,H1571=$E$11,H1571=$E$12,H1571=$E$13,H1571=$E$14),SottocategorieUscite[[#Headers],[Lavoro]],IF(OR(H1571=$F$5,H1571=$F$6,H1571=$F$7,H1571=$F$8,H1571=$F$9,H1571=$F$10,H1571=$F$11,H1571=$F$12,H1571=$F$13,H1571=$F$14),SottocategorieUscite[[#Headers],[Casa]],IF(OR(H1571=$G$5,H1571=$G$6,H1571=$G$7,H1571=$G$8,H1571=$G$9,H1571=$G$10,H1571=$G$11,H1571=$G$12,H1571=$G$13,H1571=$G$14),SottocategorieUscite[[#Headers],[Utenze]],IF(OR(H1571=$H$5,H1571=$H$6,H1571=$H$7,H1571=$H$8,H1571=$H$9,H1571=$H$10,H1571=$H$11,H1571=$H$12,H1571=$H$13,H1571=$H$14),SottocategorieUscite[[#Headers],[Business Uscite]],IF(OR(H1571=$I$5,H1571=$I$6,H1571=$I$7,H1571=$I$8,H1571=$I$9,H1571=$I$10,H1571=$I$11,H1571=$I$12,H1571=$I$13,H1571=$I$14),SottocategorieUscite[[#Headers],[Banca]],IF(OR(H1571=K$5,H1571=K$6,H1571=K$7,H1571=K$8,H1571=K$9,H1571=K$10,H1571=K$11,H1571=K$12,H1571=K$13,H1571=K$14),SottocategorieEntrate[[#Headers],[Business Entrate]],IF(OR(H1571=L$5,H1571=L$6,H1571=L$7,H1571=L$8,H1571=L$9,H1571=L$10,H1571=L$11,H1571=L$12,H1571=L$13,H1571=L$14),SottocategorieEntrate[[#Headers],[Varie Entrate]],IF(OR(H1571=M$5,H1571=M$6,H1571=M$7,H1571=M$8,H1571=M$9,H1571=M$10,H1571=M$11,H1571=M$12,H1571=M$13,H1571=M$14),SottocategorieEntrate[[#Headers],[Real Estate]],IF(OR(H1571=N$5,H1571=N$6,H1571=N$7,H1571=N$8,H1571=N$9,H1571=N$10,H1571=N$11,H1571=N$12,H1571=N$13,H1571=N$14),SottocategorieEntrate[[#Headers],[Other]],""))))))))))))</f>
        <v/>
      </c>
      <c r="J1571" t="str">
        <f>IF(OR(Dati[[#This Row],[Categoria]]="Bollette",Dati[[#This Row],[Categoria]]="Conto &amp; Carte BNL",Dati[[#This Row],[Categoria]]="Prelievo",Dati[[#This Row],[Categoria]]="Affitto",Dati[[#This Row],[Categoria]]="BNL(Interessi Creditori)"),"Carta",IF(Dati[[#This Row],[Categoria]]&lt;&gt;0,"Cash",""))</f>
        <v/>
      </c>
      <c r="K1571" s="59" t="str">
        <f>IF(OR(Data!$I1571=SottocategorieUscite[[#Headers],[Fuori Casa]],Data!$I1571=SottocategorieUscite[[#Headers],[Varie Uscite]],Data!$I1571=SottocategorieUscite[[#Headers],[Personali]],Data!$I1571=SottocategorieUscite[[#Headers],[Lavoro]]),"$ -","")</f>
        <v/>
      </c>
      <c r="L1571" s="59" t="str">
        <f>IF(OR(Data!$I1571=SottocategorieUscite[[#Headers],[Casa]],Data!$I1571=SottocategorieUscite[[#Headers],[Utenze]],Data!$I1571=SottocategorieUscite[[#Headers],[Business Uscite]],Data!$I1571=SottocategorieUscite[[#Headers],[Banca]]),"$ -","")</f>
        <v/>
      </c>
      <c r="M1571" s="59" t="str">
        <f>IF(OR($I1571&lt;&gt;SottocategorieUscite[[#Headers],[Fuori Casa]],$I1571&lt;&gt;SottocategorieUscite[[#Headers],[Varie Uscite]],$I1571&lt;&gt;SottocategorieUscite[[#Headers],[Personali]],$I1571&lt;&gt;SottocategorieUscite[[#Headers],[Lavoro]],$I1571&lt;&gt;SottocategorieUscite[[#Headers],[Casa]],$I1571&lt;&gt;SottocategorieUscite[[#Headers],[Utenze]],$I1571&lt;&gt;SottocategorieUscite[[#Headers],[Business Uscite]],$I1571&lt;&gt;SottocategorieUscite[[#Headers],[Banca]]),"","$ -")</f>
        <v/>
      </c>
      <c r="N1571" s="59" t="str">
        <f>IF(OR(Data!$I1571=SottocategorieEntrate[[#Headers],[Business Entrate]],Data!$I1571=SottocategorieEntrate[[#Headers],[Varie Entrate]]),"$ -","")</f>
        <v/>
      </c>
      <c r="O1571" s="59" t="str">
        <f>IF(OR(Data!$I1571=SottocategorieEntrate[[#Headers],[Real Estate]],SottocategorieEntrate[[#Headers],[Other]]),"$ -","")</f>
        <v/>
      </c>
      <c r="P1571" s="59" t="str">
        <f>IF(OR($I1571&lt;&gt;SottocategorieEntrate[[#Headers],[Business Entrate]],$I1571&lt;&gt;SottocategorieEntrate[[#Headers],[Varie Entrate]],$I1571&lt;&gt;SottocategorieEntrate[[#Headers],[Real Estate]],$I1571&lt;&gt;SottocategorieEntrate[[#Headers],[Other]]),"","$ -")</f>
        <v/>
      </c>
      <c r="Q1571" s="59" t="str">
        <f>IF(Dati[[#This Row],[Categoria]]="Prelievo","€ -","")</f>
        <v/>
      </c>
      <c r="R1571" s="244"/>
      <c r="S1571" s="59" t="str">
        <f>IF(Dati[[#This Row],[Categoria]]="Savings",0,"")</f>
        <v/>
      </c>
      <c r="T1571" s="59"/>
      <c r="U1571" s="59"/>
      <c r="V1571" s="59"/>
      <c r="W1571" s="59"/>
      <c r="X1571" s="59"/>
      <c r="Y1571" s="59"/>
      <c r="Z1571" s="59"/>
      <c r="AA1571" s="59"/>
      <c r="AB1571" s="59"/>
      <c r="AC1571" s="59"/>
      <c r="AD1571" s="59"/>
      <c r="AE1571" s="59"/>
      <c r="AF1571" s="59"/>
      <c r="AG1571" s="59"/>
      <c r="AH1571" s="59"/>
      <c r="AI1571" s="59" t="str">
        <f>IF(SUM(Dati[[#This Row],[Inv. Business]:[Inv. Cryptocurrency]])=0," ",SUM(Dati[[#This Row],[Inv. Business]:[Inv. Cryptocurrency]]))</f>
        <v xml:space="preserve"> </v>
      </c>
      <c r="AJ1571" s="59"/>
      <c r="AK1571" s="59" t="str">
        <f>IF(SUM(Dati[[#This Row],[Inv. Gold]:[Mutuo]])=0," ",SUM(Dati[[#This Row],[Inv. Gold]:[Mutuo]]))</f>
        <v xml:space="preserve"> </v>
      </c>
      <c r="AL1571" s="59"/>
      <c r="AM1571" s="59"/>
    </row>
    <row r="1572" spans="2:39" x14ac:dyDescent="0.35">
      <c r="B1572" s="237">
        <f t="shared" si="111"/>
        <v>1552</v>
      </c>
      <c r="C1572" s="49">
        <f t="shared" si="112"/>
        <v>46130</v>
      </c>
      <c r="D1572" s="29">
        <f>DAY(Dati[[#This Row],[Data]])</f>
        <v>18</v>
      </c>
      <c r="E1572" s="29" t="str">
        <f>IF(DAY(Data!$C$21:$C$1613)&gt;0,TEXT(Data!$C$21:$C$1613, "mmmm"),"")</f>
        <v>aprile</v>
      </c>
      <c r="F1572" s="29" t="str">
        <f>IF(DAY(Data!$C$21:$C$1613)&gt;0,TEXT(Data!$C$21:$C$1613, "aaaa"),"")</f>
        <v>2026</v>
      </c>
      <c r="I1572" t="str">
        <f>IF(OR(H1572=$B$5,H1572=$B$6,H1572=$B$7,H1572=$B$8,H1572=$B$9,H1572=$B$10,H1572=$B$11,H1572=$B$12,H1572=$B$13,H1572=$B$14),SottocategorieUscite[[#Headers],[Fuori Casa]],IF(OR(H1572=$C$5,H1572=$C$6,H1572=$C$7,H1572=$C$8,H1572=$C$9,H1572=$C$10,H1572=$C$11,H1572=$C$12,H1572=$C$13,H1572=$C$14),SottocategorieUscite[[#Headers],[Varie Uscite]],IF(OR(H1572=$D$5,H1572=$D$6,H1572=$D$7,H1572=$D$8,H1572=$D$9,H1572=$D$10,H1572=$D$11,H1572=$D$12,H1572=$D$13,H1572=$D$14),SottocategorieUscite[[#Headers],[Personali]],IF(OR(H1572=$E$5,H1572=$E$6,H1572=$E$7,H1572=$E$8,H1572=$E$9,H1572=$E$10,H1572=$E$11,H1572=$E$12,H1572=$E$13,H1572=$E$14),SottocategorieUscite[[#Headers],[Lavoro]],IF(OR(H1572=$F$5,H1572=$F$6,H1572=$F$7,H1572=$F$8,H1572=$F$9,H1572=$F$10,H1572=$F$11,H1572=$F$12,H1572=$F$13,H1572=$F$14),SottocategorieUscite[[#Headers],[Casa]],IF(OR(H1572=$G$5,H1572=$G$6,H1572=$G$7,H1572=$G$8,H1572=$G$9,H1572=$G$10,H1572=$G$11,H1572=$G$12,H1572=$G$13,H1572=$G$14),SottocategorieUscite[[#Headers],[Utenze]],IF(OR(H1572=$H$5,H1572=$H$6,H1572=$H$7,H1572=$H$8,H1572=$H$9,H1572=$H$10,H1572=$H$11,H1572=$H$12,H1572=$H$13,H1572=$H$14),SottocategorieUscite[[#Headers],[Business Uscite]],IF(OR(H1572=$I$5,H1572=$I$6,H1572=$I$7,H1572=$I$8,H1572=$I$9,H1572=$I$10,H1572=$I$11,H1572=$I$12,H1572=$I$13,H1572=$I$14),SottocategorieUscite[[#Headers],[Banca]],IF(OR(H1572=K$5,H1572=K$6,H1572=K$7,H1572=K$8,H1572=K$9,H1572=K$10,H1572=K$11,H1572=K$12,H1572=K$13,H1572=K$14),SottocategorieEntrate[[#Headers],[Business Entrate]],IF(OR(H1572=L$5,H1572=L$6,H1572=L$7,H1572=L$8,H1572=L$9,H1572=L$10,H1572=L$11,H1572=L$12,H1572=L$13,H1572=L$14),SottocategorieEntrate[[#Headers],[Varie Entrate]],IF(OR(H1572=M$5,H1572=M$6,H1572=M$7,H1572=M$8,H1572=M$9,H1572=M$10,H1572=M$11,H1572=M$12,H1572=M$13,H1572=M$14),SottocategorieEntrate[[#Headers],[Real Estate]],IF(OR(H1572=N$5,H1572=N$6,H1572=N$7,H1572=N$8,H1572=N$9,H1572=N$10,H1572=N$11,H1572=N$12,H1572=N$13,H1572=N$14),SottocategorieEntrate[[#Headers],[Other]],""))))))))))))</f>
        <v/>
      </c>
      <c r="J1572" t="str">
        <f>IF(OR(Dati[[#This Row],[Categoria]]="Bollette",Dati[[#This Row],[Categoria]]="Conto &amp; Carte BNL",Dati[[#This Row],[Categoria]]="Prelievo",Dati[[#This Row],[Categoria]]="Affitto",Dati[[#This Row],[Categoria]]="BNL(Interessi Creditori)"),"Carta",IF(Dati[[#This Row],[Categoria]]&lt;&gt;0,"Cash",""))</f>
        <v/>
      </c>
      <c r="K1572" s="59" t="str">
        <f>IF(OR(Data!$I1572=SottocategorieUscite[[#Headers],[Fuori Casa]],Data!$I1572=SottocategorieUscite[[#Headers],[Varie Uscite]],Data!$I1572=SottocategorieUscite[[#Headers],[Personali]],Data!$I1572=SottocategorieUscite[[#Headers],[Lavoro]]),"$ -","")</f>
        <v/>
      </c>
      <c r="L1572" s="59" t="str">
        <f>IF(OR(Data!$I1572=SottocategorieUscite[[#Headers],[Casa]],Data!$I1572=SottocategorieUscite[[#Headers],[Utenze]],Data!$I1572=SottocategorieUscite[[#Headers],[Business Uscite]],Data!$I1572=SottocategorieUscite[[#Headers],[Banca]]),"$ -","")</f>
        <v/>
      </c>
      <c r="M1572" s="59" t="str">
        <f>IF(OR($I1572&lt;&gt;SottocategorieUscite[[#Headers],[Fuori Casa]],$I1572&lt;&gt;SottocategorieUscite[[#Headers],[Varie Uscite]],$I1572&lt;&gt;SottocategorieUscite[[#Headers],[Personali]],$I1572&lt;&gt;SottocategorieUscite[[#Headers],[Lavoro]],$I1572&lt;&gt;SottocategorieUscite[[#Headers],[Casa]],$I1572&lt;&gt;SottocategorieUscite[[#Headers],[Utenze]],$I1572&lt;&gt;SottocategorieUscite[[#Headers],[Business Uscite]],$I1572&lt;&gt;SottocategorieUscite[[#Headers],[Banca]]),"","$ -")</f>
        <v/>
      </c>
      <c r="N1572" s="59" t="str">
        <f>IF(OR(Data!$I1572=SottocategorieEntrate[[#Headers],[Business Entrate]],Data!$I1572=SottocategorieEntrate[[#Headers],[Varie Entrate]]),"$ -","")</f>
        <v/>
      </c>
      <c r="O1572" s="59" t="str">
        <f>IF(OR(Data!$I1572=SottocategorieEntrate[[#Headers],[Real Estate]],SottocategorieEntrate[[#Headers],[Other]]),"$ -","")</f>
        <v/>
      </c>
      <c r="P1572" s="59" t="str">
        <f>IF(OR($I1572&lt;&gt;SottocategorieEntrate[[#Headers],[Business Entrate]],$I1572&lt;&gt;SottocategorieEntrate[[#Headers],[Varie Entrate]],$I1572&lt;&gt;SottocategorieEntrate[[#Headers],[Real Estate]],$I1572&lt;&gt;SottocategorieEntrate[[#Headers],[Other]]),"","$ -")</f>
        <v/>
      </c>
      <c r="Q1572" s="59" t="str">
        <f>IF(Dati[[#This Row],[Categoria]]="Prelievo","€ -","")</f>
        <v/>
      </c>
      <c r="R1572" s="244"/>
      <c r="S1572" s="59" t="str">
        <f>IF(Dati[[#This Row],[Categoria]]="Savings",0,"")</f>
        <v/>
      </c>
      <c r="T1572" s="59"/>
      <c r="U1572" s="59"/>
      <c r="V1572" s="59"/>
      <c r="W1572" s="59"/>
      <c r="X1572" s="59"/>
      <c r="Y1572" s="59"/>
      <c r="Z1572" s="59"/>
      <c r="AA1572" s="59"/>
      <c r="AB1572" s="59"/>
      <c r="AC1572" s="59"/>
      <c r="AD1572" s="59"/>
      <c r="AE1572" s="59"/>
      <c r="AF1572" s="59"/>
      <c r="AG1572" s="59"/>
      <c r="AH1572" s="59"/>
      <c r="AI1572" s="59" t="str">
        <f>IF(SUM(Dati[[#This Row],[Inv. Business]:[Inv. Cryptocurrency]])=0," ",SUM(Dati[[#This Row],[Inv. Business]:[Inv. Cryptocurrency]]))</f>
        <v xml:space="preserve"> </v>
      </c>
      <c r="AJ1572" s="59"/>
      <c r="AK1572" s="59" t="str">
        <f>IF(SUM(Dati[[#This Row],[Inv. Gold]:[Mutuo]])=0," ",SUM(Dati[[#This Row],[Inv. Gold]:[Mutuo]]))</f>
        <v xml:space="preserve"> </v>
      </c>
      <c r="AL1572" s="59"/>
      <c r="AM1572" s="59"/>
    </row>
    <row r="1573" spans="2:39" x14ac:dyDescent="0.35">
      <c r="B1573" s="237">
        <f t="shared" si="111"/>
        <v>1553</v>
      </c>
      <c r="C1573" s="49">
        <f t="shared" si="112"/>
        <v>46131</v>
      </c>
      <c r="D1573" s="29">
        <f>DAY(Dati[[#This Row],[Data]])</f>
        <v>19</v>
      </c>
      <c r="E1573" s="29" t="str">
        <f>IF(DAY(Data!$C$21:$C$1613)&gt;0,TEXT(Data!$C$21:$C$1613, "mmmm"),"")</f>
        <v>aprile</v>
      </c>
      <c r="F1573" s="29" t="str">
        <f>IF(DAY(Data!$C$21:$C$1613)&gt;0,TEXT(Data!$C$21:$C$1613, "aaaa"),"")</f>
        <v>2026</v>
      </c>
      <c r="I1573" t="str">
        <f>IF(OR(H1573=$B$5,H1573=$B$6,H1573=$B$7,H1573=$B$8,H1573=$B$9,H1573=$B$10,H1573=$B$11,H1573=$B$12,H1573=$B$13,H1573=$B$14),SottocategorieUscite[[#Headers],[Fuori Casa]],IF(OR(H1573=$C$5,H1573=$C$6,H1573=$C$7,H1573=$C$8,H1573=$C$9,H1573=$C$10,H1573=$C$11,H1573=$C$12,H1573=$C$13,H1573=$C$14),SottocategorieUscite[[#Headers],[Varie Uscite]],IF(OR(H1573=$D$5,H1573=$D$6,H1573=$D$7,H1573=$D$8,H1573=$D$9,H1573=$D$10,H1573=$D$11,H1573=$D$12,H1573=$D$13,H1573=$D$14),SottocategorieUscite[[#Headers],[Personali]],IF(OR(H1573=$E$5,H1573=$E$6,H1573=$E$7,H1573=$E$8,H1573=$E$9,H1573=$E$10,H1573=$E$11,H1573=$E$12,H1573=$E$13,H1573=$E$14),SottocategorieUscite[[#Headers],[Lavoro]],IF(OR(H1573=$F$5,H1573=$F$6,H1573=$F$7,H1573=$F$8,H1573=$F$9,H1573=$F$10,H1573=$F$11,H1573=$F$12,H1573=$F$13,H1573=$F$14),SottocategorieUscite[[#Headers],[Casa]],IF(OR(H1573=$G$5,H1573=$G$6,H1573=$G$7,H1573=$G$8,H1573=$G$9,H1573=$G$10,H1573=$G$11,H1573=$G$12,H1573=$G$13,H1573=$G$14),SottocategorieUscite[[#Headers],[Utenze]],IF(OR(H1573=$H$5,H1573=$H$6,H1573=$H$7,H1573=$H$8,H1573=$H$9,H1573=$H$10,H1573=$H$11,H1573=$H$12,H1573=$H$13,H1573=$H$14),SottocategorieUscite[[#Headers],[Business Uscite]],IF(OR(H1573=$I$5,H1573=$I$6,H1573=$I$7,H1573=$I$8,H1573=$I$9,H1573=$I$10,H1573=$I$11,H1573=$I$12,H1573=$I$13,H1573=$I$14),SottocategorieUscite[[#Headers],[Banca]],IF(OR(H1573=K$5,H1573=K$6,H1573=K$7,H1573=K$8,H1573=K$9,H1573=K$10,H1573=K$11,H1573=K$12,H1573=K$13,H1573=K$14),SottocategorieEntrate[[#Headers],[Business Entrate]],IF(OR(H1573=L$5,H1573=L$6,H1573=L$7,H1573=L$8,H1573=L$9,H1573=L$10,H1573=L$11,H1573=L$12,H1573=L$13,H1573=L$14),SottocategorieEntrate[[#Headers],[Varie Entrate]],IF(OR(H1573=M$5,H1573=M$6,H1573=M$7,H1573=M$8,H1573=M$9,H1573=M$10,H1573=M$11,H1573=M$12,H1573=M$13,H1573=M$14),SottocategorieEntrate[[#Headers],[Real Estate]],IF(OR(H1573=N$5,H1573=N$6,H1573=N$7,H1573=N$8,H1573=N$9,H1573=N$10,H1573=N$11,H1573=N$12,H1573=N$13,H1573=N$14),SottocategorieEntrate[[#Headers],[Other]],""))))))))))))</f>
        <v/>
      </c>
      <c r="J1573" t="str">
        <f>IF(OR(Dati[[#This Row],[Categoria]]="Bollette",Dati[[#This Row],[Categoria]]="Conto &amp; Carte BNL",Dati[[#This Row],[Categoria]]="Prelievo",Dati[[#This Row],[Categoria]]="Affitto",Dati[[#This Row],[Categoria]]="BNL(Interessi Creditori)"),"Carta",IF(Dati[[#This Row],[Categoria]]&lt;&gt;0,"Cash",""))</f>
        <v/>
      </c>
      <c r="K1573" s="59" t="str">
        <f>IF(OR(Data!$I1573=SottocategorieUscite[[#Headers],[Fuori Casa]],Data!$I1573=SottocategorieUscite[[#Headers],[Varie Uscite]],Data!$I1573=SottocategorieUscite[[#Headers],[Personali]],Data!$I1573=SottocategorieUscite[[#Headers],[Lavoro]]),"$ -","")</f>
        <v/>
      </c>
      <c r="L1573" s="59" t="str">
        <f>IF(OR(Data!$I1573=SottocategorieUscite[[#Headers],[Casa]],Data!$I1573=SottocategorieUscite[[#Headers],[Utenze]],Data!$I1573=SottocategorieUscite[[#Headers],[Business Uscite]],Data!$I1573=SottocategorieUscite[[#Headers],[Banca]]),"$ -","")</f>
        <v/>
      </c>
      <c r="M1573" s="59" t="str">
        <f>IF(OR($I1573&lt;&gt;SottocategorieUscite[[#Headers],[Fuori Casa]],$I1573&lt;&gt;SottocategorieUscite[[#Headers],[Varie Uscite]],$I1573&lt;&gt;SottocategorieUscite[[#Headers],[Personali]],$I1573&lt;&gt;SottocategorieUscite[[#Headers],[Lavoro]],$I1573&lt;&gt;SottocategorieUscite[[#Headers],[Casa]],$I1573&lt;&gt;SottocategorieUscite[[#Headers],[Utenze]],$I1573&lt;&gt;SottocategorieUscite[[#Headers],[Business Uscite]],$I1573&lt;&gt;SottocategorieUscite[[#Headers],[Banca]]),"","$ -")</f>
        <v/>
      </c>
      <c r="N1573" s="59" t="str">
        <f>IF(OR(Data!$I1573=SottocategorieEntrate[[#Headers],[Business Entrate]],Data!$I1573=SottocategorieEntrate[[#Headers],[Varie Entrate]]),"$ -","")</f>
        <v/>
      </c>
      <c r="O1573" s="59" t="str">
        <f>IF(OR(Data!$I1573=SottocategorieEntrate[[#Headers],[Real Estate]],SottocategorieEntrate[[#Headers],[Other]]),"$ -","")</f>
        <v/>
      </c>
      <c r="P1573" s="59" t="str">
        <f>IF(OR($I1573&lt;&gt;SottocategorieEntrate[[#Headers],[Business Entrate]],$I1573&lt;&gt;SottocategorieEntrate[[#Headers],[Varie Entrate]],$I1573&lt;&gt;SottocategorieEntrate[[#Headers],[Real Estate]],$I1573&lt;&gt;SottocategorieEntrate[[#Headers],[Other]]),"","$ -")</f>
        <v/>
      </c>
      <c r="Q1573" s="59" t="str">
        <f>IF(Dati[[#This Row],[Categoria]]="Prelievo","€ -","")</f>
        <v/>
      </c>
      <c r="R1573" s="244"/>
      <c r="S1573" s="59" t="str">
        <f>IF(Dati[[#This Row],[Categoria]]="Savings",0,"")</f>
        <v/>
      </c>
      <c r="T1573" s="59"/>
      <c r="U1573" s="59"/>
      <c r="V1573" s="59"/>
      <c r="W1573" s="59"/>
      <c r="X1573" s="59"/>
      <c r="Y1573" s="59"/>
      <c r="Z1573" s="59"/>
      <c r="AA1573" s="59"/>
      <c r="AB1573" s="59"/>
      <c r="AC1573" s="59"/>
      <c r="AD1573" s="59"/>
      <c r="AE1573" s="59"/>
      <c r="AF1573" s="59"/>
      <c r="AG1573" s="59"/>
      <c r="AH1573" s="59"/>
      <c r="AI1573" s="59" t="str">
        <f>IF(SUM(Dati[[#This Row],[Inv. Business]:[Inv. Cryptocurrency]])=0," ",SUM(Dati[[#This Row],[Inv. Business]:[Inv. Cryptocurrency]]))</f>
        <v xml:space="preserve"> </v>
      </c>
      <c r="AJ1573" s="59"/>
      <c r="AK1573" s="59" t="str">
        <f>IF(SUM(Dati[[#This Row],[Inv. Gold]:[Mutuo]])=0," ",SUM(Dati[[#This Row],[Inv. Gold]:[Mutuo]]))</f>
        <v xml:space="preserve"> </v>
      </c>
      <c r="AL1573" s="59"/>
      <c r="AM1573" s="59"/>
    </row>
    <row r="1574" spans="2:39" x14ac:dyDescent="0.35">
      <c r="B1574" s="237">
        <f t="shared" si="111"/>
        <v>1554</v>
      </c>
      <c r="C1574" s="49">
        <f t="shared" si="112"/>
        <v>46132</v>
      </c>
      <c r="D1574" s="29">
        <f>DAY(Dati[[#This Row],[Data]])</f>
        <v>20</v>
      </c>
      <c r="E1574" s="29" t="str">
        <f>IF(DAY(Data!$C$21:$C$1613)&gt;0,TEXT(Data!$C$21:$C$1613, "mmmm"),"")</f>
        <v>aprile</v>
      </c>
      <c r="F1574" s="29" t="str">
        <f>IF(DAY(Data!$C$21:$C$1613)&gt;0,TEXT(Data!$C$21:$C$1613, "aaaa"),"")</f>
        <v>2026</v>
      </c>
      <c r="I1574" t="str">
        <f>IF(OR(H1574=$B$5,H1574=$B$6,H1574=$B$7,H1574=$B$8,H1574=$B$9,H1574=$B$10,H1574=$B$11,H1574=$B$12,H1574=$B$13,H1574=$B$14),SottocategorieUscite[[#Headers],[Fuori Casa]],IF(OR(H1574=$C$5,H1574=$C$6,H1574=$C$7,H1574=$C$8,H1574=$C$9,H1574=$C$10,H1574=$C$11,H1574=$C$12,H1574=$C$13,H1574=$C$14),SottocategorieUscite[[#Headers],[Varie Uscite]],IF(OR(H1574=$D$5,H1574=$D$6,H1574=$D$7,H1574=$D$8,H1574=$D$9,H1574=$D$10,H1574=$D$11,H1574=$D$12,H1574=$D$13,H1574=$D$14),SottocategorieUscite[[#Headers],[Personali]],IF(OR(H1574=$E$5,H1574=$E$6,H1574=$E$7,H1574=$E$8,H1574=$E$9,H1574=$E$10,H1574=$E$11,H1574=$E$12,H1574=$E$13,H1574=$E$14),SottocategorieUscite[[#Headers],[Lavoro]],IF(OR(H1574=$F$5,H1574=$F$6,H1574=$F$7,H1574=$F$8,H1574=$F$9,H1574=$F$10,H1574=$F$11,H1574=$F$12,H1574=$F$13,H1574=$F$14),SottocategorieUscite[[#Headers],[Casa]],IF(OR(H1574=$G$5,H1574=$G$6,H1574=$G$7,H1574=$G$8,H1574=$G$9,H1574=$G$10,H1574=$G$11,H1574=$G$12,H1574=$G$13,H1574=$G$14),SottocategorieUscite[[#Headers],[Utenze]],IF(OR(H1574=$H$5,H1574=$H$6,H1574=$H$7,H1574=$H$8,H1574=$H$9,H1574=$H$10,H1574=$H$11,H1574=$H$12,H1574=$H$13,H1574=$H$14),SottocategorieUscite[[#Headers],[Business Uscite]],IF(OR(H1574=$I$5,H1574=$I$6,H1574=$I$7,H1574=$I$8,H1574=$I$9,H1574=$I$10,H1574=$I$11,H1574=$I$12,H1574=$I$13,H1574=$I$14),SottocategorieUscite[[#Headers],[Banca]],IF(OR(H1574=K$5,H1574=K$6,H1574=K$7,H1574=K$8,H1574=K$9,H1574=K$10,H1574=K$11,H1574=K$12,H1574=K$13,H1574=K$14),SottocategorieEntrate[[#Headers],[Business Entrate]],IF(OR(H1574=L$5,H1574=L$6,H1574=L$7,H1574=L$8,H1574=L$9,H1574=L$10,H1574=L$11,H1574=L$12,H1574=L$13,H1574=L$14),SottocategorieEntrate[[#Headers],[Varie Entrate]],IF(OR(H1574=M$5,H1574=M$6,H1574=M$7,H1574=M$8,H1574=M$9,H1574=M$10,H1574=M$11,H1574=M$12,H1574=M$13,H1574=M$14),SottocategorieEntrate[[#Headers],[Real Estate]],IF(OR(H1574=N$5,H1574=N$6,H1574=N$7,H1574=N$8,H1574=N$9,H1574=N$10,H1574=N$11,H1574=N$12,H1574=N$13,H1574=N$14),SottocategorieEntrate[[#Headers],[Other]],""))))))))))))</f>
        <v/>
      </c>
      <c r="J1574" t="str">
        <f>IF(OR(Dati[[#This Row],[Categoria]]="Bollette",Dati[[#This Row],[Categoria]]="Conto &amp; Carte BNL",Dati[[#This Row],[Categoria]]="Prelievo",Dati[[#This Row],[Categoria]]="Affitto",Dati[[#This Row],[Categoria]]="BNL(Interessi Creditori)"),"Carta",IF(Dati[[#This Row],[Categoria]]&lt;&gt;0,"Cash",""))</f>
        <v/>
      </c>
      <c r="K1574" s="59" t="str">
        <f>IF(OR(Data!$I1574=SottocategorieUscite[[#Headers],[Fuori Casa]],Data!$I1574=SottocategorieUscite[[#Headers],[Varie Uscite]],Data!$I1574=SottocategorieUscite[[#Headers],[Personali]],Data!$I1574=SottocategorieUscite[[#Headers],[Lavoro]]),"$ -","")</f>
        <v/>
      </c>
      <c r="L1574" s="59" t="str">
        <f>IF(OR(Data!$I1574=SottocategorieUscite[[#Headers],[Casa]],Data!$I1574=SottocategorieUscite[[#Headers],[Utenze]],Data!$I1574=SottocategorieUscite[[#Headers],[Business Uscite]],Data!$I1574=SottocategorieUscite[[#Headers],[Banca]]),"$ -","")</f>
        <v/>
      </c>
      <c r="M1574" s="59" t="str">
        <f>IF(OR($I1574&lt;&gt;SottocategorieUscite[[#Headers],[Fuori Casa]],$I1574&lt;&gt;SottocategorieUscite[[#Headers],[Varie Uscite]],$I1574&lt;&gt;SottocategorieUscite[[#Headers],[Personali]],$I1574&lt;&gt;SottocategorieUscite[[#Headers],[Lavoro]],$I1574&lt;&gt;SottocategorieUscite[[#Headers],[Casa]],$I1574&lt;&gt;SottocategorieUscite[[#Headers],[Utenze]],$I1574&lt;&gt;SottocategorieUscite[[#Headers],[Business Uscite]],$I1574&lt;&gt;SottocategorieUscite[[#Headers],[Banca]]),"","$ -")</f>
        <v/>
      </c>
      <c r="N1574" s="59" t="str">
        <f>IF(OR(Data!$I1574=SottocategorieEntrate[[#Headers],[Business Entrate]],Data!$I1574=SottocategorieEntrate[[#Headers],[Varie Entrate]]),"$ -","")</f>
        <v/>
      </c>
      <c r="O1574" s="59" t="str">
        <f>IF(OR(Data!$I1574=SottocategorieEntrate[[#Headers],[Real Estate]],SottocategorieEntrate[[#Headers],[Other]]),"$ -","")</f>
        <v/>
      </c>
      <c r="P1574" s="59" t="str">
        <f>IF(OR($I1574&lt;&gt;SottocategorieEntrate[[#Headers],[Business Entrate]],$I1574&lt;&gt;SottocategorieEntrate[[#Headers],[Varie Entrate]],$I1574&lt;&gt;SottocategorieEntrate[[#Headers],[Real Estate]],$I1574&lt;&gt;SottocategorieEntrate[[#Headers],[Other]]),"","$ -")</f>
        <v/>
      </c>
      <c r="Q1574" s="59" t="str">
        <f>IF(Dati[[#This Row],[Categoria]]="Prelievo","€ -","")</f>
        <v/>
      </c>
      <c r="R1574" s="244"/>
      <c r="S1574" s="59" t="str">
        <f>IF(Dati[[#This Row],[Categoria]]="Savings",0,"")</f>
        <v/>
      </c>
      <c r="T1574" s="59"/>
      <c r="U1574" s="59"/>
      <c r="V1574" s="59"/>
      <c r="W1574" s="59"/>
      <c r="X1574" s="59"/>
      <c r="Y1574" s="59"/>
      <c r="Z1574" s="59"/>
      <c r="AA1574" s="59"/>
      <c r="AB1574" s="59"/>
      <c r="AC1574" s="59"/>
      <c r="AD1574" s="59"/>
      <c r="AE1574" s="59"/>
      <c r="AF1574" s="59"/>
      <c r="AG1574" s="59"/>
      <c r="AH1574" s="59"/>
      <c r="AI1574" s="59" t="str">
        <f>IF(SUM(Dati[[#This Row],[Inv. Business]:[Inv. Cryptocurrency]])=0," ",SUM(Dati[[#This Row],[Inv. Business]:[Inv. Cryptocurrency]]))</f>
        <v xml:space="preserve"> </v>
      </c>
      <c r="AJ1574" s="59"/>
      <c r="AK1574" s="59" t="str">
        <f>IF(SUM(Dati[[#This Row],[Inv. Gold]:[Mutuo]])=0," ",SUM(Dati[[#This Row],[Inv. Gold]:[Mutuo]]))</f>
        <v xml:space="preserve"> </v>
      </c>
      <c r="AL1574" s="59"/>
      <c r="AM1574" s="59"/>
    </row>
    <row r="1575" spans="2:39" x14ac:dyDescent="0.35">
      <c r="B1575" s="237">
        <f t="shared" si="111"/>
        <v>1555</v>
      </c>
      <c r="C1575" s="49">
        <f t="shared" si="112"/>
        <v>46133</v>
      </c>
      <c r="D1575" s="29">
        <f>DAY(Dati[[#This Row],[Data]])</f>
        <v>21</v>
      </c>
      <c r="E1575" s="29" t="str">
        <f>IF(DAY(Data!$C$21:$C$1613)&gt;0,TEXT(Data!$C$21:$C$1613, "mmmm"),"")</f>
        <v>aprile</v>
      </c>
      <c r="F1575" s="29" t="str">
        <f>IF(DAY(Data!$C$21:$C$1613)&gt;0,TEXT(Data!$C$21:$C$1613, "aaaa"),"")</f>
        <v>2026</v>
      </c>
      <c r="I1575" t="str">
        <f>IF(OR(H1575=$B$5,H1575=$B$6,H1575=$B$7,H1575=$B$8,H1575=$B$9,H1575=$B$10,H1575=$B$11,H1575=$B$12,H1575=$B$13,H1575=$B$14),SottocategorieUscite[[#Headers],[Fuori Casa]],IF(OR(H1575=$C$5,H1575=$C$6,H1575=$C$7,H1575=$C$8,H1575=$C$9,H1575=$C$10,H1575=$C$11,H1575=$C$12,H1575=$C$13,H1575=$C$14),SottocategorieUscite[[#Headers],[Varie Uscite]],IF(OR(H1575=$D$5,H1575=$D$6,H1575=$D$7,H1575=$D$8,H1575=$D$9,H1575=$D$10,H1575=$D$11,H1575=$D$12,H1575=$D$13,H1575=$D$14),SottocategorieUscite[[#Headers],[Personali]],IF(OR(H1575=$E$5,H1575=$E$6,H1575=$E$7,H1575=$E$8,H1575=$E$9,H1575=$E$10,H1575=$E$11,H1575=$E$12,H1575=$E$13,H1575=$E$14),SottocategorieUscite[[#Headers],[Lavoro]],IF(OR(H1575=$F$5,H1575=$F$6,H1575=$F$7,H1575=$F$8,H1575=$F$9,H1575=$F$10,H1575=$F$11,H1575=$F$12,H1575=$F$13,H1575=$F$14),SottocategorieUscite[[#Headers],[Casa]],IF(OR(H1575=$G$5,H1575=$G$6,H1575=$G$7,H1575=$G$8,H1575=$G$9,H1575=$G$10,H1575=$G$11,H1575=$G$12,H1575=$G$13,H1575=$G$14),SottocategorieUscite[[#Headers],[Utenze]],IF(OR(H1575=$H$5,H1575=$H$6,H1575=$H$7,H1575=$H$8,H1575=$H$9,H1575=$H$10,H1575=$H$11,H1575=$H$12,H1575=$H$13,H1575=$H$14),SottocategorieUscite[[#Headers],[Business Uscite]],IF(OR(H1575=$I$5,H1575=$I$6,H1575=$I$7,H1575=$I$8,H1575=$I$9,H1575=$I$10,H1575=$I$11,H1575=$I$12,H1575=$I$13,H1575=$I$14),SottocategorieUscite[[#Headers],[Banca]],IF(OR(H1575=K$5,H1575=K$6,H1575=K$7,H1575=K$8,H1575=K$9,H1575=K$10,H1575=K$11,H1575=K$12,H1575=K$13,H1575=K$14),SottocategorieEntrate[[#Headers],[Business Entrate]],IF(OR(H1575=L$5,H1575=L$6,H1575=L$7,H1575=L$8,H1575=L$9,H1575=L$10,H1575=L$11,H1575=L$12,H1575=L$13,H1575=L$14),SottocategorieEntrate[[#Headers],[Varie Entrate]],IF(OR(H1575=M$5,H1575=M$6,H1575=M$7,H1575=M$8,H1575=M$9,H1575=M$10,H1575=M$11,H1575=M$12,H1575=M$13,H1575=M$14),SottocategorieEntrate[[#Headers],[Real Estate]],IF(OR(H1575=N$5,H1575=N$6,H1575=N$7,H1575=N$8,H1575=N$9,H1575=N$10,H1575=N$11,H1575=N$12,H1575=N$13,H1575=N$14),SottocategorieEntrate[[#Headers],[Other]],""))))))))))))</f>
        <v/>
      </c>
      <c r="J1575" t="str">
        <f>IF(OR(Dati[[#This Row],[Categoria]]="Bollette",Dati[[#This Row],[Categoria]]="Conto &amp; Carte BNL",Dati[[#This Row],[Categoria]]="Prelievo",Dati[[#This Row],[Categoria]]="Affitto",Dati[[#This Row],[Categoria]]="BNL(Interessi Creditori)"),"Carta",IF(Dati[[#This Row],[Categoria]]&lt;&gt;0,"Cash",""))</f>
        <v/>
      </c>
      <c r="K1575" s="59" t="str">
        <f>IF(OR(Data!$I1575=SottocategorieUscite[[#Headers],[Fuori Casa]],Data!$I1575=SottocategorieUscite[[#Headers],[Varie Uscite]],Data!$I1575=SottocategorieUscite[[#Headers],[Personali]],Data!$I1575=SottocategorieUscite[[#Headers],[Lavoro]]),"$ -","")</f>
        <v/>
      </c>
      <c r="L1575" s="59" t="str">
        <f>IF(OR(Data!$I1575=SottocategorieUscite[[#Headers],[Casa]],Data!$I1575=SottocategorieUscite[[#Headers],[Utenze]],Data!$I1575=SottocategorieUscite[[#Headers],[Business Uscite]],Data!$I1575=SottocategorieUscite[[#Headers],[Banca]]),"$ -","")</f>
        <v/>
      </c>
      <c r="M1575" s="59" t="str">
        <f>IF(OR($I1575&lt;&gt;SottocategorieUscite[[#Headers],[Fuori Casa]],$I1575&lt;&gt;SottocategorieUscite[[#Headers],[Varie Uscite]],$I1575&lt;&gt;SottocategorieUscite[[#Headers],[Personali]],$I1575&lt;&gt;SottocategorieUscite[[#Headers],[Lavoro]],$I1575&lt;&gt;SottocategorieUscite[[#Headers],[Casa]],$I1575&lt;&gt;SottocategorieUscite[[#Headers],[Utenze]],$I1575&lt;&gt;SottocategorieUscite[[#Headers],[Business Uscite]],$I1575&lt;&gt;SottocategorieUscite[[#Headers],[Banca]]),"","$ -")</f>
        <v/>
      </c>
      <c r="N1575" s="59" t="str">
        <f>IF(OR(Data!$I1575=SottocategorieEntrate[[#Headers],[Business Entrate]],Data!$I1575=SottocategorieEntrate[[#Headers],[Varie Entrate]]),"$ -","")</f>
        <v/>
      </c>
      <c r="O1575" s="59" t="str">
        <f>IF(OR(Data!$I1575=SottocategorieEntrate[[#Headers],[Real Estate]],SottocategorieEntrate[[#Headers],[Other]]),"$ -","")</f>
        <v/>
      </c>
      <c r="P1575" s="59" t="str">
        <f>IF(OR($I1575&lt;&gt;SottocategorieEntrate[[#Headers],[Business Entrate]],$I1575&lt;&gt;SottocategorieEntrate[[#Headers],[Varie Entrate]],$I1575&lt;&gt;SottocategorieEntrate[[#Headers],[Real Estate]],$I1575&lt;&gt;SottocategorieEntrate[[#Headers],[Other]]),"","$ -")</f>
        <v/>
      </c>
      <c r="Q1575" s="59" t="str">
        <f>IF(Dati[[#This Row],[Categoria]]="Prelievo","€ -","")</f>
        <v/>
      </c>
      <c r="R1575" s="244"/>
      <c r="S1575" s="59" t="str">
        <f>IF(Dati[[#This Row],[Categoria]]="Savings",0,"")</f>
        <v/>
      </c>
      <c r="T1575" s="59"/>
      <c r="U1575" s="59"/>
      <c r="V1575" s="59"/>
      <c r="W1575" s="59"/>
      <c r="X1575" s="59"/>
      <c r="Y1575" s="59"/>
      <c r="Z1575" s="59"/>
      <c r="AA1575" s="59"/>
      <c r="AB1575" s="59"/>
      <c r="AC1575" s="59"/>
      <c r="AD1575" s="59"/>
      <c r="AE1575" s="59"/>
      <c r="AF1575" s="59"/>
      <c r="AG1575" s="59"/>
      <c r="AH1575" s="59"/>
      <c r="AI1575" s="59" t="str">
        <f>IF(SUM(Dati[[#This Row],[Inv. Business]:[Inv. Cryptocurrency]])=0," ",SUM(Dati[[#This Row],[Inv. Business]:[Inv. Cryptocurrency]]))</f>
        <v xml:space="preserve"> </v>
      </c>
      <c r="AJ1575" s="59"/>
      <c r="AK1575" s="59" t="str">
        <f>IF(SUM(Dati[[#This Row],[Inv. Gold]:[Mutuo]])=0," ",SUM(Dati[[#This Row],[Inv. Gold]:[Mutuo]]))</f>
        <v xml:space="preserve"> </v>
      </c>
      <c r="AL1575" s="59"/>
      <c r="AM1575" s="59"/>
    </row>
    <row r="1576" spans="2:39" x14ac:dyDescent="0.35">
      <c r="B1576" s="237">
        <f t="shared" si="111"/>
        <v>1556</v>
      </c>
      <c r="C1576" s="49">
        <f t="shared" si="112"/>
        <v>46134</v>
      </c>
      <c r="D1576" s="29">
        <f>DAY(Dati[[#This Row],[Data]])</f>
        <v>22</v>
      </c>
      <c r="E1576" s="29" t="str">
        <f>IF(DAY(Data!$C$21:$C$1613)&gt;0,TEXT(Data!$C$21:$C$1613, "mmmm"),"")</f>
        <v>aprile</v>
      </c>
      <c r="F1576" s="29" t="str">
        <f>IF(DAY(Data!$C$21:$C$1613)&gt;0,TEXT(Data!$C$21:$C$1613, "aaaa"),"")</f>
        <v>2026</v>
      </c>
      <c r="I1576" t="str">
        <f>IF(OR(H1576=$B$5,H1576=$B$6,H1576=$B$7,H1576=$B$8,H1576=$B$9,H1576=$B$10,H1576=$B$11,H1576=$B$12,H1576=$B$13,H1576=$B$14),SottocategorieUscite[[#Headers],[Fuori Casa]],IF(OR(H1576=$C$5,H1576=$C$6,H1576=$C$7,H1576=$C$8,H1576=$C$9,H1576=$C$10,H1576=$C$11,H1576=$C$12,H1576=$C$13,H1576=$C$14),SottocategorieUscite[[#Headers],[Varie Uscite]],IF(OR(H1576=$D$5,H1576=$D$6,H1576=$D$7,H1576=$D$8,H1576=$D$9,H1576=$D$10,H1576=$D$11,H1576=$D$12,H1576=$D$13,H1576=$D$14),SottocategorieUscite[[#Headers],[Personali]],IF(OR(H1576=$E$5,H1576=$E$6,H1576=$E$7,H1576=$E$8,H1576=$E$9,H1576=$E$10,H1576=$E$11,H1576=$E$12,H1576=$E$13,H1576=$E$14),SottocategorieUscite[[#Headers],[Lavoro]],IF(OR(H1576=$F$5,H1576=$F$6,H1576=$F$7,H1576=$F$8,H1576=$F$9,H1576=$F$10,H1576=$F$11,H1576=$F$12,H1576=$F$13,H1576=$F$14),SottocategorieUscite[[#Headers],[Casa]],IF(OR(H1576=$G$5,H1576=$G$6,H1576=$G$7,H1576=$G$8,H1576=$G$9,H1576=$G$10,H1576=$G$11,H1576=$G$12,H1576=$G$13,H1576=$G$14),SottocategorieUscite[[#Headers],[Utenze]],IF(OR(H1576=$H$5,H1576=$H$6,H1576=$H$7,H1576=$H$8,H1576=$H$9,H1576=$H$10,H1576=$H$11,H1576=$H$12,H1576=$H$13,H1576=$H$14),SottocategorieUscite[[#Headers],[Business Uscite]],IF(OR(H1576=$I$5,H1576=$I$6,H1576=$I$7,H1576=$I$8,H1576=$I$9,H1576=$I$10,H1576=$I$11,H1576=$I$12,H1576=$I$13,H1576=$I$14),SottocategorieUscite[[#Headers],[Banca]],IF(OR(H1576=K$5,H1576=K$6,H1576=K$7,H1576=K$8,H1576=K$9,H1576=K$10,H1576=K$11,H1576=K$12,H1576=K$13,H1576=K$14),SottocategorieEntrate[[#Headers],[Business Entrate]],IF(OR(H1576=L$5,H1576=L$6,H1576=L$7,H1576=L$8,H1576=L$9,H1576=L$10,H1576=L$11,H1576=L$12,H1576=L$13,H1576=L$14),SottocategorieEntrate[[#Headers],[Varie Entrate]],IF(OR(H1576=M$5,H1576=M$6,H1576=M$7,H1576=M$8,H1576=M$9,H1576=M$10,H1576=M$11,H1576=M$12,H1576=M$13,H1576=M$14),SottocategorieEntrate[[#Headers],[Real Estate]],IF(OR(H1576=N$5,H1576=N$6,H1576=N$7,H1576=N$8,H1576=N$9,H1576=N$10,H1576=N$11,H1576=N$12,H1576=N$13,H1576=N$14),SottocategorieEntrate[[#Headers],[Other]],""))))))))))))</f>
        <v/>
      </c>
      <c r="J1576" t="str">
        <f>IF(OR(Dati[[#This Row],[Categoria]]="Bollette",Dati[[#This Row],[Categoria]]="Conto &amp; Carte BNL",Dati[[#This Row],[Categoria]]="Prelievo",Dati[[#This Row],[Categoria]]="Affitto",Dati[[#This Row],[Categoria]]="BNL(Interessi Creditori)"),"Carta",IF(Dati[[#This Row],[Categoria]]&lt;&gt;0,"Cash",""))</f>
        <v/>
      </c>
      <c r="K1576" s="59" t="str">
        <f>IF(OR(Data!$I1576=SottocategorieUscite[[#Headers],[Fuori Casa]],Data!$I1576=SottocategorieUscite[[#Headers],[Varie Uscite]],Data!$I1576=SottocategorieUscite[[#Headers],[Personali]],Data!$I1576=SottocategorieUscite[[#Headers],[Lavoro]]),"$ -","")</f>
        <v/>
      </c>
      <c r="L1576" s="59" t="str">
        <f>IF(OR(Data!$I1576=SottocategorieUscite[[#Headers],[Casa]],Data!$I1576=SottocategorieUscite[[#Headers],[Utenze]],Data!$I1576=SottocategorieUscite[[#Headers],[Business Uscite]],Data!$I1576=SottocategorieUscite[[#Headers],[Banca]]),"$ -","")</f>
        <v/>
      </c>
      <c r="M1576" s="59" t="str">
        <f>IF(OR($I1576&lt;&gt;SottocategorieUscite[[#Headers],[Fuori Casa]],$I1576&lt;&gt;SottocategorieUscite[[#Headers],[Varie Uscite]],$I1576&lt;&gt;SottocategorieUscite[[#Headers],[Personali]],$I1576&lt;&gt;SottocategorieUscite[[#Headers],[Lavoro]],$I1576&lt;&gt;SottocategorieUscite[[#Headers],[Casa]],$I1576&lt;&gt;SottocategorieUscite[[#Headers],[Utenze]],$I1576&lt;&gt;SottocategorieUscite[[#Headers],[Business Uscite]],$I1576&lt;&gt;SottocategorieUscite[[#Headers],[Banca]]),"","$ -")</f>
        <v/>
      </c>
      <c r="N1576" s="59" t="str">
        <f>IF(OR(Data!$I1576=SottocategorieEntrate[[#Headers],[Business Entrate]],Data!$I1576=SottocategorieEntrate[[#Headers],[Varie Entrate]]),"$ -","")</f>
        <v/>
      </c>
      <c r="O1576" s="59" t="str">
        <f>IF(OR(Data!$I1576=SottocategorieEntrate[[#Headers],[Real Estate]],SottocategorieEntrate[[#Headers],[Other]]),"$ -","")</f>
        <v/>
      </c>
      <c r="P1576" s="59" t="str">
        <f>IF(OR($I1576&lt;&gt;SottocategorieEntrate[[#Headers],[Business Entrate]],$I1576&lt;&gt;SottocategorieEntrate[[#Headers],[Varie Entrate]],$I1576&lt;&gt;SottocategorieEntrate[[#Headers],[Real Estate]],$I1576&lt;&gt;SottocategorieEntrate[[#Headers],[Other]]),"","$ -")</f>
        <v/>
      </c>
      <c r="Q1576" s="59" t="str">
        <f>IF(Dati[[#This Row],[Categoria]]="Prelievo","€ -","")</f>
        <v/>
      </c>
      <c r="R1576" s="244"/>
      <c r="S1576" s="59" t="str">
        <f>IF(Dati[[#This Row],[Categoria]]="Savings",0,"")</f>
        <v/>
      </c>
      <c r="T1576" s="59"/>
      <c r="U1576" s="59"/>
      <c r="V1576" s="59"/>
      <c r="W1576" s="59"/>
      <c r="X1576" s="59"/>
      <c r="Y1576" s="59"/>
      <c r="Z1576" s="59"/>
      <c r="AA1576" s="59"/>
      <c r="AB1576" s="59"/>
      <c r="AC1576" s="59"/>
      <c r="AD1576" s="59"/>
      <c r="AE1576" s="59"/>
      <c r="AF1576" s="59"/>
      <c r="AG1576" s="59"/>
      <c r="AH1576" s="59"/>
      <c r="AI1576" s="59" t="str">
        <f>IF(SUM(Dati[[#This Row],[Inv. Business]:[Inv. Cryptocurrency]])=0," ",SUM(Dati[[#This Row],[Inv. Business]:[Inv. Cryptocurrency]]))</f>
        <v xml:space="preserve"> </v>
      </c>
      <c r="AJ1576" s="59"/>
      <c r="AK1576" s="59" t="str">
        <f>IF(SUM(Dati[[#This Row],[Inv. Gold]:[Mutuo]])=0," ",SUM(Dati[[#This Row],[Inv. Gold]:[Mutuo]]))</f>
        <v xml:space="preserve"> </v>
      </c>
      <c r="AL1576" s="59"/>
      <c r="AM1576" s="59"/>
    </row>
    <row r="1577" spans="2:39" x14ac:dyDescent="0.35">
      <c r="B1577" s="237">
        <f t="shared" si="111"/>
        <v>1557</v>
      </c>
      <c r="C1577" s="49">
        <f t="shared" si="112"/>
        <v>46135</v>
      </c>
      <c r="D1577" s="29">
        <f>DAY(Dati[[#This Row],[Data]])</f>
        <v>23</v>
      </c>
      <c r="E1577" s="29" t="str">
        <f>IF(DAY(Data!$C$21:$C$1613)&gt;0,TEXT(Data!$C$21:$C$1613, "mmmm"),"")</f>
        <v>aprile</v>
      </c>
      <c r="F1577" s="29" t="str">
        <f>IF(DAY(Data!$C$21:$C$1613)&gt;0,TEXT(Data!$C$21:$C$1613, "aaaa"),"")</f>
        <v>2026</v>
      </c>
      <c r="I1577" t="str">
        <f>IF(OR(H1577=$B$5,H1577=$B$6,H1577=$B$7,H1577=$B$8,H1577=$B$9,H1577=$B$10,H1577=$B$11,H1577=$B$12,H1577=$B$13,H1577=$B$14),SottocategorieUscite[[#Headers],[Fuori Casa]],IF(OR(H1577=$C$5,H1577=$C$6,H1577=$C$7,H1577=$C$8,H1577=$C$9,H1577=$C$10,H1577=$C$11,H1577=$C$12,H1577=$C$13,H1577=$C$14),SottocategorieUscite[[#Headers],[Varie Uscite]],IF(OR(H1577=$D$5,H1577=$D$6,H1577=$D$7,H1577=$D$8,H1577=$D$9,H1577=$D$10,H1577=$D$11,H1577=$D$12,H1577=$D$13,H1577=$D$14),SottocategorieUscite[[#Headers],[Personali]],IF(OR(H1577=$E$5,H1577=$E$6,H1577=$E$7,H1577=$E$8,H1577=$E$9,H1577=$E$10,H1577=$E$11,H1577=$E$12,H1577=$E$13,H1577=$E$14),SottocategorieUscite[[#Headers],[Lavoro]],IF(OR(H1577=$F$5,H1577=$F$6,H1577=$F$7,H1577=$F$8,H1577=$F$9,H1577=$F$10,H1577=$F$11,H1577=$F$12,H1577=$F$13,H1577=$F$14),SottocategorieUscite[[#Headers],[Casa]],IF(OR(H1577=$G$5,H1577=$G$6,H1577=$G$7,H1577=$G$8,H1577=$G$9,H1577=$G$10,H1577=$G$11,H1577=$G$12,H1577=$G$13,H1577=$G$14),SottocategorieUscite[[#Headers],[Utenze]],IF(OR(H1577=$H$5,H1577=$H$6,H1577=$H$7,H1577=$H$8,H1577=$H$9,H1577=$H$10,H1577=$H$11,H1577=$H$12,H1577=$H$13,H1577=$H$14),SottocategorieUscite[[#Headers],[Business Uscite]],IF(OR(H1577=$I$5,H1577=$I$6,H1577=$I$7,H1577=$I$8,H1577=$I$9,H1577=$I$10,H1577=$I$11,H1577=$I$12,H1577=$I$13,H1577=$I$14),SottocategorieUscite[[#Headers],[Banca]],IF(OR(H1577=K$5,H1577=K$6,H1577=K$7,H1577=K$8,H1577=K$9,H1577=K$10,H1577=K$11,H1577=K$12,H1577=K$13,H1577=K$14),SottocategorieEntrate[[#Headers],[Business Entrate]],IF(OR(H1577=L$5,H1577=L$6,H1577=L$7,H1577=L$8,H1577=L$9,H1577=L$10,H1577=L$11,H1577=L$12,H1577=L$13,H1577=L$14),SottocategorieEntrate[[#Headers],[Varie Entrate]],IF(OR(H1577=M$5,H1577=M$6,H1577=M$7,H1577=M$8,H1577=M$9,H1577=M$10,H1577=M$11,H1577=M$12,H1577=M$13,H1577=M$14),SottocategorieEntrate[[#Headers],[Real Estate]],IF(OR(H1577=N$5,H1577=N$6,H1577=N$7,H1577=N$8,H1577=N$9,H1577=N$10,H1577=N$11,H1577=N$12,H1577=N$13,H1577=N$14),SottocategorieEntrate[[#Headers],[Other]],""))))))))))))</f>
        <v/>
      </c>
      <c r="J1577" t="str">
        <f>IF(OR(Dati[[#This Row],[Categoria]]="Bollette",Dati[[#This Row],[Categoria]]="Conto &amp; Carte BNL",Dati[[#This Row],[Categoria]]="Prelievo",Dati[[#This Row],[Categoria]]="Affitto",Dati[[#This Row],[Categoria]]="BNL(Interessi Creditori)"),"Carta",IF(Dati[[#This Row],[Categoria]]&lt;&gt;0,"Cash",""))</f>
        <v/>
      </c>
      <c r="K1577" s="59" t="str">
        <f>IF(OR(Data!$I1577=SottocategorieUscite[[#Headers],[Fuori Casa]],Data!$I1577=SottocategorieUscite[[#Headers],[Varie Uscite]],Data!$I1577=SottocategorieUscite[[#Headers],[Personali]],Data!$I1577=SottocategorieUscite[[#Headers],[Lavoro]]),"$ -","")</f>
        <v/>
      </c>
      <c r="L1577" s="59" t="str">
        <f>IF(OR(Data!$I1577=SottocategorieUscite[[#Headers],[Casa]],Data!$I1577=SottocategorieUscite[[#Headers],[Utenze]],Data!$I1577=SottocategorieUscite[[#Headers],[Business Uscite]],Data!$I1577=SottocategorieUscite[[#Headers],[Banca]]),"$ -","")</f>
        <v/>
      </c>
      <c r="M1577" s="59" t="str">
        <f>IF(OR($I1577&lt;&gt;SottocategorieUscite[[#Headers],[Fuori Casa]],$I1577&lt;&gt;SottocategorieUscite[[#Headers],[Varie Uscite]],$I1577&lt;&gt;SottocategorieUscite[[#Headers],[Personali]],$I1577&lt;&gt;SottocategorieUscite[[#Headers],[Lavoro]],$I1577&lt;&gt;SottocategorieUscite[[#Headers],[Casa]],$I1577&lt;&gt;SottocategorieUscite[[#Headers],[Utenze]],$I1577&lt;&gt;SottocategorieUscite[[#Headers],[Business Uscite]],$I1577&lt;&gt;SottocategorieUscite[[#Headers],[Banca]]),"","$ -")</f>
        <v/>
      </c>
      <c r="N1577" s="59" t="str">
        <f>IF(OR(Data!$I1577=SottocategorieEntrate[[#Headers],[Business Entrate]],Data!$I1577=SottocategorieEntrate[[#Headers],[Varie Entrate]]),"$ -","")</f>
        <v/>
      </c>
      <c r="O1577" s="59" t="str">
        <f>IF(OR(Data!$I1577=SottocategorieEntrate[[#Headers],[Real Estate]],SottocategorieEntrate[[#Headers],[Other]]),"$ -","")</f>
        <v/>
      </c>
      <c r="P1577" s="59" t="str">
        <f>IF(OR($I1577&lt;&gt;SottocategorieEntrate[[#Headers],[Business Entrate]],$I1577&lt;&gt;SottocategorieEntrate[[#Headers],[Varie Entrate]],$I1577&lt;&gt;SottocategorieEntrate[[#Headers],[Real Estate]],$I1577&lt;&gt;SottocategorieEntrate[[#Headers],[Other]]),"","$ -")</f>
        <v/>
      </c>
      <c r="Q1577" s="59" t="str">
        <f>IF(Dati[[#This Row],[Categoria]]="Prelievo","€ -","")</f>
        <v/>
      </c>
      <c r="R1577" s="244"/>
      <c r="S1577" s="59" t="str">
        <f>IF(Dati[[#This Row],[Categoria]]="Savings",0,"")</f>
        <v/>
      </c>
      <c r="T1577" s="59"/>
      <c r="U1577" s="59"/>
      <c r="V1577" s="59"/>
      <c r="W1577" s="59"/>
      <c r="X1577" s="59"/>
      <c r="Y1577" s="59"/>
      <c r="Z1577" s="59"/>
      <c r="AA1577" s="59"/>
      <c r="AB1577" s="59"/>
      <c r="AC1577" s="59"/>
      <c r="AD1577" s="59"/>
      <c r="AE1577" s="59"/>
      <c r="AF1577" s="59"/>
      <c r="AG1577" s="59"/>
      <c r="AH1577" s="59"/>
      <c r="AI1577" s="59" t="str">
        <f>IF(SUM(Dati[[#This Row],[Inv. Business]:[Inv. Cryptocurrency]])=0," ",SUM(Dati[[#This Row],[Inv. Business]:[Inv. Cryptocurrency]]))</f>
        <v xml:space="preserve"> </v>
      </c>
      <c r="AJ1577" s="59"/>
      <c r="AK1577" s="59" t="str">
        <f>IF(SUM(Dati[[#This Row],[Inv. Gold]:[Mutuo]])=0," ",SUM(Dati[[#This Row],[Inv. Gold]:[Mutuo]]))</f>
        <v xml:space="preserve"> </v>
      </c>
      <c r="AL1577" s="59"/>
      <c r="AM1577" s="59"/>
    </row>
    <row r="1578" spans="2:39" x14ac:dyDescent="0.35">
      <c r="B1578" s="237">
        <f t="shared" si="111"/>
        <v>1558</v>
      </c>
      <c r="C1578" s="49">
        <f t="shared" si="112"/>
        <v>46136</v>
      </c>
      <c r="D1578" s="29">
        <f>DAY(Dati[[#This Row],[Data]])</f>
        <v>24</v>
      </c>
      <c r="E1578" s="29" t="str">
        <f>IF(DAY(Data!$C$21:$C$1613)&gt;0,TEXT(Data!$C$21:$C$1613, "mmmm"),"")</f>
        <v>aprile</v>
      </c>
      <c r="F1578" s="29" t="str">
        <f>IF(DAY(Data!$C$21:$C$1613)&gt;0,TEXT(Data!$C$21:$C$1613, "aaaa"),"")</f>
        <v>2026</v>
      </c>
      <c r="I1578" t="str">
        <f>IF(OR(H1578=$B$5,H1578=$B$6,H1578=$B$7,H1578=$B$8,H1578=$B$9,H1578=$B$10,H1578=$B$11,H1578=$B$12,H1578=$B$13,H1578=$B$14),SottocategorieUscite[[#Headers],[Fuori Casa]],IF(OR(H1578=$C$5,H1578=$C$6,H1578=$C$7,H1578=$C$8,H1578=$C$9,H1578=$C$10,H1578=$C$11,H1578=$C$12,H1578=$C$13,H1578=$C$14),SottocategorieUscite[[#Headers],[Varie Uscite]],IF(OR(H1578=$D$5,H1578=$D$6,H1578=$D$7,H1578=$D$8,H1578=$D$9,H1578=$D$10,H1578=$D$11,H1578=$D$12,H1578=$D$13,H1578=$D$14),SottocategorieUscite[[#Headers],[Personali]],IF(OR(H1578=$E$5,H1578=$E$6,H1578=$E$7,H1578=$E$8,H1578=$E$9,H1578=$E$10,H1578=$E$11,H1578=$E$12,H1578=$E$13,H1578=$E$14),SottocategorieUscite[[#Headers],[Lavoro]],IF(OR(H1578=$F$5,H1578=$F$6,H1578=$F$7,H1578=$F$8,H1578=$F$9,H1578=$F$10,H1578=$F$11,H1578=$F$12,H1578=$F$13,H1578=$F$14),SottocategorieUscite[[#Headers],[Casa]],IF(OR(H1578=$G$5,H1578=$G$6,H1578=$G$7,H1578=$G$8,H1578=$G$9,H1578=$G$10,H1578=$G$11,H1578=$G$12,H1578=$G$13,H1578=$G$14),SottocategorieUscite[[#Headers],[Utenze]],IF(OR(H1578=$H$5,H1578=$H$6,H1578=$H$7,H1578=$H$8,H1578=$H$9,H1578=$H$10,H1578=$H$11,H1578=$H$12,H1578=$H$13,H1578=$H$14),SottocategorieUscite[[#Headers],[Business Uscite]],IF(OR(H1578=$I$5,H1578=$I$6,H1578=$I$7,H1578=$I$8,H1578=$I$9,H1578=$I$10,H1578=$I$11,H1578=$I$12,H1578=$I$13,H1578=$I$14),SottocategorieUscite[[#Headers],[Banca]],IF(OR(H1578=K$5,H1578=K$6,H1578=K$7,H1578=K$8,H1578=K$9,H1578=K$10,H1578=K$11,H1578=K$12,H1578=K$13,H1578=K$14),SottocategorieEntrate[[#Headers],[Business Entrate]],IF(OR(H1578=L$5,H1578=L$6,H1578=L$7,H1578=L$8,H1578=L$9,H1578=L$10,H1578=L$11,H1578=L$12,H1578=L$13,H1578=L$14),SottocategorieEntrate[[#Headers],[Varie Entrate]],IF(OR(H1578=M$5,H1578=M$6,H1578=M$7,H1578=M$8,H1578=M$9,H1578=M$10,H1578=M$11,H1578=M$12,H1578=M$13,H1578=M$14),SottocategorieEntrate[[#Headers],[Real Estate]],IF(OR(H1578=N$5,H1578=N$6,H1578=N$7,H1578=N$8,H1578=N$9,H1578=N$10,H1578=N$11,H1578=N$12,H1578=N$13,H1578=N$14),SottocategorieEntrate[[#Headers],[Other]],""))))))))))))</f>
        <v/>
      </c>
      <c r="J1578" t="str">
        <f>IF(OR(Dati[[#This Row],[Categoria]]="Bollette",Dati[[#This Row],[Categoria]]="Conto &amp; Carte BNL",Dati[[#This Row],[Categoria]]="Prelievo",Dati[[#This Row],[Categoria]]="Affitto",Dati[[#This Row],[Categoria]]="BNL(Interessi Creditori)"),"Carta",IF(Dati[[#This Row],[Categoria]]&lt;&gt;0,"Cash",""))</f>
        <v/>
      </c>
      <c r="K1578" s="59" t="str">
        <f>IF(OR(Data!$I1578=SottocategorieUscite[[#Headers],[Fuori Casa]],Data!$I1578=SottocategorieUscite[[#Headers],[Varie Uscite]],Data!$I1578=SottocategorieUscite[[#Headers],[Personali]],Data!$I1578=SottocategorieUscite[[#Headers],[Lavoro]]),"$ -","")</f>
        <v/>
      </c>
      <c r="L1578" s="59" t="str">
        <f>IF(OR(Data!$I1578=SottocategorieUscite[[#Headers],[Casa]],Data!$I1578=SottocategorieUscite[[#Headers],[Utenze]],Data!$I1578=SottocategorieUscite[[#Headers],[Business Uscite]],Data!$I1578=SottocategorieUscite[[#Headers],[Banca]]),"$ -","")</f>
        <v/>
      </c>
      <c r="M1578" s="59" t="str">
        <f>IF(OR($I1578&lt;&gt;SottocategorieUscite[[#Headers],[Fuori Casa]],$I1578&lt;&gt;SottocategorieUscite[[#Headers],[Varie Uscite]],$I1578&lt;&gt;SottocategorieUscite[[#Headers],[Personali]],$I1578&lt;&gt;SottocategorieUscite[[#Headers],[Lavoro]],$I1578&lt;&gt;SottocategorieUscite[[#Headers],[Casa]],$I1578&lt;&gt;SottocategorieUscite[[#Headers],[Utenze]],$I1578&lt;&gt;SottocategorieUscite[[#Headers],[Business Uscite]],$I1578&lt;&gt;SottocategorieUscite[[#Headers],[Banca]]),"","$ -")</f>
        <v/>
      </c>
      <c r="N1578" s="59" t="str">
        <f>IF(OR(Data!$I1578=SottocategorieEntrate[[#Headers],[Business Entrate]],Data!$I1578=SottocategorieEntrate[[#Headers],[Varie Entrate]]),"$ -","")</f>
        <v/>
      </c>
      <c r="O1578" s="59" t="str">
        <f>IF(OR(Data!$I1578=SottocategorieEntrate[[#Headers],[Real Estate]],SottocategorieEntrate[[#Headers],[Other]]),"$ -","")</f>
        <v/>
      </c>
      <c r="P1578" s="59" t="str">
        <f>IF(OR($I1578&lt;&gt;SottocategorieEntrate[[#Headers],[Business Entrate]],$I1578&lt;&gt;SottocategorieEntrate[[#Headers],[Varie Entrate]],$I1578&lt;&gt;SottocategorieEntrate[[#Headers],[Real Estate]],$I1578&lt;&gt;SottocategorieEntrate[[#Headers],[Other]]),"","$ -")</f>
        <v/>
      </c>
      <c r="Q1578" s="59" t="str">
        <f>IF(Dati[[#This Row],[Categoria]]="Prelievo","€ -","")</f>
        <v/>
      </c>
      <c r="R1578" s="244"/>
      <c r="S1578" s="59" t="str">
        <f>IF(Dati[[#This Row],[Categoria]]="Savings",0,"")</f>
        <v/>
      </c>
      <c r="T1578" s="59"/>
      <c r="U1578" s="59"/>
      <c r="V1578" s="59"/>
      <c r="W1578" s="59"/>
      <c r="X1578" s="59"/>
      <c r="Y1578" s="59"/>
      <c r="Z1578" s="59"/>
      <c r="AA1578" s="59"/>
      <c r="AB1578" s="59"/>
      <c r="AC1578" s="59"/>
      <c r="AD1578" s="59"/>
      <c r="AE1578" s="59"/>
      <c r="AF1578" s="59"/>
      <c r="AG1578" s="59"/>
      <c r="AH1578" s="59"/>
      <c r="AI1578" s="59" t="str">
        <f>IF(SUM(Dati[[#This Row],[Inv. Business]:[Inv. Cryptocurrency]])=0," ",SUM(Dati[[#This Row],[Inv. Business]:[Inv. Cryptocurrency]]))</f>
        <v xml:space="preserve"> </v>
      </c>
      <c r="AJ1578" s="59"/>
      <c r="AK1578" s="59" t="str">
        <f>IF(SUM(Dati[[#This Row],[Inv. Gold]:[Mutuo]])=0," ",SUM(Dati[[#This Row],[Inv. Gold]:[Mutuo]]))</f>
        <v xml:space="preserve"> </v>
      </c>
      <c r="AL1578" s="59"/>
      <c r="AM1578" s="59"/>
    </row>
    <row r="1579" spans="2:39" x14ac:dyDescent="0.35">
      <c r="B1579" s="237">
        <f t="shared" si="111"/>
        <v>1559</v>
      </c>
      <c r="C1579" s="49">
        <f t="shared" si="112"/>
        <v>46137</v>
      </c>
      <c r="D1579" s="29">
        <f>DAY(Dati[[#This Row],[Data]])</f>
        <v>25</v>
      </c>
      <c r="E1579" s="29" t="str">
        <f>IF(DAY(Data!$C$21:$C$1613)&gt;0,TEXT(Data!$C$21:$C$1613, "mmmm"),"")</f>
        <v>aprile</v>
      </c>
      <c r="F1579" s="29" t="str">
        <f>IF(DAY(Data!$C$21:$C$1613)&gt;0,TEXT(Data!$C$21:$C$1613, "aaaa"),"")</f>
        <v>2026</v>
      </c>
      <c r="I1579" t="str">
        <f>IF(OR(H1579=$B$5,H1579=$B$6,H1579=$B$7,H1579=$B$8,H1579=$B$9,H1579=$B$10,H1579=$B$11,H1579=$B$12,H1579=$B$13,H1579=$B$14),SottocategorieUscite[[#Headers],[Fuori Casa]],IF(OR(H1579=$C$5,H1579=$C$6,H1579=$C$7,H1579=$C$8,H1579=$C$9,H1579=$C$10,H1579=$C$11,H1579=$C$12,H1579=$C$13,H1579=$C$14),SottocategorieUscite[[#Headers],[Varie Uscite]],IF(OR(H1579=$D$5,H1579=$D$6,H1579=$D$7,H1579=$D$8,H1579=$D$9,H1579=$D$10,H1579=$D$11,H1579=$D$12,H1579=$D$13,H1579=$D$14),SottocategorieUscite[[#Headers],[Personali]],IF(OR(H1579=$E$5,H1579=$E$6,H1579=$E$7,H1579=$E$8,H1579=$E$9,H1579=$E$10,H1579=$E$11,H1579=$E$12,H1579=$E$13,H1579=$E$14),SottocategorieUscite[[#Headers],[Lavoro]],IF(OR(H1579=$F$5,H1579=$F$6,H1579=$F$7,H1579=$F$8,H1579=$F$9,H1579=$F$10,H1579=$F$11,H1579=$F$12,H1579=$F$13,H1579=$F$14),SottocategorieUscite[[#Headers],[Casa]],IF(OR(H1579=$G$5,H1579=$G$6,H1579=$G$7,H1579=$G$8,H1579=$G$9,H1579=$G$10,H1579=$G$11,H1579=$G$12,H1579=$G$13,H1579=$G$14),SottocategorieUscite[[#Headers],[Utenze]],IF(OR(H1579=$H$5,H1579=$H$6,H1579=$H$7,H1579=$H$8,H1579=$H$9,H1579=$H$10,H1579=$H$11,H1579=$H$12,H1579=$H$13,H1579=$H$14),SottocategorieUscite[[#Headers],[Business Uscite]],IF(OR(H1579=$I$5,H1579=$I$6,H1579=$I$7,H1579=$I$8,H1579=$I$9,H1579=$I$10,H1579=$I$11,H1579=$I$12,H1579=$I$13,H1579=$I$14),SottocategorieUscite[[#Headers],[Banca]],IF(OR(H1579=K$5,H1579=K$6,H1579=K$7,H1579=K$8,H1579=K$9,H1579=K$10,H1579=K$11,H1579=K$12,H1579=K$13,H1579=K$14),SottocategorieEntrate[[#Headers],[Business Entrate]],IF(OR(H1579=L$5,H1579=L$6,H1579=L$7,H1579=L$8,H1579=L$9,H1579=L$10,H1579=L$11,H1579=L$12,H1579=L$13,H1579=L$14),SottocategorieEntrate[[#Headers],[Varie Entrate]],IF(OR(H1579=M$5,H1579=M$6,H1579=M$7,H1579=M$8,H1579=M$9,H1579=M$10,H1579=M$11,H1579=M$12,H1579=M$13,H1579=M$14),SottocategorieEntrate[[#Headers],[Real Estate]],IF(OR(H1579=N$5,H1579=N$6,H1579=N$7,H1579=N$8,H1579=N$9,H1579=N$10,H1579=N$11,H1579=N$12,H1579=N$13,H1579=N$14),SottocategorieEntrate[[#Headers],[Other]],""))))))))))))</f>
        <v/>
      </c>
      <c r="J1579" t="str">
        <f>IF(OR(Dati[[#This Row],[Categoria]]="Bollette",Dati[[#This Row],[Categoria]]="Conto &amp; Carte BNL",Dati[[#This Row],[Categoria]]="Prelievo",Dati[[#This Row],[Categoria]]="Affitto",Dati[[#This Row],[Categoria]]="BNL(Interessi Creditori)"),"Carta",IF(Dati[[#This Row],[Categoria]]&lt;&gt;0,"Cash",""))</f>
        <v/>
      </c>
      <c r="K1579" s="59" t="str">
        <f>IF(OR(Data!$I1579=SottocategorieUscite[[#Headers],[Fuori Casa]],Data!$I1579=SottocategorieUscite[[#Headers],[Varie Uscite]],Data!$I1579=SottocategorieUscite[[#Headers],[Personali]],Data!$I1579=SottocategorieUscite[[#Headers],[Lavoro]]),"$ -","")</f>
        <v/>
      </c>
      <c r="L1579" s="59" t="str">
        <f>IF(OR(Data!$I1579=SottocategorieUscite[[#Headers],[Casa]],Data!$I1579=SottocategorieUscite[[#Headers],[Utenze]],Data!$I1579=SottocategorieUscite[[#Headers],[Business Uscite]],Data!$I1579=SottocategorieUscite[[#Headers],[Banca]]),"$ -","")</f>
        <v/>
      </c>
      <c r="M1579" s="59" t="str">
        <f>IF(OR($I1579&lt;&gt;SottocategorieUscite[[#Headers],[Fuori Casa]],$I1579&lt;&gt;SottocategorieUscite[[#Headers],[Varie Uscite]],$I1579&lt;&gt;SottocategorieUscite[[#Headers],[Personali]],$I1579&lt;&gt;SottocategorieUscite[[#Headers],[Lavoro]],$I1579&lt;&gt;SottocategorieUscite[[#Headers],[Casa]],$I1579&lt;&gt;SottocategorieUscite[[#Headers],[Utenze]],$I1579&lt;&gt;SottocategorieUscite[[#Headers],[Business Uscite]],$I1579&lt;&gt;SottocategorieUscite[[#Headers],[Banca]]),"","$ -")</f>
        <v/>
      </c>
      <c r="N1579" s="59" t="str">
        <f>IF(OR(Data!$I1579=SottocategorieEntrate[[#Headers],[Business Entrate]],Data!$I1579=SottocategorieEntrate[[#Headers],[Varie Entrate]]),"$ -","")</f>
        <v/>
      </c>
      <c r="O1579" s="59" t="str">
        <f>IF(OR(Data!$I1579=SottocategorieEntrate[[#Headers],[Real Estate]],SottocategorieEntrate[[#Headers],[Other]]),"$ -","")</f>
        <v/>
      </c>
      <c r="P1579" s="59" t="str">
        <f>IF(OR($I1579&lt;&gt;SottocategorieEntrate[[#Headers],[Business Entrate]],$I1579&lt;&gt;SottocategorieEntrate[[#Headers],[Varie Entrate]],$I1579&lt;&gt;SottocategorieEntrate[[#Headers],[Real Estate]],$I1579&lt;&gt;SottocategorieEntrate[[#Headers],[Other]]),"","$ -")</f>
        <v/>
      </c>
      <c r="Q1579" s="59" t="str">
        <f>IF(Dati[[#This Row],[Categoria]]="Prelievo","€ -","")</f>
        <v/>
      </c>
      <c r="R1579" s="244"/>
      <c r="S1579" s="59" t="str">
        <f>IF(Dati[[#This Row],[Categoria]]="Savings",0,"")</f>
        <v/>
      </c>
      <c r="T1579" s="59"/>
      <c r="U1579" s="59"/>
      <c r="V1579" s="59"/>
      <c r="W1579" s="59"/>
      <c r="X1579" s="59"/>
      <c r="Y1579" s="59"/>
      <c r="Z1579" s="59"/>
      <c r="AA1579" s="59"/>
      <c r="AB1579" s="59"/>
      <c r="AC1579" s="59"/>
      <c r="AD1579" s="59"/>
      <c r="AE1579" s="59"/>
      <c r="AF1579" s="59"/>
      <c r="AG1579" s="59"/>
      <c r="AH1579" s="59"/>
      <c r="AI1579" s="59" t="str">
        <f>IF(SUM(Dati[[#This Row],[Inv. Business]:[Inv. Cryptocurrency]])=0," ",SUM(Dati[[#This Row],[Inv. Business]:[Inv. Cryptocurrency]]))</f>
        <v xml:space="preserve"> </v>
      </c>
      <c r="AJ1579" s="59"/>
      <c r="AK1579" s="59" t="str">
        <f>IF(SUM(Dati[[#This Row],[Inv. Gold]:[Mutuo]])=0," ",SUM(Dati[[#This Row],[Inv. Gold]:[Mutuo]]))</f>
        <v xml:space="preserve"> </v>
      </c>
      <c r="AL1579" s="59"/>
      <c r="AM1579" s="59"/>
    </row>
    <row r="1580" spans="2:39" x14ac:dyDescent="0.35">
      <c r="B1580" s="237">
        <f t="shared" si="111"/>
        <v>1560</v>
      </c>
      <c r="C1580" s="49">
        <f t="shared" si="112"/>
        <v>46138</v>
      </c>
      <c r="D1580" s="29">
        <f>DAY(Dati[[#This Row],[Data]])</f>
        <v>26</v>
      </c>
      <c r="E1580" s="29" t="str">
        <f>IF(DAY(Data!$C$21:$C$1613)&gt;0,TEXT(Data!$C$21:$C$1613, "mmmm"),"")</f>
        <v>aprile</v>
      </c>
      <c r="F1580" s="29" t="str">
        <f>IF(DAY(Data!$C$21:$C$1613)&gt;0,TEXT(Data!$C$21:$C$1613, "aaaa"),"")</f>
        <v>2026</v>
      </c>
      <c r="I1580" t="str">
        <f>IF(OR(H1580=$B$5,H1580=$B$6,H1580=$B$7,H1580=$B$8,H1580=$B$9,H1580=$B$10,H1580=$B$11,H1580=$B$12,H1580=$B$13,H1580=$B$14),SottocategorieUscite[[#Headers],[Fuori Casa]],IF(OR(H1580=$C$5,H1580=$C$6,H1580=$C$7,H1580=$C$8,H1580=$C$9,H1580=$C$10,H1580=$C$11,H1580=$C$12,H1580=$C$13,H1580=$C$14),SottocategorieUscite[[#Headers],[Varie Uscite]],IF(OR(H1580=$D$5,H1580=$D$6,H1580=$D$7,H1580=$D$8,H1580=$D$9,H1580=$D$10,H1580=$D$11,H1580=$D$12,H1580=$D$13,H1580=$D$14),SottocategorieUscite[[#Headers],[Personali]],IF(OR(H1580=$E$5,H1580=$E$6,H1580=$E$7,H1580=$E$8,H1580=$E$9,H1580=$E$10,H1580=$E$11,H1580=$E$12,H1580=$E$13,H1580=$E$14),SottocategorieUscite[[#Headers],[Lavoro]],IF(OR(H1580=$F$5,H1580=$F$6,H1580=$F$7,H1580=$F$8,H1580=$F$9,H1580=$F$10,H1580=$F$11,H1580=$F$12,H1580=$F$13,H1580=$F$14),SottocategorieUscite[[#Headers],[Casa]],IF(OR(H1580=$G$5,H1580=$G$6,H1580=$G$7,H1580=$G$8,H1580=$G$9,H1580=$G$10,H1580=$G$11,H1580=$G$12,H1580=$G$13,H1580=$G$14),SottocategorieUscite[[#Headers],[Utenze]],IF(OR(H1580=$H$5,H1580=$H$6,H1580=$H$7,H1580=$H$8,H1580=$H$9,H1580=$H$10,H1580=$H$11,H1580=$H$12,H1580=$H$13,H1580=$H$14),SottocategorieUscite[[#Headers],[Business Uscite]],IF(OR(H1580=$I$5,H1580=$I$6,H1580=$I$7,H1580=$I$8,H1580=$I$9,H1580=$I$10,H1580=$I$11,H1580=$I$12,H1580=$I$13,H1580=$I$14),SottocategorieUscite[[#Headers],[Banca]],IF(OR(H1580=K$5,H1580=K$6,H1580=K$7,H1580=K$8,H1580=K$9,H1580=K$10,H1580=K$11,H1580=K$12,H1580=K$13,H1580=K$14),SottocategorieEntrate[[#Headers],[Business Entrate]],IF(OR(H1580=L$5,H1580=L$6,H1580=L$7,H1580=L$8,H1580=L$9,H1580=L$10,H1580=L$11,H1580=L$12,H1580=L$13,H1580=L$14),SottocategorieEntrate[[#Headers],[Varie Entrate]],IF(OR(H1580=M$5,H1580=M$6,H1580=M$7,H1580=M$8,H1580=M$9,H1580=M$10,H1580=M$11,H1580=M$12,H1580=M$13,H1580=M$14),SottocategorieEntrate[[#Headers],[Real Estate]],IF(OR(H1580=N$5,H1580=N$6,H1580=N$7,H1580=N$8,H1580=N$9,H1580=N$10,H1580=N$11,H1580=N$12,H1580=N$13,H1580=N$14),SottocategorieEntrate[[#Headers],[Other]],""))))))))))))</f>
        <v/>
      </c>
      <c r="J1580" t="str">
        <f>IF(OR(Dati[[#This Row],[Categoria]]="Bollette",Dati[[#This Row],[Categoria]]="Conto &amp; Carte BNL",Dati[[#This Row],[Categoria]]="Prelievo",Dati[[#This Row],[Categoria]]="Affitto",Dati[[#This Row],[Categoria]]="BNL(Interessi Creditori)"),"Carta",IF(Dati[[#This Row],[Categoria]]&lt;&gt;0,"Cash",""))</f>
        <v/>
      </c>
      <c r="K1580" s="59" t="str">
        <f>IF(OR(Data!$I1580=SottocategorieUscite[[#Headers],[Fuori Casa]],Data!$I1580=SottocategorieUscite[[#Headers],[Varie Uscite]],Data!$I1580=SottocategorieUscite[[#Headers],[Personali]],Data!$I1580=SottocategorieUscite[[#Headers],[Lavoro]]),"$ -","")</f>
        <v/>
      </c>
      <c r="L1580" s="59" t="str">
        <f>IF(OR(Data!$I1580=SottocategorieUscite[[#Headers],[Casa]],Data!$I1580=SottocategorieUscite[[#Headers],[Utenze]],Data!$I1580=SottocategorieUscite[[#Headers],[Business Uscite]],Data!$I1580=SottocategorieUscite[[#Headers],[Banca]]),"$ -","")</f>
        <v/>
      </c>
      <c r="M1580" s="59" t="str">
        <f>IF(OR($I1580&lt;&gt;SottocategorieUscite[[#Headers],[Fuori Casa]],$I1580&lt;&gt;SottocategorieUscite[[#Headers],[Varie Uscite]],$I1580&lt;&gt;SottocategorieUscite[[#Headers],[Personali]],$I1580&lt;&gt;SottocategorieUscite[[#Headers],[Lavoro]],$I1580&lt;&gt;SottocategorieUscite[[#Headers],[Casa]],$I1580&lt;&gt;SottocategorieUscite[[#Headers],[Utenze]],$I1580&lt;&gt;SottocategorieUscite[[#Headers],[Business Uscite]],$I1580&lt;&gt;SottocategorieUscite[[#Headers],[Banca]]),"","$ -")</f>
        <v/>
      </c>
      <c r="N1580" s="59" t="str">
        <f>IF(OR(Data!$I1580=SottocategorieEntrate[[#Headers],[Business Entrate]],Data!$I1580=SottocategorieEntrate[[#Headers],[Varie Entrate]]),"$ -","")</f>
        <v/>
      </c>
      <c r="O1580" s="59" t="str">
        <f>IF(OR(Data!$I1580=SottocategorieEntrate[[#Headers],[Real Estate]],SottocategorieEntrate[[#Headers],[Other]]),"$ -","")</f>
        <v/>
      </c>
      <c r="P1580" s="59" t="str">
        <f>IF(OR($I1580&lt;&gt;SottocategorieEntrate[[#Headers],[Business Entrate]],$I1580&lt;&gt;SottocategorieEntrate[[#Headers],[Varie Entrate]],$I1580&lt;&gt;SottocategorieEntrate[[#Headers],[Real Estate]],$I1580&lt;&gt;SottocategorieEntrate[[#Headers],[Other]]),"","$ -")</f>
        <v/>
      </c>
      <c r="Q1580" s="59" t="str">
        <f>IF(Dati[[#This Row],[Categoria]]="Prelievo","€ -","")</f>
        <v/>
      </c>
      <c r="R1580" s="244"/>
      <c r="S1580" s="59" t="str">
        <f>IF(Dati[[#This Row],[Categoria]]="Savings",0,"")</f>
        <v/>
      </c>
      <c r="T1580" s="59"/>
      <c r="U1580" s="59"/>
      <c r="V1580" s="59"/>
      <c r="W1580" s="59"/>
      <c r="X1580" s="59"/>
      <c r="Y1580" s="59"/>
      <c r="Z1580" s="59"/>
      <c r="AA1580" s="59"/>
      <c r="AB1580" s="59"/>
      <c r="AC1580" s="59"/>
      <c r="AD1580" s="59"/>
      <c r="AE1580" s="59"/>
      <c r="AF1580" s="59"/>
      <c r="AG1580" s="59"/>
      <c r="AH1580" s="59"/>
      <c r="AI1580" s="59" t="str">
        <f>IF(SUM(Dati[[#This Row],[Inv. Business]:[Inv. Cryptocurrency]])=0," ",SUM(Dati[[#This Row],[Inv. Business]:[Inv. Cryptocurrency]]))</f>
        <v xml:space="preserve"> </v>
      </c>
      <c r="AJ1580" s="59"/>
      <c r="AK1580" s="59" t="str">
        <f>IF(SUM(Dati[[#This Row],[Inv. Gold]:[Mutuo]])=0," ",SUM(Dati[[#This Row],[Inv. Gold]:[Mutuo]]))</f>
        <v xml:space="preserve"> </v>
      </c>
      <c r="AL1580" s="59"/>
      <c r="AM1580" s="59"/>
    </row>
    <row r="1581" spans="2:39" x14ac:dyDescent="0.35">
      <c r="B1581" s="237">
        <f t="shared" si="111"/>
        <v>1561</v>
      </c>
      <c r="C1581" s="49">
        <f t="shared" si="112"/>
        <v>46139</v>
      </c>
      <c r="D1581" s="29">
        <f>DAY(Dati[[#This Row],[Data]])</f>
        <v>27</v>
      </c>
      <c r="E1581" s="29" t="str">
        <f>IF(DAY(Data!$C$21:$C$1613)&gt;0,TEXT(Data!$C$21:$C$1613, "mmmm"),"")</f>
        <v>aprile</v>
      </c>
      <c r="F1581" s="29" t="str">
        <f>IF(DAY(Data!$C$21:$C$1613)&gt;0,TEXT(Data!$C$21:$C$1613, "aaaa"),"")</f>
        <v>2026</v>
      </c>
      <c r="I1581" t="str">
        <f>IF(OR(H1581=$B$5,H1581=$B$6,H1581=$B$7,H1581=$B$8,H1581=$B$9,H1581=$B$10,H1581=$B$11,H1581=$B$12,H1581=$B$13,H1581=$B$14),SottocategorieUscite[[#Headers],[Fuori Casa]],IF(OR(H1581=$C$5,H1581=$C$6,H1581=$C$7,H1581=$C$8,H1581=$C$9,H1581=$C$10,H1581=$C$11,H1581=$C$12,H1581=$C$13,H1581=$C$14),SottocategorieUscite[[#Headers],[Varie Uscite]],IF(OR(H1581=$D$5,H1581=$D$6,H1581=$D$7,H1581=$D$8,H1581=$D$9,H1581=$D$10,H1581=$D$11,H1581=$D$12,H1581=$D$13,H1581=$D$14),SottocategorieUscite[[#Headers],[Personali]],IF(OR(H1581=$E$5,H1581=$E$6,H1581=$E$7,H1581=$E$8,H1581=$E$9,H1581=$E$10,H1581=$E$11,H1581=$E$12,H1581=$E$13,H1581=$E$14),SottocategorieUscite[[#Headers],[Lavoro]],IF(OR(H1581=$F$5,H1581=$F$6,H1581=$F$7,H1581=$F$8,H1581=$F$9,H1581=$F$10,H1581=$F$11,H1581=$F$12,H1581=$F$13,H1581=$F$14),SottocategorieUscite[[#Headers],[Casa]],IF(OR(H1581=$G$5,H1581=$G$6,H1581=$G$7,H1581=$G$8,H1581=$G$9,H1581=$G$10,H1581=$G$11,H1581=$G$12,H1581=$G$13,H1581=$G$14),SottocategorieUscite[[#Headers],[Utenze]],IF(OR(H1581=$H$5,H1581=$H$6,H1581=$H$7,H1581=$H$8,H1581=$H$9,H1581=$H$10,H1581=$H$11,H1581=$H$12,H1581=$H$13,H1581=$H$14),SottocategorieUscite[[#Headers],[Business Uscite]],IF(OR(H1581=$I$5,H1581=$I$6,H1581=$I$7,H1581=$I$8,H1581=$I$9,H1581=$I$10,H1581=$I$11,H1581=$I$12,H1581=$I$13,H1581=$I$14),SottocategorieUscite[[#Headers],[Banca]],IF(OR(H1581=K$5,H1581=K$6,H1581=K$7,H1581=K$8,H1581=K$9,H1581=K$10,H1581=K$11,H1581=K$12,H1581=K$13,H1581=K$14),SottocategorieEntrate[[#Headers],[Business Entrate]],IF(OR(H1581=L$5,H1581=L$6,H1581=L$7,H1581=L$8,H1581=L$9,H1581=L$10,H1581=L$11,H1581=L$12,H1581=L$13,H1581=L$14),SottocategorieEntrate[[#Headers],[Varie Entrate]],IF(OR(H1581=M$5,H1581=M$6,H1581=M$7,H1581=M$8,H1581=M$9,H1581=M$10,H1581=M$11,H1581=M$12,H1581=M$13,H1581=M$14),SottocategorieEntrate[[#Headers],[Real Estate]],IF(OR(H1581=N$5,H1581=N$6,H1581=N$7,H1581=N$8,H1581=N$9,H1581=N$10,H1581=N$11,H1581=N$12,H1581=N$13,H1581=N$14),SottocategorieEntrate[[#Headers],[Other]],""))))))))))))</f>
        <v/>
      </c>
      <c r="J1581" t="str">
        <f>IF(OR(Dati[[#This Row],[Categoria]]="Bollette",Dati[[#This Row],[Categoria]]="Conto &amp; Carte BNL",Dati[[#This Row],[Categoria]]="Prelievo",Dati[[#This Row],[Categoria]]="Affitto",Dati[[#This Row],[Categoria]]="BNL(Interessi Creditori)"),"Carta",IF(Dati[[#This Row],[Categoria]]&lt;&gt;0,"Cash",""))</f>
        <v/>
      </c>
      <c r="K1581" s="59" t="str">
        <f>IF(OR(Data!$I1581=SottocategorieUscite[[#Headers],[Fuori Casa]],Data!$I1581=SottocategorieUscite[[#Headers],[Varie Uscite]],Data!$I1581=SottocategorieUscite[[#Headers],[Personali]],Data!$I1581=SottocategorieUscite[[#Headers],[Lavoro]]),"$ -","")</f>
        <v/>
      </c>
      <c r="L1581" s="59" t="str">
        <f>IF(OR(Data!$I1581=SottocategorieUscite[[#Headers],[Casa]],Data!$I1581=SottocategorieUscite[[#Headers],[Utenze]],Data!$I1581=SottocategorieUscite[[#Headers],[Business Uscite]],Data!$I1581=SottocategorieUscite[[#Headers],[Banca]]),"$ -","")</f>
        <v/>
      </c>
      <c r="M1581" s="59" t="str">
        <f>IF(OR($I1581&lt;&gt;SottocategorieUscite[[#Headers],[Fuori Casa]],$I1581&lt;&gt;SottocategorieUscite[[#Headers],[Varie Uscite]],$I1581&lt;&gt;SottocategorieUscite[[#Headers],[Personali]],$I1581&lt;&gt;SottocategorieUscite[[#Headers],[Lavoro]],$I1581&lt;&gt;SottocategorieUscite[[#Headers],[Casa]],$I1581&lt;&gt;SottocategorieUscite[[#Headers],[Utenze]],$I1581&lt;&gt;SottocategorieUscite[[#Headers],[Business Uscite]],$I1581&lt;&gt;SottocategorieUscite[[#Headers],[Banca]]),"","$ -")</f>
        <v/>
      </c>
      <c r="N1581" s="59" t="str">
        <f>IF(OR(Data!$I1581=SottocategorieEntrate[[#Headers],[Business Entrate]],Data!$I1581=SottocategorieEntrate[[#Headers],[Varie Entrate]]),"$ -","")</f>
        <v/>
      </c>
      <c r="O1581" s="59" t="str">
        <f>IF(OR(Data!$I1581=SottocategorieEntrate[[#Headers],[Real Estate]],SottocategorieEntrate[[#Headers],[Other]]),"$ -","")</f>
        <v/>
      </c>
      <c r="P1581" s="59" t="str">
        <f>IF(OR($I1581&lt;&gt;SottocategorieEntrate[[#Headers],[Business Entrate]],$I1581&lt;&gt;SottocategorieEntrate[[#Headers],[Varie Entrate]],$I1581&lt;&gt;SottocategorieEntrate[[#Headers],[Real Estate]],$I1581&lt;&gt;SottocategorieEntrate[[#Headers],[Other]]),"","$ -")</f>
        <v/>
      </c>
      <c r="Q1581" s="59" t="str">
        <f>IF(Dati[[#This Row],[Categoria]]="Prelievo","€ -","")</f>
        <v/>
      </c>
      <c r="R1581" s="244"/>
      <c r="S1581" s="59" t="str">
        <f>IF(Dati[[#This Row],[Categoria]]="Savings",0,"")</f>
        <v/>
      </c>
      <c r="T1581" s="59"/>
      <c r="U1581" s="59"/>
      <c r="V1581" s="59"/>
      <c r="W1581" s="59"/>
      <c r="X1581" s="59"/>
      <c r="Y1581" s="59"/>
      <c r="Z1581" s="59"/>
      <c r="AA1581" s="59"/>
      <c r="AB1581" s="59"/>
      <c r="AC1581" s="59"/>
      <c r="AD1581" s="59"/>
      <c r="AE1581" s="59"/>
      <c r="AF1581" s="59"/>
      <c r="AG1581" s="59"/>
      <c r="AH1581" s="59"/>
      <c r="AI1581" s="59" t="str">
        <f>IF(SUM(Dati[[#This Row],[Inv. Business]:[Inv. Cryptocurrency]])=0," ",SUM(Dati[[#This Row],[Inv. Business]:[Inv. Cryptocurrency]]))</f>
        <v xml:space="preserve"> </v>
      </c>
      <c r="AJ1581" s="59"/>
      <c r="AK1581" s="59" t="str">
        <f>IF(SUM(Dati[[#This Row],[Inv. Gold]:[Mutuo]])=0," ",SUM(Dati[[#This Row],[Inv. Gold]:[Mutuo]]))</f>
        <v xml:space="preserve"> </v>
      </c>
      <c r="AL1581" s="59"/>
      <c r="AM1581" s="59"/>
    </row>
    <row r="1582" spans="2:39" x14ac:dyDescent="0.35">
      <c r="B1582" s="237">
        <f t="shared" si="111"/>
        <v>1562</v>
      </c>
      <c r="C1582" s="49">
        <f t="shared" si="112"/>
        <v>46140</v>
      </c>
      <c r="D1582" s="29">
        <f>DAY(Dati[[#This Row],[Data]])</f>
        <v>28</v>
      </c>
      <c r="E1582" s="29" t="str">
        <f>IF(DAY(Data!$C$21:$C$1613)&gt;0,TEXT(Data!$C$21:$C$1613, "mmmm"),"")</f>
        <v>aprile</v>
      </c>
      <c r="F1582" s="29" t="str">
        <f>IF(DAY(Data!$C$21:$C$1613)&gt;0,TEXT(Data!$C$21:$C$1613, "aaaa"),"")</f>
        <v>2026</v>
      </c>
      <c r="I1582" t="str">
        <f>IF(OR(H1582=$B$5,H1582=$B$6,H1582=$B$7,H1582=$B$8,H1582=$B$9,H1582=$B$10,H1582=$B$11,H1582=$B$12,H1582=$B$13,H1582=$B$14),SottocategorieUscite[[#Headers],[Fuori Casa]],IF(OR(H1582=$C$5,H1582=$C$6,H1582=$C$7,H1582=$C$8,H1582=$C$9,H1582=$C$10,H1582=$C$11,H1582=$C$12,H1582=$C$13,H1582=$C$14),SottocategorieUscite[[#Headers],[Varie Uscite]],IF(OR(H1582=$D$5,H1582=$D$6,H1582=$D$7,H1582=$D$8,H1582=$D$9,H1582=$D$10,H1582=$D$11,H1582=$D$12,H1582=$D$13,H1582=$D$14),SottocategorieUscite[[#Headers],[Personali]],IF(OR(H1582=$E$5,H1582=$E$6,H1582=$E$7,H1582=$E$8,H1582=$E$9,H1582=$E$10,H1582=$E$11,H1582=$E$12,H1582=$E$13,H1582=$E$14),SottocategorieUscite[[#Headers],[Lavoro]],IF(OR(H1582=$F$5,H1582=$F$6,H1582=$F$7,H1582=$F$8,H1582=$F$9,H1582=$F$10,H1582=$F$11,H1582=$F$12,H1582=$F$13,H1582=$F$14),SottocategorieUscite[[#Headers],[Casa]],IF(OR(H1582=$G$5,H1582=$G$6,H1582=$G$7,H1582=$G$8,H1582=$G$9,H1582=$G$10,H1582=$G$11,H1582=$G$12,H1582=$G$13,H1582=$G$14),SottocategorieUscite[[#Headers],[Utenze]],IF(OR(H1582=$H$5,H1582=$H$6,H1582=$H$7,H1582=$H$8,H1582=$H$9,H1582=$H$10,H1582=$H$11,H1582=$H$12,H1582=$H$13,H1582=$H$14),SottocategorieUscite[[#Headers],[Business Uscite]],IF(OR(H1582=$I$5,H1582=$I$6,H1582=$I$7,H1582=$I$8,H1582=$I$9,H1582=$I$10,H1582=$I$11,H1582=$I$12,H1582=$I$13,H1582=$I$14),SottocategorieUscite[[#Headers],[Banca]],IF(OR(H1582=K$5,H1582=K$6,H1582=K$7,H1582=K$8,H1582=K$9,H1582=K$10,H1582=K$11,H1582=K$12,H1582=K$13,H1582=K$14),SottocategorieEntrate[[#Headers],[Business Entrate]],IF(OR(H1582=L$5,H1582=L$6,H1582=L$7,H1582=L$8,H1582=L$9,H1582=L$10,H1582=L$11,H1582=L$12,H1582=L$13,H1582=L$14),SottocategorieEntrate[[#Headers],[Varie Entrate]],IF(OR(H1582=M$5,H1582=M$6,H1582=M$7,H1582=M$8,H1582=M$9,H1582=M$10,H1582=M$11,H1582=M$12,H1582=M$13,H1582=M$14),SottocategorieEntrate[[#Headers],[Real Estate]],IF(OR(H1582=N$5,H1582=N$6,H1582=N$7,H1582=N$8,H1582=N$9,H1582=N$10,H1582=N$11,H1582=N$12,H1582=N$13,H1582=N$14),SottocategorieEntrate[[#Headers],[Other]],""))))))))))))</f>
        <v/>
      </c>
      <c r="J1582" t="str">
        <f>IF(OR(Dati[[#This Row],[Categoria]]="Bollette",Dati[[#This Row],[Categoria]]="Conto &amp; Carte BNL",Dati[[#This Row],[Categoria]]="Prelievo",Dati[[#This Row],[Categoria]]="Affitto",Dati[[#This Row],[Categoria]]="BNL(Interessi Creditori)"),"Carta",IF(Dati[[#This Row],[Categoria]]&lt;&gt;0,"Cash",""))</f>
        <v/>
      </c>
      <c r="K1582" s="59" t="str">
        <f>IF(OR(Data!$I1582=SottocategorieUscite[[#Headers],[Fuori Casa]],Data!$I1582=SottocategorieUscite[[#Headers],[Varie Uscite]],Data!$I1582=SottocategorieUscite[[#Headers],[Personali]],Data!$I1582=SottocategorieUscite[[#Headers],[Lavoro]]),"$ -","")</f>
        <v/>
      </c>
      <c r="L1582" s="59" t="str">
        <f>IF(OR(Data!$I1582=SottocategorieUscite[[#Headers],[Casa]],Data!$I1582=SottocategorieUscite[[#Headers],[Utenze]],Data!$I1582=SottocategorieUscite[[#Headers],[Business Uscite]],Data!$I1582=SottocategorieUscite[[#Headers],[Banca]]),"$ -","")</f>
        <v/>
      </c>
      <c r="M1582" s="59" t="str">
        <f>IF(OR($I1582&lt;&gt;SottocategorieUscite[[#Headers],[Fuori Casa]],$I1582&lt;&gt;SottocategorieUscite[[#Headers],[Varie Uscite]],$I1582&lt;&gt;SottocategorieUscite[[#Headers],[Personali]],$I1582&lt;&gt;SottocategorieUscite[[#Headers],[Lavoro]],$I1582&lt;&gt;SottocategorieUscite[[#Headers],[Casa]],$I1582&lt;&gt;SottocategorieUscite[[#Headers],[Utenze]],$I1582&lt;&gt;SottocategorieUscite[[#Headers],[Business Uscite]],$I1582&lt;&gt;SottocategorieUscite[[#Headers],[Banca]]),"","$ -")</f>
        <v/>
      </c>
      <c r="N1582" s="59" t="str">
        <f>IF(OR(Data!$I1582=SottocategorieEntrate[[#Headers],[Business Entrate]],Data!$I1582=SottocategorieEntrate[[#Headers],[Varie Entrate]]),"$ -","")</f>
        <v/>
      </c>
      <c r="O1582" s="59" t="str">
        <f>IF(OR(Data!$I1582=SottocategorieEntrate[[#Headers],[Real Estate]],SottocategorieEntrate[[#Headers],[Other]]),"$ -","")</f>
        <v/>
      </c>
      <c r="P1582" s="59" t="str">
        <f>IF(OR($I1582&lt;&gt;SottocategorieEntrate[[#Headers],[Business Entrate]],$I1582&lt;&gt;SottocategorieEntrate[[#Headers],[Varie Entrate]],$I1582&lt;&gt;SottocategorieEntrate[[#Headers],[Real Estate]],$I1582&lt;&gt;SottocategorieEntrate[[#Headers],[Other]]),"","$ -")</f>
        <v/>
      </c>
      <c r="Q1582" s="59" t="str">
        <f>IF(Dati[[#This Row],[Categoria]]="Prelievo","€ -","")</f>
        <v/>
      </c>
      <c r="R1582" s="244"/>
      <c r="S1582" s="59" t="str">
        <f>IF(Dati[[#This Row],[Categoria]]="Savings",0,"")</f>
        <v/>
      </c>
      <c r="T1582" s="59"/>
      <c r="U1582" s="59"/>
      <c r="V1582" s="59"/>
      <c r="W1582" s="59"/>
      <c r="X1582" s="59"/>
      <c r="Y1582" s="59"/>
      <c r="Z1582" s="59"/>
      <c r="AA1582" s="59"/>
      <c r="AB1582" s="59"/>
      <c r="AC1582" s="59"/>
      <c r="AD1582" s="59"/>
      <c r="AE1582" s="59"/>
      <c r="AF1582" s="59"/>
      <c r="AG1582" s="59"/>
      <c r="AH1582" s="59"/>
      <c r="AI1582" s="59" t="str">
        <f>IF(SUM(Dati[[#This Row],[Inv. Business]:[Inv. Cryptocurrency]])=0," ",SUM(Dati[[#This Row],[Inv. Business]:[Inv. Cryptocurrency]]))</f>
        <v xml:space="preserve"> </v>
      </c>
      <c r="AJ1582" s="59"/>
      <c r="AK1582" s="59" t="str">
        <f>IF(SUM(Dati[[#This Row],[Inv. Gold]:[Mutuo]])=0," ",SUM(Dati[[#This Row],[Inv. Gold]:[Mutuo]]))</f>
        <v xml:space="preserve"> </v>
      </c>
      <c r="AL1582" s="59"/>
      <c r="AM1582" s="59"/>
    </row>
    <row r="1583" spans="2:39" x14ac:dyDescent="0.35">
      <c r="B1583" s="237">
        <f t="shared" si="111"/>
        <v>1563</v>
      </c>
      <c r="C1583" s="49">
        <f t="shared" si="112"/>
        <v>46141</v>
      </c>
      <c r="D1583" s="29">
        <f>DAY(Dati[[#This Row],[Data]])</f>
        <v>29</v>
      </c>
      <c r="E1583" s="29" t="str">
        <f>IF(DAY(Data!$C$21:$C$1613)&gt;0,TEXT(Data!$C$21:$C$1613, "mmmm"),"")</f>
        <v>aprile</v>
      </c>
      <c r="F1583" s="29" t="str">
        <f>IF(DAY(Data!$C$21:$C$1613)&gt;0,TEXT(Data!$C$21:$C$1613, "aaaa"),"")</f>
        <v>2026</v>
      </c>
      <c r="I1583" t="str">
        <f>IF(OR(H1583=$B$5,H1583=$B$6,H1583=$B$7,H1583=$B$8,H1583=$B$9,H1583=$B$10,H1583=$B$11,H1583=$B$12,H1583=$B$13,H1583=$B$14),SottocategorieUscite[[#Headers],[Fuori Casa]],IF(OR(H1583=$C$5,H1583=$C$6,H1583=$C$7,H1583=$C$8,H1583=$C$9,H1583=$C$10,H1583=$C$11,H1583=$C$12,H1583=$C$13,H1583=$C$14),SottocategorieUscite[[#Headers],[Varie Uscite]],IF(OR(H1583=$D$5,H1583=$D$6,H1583=$D$7,H1583=$D$8,H1583=$D$9,H1583=$D$10,H1583=$D$11,H1583=$D$12,H1583=$D$13,H1583=$D$14),SottocategorieUscite[[#Headers],[Personali]],IF(OR(H1583=$E$5,H1583=$E$6,H1583=$E$7,H1583=$E$8,H1583=$E$9,H1583=$E$10,H1583=$E$11,H1583=$E$12,H1583=$E$13,H1583=$E$14),SottocategorieUscite[[#Headers],[Lavoro]],IF(OR(H1583=$F$5,H1583=$F$6,H1583=$F$7,H1583=$F$8,H1583=$F$9,H1583=$F$10,H1583=$F$11,H1583=$F$12,H1583=$F$13,H1583=$F$14),SottocategorieUscite[[#Headers],[Casa]],IF(OR(H1583=$G$5,H1583=$G$6,H1583=$G$7,H1583=$G$8,H1583=$G$9,H1583=$G$10,H1583=$G$11,H1583=$G$12,H1583=$G$13,H1583=$G$14),SottocategorieUscite[[#Headers],[Utenze]],IF(OR(H1583=$H$5,H1583=$H$6,H1583=$H$7,H1583=$H$8,H1583=$H$9,H1583=$H$10,H1583=$H$11,H1583=$H$12,H1583=$H$13,H1583=$H$14),SottocategorieUscite[[#Headers],[Business Uscite]],IF(OR(H1583=$I$5,H1583=$I$6,H1583=$I$7,H1583=$I$8,H1583=$I$9,H1583=$I$10,H1583=$I$11,H1583=$I$12,H1583=$I$13,H1583=$I$14),SottocategorieUscite[[#Headers],[Banca]],IF(OR(H1583=K$5,H1583=K$6,H1583=K$7,H1583=K$8,H1583=K$9,H1583=K$10,H1583=K$11,H1583=K$12,H1583=K$13,H1583=K$14),SottocategorieEntrate[[#Headers],[Business Entrate]],IF(OR(H1583=L$5,H1583=L$6,H1583=L$7,H1583=L$8,H1583=L$9,H1583=L$10,H1583=L$11,H1583=L$12,H1583=L$13,H1583=L$14),SottocategorieEntrate[[#Headers],[Varie Entrate]],IF(OR(H1583=M$5,H1583=M$6,H1583=M$7,H1583=M$8,H1583=M$9,H1583=M$10,H1583=M$11,H1583=M$12,H1583=M$13,H1583=M$14),SottocategorieEntrate[[#Headers],[Real Estate]],IF(OR(H1583=N$5,H1583=N$6,H1583=N$7,H1583=N$8,H1583=N$9,H1583=N$10,H1583=N$11,H1583=N$12,H1583=N$13,H1583=N$14),SottocategorieEntrate[[#Headers],[Other]],""))))))))))))</f>
        <v/>
      </c>
      <c r="J1583" t="str">
        <f>IF(OR(Dati[[#This Row],[Categoria]]="Bollette",Dati[[#This Row],[Categoria]]="Conto &amp; Carte BNL",Dati[[#This Row],[Categoria]]="Prelievo",Dati[[#This Row],[Categoria]]="Affitto",Dati[[#This Row],[Categoria]]="BNL(Interessi Creditori)"),"Carta",IF(Dati[[#This Row],[Categoria]]&lt;&gt;0,"Cash",""))</f>
        <v/>
      </c>
      <c r="K1583" s="59" t="str">
        <f>IF(OR(Data!$I1583=SottocategorieUscite[[#Headers],[Fuori Casa]],Data!$I1583=SottocategorieUscite[[#Headers],[Varie Uscite]],Data!$I1583=SottocategorieUscite[[#Headers],[Personali]],Data!$I1583=SottocategorieUscite[[#Headers],[Lavoro]]),"$ -","")</f>
        <v/>
      </c>
      <c r="L1583" s="59" t="str">
        <f>IF(OR(Data!$I1583=SottocategorieUscite[[#Headers],[Casa]],Data!$I1583=SottocategorieUscite[[#Headers],[Utenze]],Data!$I1583=SottocategorieUscite[[#Headers],[Business Uscite]],Data!$I1583=SottocategorieUscite[[#Headers],[Banca]]),"$ -","")</f>
        <v/>
      </c>
      <c r="M1583" s="59" t="str">
        <f>IF(OR($I1583&lt;&gt;SottocategorieUscite[[#Headers],[Fuori Casa]],$I1583&lt;&gt;SottocategorieUscite[[#Headers],[Varie Uscite]],$I1583&lt;&gt;SottocategorieUscite[[#Headers],[Personali]],$I1583&lt;&gt;SottocategorieUscite[[#Headers],[Lavoro]],$I1583&lt;&gt;SottocategorieUscite[[#Headers],[Casa]],$I1583&lt;&gt;SottocategorieUscite[[#Headers],[Utenze]],$I1583&lt;&gt;SottocategorieUscite[[#Headers],[Business Uscite]],$I1583&lt;&gt;SottocategorieUscite[[#Headers],[Banca]]),"","$ -")</f>
        <v/>
      </c>
      <c r="N1583" s="59" t="str">
        <f>IF(OR(Data!$I1583=SottocategorieEntrate[[#Headers],[Business Entrate]],Data!$I1583=SottocategorieEntrate[[#Headers],[Varie Entrate]]),"$ -","")</f>
        <v/>
      </c>
      <c r="O1583" s="59" t="str">
        <f>IF(OR(Data!$I1583=SottocategorieEntrate[[#Headers],[Real Estate]],SottocategorieEntrate[[#Headers],[Other]]),"$ -","")</f>
        <v/>
      </c>
      <c r="P1583" s="59" t="str">
        <f>IF(OR($I1583&lt;&gt;SottocategorieEntrate[[#Headers],[Business Entrate]],$I1583&lt;&gt;SottocategorieEntrate[[#Headers],[Varie Entrate]],$I1583&lt;&gt;SottocategorieEntrate[[#Headers],[Real Estate]],$I1583&lt;&gt;SottocategorieEntrate[[#Headers],[Other]]),"","$ -")</f>
        <v/>
      </c>
      <c r="Q1583" s="59" t="str">
        <f>IF(Dati[[#This Row],[Categoria]]="Prelievo","€ -","")</f>
        <v/>
      </c>
      <c r="R1583" s="244"/>
      <c r="S1583" s="59" t="str">
        <f>IF(Dati[[#This Row],[Categoria]]="Savings",0,"")</f>
        <v/>
      </c>
      <c r="T1583" s="59"/>
      <c r="U1583" s="59"/>
      <c r="V1583" s="59"/>
      <c r="W1583" s="59"/>
      <c r="X1583" s="59"/>
      <c r="Y1583" s="59"/>
      <c r="Z1583" s="59"/>
      <c r="AA1583" s="59"/>
      <c r="AB1583" s="59"/>
      <c r="AC1583" s="59"/>
      <c r="AD1583" s="59"/>
      <c r="AE1583" s="59"/>
      <c r="AF1583" s="59"/>
      <c r="AG1583" s="59"/>
      <c r="AH1583" s="59"/>
      <c r="AI1583" s="59" t="str">
        <f>IF(SUM(Dati[[#This Row],[Inv. Business]:[Inv. Cryptocurrency]])=0," ",SUM(Dati[[#This Row],[Inv. Business]:[Inv. Cryptocurrency]]))</f>
        <v xml:space="preserve"> </v>
      </c>
      <c r="AJ1583" s="59"/>
      <c r="AK1583" s="59" t="str">
        <f>IF(SUM(Dati[[#This Row],[Inv. Gold]:[Mutuo]])=0," ",SUM(Dati[[#This Row],[Inv. Gold]:[Mutuo]]))</f>
        <v xml:space="preserve"> </v>
      </c>
      <c r="AL1583" s="59"/>
      <c r="AM1583" s="59"/>
    </row>
    <row r="1584" spans="2:39" x14ac:dyDescent="0.35">
      <c r="B1584" s="237">
        <f t="shared" si="111"/>
        <v>1564</v>
      </c>
      <c r="C1584" s="49">
        <f t="shared" si="112"/>
        <v>46142</v>
      </c>
      <c r="D1584" s="29">
        <f>DAY(Dati[[#This Row],[Data]])</f>
        <v>30</v>
      </c>
      <c r="E1584" s="29" t="str">
        <f>IF(DAY(Data!$C$21:$C$1613)&gt;0,TEXT(Data!$C$21:$C$1613, "mmmm"),"")</f>
        <v>aprile</v>
      </c>
      <c r="F1584" s="29" t="str">
        <f>IF(DAY(Data!$C$21:$C$1613)&gt;0,TEXT(Data!$C$21:$C$1613, "aaaa"),"")</f>
        <v>2026</v>
      </c>
      <c r="I1584" t="str">
        <f>IF(OR(H1584=$B$5,H1584=$B$6,H1584=$B$7,H1584=$B$8,H1584=$B$9,H1584=$B$10,H1584=$B$11,H1584=$B$12,H1584=$B$13,H1584=$B$14),SottocategorieUscite[[#Headers],[Fuori Casa]],IF(OR(H1584=$C$5,H1584=$C$6,H1584=$C$7,H1584=$C$8,H1584=$C$9,H1584=$C$10,H1584=$C$11,H1584=$C$12,H1584=$C$13,H1584=$C$14),SottocategorieUscite[[#Headers],[Varie Uscite]],IF(OR(H1584=$D$5,H1584=$D$6,H1584=$D$7,H1584=$D$8,H1584=$D$9,H1584=$D$10,H1584=$D$11,H1584=$D$12,H1584=$D$13,H1584=$D$14),SottocategorieUscite[[#Headers],[Personali]],IF(OR(H1584=$E$5,H1584=$E$6,H1584=$E$7,H1584=$E$8,H1584=$E$9,H1584=$E$10,H1584=$E$11,H1584=$E$12,H1584=$E$13,H1584=$E$14),SottocategorieUscite[[#Headers],[Lavoro]],IF(OR(H1584=$F$5,H1584=$F$6,H1584=$F$7,H1584=$F$8,H1584=$F$9,H1584=$F$10,H1584=$F$11,H1584=$F$12,H1584=$F$13,H1584=$F$14),SottocategorieUscite[[#Headers],[Casa]],IF(OR(H1584=$G$5,H1584=$G$6,H1584=$G$7,H1584=$G$8,H1584=$G$9,H1584=$G$10,H1584=$G$11,H1584=$G$12,H1584=$G$13,H1584=$G$14),SottocategorieUscite[[#Headers],[Utenze]],IF(OR(H1584=$H$5,H1584=$H$6,H1584=$H$7,H1584=$H$8,H1584=$H$9,H1584=$H$10,H1584=$H$11,H1584=$H$12,H1584=$H$13,H1584=$H$14),SottocategorieUscite[[#Headers],[Business Uscite]],IF(OR(H1584=$I$5,H1584=$I$6,H1584=$I$7,H1584=$I$8,H1584=$I$9,H1584=$I$10,H1584=$I$11,H1584=$I$12,H1584=$I$13,H1584=$I$14),SottocategorieUscite[[#Headers],[Banca]],IF(OR(H1584=K$5,H1584=K$6,H1584=K$7,H1584=K$8,H1584=K$9,H1584=K$10,H1584=K$11,H1584=K$12,H1584=K$13,H1584=K$14),SottocategorieEntrate[[#Headers],[Business Entrate]],IF(OR(H1584=L$5,H1584=L$6,H1584=L$7,H1584=L$8,H1584=L$9,H1584=L$10,H1584=L$11,H1584=L$12,H1584=L$13,H1584=L$14),SottocategorieEntrate[[#Headers],[Varie Entrate]],IF(OR(H1584=M$5,H1584=M$6,H1584=M$7,H1584=M$8,H1584=M$9,H1584=M$10,H1584=M$11,H1584=M$12,H1584=M$13,H1584=M$14),SottocategorieEntrate[[#Headers],[Real Estate]],IF(OR(H1584=N$5,H1584=N$6,H1584=N$7,H1584=N$8,H1584=N$9,H1584=N$10,H1584=N$11,H1584=N$12,H1584=N$13,H1584=N$14),SottocategorieEntrate[[#Headers],[Other]],""))))))))))))</f>
        <v/>
      </c>
      <c r="J1584" t="str">
        <f>IF(OR(Dati[[#This Row],[Categoria]]="Bollette",Dati[[#This Row],[Categoria]]="Conto &amp; Carte BNL",Dati[[#This Row],[Categoria]]="Prelievo",Dati[[#This Row],[Categoria]]="Affitto",Dati[[#This Row],[Categoria]]="BNL(Interessi Creditori)"),"Carta",IF(Dati[[#This Row],[Categoria]]&lt;&gt;0,"Cash",""))</f>
        <v/>
      </c>
      <c r="K1584" s="59" t="str">
        <f>IF(OR(Data!$I1584=SottocategorieUscite[[#Headers],[Fuori Casa]],Data!$I1584=SottocategorieUscite[[#Headers],[Varie Uscite]],Data!$I1584=SottocategorieUscite[[#Headers],[Personali]],Data!$I1584=SottocategorieUscite[[#Headers],[Lavoro]]),"$ -","")</f>
        <v/>
      </c>
      <c r="L1584" s="59" t="str">
        <f>IF(OR(Data!$I1584=SottocategorieUscite[[#Headers],[Casa]],Data!$I1584=SottocategorieUscite[[#Headers],[Utenze]],Data!$I1584=SottocategorieUscite[[#Headers],[Business Uscite]],Data!$I1584=SottocategorieUscite[[#Headers],[Banca]]),"$ -","")</f>
        <v/>
      </c>
      <c r="M1584" s="59" t="str">
        <f>IF(OR($I1584&lt;&gt;SottocategorieUscite[[#Headers],[Fuori Casa]],$I1584&lt;&gt;SottocategorieUscite[[#Headers],[Varie Uscite]],$I1584&lt;&gt;SottocategorieUscite[[#Headers],[Personali]],$I1584&lt;&gt;SottocategorieUscite[[#Headers],[Lavoro]],$I1584&lt;&gt;SottocategorieUscite[[#Headers],[Casa]],$I1584&lt;&gt;SottocategorieUscite[[#Headers],[Utenze]],$I1584&lt;&gt;SottocategorieUscite[[#Headers],[Business Uscite]],$I1584&lt;&gt;SottocategorieUscite[[#Headers],[Banca]]),"","$ -")</f>
        <v/>
      </c>
      <c r="N1584" s="59" t="str">
        <f>IF(OR(Data!$I1584=SottocategorieEntrate[[#Headers],[Business Entrate]],Data!$I1584=SottocategorieEntrate[[#Headers],[Varie Entrate]]),"$ -","")</f>
        <v/>
      </c>
      <c r="O1584" s="59" t="str">
        <f>IF(OR(Data!$I1584=SottocategorieEntrate[[#Headers],[Real Estate]],SottocategorieEntrate[[#Headers],[Other]]),"$ -","")</f>
        <v/>
      </c>
      <c r="P1584" s="59" t="str">
        <f>IF(OR($I1584&lt;&gt;SottocategorieEntrate[[#Headers],[Business Entrate]],$I1584&lt;&gt;SottocategorieEntrate[[#Headers],[Varie Entrate]],$I1584&lt;&gt;SottocategorieEntrate[[#Headers],[Real Estate]],$I1584&lt;&gt;SottocategorieEntrate[[#Headers],[Other]]),"","$ -")</f>
        <v/>
      </c>
      <c r="Q1584" s="59" t="str">
        <f>IF(Dati[[#This Row],[Categoria]]="Prelievo","€ -","")</f>
        <v/>
      </c>
      <c r="R1584" s="244"/>
      <c r="S1584" s="59" t="str">
        <f>IF(Dati[[#This Row],[Categoria]]="Savings",0,"")</f>
        <v/>
      </c>
      <c r="T1584" s="59"/>
      <c r="U1584" s="59"/>
      <c r="V1584" s="59"/>
      <c r="W1584" s="59"/>
      <c r="X1584" s="59"/>
      <c r="Y1584" s="59"/>
      <c r="Z1584" s="59"/>
      <c r="AA1584" s="59"/>
      <c r="AB1584" s="59"/>
      <c r="AC1584" s="59"/>
      <c r="AD1584" s="59"/>
      <c r="AE1584" s="59"/>
      <c r="AF1584" s="59"/>
      <c r="AG1584" s="59"/>
      <c r="AH1584" s="59"/>
      <c r="AI1584" s="59" t="str">
        <f>IF(SUM(Dati[[#This Row],[Inv. Business]:[Inv. Cryptocurrency]])=0," ",SUM(Dati[[#This Row],[Inv. Business]:[Inv. Cryptocurrency]]))</f>
        <v xml:space="preserve"> </v>
      </c>
      <c r="AJ1584" s="59"/>
      <c r="AK1584" s="59" t="str">
        <f>IF(SUM(Dati[[#This Row],[Inv. Gold]:[Mutuo]])=0," ",SUM(Dati[[#This Row],[Inv. Gold]:[Mutuo]]))</f>
        <v xml:space="preserve"> </v>
      </c>
      <c r="AL1584" s="59"/>
      <c r="AM1584" s="59"/>
    </row>
    <row r="1585" spans="2:39" x14ac:dyDescent="0.35">
      <c r="B1585" s="237">
        <f t="shared" si="111"/>
        <v>1565</v>
      </c>
      <c r="C1585" s="49">
        <f t="shared" si="112"/>
        <v>46143</v>
      </c>
      <c r="D1585" s="29">
        <f>DAY(Dati[[#This Row],[Data]])</f>
        <v>1</v>
      </c>
      <c r="E1585" s="29" t="str">
        <f>IF(DAY(Data!$C$21:$C$1613)&gt;0,TEXT(Data!$C$21:$C$1613, "mmmm"),"")</f>
        <v>maggio</v>
      </c>
      <c r="F1585" s="29" t="str">
        <f>IF(DAY(Data!$C$21:$C$1613)&gt;0,TEXT(Data!$C$21:$C$1613, "aaaa"),"")</f>
        <v>2026</v>
      </c>
      <c r="I1585" t="str">
        <f>IF(OR(H1585=$B$5,H1585=$B$6,H1585=$B$7,H1585=$B$8,H1585=$B$9,H1585=$B$10,H1585=$B$11,H1585=$B$12,H1585=$B$13,H1585=$B$14),SottocategorieUscite[[#Headers],[Fuori Casa]],IF(OR(H1585=$C$5,H1585=$C$6,H1585=$C$7,H1585=$C$8,H1585=$C$9,H1585=$C$10,H1585=$C$11,H1585=$C$12,H1585=$C$13,H1585=$C$14),SottocategorieUscite[[#Headers],[Varie Uscite]],IF(OR(H1585=$D$5,H1585=$D$6,H1585=$D$7,H1585=$D$8,H1585=$D$9,H1585=$D$10,H1585=$D$11,H1585=$D$12,H1585=$D$13,H1585=$D$14),SottocategorieUscite[[#Headers],[Personali]],IF(OR(H1585=$E$5,H1585=$E$6,H1585=$E$7,H1585=$E$8,H1585=$E$9,H1585=$E$10,H1585=$E$11,H1585=$E$12,H1585=$E$13,H1585=$E$14),SottocategorieUscite[[#Headers],[Lavoro]],IF(OR(H1585=$F$5,H1585=$F$6,H1585=$F$7,H1585=$F$8,H1585=$F$9,H1585=$F$10,H1585=$F$11,H1585=$F$12,H1585=$F$13,H1585=$F$14),SottocategorieUscite[[#Headers],[Casa]],IF(OR(H1585=$G$5,H1585=$G$6,H1585=$G$7,H1585=$G$8,H1585=$G$9,H1585=$G$10,H1585=$G$11,H1585=$G$12,H1585=$G$13,H1585=$G$14),SottocategorieUscite[[#Headers],[Utenze]],IF(OR(H1585=$H$5,H1585=$H$6,H1585=$H$7,H1585=$H$8,H1585=$H$9,H1585=$H$10,H1585=$H$11,H1585=$H$12,H1585=$H$13,H1585=$H$14),SottocategorieUscite[[#Headers],[Business Uscite]],IF(OR(H1585=$I$5,H1585=$I$6,H1585=$I$7,H1585=$I$8,H1585=$I$9,H1585=$I$10,H1585=$I$11,H1585=$I$12,H1585=$I$13,H1585=$I$14),SottocategorieUscite[[#Headers],[Banca]],IF(OR(H1585=K$5,H1585=K$6,H1585=K$7,H1585=K$8,H1585=K$9,H1585=K$10,H1585=K$11,H1585=K$12,H1585=K$13,H1585=K$14),SottocategorieEntrate[[#Headers],[Business Entrate]],IF(OR(H1585=L$5,H1585=L$6,H1585=L$7,H1585=L$8,H1585=L$9,H1585=L$10,H1585=L$11,H1585=L$12,H1585=L$13,H1585=L$14),SottocategorieEntrate[[#Headers],[Varie Entrate]],IF(OR(H1585=M$5,H1585=M$6,H1585=M$7,H1585=M$8,H1585=M$9,H1585=M$10,H1585=M$11,H1585=M$12,H1585=M$13,H1585=M$14),SottocategorieEntrate[[#Headers],[Real Estate]],IF(OR(H1585=N$5,H1585=N$6,H1585=N$7,H1585=N$8,H1585=N$9,H1585=N$10,H1585=N$11,H1585=N$12,H1585=N$13,H1585=N$14),SottocategorieEntrate[[#Headers],[Other]],""))))))))))))</f>
        <v/>
      </c>
      <c r="J1585" t="str">
        <f>IF(OR(Dati[[#This Row],[Categoria]]="Bollette",Dati[[#This Row],[Categoria]]="Conto &amp; Carte BNL",Dati[[#This Row],[Categoria]]="Prelievo",Dati[[#This Row],[Categoria]]="Affitto",Dati[[#This Row],[Categoria]]="BNL(Interessi Creditori)"),"Carta",IF(Dati[[#This Row],[Categoria]]&lt;&gt;0,"Cash",""))</f>
        <v/>
      </c>
      <c r="K1585" s="59" t="str">
        <f>IF(OR(Data!$I1585=SottocategorieUscite[[#Headers],[Fuori Casa]],Data!$I1585=SottocategorieUscite[[#Headers],[Varie Uscite]],Data!$I1585=SottocategorieUscite[[#Headers],[Personali]],Data!$I1585=SottocategorieUscite[[#Headers],[Lavoro]]),"$ -","")</f>
        <v/>
      </c>
      <c r="L1585" s="59" t="str">
        <f>IF(OR(Data!$I1585=SottocategorieUscite[[#Headers],[Casa]],Data!$I1585=SottocategorieUscite[[#Headers],[Utenze]],Data!$I1585=SottocategorieUscite[[#Headers],[Business Uscite]],Data!$I1585=SottocategorieUscite[[#Headers],[Banca]]),"$ -","")</f>
        <v/>
      </c>
      <c r="M1585" s="59" t="str">
        <f>IF(OR($I1585&lt;&gt;SottocategorieUscite[[#Headers],[Fuori Casa]],$I1585&lt;&gt;SottocategorieUscite[[#Headers],[Varie Uscite]],$I1585&lt;&gt;SottocategorieUscite[[#Headers],[Personali]],$I1585&lt;&gt;SottocategorieUscite[[#Headers],[Lavoro]],$I1585&lt;&gt;SottocategorieUscite[[#Headers],[Casa]],$I1585&lt;&gt;SottocategorieUscite[[#Headers],[Utenze]],$I1585&lt;&gt;SottocategorieUscite[[#Headers],[Business Uscite]],$I1585&lt;&gt;SottocategorieUscite[[#Headers],[Banca]]),"","$ -")</f>
        <v/>
      </c>
      <c r="N1585" s="59" t="str">
        <f>IF(OR(Data!$I1585=SottocategorieEntrate[[#Headers],[Business Entrate]],Data!$I1585=SottocategorieEntrate[[#Headers],[Varie Entrate]]),"$ -","")</f>
        <v/>
      </c>
      <c r="O1585" s="59" t="str">
        <f>IF(OR(Data!$I1585=SottocategorieEntrate[[#Headers],[Real Estate]],SottocategorieEntrate[[#Headers],[Other]]),"$ -","")</f>
        <v/>
      </c>
      <c r="P1585" s="59" t="str">
        <f>IF(OR($I1585&lt;&gt;SottocategorieEntrate[[#Headers],[Business Entrate]],$I1585&lt;&gt;SottocategorieEntrate[[#Headers],[Varie Entrate]],$I1585&lt;&gt;SottocategorieEntrate[[#Headers],[Real Estate]],$I1585&lt;&gt;SottocategorieEntrate[[#Headers],[Other]]),"","$ -")</f>
        <v/>
      </c>
      <c r="Q1585" s="59" t="str">
        <f>IF(Dati[[#This Row],[Categoria]]="Prelievo","€ -","")</f>
        <v/>
      </c>
      <c r="R1585" s="244"/>
      <c r="S1585" s="59" t="str">
        <f>IF(Dati[[#This Row],[Categoria]]="Savings",0,"")</f>
        <v/>
      </c>
      <c r="T1585" s="59"/>
      <c r="U1585" s="59"/>
      <c r="V1585" s="59"/>
      <c r="W1585" s="59"/>
      <c r="X1585" s="59"/>
      <c r="Y1585" s="59"/>
      <c r="Z1585" s="59"/>
      <c r="AA1585" s="59"/>
      <c r="AB1585" s="59"/>
      <c r="AC1585" s="59"/>
      <c r="AD1585" s="59"/>
      <c r="AE1585" s="59"/>
      <c r="AF1585" s="59"/>
      <c r="AG1585" s="59"/>
      <c r="AH1585" s="59"/>
      <c r="AI1585" s="59" t="str">
        <f>IF(SUM(Dati[[#This Row],[Inv. Business]:[Inv. Cryptocurrency]])=0," ",SUM(Dati[[#This Row],[Inv. Business]:[Inv. Cryptocurrency]]))</f>
        <v xml:space="preserve"> </v>
      </c>
      <c r="AJ1585" s="59"/>
      <c r="AK1585" s="59" t="str">
        <f>IF(SUM(Dati[[#This Row],[Inv. Gold]:[Mutuo]])=0," ",SUM(Dati[[#This Row],[Inv. Gold]:[Mutuo]]))</f>
        <v xml:space="preserve"> </v>
      </c>
      <c r="AL1585" s="59"/>
      <c r="AM1585" s="59"/>
    </row>
    <row r="1586" spans="2:39" x14ac:dyDescent="0.35">
      <c r="B1586" s="237">
        <f t="shared" si="111"/>
        <v>1566</v>
      </c>
      <c r="C1586" s="49">
        <f t="shared" si="112"/>
        <v>46144</v>
      </c>
      <c r="D1586" s="29">
        <f>DAY(Dati[[#This Row],[Data]])</f>
        <v>2</v>
      </c>
      <c r="E1586" s="29" t="str">
        <f>IF(DAY(Data!$C$21:$C$1613)&gt;0,TEXT(Data!$C$21:$C$1613, "mmmm"),"")</f>
        <v>maggio</v>
      </c>
      <c r="F1586" s="29" t="str">
        <f>IF(DAY(Data!$C$21:$C$1613)&gt;0,TEXT(Data!$C$21:$C$1613, "aaaa"),"")</f>
        <v>2026</v>
      </c>
      <c r="I1586" t="str">
        <f>IF(OR(H1586=$B$5,H1586=$B$6,H1586=$B$7,H1586=$B$8,H1586=$B$9,H1586=$B$10,H1586=$B$11,H1586=$B$12,H1586=$B$13,H1586=$B$14),SottocategorieUscite[[#Headers],[Fuori Casa]],IF(OR(H1586=$C$5,H1586=$C$6,H1586=$C$7,H1586=$C$8,H1586=$C$9,H1586=$C$10,H1586=$C$11,H1586=$C$12,H1586=$C$13,H1586=$C$14),SottocategorieUscite[[#Headers],[Varie Uscite]],IF(OR(H1586=$D$5,H1586=$D$6,H1586=$D$7,H1586=$D$8,H1586=$D$9,H1586=$D$10,H1586=$D$11,H1586=$D$12,H1586=$D$13,H1586=$D$14),SottocategorieUscite[[#Headers],[Personali]],IF(OR(H1586=$E$5,H1586=$E$6,H1586=$E$7,H1586=$E$8,H1586=$E$9,H1586=$E$10,H1586=$E$11,H1586=$E$12,H1586=$E$13,H1586=$E$14),SottocategorieUscite[[#Headers],[Lavoro]],IF(OR(H1586=$F$5,H1586=$F$6,H1586=$F$7,H1586=$F$8,H1586=$F$9,H1586=$F$10,H1586=$F$11,H1586=$F$12,H1586=$F$13,H1586=$F$14),SottocategorieUscite[[#Headers],[Casa]],IF(OR(H1586=$G$5,H1586=$G$6,H1586=$G$7,H1586=$G$8,H1586=$G$9,H1586=$G$10,H1586=$G$11,H1586=$G$12,H1586=$G$13,H1586=$G$14),SottocategorieUscite[[#Headers],[Utenze]],IF(OR(H1586=$H$5,H1586=$H$6,H1586=$H$7,H1586=$H$8,H1586=$H$9,H1586=$H$10,H1586=$H$11,H1586=$H$12,H1586=$H$13,H1586=$H$14),SottocategorieUscite[[#Headers],[Business Uscite]],IF(OR(H1586=$I$5,H1586=$I$6,H1586=$I$7,H1586=$I$8,H1586=$I$9,H1586=$I$10,H1586=$I$11,H1586=$I$12,H1586=$I$13,H1586=$I$14),SottocategorieUscite[[#Headers],[Banca]],IF(OR(H1586=K$5,H1586=K$6,H1586=K$7,H1586=K$8,H1586=K$9,H1586=K$10,H1586=K$11,H1586=K$12,H1586=K$13,H1586=K$14),SottocategorieEntrate[[#Headers],[Business Entrate]],IF(OR(H1586=L$5,H1586=L$6,H1586=L$7,H1586=L$8,H1586=L$9,H1586=L$10,H1586=L$11,H1586=L$12,H1586=L$13,H1586=L$14),SottocategorieEntrate[[#Headers],[Varie Entrate]],IF(OR(H1586=M$5,H1586=M$6,H1586=M$7,H1586=M$8,H1586=M$9,H1586=M$10,H1586=M$11,H1586=M$12,H1586=M$13,H1586=M$14),SottocategorieEntrate[[#Headers],[Real Estate]],IF(OR(H1586=N$5,H1586=N$6,H1586=N$7,H1586=N$8,H1586=N$9,H1586=N$10,H1586=N$11,H1586=N$12,H1586=N$13,H1586=N$14),SottocategorieEntrate[[#Headers],[Other]],""))))))))))))</f>
        <v/>
      </c>
      <c r="J1586" t="str">
        <f>IF(OR(Dati[[#This Row],[Categoria]]="Bollette",Dati[[#This Row],[Categoria]]="Conto &amp; Carte BNL",Dati[[#This Row],[Categoria]]="Prelievo",Dati[[#This Row],[Categoria]]="Affitto",Dati[[#This Row],[Categoria]]="BNL(Interessi Creditori)"),"Carta",IF(Dati[[#This Row],[Categoria]]&lt;&gt;0,"Cash",""))</f>
        <v/>
      </c>
      <c r="K1586" s="59" t="str">
        <f>IF(OR(Data!$I1586=SottocategorieUscite[[#Headers],[Fuori Casa]],Data!$I1586=SottocategorieUscite[[#Headers],[Varie Uscite]],Data!$I1586=SottocategorieUscite[[#Headers],[Personali]],Data!$I1586=SottocategorieUscite[[#Headers],[Lavoro]]),"$ -","")</f>
        <v/>
      </c>
      <c r="L1586" s="59" t="str">
        <f>IF(OR(Data!$I1586=SottocategorieUscite[[#Headers],[Casa]],Data!$I1586=SottocategorieUscite[[#Headers],[Utenze]],Data!$I1586=SottocategorieUscite[[#Headers],[Business Uscite]],Data!$I1586=SottocategorieUscite[[#Headers],[Banca]]),"$ -","")</f>
        <v/>
      </c>
      <c r="M1586" s="59" t="str">
        <f>IF(OR($I1586&lt;&gt;SottocategorieUscite[[#Headers],[Fuori Casa]],$I1586&lt;&gt;SottocategorieUscite[[#Headers],[Varie Uscite]],$I1586&lt;&gt;SottocategorieUscite[[#Headers],[Personali]],$I1586&lt;&gt;SottocategorieUscite[[#Headers],[Lavoro]],$I1586&lt;&gt;SottocategorieUscite[[#Headers],[Casa]],$I1586&lt;&gt;SottocategorieUscite[[#Headers],[Utenze]],$I1586&lt;&gt;SottocategorieUscite[[#Headers],[Business Uscite]],$I1586&lt;&gt;SottocategorieUscite[[#Headers],[Banca]]),"","$ -")</f>
        <v/>
      </c>
      <c r="N1586" s="59" t="str">
        <f>IF(OR(Data!$I1586=SottocategorieEntrate[[#Headers],[Business Entrate]],Data!$I1586=SottocategorieEntrate[[#Headers],[Varie Entrate]]),"$ -","")</f>
        <v/>
      </c>
      <c r="O1586" s="59" t="str">
        <f>IF(OR(Data!$I1586=SottocategorieEntrate[[#Headers],[Real Estate]],SottocategorieEntrate[[#Headers],[Other]]),"$ -","")</f>
        <v/>
      </c>
      <c r="P1586" s="59" t="str">
        <f>IF(OR($I1586&lt;&gt;SottocategorieEntrate[[#Headers],[Business Entrate]],$I1586&lt;&gt;SottocategorieEntrate[[#Headers],[Varie Entrate]],$I1586&lt;&gt;SottocategorieEntrate[[#Headers],[Real Estate]],$I1586&lt;&gt;SottocategorieEntrate[[#Headers],[Other]]),"","$ -")</f>
        <v/>
      </c>
      <c r="Q1586" s="59" t="str">
        <f>IF(Dati[[#This Row],[Categoria]]="Prelievo","€ -","")</f>
        <v/>
      </c>
      <c r="R1586" s="244"/>
      <c r="S1586" s="59" t="str">
        <f>IF(Dati[[#This Row],[Categoria]]="Savings",0,"")</f>
        <v/>
      </c>
      <c r="T1586" s="59"/>
      <c r="U1586" s="59"/>
      <c r="V1586" s="59"/>
      <c r="W1586" s="59"/>
      <c r="X1586" s="59"/>
      <c r="Y1586" s="59"/>
      <c r="Z1586" s="59"/>
      <c r="AA1586" s="59"/>
      <c r="AB1586" s="59"/>
      <c r="AC1586" s="59"/>
      <c r="AD1586" s="59"/>
      <c r="AE1586" s="59"/>
      <c r="AF1586" s="59"/>
      <c r="AG1586" s="59"/>
      <c r="AH1586" s="59"/>
      <c r="AI1586" s="59" t="str">
        <f>IF(SUM(Dati[[#This Row],[Inv. Business]:[Inv. Cryptocurrency]])=0," ",SUM(Dati[[#This Row],[Inv. Business]:[Inv. Cryptocurrency]]))</f>
        <v xml:space="preserve"> </v>
      </c>
      <c r="AJ1586" s="59"/>
      <c r="AK1586" s="59" t="str">
        <f>IF(SUM(Dati[[#This Row],[Inv. Gold]:[Mutuo]])=0," ",SUM(Dati[[#This Row],[Inv. Gold]:[Mutuo]]))</f>
        <v xml:space="preserve"> </v>
      </c>
      <c r="AL1586" s="59"/>
      <c r="AM1586" s="59"/>
    </row>
    <row r="1587" spans="2:39" x14ac:dyDescent="0.35">
      <c r="B1587" s="237">
        <f t="shared" si="111"/>
        <v>1567</v>
      </c>
      <c r="C1587" s="49">
        <f t="shared" si="112"/>
        <v>46145</v>
      </c>
      <c r="D1587" s="29">
        <f>DAY(Dati[[#This Row],[Data]])</f>
        <v>3</v>
      </c>
      <c r="E1587" s="29" t="str">
        <f>IF(DAY(Data!$C$21:$C$1613)&gt;0,TEXT(Data!$C$21:$C$1613, "mmmm"),"")</f>
        <v>maggio</v>
      </c>
      <c r="F1587" s="29" t="str">
        <f>IF(DAY(Data!$C$21:$C$1613)&gt;0,TEXT(Data!$C$21:$C$1613, "aaaa"),"")</f>
        <v>2026</v>
      </c>
      <c r="I1587" t="str">
        <f>IF(OR(H1587=$B$5,H1587=$B$6,H1587=$B$7,H1587=$B$8,H1587=$B$9,H1587=$B$10,H1587=$B$11,H1587=$B$12,H1587=$B$13,H1587=$B$14),SottocategorieUscite[[#Headers],[Fuori Casa]],IF(OR(H1587=$C$5,H1587=$C$6,H1587=$C$7,H1587=$C$8,H1587=$C$9,H1587=$C$10,H1587=$C$11,H1587=$C$12,H1587=$C$13,H1587=$C$14),SottocategorieUscite[[#Headers],[Varie Uscite]],IF(OR(H1587=$D$5,H1587=$D$6,H1587=$D$7,H1587=$D$8,H1587=$D$9,H1587=$D$10,H1587=$D$11,H1587=$D$12,H1587=$D$13,H1587=$D$14),SottocategorieUscite[[#Headers],[Personali]],IF(OR(H1587=$E$5,H1587=$E$6,H1587=$E$7,H1587=$E$8,H1587=$E$9,H1587=$E$10,H1587=$E$11,H1587=$E$12,H1587=$E$13,H1587=$E$14),SottocategorieUscite[[#Headers],[Lavoro]],IF(OR(H1587=$F$5,H1587=$F$6,H1587=$F$7,H1587=$F$8,H1587=$F$9,H1587=$F$10,H1587=$F$11,H1587=$F$12,H1587=$F$13,H1587=$F$14),SottocategorieUscite[[#Headers],[Casa]],IF(OR(H1587=$G$5,H1587=$G$6,H1587=$G$7,H1587=$G$8,H1587=$G$9,H1587=$G$10,H1587=$G$11,H1587=$G$12,H1587=$G$13,H1587=$G$14),SottocategorieUscite[[#Headers],[Utenze]],IF(OR(H1587=$H$5,H1587=$H$6,H1587=$H$7,H1587=$H$8,H1587=$H$9,H1587=$H$10,H1587=$H$11,H1587=$H$12,H1587=$H$13,H1587=$H$14),SottocategorieUscite[[#Headers],[Business Uscite]],IF(OR(H1587=$I$5,H1587=$I$6,H1587=$I$7,H1587=$I$8,H1587=$I$9,H1587=$I$10,H1587=$I$11,H1587=$I$12,H1587=$I$13,H1587=$I$14),SottocategorieUscite[[#Headers],[Banca]],IF(OR(H1587=K$5,H1587=K$6,H1587=K$7,H1587=K$8,H1587=K$9,H1587=K$10,H1587=K$11,H1587=K$12,H1587=K$13,H1587=K$14),SottocategorieEntrate[[#Headers],[Business Entrate]],IF(OR(H1587=L$5,H1587=L$6,H1587=L$7,H1587=L$8,H1587=L$9,H1587=L$10,H1587=L$11,H1587=L$12,H1587=L$13,H1587=L$14),SottocategorieEntrate[[#Headers],[Varie Entrate]],IF(OR(H1587=M$5,H1587=M$6,H1587=M$7,H1587=M$8,H1587=M$9,H1587=M$10,H1587=M$11,H1587=M$12,H1587=M$13,H1587=M$14),SottocategorieEntrate[[#Headers],[Real Estate]],IF(OR(H1587=N$5,H1587=N$6,H1587=N$7,H1587=N$8,H1587=N$9,H1587=N$10,H1587=N$11,H1587=N$12,H1587=N$13,H1587=N$14),SottocategorieEntrate[[#Headers],[Other]],""))))))))))))</f>
        <v/>
      </c>
      <c r="J1587" t="str">
        <f>IF(OR(Dati[[#This Row],[Categoria]]="Bollette",Dati[[#This Row],[Categoria]]="Conto &amp; Carte BNL",Dati[[#This Row],[Categoria]]="Prelievo",Dati[[#This Row],[Categoria]]="Affitto",Dati[[#This Row],[Categoria]]="BNL(Interessi Creditori)"),"Carta",IF(Dati[[#This Row],[Categoria]]&lt;&gt;0,"Cash",""))</f>
        <v/>
      </c>
      <c r="K1587" s="59" t="str">
        <f>IF(OR(Data!$I1587=SottocategorieUscite[[#Headers],[Fuori Casa]],Data!$I1587=SottocategorieUscite[[#Headers],[Varie Uscite]],Data!$I1587=SottocategorieUscite[[#Headers],[Personali]],Data!$I1587=SottocategorieUscite[[#Headers],[Lavoro]]),"$ -","")</f>
        <v/>
      </c>
      <c r="L1587" s="59" t="str">
        <f>IF(OR(Data!$I1587=SottocategorieUscite[[#Headers],[Casa]],Data!$I1587=SottocategorieUscite[[#Headers],[Utenze]],Data!$I1587=SottocategorieUscite[[#Headers],[Business Uscite]],Data!$I1587=SottocategorieUscite[[#Headers],[Banca]]),"$ -","")</f>
        <v/>
      </c>
      <c r="M1587" s="59" t="str">
        <f>IF(OR($I1587&lt;&gt;SottocategorieUscite[[#Headers],[Fuori Casa]],$I1587&lt;&gt;SottocategorieUscite[[#Headers],[Varie Uscite]],$I1587&lt;&gt;SottocategorieUscite[[#Headers],[Personali]],$I1587&lt;&gt;SottocategorieUscite[[#Headers],[Lavoro]],$I1587&lt;&gt;SottocategorieUscite[[#Headers],[Casa]],$I1587&lt;&gt;SottocategorieUscite[[#Headers],[Utenze]],$I1587&lt;&gt;SottocategorieUscite[[#Headers],[Business Uscite]],$I1587&lt;&gt;SottocategorieUscite[[#Headers],[Banca]]),"","$ -")</f>
        <v/>
      </c>
      <c r="N1587" s="59" t="str">
        <f>IF(OR(Data!$I1587=SottocategorieEntrate[[#Headers],[Business Entrate]],Data!$I1587=SottocategorieEntrate[[#Headers],[Varie Entrate]]),"$ -","")</f>
        <v/>
      </c>
      <c r="O1587" s="59" t="str">
        <f>IF(OR(Data!$I1587=SottocategorieEntrate[[#Headers],[Real Estate]],SottocategorieEntrate[[#Headers],[Other]]),"$ -","")</f>
        <v/>
      </c>
      <c r="P1587" s="59" t="str">
        <f>IF(OR($I1587&lt;&gt;SottocategorieEntrate[[#Headers],[Business Entrate]],$I1587&lt;&gt;SottocategorieEntrate[[#Headers],[Varie Entrate]],$I1587&lt;&gt;SottocategorieEntrate[[#Headers],[Real Estate]],$I1587&lt;&gt;SottocategorieEntrate[[#Headers],[Other]]),"","$ -")</f>
        <v/>
      </c>
      <c r="Q1587" s="59" t="str">
        <f>IF(Dati[[#This Row],[Categoria]]="Prelievo","€ -","")</f>
        <v/>
      </c>
      <c r="R1587" s="244"/>
      <c r="S1587" s="59" t="str">
        <f>IF(Dati[[#This Row],[Categoria]]="Savings",0,"")</f>
        <v/>
      </c>
      <c r="T1587" s="59"/>
      <c r="U1587" s="59"/>
      <c r="V1587" s="59"/>
      <c r="W1587" s="59"/>
      <c r="X1587" s="59"/>
      <c r="Y1587" s="59"/>
      <c r="Z1587" s="59"/>
      <c r="AA1587" s="59"/>
      <c r="AB1587" s="59"/>
      <c r="AC1587" s="59"/>
      <c r="AD1587" s="59"/>
      <c r="AE1587" s="59"/>
      <c r="AF1587" s="59"/>
      <c r="AG1587" s="59"/>
      <c r="AH1587" s="59"/>
      <c r="AI1587" s="59" t="str">
        <f>IF(SUM(Dati[[#This Row],[Inv. Business]:[Inv. Cryptocurrency]])=0," ",SUM(Dati[[#This Row],[Inv. Business]:[Inv. Cryptocurrency]]))</f>
        <v xml:space="preserve"> </v>
      </c>
      <c r="AJ1587" s="59"/>
      <c r="AK1587" s="59" t="str">
        <f>IF(SUM(Dati[[#This Row],[Inv. Gold]:[Mutuo]])=0," ",SUM(Dati[[#This Row],[Inv. Gold]:[Mutuo]]))</f>
        <v xml:space="preserve"> </v>
      </c>
      <c r="AL1587" s="59"/>
      <c r="AM1587" s="59"/>
    </row>
    <row r="1588" spans="2:39" x14ac:dyDescent="0.35">
      <c r="B1588" s="237">
        <f t="shared" si="111"/>
        <v>1568</v>
      </c>
      <c r="C1588" s="49">
        <f t="shared" si="112"/>
        <v>46146</v>
      </c>
      <c r="D1588" s="29">
        <f>DAY(Dati[[#This Row],[Data]])</f>
        <v>4</v>
      </c>
      <c r="E1588" s="29" t="str">
        <f>IF(DAY(Data!$C$21:$C$1613)&gt;0,TEXT(Data!$C$21:$C$1613, "mmmm"),"")</f>
        <v>maggio</v>
      </c>
      <c r="F1588" s="29" t="str">
        <f>IF(DAY(Data!$C$21:$C$1613)&gt;0,TEXT(Data!$C$21:$C$1613, "aaaa"),"")</f>
        <v>2026</v>
      </c>
      <c r="I1588" t="str">
        <f>IF(OR(H1588=$B$5,H1588=$B$6,H1588=$B$7,H1588=$B$8,H1588=$B$9,H1588=$B$10,H1588=$B$11,H1588=$B$12,H1588=$B$13,H1588=$B$14),SottocategorieUscite[[#Headers],[Fuori Casa]],IF(OR(H1588=$C$5,H1588=$C$6,H1588=$C$7,H1588=$C$8,H1588=$C$9,H1588=$C$10,H1588=$C$11,H1588=$C$12,H1588=$C$13,H1588=$C$14),SottocategorieUscite[[#Headers],[Varie Uscite]],IF(OR(H1588=$D$5,H1588=$D$6,H1588=$D$7,H1588=$D$8,H1588=$D$9,H1588=$D$10,H1588=$D$11,H1588=$D$12,H1588=$D$13,H1588=$D$14),SottocategorieUscite[[#Headers],[Personali]],IF(OR(H1588=$E$5,H1588=$E$6,H1588=$E$7,H1588=$E$8,H1588=$E$9,H1588=$E$10,H1588=$E$11,H1588=$E$12,H1588=$E$13,H1588=$E$14),SottocategorieUscite[[#Headers],[Lavoro]],IF(OR(H1588=$F$5,H1588=$F$6,H1588=$F$7,H1588=$F$8,H1588=$F$9,H1588=$F$10,H1588=$F$11,H1588=$F$12,H1588=$F$13,H1588=$F$14),SottocategorieUscite[[#Headers],[Casa]],IF(OR(H1588=$G$5,H1588=$G$6,H1588=$G$7,H1588=$G$8,H1588=$G$9,H1588=$G$10,H1588=$G$11,H1588=$G$12,H1588=$G$13,H1588=$G$14),SottocategorieUscite[[#Headers],[Utenze]],IF(OR(H1588=$H$5,H1588=$H$6,H1588=$H$7,H1588=$H$8,H1588=$H$9,H1588=$H$10,H1588=$H$11,H1588=$H$12,H1588=$H$13,H1588=$H$14),SottocategorieUscite[[#Headers],[Business Uscite]],IF(OR(H1588=$I$5,H1588=$I$6,H1588=$I$7,H1588=$I$8,H1588=$I$9,H1588=$I$10,H1588=$I$11,H1588=$I$12,H1588=$I$13,H1588=$I$14),SottocategorieUscite[[#Headers],[Banca]],IF(OR(H1588=K$5,H1588=K$6,H1588=K$7,H1588=K$8,H1588=K$9,H1588=K$10,H1588=K$11,H1588=K$12,H1588=K$13,H1588=K$14),SottocategorieEntrate[[#Headers],[Business Entrate]],IF(OR(H1588=L$5,H1588=L$6,H1588=L$7,H1588=L$8,H1588=L$9,H1588=L$10,H1588=L$11,H1588=L$12,H1588=L$13,H1588=L$14),SottocategorieEntrate[[#Headers],[Varie Entrate]],IF(OR(H1588=M$5,H1588=M$6,H1588=M$7,H1588=M$8,H1588=M$9,H1588=M$10,H1588=M$11,H1588=M$12,H1588=M$13,H1588=M$14),SottocategorieEntrate[[#Headers],[Real Estate]],IF(OR(H1588=N$5,H1588=N$6,H1588=N$7,H1588=N$8,H1588=N$9,H1588=N$10,H1588=N$11,H1588=N$12,H1588=N$13,H1588=N$14),SottocategorieEntrate[[#Headers],[Other]],""))))))))))))</f>
        <v/>
      </c>
      <c r="J1588" t="str">
        <f>IF(OR(Dati[[#This Row],[Categoria]]="Bollette",Dati[[#This Row],[Categoria]]="Conto &amp; Carte BNL",Dati[[#This Row],[Categoria]]="Prelievo",Dati[[#This Row],[Categoria]]="Affitto",Dati[[#This Row],[Categoria]]="BNL(Interessi Creditori)"),"Carta",IF(Dati[[#This Row],[Categoria]]&lt;&gt;0,"Cash",""))</f>
        <v/>
      </c>
      <c r="K1588" s="59" t="str">
        <f>IF(OR(Data!$I1588=SottocategorieUscite[[#Headers],[Fuori Casa]],Data!$I1588=SottocategorieUscite[[#Headers],[Varie Uscite]],Data!$I1588=SottocategorieUscite[[#Headers],[Personali]],Data!$I1588=SottocategorieUscite[[#Headers],[Lavoro]]),"$ -","")</f>
        <v/>
      </c>
      <c r="L1588" s="59" t="str">
        <f>IF(OR(Data!$I1588=SottocategorieUscite[[#Headers],[Casa]],Data!$I1588=SottocategorieUscite[[#Headers],[Utenze]],Data!$I1588=SottocategorieUscite[[#Headers],[Business Uscite]],Data!$I1588=SottocategorieUscite[[#Headers],[Banca]]),"$ -","")</f>
        <v/>
      </c>
      <c r="M1588" s="59" t="str">
        <f>IF(OR($I1588&lt;&gt;SottocategorieUscite[[#Headers],[Fuori Casa]],$I1588&lt;&gt;SottocategorieUscite[[#Headers],[Varie Uscite]],$I1588&lt;&gt;SottocategorieUscite[[#Headers],[Personali]],$I1588&lt;&gt;SottocategorieUscite[[#Headers],[Lavoro]],$I1588&lt;&gt;SottocategorieUscite[[#Headers],[Casa]],$I1588&lt;&gt;SottocategorieUscite[[#Headers],[Utenze]],$I1588&lt;&gt;SottocategorieUscite[[#Headers],[Business Uscite]],$I1588&lt;&gt;SottocategorieUscite[[#Headers],[Banca]]),"","$ -")</f>
        <v/>
      </c>
      <c r="N1588" s="59" t="str">
        <f>IF(OR(Data!$I1588=SottocategorieEntrate[[#Headers],[Business Entrate]],Data!$I1588=SottocategorieEntrate[[#Headers],[Varie Entrate]]),"$ -","")</f>
        <v/>
      </c>
      <c r="O1588" s="59" t="str">
        <f>IF(OR(Data!$I1588=SottocategorieEntrate[[#Headers],[Real Estate]],SottocategorieEntrate[[#Headers],[Other]]),"$ -","")</f>
        <v/>
      </c>
      <c r="P1588" s="59" t="str">
        <f>IF(OR($I1588&lt;&gt;SottocategorieEntrate[[#Headers],[Business Entrate]],$I1588&lt;&gt;SottocategorieEntrate[[#Headers],[Varie Entrate]],$I1588&lt;&gt;SottocategorieEntrate[[#Headers],[Real Estate]],$I1588&lt;&gt;SottocategorieEntrate[[#Headers],[Other]]),"","$ -")</f>
        <v/>
      </c>
      <c r="Q1588" s="59" t="str">
        <f>IF(Dati[[#This Row],[Categoria]]="Prelievo","€ -","")</f>
        <v/>
      </c>
      <c r="R1588" s="244"/>
      <c r="S1588" s="59" t="str">
        <f>IF(Dati[[#This Row],[Categoria]]="Savings",0,"")</f>
        <v/>
      </c>
      <c r="T1588" s="59"/>
      <c r="U1588" s="59"/>
      <c r="V1588" s="59"/>
      <c r="W1588" s="59"/>
      <c r="X1588" s="59"/>
      <c r="Y1588" s="59"/>
      <c r="Z1588" s="59"/>
      <c r="AA1588" s="59"/>
      <c r="AB1588" s="59"/>
      <c r="AC1588" s="59"/>
      <c r="AD1588" s="59"/>
      <c r="AE1588" s="59"/>
      <c r="AF1588" s="59"/>
      <c r="AG1588" s="59"/>
      <c r="AH1588" s="59"/>
      <c r="AI1588" s="59" t="str">
        <f>IF(SUM(Dati[[#This Row],[Inv. Business]:[Inv. Cryptocurrency]])=0," ",SUM(Dati[[#This Row],[Inv. Business]:[Inv. Cryptocurrency]]))</f>
        <v xml:space="preserve"> </v>
      </c>
      <c r="AJ1588" s="59"/>
      <c r="AK1588" s="59" t="str">
        <f>IF(SUM(Dati[[#This Row],[Inv. Gold]:[Mutuo]])=0," ",SUM(Dati[[#This Row],[Inv. Gold]:[Mutuo]]))</f>
        <v xml:space="preserve"> </v>
      </c>
      <c r="AL1588" s="59"/>
      <c r="AM1588" s="59"/>
    </row>
    <row r="1589" spans="2:39" x14ac:dyDescent="0.35">
      <c r="B1589" s="237">
        <f t="shared" ref="B1589:B1613" si="113">ROW(1569:1569)</f>
        <v>1569</v>
      </c>
      <c r="C1589" s="49">
        <f t="shared" si="112"/>
        <v>46147</v>
      </c>
      <c r="D1589" s="29">
        <f>DAY(Dati[[#This Row],[Data]])</f>
        <v>5</v>
      </c>
      <c r="E1589" s="29" t="str">
        <f>IF(DAY(Data!$C$21:$C$1613)&gt;0,TEXT(Data!$C$21:$C$1613, "mmmm"),"")</f>
        <v>maggio</v>
      </c>
      <c r="F1589" s="29" t="str">
        <f>IF(DAY(Data!$C$21:$C$1613)&gt;0,TEXT(Data!$C$21:$C$1613, "aaaa"),"")</f>
        <v>2026</v>
      </c>
      <c r="I1589" t="str">
        <f>IF(OR(H1589=$B$5,H1589=$B$6,H1589=$B$7,H1589=$B$8,H1589=$B$9,H1589=$B$10,H1589=$B$11,H1589=$B$12,H1589=$B$13,H1589=$B$14),SottocategorieUscite[[#Headers],[Fuori Casa]],IF(OR(H1589=$C$5,H1589=$C$6,H1589=$C$7,H1589=$C$8,H1589=$C$9,H1589=$C$10,H1589=$C$11,H1589=$C$12,H1589=$C$13,H1589=$C$14),SottocategorieUscite[[#Headers],[Varie Uscite]],IF(OR(H1589=$D$5,H1589=$D$6,H1589=$D$7,H1589=$D$8,H1589=$D$9,H1589=$D$10,H1589=$D$11,H1589=$D$12,H1589=$D$13,H1589=$D$14),SottocategorieUscite[[#Headers],[Personali]],IF(OR(H1589=$E$5,H1589=$E$6,H1589=$E$7,H1589=$E$8,H1589=$E$9,H1589=$E$10,H1589=$E$11,H1589=$E$12,H1589=$E$13,H1589=$E$14),SottocategorieUscite[[#Headers],[Lavoro]],IF(OR(H1589=$F$5,H1589=$F$6,H1589=$F$7,H1589=$F$8,H1589=$F$9,H1589=$F$10,H1589=$F$11,H1589=$F$12,H1589=$F$13,H1589=$F$14),SottocategorieUscite[[#Headers],[Casa]],IF(OR(H1589=$G$5,H1589=$G$6,H1589=$G$7,H1589=$G$8,H1589=$G$9,H1589=$G$10,H1589=$G$11,H1589=$G$12,H1589=$G$13,H1589=$G$14),SottocategorieUscite[[#Headers],[Utenze]],IF(OR(H1589=$H$5,H1589=$H$6,H1589=$H$7,H1589=$H$8,H1589=$H$9,H1589=$H$10,H1589=$H$11,H1589=$H$12,H1589=$H$13,H1589=$H$14),SottocategorieUscite[[#Headers],[Business Uscite]],IF(OR(H1589=$I$5,H1589=$I$6,H1589=$I$7,H1589=$I$8,H1589=$I$9,H1589=$I$10,H1589=$I$11,H1589=$I$12,H1589=$I$13,H1589=$I$14),SottocategorieUscite[[#Headers],[Banca]],IF(OR(H1589=K$5,H1589=K$6,H1589=K$7,H1589=K$8,H1589=K$9,H1589=K$10,H1589=K$11,H1589=K$12,H1589=K$13,H1589=K$14),SottocategorieEntrate[[#Headers],[Business Entrate]],IF(OR(H1589=L$5,H1589=L$6,H1589=L$7,H1589=L$8,H1589=L$9,H1589=L$10,H1589=L$11,H1589=L$12,H1589=L$13,H1589=L$14),SottocategorieEntrate[[#Headers],[Varie Entrate]],IF(OR(H1589=M$5,H1589=M$6,H1589=M$7,H1589=M$8,H1589=M$9,H1589=M$10,H1589=M$11,H1589=M$12,H1589=M$13,H1589=M$14),SottocategorieEntrate[[#Headers],[Real Estate]],IF(OR(H1589=N$5,H1589=N$6,H1589=N$7,H1589=N$8,H1589=N$9,H1589=N$10,H1589=N$11,H1589=N$12,H1589=N$13,H1589=N$14),SottocategorieEntrate[[#Headers],[Other]],""))))))))))))</f>
        <v/>
      </c>
      <c r="J1589" t="str">
        <f>IF(OR(Dati[[#This Row],[Categoria]]="Bollette",Dati[[#This Row],[Categoria]]="Conto &amp; Carte BNL",Dati[[#This Row],[Categoria]]="Prelievo",Dati[[#This Row],[Categoria]]="Affitto",Dati[[#This Row],[Categoria]]="BNL(Interessi Creditori)"),"Carta",IF(Dati[[#This Row],[Categoria]]&lt;&gt;0,"Cash",""))</f>
        <v/>
      </c>
      <c r="K1589" s="59" t="str">
        <f>IF(OR(Data!$I1589=SottocategorieUscite[[#Headers],[Fuori Casa]],Data!$I1589=SottocategorieUscite[[#Headers],[Varie Uscite]],Data!$I1589=SottocategorieUscite[[#Headers],[Personali]],Data!$I1589=SottocategorieUscite[[#Headers],[Lavoro]]),"$ -","")</f>
        <v/>
      </c>
      <c r="L1589" s="59" t="str">
        <f>IF(OR(Data!$I1589=SottocategorieUscite[[#Headers],[Casa]],Data!$I1589=SottocategorieUscite[[#Headers],[Utenze]],Data!$I1589=SottocategorieUscite[[#Headers],[Business Uscite]],Data!$I1589=SottocategorieUscite[[#Headers],[Banca]]),"$ -","")</f>
        <v/>
      </c>
      <c r="M1589" s="59" t="str">
        <f>IF(OR($I1589&lt;&gt;SottocategorieUscite[[#Headers],[Fuori Casa]],$I1589&lt;&gt;SottocategorieUscite[[#Headers],[Varie Uscite]],$I1589&lt;&gt;SottocategorieUscite[[#Headers],[Personali]],$I1589&lt;&gt;SottocategorieUscite[[#Headers],[Lavoro]],$I1589&lt;&gt;SottocategorieUscite[[#Headers],[Casa]],$I1589&lt;&gt;SottocategorieUscite[[#Headers],[Utenze]],$I1589&lt;&gt;SottocategorieUscite[[#Headers],[Business Uscite]],$I1589&lt;&gt;SottocategorieUscite[[#Headers],[Banca]]),"","$ -")</f>
        <v/>
      </c>
      <c r="N1589" s="59" t="str">
        <f>IF(OR(Data!$I1589=SottocategorieEntrate[[#Headers],[Business Entrate]],Data!$I1589=SottocategorieEntrate[[#Headers],[Varie Entrate]]),"$ -","")</f>
        <v/>
      </c>
      <c r="O1589" s="59" t="str">
        <f>IF(OR(Data!$I1589=SottocategorieEntrate[[#Headers],[Real Estate]],SottocategorieEntrate[[#Headers],[Other]]),"$ -","")</f>
        <v/>
      </c>
      <c r="P1589" s="59" t="str">
        <f>IF(OR($I1589&lt;&gt;SottocategorieEntrate[[#Headers],[Business Entrate]],$I1589&lt;&gt;SottocategorieEntrate[[#Headers],[Varie Entrate]],$I1589&lt;&gt;SottocategorieEntrate[[#Headers],[Real Estate]],$I1589&lt;&gt;SottocategorieEntrate[[#Headers],[Other]]),"","$ -")</f>
        <v/>
      </c>
      <c r="Q1589" s="59" t="str">
        <f>IF(Dati[[#This Row],[Categoria]]="Prelievo","€ -","")</f>
        <v/>
      </c>
      <c r="R1589" s="244"/>
      <c r="S1589" s="59" t="str">
        <f>IF(Dati[[#This Row],[Categoria]]="Savings",0,"")</f>
        <v/>
      </c>
      <c r="T1589" s="59"/>
      <c r="U1589" s="59"/>
      <c r="V1589" s="59"/>
      <c r="W1589" s="59"/>
      <c r="X1589" s="59"/>
      <c r="Y1589" s="59"/>
      <c r="Z1589" s="59"/>
      <c r="AA1589" s="59"/>
      <c r="AB1589" s="59"/>
      <c r="AC1589" s="59"/>
      <c r="AD1589" s="59"/>
      <c r="AE1589" s="59"/>
      <c r="AF1589" s="59"/>
      <c r="AG1589" s="59"/>
      <c r="AH1589" s="59"/>
      <c r="AI1589" s="59" t="str">
        <f>IF(SUM(Dati[[#This Row],[Inv. Business]:[Inv. Cryptocurrency]])=0," ",SUM(Dati[[#This Row],[Inv. Business]:[Inv. Cryptocurrency]]))</f>
        <v xml:space="preserve"> </v>
      </c>
      <c r="AJ1589" s="59"/>
      <c r="AK1589" s="59" t="str">
        <f>IF(SUM(Dati[[#This Row],[Inv. Gold]:[Mutuo]])=0," ",SUM(Dati[[#This Row],[Inv. Gold]:[Mutuo]]))</f>
        <v xml:space="preserve"> </v>
      </c>
      <c r="AL1589" s="59"/>
      <c r="AM1589" s="59"/>
    </row>
    <row r="1590" spans="2:39" x14ac:dyDescent="0.35">
      <c r="B1590" s="237">
        <f t="shared" si="113"/>
        <v>1570</v>
      </c>
      <c r="C1590" s="49">
        <f t="shared" si="112"/>
        <v>46148</v>
      </c>
      <c r="D1590" s="29">
        <f>DAY(Dati[[#This Row],[Data]])</f>
        <v>6</v>
      </c>
      <c r="E1590" s="29" t="str">
        <f>IF(DAY(Data!$C$21:$C$1613)&gt;0,TEXT(Data!$C$21:$C$1613, "mmmm"),"")</f>
        <v>maggio</v>
      </c>
      <c r="F1590" s="29" t="str">
        <f>IF(DAY(Data!$C$21:$C$1613)&gt;0,TEXT(Data!$C$21:$C$1613, "aaaa"),"")</f>
        <v>2026</v>
      </c>
      <c r="I1590" t="str">
        <f>IF(OR(H1590=$B$5,H1590=$B$6,H1590=$B$7,H1590=$B$8,H1590=$B$9,H1590=$B$10,H1590=$B$11,H1590=$B$12,H1590=$B$13,H1590=$B$14),SottocategorieUscite[[#Headers],[Fuori Casa]],IF(OR(H1590=$C$5,H1590=$C$6,H1590=$C$7,H1590=$C$8,H1590=$C$9,H1590=$C$10,H1590=$C$11,H1590=$C$12,H1590=$C$13,H1590=$C$14),SottocategorieUscite[[#Headers],[Varie Uscite]],IF(OR(H1590=$D$5,H1590=$D$6,H1590=$D$7,H1590=$D$8,H1590=$D$9,H1590=$D$10,H1590=$D$11,H1590=$D$12,H1590=$D$13,H1590=$D$14),SottocategorieUscite[[#Headers],[Personali]],IF(OR(H1590=$E$5,H1590=$E$6,H1590=$E$7,H1590=$E$8,H1590=$E$9,H1590=$E$10,H1590=$E$11,H1590=$E$12,H1590=$E$13,H1590=$E$14),SottocategorieUscite[[#Headers],[Lavoro]],IF(OR(H1590=$F$5,H1590=$F$6,H1590=$F$7,H1590=$F$8,H1590=$F$9,H1590=$F$10,H1590=$F$11,H1590=$F$12,H1590=$F$13,H1590=$F$14),SottocategorieUscite[[#Headers],[Casa]],IF(OR(H1590=$G$5,H1590=$G$6,H1590=$G$7,H1590=$G$8,H1590=$G$9,H1590=$G$10,H1590=$G$11,H1590=$G$12,H1590=$G$13,H1590=$G$14),SottocategorieUscite[[#Headers],[Utenze]],IF(OR(H1590=$H$5,H1590=$H$6,H1590=$H$7,H1590=$H$8,H1590=$H$9,H1590=$H$10,H1590=$H$11,H1590=$H$12,H1590=$H$13,H1590=$H$14),SottocategorieUscite[[#Headers],[Business Uscite]],IF(OR(H1590=$I$5,H1590=$I$6,H1590=$I$7,H1590=$I$8,H1590=$I$9,H1590=$I$10,H1590=$I$11,H1590=$I$12,H1590=$I$13,H1590=$I$14),SottocategorieUscite[[#Headers],[Banca]],IF(OR(H1590=K$5,H1590=K$6,H1590=K$7,H1590=K$8,H1590=K$9,H1590=K$10,H1590=K$11,H1590=K$12,H1590=K$13,H1590=K$14),SottocategorieEntrate[[#Headers],[Business Entrate]],IF(OR(H1590=L$5,H1590=L$6,H1590=L$7,H1590=L$8,H1590=L$9,H1590=L$10,H1590=L$11,H1590=L$12,H1590=L$13,H1590=L$14),SottocategorieEntrate[[#Headers],[Varie Entrate]],IF(OR(H1590=M$5,H1590=M$6,H1590=M$7,H1590=M$8,H1590=M$9,H1590=M$10,H1590=M$11,H1590=M$12,H1590=M$13,H1590=M$14),SottocategorieEntrate[[#Headers],[Real Estate]],IF(OR(H1590=N$5,H1590=N$6,H1590=N$7,H1590=N$8,H1590=N$9,H1590=N$10,H1590=N$11,H1590=N$12,H1590=N$13,H1590=N$14),SottocategorieEntrate[[#Headers],[Other]],""))))))))))))</f>
        <v/>
      </c>
      <c r="J1590" t="str">
        <f>IF(OR(Dati[[#This Row],[Categoria]]="Bollette",Dati[[#This Row],[Categoria]]="Conto &amp; Carte BNL",Dati[[#This Row],[Categoria]]="Prelievo",Dati[[#This Row],[Categoria]]="Affitto",Dati[[#This Row],[Categoria]]="BNL(Interessi Creditori)"),"Carta",IF(Dati[[#This Row],[Categoria]]&lt;&gt;0,"Cash",""))</f>
        <v/>
      </c>
      <c r="K1590" s="59" t="str">
        <f>IF(OR(Data!$I1590=SottocategorieUscite[[#Headers],[Fuori Casa]],Data!$I1590=SottocategorieUscite[[#Headers],[Varie Uscite]],Data!$I1590=SottocategorieUscite[[#Headers],[Personali]],Data!$I1590=SottocategorieUscite[[#Headers],[Lavoro]]),"$ -","")</f>
        <v/>
      </c>
      <c r="L1590" s="59" t="str">
        <f>IF(OR(Data!$I1590=SottocategorieUscite[[#Headers],[Casa]],Data!$I1590=SottocategorieUscite[[#Headers],[Utenze]],Data!$I1590=SottocategorieUscite[[#Headers],[Business Uscite]],Data!$I1590=SottocategorieUscite[[#Headers],[Banca]]),"$ -","")</f>
        <v/>
      </c>
      <c r="M1590" s="59" t="str">
        <f>IF(OR($I1590&lt;&gt;SottocategorieUscite[[#Headers],[Fuori Casa]],$I1590&lt;&gt;SottocategorieUscite[[#Headers],[Varie Uscite]],$I1590&lt;&gt;SottocategorieUscite[[#Headers],[Personali]],$I1590&lt;&gt;SottocategorieUscite[[#Headers],[Lavoro]],$I1590&lt;&gt;SottocategorieUscite[[#Headers],[Casa]],$I1590&lt;&gt;SottocategorieUscite[[#Headers],[Utenze]],$I1590&lt;&gt;SottocategorieUscite[[#Headers],[Business Uscite]],$I1590&lt;&gt;SottocategorieUscite[[#Headers],[Banca]]),"","$ -")</f>
        <v/>
      </c>
      <c r="N1590" s="59" t="str">
        <f>IF(OR(Data!$I1590=SottocategorieEntrate[[#Headers],[Business Entrate]],Data!$I1590=SottocategorieEntrate[[#Headers],[Varie Entrate]]),"$ -","")</f>
        <v/>
      </c>
      <c r="O1590" s="59" t="str">
        <f>IF(OR(Data!$I1590=SottocategorieEntrate[[#Headers],[Real Estate]],SottocategorieEntrate[[#Headers],[Other]]),"$ -","")</f>
        <v/>
      </c>
      <c r="P1590" s="59" t="str">
        <f>IF(OR($I1590&lt;&gt;SottocategorieEntrate[[#Headers],[Business Entrate]],$I1590&lt;&gt;SottocategorieEntrate[[#Headers],[Varie Entrate]],$I1590&lt;&gt;SottocategorieEntrate[[#Headers],[Real Estate]],$I1590&lt;&gt;SottocategorieEntrate[[#Headers],[Other]]),"","$ -")</f>
        <v/>
      </c>
      <c r="Q1590" s="59" t="str">
        <f>IF(Dati[[#This Row],[Categoria]]="Prelievo","€ -","")</f>
        <v/>
      </c>
      <c r="R1590" s="244"/>
      <c r="S1590" s="59" t="str">
        <f>IF(Dati[[#This Row],[Categoria]]="Savings",0,"")</f>
        <v/>
      </c>
      <c r="T1590" s="59"/>
      <c r="U1590" s="59"/>
      <c r="V1590" s="59"/>
      <c r="W1590" s="59"/>
      <c r="X1590" s="59"/>
      <c r="Y1590" s="59"/>
      <c r="Z1590" s="59"/>
      <c r="AA1590" s="59"/>
      <c r="AB1590" s="59"/>
      <c r="AC1590" s="59"/>
      <c r="AD1590" s="59"/>
      <c r="AE1590" s="59"/>
      <c r="AF1590" s="59"/>
      <c r="AG1590" s="59"/>
      <c r="AH1590" s="59"/>
      <c r="AI1590" s="59" t="str">
        <f>IF(SUM(Dati[[#This Row],[Inv. Business]:[Inv. Cryptocurrency]])=0," ",SUM(Dati[[#This Row],[Inv. Business]:[Inv. Cryptocurrency]]))</f>
        <v xml:space="preserve"> </v>
      </c>
      <c r="AJ1590" s="59"/>
      <c r="AK1590" s="59" t="str">
        <f>IF(SUM(Dati[[#This Row],[Inv. Gold]:[Mutuo]])=0," ",SUM(Dati[[#This Row],[Inv. Gold]:[Mutuo]]))</f>
        <v xml:space="preserve"> </v>
      </c>
      <c r="AL1590" s="59"/>
      <c r="AM1590" s="59"/>
    </row>
    <row r="1591" spans="2:39" x14ac:dyDescent="0.35">
      <c r="B1591" s="237">
        <f t="shared" si="113"/>
        <v>1571</v>
      </c>
      <c r="C1591" s="49">
        <f t="shared" si="112"/>
        <v>46149</v>
      </c>
      <c r="D1591" s="29">
        <f>DAY(Dati[[#This Row],[Data]])</f>
        <v>7</v>
      </c>
      <c r="E1591" s="29" t="str">
        <f>IF(DAY(Data!$C$21:$C$1613)&gt;0,TEXT(Data!$C$21:$C$1613, "mmmm"),"")</f>
        <v>maggio</v>
      </c>
      <c r="F1591" s="29" t="str">
        <f>IF(DAY(Data!$C$21:$C$1613)&gt;0,TEXT(Data!$C$21:$C$1613, "aaaa"),"")</f>
        <v>2026</v>
      </c>
      <c r="I1591" t="str">
        <f>IF(OR(H1591=$B$5,H1591=$B$6,H1591=$B$7,H1591=$B$8,H1591=$B$9,H1591=$B$10,H1591=$B$11,H1591=$B$12,H1591=$B$13,H1591=$B$14),SottocategorieUscite[[#Headers],[Fuori Casa]],IF(OR(H1591=$C$5,H1591=$C$6,H1591=$C$7,H1591=$C$8,H1591=$C$9,H1591=$C$10,H1591=$C$11,H1591=$C$12,H1591=$C$13,H1591=$C$14),SottocategorieUscite[[#Headers],[Varie Uscite]],IF(OR(H1591=$D$5,H1591=$D$6,H1591=$D$7,H1591=$D$8,H1591=$D$9,H1591=$D$10,H1591=$D$11,H1591=$D$12,H1591=$D$13,H1591=$D$14),SottocategorieUscite[[#Headers],[Personali]],IF(OR(H1591=$E$5,H1591=$E$6,H1591=$E$7,H1591=$E$8,H1591=$E$9,H1591=$E$10,H1591=$E$11,H1591=$E$12,H1591=$E$13,H1591=$E$14),SottocategorieUscite[[#Headers],[Lavoro]],IF(OR(H1591=$F$5,H1591=$F$6,H1591=$F$7,H1591=$F$8,H1591=$F$9,H1591=$F$10,H1591=$F$11,H1591=$F$12,H1591=$F$13,H1591=$F$14),SottocategorieUscite[[#Headers],[Casa]],IF(OR(H1591=$G$5,H1591=$G$6,H1591=$G$7,H1591=$G$8,H1591=$G$9,H1591=$G$10,H1591=$G$11,H1591=$G$12,H1591=$G$13,H1591=$G$14),SottocategorieUscite[[#Headers],[Utenze]],IF(OR(H1591=$H$5,H1591=$H$6,H1591=$H$7,H1591=$H$8,H1591=$H$9,H1591=$H$10,H1591=$H$11,H1591=$H$12,H1591=$H$13,H1591=$H$14),SottocategorieUscite[[#Headers],[Business Uscite]],IF(OR(H1591=$I$5,H1591=$I$6,H1591=$I$7,H1591=$I$8,H1591=$I$9,H1591=$I$10,H1591=$I$11,H1591=$I$12,H1591=$I$13,H1591=$I$14),SottocategorieUscite[[#Headers],[Banca]],IF(OR(H1591=K$5,H1591=K$6,H1591=K$7,H1591=K$8,H1591=K$9,H1591=K$10,H1591=K$11,H1591=K$12,H1591=K$13,H1591=K$14),SottocategorieEntrate[[#Headers],[Business Entrate]],IF(OR(H1591=L$5,H1591=L$6,H1591=L$7,H1591=L$8,H1591=L$9,H1591=L$10,H1591=L$11,H1591=L$12,H1591=L$13,H1591=L$14),SottocategorieEntrate[[#Headers],[Varie Entrate]],IF(OR(H1591=M$5,H1591=M$6,H1591=M$7,H1591=M$8,H1591=M$9,H1591=M$10,H1591=M$11,H1591=M$12,H1591=M$13,H1591=M$14),SottocategorieEntrate[[#Headers],[Real Estate]],IF(OR(H1591=N$5,H1591=N$6,H1591=N$7,H1591=N$8,H1591=N$9,H1591=N$10,H1591=N$11,H1591=N$12,H1591=N$13,H1591=N$14),SottocategorieEntrate[[#Headers],[Other]],""))))))))))))</f>
        <v/>
      </c>
      <c r="J1591" t="str">
        <f>IF(OR(Dati[[#This Row],[Categoria]]="Bollette",Dati[[#This Row],[Categoria]]="Conto &amp; Carte BNL",Dati[[#This Row],[Categoria]]="Prelievo",Dati[[#This Row],[Categoria]]="Affitto",Dati[[#This Row],[Categoria]]="BNL(Interessi Creditori)"),"Carta",IF(Dati[[#This Row],[Categoria]]&lt;&gt;0,"Cash",""))</f>
        <v/>
      </c>
      <c r="K1591" s="59" t="str">
        <f>IF(OR(Data!$I1591=SottocategorieUscite[[#Headers],[Fuori Casa]],Data!$I1591=SottocategorieUscite[[#Headers],[Varie Uscite]],Data!$I1591=SottocategorieUscite[[#Headers],[Personali]],Data!$I1591=SottocategorieUscite[[#Headers],[Lavoro]]),"$ -","")</f>
        <v/>
      </c>
      <c r="L1591" s="59" t="str">
        <f>IF(OR(Data!$I1591=SottocategorieUscite[[#Headers],[Casa]],Data!$I1591=SottocategorieUscite[[#Headers],[Utenze]],Data!$I1591=SottocategorieUscite[[#Headers],[Business Uscite]],Data!$I1591=SottocategorieUscite[[#Headers],[Banca]]),"$ -","")</f>
        <v/>
      </c>
      <c r="M1591" s="59" t="str">
        <f>IF(OR($I1591&lt;&gt;SottocategorieUscite[[#Headers],[Fuori Casa]],$I1591&lt;&gt;SottocategorieUscite[[#Headers],[Varie Uscite]],$I1591&lt;&gt;SottocategorieUscite[[#Headers],[Personali]],$I1591&lt;&gt;SottocategorieUscite[[#Headers],[Lavoro]],$I1591&lt;&gt;SottocategorieUscite[[#Headers],[Casa]],$I1591&lt;&gt;SottocategorieUscite[[#Headers],[Utenze]],$I1591&lt;&gt;SottocategorieUscite[[#Headers],[Business Uscite]],$I1591&lt;&gt;SottocategorieUscite[[#Headers],[Banca]]),"","$ -")</f>
        <v/>
      </c>
      <c r="N1591" s="59" t="str">
        <f>IF(OR(Data!$I1591=SottocategorieEntrate[[#Headers],[Business Entrate]],Data!$I1591=SottocategorieEntrate[[#Headers],[Varie Entrate]]),"$ -","")</f>
        <v/>
      </c>
      <c r="O1591" s="59" t="str">
        <f>IF(OR(Data!$I1591=SottocategorieEntrate[[#Headers],[Real Estate]],SottocategorieEntrate[[#Headers],[Other]]),"$ -","")</f>
        <v/>
      </c>
      <c r="P1591" s="59" t="str">
        <f>IF(OR($I1591&lt;&gt;SottocategorieEntrate[[#Headers],[Business Entrate]],$I1591&lt;&gt;SottocategorieEntrate[[#Headers],[Varie Entrate]],$I1591&lt;&gt;SottocategorieEntrate[[#Headers],[Real Estate]],$I1591&lt;&gt;SottocategorieEntrate[[#Headers],[Other]]),"","$ -")</f>
        <v/>
      </c>
      <c r="Q1591" s="59" t="str">
        <f>IF(Dati[[#This Row],[Categoria]]="Prelievo","€ -","")</f>
        <v/>
      </c>
      <c r="R1591" s="244"/>
      <c r="S1591" s="59" t="str">
        <f>IF(Dati[[#This Row],[Categoria]]="Savings",0,"")</f>
        <v/>
      </c>
      <c r="T1591" s="59"/>
      <c r="U1591" s="59"/>
      <c r="V1591" s="59"/>
      <c r="W1591" s="59"/>
      <c r="X1591" s="59"/>
      <c r="Y1591" s="59"/>
      <c r="Z1591" s="59"/>
      <c r="AA1591" s="59"/>
      <c r="AB1591" s="59"/>
      <c r="AC1591" s="59"/>
      <c r="AD1591" s="59"/>
      <c r="AE1591" s="59"/>
      <c r="AF1591" s="59"/>
      <c r="AG1591" s="59"/>
      <c r="AH1591" s="59"/>
      <c r="AI1591" s="59" t="str">
        <f>IF(SUM(Dati[[#This Row],[Inv. Business]:[Inv. Cryptocurrency]])=0," ",SUM(Dati[[#This Row],[Inv. Business]:[Inv. Cryptocurrency]]))</f>
        <v xml:space="preserve"> </v>
      </c>
      <c r="AJ1591" s="59"/>
      <c r="AK1591" s="59" t="str">
        <f>IF(SUM(Dati[[#This Row],[Inv. Gold]:[Mutuo]])=0," ",SUM(Dati[[#This Row],[Inv. Gold]:[Mutuo]]))</f>
        <v xml:space="preserve"> </v>
      </c>
      <c r="AL1591" s="59"/>
      <c r="AM1591" s="59"/>
    </row>
    <row r="1592" spans="2:39" x14ac:dyDescent="0.35">
      <c r="B1592" s="237">
        <f t="shared" si="113"/>
        <v>1572</v>
      </c>
      <c r="C1592" s="49">
        <f t="shared" si="112"/>
        <v>46150</v>
      </c>
      <c r="D1592" s="29">
        <f>DAY(Dati[[#This Row],[Data]])</f>
        <v>8</v>
      </c>
      <c r="E1592" s="29" t="str">
        <f>IF(DAY(Data!$C$21:$C$1613)&gt;0,TEXT(Data!$C$21:$C$1613, "mmmm"),"")</f>
        <v>maggio</v>
      </c>
      <c r="F1592" s="29" t="str">
        <f>IF(DAY(Data!$C$21:$C$1613)&gt;0,TEXT(Data!$C$21:$C$1613, "aaaa"),"")</f>
        <v>2026</v>
      </c>
      <c r="I1592" t="str">
        <f>IF(OR(H1592=$B$5,H1592=$B$6,H1592=$B$7,H1592=$B$8,H1592=$B$9,H1592=$B$10,H1592=$B$11,H1592=$B$12,H1592=$B$13,H1592=$B$14),SottocategorieUscite[[#Headers],[Fuori Casa]],IF(OR(H1592=$C$5,H1592=$C$6,H1592=$C$7,H1592=$C$8,H1592=$C$9,H1592=$C$10,H1592=$C$11,H1592=$C$12,H1592=$C$13,H1592=$C$14),SottocategorieUscite[[#Headers],[Varie Uscite]],IF(OR(H1592=$D$5,H1592=$D$6,H1592=$D$7,H1592=$D$8,H1592=$D$9,H1592=$D$10,H1592=$D$11,H1592=$D$12,H1592=$D$13,H1592=$D$14),SottocategorieUscite[[#Headers],[Personali]],IF(OR(H1592=$E$5,H1592=$E$6,H1592=$E$7,H1592=$E$8,H1592=$E$9,H1592=$E$10,H1592=$E$11,H1592=$E$12,H1592=$E$13,H1592=$E$14),SottocategorieUscite[[#Headers],[Lavoro]],IF(OR(H1592=$F$5,H1592=$F$6,H1592=$F$7,H1592=$F$8,H1592=$F$9,H1592=$F$10,H1592=$F$11,H1592=$F$12,H1592=$F$13,H1592=$F$14),SottocategorieUscite[[#Headers],[Casa]],IF(OR(H1592=$G$5,H1592=$G$6,H1592=$G$7,H1592=$G$8,H1592=$G$9,H1592=$G$10,H1592=$G$11,H1592=$G$12,H1592=$G$13,H1592=$G$14),SottocategorieUscite[[#Headers],[Utenze]],IF(OR(H1592=$H$5,H1592=$H$6,H1592=$H$7,H1592=$H$8,H1592=$H$9,H1592=$H$10,H1592=$H$11,H1592=$H$12,H1592=$H$13,H1592=$H$14),SottocategorieUscite[[#Headers],[Business Uscite]],IF(OR(H1592=$I$5,H1592=$I$6,H1592=$I$7,H1592=$I$8,H1592=$I$9,H1592=$I$10,H1592=$I$11,H1592=$I$12,H1592=$I$13,H1592=$I$14),SottocategorieUscite[[#Headers],[Banca]],IF(OR(H1592=K$5,H1592=K$6,H1592=K$7,H1592=K$8,H1592=K$9,H1592=K$10,H1592=K$11,H1592=K$12,H1592=K$13,H1592=K$14),SottocategorieEntrate[[#Headers],[Business Entrate]],IF(OR(H1592=L$5,H1592=L$6,H1592=L$7,H1592=L$8,H1592=L$9,H1592=L$10,H1592=L$11,H1592=L$12,H1592=L$13,H1592=L$14),SottocategorieEntrate[[#Headers],[Varie Entrate]],IF(OR(H1592=M$5,H1592=M$6,H1592=M$7,H1592=M$8,H1592=M$9,H1592=M$10,H1592=M$11,H1592=M$12,H1592=M$13,H1592=M$14),SottocategorieEntrate[[#Headers],[Real Estate]],IF(OR(H1592=N$5,H1592=N$6,H1592=N$7,H1592=N$8,H1592=N$9,H1592=N$10,H1592=N$11,H1592=N$12,H1592=N$13,H1592=N$14),SottocategorieEntrate[[#Headers],[Other]],""))))))))))))</f>
        <v/>
      </c>
      <c r="J1592" t="str">
        <f>IF(OR(Dati[[#This Row],[Categoria]]="Bollette",Dati[[#This Row],[Categoria]]="Conto &amp; Carte BNL",Dati[[#This Row],[Categoria]]="Prelievo",Dati[[#This Row],[Categoria]]="Affitto",Dati[[#This Row],[Categoria]]="BNL(Interessi Creditori)"),"Carta",IF(Dati[[#This Row],[Categoria]]&lt;&gt;0,"Cash",""))</f>
        <v/>
      </c>
      <c r="K1592" s="59" t="str">
        <f>IF(OR(Data!$I1592=SottocategorieUscite[[#Headers],[Fuori Casa]],Data!$I1592=SottocategorieUscite[[#Headers],[Varie Uscite]],Data!$I1592=SottocategorieUscite[[#Headers],[Personali]],Data!$I1592=SottocategorieUscite[[#Headers],[Lavoro]]),"$ -","")</f>
        <v/>
      </c>
      <c r="L1592" s="59" t="str">
        <f>IF(OR(Data!$I1592=SottocategorieUscite[[#Headers],[Casa]],Data!$I1592=SottocategorieUscite[[#Headers],[Utenze]],Data!$I1592=SottocategorieUscite[[#Headers],[Business Uscite]],Data!$I1592=SottocategorieUscite[[#Headers],[Banca]]),"$ -","")</f>
        <v/>
      </c>
      <c r="M1592" s="59" t="str">
        <f>IF(OR($I1592&lt;&gt;SottocategorieUscite[[#Headers],[Fuori Casa]],$I1592&lt;&gt;SottocategorieUscite[[#Headers],[Varie Uscite]],$I1592&lt;&gt;SottocategorieUscite[[#Headers],[Personali]],$I1592&lt;&gt;SottocategorieUscite[[#Headers],[Lavoro]],$I1592&lt;&gt;SottocategorieUscite[[#Headers],[Casa]],$I1592&lt;&gt;SottocategorieUscite[[#Headers],[Utenze]],$I1592&lt;&gt;SottocategorieUscite[[#Headers],[Business Uscite]],$I1592&lt;&gt;SottocategorieUscite[[#Headers],[Banca]]),"","$ -")</f>
        <v/>
      </c>
      <c r="N1592" s="59" t="str">
        <f>IF(OR(Data!$I1592=SottocategorieEntrate[[#Headers],[Business Entrate]],Data!$I1592=SottocategorieEntrate[[#Headers],[Varie Entrate]]),"$ -","")</f>
        <v/>
      </c>
      <c r="O1592" s="59" t="str">
        <f>IF(OR(Data!$I1592=SottocategorieEntrate[[#Headers],[Real Estate]],SottocategorieEntrate[[#Headers],[Other]]),"$ -","")</f>
        <v/>
      </c>
      <c r="P1592" s="59" t="str">
        <f>IF(OR($I1592&lt;&gt;SottocategorieEntrate[[#Headers],[Business Entrate]],$I1592&lt;&gt;SottocategorieEntrate[[#Headers],[Varie Entrate]],$I1592&lt;&gt;SottocategorieEntrate[[#Headers],[Real Estate]],$I1592&lt;&gt;SottocategorieEntrate[[#Headers],[Other]]),"","$ -")</f>
        <v/>
      </c>
      <c r="Q1592" s="59" t="str">
        <f>IF(Dati[[#This Row],[Categoria]]="Prelievo","€ -","")</f>
        <v/>
      </c>
      <c r="R1592" s="244"/>
      <c r="S1592" s="59" t="str">
        <f>IF(Dati[[#This Row],[Categoria]]="Savings",0,"")</f>
        <v/>
      </c>
      <c r="T1592" s="59"/>
      <c r="U1592" s="59"/>
      <c r="V1592" s="59"/>
      <c r="W1592" s="59"/>
      <c r="X1592" s="59"/>
      <c r="Y1592" s="59"/>
      <c r="Z1592" s="59"/>
      <c r="AA1592" s="59"/>
      <c r="AB1592" s="59"/>
      <c r="AC1592" s="59"/>
      <c r="AD1592" s="59"/>
      <c r="AE1592" s="59"/>
      <c r="AF1592" s="59"/>
      <c r="AG1592" s="59"/>
      <c r="AH1592" s="59"/>
      <c r="AI1592" s="59" t="str">
        <f>IF(SUM(Dati[[#This Row],[Inv. Business]:[Inv. Cryptocurrency]])=0," ",SUM(Dati[[#This Row],[Inv. Business]:[Inv. Cryptocurrency]]))</f>
        <v xml:space="preserve"> </v>
      </c>
      <c r="AJ1592" s="59"/>
      <c r="AK1592" s="59" t="str">
        <f>IF(SUM(Dati[[#This Row],[Inv. Gold]:[Mutuo]])=0," ",SUM(Dati[[#This Row],[Inv. Gold]:[Mutuo]]))</f>
        <v xml:space="preserve"> </v>
      </c>
      <c r="AL1592" s="59"/>
      <c r="AM1592" s="59"/>
    </row>
    <row r="1593" spans="2:39" x14ac:dyDescent="0.35">
      <c r="B1593" s="237">
        <f t="shared" si="113"/>
        <v>1573</v>
      </c>
      <c r="C1593" s="49">
        <f t="shared" si="112"/>
        <v>46151</v>
      </c>
      <c r="D1593" s="29">
        <f>DAY(Dati[[#This Row],[Data]])</f>
        <v>9</v>
      </c>
      <c r="E1593" s="29" t="str">
        <f>IF(DAY(Data!$C$21:$C$1613)&gt;0,TEXT(Data!$C$21:$C$1613, "mmmm"),"")</f>
        <v>maggio</v>
      </c>
      <c r="F1593" s="29" t="str">
        <f>IF(DAY(Data!$C$21:$C$1613)&gt;0,TEXT(Data!$C$21:$C$1613, "aaaa"),"")</f>
        <v>2026</v>
      </c>
      <c r="I1593" t="str">
        <f>IF(OR(H1593=$B$5,H1593=$B$6,H1593=$B$7,H1593=$B$8,H1593=$B$9,H1593=$B$10,H1593=$B$11,H1593=$B$12,H1593=$B$13,H1593=$B$14),SottocategorieUscite[[#Headers],[Fuori Casa]],IF(OR(H1593=$C$5,H1593=$C$6,H1593=$C$7,H1593=$C$8,H1593=$C$9,H1593=$C$10,H1593=$C$11,H1593=$C$12,H1593=$C$13,H1593=$C$14),SottocategorieUscite[[#Headers],[Varie Uscite]],IF(OR(H1593=$D$5,H1593=$D$6,H1593=$D$7,H1593=$D$8,H1593=$D$9,H1593=$D$10,H1593=$D$11,H1593=$D$12,H1593=$D$13,H1593=$D$14),SottocategorieUscite[[#Headers],[Personali]],IF(OR(H1593=$E$5,H1593=$E$6,H1593=$E$7,H1593=$E$8,H1593=$E$9,H1593=$E$10,H1593=$E$11,H1593=$E$12,H1593=$E$13,H1593=$E$14),SottocategorieUscite[[#Headers],[Lavoro]],IF(OR(H1593=$F$5,H1593=$F$6,H1593=$F$7,H1593=$F$8,H1593=$F$9,H1593=$F$10,H1593=$F$11,H1593=$F$12,H1593=$F$13,H1593=$F$14),SottocategorieUscite[[#Headers],[Casa]],IF(OR(H1593=$G$5,H1593=$G$6,H1593=$G$7,H1593=$G$8,H1593=$G$9,H1593=$G$10,H1593=$G$11,H1593=$G$12,H1593=$G$13,H1593=$G$14),SottocategorieUscite[[#Headers],[Utenze]],IF(OR(H1593=$H$5,H1593=$H$6,H1593=$H$7,H1593=$H$8,H1593=$H$9,H1593=$H$10,H1593=$H$11,H1593=$H$12,H1593=$H$13,H1593=$H$14),SottocategorieUscite[[#Headers],[Business Uscite]],IF(OR(H1593=$I$5,H1593=$I$6,H1593=$I$7,H1593=$I$8,H1593=$I$9,H1593=$I$10,H1593=$I$11,H1593=$I$12,H1593=$I$13,H1593=$I$14),SottocategorieUscite[[#Headers],[Banca]],IF(OR(H1593=K$5,H1593=K$6,H1593=K$7,H1593=K$8,H1593=K$9,H1593=K$10,H1593=K$11,H1593=K$12,H1593=K$13,H1593=K$14),SottocategorieEntrate[[#Headers],[Business Entrate]],IF(OR(H1593=L$5,H1593=L$6,H1593=L$7,H1593=L$8,H1593=L$9,H1593=L$10,H1593=L$11,H1593=L$12,H1593=L$13,H1593=L$14),SottocategorieEntrate[[#Headers],[Varie Entrate]],IF(OR(H1593=M$5,H1593=M$6,H1593=M$7,H1593=M$8,H1593=M$9,H1593=M$10,H1593=M$11,H1593=M$12,H1593=M$13,H1593=M$14),SottocategorieEntrate[[#Headers],[Real Estate]],IF(OR(H1593=N$5,H1593=N$6,H1593=N$7,H1593=N$8,H1593=N$9,H1593=N$10,H1593=N$11,H1593=N$12,H1593=N$13,H1593=N$14),SottocategorieEntrate[[#Headers],[Other]],""))))))))))))</f>
        <v/>
      </c>
      <c r="J1593" t="str">
        <f>IF(OR(Dati[[#This Row],[Categoria]]="Bollette",Dati[[#This Row],[Categoria]]="Conto &amp; Carte BNL",Dati[[#This Row],[Categoria]]="Prelievo",Dati[[#This Row],[Categoria]]="Affitto",Dati[[#This Row],[Categoria]]="BNL(Interessi Creditori)"),"Carta",IF(Dati[[#This Row],[Categoria]]&lt;&gt;0,"Cash",""))</f>
        <v/>
      </c>
      <c r="K1593" s="59" t="str">
        <f>IF(OR(Data!$I1593=SottocategorieUscite[[#Headers],[Fuori Casa]],Data!$I1593=SottocategorieUscite[[#Headers],[Varie Uscite]],Data!$I1593=SottocategorieUscite[[#Headers],[Personali]],Data!$I1593=SottocategorieUscite[[#Headers],[Lavoro]]),"$ -","")</f>
        <v/>
      </c>
      <c r="L1593" s="59" t="str">
        <f>IF(OR(Data!$I1593=SottocategorieUscite[[#Headers],[Casa]],Data!$I1593=SottocategorieUscite[[#Headers],[Utenze]],Data!$I1593=SottocategorieUscite[[#Headers],[Business Uscite]],Data!$I1593=SottocategorieUscite[[#Headers],[Banca]]),"$ -","")</f>
        <v/>
      </c>
      <c r="M1593" s="59" t="str">
        <f>IF(OR($I1593&lt;&gt;SottocategorieUscite[[#Headers],[Fuori Casa]],$I1593&lt;&gt;SottocategorieUscite[[#Headers],[Varie Uscite]],$I1593&lt;&gt;SottocategorieUscite[[#Headers],[Personali]],$I1593&lt;&gt;SottocategorieUscite[[#Headers],[Lavoro]],$I1593&lt;&gt;SottocategorieUscite[[#Headers],[Casa]],$I1593&lt;&gt;SottocategorieUscite[[#Headers],[Utenze]],$I1593&lt;&gt;SottocategorieUscite[[#Headers],[Business Uscite]],$I1593&lt;&gt;SottocategorieUscite[[#Headers],[Banca]]),"","$ -")</f>
        <v/>
      </c>
      <c r="N1593" s="59" t="str">
        <f>IF(OR(Data!$I1593=SottocategorieEntrate[[#Headers],[Business Entrate]],Data!$I1593=SottocategorieEntrate[[#Headers],[Varie Entrate]]),"$ -","")</f>
        <v/>
      </c>
      <c r="O1593" s="59" t="str">
        <f>IF(OR(Data!$I1593=SottocategorieEntrate[[#Headers],[Real Estate]],SottocategorieEntrate[[#Headers],[Other]]),"$ -","")</f>
        <v/>
      </c>
      <c r="P1593" s="59" t="str">
        <f>IF(OR($I1593&lt;&gt;SottocategorieEntrate[[#Headers],[Business Entrate]],$I1593&lt;&gt;SottocategorieEntrate[[#Headers],[Varie Entrate]],$I1593&lt;&gt;SottocategorieEntrate[[#Headers],[Real Estate]],$I1593&lt;&gt;SottocategorieEntrate[[#Headers],[Other]]),"","$ -")</f>
        <v/>
      </c>
      <c r="Q1593" s="59" t="str">
        <f>IF(Dati[[#This Row],[Categoria]]="Prelievo","€ -","")</f>
        <v/>
      </c>
      <c r="R1593" s="244"/>
      <c r="S1593" s="59" t="str">
        <f>IF(Dati[[#This Row],[Categoria]]="Savings",0,"")</f>
        <v/>
      </c>
      <c r="T1593" s="59"/>
      <c r="U1593" s="59"/>
      <c r="V1593" s="59"/>
      <c r="W1593" s="59"/>
      <c r="X1593" s="59"/>
      <c r="Y1593" s="59"/>
      <c r="Z1593" s="59"/>
      <c r="AA1593" s="59"/>
      <c r="AB1593" s="59"/>
      <c r="AC1593" s="59"/>
      <c r="AD1593" s="59"/>
      <c r="AE1593" s="59"/>
      <c r="AF1593" s="59"/>
      <c r="AG1593" s="59"/>
      <c r="AH1593" s="59"/>
      <c r="AI1593" s="59" t="str">
        <f>IF(SUM(Dati[[#This Row],[Inv. Business]:[Inv. Cryptocurrency]])=0," ",SUM(Dati[[#This Row],[Inv. Business]:[Inv. Cryptocurrency]]))</f>
        <v xml:space="preserve"> </v>
      </c>
      <c r="AJ1593" s="59"/>
      <c r="AK1593" s="59" t="str">
        <f>IF(SUM(Dati[[#This Row],[Inv. Gold]:[Mutuo]])=0," ",SUM(Dati[[#This Row],[Inv. Gold]:[Mutuo]]))</f>
        <v xml:space="preserve"> </v>
      </c>
      <c r="AL1593" s="59"/>
      <c r="AM1593" s="59"/>
    </row>
    <row r="1594" spans="2:39" x14ac:dyDescent="0.35">
      <c r="B1594" s="237">
        <f t="shared" si="113"/>
        <v>1574</v>
      </c>
      <c r="C1594" s="49">
        <f t="shared" si="112"/>
        <v>46152</v>
      </c>
      <c r="D1594" s="29">
        <f>DAY(Dati[[#This Row],[Data]])</f>
        <v>10</v>
      </c>
      <c r="E1594" s="29" t="str">
        <f>IF(DAY(Data!$C$21:$C$1613)&gt;0,TEXT(Data!$C$21:$C$1613, "mmmm"),"")</f>
        <v>maggio</v>
      </c>
      <c r="F1594" s="29" t="str">
        <f>IF(DAY(Data!$C$21:$C$1613)&gt;0,TEXT(Data!$C$21:$C$1613, "aaaa"),"")</f>
        <v>2026</v>
      </c>
      <c r="I1594" t="str">
        <f>IF(OR(H1594=$B$5,H1594=$B$6,H1594=$B$7,H1594=$B$8,H1594=$B$9,H1594=$B$10,H1594=$B$11,H1594=$B$12,H1594=$B$13,H1594=$B$14),SottocategorieUscite[[#Headers],[Fuori Casa]],IF(OR(H1594=$C$5,H1594=$C$6,H1594=$C$7,H1594=$C$8,H1594=$C$9,H1594=$C$10,H1594=$C$11,H1594=$C$12,H1594=$C$13,H1594=$C$14),SottocategorieUscite[[#Headers],[Varie Uscite]],IF(OR(H1594=$D$5,H1594=$D$6,H1594=$D$7,H1594=$D$8,H1594=$D$9,H1594=$D$10,H1594=$D$11,H1594=$D$12,H1594=$D$13,H1594=$D$14),SottocategorieUscite[[#Headers],[Personali]],IF(OR(H1594=$E$5,H1594=$E$6,H1594=$E$7,H1594=$E$8,H1594=$E$9,H1594=$E$10,H1594=$E$11,H1594=$E$12,H1594=$E$13,H1594=$E$14),SottocategorieUscite[[#Headers],[Lavoro]],IF(OR(H1594=$F$5,H1594=$F$6,H1594=$F$7,H1594=$F$8,H1594=$F$9,H1594=$F$10,H1594=$F$11,H1594=$F$12,H1594=$F$13,H1594=$F$14),SottocategorieUscite[[#Headers],[Casa]],IF(OR(H1594=$G$5,H1594=$G$6,H1594=$G$7,H1594=$G$8,H1594=$G$9,H1594=$G$10,H1594=$G$11,H1594=$G$12,H1594=$G$13,H1594=$G$14),SottocategorieUscite[[#Headers],[Utenze]],IF(OR(H1594=$H$5,H1594=$H$6,H1594=$H$7,H1594=$H$8,H1594=$H$9,H1594=$H$10,H1594=$H$11,H1594=$H$12,H1594=$H$13,H1594=$H$14),SottocategorieUscite[[#Headers],[Business Uscite]],IF(OR(H1594=$I$5,H1594=$I$6,H1594=$I$7,H1594=$I$8,H1594=$I$9,H1594=$I$10,H1594=$I$11,H1594=$I$12,H1594=$I$13,H1594=$I$14),SottocategorieUscite[[#Headers],[Banca]],IF(OR(H1594=K$5,H1594=K$6,H1594=K$7,H1594=K$8,H1594=K$9,H1594=K$10,H1594=K$11,H1594=K$12,H1594=K$13,H1594=K$14),SottocategorieEntrate[[#Headers],[Business Entrate]],IF(OR(H1594=L$5,H1594=L$6,H1594=L$7,H1594=L$8,H1594=L$9,H1594=L$10,H1594=L$11,H1594=L$12,H1594=L$13,H1594=L$14),SottocategorieEntrate[[#Headers],[Varie Entrate]],IF(OR(H1594=M$5,H1594=M$6,H1594=M$7,H1594=M$8,H1594=M$9,H1594=M$10,H1594=M$11,H1594=M$12,H1594=M$13,H1594=M$14),SottocategorieEntrate[[#Headers],[Real Estate]],IF(OR(H1594=N$5,H1594=N$6,H1594=N$7,H1594=N$8,H1594=N$9,H1594=N$10,H1594=N$11,H1594=N$12,H1594=N$13,H1594=N$14),SottocategorieEntrate[[#Headers],[Other]],""))))))))))))</f>
        <v/>
      </c>
      <c r="J1594" t="str">
        <f>IF(OR(Dati[[#This Row],[Categoria]]="Bollette",Dati[[#This Row],[Categoria]]="Conto &amp; Carte BNL",Dati[[#This Row],[Categoria]]="Prelievo",Dati[[#This Row],[Categoria]]="Affitto",Dati[[#This Row],[Categoria]]="BNL(Interessi Creditori)"),"Carta",IF(Dati[[#This Row],[Categoria]]&lt;&gt;0,"Cash",""))</f>
        <v/>
      </c>
      <c r="K1594" s="59" t="str">
        <f>IF(OR(Data!$I1594=SottocategorieUscite[[#Headers],[Fuori Casa]],Data!$I1594=SottocategorieUscite[[#Headers],[Varie Uscite]],Data!$I1594=SottocategorieUscite[[#Headers],[Personali]],Data!$I1594=SottocategorieUscite[[#Headers],[Lavoro]]),"$ -","")</f>
        <v/>
      </c>
      <c r="L1594" s="59" t="str">
        <f>IF(OR(Data!$I1594=SottocategorieUscite[[#Headers],[Casa]],Data!$I1594=SottocategorieUscite[[#Headers],[Utenze]],Data!$I1594=SottocategorieUscite[[#Headers],[Business Uscite]],Data!$I1594=SottocategorieUscite[[#Headers],[Banca]]),"$ -","")</f>
        <v/>
      </c>
      <c r="M1594" s="59" t="str">
        <f>IF(OR($I1594&lt;&gt;SottocategorieUscite[[#Headers],[Fuori Casa]],$I1594&lt;&gt;SottocategorieUscite[[#Headers],[Varie Uscite]],$I1594&lt;&gt;SottocategorieUscite[[#Headers],[Personali]],$I1594&lt;&gt;SottocategorieUscite[[#Headers],[Lavoro]],$I1594&lt;&gt;SottocategorieUscite[[#Headers],[Casa]],$I1594&lt;&gt;SottocategorieUscite[[#Headers],[Utenze]],$I1594&lt;&gt;SottocategorieUscite[[#Headers],[Business Uscite]],$I1594&lt;&gt;SottocategorieUscite[[#Headers],[Banca]]),"","$ -")</f>
        <v/>
      </c>
      <c r="N1594" s="59" t="str">
        <f>IF(OR(Data!$I1594=SottocategorieEntrate[[#Headers],[Business Entrate]],Data!$I1594=SottocategorieEntrate[[#Headers],[Varie Entrate]]),"$ -","")</f>
        <v/>
      </c>
      <c r="O1594" s="59" t="str">
        <f>IF(OR(Data!$I1594=SottocategorieEntrate[[#Headers],[Real Estate]],SottocategorieEntrate[[#Headers],[Other]]),"$ -","")</f>
        <v/>
      </c>
      <c r="P1594" s="59" t="str">
        <f>IF(OR($I1594&lt;&gt;SottocategorieEntrate[[#Headers],[Business Entrate]],$I1594&lt;&gt;SottocategorieEntrate[[#Headers],[Varie Entrate]],$I1594&lt;&gt;SottocategorieEntrate[[#Headers],[Real Estate]],$I1594&lt;&gt;SottocategorieEntrate[[#Headers],[Other]]),"","$ -")</f>
        <v/>
      </c>
      <c r="Q1594" s="59" t="str">
        <f>IF(Dati[[#This Row],[Categoria]]="Prelievo","€ -","")</f>
        <v/>
      </c>
      <c r="R1594" s="244"/>
      <c r="S1594" s="59" t="str">
        <f>IF(Dati[[#This Row],[Categoria]]="Savings",0,"")</f>
        <v/>
      </c>
      <c r="T1594" s="59"/>
      <c r="U1594" s="59"/>
      <c r="V1594" s="59"/>
      <c r="W1594" s="59"/>
      <c r="X1594" s="59"/>
      <c r="Y1594" s="59"/>
      <c r="Z1594" s="59"/>
      <c r="AA1594" s="59"/>
      <c r="AB1594" s="59"/>
      <c r="AC1594" s="59"/>
      <c r="AD1594" s="59"/>
      <c r="AE1594" s="59"/>
      <c r="AF1594" s="59"/>
      <c r="AG1594" s="59"/>
      <c r="AH1594" s="59"/>
      <c r="AI1594" s="59" t="str">
        <f>IF(SUM(Dati[[#This Row],[Inv. Business]:[Inv. Cryptocurrency]])=0," ",SUM(Dati[[#This Row],[Inv. Business]:[Inv. Cryptocurrency]]))</f>
        <v xml:space="preserve"> </v>
      </c>
      <c r="AJ1594" s="59"/>
      <c r="AK1594" s="59" t="str">
        <f>IF(SUM(Dati[[#This Row],[Inv. Gold]:[Mutuo]])=0," ",SUM(Dati[[#This Row],[Inv. Gold]:[Mutuo]]))</f>
        <v xml:space="preserve"> </v>
      </c>
      <c r="AL1594" s="59"/>
      <c r="AM1594" s="59"/>
    </row>
    <row r="1595" spans="2:39" x14ac:dyDescent="0.35">
      <c r="B1595" s="237">
        <f t="shared" si="113"/>
        <v>1575</v>
      </c>
      <c r="C1595" s="49">
        <f t="shared" si="112"/>
        <v>46153</v>
      </c>
      <c r="D1595" s="29">
        <f>DAY(Dati[[#This Row],[Data]])</f>
        <v>11</v>
      </c>
      <c r="E1595" s="29" t="str">
        <f>IF(DAY(Data!$C$21:$C$1613)&gt;0,TEXT(Data!$C$21:$C$1613, "mmmm"),"")</f>
        <v>maggio</v>
      </c>
      <c r="F1595" s="29" t="str">
        <f>IF(DAY(Data!$C$21:$C$1613)&gt;0,TEXT(Data!$C$21:$C$1613, "aaaa"),"")</f>
        <v>2026</v>
      </c>
      <c r="I1595" t="str">
        <f>IF(OR(H1595=$B$5,H1595=$B$6,H1595=$B$7,H1595=$B$8,H1595=$B$9,H1595=$B$10,H1595=$B$11,H1595=$B$12,H1595=$B$13,H1595=$B$14),SottocategorieUscite[[#Headers],[Fuori Casa]],IF(OR(H1595=$C$5,H1595=$C$6,H1595=$C$7,H1595=$C$8,H1595=$C$9,H1595=$C$10,H1595=$C$11,H1595=$C$12,H1595=$C$13,H1595=$C$14),SottocategorieUscite[[#Headers],[Varie Uscite]],IF(OR(H1595=$D$5,H1595=$D$6,H1595=$D$7,H1595=$D$8,H1595=$D$9,H1595=$D$10,H1595=$D$11,H1595=$D$12,H1595=$D$13,H1595=$D$14),SottocategorieUscite[[#Headers],[Personali]],IF(OR(H1595=$E$5,H1595=$E$6,H1595=$E$7,H1595=$E$8,H1595=$E$9,H1595=$E$10,H1595=$E$11,H1595=$E$12,H1595=$E$13,H1595=$E$14),SottocategorieUscite[[#Headers],[Lavoro]],IF(OR(H1595=$F$5,H1595=$F$6,H1595=$F$7,H1595=$F$8,H1595=$F$9,H1595=$F$10,H1595=$F$11,H1595=$F$12,H1595=$F$13,H1595=$F$14),SottocategorieUscite[[#Headers],[Casa]],IF(OR(H1595=$G$5,H1595=$G$6,H1595=$G$7,H1595=$G$8,H1595=$G$9,H1595=$G$10,H1595=$G$11,H1595=$G$12,H1595=$G$13,H1595=$G$14),SottocategorieUscite[[#Headers],[Utenze]],IF(OR(H1595=$H$5,H1595=$H$6,H1595=$H$7,H1595=$H$8,H1595=$H$9,H1595=$H$10,H1595=$H$11,H1595=$H$12,H1595=$H$13,H1595=$H$14),SottocategorieUscite[[#Headers],[Business Uscite]],IF(OR(H1595=$I$5,H1595=$I$6,H1595=$I$7,H1595=$I$8,H1595=$I$9,H1595=$I$10,H1595=$I$11,H1595=$I$12,H1595=$I$13,H1595=$I$14),SottocategorieUscite[[#Headers],[Banca]],IF(OR(H1595=K$5,H1595=K$6,H1595=K$7,H1595=K$8,H1595=K$9,H1595=K$10,H1595=K$11,H1595=K$12,H1595=K$13,H1595=K$14),SottocategorieEntrate[[#Headers],[Business Entrate]],IF(OR(H1595=L$5,H1595=L$6,H1595=L$7,H1595=L$8,H1595=L$9,H1595=L$10,H1595=L$11,H1595=L$12,H1595=L$13,H1595=L$14),SottocategorieEntrate[[#Headers],[Varie Entrate]],IF(OR(H1595=M$5,H1595=M$6,H1595=M$7,H1595=M$8,H1595=M$9,H1595=M$10,H1595=M$11,H1595=M$12,H1595=M$13,H1595=M$14),SottocategorieEntrate[[#Headers],[Real Estate]],IF(OR(H1595=N$5,H1595=N$6,H1595=N$7,H1595=N$8,H1595=N$9,H1595=N$10,H1595=N$11,H1595=N$12,H1595=N$13,H1595=N$14),SottocategorieEntrate[[#Headers],[Other]],""))))))))))))</f>
        <v/>
      </c>
      <c r="J1595" t="str">
        <f>IF(OR(Dati[[#This Row],[Categoria]]="Bollette",Dati[[#This Row],[Categoria]]="Conto &amp; Carte BNL",Dati[[#This Row],[Categoria]]="Prelievo",Dati[[#This Row],[Categoria]]="Affitto",Dati[[#This Row],[Categoria]]="BNL(Interessi Creditori)"),"Carta",IF(Dati[[#This Row],[Categoria]]&lt;&gt;0,"Cash",""))</f>
        <v/>
      </c>
      <c r="K1595" s="59" t="str">
        <f>IF(OR(Data!$I1595=SottocategorieUscite[[#Headers],[Fuori Casa]],Data!$I1595=SottocategorieUscite[[#Headers],[Varie Uscite]],Data!$I1595=SottocategorieUscite[[#Headers],[Personali]],Data!$I1595=SottocategorieUscite[[#Headers],[Lavoro]]),"$ -","")</f>
        <v/>
      </c>
      <c r="L1595" s="59" t="str">
        <f>IF(OR(Data!$I1595=SottocategorieUscite[[#Headers],[Casa]],Data!$I1595=SottocategorieUscite[[#Headers],[Utenze]],Data!$I1595=SottocategorieUscite[[#Headers],[Business Uscite]],Data!$I1595=SottocategorieUscite[[#Headers],[Banca]]),"$ -","")</f>
        <v/>
      </c>
      <c r="M1595" s="59" t="str">
        <f>IF(OR($I1595&lt;&gt;SottocategorieUscite[[#Headers],[Fuori Casa]],$I1595&lt;&gt;SottocategorieUscite[[#Headers],[Varie Uscite]],$I1595&lt;&gt;SottocategorieUscite[[#Headers],[Personali]],$I1595&lt;&gt;SottocategorieUscite[[#Headers],[Lavoro]],$I1595&lt;&gt;SottocategorieUscite[[#Headers],[Casa]],$I1595&lt;&gt;SottocategorieUscite[[#Headers],[Utenze]],$I1595&lt;&gt;SottocategorieUscite[[#Headers],[Business Uscite]],$I1595&lt;&gt;SottocategorieUscite[[#Headers],[Banca]]),"","$ -")</f>
        <v/>
      </c>
      <c r="N1595" s="59" t="str">
        <f>IF(OR(Data!$I1595=SottocategorieEntrate[[#Headers],[Business Entrate]],Data!$I1595=SottocategorieEntrate[[#Headers],[Varie Entrate]]),"$ -","")</f>
        <v/>
      </c>
      <c r="O1595" s="59" t="str">
        <f>IF(OR(Data!$I1595=SottocategorieEntrate[[#Headers],[Real Estate]],SottocategorieEntrate[[#Headers],[Other]]),"$ -","")</f>
        <v/>
      </c>
      <c r="P1595" s="59" t="str">
        <f>IF(OR($I1595&lt;&gt;SottocategorieEntrate[[#Headers],[Business Entrate]],$I1595&lt;&gt;SottocategorieEntrate[[#Headers],[Varie Entrate]],$I1595&lt;&gt;SottocategorieEntrate[[#Headers],[Real Estate]],$I1595&lt;&gt;SottocategorieEntrate[[#Headers],[Other]]),"","$ -")</f>
        <v/>
      </c>
      <c r="Q1595" s="59" t="str">
        <f>IF(Dati[[#This Row],[Categoria]]="Prelievo","€ -","")</f>
        <v/>
      </c>
      <c r="R1595" s="244"/>
      <c r="S1595" s="59" t="str">
        <f>IF(Dati[[#This Row],[Categoria]]="Savings",0,"")</f>
        <v/>
      </c>
      <c r="T1595" s="59"/>
      <c r="U1595" s="59"/>
      <c r="V1595" s="59"/>
      <c r="W1595" s="59"/>
      <c r="X1595" s="59"/>
      <c r="Y1595" s="59"/>
      <c r="Z1595" s="59"/>
      <c r="AA1595" s="59"/>
      <c r="AB1595" s="59"/>
      <c r="AC1595" s="59"/>
      <c r="AD1595" s="59"/>
      <c r="AE1595" s="59"/>
      <c r="AF1595" s="59"/>
      <c r="AG1595" s="59"/>
      <c r="AH1595" s="59"/>
      <c r="AI1595" s="59" t="str">
        <f>IF(SUM(Dati[[#This Row],[Inv. Business]:[Inv. Cryptocurrency]])=0," ",SUM(Dati[[#This Row],[Inv. Business]:[Inv. Cryptocurrency]]))</f>
        <v xml:space="preserve"> </v>
      </c>
      <c r="AJ1595" s="59"/>
      <c r="AK1595" s="59" t="str">
        <f>IF(SUM(Dati[[#This Row],[Inv. Gold]:[Mutuo]])=0," ",SUM(Dati[[#This Row],[Inv. Gold]:[Mutuo]]))</f>
        <v xml:space="preserve"> </v>
      </c>
      <c r="AL1595" s="59"/>
      <c r="AM1595" s="59"/>
    </row>
    <row r="1596" spans="2:39" x14ac:dyDescent="0.35">
      <c r="B1596" s="237">
        <f t="shared" si="113"/>
        <v>1576</v>
      </c>
      <c r="C1596" s="49">
        <f t="shared" si="112"/>
        <v>46154</v>
      </c>
      <c r="D1596" s="29">
        <f>DAY(Dati[[#This Row],[Data]])</f>
        <v>12</v>
      </c>
      <c r="E1596" s="29" t="str">
        <f>IF(DAY(Data!$C$21:$C$1613)&gt;0,TEXT(Data!$C$21:$C$1613, "mmmm"),"")</f>
        <v>maggio</v>
      </c>
      <c r="F1596" s="29" t="str">
        <f>IF(DAY(Data!$C$21:$C$1613)&gt;0,TEXT(Data!$C$21:$C$1613, "aaaa"),"")</f>
        <v>2026</v>
      </c>
      <c r="I1596" t="str">
        <f>IF(OR(H1596=$B$5,H1596=$B$6,H1596=$B$7,H1596=$B$8,H1596=$B$9,H1596=$B$10,H1596=$B$11,H1596=$B$12,H1596=$B$13,H1596=$B$14),SottocategorieUscite[[#Headers],[Fuori Casa]],IF(OR(H1596=$C$5,H1596=$C$6,H1596=$C$7,H1596=$C$8,H1596=$C$9,H1596=$C$10,H1596=$C$11,H1596=$C$12,H1596=$C$13,H1596=$C$14),SottocategorieUscite[[#Headers],[Varie Uscite]],IF(OR(H1596=$D$5,H1596=$D$6,H1596=$D$7,H1596=$D$8,H1596=$D$9,H1596=$D$10,H1596=$D$11,H1596=$D$12,H1596=$D$13,H1596=$D$14),SottocategorieUscite[[#Headers],[Personali]],IF(OR(H1596=$E$5,H1596=$E$6,H1596=$E$7,H1596=$E$8,H1596=$E$9,H1596=$E$10,H1596=$E$11,H1596=$E$12,H1596=$E$13,H1596=$E$14),SottocategorieUscite[[#Headers],[Lavoro]],IF(OR(H1596=$F$5,H1596=$F$6,H1596=$F$7,H1596=$F$8,H1596=$F$9,H1596=$F$10,H1596=$F$11,H1596=$F$12,H1596=$F$13,H1596=$F$14),SottocategorieUscite[[#Headers],[Casa]],IF(OR(H1596=$G$5,H1596=$G$6,H1596=$G$7,H1596=$G$8,H1596=$G$9,H1596=$G$10,H1596=$G$11,H1596=$G$12,H1596=$G$13,H1596=$G$14),SottocategorieUscite[[#Headers],[Utenze]],IF(OR(H1596=$H$5,H1596=$H$6,H1596=$H$7,H1596=$H$8,H1596=$H$9,H1596=$H$10,H1596=$H$11,H1596=$H$12,H1596=$H$13,H1596=$H$14),SottocategorieUscite[[#Headers],[Business Uscite]],IF(OR(H1596=$I$5,H1596=$I$6,H1596=$I$7,H1596=$I$8,H1596=$I$9,H1596=$I$10,H1596=$I$11,H1596=$I$12,H1596=$I$13,H1596=$I$14),SottocategorieUscite[[#Headers],[Banca]],IF(OR(H1596=K$5,H1596=K$6,H1596=K$7,H1596=K$8,H1596=K$9,H1596=K$10,H1596=K$11,H1596=K$12,H1596=K$13,H1596=K$14),SottocategorieEntrate[[#Headers],[Business Entrate]],IF(OR(H1596=L$5,H1596=L$6,H1596=L$7,H1596=L$8,H1596=L$9,H1596=L$10,H1596=L$11,H1596=L$12,H1596=L$13,H1596=L$14),SottocategorieEntrate[[#Headers],[Varie Entrate]],IF(OR(H1596=M$5,H1596=M$6,H1596=M$7,H1596=M$8,H1596=M$9,H1596=M$10,H1596=M$11,H1596=M$12,H1596=M$13,H1596=M$14),SottocategorieEntrate[[#Headers],[Real Estate]],IF(OR(H1596=N$5,H1596=N$6,H1596=N$7,H1596=N$8,H1596=N$9,H1596=N$10,H1596=N$11,H1596=N$12,H1596=N$13,H1596=N$14),SottocategorieEntrate[[#Headers],[Other]],""))))))))))))</f>
        <v/>
      </c>
      <c r="J1596" t="str">
        <f>IF(OR(Dati[[#This Row],[Categoria]]="Bollette",Dati[[#This Row],[Categoria]]="Conto &amp; Carte BNL",Dati[[#This Row],[Categoria]]="Prelievo",Dati[[#This Row],[Categoria]]="Affitto",Dati[[#This Row],[Categoria]]="BNL(Interessi Creditori)"),"Carta",IF(Dati[[#This Row],[Categoria]]&lt;&gt;0,"Cash",""))</f>
        <v/>
      </c>
      <c r="K1596" s="59" t="str">
        <f>IF(OR(Data!$I1596=SottocategorieUscite[[#Headers],[Fuori Casa]],Data!$I1596=SottocategorieUscite[[#Headers],[Varie Uscite]],Data!$I1596=SottocategorieUscite[[#Headers],[Personali]],Data!$I1596=SottocategorieUscite[[#Headers],[Lavoro]]),"$ -","")</f>
        <v/>
      </c>
      <c r="L1596" s="59" t="str">
        <f>IF(OR(Data!$I1596=SottocategorieUscite[[#Headers],[Casa]],Data!$I1596=SottocategorieUscite[[#Headers],[Utenze]],Data!$I1596=SottocategorieUscite[[#Headers],[Business Uscite]],Data!$I1596=SottocategorieUscite[[#Headers],[Banca]]),"$ -","")</f>
        <v/>
      </c>
      <c r="M1596" s="59" t="str">
        <f>IF(OR($I1596&lt;&gt;SottocategorieUscite[[#Headers],[Fuori Casa]],$I1596&lt;&gt;SottocategorieUscite[[#Headers],[Varie Uscite]],$I1596&lt;&gt;SottocategorieUscite[[#Headers],[Personali]],$I1596&lt;&gt;SottocategorieUscite[[#Headers],[Lavoro]],$I1596&lt;&gt;SottocategorieUscite[[#Headers],[Casa]],$I1596&lt;&gt;SottocategorieUscite[[#Headers],[Utenze]],$I1596&lt;&gt;SottocategorieUscite[[#Headers],[Business Uscite]],$I1596&lt;&gt;SottocategorieUscite[[#Headers],[Banca]]),"","$ -")</f>
        <v/>
      </c>
      <c r="N1596" s="59" t="str">
        <f>IF(OR(Data!$I1596=SottocategorieEntrate[[#Headers],[Business Entrate]],Data!$I1596=SottocategorieEntrate[[#Headers],[Varie Entrate]]),"$ -","")</f>
        <v/>
      </c>
      <c r="O1596" s="59" t="str">
        <f>IF(OR(Data!$I1596=SottocategorieEntrate[[#Headers],[Real Estate]],SottocategorieEntrate[[#Headers],[Other]]),"$ -","")</f>
        <v/>
      </c>
      <c r="P1596" s="59" t="str">
        <f>IF(OR($I1596&lt;&gt;SottocategorieEntrate[[#Headers],[Business Entrate]],$I1596&lt;&gt;SottocategorieEntrate[[#Headers],[Varie Entrate]],$I1596&lt;&gt;SottocategorieEntrate[[#Headers],[Real Estate]],$I1596&lt;&gt;SottocategorieEntrate[[#Headers],[Other]]),"","$ -")</f>
        <v/>
      </c>
      <c r="Q1596" s="59" t="str">
        <f>IF(Dati[[#This Row],[Categoria]]="Prelievo","€ -","")</f>
        <v/>
      </c>
      <c r="R1596" s="244"/>
      <c r="S1596" s="59" t="str">
        <f>IF(Dati[[#This Row],[Categoria]]="Savings",0,"")</f>
        <v/>
      </c>
      <c r="T1596" s="59"/>
      <c r="U1596" s="59"/>
      <c r="V1596" s="59"/>
      <c r="W1596" s="59"/>
      <c r="X1596" s="59"/>
      <c r="Y1596" s="59"/>
      <c r="Z1596" s="59"/>
      <c r="AA1596" s="59"/>
      <c r="AB1596" s="59"/>
      <c r="AC1596" s="59"/>
      <c r="AD1596" s="59"/>
      <c r="AE1596" s="59"/>
      <c r="AF1596" s="59"/>
      <c r="AG1596" s="59"/>
      <c r="AH1596" s="59"/>
      <c r="AI1596" s="59" t="str">
        <f>IF(SUM(Dati[[#This Row],[Inv. Business]:[Inv. Cryptocurrency]])=0," ",SUM(Dati[[#This Row],[Inv. Business]:[Inv. Cryptocurrency]]))</f>
        <v xml:space="preserve"> </v>
      </c>
      <c r="AJ1596" s="59"/>
      <c r="AK1596" s="59" t="str">
        <f>IF(SUM(Dati[[#This Row],[Inv. Gold]:[Mutuo]])=0," ",SUM(Dati[[#This Row],[Inv. Gold]:[Mutuo]]))</f>
        <v xml:space="preserve"> </v>
      </c>
      <c r="AL1596" s="59"/>
      <c r="AM1596" s="59"/>
    </row>
    <row r="1597" spans="2:39" x14ac:dyDescent="0.35">
      <c r="B1597" s="237">
        <f t="shared" si="113"/>
        <v>1577</v>
      </c>
      <c r="C1597" s="49">
        <f t="shared" si="112"/>
        <v>46155</v>
      </c>
      <c r="D1597" s="29">
        <f>DAY(Dati[[#This Row],[Data]])</f>
        <v>13</v>
      </c>
      <c r="E1597" s="29" t="str">
        <f>IF(DAY(Data!$C$21:$C$1613)&gt;0,TEXT(Data!$C$21:$C$1613, "mmmm"),"")</f>
        <v>maggio</v>
      </c>
      <c r="F1597" s="29" t="str">
        <f>IF(DAY(Data!$C$21:$C$1613)&gt;0,TEXT(Data!$C$21:$C$1613, "aaaa"),"")</f>
        <v>2026</v>
      </c>
      <c r="I1597" t="str">
        <f>IF(OR(H1597=$B$5,H1597=$B$6,H1597=$B$7,H1597=$B$8,H1597=$B$9,H1597=$B$10,H1597=$B$11,H1597=$B$12,H1597=$B$13,H1597=$B$14),SottocategorieUscite[[#Headers],[Fuori Casa]],IF(OR(H1597=$C$5,H1597=$C$6,H1597=$C$7,H1597=$C$8,H1597=$C$9,H1597=$C$10,H1597=$C$11,H1597=$C$12,H1597=$C$13,H1597=$C$14),SottocategorieUscite[[#Headers],[Varie Uscite]],IF(OR(H1597=$D$5,H1597=$D$6,H1597=$D$7,H1597=$D$8,H1597=$D$9,H1597=$D$10,H1597=$D$11,H1597=$D$12,H1597=$D$13,H1597=$D$14),SottocategorieUscite[[#Headers],[Personali]],IF(OR(H1597=$E$5,H1597=$E$6,H1597=$E$7,H1597=$E$8,H1597=$E$9,H1597=$E$10,H1597=$E$11,H1597=$E$12,H1597=$E$13,H1597=$E$14),SottocategorieUscite[[#Headers],[Lavoro]],IF(OR(H1597=$F$5,H1597=$F$6,H1597=$F$7,H1597=$F$8,H1597=$F$9,H1597=$F$10,H1597=$F$11,H1597=$F$12,H1597=$F$13,H1597=$F$14),SottocategorieUscite[[#Headers],[Casa]],IF(OR(H1597=$G$5,H1597=$G$6,H1597=$G$7,H1597=$G$8,H1597=$G$9,H1597=$G$10,H1597=$G$11,H1597=$G$12,H1597=$G$13,H1597=$G$14),SottocategorieUscite[[#Headers],[Utenze]],IF(OR(H1597=$H$5,H1597=$H$6,H1597=$H$7,H1597=$H$8,H1597=$H$9,H1597=$H$10,H1597=$H$11,H1597=$H$12,H1597=$H$13,H1597=$H$14),SottocategorieUscite[[#Headers],[Business Uscite]],IF(OR(H1597=$I$5,H1597=$I$6,H1597=$I$7,H1597=$I$8,H1597=$I$9,H1597=$I$10,H1597=$I$11,H1597=$I$12,H1597=$I$13,H1597=$I$14),SottocategorieUscite[[#Headers],[Banca]],IF(OR(H1597=K$5,H1597=K$6,H1597=K$7,H1597=K$8,H1597=K$9,H1597=K$10,H1597=K$11,H1597=K$12,H1597=K$13,H1597=K$14),SottocategorieEntrate[[#Headers],[Business Entrate]],IF(OR(H1597=L$5,H1597=L$6,H1597=L$7,H1597=L$8,H1597=L$9,H1597=L$10,H1597=L$11,H1597=L$12,H1597=L$13,H1597=L$14),SottocategorieEntrate[[#Headers],[Varie Entrate]],IF(OR(H1597=M$5,H1597=M$6,H1597=M$7,H1597=M$8,H1597=M$9,H1597=M$10,H1597=M$11,H1597=M$12,H1597=M$13,H1597=M$14),SottocategorieEntrate[[#Headers],[Real Estate]],IF(OR(H1597=N$5,H1597=N$6,H1597=N$7,H1597=N$8,H1597=N$9,H1597=N$10,H1597=N$11,H1597=N$12,H1597=N$13,H1597=N$14),SottocategorieEntrate[[#Headers],[Other]],""))))))))))))</f>
        <v/>
      </c>
      <c r="J1597" t="str">
        <f>IF(OR(Dati[[#This Row],[Categoria]]="Bollette",Dati[[#This Row],[Categoria]]="Conto &amp; Carte BNL",Dati[[#This Row],[Categoria]]="Prelievo",Dati[[#This Row],[Categoria]]="Affitto",Dati[[#This Row],[Categoria]]="BNL(Interessi Creditori)"),"Carta",IF(Dati[[#This Row],[Categoria]]&lt;&gt;0,"Cash",""))</f>
        <v/>
      </c>
      <c r="K1597" s="59" t="str">
        <f>IF(OR(Data!$I1597=SottocategorieUscite[[#Headers],[Fuori Casa]],Data!$I1597=SottocategorieUscite[[#Headers],[Varie Uscite]],Data!$I1597=SottocategorieUscite[[#Headers],[Personali]],Data!$I1597=SottocategorieUscite[[#Headers],[Lavoro]]),"$ -","")</f>
        <v/>
      </c>
      <c r="L1597" s="59" t="str">
        <f>IF(OR(Data!$I1597=SottocategorieUscite[[#Headers],[Casa]],Data!$I1597=SottocategorieUscite[[#Headers],[Utenze]],Data!$I1597=SottocategorieUscite[[#Headers],[Business Uscite]],Data!$I1597=SottocategorieUscite[[#Headers],[Banca]]),"$ -","")</f>
        <v/>
      </c>
      <c r="M1597" s="59" t="str">
        <f>IF(OR($I1597&lt;&gt;SottocategorieUscite[[#Headers],[Fuori Casa]],$I1597&lt;&gt;SottocategorieUscite[[#Headers],[Varie Uscite]],$I1597&lt;&gt;SottocategorieUscite[[#Headers],[Personali]],$I1597&lt;&gt;SottocategorieUscite[[#Headers],[Lavoro]],$I1597&lt;&gt;SottocategorieUscite[[#Headers],[Casa]],$I1597&lt;&gt;SottocategorieUscite[[#Headers],[Utenze]],$I1597&lt;&gt;SottocategorieUscite[[#Headers],[Business Uscite]],$I1597&lt;&gt;SottocategorieUscite[[#Headers],[Banca]]),"","$ -")</f>
        <v/>
      </c>
      <c r="N1597" s="59" t="str">
        <f>IF(OR(Data!$I1597=SottocategorieEntrate[[#Headers],[Business Entrate]],Data!$I1597=SottocategorieEntrate[[#Headers],[Varie Entrate]]),"$ -","")</f>
        <v/>
      </c>
      <c r="O1597" s="59" t="str">
        <f>IF(OR(Data!$I1597=SottocategorieEntrate[[#Headers],[Real Estate]],SottocategorieEntrate[[#Headers],[Other]]),"$ -","")</f>
        <v/>
      </c>
      <c r="P1597" s="59" t="str">
        <f>IF(OR($I1597&lt;&gt;SottocategorieEntrate[[#Headers],[Business Entrate]],$I1597&lt;&gt;SottocategorieEntrate[[#Headers],[Varie Entrate]],$I1597&lt;&gt;SottocategorieEntrate[[#Headers],[Real Estate]],$I1597&lt;&gt;SottocategorieEntrate[[#Headers],[Other]]),"","$ -")</f>
        <v/>
      </c>
      <c r="Q1597" s="59" t="str">
        <f>IF(Dati[[#This Row],[Categoria]]="Prelievo","€ -","")</f>
        <v/>
      </c>
      <c r="R1597" s="244"/>
      <c r="S1597" s="59" t="str">
        <f>IF(Dati[[#This Row],[Categoria]]="Savings",0,"")</f>
        <v/>
      </c>
      <c r="T1597" s="59"/>
      <c r="U1597" s="59"/>
      <c r="V1597" s="59"/>
      <c r="W1597" s="59"/>
      <c r="X1597" s="59"/>
      <c r="Y1597" s="59"/>
      <c r="Z1597" s="59"/>
      <c r="AA1597" s="59"/>
      <c r="AB1597" s="59"/>
      <c r="AC1597" s="59"/>
      <c r="AD1597" s="59"/>
      <c r="AE1597" s="59"/>
      <c r="AF1597" s="59"/>
      <c r="AG1597" s="59"/>
      <c r="AH1597" s="59"/>
      <c r="AI1597" s="59" t="str">
        <f>IF(SUM(Dati[[#This Row],[Inv. Business]:[Inv. Cryptocurrency]])=0," ",SUM(Dati[[#This Row],[Inv. Business]:[Inv. Cryptocurrency]]))</f>
        <v xml:space="preserve"> </v>
      </c>
      <c r="AJ1597" s="59"/>
      <c r="AK1597" s="59" t="str">
        <f>IF(SUM(Dati[[#This Row],[Inv. Gold]:[Mutuo]])=0," ",SUM(Dati[[#This Row],[Inv. Gold]:[Mutuo]]))</f>
        <v xml:space="preserve"> </v>
      </c>
      <c r="AL1597" s="59"/>
      <c r="AM1597" s="59"/>
    </row>
    <row r="1598" spans="2:39" x14ac:dyDescent="0.35">
      <c r="B1598" s="237">
        <f t="shared" si="113"/>
        <v>1578</v>
      </c>
      <c r="C1598" s="49">
        <f t="shared" si="112"/>
        <v>46156</v>
      </c>
      <c r="D1598" s="29">
        <f>DAY(Dati[[#This Row],[Data]])</f>
        <v>14</v>
      </c>
      <c r="E1598" s="29" t="str">
        <f>IF(DAY(Data!$C$21:$C$1613)&gt;0,TEXT(Data!$C$21:$C$1613, "mmmm"),"")</f>
        <v>maggio</v>
      </c>
      <c r="F1598" s="29" t="str">
        <f>IF(DAY(Data!$C$21:$C$1613)&gt;0,TEXT(Data!$C$21:$C$1613, "aaaa"),"")</f>
        <v>2026</v>
      </c>
      <c r="I1598" t="str">
        <f>IF(OR(H1598=$B$5,H1598=$B$6,H1598=$B$7,H1598=$B$8,H1598=$B$9,H1598=$B$10,H1598=$B$11,H1598=$B$12,H1598=$B$13,H1598=$B$14),SottocategorieUscite[[#Headers],[Fuori Casa]],IF(OR(H1598=$C$5,H1598=$C$6,H1598=$C$7,H1598=$C$8,H1598=$C$9,H1598=$C$10,H1598=$C$11,H1598=$C$12,H1598=$C$13,H1598=$C$14),SottocategorieUscite[[#Headers],[Varie Uscite]],IF(OR(H1598=$D$5,H1598=$D$6,H1598=$D$7,H1598=$D$8,H1598=$D$9,H1598=$D$10,H1598=$D$11,H1598=$D$12,H1598=$D$13,H1598=$D$14),SottocategorieUscite[[#Headers],[Personali]],IF(OR(H1598=$E$5,H1598=$E$6,H1598=$E$7,H1598=$E$8,H1598=$E$9,H1598=$E$10,H1598=$E$11,H1598=$E$12,H1598=$E$13,H1598=$E$14),SottocategorieUscite[[#Headers],[Lavoro]],IF(OR(H1598=$F$5,H1598=$F$6,H1598=$F$7,H1598=$F$8,H1598=$F$9,H1598=$F$10,H1598=$F$11,H1598=$F$12,H1598=$F$13,H1598=$F$14),SottocategorieUscite[[#Headers],[Casa]],IF(OR(H1598=$G$5,H1598=$G$6,H1598=$G$7,H1598=$G$8,H1598=$G$9,H1598=$G$10,H1598=$G$11,H1598=$G$12,H1598=$G$13,H1598=$G$14),SottocategorieUscite[[#Headers],[Utenze]],IF(OR(H1598=$H$5,H1598=$H$6,H1598=$H$7,H1598=$H$8,H1598=$H$9,H1598=$H$10,H1598=$H$11,H1598=$H$12,H1598=$H$13,H1598=$H$14),SottocategorieUscite[[#Headers],[Business Uscite]],IF(OR(H1598=$I$5,H1598=$I$6,H1598=$I$7,H1598=$I$8,H1598=$I$9,H1598=$I$10,H1598=$I$11,H1598=$I$12,H1598=$I$13,H1598=$I$14),SottocategorieUscite[[#Headers],[Banca]],IF(OR(H1598=K$5,H1598=K$6,H1598=K$7,H1598=K$8,H1598=K$9,H1598=K$10,H1598=K$11,H1598=K$12,H1598=K$13,H1598=K$14),SottocategorieEntrate[[#Headers],[Business Entrate]],IF(OR(H1598=L$5,H1598=L$6,H1598=L$7,H1598=L$8,H1598=L$9,H1598=L$10,H1598=L$11,H1598=L$12,H1598=L$13,H1598=L$14),SottocategorieEntrate[[#Headers],[Varie Entrate]],IF(OR(H1598=M$5,H1598=M$6,H1598=M$7,H1598=M$8,H1598=M$9,H1598=M$10,H1598=M$11,H1598=M$12,H1598=M$13,H1598=M$14),SottocategorieEntrate[[#Headers],[Real Estate]],IF(OR(H1598=N$5,H1598=N$6,H1598=N$7,H1598=N$8,H1598=N$9,H1598=N$10,H1598=N$11,H1598=N$12,H1598=N$13,H1598=N$14),SottocategorieEntrate[[#Headers],[Other]],""))))))))))))</f>
        <v/>
      </c>
      <c r="J1598" t="str">
        <f>IF(OR(Dati[[#This Row],[Categoria]]="Bollette",Dati[[#This Row],[Categoria]]="Conto &amp; Carte BNL",Dati[[#This Row],[Categoria]]="Prelievo",Dati[[#This Row],[Categoria]]="Affitto",Dati[[#This Row],[Categoria]]="BNL(Interessi Creditori)"),"Carta",IF(Dati[[#This Row],[Categoria]]&lt;&gt;0,"Cash",""))</f>
        <v/>
      </c>
      <c r="K1598" s="59" t="str">
        <f>IF(OR(Data!$I1598=SottocategorieUscite[[#Headers],[Fuori Casa]],Data!$I1598=SottocategorieUscite[[#Headers],[Varie Uscite]],Data!$I1598=SottocategorieUscite[[#Headers],[Personali]],Data!$I1598=SottocategorieUscite[[#Headers],[Lavoro]]),"$ -","")</f>
        <v/>
      </c>
      <c r="L1598" s="59" t="str">
        <f>IF(OR(Data!$I1598=SottocategorieUscite[[#Headers],[Casa]],Data!$I1598=SottocategorieUscite[[#Headers],[Utenze]],Data!$I1598=SottocategorieUscite[[#Headers],[Business Uscite]],Data!$I1598=SottocategorieUscite[[#Headers],[Banca]]),"$ -","")</f>
        <v/>
      </c>
      <c r="M1598" s="59" t="str">
        <f>IF(OR($I1598&lt;&gt;SottocategorieUscite[[#Headers],[Fuori Casa]],$I1598&lt;&gt;SottocategorieUscite[[#Headers],[Varie Uscite]],$I1598&lt;&gt;SottocategorieUscite[[#Headers],[Personali]],$I1598&lt;&gt;SottocategorieUscite[[#Headers],[Lavoro]],$I1598&lt;&gt;SottocategorieUscite[[#Headers],[Casa]],$I1598&lt;&gt;SottocategorieUscite[[#Headers],[Utenze]],$I1598&lt;&gt;SottocategorieUscite[[#Headers],[Business Uscite]],$I1598&lt;&gt;SottocategorieUscite[[#Headers],[Banca]]),"","$ -")</f>
        <v/>
      </c>
      <c r="N1598" s="59" t="str">
        <f>IF(OR(Data!$I1598=SottocategorieEntrate[[#Headers],[Business Entrate]],Data!$I1598=SottocategorieEntrate[[#Headers],[Varie Entrate]]),"$ -","")</f>
        <v/>
      </c>
      <c r="O1598" s="59" t="str">
        <f>IF(OR(Data!$I1598=SottocategorieEntrate[[#Headers],[Real Estate]],SottocategorieEntrate[[#Headers],[Other]]),"$ -","")</f>
        <v/>
      </c>
      <c r="P1598" s="59" t="str">
        <f>IF(OR($I1598&lt;&gt;SottocategorieEntrate[[#Headers],[Business Entrate]],$I1598&lt;&gt;SottocategorieEntrate[[#Headers],[Varie Entrate]],$I1598&lt;&gt;SottocategorieEntrate[[#Headers],[Real Estate]],$I1598&lt;&gt;SottocategorieEntrate[[#Headers],[Other]]),"","$ -")</f>
        <v/>
      </c>
      <c r="Q1598" s="59" t="str">
        <f>IF(Dati[[#This Row],[Categoria]]="Prelievo","€ -","")</f>
        <v/>
      </c>
      <c r="R1598" s="244"/>
      <c r="S1598" s="59" t="str">
        <f>IF(Dati[[#This Row],[Categoria]]="Savings",0,"")</f>
        <v/>
      </c>
      <c r="T1598" s="59"/>
      <c r="U1598" s="59"/>
      <c r="V1598" s="59"/>
      <c r="W1598" s="59"/>
      <c r="X1598" s="59"/>
      <c r="Y1598" s="59"/>
      <c r="Z1598" s="59"/>
      <c r="AA1598" s="59"/>
      <c r="AB1598" s="59"/>
      <c r="AC1598" s="59"/>
      <c r="AD1598" s="59"/>
      <c r="AE1598" s="59"/>
      <c r="AF1598" s="59"/>
      <c r="AG1598" s="59"/>
      <c r="AH1598" s="59"/>
      <c r="AI1598" s="59" t="str">
        <f>IF(SUM(Dati[[#This Row],[Inv. Business]:[Inv. Cryptocurrency]])=0," ",SUM(Dati[[#This Row],[Inv. Business]:[Inv. Cryptocurrency]]))</f>
        <v xml:space="preserve"> </v>
      </c>
      <c r="AJ1598" s="59"/>
      <c r="AK1598" s="59" t="str">
        <f>IF(SUM(Dati[[#This Row],[Inv. Gold]:[Mutuo]])=0," ",SUM(Dati[[#This Row],[Inv. Gold]:[Mutuo]]))</f>
        <v xml:space="preserve"> </v>
      </c>
      <c r="AL1598" s="59"/>
      <c r="AM1598" s="59"/>
    </row>
    <row r="1599" spans="2:39" x14ac:dyDescent="0.35">
      <c r="B1599" s="237">
        <f t="shared" si="113"/>
        <v>1579</v>
      </c>
      <c r="C1599" s="49">
        <f t="shared" si="112"/>
        <v>46157</v>
      </c>
      <c r="D1599" s="29">
        <f>DAY(Dati[[#This Row],[Data]])</f>
        <v>15</v>
      </c>
      <c r="E1599" s="29" t="str">
        <f>IF(DAY(Data!$C$21:$C$1613)&gt;0,TEXT(Data!$C$21:$C$1613, "mmmm"),"")</f>
        <v>maggio</v>
      </c>
      <c r="F1599" s="29" t="str">
        <f>IF(DAY(Data!$C$21:$C$1613)&gt;0,TEXT(Data!$C$21:$C$1613, "aaaa"),"")</f>
        <v>2026</v>
      </c>
      <c r="I1599" t="str">
        <f>IF(OR(H1599=$B$5,H1599=$B$6,H1599=$B$7,H1599=$B$8,H1599=$B$9,H1599=$B$10,H1599=$B$11,H1599=$B$12,H1599=$B$13,H1599=$B$14),SottocategorieUscite[[#Headers],[Fuori Casa]],IF(OR(H1599=$C$5,H1599=$C$6,H1599=$C$7,H1599=$C$8,H1599=$C$9,H1599=$C$10,H1599=$C$11,H1599=$C$12,H1599=$C$13,H1599=$C$14),SottocategorieUscite[[#Headers],[Varie Uscite]],IF(OR(H1599=$D$5,H1599=$D$6,H1599=$D$7,H1599=$D$8,H1599=$D$9,H1599=$D$10,H1599=$D$11,H1599=$D$12,H1599=$D$13,H1599=$D$14),SottocategorieUscite[[#Headers],[Personali]],IF(OR(H1599=$E$5,H1599=$E$6,H1599=$E$7,H1599=$E$8,H1599=$E$9,H1599=$E$10,H1599=$E$11,H1599=$E$12,H1599=$E$13,H1599=$E$14),SottocategorieUscite[[#Headers],[Lavoro]],IF(OR(H1599=$F$5,H1599=$F$6,H1599=$F$7,H1599=$F$8,H1599=$F$9,H1599=$F$10,H1599=$F$11,H1599=$F$12,H1599=$F$13,H1599=$F$14),SottocategorieUscite[[#Headers],[Casa]],IF(OR(H1599=$G$5,H1599=$G$6,H1599=$G$7,H1599=$G$8,H1599=$G$9,H1599=$G$10,H1599=$G$11,H1599=$G$12,H1599=$G$13,H1599=$G$14),SottocategorieUscite[[#Headers],[Utenze]],IF(OR(H1599=$H$5,H1599=$H$6,H1599=$H$7,H1599=$H$8,H1599=$H$9,H1599=$H$10,H1599=$H$11,H1599=$H$12,H1599=$H$13,H1599=$H$14),SottocategorieUscite[[#Headers],[Business Uscite]],IF(OR(H1599=$I$5,H1599=$I$6,H1599=$I$7,H1599=$I$8,H1599=$I$9,H1599=$I$10,H1599=$I$11,H1599=$I$12,H1599=$I$13,H1599=$I$14),SottocategorieUscite[[#Headers],[Banca]],IF(OR(H1599=K$5,H1599=K$6,H1599=K$7,H1599=K$8,H1599=K$9,H1599=K$10,H1599=K$11,H1599=K$12,H1599=K$13,H1599=K$14),SottocategorieEntrate[[#Headers],[Business Entrate]],IF(OR(H1599=L$5,H1599=L$6,H1599=L$7,H1599=L$8,H1599=L$9,H1599=L$10,H1599=L$11,H1599=L$12,H1599=L$13,H1599=L$14),SottocategorieEntrate[[#Headers],[Varie Entrate]],IF(OR(H1599=M$5,H1599=M$6,H1599=M$7,H1599=M$8,H1599=M$9,H1599=M$10,H1599=M$11,H1599=M$12,H1599=M$13,H1599=M$14),SottocategorieEntrate[[#Headers],[Real Estate]],IF(OR(H1599=N$5,H1599=N$6,H1599=N$7,H1599=N$8,H1599=N$9,H1599=N$10,H1599=N$11,H1599=N$12,H1599=N$13,H1599=N$14),SottocategorieEntrate[[#Headers],[Other]],""))))))))))))</f>
        <v/>
      </c>
      <c r="J1599" t="str">
        <f>IF(OR(Dati[[#This Row],[Categoria]]="Bollette",Dati[[#This Row],[Categoria]]="Conto &amp; Carte BNL",Dati[[#This Row],[Categoria]]="Prelievo",Dati[[#This Row],[Categoria]]="Affitto",Dati[[#This Row],[Categoria]]="BNL(Interessi Creditori)"),"Carta",IF(Dati[[#This Row],[Categoria]]&lt;&gt;0,"Cash",""))</f>
        <v/>
      </c>
      <c r="K1599" s="59" t="str">
        <f>IF(OR(Data!$I1599=SottocategorieUscite[[#Headers],[Fuori Casa]],Data!$I1599=SottocategorieUscite[[#Headers],[Varie Uscite]],Data!$I1599=SottocategorieUscite[[#Headers],[Personali]],Data!$I1599=SottocategorieUscite[[#Headers],[Lavoro]]),"$ -","")</f>
        <v/>
      </c>
      <c r="L1599" s="59" t="str">
        <f>IF(OR(Data!$I1599=SottocategorieUscite[[#Headers],[Casa]],Data!$I1599=SottocategorieUscite[[#Headers],[Utenze]],Data!$I1599=SottocategorieUscite[[#Headers],[Business Uscite]],Data!$I1599=SottocategorieUscite[[#Headers],[Banca]]),"$ -","")</f>
        <v/>
      </c>
      <c r="M1599" s="59" t="str">
        <f>IF(OR($I1599&lt;&gt;SottocategorieUscite[[#Headers],[Fuori Casa]],$I1599&lt;&gt;SottocategorieUscite[[#Headers],[Varie Uscite]],$I1599&lt;&gt;SottocategorieUscite[[#Headers],[Personali]],$I1599&lt;&gt;SottocategorieUscite[[#Headers],[Lavoro]],$I1599&lt;&gt;SottocategorieUscite[[#Headers],[Casa]],$I1599&lt;&gt;SottocategorieUscite[[#Headers],[Utenze]],$I1599&lt;&gt;SottocategorieUscite[[#Headers],[Business Uscite]],$I1599&lt;&gt;SottocategorieUscite[[#Headers],[Banca]]),"","$ -")</f>
        <v/>
      </c>
      <c r="N1599" s="59" t="str">
        <f>IF(OR(Data!$I1599=SottocategorieEntrate[[#Headers],[Business Entrate]],Data!$I1599=SottocategorieEntrate[[#Headers],[Varie Entrate]]),"$ -","")</f>
        <v/>
      </c>
      <c r="O1599" s="59" t="str">
        <f>IF(OR(Data!$I1599=SottocategorieEntrate[[#Headers],[Real Estate]],SottocategorieEntrate[[#Headers],[Other]]),"$ -","")</f>
        <v/>
      </c>
      <c r="P1599" s="59" t="str">
        <f>IF(OR($I1599&lt;&gt;SottocategorieEntrate[[#Headers],[Business Entrate]],$I1599&lt;&gt;SottocategorieEntrate[[#Headers],[Varie Entrate]],$I1599&lt;&gt;SottocategorieEntrate[[#Headers],[Real Estate]],$I1599&lt;&gt;SottocategorieEntrate[[#Headers],[Other]]),"","$ -")</f>
        <v/>
      </c>
      <c r="Q1599" s="59" t="str">
        <f>IF(Dati[[#This Row],[Categoria]]="Prelievo","€ -","")</f>
        <v/>
      </c>
      <c r="R1599" s="244"/>
      <c r="S1599" s="59" t="str">
        <f>IF(Dati[[#This Row],[Categoria]]="Savings",0,"")</f>
        <v/>
      </c>
      <c r="T1599" s="59"/>
      <c r="U1599" s="59"/>
      <c r="V1599" s="59"/>
      <c r="W1599" s="59"/>
      <c r="X1599" s="59"/>
      <c r="Y1599" s="59"/>
      <c r="Z1599" s="59"/>
      <c r="AA1599" s="59"/>
      <c r="AB1599" s="59"/>
      <c r="AC1599" s="59"/>
      <c r="AD1599" s="59"/>
      <c r="AE1599" s="59"/>
      <c r="AF1599" s="59"/>
      <c r="AG1599" s="59"/>
      <c r="AH1599" s="59"/>
      <c r="AI1599" s="59" t="str">
        <f>IF(SUM(Dati[[#This Row],[Inv. Business]:[Inv. Cryptocurrency]])=0," ",SUM(Dati[[#This Row],[Inv. Business]:[Inv. Cryptocurrency]]))</f>
        <v xml:space="preserve"> </v>
      </c>
      <c r="AJ1599" s="59"/>
      <c r="AK1599" s="59" t="str">
        <f>IF(SUM(Dati[[#This Row],[Inv. Gold]:[Mutuo]])=0," ",SUM(Dati[[#This Row],[Inv. Gold]:[Mutuo]]))</f>
        <v xml:space="preserve"> </v>
      </c>
      <c r="AL1599" s="59"/>
      <c r="AM1599" s="59"/>
    </row>
    <row r="1600" spans="2:39" x14ac:dyDescent="0.35">
      <c r="B1600" s="237">
        <f t="shared" si="113"/>
        <v>1580</v>
      </c>
      <c r="C1600" s="49">
        <f t="shared" si="112"/>
        <v>46158</v>
      </c>
      <c r="D1600" s="29">
        <f>DAY(Dati[[#This Row],[Data]])</f>
        <v>16</v>
      </c>
      <c r="E1600" s="29" t="str">
        <f>IF(DAY(Data!$C$21:$C$1613)&gt;0,TEXT(Data!$C$21:$C$1613, "mmmm"),"")</f>
        <v>maggio</v>
      </c>
      <c r="F1600" s="29" t="str">
        <f>IF(DAY(Data!$C$21:$C$1613)&gt;0,TEXT(Data!$C$21:$C$1613, "aaaa"),"")</f>
        <v>2026</v>
      </c>
      <c r="I1600" t="str">
        <f>IF(OR(H1600=$B$5,H1600=$B$6,H1600=$B$7,H1600=$B$8,H1600=$B$9,H1600=$B$10,H1600=$B$11,H1600=$B$12,H1600=$B$13,H1600=$B$14),SottocategorieUscite[[#Headers],[Fuori Casa]],IF(OR(H1600=$C$5,H1600=$C$6,H1600=$C$7,H1600=$C$8,H1600=$C$9,H1600=$C$10,H1600=$C$11,H1600=$C$12,H1600=$C$13,H1600=$C$14),SottocategorieUscite[[#Headers],[Varie Uscite]],IF(OR(H1600=$D$5,H1600=$D$6,H1600=$D$7,H1600=$D$8,H1600=$D$9,H1600=$D$10,H1600=$D$11,H1600=$D$12,H1600=$D$13,H1600=$D$14),SottocategorieUscite[[#Headers],[Personali]],IF(OR(H1600=$E$5,H1600=$E$6,H1600=$E$7,H1600=$E$8,H1600=$E$9,H1600=$E$10,H1600=$E$11,H1600=$E$12,H1600=$E$13,H1600=$E$14),SottocategorieUscite[[#Headers],[Lavoro]],IF(OR(H1600=$F$5,H1600=$F$6,H1600=$F$7,H1600=$F$8,H1600=$F$9,H1600=$F$10,H1600=$F$11,H1600=$F$12,H1600=$F$13,H1600=$F$14),SottocategorieUscite[[#Headers],[Casa]],IF(OR(H1600=$G$5,H1600=$G$6,H1600=$G$7,H1600=$G$8,H1600=$G$9,H1600=$G$10,H1600=$G$11,H1600=$G$12,H1600=$G$13,H1600=$G$14),SottocategorieUscite[[#Headers],[Utenze]],IF(OR(H1600=$H$5,H1600=$H$6,H1600=$H$7,H1600=$H$8,H1600=$H$9,H1600=$H$10,H1600=$H$11,H1600=$H$12,H1600=$H$13,H1600=$H$14),SottocategorieUscite[[#Headers],[Business Uscite]],IF(OR(H1600=$I$5,H1600=$I$6,H1600=$I$7,H1600=$I$8,H1600=$I$9,H1600=$I$10,H1600=$I$11,H1600=$I$12,H1600=$I$13,H1600=$I$14),SottocategorieUscite[[#Headers],[Banca]],IF(OR(H1600=K$5,H1600=K$6,H1600=K$7,H1600=K$8,H1600=K$9,H1600=K$10,H1600=K$11,H1600=K$12,H1600=K$13,H1600=K$14),SottocategorieEntrate[[#Headers],[Business Entrate]],IF(OR(H1600=L$5,H1600=L$6,H1600=L$7,H1600=L$8,H1600=L$9,H1600=L$10,H1600=L$11,H1600=L$12,H1600=L$13,H1600=L$14),SottocategorieEntrate[[#Headers],[Varie Entrate]],IF(OR(H1600=M$5,H1600=M$6,H1600=M$7,H1600=M$8,H1600=M$9,H1600=M$10,H1600=M$11,H1600=M$12,H1600=M$13,H1600=M$14),SottocategorieEntrate[[#Headers],[Real Estate]],IF(OR(H1600=N$5,H1600=N$6,H1600=N$7,H1600=N$8,H1600=N$9,H1600=N$10,H1600=N$11,H1600=N$12,H1600=N$13,H1600=N$14),SottocategorieEntrate[[#Headers],[Other]],""))))))))))))</f>
        <v/>
      </c>
      <c r="J1600" t="str">
        <f>IF(OR(Dati[[#This Row],[Categoria]]="Bollette",Dati[[#This Row],[Categoria]]="Conto &amp; Carte BNL",Dati[[#This Row],[Categoria]]="Prelievo",Dati[[#This Row],[Categoria]]="Affitto",Dati[[#This Row],[Categoria]]="BNL(Interessi Creditori)"),"Carta",IF(Dati[[#This Row],[Categoria]]&lt;&gt;0,"Cash",""))</f>
        <v/>
      </c>
      <c r="K1600" s="59" t="str">
        <f>IF(OR(Data!$I1600=SottocategorieUscite[[#Headers],[Fuori Casa]],Data!$I1600=SottocategorieUscite[[#Headers],[Varie Uscite]],Data!$I1600=SottocategorieUscite[[#Headers],[Personali]],Data!$I1600=SottocategorieUscite[[#Headers],[Lavoro]]),"$ -","")</f>
        <v/>
      </c>
      <c r="L1600" s="59" t="str">
        <f>IF(OR(Data!$I1600=SottocategorieUscite[[#Headers],[Casa]],Data!$I1600=SottocategorieUscite[[#Headers],[Utenze]],Data!$I1600=SottocategorieUscite[[#Headers],[Business Uscite]],Data!$I1600=SottocategorieUscite[[#Headers],[Banca]]),"$ -","")</f>
        <v/>
      </c>
      <c r="M1600" s="59" t="str">
        <f>IF(OR($I1600&lt;&gt;SottocategorieUscite[[#Headers],[Fuori Casa]],$I1600&lt;&gt;SottocategorieUscite[[#Headers],[Varie Uscite]],$I1600&lt;&gt;SottocategorieUscite[[#Headers],[Personali]],$I1600&lt;&gt;SottocategorieUscite[[#Headers],[Lavoro]],$I1600&lt;&gt;SottocategorieUscite[[#Headers],[Casa]],$I1600&lt;&gt;SottocategorieUscite[[#Headers],[Utenze]],$I1600&lt;&gt;SottocategorieUscite[[#Headers],[Business Uscite]],$I1600&lt;&gt;SottocategorieUscite[[#Headers],[Banca]]),"","$ -")</f>
        <v/>
      </c>
      <c r="N1600" s="59" t="str">
        <f>IF(OR(Data!$I1600=SottocategorieEntrate[[#Headers],[Business Entrate]],Data!$I1600=SottocategorieEntrate[[#Headers],[Varie Entrate]]),"$ -","")</f>
        <v/>
      </c>
      <c r="O1600" s="59" t="str">
        <f>IF(OR(Data!$I1600=SottocategorieEntrate[[#Headers],[Real Estate]],SottocategorieEntrate[[#Headers],[Other]]),"$ -","")</f>
        <v/>
      </c>
      <c r="P1600" s="59" t="str">
        <f>IF(OR($I1600&lt;&gt;SottocategorieEntrate[[#Headers],[Business Entrate]],$I1600&lt;&gt;SottocategorieEntrate[[#Headers],[Varie Entrate]],$I1600&lt;&gt;SottocategorieEntrate[[#Headers],[Real Estate]],$I1600&lt;&gt;SottocategorieEntrate[[#Headers],[Other]]),"","$ -")</f>
        <v/>
      </c>
      <c r="Q1600" s="59" t="str">
        <f>IF(Dati[[#This Row],[Categoria]]="Prelievo","€ -","")</f>
        <v/>
      </c>
      <c r="R1600" s="244"/>
      <c r="S1600" s="59" t="str">
        <f>IF(Dati[[#This Row],[Categoria]]="Savings",0,"")</f>
        <v/>
      </c>
      <c r="T1600" s="59"/>
      <c r="U1600" s="59"/>
      <c r="V1600" s="59"/>
      <c r="W1600" s="59"/>
      <c r="X1600" s="59"/>
      <c r="Y1600" s="59"/>
      <c r="Z1600" s="59"/>
      <c r="AA1600" s="59"/>
      <c r="AB1600" s="59"/>
      <c r="AC1600" s="59"/>
      <c r="AD1600" s="59"/>
      <c r="AE1600" s="59"/>
      <c r="AF1600" s="59"/>
      <c r="AG1600" s="59"/>
      <c r="AH1600" s="59"/>
      <c r="AI1600" s="59" t="str">
        <f>IF(SUM(Dati[[#This Row],[Inv. Business]:[Inv. Cryptocurrency]])=0," ",SUM(Dati[[#This Row],[Inv. Business]:[Inv. Cryptocurrency]]))</f>
        <v xml:space="preserve"> </v>
      </c>
      <c r="AJ1600" s="59"/>
      <c r="AK1600" s="59" t="str">
        <f>IF(SUM(Dati[[#This Row],[Inv. Gold]:[Mutuo]])=0," ",SUM(Dati[[#This Row],[Inv. Gold]:[Mutuo]]))</f>
        <v xml:space="preserve"> </v>
      </c>
      <c r="AL1600" s="59"/>
      <c r="AM1600" s="59"/>
    </row>
    <row r="1601" spans="2:39" x14ac:dyDescent="0.35">
      <c r="B1601" s="237">
        <f t="shared" si="113"/>
        <v>1581</v>
      </c>
      <c r="C1601" s="49">
        <f t="shared" si="112"/>
        <v>46159</v>
      </c>
      <c r="D1601" s="29">
        <f>DAY(Dati[[#This Row],[Data]])</f>
        <v>17</v>
      </c>
      <c r="E1601" s="29" t="str">
        <f>IF(DAY(Data!$C$21:$C$1613)&gt;0,TEXT(Data!$C$21:$C$1613, "mmmm"),"")</f>
        <v>maggio</v>
      </c>
      <c r="F1601" s="29" t="str">
        <f>IF(DAY(Data!$C$21:$C$1613)&gt;0,TEXT(Data!$C$21:$C$1613, "aaaa"),"")</f>
        <v>2026</v>
      </c>
      <c r="I1601" t="str">
        <f>IF(OR(H1601=$B$5,H1601=$B$6,H1601=$B$7,H1601=$B$8,H1601=$B$9,H1601=$B$10,H1601=$B$11,H1601=$B$12,H1601=$B$13,H1601=$B$14),SottocategorieUscite[[#Headers],[Fuori Casa]],IF(OR(H1601=$C$5,H1601=$C$6,H1601=$C$7,H1601=$C$8,H1601=$C$9,H1601=$C$10,H1601=$C$11,H1601=$C$12,H1601=$C$13,H1601=$C$14),SottocategorieUscite[[#Headers],[Varie Uscite]],IF(OR(H1601=$D$5,H1601=$D$6,H1601=$D$7,H1601=$D$8,H1601=$D$9,H1601=$D$10,H1601=$D$11,H1601=$D$12,H1601=$D$13,H1601=$D$14),SottocategorieUscite[[#Headers],[Personali]],IF(OR(H1601=$E$5,H1601=$E$6,H1601=$E$7,H1601=$E$8,H1601=$E$9,H1601=$E$10,H1601=$E$11,H1601=$E$12,H1601=$E$13,H1601=$E$14),SottocategorieUscite[[#Headers],[Lavoro]],IF(OR(H1601=$F$5,H1601=$F$6,H1601=$F$7,H1601=$F$8,H1601=$F$9,H1601=$F$10,H1601=$F$11,H1601=$F$12,H1601=$F$13,H1601=$F$14),SottocategorieUscite[[#Headers],[Casa]],IF(OR(H1601=$G$5,H1601=$G$6,H1601=$G$7,H1601=$G$8,H1601=$G$9,H1601=$G$10,H1601=$G$11,H1601=$G$12,H1601=$G$13,H1601=$G$14),SottocategorieUscite[[#Headers],[Utenze]],IF(OR(H1601=$H$5,H1601=$H$6,H1601=$H$7,H1601=$H$8,H1601=$H$9,H1601=$H$10,H1601=$H$11,H1601=$H$12,H1601=$H$13,H1601=$H$14),SottocategorieUscite[[#Headers],[Business Uscite]],IF(OR(H1601=$I$5,H1601=$I$6,H1601=$I$7,H1601=$I$8,H1601=$I$9,H1601=$I$10,H1601=$I$11,H1601=$I$12,H1601=$I$13,H1601=$I$14),SottocategorieUscite[[#Headers],[Banca]],IF(OR(H1601=K$5,H1601=K$6,H1601=K$7,H1601=K$8,H1601=K$9,H1601=K$10,H1601=K$11,H1601=K$12,H1601=K$13,H1601=K$14),SottocategorieEntrate[[#Headers],[Business Entrate]],IF(OR(H1601=L$5,H1601=L$6,H1601=L$7,H1601=L$8,H1601=L$9,H1601=L$10,H1601=L$11,H1601=L$12,H1601=L$13,H1601=L$14),SottocategorieEntrate[[#Headers],[Varie Entrate]],IF(OR(H1601=M$5,H1601=M$6,H1601=M$7,H1601=M$8,H1601=M$9,H1601=M$10,H1601=M$11,H1601=M$12,H1601=M$13,H1601=M$14),SottocategorieEntrate[[#Headers],[Real Estate]],IF(OR(H1601=N$5,H1601=N$6,H1601=N$7,H1601=N$8,H1601=N$9,H1601=N$10,H1601=N$11,H1601=N$12,H1601=N$13,H1601=N$14),SottocategorieEntrate[[#Headers],[Other]],""))))))))))))</f>
        <v/>
      </c>
      <c r="J1601" t="str">
        <f>IF(OR(Dati[[#This Row],[Categoria]]="Bollette",Dati[[#This Row],[Categoria]]="Conto &amp; Carte BNL",Dati[[#This Row],[Categoria]]="Prelievo",Dati[[#This Row],[Categoria]]="Affitto",Dati[[#This Row],[Categoria]]="BNL(Interessi Creditori)"),"Carta",IF(Dati[[#This Row],[Categoria]]&lt;&gt;0,"Cash",""))</f>
        <v/>
      </c>
      <c r="K1601" s="59" t="str">
        <f>IF(OR(Data!$I1601=SottocategorieUscite[[#Headers],[Fuori Casa]],Data!$I1601=SottocategorieUscite[[#Headers],[Varie Uscite]],Data!$I1601=SottocategorieUscite[[#Headers],[Personali]],Data!$I1601=SottocategorieUscite[[#Headers],[Lavoro]]),"$ -","")</f>
        <v/>
      </c>
      <c r="L1601" s="59" t="str">
        <f>IF(OR(Data!$I1601=SottocategorieUscite[[#Headers],[Casa]],Data!$I1601=SottocategorieUscite[[#Headers],[Utenze]],Data!$I1601=SottocategorieUscite[[#Headers],[Business Uscite]],Data!$I1601=SottocategorieUscite[[#Headers],[Banca]]),"$ -","")</f>
        <v/>
      </c>
      <c r="M1601" s="59" t="str">
        <f>IF(OR($I1601&lt;&gt;SottocategorieUscite[[#Headers],[Fuori Casa]],$I1601&lt;&gt;SottocategorieUscite[[#Headers],[Varie Uscite]],$I1601&lt;&gt;SottocategorieUscite[[#Headers],[Personali]],$I1601&lt;&gt;SottocategorieUscite[[#Headers],[Lavoro]],$I1601&lt;&gt;SottocategorieUscite[[#Headers],[Casa]],$I1601&lt;&gt;SottocategorieUscite[[#Headers],[Utenze]],$I1601&lt;&gt;SottocategorieUscite[[#Headers],[Business Uscite]],$I1601&lt;&gt;SottocategorieUscite[[#Headers],[Banca]]),"","$ -")</f>
        <v/>
      </c>
      <c r="N1601" s="59" t="str">
        <f>IF(OR(Data!$I1601=SottocategorieEntrate[[#Headers],[Business Entrate]],Data!$I1601=SottocategorieEntrate[[#Headers],[Varie Entrate]]),"$ -","")</f>
        <v/>
      </c>
      <c r="O1601" s="59" t="str">
        <f>IF(OR(Data!$I1601=SottocategorieEntrate[[#Headers],[Real Estate]],SottocategorieEntrate[[#Headers],[Other]]),"$ -","")</f>
        <v/>
      </c>
      <c r="P1601" s="59" t="str">
        <f>IF(OR($I1601&lt;&gt;SottocategorieEntrate[[#Headers],[Business Entrate]],$I1601&lt;&gt;SottocategorieEntrate[[#Headers],[Varie Entrate]],$I1601&lt;&gt;SottocategorieEntrate[[#Headers],[Real Estate]],$I1601&lt;&gt;SottocategorieEntrate[[#Headers],[Other]]),"","$ -")</f>
        <v/>
      </c>
      <c r="Q1601" s="59" t="str">
        <f>IF(Dati[[#This Row],[Categoria]]="Prelievo","€ -","")</f>
        <v/>
      </c>
      <c r="R1601" s="244"/>
      <c r="S1601" s="59" t="str">
        <f>IF(Dati[[#This Row],[Categoria]]="Savings",0,"")</f>
        <v/>
      </c>
      <c r="T1601" s="59"/>
      <c r="U1601" s="59"/>
      <c r="V1601" s="59"/>
      <c r="W1601" s="59"/>
      <c r="X1601" s="59"/>
      <c r="Y1601" s="59"/>
      <c r="Z1601" s="59"/>
      <c r="AA1601" s="59"/>
      <c r="AB1601" s="59"/>
      <c r="AC1601" s="59"/>
      <c r="AD1601" s="59"/>
      <c r="AE1601" s="59"/>
      <c r="AF1601" s="59"/>
      <c r="AG1601" s="59"/>
      <c r="AH1601" s="59"/>
      <c r="AI1601" s="59" t="str">
        <f>IF(SUM(Dati[[#This Row],[Inv. Business]:[Inv. Cryptocurrency]])=0," ",SUM(Dati[[#This Row],[Inv. Business]:[Inv. Cryptocurrency]]))</f>
        <v xml:space="preserve"> </v>
      </c>
      <c r="AJ1601" s="59"/>
      <c r="AK1601" s="59" t="str">
        <f>IF(SUM(Dati[[#This Row],[Inv. Gold]:[Mutuo]])=0," ",SUM(Dati[[#This Row],[Inv. Gold]:[Mutuo]]))</f>
        <v xml:space="preserve"> </v>
      </c>
      <c r="AL1601" s="59"/>
      <c r="AM1601" s="59"/>
    </row>
    <row r="1602" spans="2:39" x14ac:dyDescent="0.35">
      <c r="B1602" s="237">
        <f t="shared" si="113"/>
        <v>1582</v>
      </c>
      <c r="C1602" s="49">
        <f t="shared" si="112"/>
        <v>46160</v>
      </c>
      <c r="D1602" s="29">
        <f>DAY(Dati[[#This Row],[Data]])</f>
        <v>18</v>
      </c>
      <c r="E1602" s="29" t="str">
        <f>IF(DAY(Data!$C$21:$C$1613)&gt;0,TEXT(Data!$C$21:$C$1613, "mmmm"),"")</f>
        <v>maggio</v>
      </c>
      <c r="F1602" s="29" t="str">
        <f>IF(DAY(Data!$C$21:$C$1613)&gt;0,TEXT(Data!$C$21:$C$1613, "aaaa"),"")</f>
        <v>2026</v>
      </c>
      <c r="I1602" t="str">
        <f>IF(OR(H1602=$B$5,H1602=$B$6,H1602=$B$7,H1602=$B$8,H1602=$B$9,H1602=$B$10,H1602=$B$11,H1602=$B$12,H1602=$B$13,H1602=$B$14),SottocategorieUscite[[#Headers],[Fuori Casa]],IF(OR(H1602=$C$5,H1602=$C$6,H1602=$C$7,H1602=$C$8,H1602=$C$9,H1602=$C$10,H1602=$C$11,H1602=$C$12,H1602=$C$13,H1602=$C$14),SottocategorieUscite[[#Headers],[Varie Uscite]],IF(OR(H1602=$D$5,H1602=$D$6,H1602=$D$7,H1602=$D$8,H1602=$D$9,H1602=$D$10,H1602=$D$11,H1602=$D$12,H1602=$D$13,H1602=$D$14),SottocategorieUscite[[#Headers],[Personali]],IF(OR(H1602=$E$5,H1602=$E$6,H1602=$E$7,H1602=$E$8,H1602=$E$9,H1602=$E$10,H1602=$E$11,H1602=$E$12,H1602=$E$13,H1602=$E$14),SottocategorieUscite[[#Headers],[Lavoro]],IF(OR(H1602=$F$5,H1602=$F$6,H1602=$F$7,H1602=$F$8,H1602=$F$9,H1602=$F$10,H1602=$F$11,H1602=$F$12,H1602=$F$13,H1602=$F$14),SottocategorieUscite[[#Headers],[Casa]],IF(OR(H1602=$G$5,H1602=$G$6,H1602=$G$7,H1602=$G$8,H1602=$G$9,H1602=$G$10,H1602=$G$11,H1602=$G$12,H1602=$G$13,H1602=$G$14),SottocategorieUscite[[#Headers],[Utenze]],IF(OR(H1602=$H$5,H1602=$H$6,H1602=$H$7,H1602=$H$8,H1602=$H$9,H1602=$H$10,H1602=$H$11,H1602=$H$12,H1602=$H$13,H1602=$H$14),SottocategorieUscite[[#Headers],[Business Uscite]],IF(OR(H1602=$I$5,H1602=$I$6,H1602=$I$7,H1602=$I$8,H1602=$I$9,H1602=$I$10,H1602=$I$11,H1602=$I$12,H1602=$I$13,H1602=$I$14),SottocategorieUscite[[#Headers],[Banca]],IF(OR(H1602=K$5,H1602=K$6,H1602=K$7,H1602=K$8,H1602=K$9,H1602=K$10,H1602=K$11,H1602=K$12,H1602=K$13,H1602=K$14),SottocategorieEntrate[[#Headers],[Business Entrate]],IF(OR(H1602=L$5,H1602=L$6,H1602=L$7,H1602=L$8,H1602=L$9,H1602=L$10,H1602=L$11,H1602=L$12,H1602=L$13,H1602=L$14),SottocategorieEntrate[[#Headers],[Varie Entrate]],IF(OR(H1602=M$5,H1602=M$6,H1602=M$7,H1602=M$8,H1602=M$9,H1602=M$10,H1602=M$11,H1602=M$12,H1602=M$13,H1602=M$14),SottocategorieEntrate[[#Headers],[Real Estate]],IF(OR(H1602=N$5,H1602=N$6,H1602=N$7,H1602=N$8,H1602=N$9,H1602=N$10,H1602=N$11,H1602=N$12,H1602=N$13,H1602=N$14),SottocategorieEntrate[[#Headers],[Other]],""))))))))))))</f>
        <v/>
      </c>
      <c r="J1602" t="str">
        <f>IF(OR(Dati[[#This Row],[Categoria]]="Bollette",Dati[[#This Row],[Categoria]]="Conto &amp; Carte BNL",Dati[[#This Row],[Categoria]]="Prelievo",Dati[[#This Row],[Categoria]]="Affitto",Dati[[#This Row],[Categoria]]="BNL(Interessi Creditori)"),"Carta",IF(Dati[[#This Row],[Categoria]]&lt;&gt;0,"Cash",""))</f>
        <v/>
      </c>
      <c r="K1602" s="59" t="str">
        <f>IF(OR(Data!$I1602=SottocategorieUscite[[#Headers],[Fuori Casa]],Data!$I1602=SottocategorieUscite[[#Headers],[Varie Uscite]],Data!$I1602=SottocategorieUscite[[#Headers],[Personali]],Data!$I1602=SottocategorieUscite[[#Headers],[Lavoro]]),"$ -","")</f>
        <v/>
      </c>
      <c r="L1602" s="59" t="str">
        <f>IF(OR(Data!$I1602=SottocategorieUscite[[#Headers],[Casa]],Data!$I1602=SottocategorieUscite[[#Headers],[Utenze]],Data!$I1602=SottocategorieUscite[[#Headers],[Business Uscite]],Data!$I1602=SottocategorieUscite[[#Headers],[Banca]]),"$ -","")</f>
        <v/>
      </c>
      <c r="M1602" s="59" t="str">
        <f>IF(OR($I1602&lt;&gt;SottocategorieUscite[[#Headers],[Fuori Casa]],$I1602&lt;&gt;SottocategorieUscite[[#Headers],[Varie Uscite]],$I1602&lt;&gt;SottocategorieUscite[[#Headers],[Personali]],$I1602&lt;&gt;SottocategorieUscite[[#Headers],[Lavoro]],$I1602&lt;&gt;SottocategorieUscite[[#Headers],[Casa]],$I1602&lt;&gt;SottocategorieUscite[[#Headers],[Utenze]],$I1602&lt;&gt;SottocategorieUscite[[#Headers],[Business Uscite]],$I1602&lt;&gt;SottocategorieUscite[[#Headers],[Banca]]),"","$ -")</f>
        <v/>
      </c>
      <c r="N1602" s="59" t="str">
        <f>IF(OR(Data!$I1602=SottocategorieEntrate[[#Headers],[Business Entrate]],Data!$I1602=SottocategorieEntrate[[#Headers],[Varie Entrate]]),"$ -","")</f>
        <v/>
      </c>
      <c r="O1602" s="59" t="str">
        <f>IF(OR(Data!$I1602=SottocategorieEntrate[[#Headers],[Real Estate]],SottocategorieEntrate[[#Headers],[Other]]),"$ -","")</f>
        <v/>
      </c>
      <c r="P1602" s="59" t="str">
        <f>IF(OR($I1602&lt;&gt;SottocategorieEntrate[[#Headers],[Business Entrate]],$I1602&lt;&gt;SottocategorieEntrate[[#Headers],[Varie Entrate]],$I1602&lt;&gt;SottocategorieEntrate[[#Headers],[Real Estate]],$I1602&lt;&gt;SottocategorieEntrate[[#Headers],[Other]]),"","$ -")</f>
        <v/>
      </c>
      <c r="Q1602" s="59" t="str">
        <f>IF(Dati[[#This Row],[Categoria]]="Prelievo","€ -","")</f>
        <v/>
      </c>
      <c r="R1602" s="244"/>
      <c r="S1602" s="59" t="str">
        <f>IF(Dati[[#This Row],[Categoria]]="Savings",0,"")</f>
        <v/>
      </c>
      <c r="T1602" s="59"/>
      <c r="U1602" s="59"/>
      <c r="V1602" s="59"/>
      <c r="W1602" s="59"/>
      <c r="X1602" s="59"/>
      <c r="Y1602" s="59"/>
      <c r="Z1602" s="59"/>
      <c r="AA1602" s="59"/>
      <c r="AB1602" s="59"/>
      <c r="AC1602" s="59"/>
      <c r="AD1602" s="59"/>
      <c r="AE1602" s="59"/>
      <c r="AF1602" s="59"/>
      <c r="AG1602" s="59"/>
      <c r="AH1602" s="59"/>
      <c r="AI1602" s="59" t="str">
        <f>IF(SUM(Dati[[#This Row],[Inv. Business]:[Inv. Cryptocurrency]])=0," ",SUM(Dati[[#This Row],[Inv. Business]:[Inv. Cryptocurrency]]))</f>
        <v xml:space="preserve"> </v>
      </c>
      <c r="AJ1602" s="59"/>
      <c r="AK1602" s="59" t="str">
        <f>IF(SUM(Dati[[#This Row],[Inv. Gold]:[Mutuo]])=0," ",SUM(Dati[[#This Row],[Inv. Gold]:[Mutuo]]))</f>
        <v xml:space="preserve"> </v>
      </c>
      <c r="AL1602" s="59"/>
      <c r="AM1602" s="59"/>
    </row>
    <row r="1603" spans="2:39" x14ac:dyDescent="0.35">
      <c r="B1603" s="237">
        <f t="shared" si="113"/>
        <v>1583</v>
      </c>
      <c r="C1603" s="49">
        <f t="shared" si="112"/>
        <v>46161</v>
      </c>
      <c r="D1603" s="29">
        <f>DAY(Dati[[#This Row],[Data]])</f>
        <v>19</v>
      </c>
      <c r="E1603" s="29" t="str">
        <f>IF(DAY(Data!$C$21:$C$1613)&gt;0,TEXT(Data!$C$21:$C$1613, "mmmm"),"")</f>
        <v>maggio</v>
      </c>
      <c r="F1603" s="29" t="str">
        <f>IF(DAY(Data!$C$21:$C$1613)&gt;0,TEXT(Data!$C$21:$C$1613, "aaaa"),"")</f>
        <v>2026</v>
      </c>
      <c r="I1603" t="str">
        <f>IF(OR(H1603=$B$5,H1603=$B$6,H1603=$B$7,H1603=$B$8,H1603=$B$9,H1603=$B$10,H1603=$B$11,H1603=$B$12,H1603=$B$13,H1603=$B$14),SottocategorieUscite[[#Headers],[Fuori Casa]],IF(OR(H1603=$C$5,H1603=$C$6,H1603=$C$7,H1603=$C$8,H1603=$C$9,H1603=$C$10,H1603=$C$11,H1603=$C$12,H1603=$C$13,H1603=$C$14),SottocategorieUscite[[#Headers],[Varie Uscite]],IF(OR(H1603=$D$5,H1603=$D$6,H1603=$D$7,H1603=$D$8,H1603=$D$9,H1603=$D$10,H1603=$D$11,H1603=$D$12,H1603=$D$13,H1603=$D$14),SottocategorieUscite[[#Headers],[Personali]],IF(OR(H1603=$E$5,H1603=$E$6,H1603=$E$7,H1603=$E$8,H1603=$E$9,H1603=$E$10,H1603=$E$11,H1603=$E$12,H1603=$E$13,H1603=$E$14),SottocategorieUscite[[#Headers],[Lavoro]],IF(OR(H1603=$F$5,H1603=$F$6,H1603=$F$7,H1603=$F$8,H1603=$F$9,H1603=$F$10,H1603=$F$11,H1603=$F$12,H1603=$F$13,H1603=$F$14),SottocategorieUscite[[#Headers],[Casa]],IF(OR(H1603=$G$5,H1603=$G$6,H1603=$G$7,H1603=$G$8,H1603=$G$9,H1603=$G$10,H1603=$G$11,H1603=$G$12,H1603=$G$13,H1603=$G$14),SottocategorieUscite[[#Headers],[Utenze]],IF(OR(H1603=$H$5,H1603=$H$6,H1603=$H$7,H1603=$H$8,H1603=$H$9,H1603=$H$10,H1603=$H$11,H1603=$H$12,H1603=$H$13,H1603=$H$14),SottocategorieUscite[[#Headers],[Business Uscite]],IF(OR(H1603=$I$5,H1603=$I$6,H1603=$I$7,H1603=$I$8,H1603=$I$9,H1603=$I$10,H1603=$I$11,H1603=$I$12,H1603=$I$13,H1603=$I$14),SottocategorieUscite[[#Headers],[Banca]],IF(OR(H1603=K$5,H1603=K$6,H1603=K$7,H1603=K$8,H1603=K$9,H1603=K$10,H1603=K$11,H1603=K$12,H1603=K$13,H1603=K$14),SottocategorieEntrate[[#Headers],[Business Entrate]],IF(OR(H1603=L$5,H1603=L$6,H1603=L$7,H1603=L$8,H1603=L$9,H1603=L$10,H1603=L$11,H1603=L$12,H1603=L$13,H1603=L$14),SottocategorieEntrate[[#Headers],[Varie Entrate]],IF(OR(H1603=M$5,H1603=M$6,H1603=M$7,H1603=M$8,H1603=M$9,H1603=M$10,H1603=M$11,H1603=M$12,H1603=M$13,H1603=M$14),SottocategorieEntrate[[#Headers],[Real Estate]],IF(OR(H1603=N$5,H1603=N$6,H1603=N$7,H1603=N$8,H1603=N$9,H1603=N$10,H1603=N$11,H1603=N$12,H1603=N$13,H1603=N$14),SottocategorieEntrate[[#Headers],[Other]],""))))))))))))</f>
        <v/>
      </c>
      <c r="J1603" t="str">
        <f>IF(OR(Dati[[#This Row],[Categoria]]="Bollette",Dati[[#This Row],[Categoria]]="Conto &amp; Carte BNL",Dati[[#This Row],[Categoria]]="Prelievo",Dati[[#This Row],[Categoria]]="Affitto",Dati[[#This Row],[Categoria]]="BNL(Interessi Creditori)"),"Carta",IF(Dati[[#This Row],[Categoria]]&lt;&gt;0,"Cash",""))</f>
        <v/>
      </c>
      <c r="K1603" s="59" t="str">
        <f>IF(OR(Data!$I1603=SottocategorieUscite[[#Headers],[Fuori Casa]],Data!$I1603=SottocategorieUscite[[#Headers],[Varie Uscite]],Data!$I1603=SottocategorieUscite[[#Headers],[Personali]],Data!$I1603=SottocategorieUscite[[#Headers],[Lavoro]]),"$ -","")</f>
        <v/>
      </c>
      <c r="L1603" s="59" t="str">
        <f>IF(OR(Data!$I1603=SottocategorieUscite[[#Headers],[Casa]],Data!$I1603=SottocategorieUscite[[#Headers],[Utenze]],Data!$I1603=SottocategorieUscite[[#Headers],[Business Uscite]],Data!$I1603=SottocategorieUscite[[#Headers],[Banca]]),"$ -","")</f>
        <v/>
      </c>
      <c r="M1603" s="59" t="str">
        <f>IF(OR($I1603&lt;&gt;SottocategorieUscite[[#Headers],[Fuori Casa]],$I1603&lt;&gt;SottocategorieUscite[[#Headers],[Varie Uscite]],$I1603&lt;&gt;SottocategorieUscite[[#Headers],[Personali]],$I1603&lt;&gt;SottocategorieUscite[[#Headers],[Lavoro]],$I1603&lt;&gt;SottocategorieUscite[[#Headers],[Casa]],$I1603&lt;&gt;SottocategorieUscite[[#Headers],[Utenze]],$I1603&lt;&gt;SottocategorieUscite[[#Headers],[Business Uscite]],$I1603&lt;&gt;SottocategorieUscite[[#Headers],[Banca]]),"","$ -")</f>
        <v/>
      </c>
      <c r="N1603" s="59" t="str">
        <f>IF(OR(Data!$I1603=SottocategorieEntrate[[#Headers],[Business Entrate]],Data!$I1603=SottocategorieEntrate[[#Headers],[Varie Entrate]]),"$ -","")</f>
        <v/>
      </c>
      <c r="O1603" s="59" t="str">
        <f>IF(OR(Data!$I1603=SottocategorieEntrate[[#Headers],[Real Estate]],SottocategorieEntrate[[#Headers],[Other]]),"$ -","")</f>
        <v/>
      </c>
      <c r="P1603" s="59" t="str">
        <f>IF(OR($I1603&lt;&gt;SottocategorieEntrate[[#Headers],[Business Entrate]],$I1603&lt;&gt;SottocategorieEntrate[[#Headers],[Varie Entrate]],$I1603&lt;&gt;SottocategorieEntrate[[#Headers],[Real Estate]],$I1603&lt;&gt;SottocategorieEntrate[[#Headers],[Other]]),"","$ -")</f>
        <v/>
      </c>
      <c r="Q1603" s="59" t="str">
        <f>IF(Dati[[#This Row],[Categoria]]="Prelievo","€ -","")</f>
        <v/>
      </c>
      <c r="R1603" s="244"/>
      <c r="S1603" s="59" t="str">
        <f>IF(Dati[[#This Row],[Categoria]]="Savings",0,"")</f>
        <v/>
      </c>
      <c r="T1603" s="59"/>
      <c r="U1603" s="59"/>
      <c r="V1603" s="59"/>
      <c r="W1603" s="59"/>
      <c r="X1603" s="59"/>
      <c r="Y1603" s="59"/>
      <c r="Z1603" s="59"/>
      <c r="AA1603" s="59"/>
      <c r="AB1603" s="59"/>
      <c r="AC1603" s="59"/>
      <c r="AD1603" s="59"/>
      <c r="AE1603" s="59"/>
      <c r="AF1603" s="59"/>
      <c r="AG1603" s="59"/>
      <c r="AH1603" s="59"/>
      <c r="AI1603" s="59" t="str">
        <f>IF(SUM(Dati[[#This Row],[Inv. Business]:[Inv. Cryptocurrency]])=0," ",SUM(Dati[[#This Row],[Inv. Business]:[Inv. Cryptocurrency]]))</f>
        <v xml:space="preserve"> </v>
      </c>
      <c r="AJ1603" s="59"/>
      <c r="AK1603" s="59" t="str">
        <f>IF(SUM(Dati[[#This Row],[Inv. Gold]:[Mutuo]])=0," ",SUM(Dati[[#This Row],[Inv. Gold]:[Mutuo]]))</f>
        <v xml:space="preserve"> </v>
      </c>
      <c r="AL1603" s="59"/>
      <c r="AM1603" s="59"/>
    </row>
    <row r="1604" spans="2:39" x14ac:dyDescent="0.35">
      <c r="B1604" s="237">
        <f t="shared" si="113"/>
        <v>1584</v>
      </c>
      <c r="C1604" s="49">
        <f t="shared" si="112"/>
        <v>46162</v>
      </c>
      <c r="D1604" s="29">
        <f>DAY(Dati[[#This Row],[Data]])</f>
        <v>20</v>
      </c>
      <c r="E1604" s="29" t="str">
        <f>IF(DAY(Data!$C$21:$C$1613)&gt;0,TEXT(Data!$C$21:$C$1613, "mmmm"),"")</f>
        <v>maggio</v>
      </c>
      <c r="F1604" s="29" t="str">
        <f>IF(DAY(Data!$C$21:$C$1613)&gt;0,TEXT(Data!$C$21:$C$1613, "aaaa"),"")</f>
        <v>2026</v>
      </c>
      <c r="I1604" t="str">
        <f>IF(OR(H1604=$B$5,H1604=$B$6,H1604=$B$7,H1604=$B$8,H1604=$B$9,H1604=$B$10,H1604=$B$11,H1604=$B$12,H1604=$B$13,H1604=$B$14),SottocategorieUscite[[#Headers],[Fuori Casa]],IF(OR(H1604=$C$5,H1604=$C$6,H1604=$C$7,H1604=$C$8,H1604=$C$9,H1604=$C$10,H1604=$C$11,H1604=$C$12,H1604=$C$13,H1604=$C$14),SottocategorieUscite[[#Headers],[Varie Uscite]],IF(OR(H1604=$D$5,H1604=$D$6,H1604=$D$7,H1604=$D$8,H1604=$D$9,H1604=$D$10,H1604=$D$11,H1604=$D$12,H1604=$D$13,H1604=$D$14),SottocategorieUscite[[#Headers],[Personali]],IF(OR(H1604=$E$5,H1604=$E$6,H1604=$E$7,H1604=$E$8,H1604=$E$9,H1604=$E$10,H1604=$E$11,H1604=$E$12,H1604=$E$13,H1604=$E$14),SottocategorieUscite[[#Headers],[Lavoro]],IF(OR(H1604=$F$5,H1604=$F$6,H1604=$F$7,H1604=$F$8,H1604=$F$9,H1604=$F$10,H1604=$F$11,H1604=$F$12,H1604=$F$13,H1604=$F$14),SottocategorieUscite[[#Headers],[Casa]],IF(OR(H1604=$G$5,H1604=$G$6,H1604=$G$7,H1604=$G$8,H1604=$G$9,H1604=$G$10,H1604=$G$11,H1604=$G$12,H1604=$G$13,H1604=$G$14),SottocategorieUscite[[#Headers],[Utenze]],IF(OR(H1604=$H$5,H1604=$H$6,H1604=$H$7,H1604=$H$8,H1604=$H$9,H1604=$H$10,H1604=$H$11,H1604=$H$12,H1604=$H$13,H1604=$H$14),SottocategorieUscite[[#Headers],[Business Uscite]],IF(OR(H1604=$I$5,H1604=$I$6,H1604=$I$7,H1604=$I$8,H1604=$I$9,H1604=$I$10,H1604=$I$11,H1604=$I$12,H1604=$I$13,H1604=$I$14),SottocategorieUscite[[#Headers],[Banca]],IF(OR(H1604=K$5,H1604=K$6,H1604=K$7,H1604=K$8,H1604=K$9,H1604=K$10,H1604=K$11,H1604=K$12,H1604=K$13,H1604=K$14),SottocategorieEntrate[[#Headers],[Business Entrate]],IF(OR(H1604=L$5,H1604=L$6,H1604=L$7,H1604=L$8,H1604=L$9,H1604=L$10,H1604=L$11,H1604=L$12,H1604=L$13,H1604=L$14),SottocategorieEntrate[[#Headers],[Varie Entrate]],IF(OR(H1604=M$5,H1604=M$6,H1604=M$7,H1604=M$8,H1604=M$9,H1604=M$10,H1604=M$11,H1604=M$12,H1604=M$13,H1604=M$14),SottocategorieEntrate[[#Headers],[Real Estate]],IF(OR(H1604=N$5,H1604=N$6,H1604=N$7,H1604=N$8,H1604=N$9,H1604=N$10,H1604=N$11,H1604=N$12,H1604=N$13,H1604=N$14),SottocategorieEntrate[[#Headers],[Other]],""))))))))))))</f>
        <v/>
      </c>
      <c r="J1604" t="str">
        <f>IF(OR(Dati[[#This Row],[Categoria]]="Bollette",Dati[[#This Row],[Categoria]]="Conto &amp; Carte BNL",Dati[[#This Row],[Categoria]]="Prelievo",Dati[[#This Row],[Categoria]]="Affitto",Dati[[#This Row],[Categoria]]="BNL(Interessi Creditori)"),"Carta",IF(Dati[[#This Row],[Categoria]]&lt;&gt;0,"Cash",""))</f>
        <v/>
      </c>
      <c r="K1604" s="59" t="str">
        <f>IF(OR(Data!$I1604=SottocategorieUscite[[#Headers],[Fuori Casa]],Data!$I1604=SottocategorieUscite[[#Headers],[Varie Uscite]],Data!$I1604=SottocategorieUscite[[#Headers],[Personali]],Data!$I1604=SottocategorieUscite[[#Headers],[Lavoro]]),"$ -","")</f>
        <v/>
      </c>
      <c r="L1604" s="59" t="str">
        <f>IF(OR(Data!$I1604=SottocategorieUscite[[#Headers],[Casa]],Data!$I1604=SottocategorieUscite[[#Headers],[Utenze]],Data!$I1604=SottocategorieUscite[[#Headers],[Business Uscite]],Data!$I1604=SottocategorieUscite[[#Headers],[Banca]]),"$ -","")</f>
        <v/>
      </c>
      <c r="M1604" s="59" t="str">
        <f>IF(OR($I1604&lt;&gt;SottocategorieUscite[[#Headers],[Fuori Casa]],$I1604&lt;&gt;SottocategorieUscite[[#Headers],[Varie Uscite]],$I1604&lt;&gt;SottocategorieUscite[[#Headers],[Personali]],$I1604&lt;&gt;SottocategorieUscite[[#Headers],[Lavoro]],$I1604&lt;&gt;SottocategorieUscite[[#Headers],[Casa]],$I1604&lt;&gt;SottocategorieUscite[[#Headers],[Utenze]],$I1604&lt;&gt;SottocategorieUscite[[#Headers],[Business Uscite]],$I1604&lt;&gt;SottocategorieUscite[[#Headers],[Banca]]),"","$ -")</f>
        <v/>
      </c>
      <c r="N1604" s="59" t="str">
        <f>IF(OR(Data!$I1604=SottocategorieEntrate[[#Headers],[Business Entrate]],Data!$I1604=SottocategorieEntrate[[#Headers],[Varie Entrate]]),"$ -","")</f>
        <v/>
      </c>
      <c r="O1604" s="59" t="str">
        <f>IF(OR(Data!$I1604=SottocategorieEntrate[[#Headers],[Real Estate]],SottocategorieEntrate[[#Headers],[Other]]),"$ -","")</f>
        <v/>
      </c>
      <c r="P1604" s="59" t="str">
        <f>IF(OR($I1604&lt;&gt;SottocategorieEntrate[[#Headers],[Business Entrate]],$I1604&lt;&gt;SottocategorieEntrate[[#Headers],[Varie Entrate]],$I1604&lt;&gt;SottocategorieEntrate[[#Headers],[Real Estate]],$I1604&lt;&gt;SottocategorieEntrate[[#Headers],[Other]]),"","$ -")</f>
        <v/>
      </c>
      <c r="Q1604" s="59" t="str">
        <f>IF(Dati[[#This Row],[Categoria]]="Prelievo","€ -","")</f>
        <v/>
      </c>
      <c r="R1604" s="244"/>
      <c r="S1604" s="59" t="str">
        <f>IF(Dati[[#This Row],[Categoria]]="Savings",0,"")</f>
        <v/>
      </c>
      <c r="T1604" s="59"/>
      <c r="U1604" s="59"/>
      <c r="V1604" s="59"/>
      <c r="W1604" s="59"/>
      <c r="X1604" s="59"/>
      <c r="Y1604" s="59"/>
      <c r="Z1604" s="59"/>
      <c r="AA1604" s="59"/>
      <c r="AB1604" s="59"/>
      <c r="AC1604" s="59"/>
      <c r="AD1604" s="59"/>
      <c r="AE1604" s="59"/>
      <c r="AF1604" s="59"/>
      <c r="AG1604" s="59"/>
      <c r="AH1604" s="59"/>
      <c r="AI1604" s="59" t="str">
        <f>IF(SUM(Dati[[#This Row],[Inv. Business]:[Inv. Cryptocurrency]])=0," ",SUM(Dati[[#This Row],[Inv. Business]:[Inv. Cryptocurrency]]))</f>
        <v xml:space="preserve"> </v>
      </c>
      <c r="AJ1604" s="59"/>
      <c r="AK1604" s="59" t="str">
        <f>IF(SUM(Dati[[#This Row],[Inv. Gold]:[Mutuo]])=0," ",SUM(Dati[[#This Row],[Inv. Gold]:[Mutuo]]))</f>
        <v xml:space="preserve"> </v>
      </c>
      <c r="AL1604" s="59"/>
      <c r="AM1604" s="59"/>
    </row>
    <row r="1605" spans="2:39" x14ac:dyDescent="0.35">
      <c r="B1605" s="237">
        <f t="shared" si="113"/>
        <v>1585</v>
      </c>
      <c r="C1605" s="49">
        <f t="shared" si="112"/>
        <v>46163</v>
      </c>
      <c r="D1605" s="29">
        <f>DAY(Dati[[#This Row],[Data]])</f>
        <v>21</v>
      </c>
      <c r="E1605" s="29" t="str">
        <f>IF(DAY(Data!$C$21:$C$1613)&gt;0,TEXT(Data!$C$21:$C$1613, "mmmm"),"")</f>
        <v>maggio</v>
      </c>
      <c r="F1605" s="29" t="str">
        <f>IF(DAY(Data!$C$21:$C$1613)&gt;0,TEXT(Data!$C$21:$C$1613, "aaaa"),"")</f>
        <v>2026</v>
      </c>
      <c r="I1605" t="str">
        <f>IF(OR(H1605=$B$5,H1605=$B$6,H1605=$B$7,H1605=$B$8,H1605=$B$9,H1605=$B$10,H1605=$B$11,H1605=$B$12,H1605=$B$13,H1605=$B$14),SottocategorieUscite[[#Headers],[Fuori Casa]],IF(OR(H1605=$C$5,H1605=$C$6,H1605=$C$7,H1605=$C$8,H1605=$C$9,H1605=$C$10,H1605=$C$11,H1605=$C$12,H1605=$C$13,H1605=$C$14),SottocategorieUscite[[#Headers],[Varie Uscite]],IF(OR(H1605=$D$5,H1605=$D$6,H1605=$D$7,H1605=$D$8,H1605=$D$9,H1605=$D$10,H1605=$D$11,H1605=$D$12,H1605=$D$13,H1605=$D$14),SottocategorieUscite[[#Headers],[Personali]],IF(OR(H1605=$E$5,H1605=$E$6,H1605=$E$7,H1605=$E$8,H1605=$E$9,H1605=$E$10,H1605=$E$11,H1605=$E$12,H1605=$E$13,H1605=$E$14),SottocategorieUscite[[#Headers],[Lavoro]],IF(OR(H1605=$F$5,H1605=$F$6,H1605=$F$7,H1605=$F$8,H1605=$F$9,H1605=$F$10,H1605=$F$11,H1605=$F$12,H1605=$F$13,H1605=$F$14),SottocategorieUscite[[#Headers],[Casa]],IF(OR(H1605=$G$5,H1605=$G$6,H1605=$G$7,H1605=$G$8,H1605=$G$9,H1605=$G$10,H1605=$G$11,H1605=$G$12,H1605=$G$13,H1605=$G$14),SottocategorieUscite[[#Headers],[Utenze]],IF(OR(H1605=$H$5,H1605=$H$6,H1605=$H$7,H1605=$H$8,H1605=$H$9,H1605=$H$10,H1605=$H$11,H1605=$H$12,H1605=$H$13,H1605=$H$14),SottocategorieUscite[[#Headers],[Business Uscite]],IF(OR(H1605=$I$5,H1605=$I$6,H1605=$I$7,H1605=$I$8,H1605=$I$9,H1605=$I$10,H1605=$I$11,H1605=$I$12,H1605=$I$13,H1605=$I$14),SottocategorieUscite[[#Headers],[Banca]],IF(OR(H1605=K$5,H1605=K$6,H1605=K$7,H1605=K$8,H1605=K$9,H1605=K$10,H1605=K$11,H1605=K$12,H1605=K$13,H1605=K$14),SottocategorieEntrate[[#Headers],[Business Entrate]],IF(OR(H1605=L$5,H1605=L$6,H1605=L$7,H1605=L$8,H1605=L$9,H1605=L$10,H1605=L$11,H1605=L$12,H1605=L$13,H1605=L$14),SottocategorieEntrate[[#Headers],[Varie Entrate]],IF(OR(H1605=M$5,H1605=M$6,H1605=M$7,H1605=M$8,H1605=M$9,H1605=M$10,H1605=M$11,H1605=M$12,H1605=M$13,H1605=M$14),SottocategorieEntrate[[#Headers],[Real Estate]],IF(OR(H1605=N$5,H1605=N$6,H1605=N$7,H1605=N$8,H1605=N$9,H1605=N$10,H1605=N$11,H1605=N$12,H1605=N$13,H1605=N$14),SottocategorieEntrate[[#Headers],[Other]],""))))))))))))</f>
        <v/>
      </c>
      <c r="J1605" t="str">
        <f>IF(OR(Dati[[#This Row],[Categoria]]="Bollette",Dati[[#This Row],[Categoria]]="Conto &amp; Carte BNL",Dati[[#This Row],[Categoria]]="Prelievo",Dati[[#This Row],[Categoria]]="Affitto",Dati[[#This Row],[Categoria]]="BNL(Interessi Creditori)"),"Carta",IF(Dati[[#This Row],[Categoria]]&lt;&gt;0,"Cash",""))</f>
        <v/>
      </c>
      <c r="K1605" s="59" t="str">
        <f>IF(OR(Data!$I1605=SottocategorieUscite[[#Headers],[Fuori Casa]],Data!$I1605=SottocategorieUscite[[#Headers],[Varie Uscite]],Data!$I1605=SottocategorieUscite[[#Headers],[Personali]],Data!$I1605=SottocategorieUscite[[#Headers],[Lavoro]]),"$ -","")</f>
        <v/>
      </c>
      <c r="L1605" s="59" t="str">
        <f>IF(OR(Data!$I1605=SottocategorieUscite[[#Headers],[Casa]],Data!$I1605=SottocategorieUscite[[#Headers],[Utenze]],Data!$I1605=SottocategorieUscite[[#Headers],[Business Uscite]],Data!$I1605=SottocategorieUscite[[#Headers],[Banca]]),"$ -","")</f>
        <v/>
      </c>
      <c r="M1605" s="59" t="str">
        <f>IF(OR($I1605&lt;&gt;SottocategorieUscite[[#Headers],[Fuori Casa]],$I1605&lt;&gt;SottocategorieUscite[[#Headers],[Varie Uscite]],$I1605&lt;&gt;SottocategorieUscite[[#Headers],[Personali]],$I1605&lt;&gt;SottocategorieUscite[[#Headers],[Lavoro]],$I1605&lt;&gt;SottocategorieUscite[[#Headers],[Casa]],$I1605&lt;&gt;SottocategorieUscite[[#Headers],[Utenze]],$I1605&lt;&gt;SottocategorieUscite[[#Headers],[Business Uscite]],$I1605&lt;&gt;SottocategorieUscite[[#Headers],[Banca]]),"","$ -")</f>
        <v/>
      </c>
      <c r="N1605" s="59" t="str">
        <f>IF(OR(Data!$I1605=SottocategorieEntrate[[#Headers],[Business Entrate]],Data!$I1605=SottocategorieEntrate[[#Headers],[Varie Entrate]]),"$ -","")</f>
        <v/>
      </c>
      <c r="O1605" s="59" t="str">
        <f>IF(OR(Data!$I1605=SottocategorieEntrate[[#Headers],[Real Estate]],SottocategorieEntrate[[#Headers],[Other]]),"$ -","")</f>
        <v/>
      </c>
      <c r="P1605" s="59" t="str">
        <f>IF(OR($I1605&lt;&gt;SottocategorieEntrate[[#Headers],[Business Entrate]],$I1605&lt;&gt;SottocategorieEntrate[[#Headers],[Varie Entrate]],$I1605&lt;&gt;SottocategorieEntrate[[#Headers],[Real Estate]],$I1605&lt;&gt;SottocategorieEntrate[[#Headers],[Other]]),"","$ -")</f>
        <v/>
      </c>
      <c r="Q1605" s="59" t="str">
        <f>IF(Dati[[#This Row],[Categoria]]="Prelievo","€ -","")</f>
        <v/>
      </c>
      <c r="R1605" s="244"/>
      <c r="S1605" s="59" t="str">
        <f>IF(Dati[[#This Row],[Categoria]]="Savings",0,"")</f>
        <v/>
      </c>
      <c r="T1605" s="59"/>
      <c r="U1605" s="59"/>
      <c r="V1605" s="59"/>
      <c r="W1605" s="59"/>
      <c r="X1605" s="59"/>
      <c r="Y1605" s="59"/>
      <c r="Z1605" s="59"/>
      <c r="AA1605" s="59"/>
      <c r="AB1605" s="59"/>
      <c r="AC1605" s="59"/>
      <c r="AD1605" s="59"/>
      <c r="AE1605" s="59"/>
      <c r="AF1605" s="59"/>
      <c r="AG1605" s="59"/>
      <c r="AH1605" s="59"/>
      <c r="AI1605" s="59" t="str">
        <f>IF(SUM(Dati[[#This Row],[Inv. Business]:[Inv. Cryptocurrency]])=0," ",SUM(Dati[[#This Row],[Inv. Business]:[Inv. Cryptocurrency]]))</f>
        <v xml:space="preserve"> </v>
      </c>
      <c r="AJ1605" s="59"/>
      <c r="AK1605" s="59" t="str">
        <f>IF(SUM(Dati[[#This Row],[Inv. Gold]:[Mutuo]])=0," ",SUM(Dati[[#This Row],[Inv. Gold]:[Mutuo]]))</f>
        <v xml:space="preserve"> </v>
      </c>
      <c r="AL1605" s="59"/>
      <c r="AM1605" s="59"/>
    </row>
    <row r="1606" spans="2:39" x14ac:dyDescent="0.35">
      <c r="B1606" s="237">
        <f t="shared" si="113"/>
        <v>1586</v>
      </c>
      <c r="C1606" s="49">
        <f t="shared" si="112"/>
        <v>46164</v>
      </c>
      <c r="D1606" s="29">
        <f>DAY(Dati[[#This Row],[Data]])</f>
        <v>22</v>
      </c>
      <c r="E1606" s="29" t="str">
        <f>IF(DAY(Data!$C$21:$C$1613)&gt;0,TEXT(Data!$C$21:$C$1613, "mmmm"),"")</f>
        <v>maggio</v>
      </c>
      <c r="F1606" s="29" t="str">
        <f>IF(DAY(Data!$C$21:$C$1613)&gt;0,TEXT(Data!$C$21:$C$1613, "aaaa"),"")</f>
        <v>2026</v>
      </c>
      <c r="I1606" t="str">
        <f>IF(OR(H1606=$B$5,H1606=$B$6,H1606=$B$7,H1606=$B$8,H1606=$B$9,H1606=$B$10,H1606=$B$11,H1606=$B$12,H1606=$B$13,H1606=$B$14),SottocategorieUscite[[#Headers],[Fuori Casa]],IF(OR(H1606=$C$5,H1606=$C$6,H1606=$C$7,H1606=$C$8,H1606=$C$9,H1606=$C$10,H1606=$C$11,H1606=$C$12,H1606=$C$13,H1606=$C$14),SottocategorieUscite[[#Headers],[Varie Uscite]],IF(OR(H1606=$D$5,H1606=$D$6,H1606=$D$7,H1606=$D$8,H1606=$D$9,H1606=$D$10,H1606=$D$11,H1606=$D$12,H1606=$D$13,H1606=$D$14),SottocategorieUscite[[#Headers],[Personali]],IF(OR(H1606=$E$5,H1606=$E$6,H1606=$E$7,H1606=$E$8,H1606=$E$9,H1606=$E$10,H1606=$E$11,H1606=$E$12,H1606=$E$13,H1606=$E$14),SottocategorieUscite[[#Headers],[Lavoro]],IF(OR(H1606=$F$5,H1606=$F$6,H1606=$F$7,H1606=$F$8,H1606=$F$9,H1606=$F$10,H1606=$F$11,H1606=$F$12,H1606=$F$13,H1606=$F$14),SottocategorieUscite[[#Headers],[Casa]],IF(OR(H1606=$G$5,H1606=$G$6,H1606=$G$7,H1606=$G$8,H1606=$G$9,H1606=$G$10,H1606=$G$11,H1606=$G$12,H1606=$G$13,H1606=$G$14),SottocategorieUscite[[#Headers],[Utenze]],IF(OR(H1606=$H$5,H1606=$H$6,H1606=$H$7,H1606=$H$8,H1606=$H$9,H1606=$H$10,H1606=$H$11,H1606=$H$12,H1606=$H$13,H1606=$H$14),SottocategorieUscite[[#Headers],[Business Uscite]],IF(OR(H1606=$I$5,H1606=$I$6,H1606=$I$7,H1606=$I$8,H1606=$I$9,H1606=$I$10,H1606=$I$11,H1606=$I$12,H1606=$I$13,H1606=$I$14),SottocategorieUscite[[#Headers],[Banca]],IF(OR(H1606=K$5,H1606=K$6,H1606=K$7,H1606=K$8,H1606=K$9,H1606=K$10,H1606=K$11,H1606=K$12,H1606=K$13,H1606=K$14),SottocategorieEntrate[[#Headers],[Business Entrate]],IF(OR(H1606=L$5,H1606=L$6,H1606=L$7,H1606=L$8,H1606=L$9,H1606=L$10,H1606=L$11,H1606=L$12,H1606=L$13,H1606=L$14),SottocategorieEntrate[[#Headers],[Varie Entrate]],IF(OR(H1606=M$5,H1606=M$6,H1606=M$7,H1606=M$8,H1606=M$9,H1606=M$10,H1606=M$11,H1606=M$12,H1606=M$13,H1606=M$14),SottocategorieEntrate[[#Headers],[Real Estate]],IF(OR(H1606=N$5,H1606=N$6,H1606=N$7,H1606=N$8,H1606=N$9,H1606=N$10,H1606=N$11,H1606=N$12,H1606=N$13,H1606=N$14),SottocategorieEntrate[[#Headers],[Other]],""))))))))))))</f>
        <v/>
      </c>
      <c r="J1606" t="str">
        <f>IF(OR(Dati[[#This Row],[Categoria]]="Bollette",Dati[[#This Row],[Categoria]]="Conto &amp; Carte BNL",Dati[[#This Row],[Categoria]]="Prelievo",Dati[[#This Row],[Categoria]]="Affitto",Dati[[#This Row],[Categoria]]="BNL(Interessi Creditori)"),"Carta",IF(Dati[[#This Row],[Categoria]]&lt;&gt;0,"Cash",""))</f>
        <v/>
      </c>
      <c r="K1606" s="59" t="str">
        <f>IF(OR(Data!$I1606=SottocategorieUscite[[#Headers],[Fuori Casa]],Data!$I1606=SottocategorieUscite[[#Headers],[Varie Uscite]],Data!$I1606=SottocategorieUscite[[#Headers],[Personali]],Data!$I1606=SottocategorieUscite[[#Headers],[Lavoro]]),"$ -","")</f>
        <v/>
      </c>
      <c r="L1606" s="59" t="str">
        <f>IF(OR(Data!$I1606=SottocategorieUscite[[#Headers],[Casa]],Data!$I1606=SottocategorieUscite[[#Headers],[Utenze]],Data!$I1606=SottocategorieUscite[[#Headers],[Business Uscite]],Data!$I1606=SottocategorieUscite[[#Headers],[Banca]]),"$ -","")</f>
        <v/>
      </c>
      <c r="M1606" s="59" t="str">
        <f>IF(OR($I1606&lt;&gt;SottocategorieUscite[[#Headers],[Fuori Casa]],$I1606&lt;&gt;SottocategorieUscite[[#Headers],[Varie Uscite]],$I1606&lt;&gt;SottocategorieUscite[[#Headers],[Personali]],$I1606&lt;&gt;SottocategorieUscite[[#Headers],[Lavoro]],$I1606&lt;&gt;SottocategorieUscite[[#Headers],[Casa]],$I1606&lt;&gt;SottocategorieUscite[[#Headers],[Utenze]],$I1606&lt;&gt;SottocategorieUscite[[#Headers],[Business Uscite]],$I1606&lt;&gt;SottocategorieUscite[[#Headers],[Banca]]),"","$ -")</f>
        <v/>
      </c>
      <c r="N1606" s="59" t="str">
        <f>IF(OR(Data!$I1606=SottocategorieEntrate[[#Headers],[Business Entrate]],Data!$I1606=SottocategorieEntrate[[#Headers],[Varie Entrate]]),"$ -","")</f>
        <v/>
      </c>
      <c r="O1606" s="59" t="str">
        <f>IF(OR(Data!$I1606=SottocategorieEntrate[[#Headers],[Real Estate]],SottocategorieEntrate[[#Headers],[Other]]),"$ -","")</f>
        <v/>
      </c>
      <c r="P1606" s="59" t="str">
        <f>IF(OR($I1606&lt;&gt;SottocategorieEntrate[[#Headers],[Business Entrate]],$I1606&lt;&gt;SottocategorieEntrate[[#Headers],[Varie Entrate]],$I1606&lt;&gt;SottocategorieEntrate[[#Headers],[Real Estate]],$I1606&lt;&gt;SottocategorieEntrate[[#Headers],[Other]]),"","$ -")</f>
        <v/>
      </c>
      <c r="Q1606" s="59" t="str">
        <f>IF(Dati[[#This Row],[Categoria]]="Prelievo","€ -","")</f>
        <v/>
      </c>
      <c r="R1606" s="244"/>
      <c r="S1606" s="59" t="str">
        <f>IF(Dati[[#This Row],[Categoria]]="Savings",0,"")</f>
        <v/>
      </c>
      <c r="T1606" s="59"/>
      <c r="U1606" s="59"/>
      <c r="V1606" s="59"/>
      <c r="W1606" s="59"/>
      <c r="X1606" s="59"/>
      <c r="Y1606" s="59"/>
      <c r="Z1606" s="59"/>
      <c r="AA1606" s="59"/>
      <c r="AB1606" s="59"/>
      <c r="AC1606" s="59"/>
      <c r="AD1606" s="59"/>
      <c r="AE1606" s="59"/>
      <c r="AF1606" s="59"/>
      <c r="AG1606" s="59"/>
      <c r="AH1606" s="59"/>
      <c r="AI1606" s="59" t="str">
        <f>IF(SUM(Dati[[#This Row],[Inv. Business]:[Inv. Cryptocurrency]])=0," ",SUM(Dati[[#This Row],[Inv. Business]:[Inv. Cryptocurrency]]))</f>
        <v xml:space="preserve"> </v>
      </c>
      <c r="AJ1606" s="59"/>
      <c r="AK1606" s="59" t="str">
        <f>IF(SUM(Dati[[#This Row],[Inv. Gold]:[Mutuo]])=0," ",SUM(Dati[[#This Row],[Inv. Gold]:[Mutuo]]))</f>
        <v xml:space="preserve"> </v>
      </c>
      <c r="AL1606" s="59"/>
      <c r="AM1606" s="59"/>
    </row>
    <row r="1607" spans="2:39" x14ac:dyDescent="0.35">
      <c r="B1607" s="237">
        <f t="shared" si="113"/>
        <v>1587</v>
      </c>
      <c r="C1607" s="49">
        <f t="shared" si="112"/>
        <v>46165</v>
      </c>
      <c r="D1607" s="29">
        <f>DAY(Dati[[#This Row],[Data]])</f>
        <v>23</v>
      </c>
      <c r="E1607" s="29" t="str">
        <f>IF(DAY(Data!$C$21:$C$1613)&gt;0,TEXT(Data!$C$21:$C$1613, "mmmm"),"")</f>
        <v>maggio</v>
      </c>
      <c r="F1607" s="29" t="str">
        <f>IF(DAY(Data!$C$21:$C$1613)&gt;0,TEXT(Data!$C$21:$C$1613, "aaaa"),"")</f>
        <v>2026</v>
      </c>
      <c r="I1607" t="str">
        <f>IF(OR(H1607=$B$5,H1607=$B$6,H1607=$B$7,H1607=$B$8,H1607=$B$9,H1607=$B$10,H1607=$B$11,H1607=$B$12,H1607=$B$13,H1607=$B$14),SottocategorieUscite[[#Headers],[Fuori Casa]],IF(OR(H1607=$C$5,H1607=$C$6,H1607=$C$7,H1607=$C$8,H1607=$C$9,H1607=$C$10,H1607=$C$11,H1607=$C$12,H1607=$C$13,H1607=$C$14),SottocategorieUscite[[#Headers],[Varie Uscite]],IF(OR(H1607=$D$5,H1607=$D$6,H1607=$D$7,H1607=$D$8,H1607=$D$9,H1607=$D$10,H1607=$D$11,H1607=$D$12,H1607=$D$13,H1607=$D$14),SottocategorieUscite[[#Headers],[Personali]],IF(OR(H1607=$E$5,H1607=$E$6,H1607=$E$7,H1607=$E$8,H1607=$E$9,H1607=$E$10,H1607=$E$11,H1607=$E$12,H1607=$E$13,H1607=$E$14),SottocategorieUscite[[#Headers],[Lavoro]],IF(OR(H1607=$F$5,H1607=$F$6,H1607=$F$7,H1607=$F$8,H1607=$F$9,H1607=$F$10,H1607=$F$11,H1607=$F$12,H1607=$F$13,H1607=$F$14),SottocategorieUscite[[#Headers],[Casa]],IF(OR(H1607=$G$5,H1607=$G$6,H1607=$G$7,H1607=$G$8,H1607=$G$9,H1607=$G$10,H1607=$G$11,H1607=$G$12,H1607=$G$13,H1607=$G$14),SottocategorieUscite[[#Headers],[Utenze]],IF(OR(H1607=$H$5,H1607=$H$6,H1607=$H$7,H1607=$H$8,H1607=$H$9,H1607=$H$10,H1607=$H$11,H1607=$H$12,H1607=$H$13,H1607=$H$14),SottocategorieUscite[[#Headers],[Business Uscite]],IF(OR(H1607=$I$5,H1607=$I$6,H1607=$I$7,H1607=$I$8,H1607=$I$9,H1607=$I$10,H1607=$I$11,H1607=$I$12,H1607=$I$13,H1607=$I$14),SottocategorieUscite[[#Headers],[Banca]],IF(OR(H1607=K$5,H1607=K$6,H1607=K$7,H1607=K$8,H1607=K$9,H1607=K$10,H1607=K$11,H1607=K$12,H1607=K$13,H1607=K$14),SottocategorieEntrate[[#Headers],[Business Entrate]],IF(OR(H1607=L$5,H1607=L$6,H1607=L$7,H1607=L$8,H1607=L$9,H1607=L$10,H1607=L$11,H1607=L$12,H1607=L$13,H1607=L$14),SottocategorieEntrate[[#Headers],[Varie Entrate]],IF(OR(H1607=M$5,H1607=M$6,H1607=M$7,H1607=M$8,H1607=M$9,H1607=M$10,H1607=M$11,H1607=M$12,H1607=M$13,H1607=M$14),SottocategorieEntrate[[#Headers],[Real Estate]],IF(OR(H1607=N$5,H1607=N$6,H1607=N$7,H1607=N$8,H1607=N$9,H1607=N$10,H1607=N$11,H1607=N$12,H1607=N$13,H1607=N$14),SottocategorieEntrate[[#Headers],[Other]],""))))))))))))</f>
        <v/>
      </c>
      <c r="J1607" t="str">
        <f>IF(OR(Dati[[#This Row],[Categoria]]="Bollette",Dati[[#This Row],[Categoria]]="Conto &amp; Carte BNL",Dati[[#This Row],[Categoria]]="Prelievo",Dati[[#This Row],[Categoria]]="Affitto",Dati[[#This Row],[Categoria]]="BNL(Interessi Creditori)"),"Carta",IF(Dati[[#This Row],[Categoria]]&lt;&gt;0,"Cash",""))</f>
        <v/>
      </c>
      <c r="K1607" s="59" t="str">
        <f>IF(OR(Data!$I1607=SottocategorieUscite[[#Headers],[Fuori Casa]],Data!$I1607=SottocategorieUscite[[#Headers],[Varie Uscite]],Data!$I1607=SottocategorieUscite[[#Headers],[Personali]],Data!$I1607=SottocategorieUscite[[#Headers],[Lavoro]]),"$ -","")</f>
        <v/>
      </c>
      <c r="L1607" s="59" t="str">
        <f>IF(OR(Data!$I1607=SottocategorieUscite[[#Headers],[Casa]],Data!$I1607=SottocategorieUscite[[#Headers],[Utenze]],Data!$I1607=SottocategorieUscite[[#Headers],[Business Uscite]],Data!$I1607=SottocategorieUscite[[#Headers],[Banca]]),"$ -","")</f>
        <v/>
      </c>
      <c r="M1607" s="59" t="str">
        <f>IF(OR($I1607&lt;&gt;SottocategorieUscite[[#Headers],[Fuori Casa]],$I1607&lt;&gt;SottocategorieUscite[[#Headers],[Varie Uscite]],$I1607&lt;&gt;SottocategorieUscite[[#Headers],[Personali]],$I1607&lt;&gt;SottocategorieUscite[[#Headers],[Lavoro]],$I1607&lt;&gt;SottocategorieUscite[[#Headers],[Casa]],$I1607&lt;&gt;SottocategorieUscite[[#Headers],[Utenze]],$I1607&lt;&gt;SottocategorieUscite[[#Headers],[Business Uscite]],$I1607&lt;&gt;SottocategorieUscite[[#Headers],[Banca]]),"","$ -")</f>
        <v/>
      </c>
      <c r="N1607" s="59" t="str">
        <f>IF(OR(Data!$I1607=SottocategorieEntrate[[#Headers],[Business Entrate]],Data!$I1607=SottocategorieEntrate[[#Headers],[Varie Entrate]]),"$ -","")</f>
        <v/>
      </c>
      <c r="O1607" s="59" t="str">
        <f>IF(OR(Data!$I1607=SottocategorieEntrate[[#Headers],[Real Estate]],SottocategorieEntrate[[#Headers],[Other]]),"$ -","")</f>
        <v/>
      </c>
      <c r="P1607" s="59" t="str">
        <f>IF(OR($I1607&lt;&gt;SottocategorieEntrate[[#Headers],[Business Entrate]],$I1607&lt;&gt;SottocategorieEntrate[[#Headers],[Varie Entrate]],$I1607&lt;&gt;SottocategorieEntrate[[#Headers],[Real Estate]],$I1607&lt;&gt;SottocategorieEntrate[[#Headers],[Other]]),"","$ -")</f>
        <v/>
      </c>
      <c r="Q1607" s="59" t="str">
        <f>IF(Dati[[#This Row],[Categoria]]="Prelievo","€ -","")</f>
        <v/>
      </c>
      <c r="R1607" s="244"/>
      <c r="S1607" s="59" t="str">
        <f>IF(Dati[[#This Row],[Categoria]]="Savings",0,"")</f>
        <v/>
      </c>
      <c r="T1607" s="59"/>
      <c r="U1607" s="59"/>
      <c r="V1607" s="59"/>
      <c r="W1607" s="59"/>
      <c r="X1607" s="59"/>
      <c r="Y1607" s="59"/>
      <c r="Z1607" s="59"/>
      <c r="AA1607" s="59"/>
      <c r="AB1607" s="59"/>
      <c r="AC1607" s="59"/>
      <c r="AD1607" s="59"/>
      <c r="AE1607" s="59"/>
      <c r="AF1607" s="59"/>
      <c r="AG1607" s="59"/>
      <c r="AH1607" s="59"/>
      <c r="AI1607" s="59" t="str">
        <f>IF(SUM(Dati[[#This Row],[Inv. Business]:[Inv. Cryptocurrency]])=0," ",SUM(Dati[[#This Row],[Inv. Business]:[Inv. Cryptocurrency]]))</f>
        <v xml:space="preserve"> </v>
      </c>
      <c r="AJ1607" s="59"/>
      <c r="AK1607" s="59" t="str">
        <f>IF(SUM(Dati[[#This Row],[Inv. Gold]:[Mutuo]])=0," ",SUM(Dati[[#This Row],[Inv. Gold]:[Mutuo]]))</f>
        <v xml:space="preserve"> </v>
      </c>
      <c r="AL1607" s="59"/>
      <c r="AM1607" s="59"/>
    </row>
    <row r="1608" spans="2:39" x14ac:dyDescent="0.35">
      <c r="B1608" s="237">
        <f t="shared" si="113"/>
        <v>1588</v>
      </c>
      <c r="C1608" s="49">
        <f t="shared" si="112"/>
        <v>46166</v>
      </c>
      <c r="D1608" s="29">
        <f>DAY(Dati[[#This Row],[Data]])</f>
        <v>24</v>
      </c>
      <c r="E1608" s="29" t="str">
        <f>IF(DAY(Data!$C$21:$C$1613)&gt;0,TEXT(Data!$C$21:$C$1613, "mmmm"),"")</f>
        <v>maggio</v>
      </c>
      <c r="F1608" s="29" t="str">
        <f>IF(DAY(Data!$C$21:$C$1613)&gt;0,TEXT(Data!$C$21:$C$1613, "aaaa"),"")</f>
        <v>2026</v>
      </c>
      <c r="I1608" t="str">
        <f>IF(OR(H1608=$B$5,H1608=$B$6,H1608=$B$7,H1608=$B$8,H1608=$B$9,H1608=$B$10,H1608=$B$11,H1608=$B$12,H1608=$B$13,H1608=$B$14),SottocategorieUscite[[#Headers],[Fuori Casa]],IF(OR(H1608=$C$5,H1608=$C$6,H1608=$C$7,H1608=$C$8,H1608=$C$9,H1608=$C$10,H1608=$C$11,H1608=$C$12,H1608=$C$13,H1608=$C$14),SottocategorieUscite[[#Headers],[Varie Uscite]],IF(OR(H1608=$D$5,H1608=$D$6,H1608=$D$7,H1608=$D$8,H1608=$D$9,H1608=$D$10,H1608=$D$11,H1608=$D$12,H1608=$D$13,H1608=$D$14),SottocategorieUscite[[#Headers],[Personali]],IF(OR(H1608=$E$5,H1608=$E$6,H1608=$E$7,H1608=$E$8,H1608=$E$9,H1608=$E$10,H1608=$E$11,H1608=$E$12,H1608=$E$13,H1608=$E$14),SottocategorieUscite[[#Headers],[Lavoro]],IF(OR(H1608=$F$5,H1608=$F$6,H1608=$F$7,H1608=$F$8,H1608=$F$9,H1608=$F$10,H1608=$F$11,H1608=$F$12,H1608=$F$13,H1608=$F$14),SottocategorieUscite[[#Headers],[Casa]],IF(OR(H1608=$G$5,H1608=$G$6,H1608=$G$7,H1608=$G$8,H1608=$G$9,H1608=$G$10,H1608=$G$11,H1608=$G$12,H1608=$G$13,H1608=$G$14),SottocategorieUscite[[#Headers],[Utenze]],IF(OR(H1608=$H$5,H1608=$H$6,H1608=$H$7,H1608=$H$8,H1608=$H$9,H1608=$H$10,H1608=$H$11,H1608=$H$12,H1608=$H$13,H1608=$H$14),SottocategorieUscite[[#Headers],[Business Uscite]],IF(OR(H1608=$I$5,H1608=$I$6,H1608=$I$7,H1608=$I$8,H1608=$I$9,H1608=$I$10,H1608=$I$11,H1608=$I$12,H1608=$I$13,H1608=$I$14),SottocategorieUscite[[#Headers],[Banca]],IF(OR(H1608=K$5,H1608=K$6,H1608=K$7,H1608=K$8,H1608=K$9,H1608=K$10,H1608=K$11,H1608=K$12,H1608=K$13,H1608=K$14),SottocategorieEntrate[[#Headers],[Business Entrate]],IF(OR(H1608=L$5,H1608=L$6,H1608=L$7,H1608=L$8,H1608=L$9,H1608=L$10,H1608=L$11,H1608=L$12,H1608=L$13,H1608=L$14),SottocategorieEntrate[[#Headers],[Varie Entrate]],IF(OR(H1608=M$5,H1608=M$6,H1608=M$7,H1608=M$8,H1608=M$9,H1608=M$10,H1608=M$11,H1608=M$12,H1608=M$13,H1608=M$14),SottocategorieEntrate[[#Headers],[Real Estate]],IF(OR(H1608=N$5,H1608=N$6,H1608=N$7,H1608=N$8,H1608=N$9,H1608=N$10,H1608=N$11,H1608=N$12,H1608=N$13,H1608=N$14),SottocategorieEntrate[[#Headers],[Other]],""))))))))))))</f>
        <v/>
      </c>
      <c r="J1608" t="str">
        <f>IF(OR(Dati[[#This Row],[Categoria]]="Bollette",Dati[[#This Row],[Categoria]]="Conto &amp; Carte BNL",Dati[[#This Row],[Categoria]]="Prelievo",Dati[[#This Row],[Categoria]]="Affitto",Dati[[#This Row],[Categoria]]="BNL(Interessi Creditori)"),"Carta",IF(Dati[[#This Row],[Categoria]]&lt;&gt;0,"Cash",""))</f>
        <v/>
      </c>
      <c r="K1608" s="59" t="str">
        <f>IF(OR(Data!$I1608=SottocategorieUscite[[#Headers],[Fuori Casa]],Data!$I1608=SottocategorieUscite[[#Headers],[Varie Uscite]],Data!$I1608=SottocategorieUscite[[#Headers],[Personali]],Data!$I1608=SottocategorieUscite[[#Headers],[Lavoro]]),"$ -","")</f>
        <v/>
      </c>
      <c r="L1608" s="59" t="str">
        <f>IF(OR(Data!$I1608=SottocategorieUscite[[#Headers],[Casa]],Data!$I1608=SottocategorieUscite[[#Headers],[Utenze]],Data!$I1608=SottocategorieUscite[[#Headers],[Business Uscite]],Data!$I1608=SottocategorieUscite[[#Headers],[Banca]]),"$ -","")</f>
        <v/>
      </c>
      <c r="M1608" s="59" t="str">
        <f>IF(OR($I1608&lt;&gt;SottocategorieUscite[[#Headers],[Fuori Casa]],$I1608&lt;&gt;SottocategorieUscite[[#Headers],[Varie Uscite]],$I1608&lt;&gt;SottocategorieUscite[[#Headers],[Personali]],$I1608&lt;&gt;SottocategorieUscite[[#Headers],[Lavoro]],$I1608&lt;&gt;SottocategorieUscite[[#Headers],[Casa]],$I1608&lt;&gt;SottocategorieUscite[[#Headers],[Utenze]],$I1608&lt;&gt;SottocategorieUscite[[#Headers],[Business Uscite]],$I1608&lt;&gt;SottocategorieUscite[[#Headers],[Banca]]),"","$ -")</f>
        <v/>
      </c>
      <c r="N1608" s="59" t="str">
        <f>IF(OR(Data!$I1608=SottocategorieEntrate[[#Headers],[Business Entrate]],Data!$I1608=SottocategorieEntrate[[#Headers],[Varie Entrate]]),"$ -","")</f>
        <v/>
      </c>
      <c r="O1608" s="59" t="str">
        <f>IF(OR(Data!$I1608=SottocategorieEntrate[[#Headers],[Real Estate]],SottocategorieEntrate[[#Headers],[Other]]),"$ -","")</f>
        <v/>
      </c>
      <c r="P1608" s="59" t="str">
        <f>IF(OR($I1608&lt;&gt;SottocategorieEntrate[[#Headers],[Business Entrate]],$I1608&lt;&gt;SottocategorieEntrate[[#Headers],[Varie Entrate]],$I1608&lt;&gt;SottocategorieEntrate[[#Headers],[Real Estate]],$I1608&lt;&gt;SottocategorieEntrate[[#Headers],[Other]]),"","$ -")</f>
        <v/>
      </c>
      <c r="Q1608" s="59" t="str">
        <f>IF(Dati[[#This Row],[Categoria]]="Prelievo","€ -","")</f>
        <v/>
      </c>
      <c r="R1608" s="244"/>
      <c r="S1608" s="59" t="str">
        <f>IF(Dati[[#This Row],[Categoria]]="Savings",0,"")</f>
        <v/>
      </c>
      <c r="T1608" s="59"/>
      <c r="U1608" s="59"/>
      <c r="V1608" s="59"/>
      <c r="W1608" s="59"/>
      <c r="X1608" s="59"/>
      <c r="Y1608" s="59"/>
      <c r="Z1608" s="59"/>
      <c r="AA1608" s="59"/>
      <c r="AB1608" s="59"/>
      <c r="AC1608" s="59"/>
      <c r="AD1608" s="59"/>
      <c r="AE1608" s="59"/>
      <c r="AF1608" s="59"/>
      <c r="AG1608" s="59"/>
      <c r="AH1608" s="59"/>
      <c r="AI1608" s="59" t="str">
        <f>IF(SUM(Dati[[#This Row],[Inv. Business]:[Inv. Cryptocurrency]])=0," ",SUM(Dati[[#This Row],[Inv. Business]:[Inv. Cryptocurrency]]))</f>
        <v xml:space="preserve"> </v>
      </c>
      <c r="AJ1608" s="59"/>
      <c r="AK1608" s="59" t="str">
        <f>IF(SUM(Dati[[#This Row],[Inv. Gold]:[Mutuo]])=0," ",SUM(Dati[[#This Row],[Inv. Gold]:[Mutuo]]))</f>
        <v xml:space="preserve"> </v>
      </c>
      <c r="AL1608" s="59"/>
      <c r="AM1608" s="59"/>
    </row>
    <row r="1609" spans="2:39" x14ac:dyDescent="0.35">
      <c r="B1609" s="237">
        <f t="shared" si="113"/>
        <v>1589</v>
      </c>
      <c r="C1609" s="49">
        <f t="shared" si="112"/>
        <v>46167</v>
      </c>
      <c r="D1609" s="29">
        <f>DAY(Dati[[#This Row],[Data]])</f>
        <v>25</v>
      </c>
      <c r="E1609" s="29" t="str">
        <f>IF(DAY(Data!$C$21:$C$1613)&gt;0,TEXT(Data!$C$21:$C$1613, "mmmm"),"")</f>
        <v>maggio</v>
      </c>
      <c r="F1609" s="29" t="str">
        <f>IF(DAY(Data!$C$21:$C$1613)&gt;0,TEXT(Data!$C$21:$C$1613, "aaaa"),"")</f>
        <v>2026</v>
      </c>
      <c r="I1609" t="str">
        <f>IF(OR(H1609=$B$5,H1609=$B$6,H1609=$B$7,H1609=$B$8,H1609=$B$9,H1609=$B$10,H1609=$B$11,H1609=$B$12,H1609=$B$13,H1609=$B$14),SottocategorieUscite[[#Headers],[Fuori Casa]],IF(OR(H1609=$C$5,H1609=$C$6,H1609=$C$7,H1609=$C$8,H1609=$C$9,H1609=$C$10,H1609=$C$11,H1609=$C$12,H1609=$C$13,H1609=$C$14),SottocategorieUscite[[#Headers],[Varie Uscite]],IF(OR(H1609=$D$5,H1609=$D$6,H1609=$D$7,H1609=$D$8,H1609=$D$9,H1609=$D$10,H1609=$D$11,H1609=$D$12,H1609=$D$13,H1609=$D$14),SottocategorieUscite[[#Headers],[Personali]],IF(OR(H1609=$E$5,H1609=$E$6,H1609=$E$7,H1609=$E$8,H1609=$E$9,H1609=$E$10,H1609=$E$11,H1609=$E$12,H1609=$E$13,H1609=$E$14),SottocategorieUscite[[#Headers],[Lavoro]],IF(OR(H1609=$F$5,H1609=$F$6,H1609=$F$7,H1609=$F$8,H1609=$F$9,H1609=$F$10,H1609=$F$11,H1609=$F$12,H1609=$F$13,H1609=$F$14),SottocategorieUscite[[#Headers],[Casa]],IF(OR(H1609=$G$5,H1609=$G$6,H1609=$G$7,H1609=$G$8,H1609=$G$9,H1609=$G$10,H1609=$G$11,H1609=$G$12,H1609=$G$13,H1609=$G$14),SottocategorieUscite[[#Headers],[Utenze]],IF(OR(H1609=$H$5,H1609=$H$6,H1609=$H$7,H1609=$H$8,H1609=$H$9,H1609=$H$10,H1609=$H$11,H1609=$H$12,H1609=$H$13,H1609=$H$14),SottocategorieUscite[[#Headers],[Business Uscite]],IF(OR(H1609=$I$5,H1609=$I$6,H1609=$I$7,H1609=$I$8,H1609=$I$9,H1609=$I$10,H1609=$I$11,H1609=$I$12,H1609=$I$13,H1609=$I$14),SottocategorieUscite[[#Headers],[Banca]],IF(OR(H1609=K$5,H1609=K$6,H1609=K$7,H1609=K$8,H1609=K$9,H1609=K$10,H1609=K$11,H1609=K$12,H1609=K$13,H1609=K$14),SottocategorieEntrate[[#Headers],[Business Entrate]],IF(OR(H1609=L$5,H1609=L$6,H1609=L$7,H1609=L$8,H1609=L$9,H1609=L$10,H1609=L$11,H1609=L$12,H1609=L$13,H1609=L$14),SottocategorieEntrate[[#Headers],[Varie Entrate]],IF(OR(H1609=M$5,H1609=M$6,H1609=M$7,H1609=M$8,H1609=M$9,H1609=M$10,H1609=M$11,H1609=M$12,H1609=M$13,H1609=M$14),SottocategorieEntrate[[#Headers],[Real Estate]],IF(OR(H1609=N$5,H1609=N$6,H1609=N$7,H1609=N$8,H1609=N$9,H1609=N$10,H1609=N$11,H1609=N$12,H1609=N$13,H1609=N$14),SottocategorieEntrate[[#Headers],[Other]],""))))))))))))</f>
        <v/>
      </c>
      <c r="J1609" t="str">
        <f>IF(OR(Dati[[#This Row],[Categoria]]="Bollette",Dati[[#This Row],[Categoria]]="Conto &amp; Carte BNL",Dati[[#This Row],[Categoria]]="Prelievo",Dati[[#This Row],[Categoria]]="Affitto",Dati[[#This Row],[Categoria]]="BNL(Interessi Creditori)"),"Carta",IF(Dati[[#This Row],[Categoria]]&lt;&gt;0,"Cash",""))</f>
        <v/>
      </c>
      <c r="K1609" s="59" t="str">
        <f>IF(OR(Data!$I1609=SottocategorieUscite[[#Headers],[Fuori Casa]],Data!$I1609=SottocategorieUscite[[#Headers],[Varie Uscite]],Data!$I1609=SottocategorieUscite[[#Headers],[Personali]],Data!$I1609=SottocategorieUscite[[#Headers],[Lavoro]]),"$ -","")</f>
        <v/>
      </c>
      <c r="L1609" s="59" t="str">
        <f>IF(OR(Data!$I1609=SottocategorieUscite[[#Headers],[Casa]],Data!$I1609=SottocategorieUscite[[#Headers],[Utenze]],Data!$I1609=SottocategorieUscite[[#Headers],[Business Uscite]],Data!$I1609=SottocategorieUscite[[#Headers],[Banca]]),"$ -","")</f>
        <v/>
      </c>
      <c r="M1609" s="59" t="str">
        <f>IF(OR($I1609&lt;&gt;SottocategorieUscite[[#Headers],[Fuori Casa]],$I1609&lt;&gt;SottocategorieUscite[[#Headers],[Varie Uscite]],$I1609&lt;&gt;SottocategorieUscite[[#Headers],[Personali]],$I1609&lt;&gt;SottocategorieUscite[[#Headers],[Lavoro]],$I1609&lt;&gt;SottocategorieUscite[[#Headers],[Casa]],$I1609&lt;&gt;SottocategorieUscite[[#Headers],[Utenze]],$I1609&lt;&gt;SottocategorieUscite[[#Headers],[Business Uscite]],$I1609&lt;&gt;SottocategorieUscite[[#Headers],[Banca]]),"","$ -")</f>
        <v/>
      </c>
      <c r="N1609" s="59" t="str">
        <f>IF(OR(Data!$I1609=SottocategorieEntrate[[#Headers],[Business Entrate]],Data!$I1609=SottocategorieEntrate[[#Headers],[Varie Entrate]]),"$ -","")</f>
        <v/>
      </c>
      <c r="O1609" s="59" t="str">
        <f>IF(OR(Data!$I1609=SottocategorieEntrate[[#Headers],[Real Estate]],SottocategorieEntrate[[#Headers],[Other]]),"$ -","")</f>
        <v/>
      </c>
      <c r="P1609" s="59" t="str">
        <f>IF(OR($I1609&lt;&gt;SottocategorieEntrate[[#Headers],[Business Entrate]],$I1609&lt;&gt;SottocategorieEntrate[[#Headers],[Varie Entrate]],$I1609&lt;&gt;SottocategorieEntrate[[#Headers],[Real Estate]],$I1609&lt;&gt;SottocategorieEntrate[[#Headers],[Other]]),"","$ -")</f>
        <v/>
      </c>
      <c r="Q1609" s="59" t="str">
        <f>IF(Dati[[#This Row],[Categoria]]="Prelievo","€ -","")</f>
        <v/>
      </c>
      <c r="R1609" s="244"/>
      <c r="S1609" s="59" t="str">
        <f>IF(Dati[[#This Row],[Categoria]]="Savings",0,"")</f>
        <v/>
      </c>
      <c r="T1609" s="59"/>
      <c r="U1609" s="59"/>
      <c r="V1609" s="59"/>
      <c r="W1609" s="59"/>
      <c r="X1609" s="59"/>
      <c r="Y1609" s="59"/>
      <c r="Z1609" s="59"/>
      <c r="AA1609" s="59"/>
      <c r="AB1609" s="59"/>
      <c r="AC1609" s="59"/>
      <c r="AD1609" s="59"/>
      <c r="AE1609" s="59"/>
      <c r="AF1609" s="59"/>
      <c r="AG1609" s="59"/>
      <c r="AH1609" s="59"/>
      <c r="AI1609" s="59" t="str">
        <f>IF(SUM(Dati[[#This Row],[Inv. Business]:[Inv. Cryptocurrency]])=0," ",SUM(Dati[[#This Row],[Inv. Business]:[Inv. Cryptocurrency]]))</f>
        <v xml:space="preserve"> </v>
      </c>
      <c r="AJ1609" s="59"/>
      <c r="AK1609" s="59" t="str">
        <f>IF(SUM(Dati[[#This Row],[Inv. Gold]:[Mutuo]])=0," ",SUM(Dati[[#This Row],[Inv. Gold]:[Mutuo]]))</f>
        <v xml:space="preserve"> </v>
      </c>
      <c r="AL1609" s="59"/>
      <c r="AM1609" s="59"/>
    </row>
    <row r="1610" spans="2:39" x14ac:dyDescent="0.35">
      <c r="B1610" s="237">
        <f t="shared" si="113"/>
        <v>1590</v>
      </c>
      <c r="C1610" s="49">
        <f t="shared" si="112"/>
        <v>46168</v>
      </c>
      <c r="D1610" s="29">
        <f>DAY(Dati[[#This Row],[Data]])</f>
        <v>26</v>
      </c>
      <c r="E1610" s="29" t="str">
        <f>IF(DAY(Data!$C$21:$C$1613)&gt;0,TEXT(Data!$C$21:$C$1613, "mmmm"),"")</f>
        <v>maggio</v>
      </c>
      <c r="F1610" s="29" t="str">
        <f>IF(DAY(Data!$C$21:$C$1613)&gt;0,TEXT(Data!$C$21:$C$1613, "aaaa"),"")</f>
        <v>2026</v>
      </c>
      <c r="I1610" t="str">
        <f>IF(OR(H1610=$B$5,H1610=$B$6,H1610=$B$7,H1610=$B$8,H1610=$B$9,H1610=$B$10,H1610=$B$11,H1610=$B$12,H1610=$B$13,H1610=$B$14),SottocategorieUscite[[#Headers],[Fuori Casa]],IF(OR(H1610=$C$5,H1610=$C$6,H1610=$C$7,H1610=$C$8,H1610=$C$9,H1610=$C$10,H1610=$C$11,H1610=$C$12,H1610=$C$13,H1610=$C$14),SottocategorieUscite[[#Headers],[Varie Uscite]],IF(OR(H1610=$D$5,H1610=$D$6,H1610=$D$7,H1610=$D$8,H1610=$D$9,H1610=$D$10,H1610=$D$11,H1610=$D$12,H1610=$D$13,H1610=$D$14),SottocategorieUscite[[#Headers],[Personali]],IF(OR(H1610=$E$5,H1610=$E$6,H1610=$E$7,H1610=$E$8,H1610=$E$9,H1610=$E$10,H1610=$E$11,H1610=$E$12,H1610=$E$13,H1610=$E$14),SottocategorieUscite[[#Headers],[Lavoro]],IF(OR(H1610=$F$5,H1610=$F$6,H1610=$F$7,H1610=$F$8,H1610=$F$9,H1610=$F$10,H1610=$F$11,H1610=$F$12,H1610=$F$13,H1610=$F$14),SottocategorieUscite[[#Headers],[Casa]],IF(OR(H1610=$G$5,H1610=$G$6,H1610=$G$7,H1610=$G$8,H1610=$G$9,H1610=$G$10,H1610=$G$11,H1610=$G$12,H1610=$G$13,H1610=$G$14),SottocategorieUscite[[#Headers],[Utenze]],IF(OR(H1610=$H$5,H1610=$H$6,H1610=$H$7,H1610=$H$8,H1610=$H$9,H1610=$H$10,H1610=$H$11,H1610=$H$12,H1610=$H$13,H1610=$H$14),SottocategorieUscite[[#Headers],[Business Uscite]],IF(OR(H1610=$I$5,H1610=$I$6,H1610=$I$7,H1610=$I$8,H1610=$I$9,H1610=$I$10,H1610=$I$11,H1610=$I$12,H1610=$I$13,H1610=$I$14),SottocategorieUscite[[#Headers],[Banca]],IF(OR(H1610=K$5,H1610=K$6,H1610=K$7,H1610=K$8,H1610=K$9,H1610=K$10,H1610=K$11,H1610=K$12,H1610=K$13,H1610=K$14),SottocategorieEntrate[[#Headers],[Business Entrate]],IF(OR(H1610=L$5,H1610=L$6,H1610=L$7,H1610=L$8,H1610=L$9,H1610=L$10,H1610=L$11,H1610=L$12,H1610=L$13,H1610=L$14),SottocategorieEntrate[[#Headers],[Varie Entrate]],IF(OR(H1610=M$5,H1610=M$6,H1610=M$7,H1610=M$8,H1610=M$9,H1610=M$10,H1610=M$11,H1610=M$12,H1610=M$13,H1610=M$14),SottocategorieEntrate[[#Headers],[Real Estate]],IF(OR(H1610=N$5,H1610=N$6,H1610=N$7,H1610=N$8,H1610=N$9,H1610=N$10,H1610=N$11,H1610=N$12,H1610=N$13,H1610=N$14),SottocategorieEntrate[[#Headers],[Other]],""))))))))))))</f>
        <v/>
      </c>
      <c r="J1610" t="str">
        <f>IF(OR(Dati[[#This Row],[Categoria]]="Bollette",Dati[[#This Row],[Categoria]]="Conto &amp; Carte BNL",Dati[[#This Row],[Categoria]]="Prelievo",Dati[[#This Row],[Categoria]]="Affitto",Dati[[#This Row],[Categoria]]="BNL(Interessi Creditori)"),"Carta",IF(Dati[[#This Row],[Categoria]]&lt;&gt;0,"Cash",""))</f>
        <v/>
      </c>
      <c r="K1610" s="59" t="str">
        <f>IF(OR(Data!$I1610=SottocategorieUscite[[#Headers],[Fuori Casa]],Data!$I1610=SottocategorieUscite[[#Headers],[Varie Uscite]],Data!$I1610=SottocategorieUscite[[#Headers],[Personali]],Data!$I1610=SottocategorieUscite[[#Headers],[Lavoro]]),"$ -","")</f>
        <v/>
      </c>
      <c r="L1610" s="59" t="str">
        <f>IF(OR(Data!$I1610=SottocategorieUscite[[#Headers],[Casa]],Data!$I1610=SottocategorieUscite[[#Headers],[Utenze]],Data!$I1610=SottocategorieUscite[[#Headers],[Business Uscite]],Data!$I1610=SottocategorieUscite[[#Headers],[Banca]]),"$ -","")</f>
        <v/>
      </c>
      <c r="M1610" s="59" t="str">
        <f>IF(OR($I1610&lt;&gt;SottocategorieUscite[[#Headers],[Fuori Casa]],$I1610&lt;&gt;SottocategorieUscite[[#Headers],[Varie Uscite]],$I1610&lt;&gt;SottocategorieUscite[[#Headers],[Personali]],$I1610&lt;&gt;SottocategorieUscite[[#Headers],[Lavoro]],$I1610&lt;&gt;SottocategorieUscite[[#Headers],[Casa]],$I1610&lt;&gt;SottocategorieUscite[[#Headers],[Utenze]],$I1610&lt;&gt;SottocategorieUscite[[#Headers],[Business Uscite]],$I1610&lt;&gt;SottocategorieUscite[[#Headers],[Banca]]),"","$ -")</f>
        <v/>
      </c>
      <c r="N1610" s="59" t="str">
        <f>IF(OR(Data!$I1610=SottocategorieEntrate[[#Headers],[Business Entrate]],Data!$I1610=SottocategorieEntrate[[#Headers],[Varie Entrate]]),"$ -","")</f>
        <v/>
      </c>
      <c r="O1610" s="59" t="str">
        <f>IF(OR(Data!$I1610=SottocategorieEntrate[[#Headers],[Real Estate]],SottocategorieEntrate[[#Headers],[Other]]),"$ -","")</f>
        <v/>
      </c>
      <c r="P1610" s="59" t="str">
        <f>IF(OR($I1610&lt;&gt;SottocategorieEntrate[[#Headers],[Business Entrate]],$I1610&lt;&gt;SottocategorieEntrate[[#Headers],[Varie Entrate]],$I1610&lt;&gt;SottocategorieEntrate[[#Headers],[Real Estate]],$I1610&lt;&gt;SottocategorieEntrate[[#Headers],[Other]]),"","$ -")</f>
        <v/>
      </c>
      <c r="Q1610" s="59" t="str">
        <f>IF(Dati[[#This Row],[Categoria]]="Prelievo","€ -","")</f>
        <v/>
      </c>
      <c r="R1610" s="244"/>
      <c r="S1610" s="59" t="str">
        <f>IF(Dati[[#This Row],[Categoria]]="Savings",0,"")</f>
        <v/>
      </c>
      <c r="T1610" s="59"/>
      <c r="U1610" s="59"/>
      <c r="V1610" s="59"/>
      <c r="W1610" s="59"/>
      <c r="X1610" s="59"/>
      <c r="Y1610" s="59"/>
      <c r="Z1610" s="59"/>
      <c r="AA1610" s="59"/>
      <c r="AB1610" s="59"/>
      <c r="AC1610" s="59"/>
      <c r="AD1610" s="59"/>
      <c r="AE1610" s="59"/>
      <c r="AF1610" s="59"/>
      <c r="AG1610" s="59"/>
      <c r="AH1610" s="59"/>
      <c r="AI1610" s="59" t="str">
        <f>IF(SUM(Dati[[#This Row],[Inv. Business]:[Inv. Cryptocurrency]])=0," ",SUM(Dati[[#This Row],[Inv. Business]:[Inv. Cryptocurrency]]))</f>
        <v xml:space="preserve"> </v>
      </c>
      <c r="AJ1610" s="59"/>
      <c r="AK1610" s="59" t="str">
        <f>IF(SUM(Dati[[#This Row],[Inv. Gold]:[Mutuo]])=0," ",SUM(Dati[[#This Row],[Inv. Gold]:[Mutuo]]))</f>
        <v xml:space="preserve"> </v>
      </c>
      <c r="AL1610" s="59"/>
      <c r="AM1610" s="59"/>
    </row>
    <row r="1611" spans="2:39" x14ac:dyDescent="0.35">
      <c r="B1611" s="237">
        <f t="shared" si="113"/>
        <v>1591</v>
      </c>
      <c r="C1611" s="49">
        <f t="shared" si="112"/>
        <v>46169</v>
      </c>
      <c r="D1611" s="29">
        <f>DAY(Dati[[#This Row],[Data]])</f>
        <v>27</v>
      </c>
      <c r="E1611" s="29" t="str">
        <f>IF(DAY(Data!$C$21:$C$1613)&gt;0,TEXT(Data!$C$21:$C$1613, "mmmm"),"")</f>
        <v>maggio</v>
      </c>
      <c r="F1611" s="29" t="str">
        <f>IF(DAY(Data!$C$21:$C$1613)&gt;0,TEXT(Data!$C$21:$C$1613, "aaaa"),"")</f>
        <v>2026</v>
      </c>
      <c r="I1611" t="str">
        <f>IF(OR(H1611=$B$5,H1611=$B$6,H1611=$B$7,H1611=$B$8,H1611=$B$9,H1611=$B$10,H1611=$B$11,H1611=$B$12,H1611=$B$13,H1611=$B$14),SottocategorieUscite[[#Headers],[Fuori Casa]],IF(OR(H1611=$C$5,H1611=$C$6,H1611=$C$7,H1611=$C$8,H1611=$C$9,H1611=$C$10,H1611=$C$11,H1611=$C$12,H1611=$C$13,H1611=$C$14),SottocategorieUscite[[#Headers],[Varie Uscite]],IF(OR(H1611=$D$5,H1611=$D$6,H1611=$D$7,H1611=$D$8,H1611=$D$9,H1611=$D$10,H1611=$D$11,H1611=$D$12,H1611=$D$13,H1611=$D$14),SottocategorieUscite[[#Headers],[Personali]],IF(OR(H1611=$E$5,H1611=$E$6,H1611=$E$7,H1611=$E$8,H1611=$E$9,H1611=$E$10,H1611=$E$11,H1611=$E$12,H1611=$E$13,H1611=$E$14),SottocategorieUscite[[#Headers],[Lavoro]],IF(OR(H1611=$F$5,H1611=$F$6,H1611=$F$7,H1611=$F$8,H1611=$F$9,H1611=$F$10,H1611=$F$11,H1611=$F$12,H1611=$F$13,H1611=$F$14),SottocategorieUscite[[#Headers],[Casa]],IF(OR(H1611=$G$5,H1611=$G$6,H1611=$G$7,H1611=$G$8,H1611=$G$9,H1611=$G$10,H1611=$G$11,H1611=$G$12,H1611=$G$13,H1611=$G$14),SottocategorieUscite[[#Headers],[Utenze]],IF(OR(H1611=$H$5,H1611=$H$6,H1611=$H$7,H1611=$H$8,H1611=$H$9,H1611=$H$10,H1611=$H$11,H1611=$H$12,H1611=$H$13,H1611=$H$14),SottocategorieUscite[[#Headers],[Business Uscite]],IF(OR(H1611=$I$5,H1611=$I$6,H1611=$I$7,H1611=$I$8,H1611=$I$9,H1611=$I$10,H1611=$I$11,H1611=$I$12,H1611=$I$13,H1611=$I$14),SottocategorieUscite[[#Headers],[Banca]],IF(OR(H1611=K$5,H1611=K$6,H1611=K$7,H1611=K$8,H1611=K$9,H1611=K$10,H1611=K$11,H1611=K$12,H1611=K$13,H1611=K$14),SottocategorieEntrate[[#Headers],[Business Entrate]],IF(OR(H1611=L$5,H1611=L$6,H1611=L$7,H1611=L$8,H1611=L$9,H1611=L$10,H1611=L$11,H1611=L$12,H1611=L$13,H1611=L$14),SottocategorieEntrate[[#Headers],[Varie Entrate]],IF(OR(H1611=M$5,H1611=M$6,H1611=M$7,H1611=M$8,H1611=M$9,H1611=M$10,H1611=M$11,H1611=M$12,H1611=M$13,H1611=M$14),SottocategorieEntrate[[#Headers],[Real Estate]],IF(OR(H1611=N$5,H1611=N$6,H1611=N$7,H1611=N$8,H1611=N$9,H1611=N$10,H1611=N$11,H1611=N$12,H1611=N$13,H1611=N$14),SottocategorieEntrate[[#Headers],[Other]],""))))))))))))</f>
        <v/>
      </c>
      <c r="J1611" t="str">
        <f>IF(OR(Dati[[#This Row],[Categoria]]="Bollette",Dati[[#This Row],[Categoria]]="Conto &amp; Carte BNL",Dati[[#This Row],[Categoria]]="Prelievo",Dati[[#This Row],[Categoria]]="Affitto",Dati[[#This Row],[Categoria]]="BNL(Interessi Creditori)"),"Carta",IF(Dati[[#This Row],[Categoria]]&lt;&gt;0,"Cash",""))</f>
        <v/>
      </c>
      <c r="K1611" s="59" t="str">
        <f>IF(OR(Data!$I1611=SottocategorieUscite[[#Headers],[Fuori Casa]],Data!$I1611=SottocategorieUscite[[#Headers],[Varie Uscite]],Data!$I1611=SottocategorieUscite[[#Headers],[Personali]],Data!$I1611=SottocategorieUscite[[#Headers],[Lavoro]]),"$ -","")</f>
        <v/>
      </c>
      <c r="L1611" s="59" t="str">
        <f>IF(OR(Data!$I1611=SottocategorieUscite[[#Headers],[Casa]],Data!$I1611=SottocategorieUscite[[#Headers],[Utenze]],Data!$I1611=SottocategorieUscite[[#Headers],[Business Uscite]],Data!$I1611=SottocategorieUscite[[#Headers],[Banca]]),"$ -","")</f>
        <v/>
      </c>
      <c r="M1611" s="59" t="str">
        <f>IF(OR($I1611&lt;&gt;SottocategorieUscite[[#Headers],[Fuori Casa]],$I1611&lt;&gt;SottocategorieUscite[[#Headers],[Varie Uscite]],$I1611&lt;&gt;SottocategorieUscite[[#Headers],[Personali]],$I1611&lt;&gt;SottocategorieUscite[[#Headers],[Lavoro]],$I1611&lt;&gt;SottocategorieUscite[[#Headers],[Casa]],$I1611&lt;&gt;SottocategorieUscite[[#Headers],[Utenze]],$I1611&lt;&gt;SottocategorieUscite[[#Headers],[Business Uscite]],$I1611&lt;&gt;SottocategorieUscite[[#Headers],[Banca]]),"","$ -")</f>
        <v/>
      </c>
      <c r="N1611" s="59" t="str">
        <f>IF(OR(Data!$I1611=SottocategorieEntrate[[#Headers],[Business Entrate]],Data!$I1611=SottocategorieEntrate[[#Headers],[Varie Entrate]]),"$ -","")</f>
        <v/>
      </c>
      <c r="O1611" s="59" t="str">
        <f>IF(OR(Data!$I1611=SottocategorieEntrate[[#Headers],[Real Estate]],SottocategorieEntrate[[#Headers],[Other]]),"$ -","")</f>
        <v/>
      </c>
      <c r="P1611" s="59" t="str">
        <f>IF(OR($I1611&lt;&gt;SottocategorieEntrate[[#Headers],[Business Entrate]],$I1611&lt;&gt;SottocategorieEntrate[[#Headers],[Varie Entrate]],$I1611&lt;&gt;SottocategorieEntrate[[#Headers],[Real Estate]],$I1611&lt;&gt;SottocategorieEntrate[[#Headers],[Other]]),"","$ -")</f>
        <v/>
      </c>
      <c r="Q1611" s="59" t="str">
        <f>IF(Dati[[#This Row],[Categoria]]="Prelievo","€ -","")</f>
        <v/>
      </c>
      <c r="R1611" s="244"/>
      <c r="S1611" s="59" t="str">
        <f>IF(Dati[[#This Row],[Categoria]]="Savings",0,"")</f>
        <v/>
      </c>
      <c r="T1611" s="59"/>
      <c r="U1611" s="59"/>
      <c r="V1611" s="59"/>
      <c r="W1611" s="59"/>
      <c r="X1611" s="59"/>
      <c r="Y1611" s="59"/>
      <c r="Z1611" s="59"/>
      <c r="AA1611" s="59"/>
      <c r="AB1611" s="59"/>
      <c r="AC1611" s="59"/>
      <c r="AD1611" s="59"/>
      <c r="AE1611" s="59"/>
      <c r="AF1611" s="59"/>
      <c r="AG1611" s="59"/>
      <c r="AH1611" s="59"/>
      <c r="AI1611" s="59" t="str">
        <f>IF(SUM(Dati[[#This Row],[Inv. Business]:[Inv. Cryptocurrency]])=0," ",SUM(Dati[[#This Row],[Inv. Business]:[Inv. Cryptocurrency]]))</f>
        <v xml:space="preserve"> </v>
      </c>
      <c r="AJ1611" s="59"/>
      <c r="AK1611" s="59" t="str">
        <f>IF(SUM(Dati[[#This Row],[Inv. Gold]:[Mutuo]])=0," ",SUM(Dati[[#This Row],[Inv. Gold]:[Mutuo]]))</f>
        <v xml:space="preserve"> </v>
      </c>
      <c r="AL1611" s="59"/>
      <c r="AM1611" s="59"/>
    </row>
    <row r="1612" spans="2:39" x14ac:dyDescent="0.35">
      <c r="B1612" s="237">
        <f t="shared" si="113"/>
        <v>1592</v>
      </c>
      <c r="C1612" s="49">
        <f t="shared" si="112"/>
        <v>46170</v>
      </c>
      <c r="D1612" s="29">
        <f>DAY(Dati[[#This Row],[Data]])</f>
        <v>28</v>
      </c>
      <c r="E1612" s="29" t="str">
        <f>IF(DAY(Data!$C$21:$C$1613)&gt;0,TEXT(Data!$C$21:$C$1613, "mmmm"),"")</f>
        <v>maggio</v>
      </c>
      <c r="F1612" s="29" t="str">
        <f>IF(DAY(Data!$C$21:$C$1613)&gt;0,TEXT(Data!$C$21:$C$1613, "aaaa"),"")</f>
        <v>2026</v>
      </c>
      <c r="I1612" t="str">
        <f>IF(OR(H1612=$B$5,H1612=$B$6,H1612=$B$7,H1612=$B$8,H1612=$B$9,H1612=$B$10,H1612=$B$11,H1612=$B$12,H1612=$B$13,H1612=$B$14),SottocategorieUscite[[#Headers],[Fuori Casa]],IF(OR(H1612=$C$5,H1612=$C$6,H1612=$C$7,H1612=$C$8,H1612=$C$9,H1612=$C$10,H1612=$C$11,H1612=$C$12,H1612=$C$13,H1612=$C$14),SottocategorieUscite[[#Headers],[Varie Uscite]],IF(OR(H1612=$D$5,H1612=$D$6,H1612=$D$7,H1612=$D$8,H1612=$D$9,H1612=$D$10,H1612=$D$11,H1612=$D$12,H1612=$D$13,H1612=$D$14),SottocategorieUscite[[#Headers],[Personali]],IF(OR(H1612=$E$5,H1612=$E$6,H1612=$E$7,H1612=$E$8,H1612=$E$9,H1612=$E$10,H1612=$E$11,H1612=$E$12,H1612=$E$13,H1612=$E$14),SottocategorieUscite[[#Headers],[Lavoro]],IF(OR(H1612=$F$5,H1612=$F$6,H1612=$F$7,H1612=$F$8,H1612=$F$9,H1612=$F$10,H1612=$F$11,H1612=$F$12,H1612=$F$13,H1612=$F$14),SottocategorieUscite[[#Headers],[Casa]],IF(OR(H1612=$G$5,H1612=$G$6,H1612=$G$7,H1612=$G$8,H1612=$G$9,H1612=$G$10,H1612=$G$11,H1612=$G$12,H1612=$G$13,H1612=$G$14),SottocategorieUscite[[#Headers],[Utenze]],IF(OR(H1612=$H$5,H1612=$H$6,H1612=$H$7,H1612=$H$8,H1612=$H$9,H1612=$H$10,H1612=$H$11,H1612=$H$12,H1612=$H$13,H1612=$H$14),SottocategorieUscite[[#Headers],[Business Uscite]],IF(OR(H1612=$I$5,H1612=$I$6,H1612=$I$7,H1612=$I$8,H1612=$I$9,H1612=$I$10,H1612=$I$11,H1612=$I$12,H1612=$I$13,H1612=$I$14),SottocategorieUscite[[#Headers],[Banca]],IF(OR(H1612=K$5,H1612=K$6,H1612=K$7,H1612=K$8,H1612=K$9,H1612=K$10,H1612=K$11,H1612=K$12,H1612=K$13,H1612=K$14),SottocategorieEntrate[[#Headers],[Business Entrate]],IF(OR(H1612=L$5,H1612=L$6,H1612=L$7,H1612=L$8,H1612=L$9,H1612=L$10,H1612=L$11,H1612=L$12,H1612=L$13,H1612=L$14),SottocategorieEntrate[[#Headers],[Varie Entrate]],IF(OR(H1612=M$5,H1612=M$6,H1612=M$7,H1612=M$8,H1612=M$9,H1612=M$10,H1612=M$11,H1612=M$12,H1612=M$13,H1612=M$14),SottocategorieEntrate[[#Headers],[Real Estate]],IF(OR(H1612=N$5,H1612=N$6,H1612=N$7,H1612=N$8,H1612=N$9,H1612=N$10,H1612=N$11,H1612=N$12,H1612=N$13,H1612=N$14),SottocategorieEntrate[[#Headers],[Other]],""))))))))))))</f>
        <v/>
      </c>
      <c r="J1612" t="str">
        <f>IF(OR(Dati[[#This Row],[Categoria]]="Bollette",Dati[[#This Row],[Categoria]]="Conto &amp; Carte BNL",Dati[[#This Row],[Categoria]]="Prelievo",Dati[[#This Row],[Categoria]]="Affitto",Dati[[#This Row],[Categoria]]="BNL(Interessi Creditori)"),"Carta",IF(Dati[[#This Row],[Categoria]]&lt;&gt;0,"Cash",""))</f>
        <v/>
      </c>
      <c r="K1612" s="59" t="str">
        <f>IF(OR(Data!$I1612=SottocategorieUscite[[#Headers],[Fuori Casa]],Data!$I1612=SottocategorieUscite[[#Headers],[Varie Uscite]],Data!$I1612=SottocategorieUscite[[#Headers],[Personali]],Data!$I1612=SottocategorieUscite[[#Headers],[Lavoro]]),"$ -","")</f>
        <v/>
      </c>
      <c r="L1612" s="59" t="str">
        <f>IF(OR(Data!$I1612=SottocategorieUscite[[#Headers],[Casa]],Data!$I1612=SottocategorieUscite[[#Headers],[Utenze]],Data!$I1612=SottocategorieUscite[[#Headers],[Business Uscite]],Data!$I1612=SottocategorieUscite[[#Headers],[Banca]]),"$ -","")</f>
        <v/>
      </c>
      <c r="M1612" s="59" t="str">
        <f>IF(OR($I1612&lt;&gt;SottocategorieUscite[[#Headers],[Fuori Casa]],$I1612&lt;&gt;SottocategorieUscite[[#Headers],[Varie Uscite]],$I1612&lt;&gt;SottocategorieUscite[[#Headers],[Personali]],$I1612&lt;&gt;SottocategorieUscite[[#Headers],[Lavoro]],$I1612&lt;&gt;SottocategorieUscite[[#Headers],[Casa]],$I1612&lt;&gt;SottocategorieUscite[[#Headers],[Utenze]],$I1612&lt;&gt;SottocategorieUscite[[#Headers],[Business Uscite]],$I1612&lt;&gt;SottocategorieUscite[[#Headers],[Banca]]),"","$ -")</f>
        <v/>
      </c>
      <c r="N1612" s="59" t="str">
        <f>IF(OR(Data!$I1612=SottocategorieEntrate[[#Headers],[Business Entrate]],Data!$I1612=SottocategorieEntrate[[#Headers],[Varie Entrate]]),"$ -","")</f>
        <v/>
      </c>
      <c r="O1612" s="59" t="str">
        <f>IF(OR(Data!$I1612=SottocategorieEntrate[[#Headers],[Real Estate]],SottocategorieEntrate[[#Headers],[Other]]),"$ -","")</f>
        <v/>
      </c>
      <c r="P1612" s="59" t="str">
        <f>IF(OR($I1612&lt;&gt;SottocategorieEntrate[[#Headers],[Business Entrate]],$I1612&lt;&gt;SottocategorieEntrate[[#Headers],[Varie Entrate]],$I1612&lt;&gt;SottocategorieEntrate[[#Headers],[Real Estate]],$I1612&lt;&gt;SottocategorieEntrate[[#Headers],[Other]]),"","$ -")</f>
        <v/>
      </c>
      <c r="Q1612" s="59" t="str">
        <f>IF(Dati[[#This Row],[Categoria]]="Prelievo","€ -","")</f>
        <v/>
      </c>
      <c r="R1612" s="244"/>
      <c r="S1612" s="59" t="str">
        <f>IF(Dati[[#This Row],[Categoria]]="Savings",0,"")</f>
        <v/>
      </c>
      <c r="T1612" s="59"/>
      <c r="U1612" s="59"/>
      <c r="V1612" s="59"/>
      <c r="W1612" s="59"/>
      <c r="X1612" s="59"/>
      <c r="Y1612" s="59"/>
      <c r="Z1612" s="59"/>
      <c r="AA1612" s="59"/>
      <c r="AB1612" s="59"/>
      <c r="AC1612" s="59"/>
      <c r="AD1612" s="59"/>
      <c r="AE1612" s="59"/>
      <c r="AF1612" s="59"/>
      <c r="AG1612" s="59"/>
      <c r="AH1612" s="59"/>
      <c r="AI1612" s="59" t="str">
        <f>IF(SUM(Dati[[#This Row],[Inv. Business]:[Inv. Cryptocurrency]])=0," ",SUM(Dati[[#This Row],[Inv. Business]:[Inv. Cryptocurrency]]))</f>
        <v xml:space="preserve"> </v>
      </c>
      <c r="AJ1612" s="59"/>
      <c r="AK1612" s="59" t="str">
        <f>IF(SUM(Dati[[#This Row],[Inv. Gold]:[Mutuo]])=0," ",SUM(Dati[[#This Row],[Inv. Gold]:[Mutuo]]))</f>
        <v xml:space="preserve"> </v>
      </c>
      <c r="AL1612" s="59"/>
      <c r="AM1612" s="59"/>
    </row>
    <row r="1613" spans="2:39" x14ac:dyDescent="0.35">
      <c r="B1613" s="237">
        <f t="shared" si="113"/>
        <v>1593</v>
      </c>
      <c r="C1613" s="49">
        <f t="shared" si="112"/>
        <v>46171</v>
      </c>
      <c r="D1613" s="29">
        <f>DAY(Dati[[#This Row],[Data]])</f>
        <v>29</v>
      </c>
      <c r="E1613" s="29" t="str">
        <f>IF(DAY(Data!$C$21:$C$1613)&gt;0,TEXT(Data!$C$21:$C$1613, "mmmm"),"")</f>
        <v>maggio</v>
      </c>
      <c r="F1613" s="29" t="str">
        <f>IF(DAY(Data!$C$21:$C$1613)&gt;0,TEXT(Data!$C$21:$C$1613, "aaaa"),"")</f>
        <v>2026</v>
      </c>
      <c r="I1613" t="str">
        <f>IF(OR(H1613=$B$5,H1613=$B$6,H1613=$B$7,H1613=$B$8,H1613=$B$9,H1613=$B$10,H1613=$B$11,H1613=$B$12,H1613=$B$13,H1613=$B$14),SottocategorieUscite[[#Headers],[Fuori Casa]],IF(OR(H1613=$C$5,H1613=$C$6,H1613=$C$7,H1613=$C$8,H1613=$C$9,H1613=$C$10,H1613=$C$11,H1613=$C$12,H1613=$C$13,H1613=$C$14),SottocategorieUscite[[#Headers],[Varie Uscite]],IF(OR(H1613=$D$5,H1613=$D$6,H1613=$D$7,H1613=$D$8,H1613=$D$9,H1613=$D$10,H1613=$D$11,H1613=$D$12,H1613=$D$13,H1613=$D$14),SottocategorieUscite[[#Headers],[Personali]],IF(OR(H1613=$E$5,H1613=$E$6,H1613=$E$7,H1613=$E$8,H1613=$E$9,H1613=$E$10,H1613=$E$11,H1613=$E$12,H1613=$E$13,H1613=$E$14),SottocategorieUscite[[#Headers],[Lavoro]],IF(OR(H1613=$F$5,H1613=$F$6,H1613=$F$7,H1613=$F$8,H1613=$F$9,H1613=$F$10,H1613=$F$11,H1613=$F$12,H1613=$F$13,H1613=$F$14),SottocategorieUscite[[#Headers],[Casa]],IF(OR(H1613=$G$5,H1613=$G$6,H1613=$G$7,H1613=$G$8,H1613=$G$9,H1613=$G$10,H1613=$G$11,H1613=$G$12,H1613=$G$13,H1613=$G$14),SottocategorieUscite[[#Headers],[Utenze]],IF(OR(H1613=$H$5,H1613=$H$6,H1613=$H$7,H1613=$H$8,H1613=$H$9,H1613=$H$10,H1613=$H$11,H1613=$H$12,H1613=$H$13,H1613=$H$14),SottocategorieUscite[[#Headers],[Business Uscite]],IF(OR(H1613=$I$5,H1613=$I$6,H1613=$I$7,H1613=$I$8,H1613=$I$9,H1613=$I$10,H1613=$I$11,H1613=$I$12,H1613=$I$13,H1613=$I$14),SottocategorieUscite[[#Headers],[Banca]],IF(OR(H1613=K$5,H1613=K$6,H1613=K$7,H1613=K$8,H1613=K$9,H1613=K$10,H1613=K$11,H1613=K$12,H1613=K$13,H1613=K$14),SottocategorieEntrate[[#Headers],[Business Entrate]],IF(OR(H1613=L$5,H1613=L$6,H1613=L$7,H1613=L$8,H1613=L$9,H1613=L$10,H1613=L$11,H1613=L$12,H1613=L$13,H1613=L$14),SottocategorieEntrate[[#Headers],[Varie Entrate]],IF(OR(H1613=M$5,H1613=M$6,H1613=M$7,H1613=M$8,H1613=M$9,H1613=M$10,H1613=M$11,H1613=M$12,H1613=M$13,H1613=M$14),SottocategorieEntrate[[#Headers],[Real Estate]],IF(OR(H1613=N$5,H1613=N$6,H1613=N$7,H1613=N$8,H1613=N$9,H1613=N$10,H1613=N$11,H1613=N$12,H1613=N$13,H1613=N$14),SottocategorieEntrate[[#Headers],[Other]],""))))))))))))</f>
        <v/>
      </c>
      <c r="J1613" t="str">
        <f>IF(OR(Dati[[#This Row],[Categoria]]="Bollette",Dati[[#This Row],[Categoria]]="Conto &amp; Carte BNL",Dati[[#This Row],[Categoria]]="Prelievo",Dati[[#This Row],[Categoria]]="Affitto",Dati[[#This Row],[Categoria]]="BNL(Interessi Creditori)"),"Carta",IF(Dati[[#This Row],[Categoria]]&lt;&gt;0,"Cash",""))</f>
        <v/>
      </c>
      <c r="K1613" s="59" t="str">
        <f>IF(OR(Data!$I1613=SottocategorieUscite[[#Headers],[Fuori Casa]],Data!$I1613=SottocategorieUscite[[#Headers],[Varie Uscite]],Data!$I1613=SottocategorieUscite[[#Headers],[Personali]],Data!$I1613=SottocategorieUscite[[#Headers],[Lavoro]]),"$ -","")</f>
        <v/>
      </c>
      <c r="L1613" s="59" t="str">
        <f>IF(OR(Data!$I1613=SottocategorieUscite[[#Headers],[Casa]],Data!$I1613=SottocategorieUscite[[#Headers],[Utenze]],Data!$I1613=SottocategorieUscite[[#Headers],[Business Uscite]],Data!$I1613=SottocategorieUscite[[#Headers],[Banca]]),"$ -","")</f>
        <v/>
      </c>
      <c r="M1613" s="59" t="str">
        <f>IF(OR($I1613&lt;&gt;SottocategorieUscite[[#Headers],[Fuori Casa]],$I1613&lt;&gt;SottocategorieUscite[[#Headers],[Varie Uscite]],$I1613&lt;&gt;SottocategorieUscite[[#Headers],[Personali]],$I1613&lt;&gt;SottocategorieUscite[[#Headers],[Lavoro]],$I1613&lt;&gt;SottocategorieUscite[[#Headers],[Casa]],$I1613&lt;&gt;SottocategorieUscite[[#Headers],[Utenze]],$I1613&lt;&gt;SottocategorieUscite[[#Headers],[Business Uscite]],$I1613&lt;&gt;SottocategorieUscite[[#Headers],[Banca]]),"","$ -")</f>
        <v/>
      </c>
      <c r="N1613" s="59" t="str">
        <f>IF(OR(Data!$I1613=SottocategorieEntrate[[#Headers],[Business Entrate]],Data!$I1613=SottocategorieEntrate[[#Headers],[Varie Entrate]]),"$ -","")</f>
        <v/>
      </c>
      <c r="O1613" s="59" t="str">
        <f>IF(OR(Data!$I1613=SottocategorieEntrate[[#Headers],[Real Estate]],SottocategorieEntrate[[#Headers],[Other]]),"$ -","")</f>
        <v/>
      </c>
      <c r="P1613" s="59" t="str">
        <f>IF(OR($I1613&lt;&gt;SottocategorieEntrate[[#Headers],[Business Entrate]],$I1613&lt;&gt;SottocategorieEntrate[[#Headers],[Varie Entrate]],$I1613&lt;&gt;SottocategorieEntrate[[#Headers],[Real Estate]],$I1613&lt;&gt;SottocategorieEntrate[[#Headers],[Other]]),"","$ -")</f>
        <v/>
      </c>
      <c r="Q1613" s="59" t="str">
        <f>IF(Dati[[#This Row],[Categoria]]="Prelievo","€ -","")</f>
        <v/>
      </c>
      <c r="R1613" s="244"/>
      <c r="S1613" s="59" t="str">
        <f>IF(Dati[[#This Row],[Categoria]]="Savings",0,"")</f>
        <v/>
      </c>
      <c r="T1613" s="59"/>
      <c r="U1613" s="59"/>
      <c r="V1613" s="59"/>
      <c r="W1613" s="59"/>
      <c r="X1613" s="59"/>
      <c r="Y1613" s="59"/>
      <c r="Z1613" s="59"/>
      <c r="AA1613" s="59"/>
      <c r="AB1613" s="59"/>
      <c r="AC1613" s="59"/>
      <c r="AD1613" s="59"/>
      <c r="AE1613" s="59"/>
      <c r="AF1613" s="59"/>
      <c r="AG1613" s="59"/>
      <c r="AH1613" s="59"/>
      <c r="AI1613" s="59" t="str">
        <f>IF(SUM(Dati[[#This Row],[Inv. Business]:[Inv. Cryptocurrency]])=0," ",SUM(Dati[[#This Row],[Inv. Business]:[Inv. Cryptocurrency]]))</f>
        <v xml:space="preserve"> </v>
      </c>
      <c r="AJ1613" s="59"/>
      <c r="AK1613" s="59" t="str">
        <f>IF(SUM(Dati[[#This Row],[Inv. Gold]:[Mutuo]])=0," ",SUM(Dati[[#This Row],[Inv. Gold]:[Mutuo]]))</f>
        <v xml:space="preserve"> </v>
      </c>
      <c r="AL1613" s="59"/>
      <c r="AM1613" s="59"/>
    </row>
  </sheetData>
  <mergeCells count="24">
    <mergeCell ref="N19:P19"/>
    <mergeCell ref="Q19:S19"/>
    <mergeCell ref="P10:P11"/>
    <mergeCell ref="Q10:Q11"/>
    <mergeCell ref="P6:Q6"/>
    <mergeCell ref="P7:Q7"/>
    <mergeCell ref="R10:R11"/>
    <mergeCell ref="S10:S11"/>
    <mergeCell ref="AD19:AI19"/>
    <mergeCell ref="AJ19:AM19"/>
    <mergeCell ref="B2:I2"/>
    <mergeCell ref="S12:S13"/>
    <mergeCell ref="U2:Z2"/>
    <mergeCell ref="P12:P13"/>
    <mergeCell ref="T19:AC19"/>
    <mergeCell ref="K2:N2"/>
    <mergeCell ref="K3:L3"/>
    <mergeCell ref="M3:N3"/>
    <mergeCell ref="P5:Q5"/>
    <mergeCell ref="P4:Q4"/>
    <mergeCell ref="P2:S2"/>
    <mergeCell ref="B3:E3"/>
    <mergeCell ref="F3:I3"/>
    <mergeCell ref="K19:M19"/>
  </mergeCells>
  <dataValidations disablePrompts="1" count="1">
    <dataValidation type="list" allowBlank="1" showInputMessage="1" showErrorMessage="1" sqref="H20" xr:uid="{387BC085-C829-7845-8DED-F0E58737C007}">
      <formula1>$AC:$AC</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Add Row">
              <controlPr defaultSize="0" print="0" autoFill="0" autoPict="0" macro="[0]!AddRow">
                <anchor moveWithCells="1" sizeWithCells="1">
                  <from>
                    <xdr:col>0</xdr:col>
                    <xdr:colOff>647700</xdr:colOff>
                    <xdr:row>15</xdr:row>
                    <xdr:rowOff>0</xdr:rowOff>
                  </from>
                  <to>
                    <xdr:col>2</xdr:col>
                    <xdr:colOff>1181100</xdr:colOff>
                    <xdr:row>18</xdr:row>
                    <xdr:rowOff>0</xdr:rowOff>
                  </to>
                </anchor>
              </controlPr>
            </control>
          </mc:Choice>
        </mc:AlternateContent>
      </controls>
    </mc:Choice>
  </mc:AlternateContent>
  <tableParts count="4">
    <tablePart r:id="rId5"/>
    <tablePart r:id="rId6"/>
    <tablePart r:id="rId7"/>
    <tablePart r:id="rId8"/>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71437-CD2B-B940-BA28-3DBE560B44CA}">
  <sheetPr codeName="Sheet3"/>
  <dimension ref="A1:BI174"/>
  <sheetViews>
    <sheetView topLeftCell="A61" workbookViewId="0">
      <selection activeCell="E5" sqref="E5"/>
    </sheetView>
  </sheetViews>
  <sheetFormatPr defaultColWidth="8.83203125" defaultRowHeight="14.5" x14ac:dyDescent="0.35"/>
  <cols>
    <col min="1" max="1" width="10" style="1" bestFit="1" customWidth="1"/>
    <col min="2" max="2" width="17.5" style="1" bestFit="1" customWidth="1"/>
    <col min="3" max="3" width="19.5" style="1" bestFit="1" customWidth="1"/>
    <col min="4" max="4" width="12.1640625" style="1" bestFit="1" customWidth="1"/>
    <col min="5" max="5" width="11.6640625" style="1" customWidth="1"/>
    <col min="6" max="6" width="13.33203125" style="1" customWidth="1"/>
    <col min="7" max="7" width="10" style="1" bestFit="1" customWidth="1"/>
    <col min="8" max="8" width="16" style="1" customWidth="1"/>
    <col min="9" max="9" width="11.1640625" style="1" bestFit="1" customWidth="1"/>
    <col min="10" max="10" width="24.83203125" style="1" bestFit="1" customWidth="1"/>
    <col min="11" max="11" width="10.5" style="1" bestFit="1" customWidth="1"/>
    <col min="12" max="12" width="10.1640625" style="1" bestFit="1" customWidth="1"/>
    <col min="13" max="13" width="19" style="1" bestFit="1" customWidth="1"/>
    <col min="14" max="14" width="12.1640625" style="1" customWidth="1"/>
    <col min="15" max="16" width="9.33203125" style="1" customWidth="1"/>
    <col min="17" max="17" width="12" style="1" customWidth="1"/>
    <col min="18" max="18" width="11" style="1" customWidth="1"/>
    <col min="19" max="19" width="9.5" style="1" customWidth="1"/>
    <col min="20" max="21" width="8.83203125" style="1"/>
    <col min="22" max="22" width="9.5" style="1" bestFit="1" customWidth="1"/>
    <col min="23" max="23" width="8.83203125" style="1" customWidth="1"/>
    <col min="24" max="24" width="8.83203125" style="1"/>
    <col min="25" max="26" width="9.5" style="1" bestFit="1" customWidth="1"/>
    <col min="27" max="27" width="12.5" style="1" bestFit="1" customWidth="1"/>
    <col min="28" max="28" width="10.5" style="1" customWidth="1"/>
    <col min="29" max="29" width="9.5" style="1" customWidth="1"/>
    <col min="30" max="30" width="8.83203125" style="1"/>
    <col min="31" max="31" width="10" style="1" bestFit="1" customWidth="1"/>
    <col min="32" max="33" width="8.83203125" style="1"/>
    <col min="34" max="34" width="10" style="1" bestFit="1" customWidth="1"/>
    <col min="35" max="37" width="8.83203125" style="1"/>
    <col min="38" max="38" width="11.1640625" style="1" bestFit="1" customWidth="1"/>
    <col min="39" max="39" width="15.5" style="1" bestFit="1" customWidth="1"/>
    <col min="40" max="42" width="8.83203125" style="1"/>
    <col min="43" max="43" width="9.5" style="1" bestFit="1" customWidth="1"/>
    <col min="44" max="44" width="13.83203125" style="1" bestFit="1" customWidth="1"/>
    <col min="45" max="16384" width="8.83203125" style="1"/>
  </cols>
  <sheetData>
    <row r="1" spans="1:61" ht="16" thickBot="1" x14ac:dyDescent="0.4">
      <c r="B1" s="1" t="s">
        <v>38</v>
      </c>
      <c r="C1" s="4" t="s">
        <v>39</v>
      </c>
      <c r="D1" s="1" t="str">
        <f>Pivot!D9</f>
        <v>2025</v>
      </c>
      <c r="E1" s="4" t="s">
        <v>40</v>
      </c>
      <c r="F1" s="1">
        <f>Pivot!D10</f>
        <v>5</v>
      </c>
      <c r="G1" s="1" t="s">
        <v>41</v>
      </c>
      <c r="H1" s="1" t="s">
        <v>42</v>
      </c>
      <c r="I1" s="1" t="str">
        <f t="array" aca="1" ref="I1" ca="1">"Today: "&amp;DAY(J1)&amp;" "&amp;INDEX(C5:C16,MONTH(J1))&amp;" "&amp;YEAR(J1)</f>
        <v>Today: 1 Settembre 2025</v>
      </c>
      <c r="J1" s="2">
        <f ca="1">TODAY()</f>
        <v>45901</v>
      </c>
      <c r="L1" s="1" t="s">
        <v>43</v>
      </c>
      <c r="M1" s="98" t="s">
        <v>186</v>
      </c>
      <c r="O1" s="6" t="s">
        <v>44</v>
      </c>
      <c r="R1" s="1" t="s">
        <v>45</v>
      </c>
      <c r="S1" s="7" t="s">
        <v>46</v>
      </c>
      <c r="T1" s="1" t="s">
        <v>47</v>
      </c>
      <c r="Z1"/>
      <c r="AA1"/>
      <c r="AB1"/>
      <c r="AC1"/>
      <c r="AD1"/>
      <c r="AE1"/>
      <c r="AF1"/>
      <c r="AG1"/>
      <c r="AH1"/>
      <c r="AI1"/>
      <c r="AJ1"/>
      <c r="AK1"/>
      <c r="AL1"/>
      <c r="AM1"/>
      <c r="AN1"/>
      <c r="AO1"/>
      <c r="AP1"/>
      <c r="AQ1"/>
      <c r="AR1"/>
      <c r="AS1"/>
      <c r="AT1"/>
      <c r="AU1"/>
      <c r="AV1"/>
    </row>
    <row r="2" spans="1:61" ht="16" thickBot="1" x14ac:dyDescent="0.4">
      <c r="C2" s="238" t="s">
        <v>264</v>
      </c>
      <c r="D2" s="239">
        <v>2023</v>
      </c>
      <c r="E2" s="238" t="s">
        <v>265</v>
      </c>
      <c r="F2" s="240" t="s">
        <v>53</v>
      </c>
      <c r="G2" s="241" t="s">
        <v>256</v>
      </c>
      <c r="H2" s="242">
        <f>DATEVALUE("1"&amp;F2&amp;D2)</f>
        <v>44927</v>
      </c>
      <c r="J2" s="94">
        <f ca="1">YEAR(TODAY())</f>
        <v>2025</v>
      </c>
      <c r="M2" s="5"/>
      <c r="O2" s="6"/>
      <c r="S2" s="8" t="s">
        <v>16</v>
      </c>
      <c r="T2" s="8" t="s">
        <v>17</v>
      </c>
      <c r="U2" s="8" t="s">
        <v>18</v>
      </c>
      <c r="V2" s="8" t="s">
        <v>13</v>
      </c>
      <c r="W2" s="8" t="s">
        <v>14</v>
      </c>
      <c r="X2" s="8" t="s">
        <v>15</v>
      </c>
      <c r="Z2"/>
      <c r="AA2"/>
      <c r="AB2"/>
      <c r="AC2"/>
      <c r="AD2"/>
      <c r="AE2"/>
      <c r="AF2"/>
      <c r="AG2"/>
      <c r="AH2"/>
      <c r="AI2"/>
      <c r="AJ2"/>
      <c r="AK2"/>
      <c r="AL2"/>
      <c r="AM2"/>
      <c r="AN2"/>
      <c r="AO2"/>
      <c r="AP2"/>
      <c r="AQ2"/>
      <c r="AR2"/>
      <c r="AS2"/>
      <c r="AT2"/>
      <c r="AU2"/>
      <c r="AV2"/>
    </row>
    <row r="3" spans="1:61" ht="15.5" x14ac:dyDescent="0.35">
      <c r="B3" s="7" t="str">
        <f>D4&amp;" &amp; "&amp;E4</f>
        <v>Income &amp; Expenses</v>
      </c>
      <c r="E3" s="4" t="s">
        <v>246</v>
      </c>
      <c r="F3" s="8" t="str">
        <f>IF(F1="Multiple Months","Multiple Months",INDEX($C$5:$C$16,F1))</f>
        <v>Maggio</v>
      </c>
      <c r="G3" s="1" t="s">
        <v>48</v>
      </c>
      <c r="I3" s="4" t="s">
        <v>49</v>
      </c>
      <c r="O3" s="8" t="s">
        <v>16</v>
      </c>
      <c r="P3" s="9">
        <f t="shared" ref="P3:P8" si="0">IFERROR(Q3/($Q$9+$Q$10),"0")</f>
        <v>0</v>
      </c>
      <c r="Q3" s="52">
        <f>GETPIVOTDATA(""&amp;O3,Pivot!$B$12)</f>
        <v>0</v>
      </c>
      <c r="S3" s="10">
        <f>$P$3</f>
        <v>0</v>
      </c>
      <c r="T3" s="10">
        <f>$P$4</f>
        <v>0.91771955866866417</v>
      </c>
      <c r="U3" s="10">
        <f>$P$5</f>
        <v>0</v>
      </c>
      <c r="V3" s="10">
        <f>$P$6</f>
        <v>3.2441386398937282E-2</v>
      </c>
      <c r="W3" s="10">
        <f>$P$7</f>
        <v>4.9839054932398485E-2</v>
      </c>
      <c r="X3" s="10">
        <f>$P$8</f>
        <v>0</v>
      </c>
      <c r="Z3"/>
      <c r="AA3"/>
      <c r="AB3"/>
      <c r="AC3"/>
      <c r="AD3"/>
      <c r="AE3"/>
      <c r="AF3"/>
      <c r="AG3"/>
      <c r="AH3"/>
      <c r="AI3"/>
      <c r="AJ3"/>
      <c r="AK3"/>
      <c r="AL3"/>
      <c r="AM3"/>
      <c r="AN3"/>
      <c r="AO3"/>
      <c r="AP3"/>
      <c r="AQ3"/>
      <c r="AR3"/>
      <c r="AS3"/>
      <c r="AT3"/>
      <c r="AU3"/>
      <c r="AV3"/>
    </row>
    <row r="4" spans="1:61" ht="15.5" x14ac:dyDescent="0.35">
      <c r="A4" s="6" t="s">
        <v>39</v>
      </c>
      <c r="B4" s="6" t="s">
        <v>50</v>
      </c>
      <c r="C4" s="4" t="s">
        <v>40</v>
      </c>
      <c r="D4" s="4" t="s">
        <v>51</v>
      </c>
      <c r="E4" s="4" t="s">
        <v>52</v>
      </c>
      <c r="F4" s="4" t="s">
        <v>51</v>
      </c>
      <c r="G4" s="4" t="s">
        <v>52</v>
      </c>
      <c r="I4" s="4" t="s">
        <v>51</v>
      </c>
      <c r="J4" s="4" t="s">
        <v>52</v>
      </c>
      <c r="O4" s="8" t="s">
        <v>17</v>
      </c>
      <c r="P4" s="9">
        <f t="shared" si="0"/>
        <v>0.91771955866866417</v>
      </c>
      <c r="Q4" s="52">
        <f>GETPIVOTDATA(""&amp;O4,Pivot!$B$12)</f>
        <v>4000</v>
      </c>
      <c r="R4" s="52">
        <f>IF(Q9=0,"Nessuna Entrata",Q9)</f>
        <v>4000</v>
      </c>
      <c r="S4" s="10">
        <f t="shared" ref="S4:S5" si="1">$P$3</f>
        <v>0</v>
      </c>
      <c r="T4" s="10">
        <f t="shared" ref="T4:T5" si="2">$P$4</f>
        <v>0.91771955866866417</v>
      </c>
      <c r="U4" s="10">
        <f t="shared" ref="U4:U5" si="3">$P$5</f>
        <v>0</v>
      </c>
      <c r="V4" s="10">
        <f t="shared" ref="V4:V5" si="4">$P$6</f>
        <v>3.2441386398937282E-2</v>
      </c>
      <c r="W4" s="10">
        <f t="shared" ref="W4:W5" si="5">$P$7</f>
        <v>4.9839054932398485E-2</v>
      </c>
      <c r="X4" s="10">
        <f t="shared" ref="X4:X5" si="6">$P$8</f>
        <v>0</v>
      </c>
      <c r="AD4"/>
      <c r="AE4"/>
      <c r="AF4"/>
      <c r="AG4"/>
      <c r="AH4"/>
      <c r="AI4"/>
      <c r="AJ4"/>
    </row>
    <row r="5" spans="1:61" ht="15.5" x14ac:dyDescent="0.35">
      <c r="A5" s="1">
        <v>2023</v>
      </c>
      <c r="B5" s="1">
        <v>1</v>
      </c>
      <c r="C5" s="8" t="s">
        <v>53</v>
      </c>
      <c r="D5" s="1">
        <f>SUMIFS(Dati[Entrate],Dati[Anno],Processing!$AH$27,Dati[Mese],Processing!C5)+SUMIFS(Dati[Entrate Fisse],Dati[Anno],Processing!$AH$27,Dati[Mese],Processing!C5)+SUMIFS(Dati[Altre Entrate],Dati[Anno],Processing!$AH$27,Dati[Mese],Processing!C5)+SUMIFS(Dati[Entrate],Dati[Anno],Processing!$AH$28,Dati[Mese],Processing!C5)+SUMIFS(Dati[Entrate Fisse],Dati[Anno],Processing!$AH$28,Dati[Mese],Processing!C5)+SUMIFS(Dati[Altre Entrate],Dati[Anno],Processing!$AH$28,Dati[Mese],Processing!C5)+SUMIFS(Dati[Entrate],Dati[Anno],Processing!$AH$29,Dati[Mese],Processing!C5)+SUMIFS(Dati[Entrate Fisse],Dati[Anno],Processing!$AH$29,Dati[Mese],Processing!C5)+SUMIFS(Dati[Altre Entrate],Dati[Anno],Processing!$AH$29,Dati[Mese],Processing!C5)+SUMIFS(Dati[Entrate],Dati[Anno],Processing!$AH$30,Dati[Mese],Processing!C5)+SUMIFS(Dati[Entrate Fisse],Dati[Anno],Processing!$AH$30,Dati[Mese],Processing!C5)+SUMIFS(Dati[Altre Entrate],Dati[Anno],Processing!$AH$30,Dati[Mese],Processing!C5)+SUMIFS(Dati[Entrate],Dati[Anno],Processing!$AH$31,Dati[Mese],Processing!C5)+SUMIFS(Dati[Entrate Fisse],Dati[Anno],Processing!$AH$31,Dati[Mese],Processing!C5)+SUMIFS(Dati[Altre Entrate],Dati[Anno],Processing!$AH$31,Dati[Mese],Processing!C5)+SUMIFS(Dati[Entrate],Dati[Anno],Processing!$AH$32,Dati[Mese],Processing!C5)+SUMIFS(Dati[Entrate Fisse],Dati[Anno],Processing!$AH$32,Dati[Mese],Processing!C5)+SUMIFS(Dati[Altre Entrate],Dati[Anno],Processing!$AH$32,Dati[Mese],Processing!C5)+SUMIFS(Dati[Entrate],Dati[Anno],Processing!$AH$33,Dati[Mese],Processing!C5)+SUMIFS(Dati[Entrate Fisse],Dati[Anno],Processing!$AH$33,Dati[Mese],Processing!C5)+SUMIFS(Dati[Altre Entrate],Dati[Anno],Processing!$AH$33,Dati[Mese],Processing!C5)+SUMIFS(Dati[Entrate],Dati[Anno],Processing!$AH$34,Dati[Mese],Processing!C5)+SUMIFS(Dati[Entrate Fisse],Dati[Anno],Processing!$AH$34,Dati[Mese],Processing!C5)+SUMIFS(Dati[Altre Entrate],Dati[Anno],Processing!$AH$34,Dati[Mese],Processing!C5)+SUMIFS(Dati[Entrate],Dati[Anno],Processing!$AH$35,Dati[Mese],Processing!C5)+SUMIFS(Dati[Entrate Fisse],Dati[Anno],Processing!$AH$35,Dati[Mese],Processing!C5)+SUMIFS(Dati[Altre Entrate],Dati[Anno],Processing!$AH$35,Dati[Mese],Processing!C5)+SUMIFS(Dati[Entrate],Dati[Anno],Processing!$AH$36,Dati[Mese],Processing!C5)+SUMIFS(Dati[Entrate Fisse],Dati[Anno],Processing!$AH$36,Dati[Mese],Processing!C5)+SUMIFS(Dati[Altre Entrate],Dati[Anno],Processing!$AH$36,Dati[Mese],Processing!C5)+SUMIFS(Dati[Entrate],Dati[Anno],Processing!$AH$37,Dati[Mese],Processing!C5)+SUMIFS(Dati[Entrate Fisse],Dati[Anno],Processing!$AH$37,Dati[Mese],Processing!C5)+SUMIFS(Dati[Altre Entrate],Dati[Anno],Processing!$AH$37,Dati[Mese],Processing!C5)+SUMIFS(Dati[Entrate],Dati[Anno],Processing!$AH$38,Dati[Mese],Processing!C5)+SUMIFS(Dati[Entrate Fisse],Dati[Anno],Processing!$AH$38,Dati[Mese],Processing!C5)+SUMIFS(Dati[Altre Entrate],Dati[Anno],Processing!$AH$38,Dati[Mese],Processing!C5)</f>
        <v>0</v>
      </c>
      <c r="E5" s="1">
        <f>SUMIFS(Dati[Uscite],Dati[Anno],Processing!$AH$27,Dati[Mese],Processing!C5)+SUMIFS(Dati[Uscite Fisse],Dati[Anno],Processing!$AH$27,Dati[Mese],Processing!C5)+SUMIFS(Dati[Altre Uscite],Dati[Anno],Processing!$AH$27,Dati[Mese],Processing!C5)+SUMIFS(Dati[Uscite],Dati[Anno],Processing!$AH$28,Dati[Mese],Processing!C5)+SUMIFS(Dati[Uscite Fisse],Dati[Anno],Processing!$AH$28,Dati[Mese],Processing!C5)+SUMIFS(Dati[Altre Uscite],Dati[Anno],Processing!$AH$28,Dati[Mese],Processing!C5)+SUMIFS(Dati[Uscite],Dati[Anno],Processing!$AH$29,Dati[Mese],Processing!C5)+SUMIFS(Dati[Uscite Fisse],Dati[Anno],Processing!$AH$29,Dati[Mese],Processing!C5)+SUMIFS(Dati[Altre Uscite],Dati[Anno],Processing!$AH$29,Dati[Mese],Processing!C5)+SUMIFS(Dati[Uscite],Dati[Anno],Processing!$AH$30,Dati[Mese],Processing!C5)+SUMIFS(Dati[Uscite Fisse],Dati[Anno],Processing!$AH$30,Dati[Mese],Processing!C5)+SUMIFS(Dati[Altre Uscite],Dati[Anno],Processing!$AH$30,Dati[Mese],Processing!C5)+SUMIFS(Dati[Uscite],Dati[Anno],Processing!$AH$31,Dati[Mese],Processing!C5)+SUMIFS(Dati[Uscite Fisse],Dati[Anno],Processing!$AH$31,Dati[Mese],Processing!C5)+SUMIFS(Dati[Altre Uscite],Dati[Anno],Processing!$AH$31,Dati[Mese],Processing!C5)+SUMIFS(Dati[Uscite],Dati[Anno],Processing!$AH$32,Dati[Mese],Processing!C5)+SUMIFS(Dati[Uscite Fisse],Dati[Anno],Processing!$AH$32,Dati[Mese],Processing!C5)+SUMIFS(Dati[Altre Uscite],Dati[Anno],Processing!$AH$32,Dati[Mese],Processing!C5)+SUMIFS(Dati[Uscite],Dati[Anno],Processing!$AH$33,Dati[Mese],Processing!C5)+SUMIFS(Dati[Uscite Fisse],Dati[Anno],Processing!$AH$33,Dati[Mese],Processing!C5)+SUMIFS(Dati[Altre Uscite],Dati[Anno],Processing!$AH$33,Dati[Mese],Processing!C5)+SUMIFS(Dati[Uscite],Dati[Anno],Processing!$AH$34,Dati[Mese],Processing!C5)+SUMIFS(Dati[Uscite Fisse],Dati[Anno],Processing!$AH$34,Dati[Mese],Processing!C5)+SUMIFS(Dati[Altre Uscite],Dati[Anno],Processing!$AH$34,Dati[Mese],Processing!C5)+SUMIFS(Dati[Uscite],Dati[Anno],Processing!$AH$35,Dati[Mese],Processing!C5)+SUMIFS(Dati[Uscite Fisse],Dati[Anno],Processing!$AH$35,Dati[Mese],Processing!C5)+SUMIFS(Dati[Altre Uscite],Dati[Anno],Processing!$AH$35,Dati[Mese],Processing!C5)+SUMIFS(Dati[Uscite],Dati[Anno],Processing!$AH$36,Dati[Mese],Processing!C5)+SUMIFS(Dati[Uscite Fisse],Dati[Anno],Processing!$AH$36,Dati[Mese],Processing!C5)+SUMIFS(Dati[Altre Uscite],Dati[Anno],Processing!$AH$36,Dati[Mese],Processing!C5)+SUMIFS(Dati[Uscite],Dati[Anno],Processing!$AH$37,Dati[Mese],Processing!C5)+SUMIFS(Dati[Uscite Fisse],Dati[Anno],Processing!$AH$37,Dati[Mese],Processing!C5)+SUMIFS(Dati[Altre Uscite],Dati[Anno],Processing!$AH$37,Dati[Mese],Processing!C5)+SUMIFS(Dati[Uscite],Dati[Anno],Processing!$AH$38,Dati[Mese],Processing!C5)+SUMIFS(Dati[Uscite Fisse],Dati[Anno],Processing!$AH$38,Dati[Mese],Processing!C5)+SUMIFS(Dati[Altre Uscite],Dati[Anno],Processing!$AH$38,Dati[Mese],Processing!C5)</f>
        <v>0</v>
      </c>
      <c r="F5" s="9">
        <f>IFERROR(D5/SUM(D5:E5),)</f>
        <v>0</v>
      </c>
      <c r="G5" s="9">
        <f>IFERROR(E5/SUM(D5:E5),)</f>
        <v>0</v>
      </c>
      <c r="I5" s="9">
        <f t="array" ref="I5">IFERROR(INDEX(F5:F16,$F$1),AVERAGE(F5:F16))</f>
        <v>0</v>
      </c>
      <c r="J5" s="9">
        <f t="array" ref="J5">IFERROR(INDEX(G5:G16,$F$1),AVERAGE(G5:G16))</f>
        <v>0</v>
      </c>
      <c r="O5" s="8" t="s">
        <v>18</v>
      </c>
      <c r="P5" s="9">
        <f t="shared" si="0"/>
        <v>0</v>
      </c>
      <c r="Q5" s="52">
        <f>GETPIVOTDATA(""&amp;O5,Pivot!$B$12)</f>
        <v>0</v>
      </c>
      <c r="R5" s="1" t="str">
        <f>O3&amp;CHAR(10)&amp;O4&amp;CHAR(10)&amp;O5&amp;CHAR(10)&amp;CHAR(10)&amp;CHAR(10)&amp;CHAR(10)&amp;O6&amp;CHAR(10)&amp;O7&amp;CHAR(10)&amp;O8</f>
        <v>Entrate
Entrate Fisse
Altre Entrate
Uscite
Uscite Fisse
Altre Uscite</v>
      </c>
      <c r="S5" s="10">
        <f t="shared" si="1"/>
        <v>0</v>
      </c>
      <c r="T5" s="10">
        <f t="shared" si="2"/>
        <v>0.91771955866866417</v>
      </c>
      <c r="U5" s="10">
        <f t="shared" si="3"/>
        <v>0</v>
      </c>
      <c r="V5" s="10">
        <f t="shared" si="4"/>
        <v>3.2441386398937282E-2</v>
      </c>
      <c r="W5" s="10">
        <f t="shared" si="5"/>
        <v>4.9839054932398485E-2</v>
      </c>
      <c r="X5" s="10">
        <f t="shared" si="6"/>
        <v>0</v>
      </c>
      <c r="AD5"/>
      <c r="AE5"/>
      <c r="AF5"/>
      <c r="AG5"/>
      <c r="AH5"/>
      <c r="AI5"/>
      <c r="AJ5"/>
    </row>
    <row r="6" spans="1:61" ht="15.5" x14ac:dyDescent="0.35">
      <c r="A6" s="1">
        <v>2024</v>
      </c>
      <c r="B6" s="1">
        <v>2</v>
      </c>
      <c r="C6" s="8" t="s">
        <v>54</v>
      </c>
      <c r="D6" s="1">
        <f>SUMIFS(Dati[Entrate],Dati[Anno],Processing!$AH$27,Dati[Mese],Processing!C6)+SUMIFS(Dati[Entrate Fisse],Dati[Anno],Processing!$AH$27,Dati[Mese],Processing!C6)+SUMIFS(Dati[Altre Entrate],Dati[Anno],Processing!$AH$27,Dati[Mese],Processing!C6)+SUMIFS(Dati[Entrate],Dati[Anno],Processing!$AH$28,Dati[Mese],Processing!C6)+SUMIFS(Dati[Entrate Fisse],Dati[Anno],Processing!$AH$28,Dati[Mese],Processing!C6)+SUMIFS(Dati[Altre Entrate],Dati[Anno],Processing!$AH$28,Dati[Mese],Processing!C6)+SUMIFS(Dati[Entrate],Dati[Anno],Processing!$AH$29,Dati[Mese],Processing!C6)+SUMIFS(Dati[Entrate Fisse],Dati[Anno],Processing!$AH$29,Dati[Mese],Processing!C6)+SUMIFS(Dati[Altre Entrate],Dati[Anno],Processing!$AH$29,Dati[Mese],Processing!C6)+SUMIFS(Dati[Entrate],Dati[Anno],Processing!$AH$30,Dati[Mese],Processing!C6)+SUMIFS(Dati[Entrate Fisse],Dati[Anno],Processing!$AH$30,Dati[Mese],Processing!C6)+SUMIFS(Dati[Altre Entrate],Dati[Anno],Processing!$AH$30,Dati[Mese],Processing!C6)+SUMIFS(Dati[Entrate],Dati[Anno],Processing!$AH$31,Dati[Mese],Processing!C6)+SUMIFS(Dati[Entrate Fisse],Dati[Anno],Processing!$AH$31,Dati[Mese],Processing!C6)+SUMIFS(Dati[Altre Entrate],Dati[Anno],Processing!$AH$31,Dati[Mese],Processing!C6)+SUMIFS(Dati[Entrate],Dati[Anno],Processing!$AH$32,Dati[Mese],Processing!C6)+SUMIFS(Dati[Entrate Fisse],Dati[Anno],Processing!$AH$32,Dati[Mese],Processing!C6)+SUMIFS(Dati[Altre Entrate],Dati[Anno],Processing!$AH$32,Dati[Mese],Processing!C6)+SUMIFS(Dati[Entrate],Dati[Anno],Processing!$AH$33,Dati[Mese],Processing!C6)+SUMIFS(Dati[Entrate Fisse],Dati[Anno],Processing!$AH$33,Dati[Mese],Processing!C6)+SUMIFS(Dati[Altre Entrate],Dati[Anno],Processing!$AH$33,Dati[Mese],Processing!C6)+SUMIFS(Dati[Entrate],Dati[Anno],Processing!$AH$34,Dati[Mese],Processing!C6)+SUMIFS(Dati[Entrate Fisse],Dati[Anno],Processing!$AH$34,Dati[Mese],Processing!C6)+SUMIFS(Dati[Altre Entrate],Dati[Anno],Processing!$AH$34,Dati[Mese],Processing!C6)+SUMIFS(Dati[Entrate],Dati[Anno],Processing!$AH$35,Dati[Mese],Processing!C6)+SUMIFS(Dati[Entrate Fisse],Dati[Anno],Processing!$AH$35,Dati[Mese],Processing!C6)+SUMIFS(Dati[Altre Entrate],Dati[Anno],Processing!$AH$35,Dati[Mese],Processing!C6)+SUMIFS(Dati[Entrate],Dati[Anno],Processing!$AH$36,Dati[Mese],Processing!C6)+SUMIFS(Dati[Entrate Fisse],Dati[Anno],Processing!$AH$36,Dati[Mese],Processing!C6)+SUMIFS(Dati[Altre Entrate],Dati[Anno],Processing!$AH$36,Dati[Mese],Processing!C6)+SUMIFS(Dati[Entrate],Dati[Anno],Processing!$AH$37,Dati[Mese],Processing!C6)+SUMIFS(Dati[Entrate Fisse],Dati[Anno],Processing!$AH$37,Dati[Mese],Processing!C6)+SUMIFS(Dati[Altre Entrate],Dati[Anno],Processing!$AH$37,Dati[Mese],Processing!C6)+SUMIFS(Dati[Entrate],Dati[Anno],Processing!$AH$38,Dati[Mese],Processing!C6)+SUMIFS(Dati[Entrate Fisse],Dati[Anno],Processing!$AH$38,Dati[Mese],Processing!C6)+SUMIFS(Dati[Altre Entrate],Dati[Anno],Processing!$AH$38,Dati[Mese],Processing!C6)</f>
        <v>0</v>
      </c>
      <c r="E6" s="1">
        <f>SUMIFS(Dati[Uscite],Dati[Anno],Processing!$AH$27,Dati[Mese],Processing!C6)+SUMIFS(Dati[Uscite Fisse],Dati[Anno],Processing!$AH$27,Dati[Mese],Processing!C6)+SUMIFS(Dati[Altre Uscite],Dati[Anno],Processing!$AH$27,Dati[Mese],Processing!C6)+SUMIFS(Dati[Uscite],Dati[Anno],Processing!$AH$28,Dati[Mese],Processing!C6)+SUMIFS(Dati[Uscite Fisse],Dati[Anno],Processing!$AH$28,Dati[Mese],Processing!C6)+SUMIFS(Dati[Altre Uscite],Dati[Anno],Processing!$AH$28,Dati[Mese],Processing!C6)+SUMIFS(Dati[Uscite],Dati[Anno],Processing!$AH$29,Dati[Mese],Processing!C6)+SUMIFS(Dati[Uscite Fisse],Dati[Anno],Processing!$AH$29,Dati[Mese],Processing!C6)+SUMIFS(Dati[Altre Uscite],Dati[Anno],Processing!$AH$29,Dati[Mese],Processing!C6)+SUMIFS(Dati[Uscite],Dati[Anno],Processing!$AH$30,Dati[Mese],Processing!C6)+SUMIFS(Dati[Uscite Fisse],Dati[Anno],Processing!$AH$30,Dati[Mese],Processing!C6)+SUMIFS(Dati[Altre Uscite],Dati[Anno],Processing!$AH$30,Dati[Mese],Processing!C6)+SUMIFS(Dati[Uscite],Dati[Anno],Processing!$AH$31,Dati[Mese],Processing!C6)+SUMIFS(Dati[Uscite Fisse],Dati[Anno],Processing!$AH$31,Dati[Mese],Processing!C6)+SUMIFS(Dati[Altre Uscite],Dati[Anno],Processing!$AH$31,Dati[Mese],Processing!C6)+SUMIFS(Dati[Uscite],Dati[Anno],Processing!$AH$32,Dati[Mese],Processing!C6)+SUMIFS(Dati[Uscite Fisse],Dati[Anno],Processing!$AH$32,Dati[Mese],Processing!C6)+SUMIFS(Dati[Altre Uscite],Dati[Anno],Processing!$AH$32,Dati[Mese],Processing!C6)+SUMIFS(Dati[Uscite],Dati[Anno],Processing!$AH$33,Dati[Mese],Processing!C6)+SUMIFS(Dati[Uscite Fisse],Dati[Anno],Processing!$AH$33,Dati[Mese],Processing!C6)+SUMIFS(Dati[Altre Uscite],Dati[Anno],Processing!$AH$33,Dati[Mese],Processing!C6)+SUMIFS(Dati[Uscite],Dati[Anno],Processing!$AH$34,Dati[Mese],Processing!C6)+SUMIFS(Dati[Uscite Fisse],Dati[Anno],Processing!$AH$34,Dati[Mese],Processing!C6)+SUMIFS(Dati[Altre Uscite],Dati[Anno],Processing!$AH$34,Dati[Mese],Processing!C6)+SUMIFS(Dati[Uscite],Dati[Anno],Processing!$AH$35,Dati[Mese],Processing!C6)+SUMIFS(Dati[Uscite Fisse],Dati[Anno],Processing!$AH$35,Dati[Mese],Processing!C6)+SUMIFS(Dati[Altre Uscite],Dati[Anno],Processing!$AH$35,Dati[Mese],Processing!C6)+SUMIFS(Dati[Uscite],Dati[Anno],Processing!$AH$36,Dati[Mese],Processing!C6)+SUMIFS(Dati[Uscite Fisse],Dati[Anno],Processing!$AH$36,Dati[Mese],Processing!C6)+SUMIFS(Dati[Altre Uscite],Dati[Anno],Processing!$AH$36,Dati[Mese],Processing!C6)+SUMIFS(Dati[Uscite],Dati[Anno],Processing!$AH$37,Dati[Mese],Processing!C6)+SUMIFS(Dati[Uscite Fisse],Dati[Anno],Processing!$AH$37,Dati[Mese],Processing!C6)+SUMIFS(Dati[Altre Uscite],Dati[Anno],Processing!$AH$37,Dati[Mese],Processing!C6)+SUMIFS(Dati[Uscite],Dati[Anno],Processing!$AH$38,Dati[Mese],Processing!C6)+SUMIFS(Dati[Uscite Fisse],Dati[Anno],Processing!$AH$38,Dati[Mese],Processing!C6)+SUMIFS(Dati[Altre Uscite],Dati[Anno],Processing!$AH$38,Dati[Mese],Processing!C6)</f>
        <v>0</v>
      </c>
      <c r="F6" s="9">
        <f t="shared" ref="F6:F16" si="7">IFERROR(D6/SUM(D6:E6),)</f>
        <v>0</v>
      </c>
      <c r="G6" s="9">
        <f t="shared" ref="G6:G16" si="8">IFERROR(E6/SUM(D6:E6),)</f>
        <v>0</v>
      </c>
      <c r="O6" s="8" t="s">
        <v>13</v>
      </c>
      <c r="P6" s="9">
        <f t="shared" si="0"/>
        <v>3.2441386398937282E-2</v>
      </c>
      <c r="Q6" s="52">
        <f>GETPIVOTDATA(""&amp;O6,Pivot!$B$12)</f>
        <v>141.4</v>
      </c>
      <c r="R6" s="1" t="str">
        <f>TEXT(P3,"0%")&amp;CHAR(10)&amp;TEXT(P4,"0%")&amp;CHAR(10)&amp;TEXT(P5,"0%")&amp;CHAR(10)&amp;CHAR(10)&amp;CHAR(10)&amp;CHAR(10)&amp;TEXT(P6,"0%")&amp;CHAR(10)&amp;TEXT(P7,"0%")&amp;CHAR(10)&amp;TEXT(P8,"0%")</f>
        <v>0%
92%
0%
3%
5%
0%</v>
      </c>
      <c r="AA6" s="60"/>
      <c r="AD6"/>
      <c r="AE6"/>
      <c r="AF6"/>
      <c r="AG6"/>
      <c r="AH6"/>
      <c r="AI6"/>
      <c r="AJ6"/>
    </row>
    <row r="7" spans="1:61" x14ac:dyDescent="0.35">
      <c r="A7" s="1">
        <v>2025</v>
      </c>
      <c r="B7" s="1">
        <v>3</v>
      </c>
      <c r="C7" s="8" t="s">
        <v>55</v>
      </c>
      <c r="D7" s="1">
        <f>SUMIFS(Dati[Entrate],Dati[Anno],Processing!$AH$27,Dati[Mese],Processing!C7)+SUMIFS(Dati[Entrate Fisse],Dati[Anno],Processing!$AH$27,Dati[Mese],Processing!C7)+SUMIFS(Dati[Altre Entrate],Dati[Anno],Processing!$AH$27,Dati[Mese],Processing!C7)+SUMIFS(Dati[Entrate],Dati[Anno],Processing!$AH$28,Dati[Mese],Processing!C7)+SUMIFS(Dati[Entrate Fisse],Dati[Anno],Processing!$AH$28,Dati[Mese],Processing!C7)+SUMIFS(Dati[Altre Entrate],Dati[Anno],Processing!$AH$28,Dati[Mese],Processing!C7)+SUMIFS(Dati[Entrate],Dati[Anno],Processing!$AH$29,Dati[Mese],Processing!C7)+SUMIFS(Dati[Entrate Fisse],Dati[Anno],Processing!$AH$29,Dati[Mese],Processing!C7)+SUMIFS(Dati[Altre Entrate],Dati[Anno],Processing!$AH$29,Dati[Mese],Processing!C7)+SUMIFS(Dati[Entrate],Dati[Anno],Processing!$AH$30,Dati[Mese],Processing!C7)+SUMIFS(Dati[Entrate Fisse],Dati[Anno],Processing!$AH$30,Dati[Mese],Processing!C7)+SUMIFS(Dati[Altre Entrate],Dati[Anno],Processing!$AH$30,Dati[Mese],Processing!C7)+SUMIFS(Dati[Entrate],Dati[Anno],Processing!$AH$31,Dati[Mese],Processing!C7)+SUMIFS(Dati[Entrate Fisse],Dati[Anno],Processing!$AH$31,Dati[Mese],Processing!C7)+SUMIFS(Dati[Altre Entrate],Dati[Anno],Processing!$AH$31,Dati[Mese],Processing!C7)+SUMIFS(Dati[Entrate],Dati[Anno],Processing!$AH$32,Dati[Mese],Processing!C7)+SUMIFS(Dati[Entrate Fisse],Dati[Anno],Processing!$AH$32,Dati[Mese],Processing!C7)+SUMIFS(Dati[Altre Entrate],Dati[Anno],Processing!$AH$32,Dati[Mese],Processing!C7)+SUMIFS(Dati[Entrate],Dati[Anno],Processing!$AH$33,Dati[Mese],Processing!C7)+SUMIFS(Dati[Entrate Fisse],Dati[Anno],Processing!$AH$33,Dati[Mese],Processing!C7)+SUMIFS(Dati[Altre Entrate],Dati[Anno],Processing!$AH$33,Dati[Mese],Processing!C7)+SUMIFS(Dati[Entrate],Dati[Anno],Processing!$AH$34,Dati[Mese],Processing!C7)+SUMIFS(Dati[Entrate Fisse],Dati[Anno],Processing!$AH$34,Dati[Mese],Processing!C7)+SUMIFS(Dati[Altre Entrate],Dati[Anno],Processing!$AH$34,Dati[Mese],Processing!C7)+SUMIFS(Dati[Entrate],Dati[Anno],Processing!$AH$35,Dati[Mese],Processing!C7)+SUMIFS(Dati[Entrate Fisse],Dati[Anno],Processing!$AH$35,Dati[Mese],Processing!C7)+SUMIFS(Dati[Altre Entrate],Dati[Anno],Processing!$AH$35,Dati[Mese],Processing!C7)+SUMIFS(Dati[Entrate],Dati[Anno],Processing!$AH$36,Dati[Mese],Processing!C7)+SUMIFS(Dati[Entrate Fisse],Dati[Anno],Processing!$AH$36,Dati[Mese],Processing!C7)+SUMIFS(Dati[Altre Entrate],Dati[Anno],Processing!$AH$36,Dati[Mese],Processing!C7)+SUMIFS(Dati[Entrate],Dati[Anno],Processing!$AH$37,Dati[Mese],Processing!C7)+SUMIFS(Dati[Entrate Fisse],Dati[Anno],Processing!$AH$37,Dati[Mese],Processing!C7)+SUMIFS(Dati[Altre Entrate],Dati[Anno],Processing!$AH$37,Dati[Mese],Processing!C7)+SUMIFS(Dati[Entrate],Dati[Anno],Processing!$AH$38,Dati[Mese],Processing!C7)+SUMIFS(Dati[Entrate Fisse],Dati[Anno],Processing!$AH$38,Dati[Mese],Processing!C7)+SUMIFS(Dati[Altre Entrate],Dati[Anno],Processing!$AH$38,Dati[Mese],Processing!C7)</f>
        <v>0</v>
      </c>
      <c r="E7" s="1">
        <f>SUMIFS(Dati[Uscite],Dati[Anno],Processing!$AH$27,Dati[Mese],Processing!C7)+SUMIFS(Dati[Uscite Fisse],Dati[Anno],Processing!$AH$27,Dati[Mese],Processing!C7)+SUMIFS(Dati[Altre Uscite],Dati[Anno],Processing!$AH$27,Dati[Mese],Processing!C7)+SUMIFS(Dati[Uscite],Dati[Anno],Processing!$AH$28,Dati[Mese],Processing!C7)+SUMIFS(Dati[Uscite Fisse],Dati[Anno],Processing!$AH$28,Dati[Mese],Processing!C7)+SUMIFS(Dati[Altre Uscite],Dati[Anno],Processing!$AH$28,Dati[Mese],Processing!C7)+SUMIFS(Dati[Uscite],Dati[Anno],Processing!$AH$29,Dati[Mese],Processing!C7)+SUMIFS(Dati[Uscite Fisse],Dati[Anno],Processing!$AH$29,Dati[Mese],Processing!C7)+SUMIFS(Dati[Altre Uscite],Dati[Anno],Processing!$AH$29,Dati[Mese],Processing!C7)+SUMIFS(Dati[Uscite],Dati[Anno],Processing!$AH$30,Dati[Mese],Processing!C7)+SUMIFS(Dati[Uscite Fisse],Dati[Anno],Processing!$AH$30,Dati[Mese],Processing!C7)+SUMIFS(Dati[Altre Uscite],Dati[Anno],Processing!$AH$30,Dati[Mese],Processing!C7)+SUMIFS(Dati[Uscite],Dati[Anno],Processing!$AH$31,Dati[Mese],Processing!C7)+SUMIFS(Dati[Uscite Fisse],Dati[Anno],Processing!$AH$31,Dati[Mese],Processing!C7)+SUMIFS(Dati[Altre Uscite],Dati[Anno],Processing!$AH$31,Dati[Mese],Processing!C7)+SUMIFS(Dati[Uscite],Dati[Anno],Processing!$AH$32,Dati[Mese],Processing!C7)+SUMIFS(Dati[Uscite Fisse],Dati[Anno],Processing!$AH$32,Dati[Mese],Processing!C7)+SUMIFS(Dati[Altre Uscite],Dati[Anno],Processing!$AH$32,Dati[Mese],Processing!C7)+SUMIFS(Dati[Uscite],Dati[Anno],Processing!$AH$33,Dati[Mese],Processing!C7)+SUMIFS(Dati[Uscite Fisse],Dati[Anno],Processing!$AH$33,Dati[Mese],Processing!C7)+SUMIFS(Dati[Altre Uscite],Dati[Anno],Processing!$AH$33,Dati[Mese],Processing!C7)+SUMIFS(Dati[Uscite],Dati[Anno],Processing!$AH$34,Dati[Mese],Processing!C7)+SUMIFS(Dati[Uscite Fisse],Dati[Anno],Processing!$AH$34,Dati[Mese],Processing!C7)+SUMIFS(Dati[Altre Uscite],Dati[Anno],Processing!$AH$34,Dati[Mese],Processing!C7)+SUMIFS(Dati[Uscite],Dati[Anno],Processing!$AH$35,Dati[Mese],Processing!C7)+SUMIFS(Dati[Uscite Fisse],Dati[Anno],Processing!$AH$35,Dati[Mese],Processing!C7)+SUMIFS(Dati[Altre Uscite],Dati[Anno],Processing!$AH$35,Dati[Mese],Processing!C7)+SUMIFS(Dati[Uscite],Dati[Anno],Processing!$AH$36,Dati[Mese],Processing!C7)+SUMIFS(Dati[Uscite Fisse],Dati[Anno],Processing!$AH$36,Dati[Mese],Processing!C7)+SUMIFS(Dati[Altre Uscite],Dati[Anno],Processing!$AH$36,Dati[Mese],Processing!C7)+SUMIFS(Dati[Uscite],Dati[Anno],Processing!$AH$37,Dati[Mese],Processing!C7)+SUMIFS(Dati[Uscite Fisse],Dati[Anno],Processing!$AH$37,Dati[Mese],Processing!C7)+SUMIFS(Dati[Altre Uscite],Dati[Anno],Processing!$AH$37,Dati[Mese],Processing!C7)+SUMIFS(Dati[Uscite],Dati[Anno],Processing!$AH$38,Dati[Mese],Processing!C7)+SUMIFS(Dati[Uscite Fisse],Dati[Anno],Processing!$AH$38,Dati[Mese],Processing!C7)+SUMIFS(Dati[Altre Uscite],Dati[Anno],Processing!$AH$38,Dati[Mese],Processing!C7)</f>
        <v>0</v>
      </c>
      <c r="F7" s="9">
        <f t="shared" si="7"/>
        <v>0</v>
      </c>
      <c r="G7" s="9">
        <f t="shared" si="8"/>
        <v>0</v>
      </c>
      <c r="I7" s="7" t="s">
        <v>56</v>
      </c>
      <c r="O7" s="8" t="s">
        <v>14</v>
      </c>
      <c r="P7" s="9">
        <f t="shared" si="0"/>
        <v>4.9839054932398485E-2</v>
      </c>
      <c r="Q7" s="52">
        <f>GETPIVOTDATA(""&amp;O7,Pivot!$B$12)</f>
        <v>217.23000000000002</v>
      </c>
      <c r="R7" s="1" t="str">
        <f>TEXT(Q3,"€ 0")&amp;CHAR(10)&amp;TEXT(Q4,"€ 0")&amp;CHAR(10)&amp;TEXT(Q5,"€ 0")&amp;CHAR(10)&amp;CHAR(10)&amp;CHAR(10)&amp;CHAR(10)&amp;TEXT(Q6,"€ 0")&amp;CHAR(10)&amp;TEXT(Q7,"€ 0")&amp;CHAR(10)&amp;TEXT($Q8,"€ 0")</f>
        <v>€ 0
€ 4000
€ 0
€ 141
€ 217
€ 0</v>
      </c>
      <c r="AA7" s="60"/>
    </row>
    <row r="8" spans="1:61" x14ac:dyDescent="0.35">
      <c r="A8" s="1">
        <v>2026</v>
      </c>
      <c r="B8" s="1">
        <v>4</v>
      </c>
      <c r="C8" s="8" t="s">
        <v>57</v>
      </c>
      <c r="D8" s="1">
        <f>SUMIFS(Dati[Entrate],Dati[Anno],Processing!$AH$27,Dati[Mese],Processing!C8)+SUMIFS(Dati[Entrate Fisse],Dati[Anno],Processing!$AH$27,Dati[Mese],Processing!C8)+SUMIFS(Dati[Altre Entrate],Dati[Anno],Processing!$AH$27,Dati[Mese],Processing!C8)+SUMIFS(Dati[Entrate],Dati[Anno],Processing!$AH$28,Dati[Mese],Processing!C8)+SUMIFS(Dati[Entrate Fisse],Dati[Anno],Processing!$AH$28,Dati[Mese],Processing!C8)+SUMIFS(Dati[Altre Entrate],Dati[Anno],Processing!$AH$28,Dati[Mese],Processing!C8)+SUMIFS(Dati[Entrate],Dati[Anno],Processing!$AH$29,Dati[Mese],Processing!C8)+SUMIFS(Dati[Entrate Fisse],Dati[Anno],Processing!$AH$29,Dati[Mese],Processing!C8)+SUMIFS(Dati[Altre Entrate],Dati[Anno],Processing!$AH$29,Dati[Mese],Processing!C8)+SUMIFS(Dati[Entrate],Dati[Anno],Processing!$AH$30,Dati[Mese],Processing!C8)+SUMIFS(Dati[Entrate Fisse],Dati[Anno],Processing!$AH$30,Dati[Mese],Processing!C8)+SUMIFS(Dati[Altre Entrate],Dati[Anno],Processing!$AH$30,Dati[Mese],Processing!C8)+SUMIFS(Dati[Entrate],Dati[Anno],Processing!$AH$31,Dati[Mese],Processing!C8)+SUMIFS(Dati[Entrate Fisse],Dati[Anno],Processing!$AH$31,Dati[Mese],Processing!C8)+SUMIFS(Dati[Altre Entrate],Dati[Anno],Processing!$AH$31,Dati[Mese],Processing!C8)+SUMIFS(Dati[Entrate],Dati[Anno],Processing!$AH$32,Dati[Mese],Processing!C8)+SUMIFS(Dati[Entrate Fisse],Dati[Anno],Processing!$AH$32,Dati[Mese],Processing!C8)+SUMIFS(Dati[Altre Entrate],Dati[Anno],Processing!$AH$32,Dati[Mese],Processing!C8)+SUMIFS(Dati[Entrate],Dati[Anno],Processing!$AH$33,Dati[Mese],Processing!C8)+SUMIFS(Dati[Entrate Fisse],Dati[Anno],Processing!$AH$33,Dati[Mese],Processing!C8)+SUMIFS(Dati[Altre Entrate],Dati[Anno],Processing!$AH$33,Dati[Mese],Processing!C8)+SUMIFS(Dati[Entrate],Dati[Anno],Processing!$AH$34,Dati[Mese],Processing!C8)+SUMIFS(Dati[Entrate Fisse],Dati[Anno],Processing!$AH$34,Dati[Mese],Processing!C8)+SUMIFS(Dati[Altre Entrate],Dati[Anno],Processing!$AH$34,Dati[Mese],Processing!C8)+SUMIFS(Dati[Entrate],Dati[Anno],Processing!$AH$35,Dati[Mese],Processing!C8)+SUMIFS(Dati[Entrate Fisse],Dati[Anno],Processing!$AH$35,Dati[Mese],Processing!C8)+SUMIFS(Dati[Altre Entrate],Dati[Anno],Processing!$AH$35,Dati[Mese],Processing!C8)+SUMIFS(Dati[Entrate],Dati[Anno],Processing!$AH$36,Dati[Mese],Processing!C8)+SUMIFS(Dati[Entrate Fisse],Dati[Anno],Processing!$AH$36,Dati[Mese],Processing!C8)+SUMIFS(Dati[Altre Entrate],Dati[Anno],Processing!$AH$36,Dati[Mese],Processing!C8)+SUMIFS(Dati[Entrate],Dati[Anno],Processing!$AH$37,Dati[Mese],Processing!C8)+SUMIFS(Dati[Entrate Fisse],Dati[Anno],Processing!$AH$37,Dati[Mese],Processing!C8)+SUMIFS(Dati[Altre Entrate],Dati[Anno],Processing!$AH$37,Dati[Mese],Processing!C8)+SUMIFS(Dati[Entrate],Dati[Anno],Processing!$AH$38,Dati[Mese],Processing!C8)+SUMIFS(Dati[Entrate Fisse],Dati[Anno],Processing!$AH$38,Dati[Mese],Processing!C8)+SUMIFS(Dati[Altre Entrate],Dati[Anno],Processing!$AH$38,Dati[Mese],Processing!C8)</f>
        <v>0</v>
      </c>
      <c r="E8" s="1">
        <f>SUMIFS(Dati[Uscite],Dati[Anno],Processing!$AH$27,Dati[Mese],Processing!C8)+SUMIFS(Dati[Uscite Fisse],Dati[Anno],Processing!$AH$27,Dati[Mese],Processing!C8)+SUMIFS(Dati[Altre Uscite],Dati[Anno],Processing!$AH$27,Dati[Mese],Processing!C8)+SUMIFS(Dati[Uscite],Dati[Anno],Processing!$AH$28,Dati[Mese],Processing!C8)+SUMIFS(Dati[Uscite Fisse],Dati[Anno],Processing!$AH$28,Dati[Mese],Processing!C8)+SUMIFS(Dati[Altre Uscite],Dati[Anno],Processing!$AH$28,Dati[Mese],Processing!C8)+SUMIFS(Dati[Uscite],Dati[Anno],Processing!$AH$29,Dati[Mese],Processing!C8)+SUMIFS(Dati[Uscite Fisse],Dati[Anno],Processing!$AH$29,Dati[Mese],Processing!C8)+SUMIFS(Dati[Altre Uscite],Dati[Anno],Processing!$AH$29,Dati[Mese],Processing!C8)+SUMIFS(Dati[Uscite],Dati[Anno],Processing!$AH$30,Dati[Mese],Processing!C8)+SUMIFS(Dati[Uscite Fisse],Dati[Anno],Processing!$AH$30,Dati[Mese],Processing!C8)+SUMIFS(Dati[Altre Uscite],Dati[Anno],Processing!$AH$30,Dati[Mese],Processing!C8)+SUMIFS(Dati[Uscite],Dati[Anno],Processing!$AH$31,Dati[Mese],Processing!C8)+SUMIFS(Dati[Uscite Fisse],Dati[Anno],Processing!$AH$31,Dati[Mese],Processing!C8)+SUMIFS(Dati[Altre Uscite],Dati[Anno],Processing!$AH$31,Dati[Mese],Processing!C8)+SUMIFS(Dati[Uscite],Dati[Anno],Processing!$AH$32,Dati[Mese],Processing!C8)+SUMIFS(Dati[Uscite Fisse],Dati[Anno],Processing!$AH$32,Dati[Mese],Processing!C8)+SUMIFS(Dati[Altre Uscite],Dati[Anno],Processing!$AH$32,Dati[Mese],Processing!C8)+SUMIFS(Dati[Uscite],Dati[Anno],Processing!$AH$33,Dati[Mese],Processing!C8)+SUMIFS(Dati[Uscite Fisse],Dati[Anno],Processing!$AH$33,Dati[Mese],Processing!C8)+SUMIFS(Dati[Altre Uscite],Dati[Anno],Processing!$AH$33,Dati[Mese],Processing!C8)+SUMIFS(Dati[Uscite],Dati[Anno],Processing!$AH$34,Dati[Mese],Processing!C8)+SUMIFS(Dati[Uscite Fisse],Dati[Anno],Processing!$AH$34,Dati[Mese],Processing!C8)+SUMIFS(Dati[Altre Uscite],Dati[Anno],Processing!$AH$34,Dati[Mese],Processing!C8)+SUMIFS(Dati[Uscite],Dati[Anno],Processing!$AH$35,Dati[Mese],Processing!C8)+SUMIFS(Dati[Uscite Fisse],Dati[Anno],Processing!$AH$35,Dati[Mese],Processing!C8)+SUMIFS(Dati[Altre Uscite],Dati[Anno],Processing!$AH$35,Dati[Mese],Processing!C8)+SUMIFS(Dati[Uscite],Dati[Anno],Processing!$AH$36,Dati[Mese],Processing!C8)+SUMIFS(Dati[Uscite Fisse],Dati[Anno],Processing!$AH$36,Dati[Mese],Processing!C8)+SUMIFS(Dati[Altre Uscite],Dati[Anno],Processing!$AH$36,Dati[Mese],Processing!C8)+SUMIFS(Dati[Uscite],Dati[Anno],Processing!$AH$37,Dati[Mese],Processing!C8)+SUMIFS(Dati[Uscite Fisse],Dati[Anno],Processing!$AH$37,Dati[Mese],Processing!C8)+SUMIFS(Dati[Altre Uscite],Dati[Anno],Processing!$AH$37,Dati[Mese],Processing!C8)+SUMIFS(Dati[Uscite],Dati[Anno],Processing!$AH$38,Dati[Mese],Processing!C8)+SUMIFS(Dati[Uscite Fisse],Dati[Anno],Processing!$AH$38,Dati[Mese],Processing!C8)+SUMIFS(Dati[Altre Uscite],Dati[Anno],Processing!$AH$38,Dati[Mese],Processing!C8)</f>
        <v>0</v>
      </c>
      <c r="F8" s="9">
        <f t="shared" si="7"/>
        <v>0</v>
      </c>
      <c r="G8" s="9">
        <f t="shared" si="8"/>
        <v>0</v>
      </c>
      <c r="I8" s="6" t="s">
        <v>58</v>
      </c>
      <c r="J8" s="6" t="s">
        <v>59</v>
      </c>
      <c r="L8" s="11" t="s">
        <v>58</v>
      </c>
      <c r="M8" s="11" t="s">
        <v>59</v>
      </c>
      <c r="O8" s="8" t="s">
        <v>15</v>
      </c>
      <c r="P8" s="9">
        <f t="shared" si="0"/>
        <v>0</v>
      </c>
      <c r="Q8" s="52">
        <f>GETPIVOTDATA(""&amp;O8,Pivot!$B$12)</f>
        <v>0</v>
      </c>
      <c r="R8" s="1" t="s">
        <v>60</v>
      </c>
      <c r="AA8" s="60"/>
    </row>
    <row r="9" spans="1:61" ht="15.5" x14ac:dyDescent="0.35">
      <c r="A9" s="1">
        <v>2027</v>
      </c>
      <c r="B9" s="1">
        <v>5</v>
      </c>
      <c r="C9" s="8" t="s">
        <v>61</v>
      </c>
      <c r="D9" s="1">
        <f>SUMIFS(Dati[Entrate],Dati[Anno],Processing!$AH$27,Dati[Mese],Processing!C9)+SUMIFS(Dati[Entrate Fisse],Dati[Anno],Processing!$AH$27,Dati[Mese],Processing!C9)+SUMIFS(Dati[Altre Entrate],Dati[Anno],Processing!$AH$27,Dati[Mese],Processing!C9)+SUMIFS(Dati[Entrate],Dati[Anno],Processing!$AH$28,Dati[Mese],Processing!C9)+SUMIFS(Dati[Entrate Fisse],Dati[Anno],Processing!$AH$28,Dati[Mese],Processing!C9)+SUMIFS(Dati[Altre Entrate],Dati[Anno],Processing!$AH$28,Dati[Mese],Processing!C9)+SUMIFS(Dati[Entrate],Dati[Anno],Processing!$AH$29,Dati[Mese],Processing!C9)+SUMIFS(Dati[Entrate Fisse],Dati[Anno],Processing!$AH$29,Dati[Mese],Processing!C9)+SUMIFS(Dati[Altre Entrate],Dati[Anno],Processing!$AH$29,Dati[Mese],Processing!C9)+SUMIFS(Dati[Entrate],Dati[Anno],Processing!$AH$30,Dati[Mese],Processing!C9)+SUMIFS(Dati[Entrate Fisse],Dati[Anno],Processing!$AH$30,Dati[Mese],Processing!C9)+SUMIFS(Dati[Altre Entrate],Dati[Anno],Processing!$AH$30,Dati[Mese],Processing!C9)+SUMIFS(Dati[Entrate],Dati[Anno],Processing!$AH$31,Dati[Mese],Processing!C9)+SUMIFS(Dati[Entrate Fisse],Dati[Anno],Processing!$AH$31,Dati[Mese],Processing!C9)+SUMIFS(Dati[Altre Entrate],Dati[Anno],Processing!$AH$31,Dati[Mese],Processing!C9)+SUMIFS(Dati[Entrate],Dati[Anno],Processing!$AH$32,Dati[Mese],Processing!C9)+SUMIFS(Dati[Entrate Fisse],Dati[Anno],Processing!$AH$32,Dati[Mese],Processing!C9)+SUMIFS(Dati[Altre Entrate],Dati[Anno],Processing!$AH$32,Dati[Mese],Processing!C9)+SUMIFS(Dati[Entrate],Dati[Anno],Processing!$AH$33,Dati[Mese],Processing!C9)+SUMIFS(Dati[Entrate Fisse],Dati[Anno],Processing!$AH$33,Dati[Mese],Processing!C9)+SUMIFS(Dati[Altre Entrate],Dati[Anno],Processing!$AH$33,Dati[Mese],Processing!C9)+SUMIFS(Dati[Entrate],Dati[Anno],Processing!$AH$34,Dati[Mese],Processing!C9)+SUMIFS(Dati[Entrate Fisse],Dati[Anno],Processing!$AH$34,Dati[Mese],Processing!C9)+SUMIFS(Dati[Altre Entrate],Dati[Anno],Processing!$AH$34,Dati[Mese],Processing!C9)+SUMIFS(Dati[Entrate],Dati[Anno],Processing!$AH$35,Dati[Mese],Processing!C9)+SUMIFS(Dati[Entrate Fisse],Dati[Anno],Processing!$AH$35,Dati[Mese],Processing!C9)+SUMIFS(Dati[Altre Entrate],Dati[Anno],Processing!$AH$35,Dati[Mese],Processing!C9)+SUMIFS(Dati[Entrate],Dati[Anno],Processing!$AH$36,Dati[Mese],Processing!C9)+SUMIFS(Dati[Entrate Fisse],Dati[Anno],Processing!$AH$36,Dati[Mese],Processing!C9)+SUMIFS(Dati[Altre Entrate],Dati[Anno],Processing!$AH$36,Dati[Mese],Processing!C9)+SUMIFS(Dati[Entrate],Dati[Anno],Processing!$AH$37,Dati[Mese],Processing!C9)+SUMIFS(Dati[Entrate Fisse],Dati[Anno],Processing!$AH$37,Dati[Mese],Processing!C9)+SUMIFS(Dati[Altre Entrate],Dati[Anno],Processing!$AH$37,Dati[Mese],Processing!C9)+SUMIFS(Dati[Entrate],Dati[Anno],Processing!$AH$38,Dati[Mese],Processing!C9)+SUMIFS(Dati[Entrate Fisse],Dati[Anno],Processing!$AH$38,Dati[Mese],Processing!C9)+SUMIFS(Dati[Altre Entrate],Dati[Anno],Processing!$AH$38,Dati[Mese],Processing!C9)</f>
        <v>0</v>
      </c>
      <c r="E9" s="1">
        <f>SUMIFS(Dati[Uscite],Dati[Anno],Processing!$AH$27,Dati[Mese],Processing!C9)+SUMIFS(Dati[Uscite Fisse],Dati[Anno],Processing!$AH$27,Dati[Mese],Processing!C9)+SUMIFS(Dati[Altre Uscite],Dati[Anno],Processing!$AH$27,Dati[Mese],Processing!C9)+SUMIFS(Dati[Uscite],Dati[Anno],Processing!$AH$28,Dati[Mese],Processing!C9)+SUMIFS(Dati[Uscite Fisse],Dati[Anno],Processing!$AH$28,Dati[Mese],Processing!C9)+SUMIFS(Dati[Altre Uscite],Dati[Anno],Processing!$AH$28,Dati[Mese],Processing!C9)+SUMIFS(Dati[Uscite],Dati[Anno],Processing!$AH$29,Dati[Mese],Processing!C9)+SUMIFS(Dati[Uscite Fisse],Dati[Anno],Processing!$AH$29,Dati[Mese],Processing!C9)+SUMIFS(Dati[Altre Uscite],Dati[Anno],Processing!$AH$29,Dati[Mese],Processing!C9)+SUMIFS(Dati[Uscite],Dati[Anno],Processing!$AH$30,Dati[Mese],Processing!C9)+SUMIFS(Dati[Uscite Fisse],Dati[Anno],Processing!$AH$30,Dati[Mese],Processing!C9)+SUMIFS(Dati[Altre Uscite],Dati[Anno],Processing!$AH$30,Dati[Mese],Processing!C9)+SUMIFS(Dati[Uscite],Dati[Anno],Processing!$AH$31,Dati[Mese],Processing!C9)+SUMIFS(Dati[Uscite Fisse],Dati[Anno],Processing!$AH$31,Dati[Mese],Processing!C9)+SUMIFS(Dati[Altre Uscite],Dati[Anno],Processing!$AH$31,Dati[Mese],Processing!C9)+SUMIFS(Dati[Uscite],Dati[Anno],Processing!$AH$32,Dati[Mese],Processing!C9)+SUMIFS(Dati[Uscite Fisse],Dati[Anno],Processing!$AH$32,Dati[Mese],Processing!C9)+SUMIFS(Dati[Altre Uscite],Dati[Anno],Processing!$AH$32,Dati[Mese],Processing!C9)+SUMIFS(Dati[Uscite],Dati[Anno],Processing!$AH$33,Dati[Mese],Processing!C9)+SUMIFS(Dati[Uscite Fisse],Dati[Anno],Processing!$AH$33,Dati[Mese],Processing!C9)+SUMIFS(Dati[Altre Uscite],Dati[Anno],Processing!$AH$33,Dati[Mese],Processing!C9)+SUMIFS(Dati[Uscite],Dati[Anno],Processing!$AH$34,Dati[Mese],Processing!C9)+SUMIFS(Dati[Uscite Fisse],Dati[Anno],Processing!$AH$34,Dati[Mese],Processing!C9)+SUMIFS(Dati[Altre Uscite],Dati[Anno],Processing!$AH$34,Dati[Mese],Processing!C9)+SUMIFS(Dati[Uscite],Dati[Anno],Processing!$AH$35,Dati[Mese],Processing!C9)+SUMIFS(Dati[Uscite Fisse],Dati[Anno],Processing!$AH$35,Dati[Mese],Processing!C9)+SUMIFS(Dati[Altre Uscite],Dati[Anno],Processing!$AH$35,Dati[Mese],Processing!C9)+SUMIFS(Dati[Uscite],Dati[Anno],Processing!$AH$36,Dati[Mese],Processing!C9)+SUMIFS(Dati[Uscite Fisse],Dati[Anno],Processing!$AH$36,Dati[Mese],Processing!C9)+SUMIFS(Dati[Altre Uscite],Dati[Anno],Processing!$AH$36,Dati[Mese],Processing!C9)+SUMIFS(Dati[Uscite],Dati[Anno],Processing!$AH$37,Dati[Mese],Processing!C9)+SUMIFS(Dati[Uscite Fisse],Dati[Anno],Processing!$AH$37,Dati[Mese],Processing!C9)+SUMIFS(Dati[Altre Uscite],Dati[Anno],Processing!$AH$37,Dati[Mese],Processing!C9)+SUMIFS(Dati[Uscite],Dati[Anno],Processing!$AH$38,Dati[Mese],Processing!C9)+SUMIFS(Dati[Uscite Fisse],Dati[Anno],Processing!$AH$38,Dati[Mese],Processing!C9)+SUMIFS(Dati[Altre Uscite],Dati[Anno],Processing!$AH$38,Dati[Mese],Processing!C9)</f>
        <v>0</v>
      </c>
      <c r="F9" s="9">
        <f t="shared" si="7"/>
        <v>0</v>
      </c>
      <c r="G9" s="9">
        <f t="shared" si="8"/>
        <v>0</v>
      </c>
      <c r="H9" s="12" t="s">
        <v>51</v>
      </c>
      <c r="I9" s="1">
        <f>F1</f>
        <v>5</v>
      </c>
      <c r="J9" s="52">
        <f>IF($F$1="Multiple Months",SUM(IFERROR(INDEX(D5:D16,AJ27),0),IFERROR(INDEX(D5:D16,AJ28),0),IFERROR(INDEX(D5:D16,AJ29),0),IFERROR(INDEX(D5:D16,AJ30),0),IFERROR(INDEX(D5:D16,AJ31),0),IFERROR(INDEX(D5:D16,AJ32),0),IFERROR(INDEX(D5:D16,AJ33),0),IFERROR(INDEX(D5:D16,AJ34),0),IFERROR(INDEX(D5:D16,AJ35),0),IFERROR(INDEX(D5:D16,AJ36),0),IFERROR(INDEX(D5:D16,AJ37),0),IFERROR(INDEX(D5:D16,AJ38),0)),INDEX(D5:D16,$F$1))</f>
        <v>0</v>
      </c>
      <c r="L9" s="11">
        <v>0</v>
      </c>
      <c r="M9" s="11">
        <v>1</v>
      </c>
      <c r="O9" s="8" t="s">
        <v>62</v>
      </c>
      <c r="P9" s="10">
        <f>(P3+P4+P5)</f>
        <v>0.91771955866866417</v>
      </c>
      <c r="Q9" s="52">
        <f>Q3+Q4+Q5</f>
        <v>4000</v>
      </c>
      <c r="R9" s="9" t="str">
        <f>K59</f>
        <v>9%
Delle Entrate Del Mese</v>
      </c>
      <c r="S9" s="10" t="str">
        <f>IFERROR((1-R9),"Nessuna Entrata")</f>
        <v>Nessuna Entrata</v>
      </c>
      <c r="AA9" s="60"/>
      <c r="AI9"/>
      <c r="AJ9"/>
    </row>
    <row r="10" spans="1:61" x14ac:dyDescent="0.35">
      <c r="A10" s="1">
        <v>2028</v>
      </c>
      <c r="B10" s="1">
        <v>6</v>
      </c>
      <c r="C10" s="8" t="s">
        <v>63</v>
      </c>
      <c r="D10" s="1">
        <f>SUMIFS(Dati[Entrate],Dati[Anno],Processing!$AH$27,Dati[Mese],Processing!C10)+SUMIFS(Dati[Entrate Fisse],Dati[Anno],Processing!$AH$27,Dati[Mese],Processing!C10)+SUMIFS(Dati[Altre Entrate],Dati[Anno],Processing!$AH$27,Dati[Mese],Processing!C10)+SUMIFS(Dati[Entrate],Dati[Anno],Processing!$AH$28,Dati[Mese],Processing!C10)+SUMIFS(Dati[Entrate Fisse],Dati[Anno],Processing!$AH$28,Dati[Mese],Processing!C10)+SUMIFS(Dati[Altre Entrate],Dati[Anno],Processing!$AH$28,Dati[Mese],Processing!C10)+SUMIFS(Dati[Entrate],Dati[Anno],Processing!$AH$29,Dati[Mese],Processing!C10)+SUMIFS(Dati[Entrate Fisse],Dati[Anno],Processing!$AH$29,Dati[Mese],Processing!C10)+SUMIFS(Dati[Altre Entrate],Dati[Anno],Processing!$AH$29,Dati[Mese],Processing!C10)+SUMIFS(Dati[Entrate],Dati[Anno],Processing!$AH$30,Dati[Mese],Processing!C10)+SUMIFS(Dati[Entrate Fisse],Dati[Anno],Processing!$AH$30,Dati[Mese],Processing!C10)+SUMIFS(Dati[Altre Entrate],Dati[Anno],Processing!$AH$30,Dati[Mese],Processing!C10)+SUMIFS(Dati[Entrate],Dati[Anno],Processing!$AH$31,Dati[Mese],Processing!C10)+SUMIFS(Dati[Entrate Fisse],Dati[Anno],Processing!$AH$31,Dati[Mese],Processing!C10)+SUMIFS(Dati[Altre Entrate],Dati[Anno],Processing!$AH$31,Dati[Mese],Processing!C10)+SUMIFS(Dati[Entrate],Dati[Anno],Processing!$AH$32,Dati[Mese],Processing!C10)+SUMIFS(Dati[Entrate Fisse],Dati[Anno],Processing!$AH$32,Dati[Mese],Processing!C10)+SUMIFS(Dati[Altre Entrate],Dati[Anno],Processing!$AH$32,Dati[Mese],Processing!C10)+SUMIFS(Dati[Entrate],Dati[Anno],Processing!$AH$33,Dati[Mese],Processing!C10)+SUMIFS(Dati[Entrate Fisse],Dati[Anno],Processing!$AH$33,Dati[Mese],Processing!C10)+SUMIFS(Dati[Altre Entrate],Dati[Anno],Processing!$AH$33,Dati[Mese],Processing!C10)+SUMIFS(Dati[Entrate],Dati[Anno],Processing!$AH$34,Dati[Mese],Processing!C10)+SUMIFS(Dati[Entrate Fisse],Dati[Anno],Processing!$AH$34,Dati[Mese],Processing!C10)+SUMIFS(Dati[Altre Entrate],Dati[Anno],Processing!$AH$34,Dati[Mese],Processing!C10)+SUMIFS(Dati[Entrate],Dati[Anno],Processing!$AH$35,Dati[Mese],Processing!C10)+SUMIFS(Dati[Entrate Fisse],Dati[Anno],Processing!$AH$35,Dati[Mese],Processing!C10)+SUMIFS(Dati[Altre Entrate],Dati[Anno],Processing!$AH$35,Dati[Mese],Processing!C10)+SUMIFS(Dati[Entrate],Dati[Anno],Processing!$AH$36,Dati[Mese],Processing!C10)+SUMIFS(Dati[Entrate Fisse],Dati[Anno],Processing!$AH$36,Dati[Mese],Processing!C10)+SUMIFS(Dati[Altre Entrate],Dati[Anno],Processing!$AH$36,Dati[Mese],Processing!C10)+SUMIFS(Dati[Entrate],Dati[Anno],Processing!$AH$37,Dati[Mese],Processing!C10)+SUMIFS(Dati[Entrate Fisse],Dati[Anno],Processing!$AH$37,Dati[Mese],Processing!C10)+SUMIFS(Dati[Altre Entrate],Dati[Anno],Processing!$AH$37,Dati[Mese],Processing!C10)+SUMIFS(Dati[Entrate],Dati[Anno],Processing!$AH$38,Dati[Mese],Processing!C10)+SUMIFS(Dati[Entrate Fisse],Dati[Anno],Processing!$AH$38,Dati[Mese],Processing!C10)+SUMIFS(Dati[Altre Entrate],Dati[Anno],Processing!$AH$38,Dati[Mese],Processing!C10)</f>
        <v>0</v>
      </c>
      <c r="E10" s="1">
        <f>SUMIFS(Dati[Uscite],Dati[Anno],Processing!$AH$27,Dati[Mese],Processing!C10)+SUMIFS(Dati[Uscite Fisse],Dati[Anno],Processing!$AH$27,Dati[Mese],Processing!C10)+SUMIFS(Dati[Altre Uscite],Dati[Anno],Processing!$AH$27,Dati[Mese],Processing!C10)+SUMIFS(Dati[Uscite],Dati[Anno],Processing!$AH$28,Dati[Mese],Processing!C10)+SUMIFS(Dati[Uscite Fisse],Dati[Anno],Processing!$AH$28,Dati[Mese],Processing!C10)+SUMIFS(Dati[Altre Uscite],Dati[Anno],Processing!$AH$28,Dati[Mese],Processing!C10)+SUMIFS(Dati[Uscite],Dati[Anno],Processing!$AH$29,Dati[Mese],Processing!C10)+SUMIFS(Dati[Uscite Fisse],Dati[Anno],Processing!$AH$29,Dati[Mese],Processing!C10)+SUMIFS(Dati[Altre Uscite],Dati[Anno],Processing!$AH$29,Dati[Mese],Processing!C10)+SUMIFS(Dati[Uscite],Dati[Anno],Processing!$AH$30,Dati[Mese],Processing!C10)+SUMIFS(Dati[Uscite Fisse],Dati[Anno],Processing!$AH$30,Dati[Mese],Processing!C10)+SUMIFS(Dati[Altre Uscite],Dati[Anno],Processing!$AH$30,Dati[Mese],Processing!C10)+SUMIFS(Dati[Uscite],Dati[Anno],Processing!$AH$31,Dati[Mese],Processing!C10)+SUMIFS(Dati[Uscite Fisse],Dati[Anno],Processing!$AH$31,Dati[Mese],Processing!C10)+SUMIFS(Dati[Altre Uscite],Dati[Anno],Processing!$AH$31,Dati[Mese],Processing!C10)+SUMIFS(Dati[Uscite],Dati[Anno],Processing!$AH$32,Dati[Mese],Processing!C10)+SUMIFS(Dati[Uscite Fisse],Dati[Anno],Processing!$AH$32,Dati[Mese],Processing!C10)+SUMIFS(Dati[Altre Uscite],Dati[Anno],Processing!$AH$32,Dati[Mese],Processing!C10)+SUMIFS(Dati[Uscite],Dati[Anno],Processing!$AH$33,Dati[Mese],Processing!C10)+SUMIFS(Dati[Uscite Fisse],Dati[Anno],Processing!$AH$33,Dati[Mese],Processing!C10)+SUMIFS(Dati[Altre Uscite],Dati[Anno],Processing!$AH$33,Dati[Mese],Processing!C10)+SUMIFS(Dati[Uscite],Dati[Anno],Processing!$AH$34,Dati[Mese],Processing!C10)+SUMIFS(Dati[Uscite Fisse],Dati[Anno],Processing!$AH$34,Dati[Mese],Processing!C10)+SUMIFS(Dati[Altre Uscite],Dati[Anno],Processing!$AH$34,Dati[Mese],Processing!C10)+SUMIFS(Dati[Uscite],Dati[Anno],Processing!$AH$35,Dati[Mese],Processing!C10)+SUMIFS(Dati[Uscite Fisse],Dati[Anno],Processing!$AH$35,Dati[Mese],Processing!C10)+SUMIFS(Dati[Altre Uscite],Dati[Anno],Processing!$AH$35,Dati[Mese],Processing!C10)+SUMIFS(Dati[Uscite],Dati[Anno],Processing!$AH$36,Dati[Mese],Processing!C10)+SUMIFS(Dati[Uscite Fisse],Dati[Anno],Processing!$AH$36,Dati[Mese],Processing!C10)+SUMIFS(Dati[Altre Uscite],Dati[Anno],Processing!$AH$36,Dati[Mese],Processing!C10)+SUMIFS(Dati[Uscite],Dati[Anno],Processing!$AH$37,Dati[Mese],Processing!C10)+SUMIFS(Dati[Uscite Fisse],Dati[Anno],Processing!$AH$37,Dati[Mese],Processing!C10)+SUMIFS(Dati[Altre Uscite],Dati[Anno],Processing!$AH$37,Dati[Mese],Processing!C10)+SUMIFS(Dati[Uscite],Dati[Anno],Processing!$AH$38,Dati[Mese],Processing!C10)+SUMIFS(Dati[Uscite Fisse],Dati[Anno],Processing!$AH$38,Dati[Mese],Processing!C10)+SUMIFS(Dati[Altre Uscite],Dati[Anno],Processing!$AH$38,Dati[Mese],Processing!C10)</f>
        <v>0</v>
      </c>
      <c r="F10" s="9">
        <f t="shared" si="7"/>
        <v>0</v>
      </c>
      <c r="G10" s="9">
        <f t="shared" si="8"/>
        <v>0</v>
      </c>
      <c r="H10" s="12" t="s">
        <v>52</v>
      </c>
      <c r="I10" s="1">
        <f>F1</f>
        <v>5</v>
      </c>
      <c r="J10" s="52">
        <f>IF($F$1="Multiple Months",SUM(IFERROR(INDEX(E5:E16,AJ27),0),IFERROR(INDEX(E5:E16,AJ28),0),IFERROR(INDEX(E5:E16,AJ29),0),IFERROR(INDEX(E5:E16,AJ30),0),IFERROR(INDEX(E5:E16,AJ31),0),IFERROR(INDEX(E5:E16,AJ32),0),IFERROR(INDEX(E5:E16,AJ33),0),IFERROR(INDEX(E5:E16,AJ34),0),IFERROR(INDEX(E5:E16,AJ35),0),IFERROR(INDEX(E5:E16,AJ36),0),IFERROR(INDEX(E5:E16,AJ37),0),IFERROR(INDEX(E5:E16,AJ38),0)),INDEX(E5:E16,$F$1))</f>
        <v>0</v>
      </c>
      <c r="L10" s="11">
        <f>SIN(I5*2*PI())</f>
        <v>0</v>
      </c>
      <c r="M10" s="11">
        <f>COS(J5*2*PI())</f>
        <v>1</v>
      </c>
      <c r="O10" s="8" t="s">
        <v>64</v>
      </c>
      <c r="P10" s="10">
        <f>P6+P7+P8</f>
        <v>8.2280441331335774E-2</v>
      </c>
      <c r="Q10" s="52">
        <f>Q6+Q7+Q8</f>
        <v>358.63</v>
      </c>
    </row>
    <row r="11" spans="1:61" x14ac:dyDescent="0.35">
      <c r="A11" s="1">
        <v>2029</v>
      </c>
      <c r="B11" s="1">
        <v>7</v>
      </c>
      <c r="C11" s="8" t="s">
        <v>65</v>
      </c>
      <c r="D11" s="1">
        <f>SUMIFS(Dati[Entrate],Dati[Anno],Processing!$AH$27,Dati[Mese],Processing!C11)+SUMIFS(Dati[Entrate Fisse],Dati[Anno],Processing!$AH$27,Dati[Mese],Processing!C11)+SUMIFS(Dati[Altre Entrate],Dati[Anno],Processing!$AH$27,Dati[Mese],Processing!C11)+SUMIFS(Dati[Entrate],Dati[Anno],Processing!$AH$28,Dati[Mese],Processing!C11)+SUMIFS(Dati[Entrate Fisse],Dati[Anno],Processing!$AH$28,Dati[Mese],Processing!C11)+SUMIFS(Dati[Altre Entrate],Dati[Anno],Processing!$AH$28,Dati[Mese],Processing!C11)+SUMIFS(Dati[Entrate],Dati[Anno],Processing!$AH$29,Dati[Mese],Processing!C11)+SUMIFS(Dati[Entrate Fisse],Dati[Anno],Processing!$AH$29,Dati[Mese],Processing!C11)+SUMIFS(Dati[Altre Entrate],Dati[Anno],Processing!$AH$29,Dati[Mese],Processing!C11)+SUMIFS(Dati[Entrate],Dati[Anno],Processing!$AH$30,Dati[Mese],Processing!C11)+SUMIFS(Dati[Entrate Fisse],Dati[Anno],Processing!$AH$30,Dati[Mese],Processing!C11)+SUMIFS(Dati[Altre Entrate],Dati[Anno],Processing!$AH$30,Dati[Mese],Processing!C11)+SUMIFS(Dati[Entrate],Dati[Anno],Processing!$AH$31,Dati[Mese],Processing!C11)+SUMIFS(Dati[Entrate Fisse],Dati[Anno],Processing!$AH$31,Dati[Mese],Processing!C11)+SUMIFS(Dati[Altre Entrate],Dati[Anno],Processing!$AH$31,Dati[Mese],Processing!C11)+SUMIFS(Dati[Entrate],Dati[Anno],Processing!$AH$32,Dati[Mese],Processing!C11)+SUMIFS(Dati[Entrate Fisse],Dati[Anno],Processing!$AH$32,Dati[Mese],Processing!C11)+SUMIFS(Dati[Altre Entrate],Dati[Anno],Processing!$AH$32,Dati[Mese],Processing!C11)+SUMIFS(Dati[Entrate],Dati[Anno],Processing!$AH$33,Dati[Mese],Processing!C11)+SUMIFS(Dati[Entrate Fisse],Dati[Anno],Processing!$AH$33,Dati[Mese],Processing!C11)+SUMIFS(Dati[Altre Entrate],Dati[Anno],Processing!$AH$33,Dati[Mese],Processing!C11)+SUMIFS(Dati[Entrate],Dati[Anno],Processing!$AH$34,Dati[Mese],Processing!C11)+SUMIFS(Dati[Entrate Fisse],Dati[Anno],Processing!$AH$34,Dati[Mese],Processing!C11)+SUMIFS(Dati[Altre Entrate],Dati[Anno],Processing!$AH$34,Dati[Mese],Processing!C11)+SUMIFS(Dati[Entrate],Dati[Anno],Processing!$AH$35,Dati[Mese],Processing!C11)+SUMIFS(Dati[Entrate Fisse],Dati[Anno],Processing!$AH$35,Dati[Mese],Processing!C11)+SUMIFS(Dati[Altre Entrate],Dati[Anno],Processing!$AH$35,Dati[Mese],Processing!C11)+SUMIFS(Dati[Entrate],Dati[Anno],Processing!$AH$36,Dati[Mese],Processing!C11)+SUMIFS(Dati[Entrate Fisse],Dati[Anno],Processing!$AH$36,Dati[Mese],Processing!C11)+SUMIFS(Dati[Altre Entrate],Dati[Anno],Processing!$AH$36,Dati[Mese],Processing!C11)+SUMIFS(Dati[Entrate],Dati[Anno],Processing!$AH$37,Dati[Mese],Processing!C11)+SUMIFS(Dati[Entrate Fisse],Dati[Anno],Processing!$AH$37,Dati[Mese],Processing!C11)+SUMIFS(Dati[Altre Entrate],Dati[Anno],Processing!$AH$37,Dati[Mese],Processing!C11)+SUMIFS(Dati[Entrate],Dati[Anno],Processing!$AH$38,Dati[Mese],Processing!C11)+SUMIFS(Dati[Entrate Fisse],Dati[Anno],Processing!$AH$38,Dati[Mese],Processing!C11)+SUMIFS(Dati[Altre Entrate],Dati[Anno],Processing!$AH$38,Dati[Mese],Processing!C11)</f>
        <v>0</v>
      </c>
      <c r="E11" s="1">
        <f>SUMIFS(Dati[Uscite],Dati[Anno],Processing!$AH$27,Dati[Mese],Processing!C11)+SUMIFS(Dati[Uscite Fisse],Dati[Anno],Processing!$AH$27,Dati[Mese],Processing!C11)+SUMIFS(Dati[Altre Uscite],Dati[Anno],Processing!$AH$27,Dati[Mese],Processing!C11)+SUMIFS(Dati[Uscite],Dati[Anno],Processing!$AH$28,Dati[Mese],Processing!C11)+SUMIFS(Dati[Uscite Fisse],Dati[Anno],Processing!$AH$28,Dati[Mese],Processing!C11)+SUMIFS(Dati[Altre Uscite],Dati[Anno],Processing!$AH$28,Dati[Mese],Processing!C11)+SUMIFS(Dati[Uscite],Dati[Anno],Processing!$AH$29,Dati[Mese],Processing!C11)+SUMIFS(Dati[Uscite Fisse],Dati[Anno],Processing!$AH$29,Dati[Mese],Processing!C11)+SUMIFS(Dati[Altre Uscite],Dati[Anno],Processing!$AH$29,Dati[Mese],Processing!C11)+SUMIFS(Dati[Uscite],Dati[Anno],Processing!$AH$30,Dati[Mese],Processing!C11)+SUMIFS(Dati[Uscite Fisse],Dati[Anno],Processing!$AH$30,Dati[Mese],Processing!C11)+SUMIFS(Dati[Altre Uscite],Dati[Anno],Processing!$AH$30,Dati[Mese],Processing!C11)+SUMIFS(Dati[Uscite],Dati[Anno],Processing!$AH$31,Dati[Mese],Processing!C11)+SUMIFS(Dati[Uscite Fisse],Dati[Anno],Processing!$AH$31,Dati[Mese],Processing!C11)+SUMIFS(Dati[Altre Uscite],Dati[Anno],Processing!$AH$31,Dati[Mese],Processing!C11)+SUMIFS(Dati[Uscite],Dati[Anno],Processing!$AH$32,Dati[Mese],Processing!C11)+SUMIFS(Dati[Uscite Fisse],Dati[Anno],Processing!$AH$32,Dati[Mese],Processing!C11)+SUMIFS(Dati[Altre Uscite],Dati[Anno],Processing!$AH$32,Dati[Mese],Processing!C11)+SUMIFS(Dati[Uscite],Dati[Anno],Processing!$AH$33,Dati[Mese],Processing!C11)+SUMIFS(Dati[Uscite Fisse],Dati[Anno],Processing!$AH$33,Dati[Mese],Processing!C11)+SUMIFS(Dati[Altre Uscite],Dati[Anno],Processing!$AH$33,Dati[Mese],Processing!C11)+SUMIFS(Dati[Uscite],Dati[Anno],Processing!$AH$34,Dati[Mese],Processing!C11)+SUMIFS(Dati[Uscite Fisse],Dati[Anno],Processing!$AH$34,Dati[Mese],Processing!C11)+SUMIFS(Dati[Altre Uscite],Dati[Anno],Processing!$AH$34,Dati[Mese],Processing!C11)+SUMIFS(Dati[Uscite],Dati[Anno],Processing!$AH$35,Dati[Mese],Processing!C11)+SUMIFS(Dati[Uscite Fisse],Dati[Anno],Processing!$AH$35,Dati[Mese],Processing!C11)+SUMIFS(Dati[Altre Uscite],Dati[Anno],Processing!$AH$35,Dati[Mese],Processing!C11)+SUMIFS(Dati[Uscite],Dati[Anno],Processing!$AH$36,Dati[Mese],Processing!C11)+SUMIFS(Dati[Uscite Fisse],Dati[Anno],Processing!$AH$36,Dati[Mese],Processing!C11)+SUMIFS(Dati[Altre Uscite],Dati[Anno],Processing!$AH$36,Dati[Mese],Processing!C11)+SUMIFS(Dati[Uscite],Dati[Anno],Processing!$AH$37,Dati[Mese],Processing!C11)+SUMIFS(Dati[Uscite Fisse],Dati[Anno],Processing!$AH$37,Dati[Mese],Processing!C11)+SUMIFS(Dati[Altre Uscite],Dati[Anno],Processing!$AH$37,Dati[Mese],Processing!C11)+SUMIFS(Dati[Uscite],Dati[Anno],Processing!$AH$38,Dati[Mese],Processing!C11)+SUMIFS(Dati[Uscite Fisse],Dati[Anno],Processing!$AH$38,Dati[Mese],Processing!C11)+SUMIFS(Dati[Altre Uscite],Dati[Anno],Processing!$AH$38,Dati[Mese],Processing!C11)</f>
        <v>0</v>
      </c>
      <c r="F11" s="9">
        <f t="shared" si="7"/>
        <v>0</v>
      </c>
      <c r="G11" s="9">
        <f t="shared" si="8"/>
        <v>0</v>
      </c>
    </row>
    <row r="12" spans="1:61" ht="15.5" x14ac:dyDescent="0.35">
      <c r="A12" s="1">
        <v>2030</v>
      </c>
      <c r="B12" s="1">
        <v>8</v>
      </c>
      <c r="C12" s="8" t="s">
        <v>66</v>
      </c>
      <c r="D12" s="1">
        <f>SUMIFS(Dati[Entrate],Dati[Anno],Processing!$AH$27,Dati[Mese],Processing!C12)+SUMIFS(Dati[Entrate Fisse],Dati[Anno],Processing!$AH$27,Dati[Mese],Processing!C12)+SUMIFS(Dati[Altre Entrate],Dati[Anno],Processing!$AH$27,Dati[Mese],Processing!C12)+SUMIFS(Dati[Entrate],Dati[Anno],Processing!$AH$28,Dati[Mese],Processing!C12)+SUMIFS(Dati[Entrate Fisse],Dati[Anno],Processing!$AH$28,Dati[Mese],Processing!C12)+SUMIFS(Dati[Altre Entrate],Dati[Anno],Processing!$AH$28,Dati[Mese],Processing!C12)+SUMIFS(Dati[Entrate],Dati[Anno],Processing!$AH$29,Dati[Mese],Processing!C12)+SUMIFS(Dati[Entrate Fisse],Dati[Anno],Processing!$AH$29,Dati[Mese],Processing!C12)+SUMIFS(Dati[Altre Entrate],Dati[Anno],Processing!$AH$29,Dati[Mese],Processing!C12)+SUMIFS(Dati[Entrate],Dati[Anno],Processing!$AH$30,Dati[Mese],Processing!C12)+SUMIFS(Dati[Entrate Fisse],Dati[Anno],Processing!$AH$30,Dati[Mese],Processing!C12)+SUMIFS(Dati[Altre Entrate],Dati[Anno],Processing!$AH$30,Dati[Mese],Processing!C12)+SUMIFS(Dati[Entrate],Dati[Anno],Processing!$AH$31,Dati[Mese],Processing!C12)+SUMIFS(Dati[Entrate Fisse],Dati[Anno],Processing!$AH$31,Dati[Mese],Processing!C12)+SUMIFS(Dati[Altre Entrate],Dati[Anno],Processing!$AH$31,Dati[Mese],Processing!C12)+SUMIFS(Dati[Entrate],Dati[Anno],Processing!$AH$32,Dati[Mese],Processing!C12)+SUMIFS(Dati[Entrate Fisse],Dati[Anno],Processing!$AH$32,Dati[Mese],Processing!C12)+SUMIFS(Dati[Altre Entrate],Dati[Anno],Processing!$AH$32,Dati[Mese],Processing!C12)+SUMIFS(Dati[Entrate],Dati[Anno],Processing!$AH$33,Dati[Mese],Processing!C12)+SUMIFS(Dati[Entrate Fisse],Dati[Anno],Processing!$AH$33,Dati[Mese],Processing!C12)+SUMIFS(Dati[Altre Entrate],Dati[Anno],Processing!$AH$33,Dati[Mese],Processing!C12)+SUMIFS(Dati[Entrate],Dati[Anno],Processing!$AH$34,Dati[Mese],Processing!C12)+SUMIFS(Dati[Entrate Fisse],Dati[Anno],Processing!$AH$34,Dati[Mese],Processing!C12)+SUMIFS(Dati[Altre Entrate],Dati[Anno],Processing!$AH$34,Dati[Mese],Processing!C12)+SUMIFS(Dati[Entrate],Dati[Anno],Processing!$AH$35,Dati[Mese],Processing!C12)+SUMIFS(Dati[Entrate Fisse],Dati[Anno],Processing!$AH$35,Dati[Mese],Processing!C12)+SUMIFS(Dati[Altre Entrate],Dati[Anno],Processing!$AH$35,Dati[Mese],Processing!C12)+SUMIFS(Dati[Entrate],Dati[Anno],Processing!$AH$36,Dati[Mese],Processing!C12)+SUMIFS(Dati[Entrate Fisse],Dati[Anno],Processing!$AH$36,Dati[Mese],Processing!C12)+SUMIFS(Dati[Altre Entrate],Dati[Anno],Processing!$AH$36,Dati[Mese],Processing!C12)+SUMIFS(Dati[Entrate],Dati[Anno],Processing!$AH$37,Dati[Mese],Processing!C12)+SUMIFS(Dati[Entrate Fisse],Dati[Anno],Processing!$AH$37,Dati[Mese],Processing!C12)+SUMIFS(Dati[Altre Entrate],Dati[Anno],Processing!$AH$37,Dati[Mese],Processing!C12)+SUMIFS(Dati[Entrate],Dati[Anno],Processing!$AH$38,Dati[Mese],Processing!C12)+SUMIFS(Dati[Entrate Fisse],Dati[Anno],Processing!$AH$38,Dati[Mese],Processing!C12)+SUMIFS(Dati[Altre Entrate],Dati[Anno],Processing!$AH$38,Dati[Mese],Processing!C12)</f>
        <v>0</v>
      </c>
      <c r="E12" s="1">
        <f>SUMIFS(Dati[Uscite],Dati[Anno],Processing!$AH$27,Dati[Mese],Processing!C12)+SUMIFS(Dati[Uscite Fisse],Dati[Anno],Processing!$AH$27,Dati[Mese],Processing!C12)+SUMIFS(Dati[Altre Uscite],Dati[Anno],Processing!$AH$27,Dati[Mese],Processing!C12)+SUMIFS(Dati[Uscite],Dati[Anno],Processing!$AH$28,Dati[Mese],Processing!C12)+SUMIFS(Dati[Uscite Fisse],Dati[Anno],Processing!$AH$28,Dati[Mese],Processing!C12)+SUMIFS(Dati[Altre Uscite],Dati[Anno],Processing!$AH$28,Dati[Mese],Processing!C12)+SUMIFS(Dati[Uscite],Dati[Anno],Processing!$AH$29,Dati[Mese],Processing!C12)+SUMIFS(Dati[Uscite Fisse],Dati[Anno],Processing!$AH$29,Dati[Mese],Processing!C12)+SUMIFS(Dati[Altre Uscite],Dati[Anno],Processing!$AH$29,Dati[Mese],Processing!C12)+SUMIFS(Dati[Uscite],Dati[Anno],Processing!$AH$30,Dati[Mese],Processing!C12)+SUMIFS(Dati[Uscite Fisse],Dati[Anno],Processing!$AH$30,Dati[Mese],Processing!C12)+SUMIFS(Dati[Altre Uscite],Dati[Anno],Processing!$AH$30,Dati[Mese],Processing!C12)+SUMIFS(Dati[Uscite],Dati[Anno],Processing!$AH$31,Dati[Mese],Processing!C12)+SUMIFS(Dati[Uscite Fisse],Dati[Anno],Processing!$AH$31,Dati[Mese],Processing!C12)+SUMIFS(Dati[Altre Uscite],Dati[Anno],Processing!$AH$31,Dati[Mese],Processing!C12)+SUMIFS(Dati[Uscite],Dati[Anno],Processing!$AH$32,Dati[Mese],Processing!C12)+SUMIFS(Dati[Uscite Fisse],Dati[Anno],Processing!$AH$32,Dati[Mese],Processing!C12)+SUMIFS(Dati[Altre Uscite],Dati[Anno],Processing!$AH$32,Dati[Mese],Processing!C12)+SUMIFS(Dati[Uscite],Dati[Anno],Processing!$AH$33,Dati[Mese],Processing!C12)+SUMIFS(Dati[Uscite Fisse],Dati[Anno],Processing!$AH$33,Dati[Mese],Processing!C12)+SUMIFS(Dati[Altre Uscite],Dati[Anno],Processing!$AH$33,Dati[Mese],Processing!C12)+SUMIFS(Dati[Uscite],Dati[Anno],Processing!$AH$34,Dati[Mese],Processing!C12)+SUMIFS(Dati[Uscite Fisse],Dati[Anno],Processing!$AH$34,Dati[Mese],Processing!C12)+SUMIFS(Dati[Altre Uscite],Dati[Anno],Processing!$AH$34,Dati[Mese],Processing!C12)+SUMIFS(Dati[Uscite],Dati[Anno],Processing!$AH$35,Dati[Mese],Processing!C12)+SUMIFS(Dati[Uscite Fisse],Dati[Anno],Processing!$AH$35,Dati[Mese],Processing!C12)+SUMIFS(Dati[Altre Uscite],Dati[Anno],Processing!$AH$35,Dati[Mese],Processing!C12)+SUMIFS(Dati[Uscite],Dati[Anno],Processing!$AH$36,Dati[Mese],Processing!C12)+SUMIFS(Dati[Uscite Fisse],Dati[Anno],Processing!$AH$36,Dati[Mese],Processing!C12)+SUMIFS(Dati[Altre Uscite],Dati[Anno],Processing!$AH$36,Dati[Mese],Processing!C12)+SUMIFS(Dati[Uscite],Dati[Anno],Processing!$AH$37,Dati[Mese],Processing!C12)+SUMIFS(Dati[Uscite Fisse],Dati[Anno],Processing!$AH$37,Dati[Mese],Processing!C12)+SUMIFS(Dati[Altre Uscite],Dati[Anno],Processing!$AH$37,Dati[Mese],Processing!C12)+SUMIFS(Dati[Uscite],Dati[Anno],Processing!$AH$38,Dati[Mese],Processing!C12)+SUMIFS(Dati[Uscite Fisse],Dati[Anno],Processing!$AH$38,Dati[Mese],Processing!C12)+SUMIFS(Dati[Altre Uscite],Dati[Anno],Processing!$AH$38,Dati[Mese],Processing!C12)</f>
        <v>0</v>
      </c>
      <c r="F12" s="9">
        <f t="shared" si="7"/>
        <v>0</v>
      </c>
      <c r="G12" s="9">
        <f t="shared" si="8"/>
        <v>0</v>
      </c>
      <c r="AI12"/>
      <c r="AJ12"/>
    </row>
    <row r="13" spans="1:61" x14ac:dyDescent="0.35">
      <c r="A13" s="1">
        <v>2031</v>
      </c>
      <c r="B13" s="1">
        <v>9</v>
      </c>
      <c r="C13" s="8" t="s">
        <v>67</v>
      </c>
      <c r="D13" s="1">
        <f>SUMIFS(Dati[Entrate],Dati[Anno],Processing!$AH$27,Dati[Mese],Processing!C13)+SUMIFS(Dati[Entrate Fisse],Dati[Anno],Processing!$AH$27,Dati[Mese],Processing!C13)+SUMIFS(Dati[Altre Entrate],Dati[Anno],Processing!$AH$27,Dati[Mese],Processing!C13)+SUMIFS(Dati[Entrate],Dati[Anno],Processing!$AH$28,Dati[Mese],Processing!C13)+SUMIFS(Dati[Entrate Fisse],Dati[Anno],Processing!$AH$28,Dati[Mese],Processing!C13)+SUMIFS(Dati[Altre Entrate],Dati[Anno],Processing!$AH$28,Dati[Mese],Processing!C13)+SUMIFS(Dati[Entrate],Dati[Anno],Processing!$AH$29,Dati[Mese],Processing!C13)+SUMIFS(Dati[Entrate Fisse],Dati[Anno],Processing!$AH$29,Dati[Mese],Processing!C13)+SUMIFS(Dati[Altre Entrate],Dati[Anno],Processing!$AH$29,Dati[Mese],Processing!C13)+SUMIFS(Dati[Entrate],Dati[Anno],Processing!$AH$30,Dati[Mese],Processing!C13)+SUMIFS(Dati[Entrate Fisse],Dati[Anno],Processing!$AH$30,Dati[Mese],Processing!C13)+SUMIFS(Dati[Altre Entrate],Dati[Anno],Processing!$AH$30,Dati[Mese],Processing!C13)+SUMIFS(Dati[Entrate],Dati[Anno],Processing!$AH$31,Dati[Mese],Processing!C13)+SUMIFS(Dati[Entrate Fisse],Dati[Anno],Processing!$AH$31,Dati[Mese],Processing!C13)+SUMIFS(Dati[Altre Entrate],Dati[Anno],Processing!$AH$31,Dati[Mese],Processing!C13)+SUMIFS(Dati[Entrate],Dati[Anno],Processing!$AH$32,Dati[Mese],Processing!C13)+SUMIFS(Dati[Entrate Fisse],Dati[Anno],Processing!$AH$32,Dati[Mese],Processing!C13)+SUMIFS(Dati[Altre Entrate],Dati[Anno],Processing!$AH$32,Dati[Mese],Processing!C13)+SUMIFS(Dati[Entrate],Dati[Anno],Processing!$AH$33,Dati[Mese],Processing!C13)+SUMIFS(Dati[Entrate Fisse],Dati[Anno],Processing!$AH$33,Dati[Mese],Processing!C13)+SUMIFS(Dati[Altre Entrate],Dati[Anno],Processing!$AH$33,Dati[Mese],Processing!C13)+SUMIFS(Dati[Entrate],Dati[Anno],Processing!$AH$34,Dati[Mese],Processing!C13)+SUMIFS(Dati[Entrate Fisse],Dati[Anno],Processing!$AH$34,Dati[Mese],Processing!C13)+SUMIFS(Dati[Altre Entrate],Dati[Anno],Processing!$AH$34,Dati[Mese],Processing!C13)+SUMIFS(Dati[Entrate],Dati[Anno],Processing!$AH$35,Dati[Mese],Processing!C13)+SUMIFS(Dati[Entrate Fisse],Dati[Anno],Processing!$AH$35,Dati[Mese],Processing!C13)+SUMIFS(Dati[Altre Entrate],Dati[Anno],Processing!$AH$35,Dati[Mese],Processing!C13)+SUMIFS(Dati[Entrate],Dati[Anno],Processing!$AH$36,Dati[Mese],Processing!C13)+SUMIFS(Dati[Entrate Fisse],Dati[Anno],Processing!$AH$36,Dati[Mese],Processing!C13)+SUMIFS(Dati[Altre Entrate],Dati[Anno],Processing!$AH$36,Dati[Mese],Processing!C13)+SUMIFS(Dati[Entrate],Dati[Anno],Processing!$AH$37,Dati[Mese],Processing!C13)+SUMIFS(Dati[Entrate Fisse],Dati[Anno],Processing!$AH$37,Dati[Mese],Processing!C13)+SUMIFS(Dati[Altre Entrate],Dati[Anno],Processing!$AH$37,Dati[Mese],Processing!C13)+SUMIFS(Dati[Entrate],Dati[Anno],Processing!$AH$38,Dati[Mese],Processing!C13)+SUMIFS(Dati[Entrate Fisse],Dati[Anno],Processing!$AH$38,Dati[Mese],Processing!C13)+SUMIFS(Dati[Altre Entrate],Dati[Anno],Processing!$AH$38,Dati[Mese],Processing!C13)</f>
        <v>0</v>
      </c>
      <c r="E13" s="1">
        <f>SUMIFS(Dati[Uscite],Dati[Anno],Processing!$AH$27,Dati[Mese],Processing!C13)+SUMIFS(Dati[Uscite Fisse],Dati[Anno],Processing!$AH$27,Dati[Mese],Processing!C13)+SUMIFS(Dati[Altre Uscite],Dati[Anno],Processing!$AH$27,Dati[Mese],Processing!C13)+SUMIFS(Dati[Uscite],Dati[Anno],Processing!$AH$28,Dati[Mese],Processing!C13)+SUMIFS(Dati[Uscite Fisse],Dati[Anno],Processing!$AH$28,Dati[Mese],Processing!C13)+SUMIFS(Dati[Altre Uscite],Dati[Anno],Processing!$AH$28,Dati[Mese],Processing!C13)+SUMIFS(Dati[Uscite],Dati[Anno],Processing!$AH$29,Dati[Mese],Processing!C13)+SUMIFS(Dati[Uscite Fisse],Dati[Anno],Processing!$AH$29,Dati[Mese],Processing!C13)+SUMIFS(Dati[Altre Uscite],Dati[Anno],Processing!$AH$29,Dati[Mese],Processing!C13)+SUMIFS(Dati[Uscite],Dati[Anno],Processing!$AH$30,Dati[Mese],Processing!C13)+SUMIFS(Dati[Uscite Fisse],Dati[Anno],Processing!$AH$30,Dati[Mese],Processing!C13)+SUMIFS(Dati[Altre Uscite],Dati[Anno],Processing!$AH$30,Dati[Mese],Processing!C13)+SUMIFS(Dati[Uscite],Dati[Anno],Processing!$AH$31,Dati[Mese],Processing!C13)+SUMIFS(Dati[Uscite Fisse],Dati[Anno],Processing!$AH$31,Dati[Mese],Processing!C13)+SUMIFS(Dati[Altre Uscite],Dati[Anno],Processing!$AH$31,Dati[Mese],Processing!C13)+SUMIFS(Dati[Uscite],Dati[Anno],Processing!$AH$32,Dati[Mese],Processing!C13)+SUMIFS(Dati[Uscite Fisse],Dati[Anno],Processing!$AH$32,Dati[Mese],Processing!C13)+SUMIFS(Dati[Altre Uscite],Dati[Anno],Processing!$AH$32,Dati[Mese],Processing!C13)+SUMIFS(Dati[Uscite],Dati[Anno],Processing!$AH$33,Dati[Mese],Processing!C13)+SUMIFS(Dati[Uscite Fisse],Dati[Anno],Processing!$AH$33,Dati[Mese],Processing!C13)+SUMIFS(Dati[Altre Uscite],Dati[Anno],Processing!$AH$33,Dati[Mese],Processing!C13)+SUMIFS(Dati[Uscite],Dati[Anno],Processing!$AH$34,Dati[Mese],Processing!C13)+SUMIFS(Dati[Uscite Fisse],Dati[Anno],Processing!$AH$34,Dati[Mese],Processing!C13)+SUMIFS(Dati[Altre Uscite],Dati[Anno],Processing!$AH$34,Dati[Mese],Processing!C13)+SUMIFS(Dati[Uscite],Dati[Anno],Processing!$AH$35,Dati[Mese],Processing!C13)+SUMIFS(Dati[Uscite Fisse],Dati[Anno],Processing!$AH$35,Dati[Mese],Processing!C13)+SUMIFS(Dati[Altre Uscite],Dati[Anno],Processing!$AH$35,Dati[Mese],Processing!C13)+SUMIFS(Dati[Uscite],Dati[Anno],Processing!$AH$36,Dati[Mese],Processing!C13)+SUMIFS(Dati[Uscite Fisse],Dati[Anno],Processing!$AH$36,Dati[Mese],Processing!C13)+SUMIFS(Dati[Altre Uscite],Dati[Anno],Processing!$AH$36,Dati[Mese],Processing!C13)+SUMIFS(Dati[Uscite],Dati[Anno],Processing!$AH$37,Dati[Mese],Processing!C13)+SUMIFS(Dati[Uscite Fisse],Dati[Anno],Processing!$AH$37,Dati[Mese],Processing!C13)+SUMIFS(Dati[Altre Uscite],Dati[Anno],Processing!$AH$37,Dati[Mese],Processing!C13)+SUMIFS(Dati[Uscite],Dati[Anno],Processing!$AH$38,Dati[Mese],Processing!C13)+SUMIFS(Dati[Uscite Fisse],Dati[Anno],Processing!$AH$38,Dati[Mese],Processing!C13)+SUMIFS(Dati[Altre Uscite],Dati[Anno],Processing!$AH$38,Dati[Mese],Processing!C13)</f>
        <v>0</v>
      </c>
      <c r="F13" s="9">
        <f t="shared" si="7"/>
        <v>0</v>
      </c>
      <c r="G13" s="9">
        <f t="shared" si="8"/>
        <v>0</v>
      </c>
      <c r="R13" s="1" t="s">
        <v>68</v>
      </c>
      <c r="W13" s="13"/>
      <c r="BI13" s="2"/>
    </row>
    <row r="14" spans="1:61" x14ac:dyDescent="0.35">
      <c r="A14" s="1">
        <v>2032</v>
      </c>
      <c r="B14" s="1">
        <v>10</v>
      </c>
      <c r="C14" s="8" t="s">
        <v>69</v>
      </c>
      <c r="D14" s="1">
        <f>SUMIFS(Dati[Entrate],Dati[Anno],Processing!$AH$27,Dati[Mese],Processing!C14)+SUMIFS(Dati[Entrate Fisse],Dati[Anno],Processing!$AH$27,Dati[Mese],Processing!C14)+SUMIFS(Dati[Altre Entrate],Dati[Anno],Processing!$AH$27,Dati[Mese],Processing!C14)+SUMIFS(Dati[Entrate],Dati[Anno],Processing!$AH$28,Dati[Mese],Processing!C14)+SUMIFS(Dati[Entrate Fisse],Dati[Anno],Processing!$AH$28,Dati[Mese],Processing!C14)+SUMIFS(Dati[Altre Entrate],Dati[Anno],Processing!$AH$28,Dati[Mese],Processing!C14)+SUMIFS(Dati[Entrate],Dati[Anno],Processing!$AH$29,Dati[Mese],Processing!C14)+SUMIFS(Dati[Entrate Fisse],Dati[Anno],Processing!$AH$29,Dati[Mese],Processing!C14)+SUMIFS(Dati[Altre Entrate],Dati[Anno],Processing!$AH$29,Dati[Mese],Processing!C14)+SUMIFS(Dati[Entrate],Dati[Anno],Processing!$AH$30,Dati[Mese],Processing!C14)+SUMIFS(Dati[Entrate Fisse],Dati[Anno],Processing!$AH$30,Dati[Mese],Processing!C14)+SUMIFS(Dati[Altre Entrate],Dati[Anno],Processing!$AH$30,Dati[Mese],Processing!C14)+SUMIFS(Dati[Entrate],Dati[Anno],Processing!$AH$31,Dati[Mese],Processing!C14)+SUMIFS(Dati[Entrate Fisse],Dati[Anno],Processing!$AH$31,Dati[Mese],Processing!C14)+SUMIFS(Dati[Altre Entrate],Dati[Anno],Processing!$AH$31,Dati[Mese],Processing!C14)+SUMIFS(Dati[Entrate],Dati[Anno],Processing!$AH$32,Dati[Mese],Processing!C14)+SUMIFS(Dati[Entrate Fisse],Dati[Anno],Processing!$AH$32,Dati[Mese],Processing!C14)+SUMIFS(Dati[Altre Entrate],Dati[Anno],Processing!$AH$32,Dati[Mese],Processing!C14)+SUMIFS(Dati[Entrate],Dati[Anno],Processing!$AH$33,Dati[Mese],Processing!C14)+SUMIFS(Dati[Entrate Fisse],Dati[Anno],Processing!$AH$33,Dati[Mese],Processing!C14)+SUMIFS(Dati[Altre Entrate],Dati[Anno],Processing!$AH$33,Dati[Mese],Processing!C14)+SUMIFS(Dati[Entrate],Dati[Anno],Processing!$AH$34,Dati[Mese],Processing!C14)+SUMIFS(Dati[Entrate Fisse],Dati[Anno],Processing!$AH$34,Dati[Mese],Processing!C14)+SUMIFS(Dati[Altre Entrate],Dati[Anno],Processing!$AH$34,Dati[Mese],Processing!C14)+SUMIFS(Dati[Entrate],Dati[Anno],Processing!$AH$35,Dati[Mese],Processing!C14)+SUMIFS(Dati[Entrate Fisse],Dati[Anno],Processing!$AH$35,Dati[Mese],Processing!C14)+SUMIFS(Dati[Altre Entrate],Dati[Anno],Processing!$AH$35,Dati[Mese],Processing!C14)+SUMIFS(Dati[Entrate],Dati[Anno],Processing!$AH$36,Dati[Mese],Processing!C14)+SUMIFS(Dati[Entrate Fisse],Dati[Anno],Processing!$AH$36,Dati[Mese],Processing!C14)+SUMIFS(Dati[Altre Entrate],Dati[Anno],Processing!$AH$36,Dati[Mese],Processing!C14)+SUMIFS(Dati[Entrate],Dati[Anno],Processing!$AH$37,Dati[Mese],Processing!C14)+SUMIFS(Dati[Entrate Fisse],Dati[Anno],Processing!$AH$37,Dati[Mese],Processing!C14)+SUMIFS(Dati[Altre Entrate],Dati[Anno],Processing!$AH$37,Dati[Mese],Processing!C14)+SUMIFS(Dati[Entrate],Dati[Anno],Processing!$AH$38,Dati[Mese],Processing!C14)+SUMIFS(Dati[Entrate Fisse],Dati[Anno],Processing!$AH$38,Dati[Mese],Processing!C14)+SUMIFS(Dati[Altre Entrate],Dati[Anno],Processing!$AH$38,Dati[Mese],Processing!C14)</f>
        <v>0</v>
      </c>
      <c r="E14" s="1">
        <f>SUMIFS(Dati[Uscite],Dati[Anno],Processing!$AH$27,Dati[Mese],Processing!C14)+SUMIFS(Dati[Uscite Fisse],Dati[Anno],Processing!$AH$27,Dati[Mese],Processing!C14)+SUMIFS(Dati[Altre Uscite],Dati[Anno],Processing!$AH$27,Dati[Mese],Processing!C14)+SUMIFS(Dati[Uscite],Dati[Anno],Processing!$AH$28,Dati[Mese],Processing!C14)+SUMIFS(Dati[Uscite Fisse],Dati[Anno],Processing!$AH$28,Dati[Mese],Processing!C14)+SUMIFS(Dati[Altre Uscite],Dati[Anno],Processing!$AH$28,Dati[Mese],Processing!C14)+SUMIFS(Dati[Uscite],Dati[Anno],Processing!$AH$29,Dati[Mese],Processing!C14)+SUMIFS(Dati[Uscite Fisse],Dati[Anno],Processing!$AH$29,Dati[Mese],Processing!C14)+SUMIFS(Dati[Altre Uscite],Dati[Anno],Processing!$AH$29,Dati[Mese],Processing!C14)+SUMIFS(Dati[Uscite],Dati[Anno],Processing!$AH$30,Dati[Mese],Processing!C14)+SUMIFS(Dati[Uscite Fisse],Dati[Anno],Processing!$AH$30,Dati[Mese],Processing!C14)+SUMIFS(Dati[Altre Uscite],Dati[Anno],Processing!$AH$30,Dati[Mese],Processing!C14)+SUMIFS(Dati[Uscite],Dati[Anno],Processing!$AH$31,Dati[Mese],Processing!C14)+SUMIFS(Dati[Uscite Fisse],Dati[Anno],Processing!$AH$31,Dati[Mese],Processing!C14)+SUMIFS(Dati[Altre Uscite],Dati[Anno],Processing!$AH$31,Dati[Mese],Processing!C14)+SUMIFS(Dati[Uscite],Dati[Anno],Processing!$AH$32,Dati[Mese],Processing!C14)+SUMIFS(Dati[Uscite Fisse],Dati[Anno],Processing!$AH$32,Dati[Mese],Processing!C14)+SUMIFS(Dati[Altre Uscite],Dati[Anno],Processing!$AH$32,Dati[Mese],Processing!C14)+SUMIFS(Dati[Uscite],Dati[Anno],Processing!$AH$33,Dati[Mese],Processing!C14)+SUMIFS(Dati[Uscite Fisse],Dati[Anno],Processing!$AH$33,Dati[Mese],Processing!C14)+SUMIFS(Dati[Altre Uscite],Dati[Anno],Processing!$AH$33,Dati[Mese],Processing!C14)+SUMIFS(Dati[Uscite],Dati[Anno],Processing!$AH$34,Dati[Mese],Processing!C14)+SUMIFS(Dati[Uscite Fisse],Dati[Anno],Processing!$AH$34,Dati[Mese],Processing!C14)+SUMIFS(Dati[Altre Uscite],Dati[Anno],Processing!$AH$34,Dati[Mese],Processing!C14)+SUMIFS(Dati[Uscite],Dati[Anno],Processing!$AH$35,Dati[Mese],Processing!C14)+SUMIFS(Dati[Uscite Fisse],Dati[Anno],Processing!$AH$35,Dati[Mese],Processing!C14)+SUMIFS(Dati[Altre Uscite],Dati[Anno],Processing!$AH$35,Dati[Mese],Processing!C14)+SUMIFS(Dati[Uscite],Dati[Anno],Processing!$AH$36,Dati[Mese],Processing!C14)+SUMIFS(Dati[Uscite Fisse],Dati[Anno],Processing!$AH$36,Dati[Mese],Processing!C14)+SUMIFS(Dati[Altre Uscite],Dati[Anno],Processing!$AH$36,Dati[Mese],Processing!C14)+SUMIFS(Dati[Uscite],Dati[Anno],Processing!$AH$37,Dati[Mese],Processing!C14)+SUMIFS(Dati[Uscite Fisse],Dati[Anno],Processing!$AH$37,Dati[Mese],Processing!C14)+SUMIFS(Dati[Altre Uscite],Dati[Anno],Processing!$AH$37,Dati[Mese],Processing!C14)+SUMIFS(Dati[Uscite],Dati[Anno],Processing!$AH$38,Dati[Mese],Processing!C14)+SUMIFS(Dati[Uscite Fisse],Dati[Anno],Processing!$AH$38,Dati[Mese],Processing!C14)+SUMIFS(Dati[Altre Uscite],Dati[Anno],Processing!$AH$38,Dati[Mese],Processing!C14)</f>
        <v>0</v>
      </c>
      <c r="F14" s="9">
        <f t="shared" si="7"/>
        <v>0</v>
      </c>
      <c r="G14" s="9">
        <f t="shared" si="8"/>
        <v>0</v>
      </c>
      <c r="J14" s="48"/>
      <c r="S14" s="14" t="s">
        <v>70</v>
      </c>
      <c r="U14" s="55" t="s">
        <v>71</v>
      </c>
      <c r="Y14" s="25"/>
      <c r="AA14" s="25"/>
      <c r="AK14" s="10"/>
    </row>
    <row r="15" spans="1:61" x14ac:dyDescent="0.35">
      <c r="A15" s="1">
        <v>2033</v>
      </c>
      <c r="B15" s="1">
        <v>11</v>
      </c>
      <c r="C15" s="8" t="s">
        <v>72</v>
      </c>
      <c r="D15" s="1">
        <f>SUMIFS(Dati[Entrate],Dati[Anno],Processing!$AH$27,Dati[Mese],Processing!C15)+SUMIFS(Dati[Entrate Fisse],Dati[Anno],Processing!$AH$27,Dati[Mese],Processing!C15)+SUMIFS(Dati[Altre Entrate],Dati[Anno],Processing!$AH$27,Dati[Mese],Processing!C15)+SUMIFS(Dati[Entrate],Dati[Anno],Processing!$AH$28,Dati[Mese],Processing!C15)+SUMIFS(Dati[Entrate Fisse],Dati[Anno],Processing!$AH$28,Dati[Mese],Processing!C15)+SUMIFS(Dati[Altre Entrate],Dati[Anno],Processing!$AH$28,Dati[Mese],Processing!C15)+SUMIFS(Dati[Entrate],Dati[Anno],Processing!$AH$29,Dati[Mese],Processing!C15)+SUMIFS(Dati[Entrate Fisse],Dati[Anno],Processing!$AH$29,Dati[Mese],Processing!C15)+SUMIFS(Dati[Altre Entrate],Dati[Anno],Processing!$AH$29,Dati[Mese],Processing!C15)+SUMIFS(Dati[Entrate],Dati[Anno],Processing!$AH$30,Dati[Mese],Processing!C15)+SUMIFS(Dati[Entrate Fisse],Dati[Anno],Processing!$AH$30,Dati[Mese],Processing!C15)+SUMIFS(Dati[Altre Entrate],Dati[Anno],Processing!$AH$30,Dati[Mese],Processing!C15)+SUMIFS(Dati[Entrate],Dati[Anno],Processing!$AH$31,Dati[Mese],Processing!C15)+SUMIFS(Dati[Entrate Fisse],Dati[Anno],Processing!$AH$31,Dati[Mese],Processing!C15)+SUMIFS(Dati[Altre Entrate],Dati[Anno],Processing!$AH$31,Dati[Mese],Processing!C15)+SUMIFS(Dati[Entrate],Dati[Anno],Processing!$AH$32,Dati[Mese],Processing!C15)+SUMIFS(Dati[Entrate Fisse],Dati[Anno],Processing!$AH$32,Dati[Mese],Processing!C15)+SUMIFS(Dati[Altre Entrate],Dati[Anno],Processing!$AH$32,Dati[Mese],Processing!C15)+SUMIFS(Dati[Entrate],Dati[Anno],Processing!$AH$33,Dati[Mese],Processing!C15)+SUMIFS(Dati[Entrate Fisse],Dati[Anno],Processing!$AH$33,Dati[Mese],Processing!C15)+SUMIFS(Dati[Altre Entrate],Dati[Anno],Processing!$AH$33,Dati[Mese],Processing!C15)+SUMIFS(Dati[Entrate],Dati[Anno],Processing!$AH$34,Dati[Mese],Processing!C15)+SUMIFS(Dati[Entrate Fisse],Dati[Anno],Processing!$AH$34,Dati[Mese],Processing!C15)+SUMIFS(Dati[Altre Entrate],Dati[Anno],Processing!$AH$34,Dati[Mese],Processing!C15)+SUMIFS(Dati[Entrate],Dati[Anno],Processing!$AH$35,Dati[Mese],Processing!C15)+SUMIFS(Dati[Entrate Fisse],Dati[Anno],Processing!$AH$35,Dati[Mese],Processing!C15)+SUMIFS(Dati[Altre Entrate],Dati[Anno],Processing!$AH$35,Dati[Mese],Processing!C15)+SUMIFS(Dati[Entrate],Dati[Anno],Processing!$AH$36,Dati[Mese],Processing!C15)+SUMIFS(Dati[Entrate Fisse],Dati[Anno],Processing!$AH$36,Dati[Mese],Processing!C15)+SUMIFS(Dati[Altre Entrate],Dati[Anno],Processing!$AH$36,Dati[Mese],Processing!C15)+SUMIFS(Dati[Entrate],Dati[Anno],Processing!$AH$37,Dati[Mese],Processing!C15)+SUMIFS(Dati[Entrate Fisse],Dati[Anno],Processing!$AH$37,Dati[Mese],Processing!C15)+SUMIFS(Dati[Altre Entrate],Dati[Anno],Processing!$AH$37,Dati[Mese],Processing!C15)+SUMIFS(Dati[Entrate],Dati[Anno],Processing!$AH$38,Dati[Mese],Processing!C15)+SUMIFS(Dati[Entrate Fisse],Dati[Anno],Processing!$AH$38,Dati[Mese],Processing!C15)+SUMIFS(Dati[Altre Entrate],Dati[Anno],Processing!$AH$38,Dati[Mese],Processing!C15)</f>
        <v>0</v>
      </c>
      <c r="E15" s="1">
        <f>SUMIFS(Dati[Uscite],Dati[Anno],Processing!$AH$27,Dati[Mese],Processing!C15)+SUMIFS(Dati[Uscite Fisse],Dati[Anno],Processing!$AH$27,Dati[Mese],Processing!C15)+SUMIFS(Dati[Altre Uscite],Dati[Anno],Processing!$AH$27,Dati[Mese],Processing!C15)+SUMIFS(Dati[Uscite],Dati[Anno],Processing!$AH$28,Dati[Mese],Processing!C15)+SUMIFS(Dati[Uscite Fisse],Dati[Anno],Processing!$AH$28,Dati[Mese],Processing!C15)+SUMIFS(Dati[Altre Uscite],Dati[Anno],Processing!$AH$28,Dati[Mese],Processing!C15)+SUMIFS(Dati[Uscite],Dati[Anno],Processing!$AH$29,Dati[Mese],Processing!C15)+SUMIFS(Dati[Uscite Fisse],Dati[Anno],Processing!$AH$29,Dati[Mese],Processing!C15)+SUMIFS(Dati[Altre Uscite],Dati[Anno],Processing!$AH$29,Dati[Mese],Processing!C15)+SUMIFS(Dati[Uscite],Dati[Anno],Processing!$AH$30,Dati[Mese],Processing!C15)+SUMIFS(Dati[Uscite Fisse],Dati[Anno],Processing!$AH$30,Dati[Mese],Processing!C15)+SUMIFS(Dati[Altre Uscite],Dati[Anno],Processing!$AH$30,Dati[Mese],Processing!C15)+SUMIFS(Dati[Uscite],Dati[Anno],Processing!$AH$31,Dati[Mese],Processing!C15)+SUMIFS(Dati[Uscite Fisse],Dati[Anno],Processing!$AH$31,Dati[Mese],Processing!C15)+SUMIFS(Dati[Altre Uscite],Dati[Anno],Processing!$AH$31,Dati[Mese],Processing!C15)+SUMIFS(Dati[Uscite],Dati[Anno],Processing!$AH$32,Dati[Mese],Processing!C15)+SUMIFS(Dati[Uscite Fisse],Dati[Anno],Processing!$AH$32,Dati[Mese],Processing!C15)+SUMIFS(Dati[Altre Uscite],Dati[Anno],Processing!$AH$32,Dati[Mese],Processing!C15)+SUMIFS(Dati[Uscite],Dati[Anno],Processing!$AH$33,Dati[Mese],Processing!C15)+SUMIFS(Dati[Uscite Fisse],Dati[Anno],Processing!$AH$33,Dati[Mese],Processing!C15)+SUMIFS(Dati[Altre Uscite],Dati[Anno],Processing!$AH$33,Dati[Mese],Processing!C15)+SUMIFS(Dati[Uscite],Dati[Anno],Processing!$AH$34,Dati[Mese],Processing!C15)+SUMIFS(Dati[Uscite Fisse],Dati[Anno],Processing!$AH$34,Dati[Mese],Processing!C15)+SUMIFS(Dati[Altre Uscite],Dati[Anno],Processing!$AH$34,Dati[Mese],Processing!C15)+SUMIFS(Dati[Uscite],Dati[Anno],Processing!$AH$35,Dati[Mese],Processing!C15)+SUMIFS(Dati[Uscite Fisse],Dati[Anno],Processing!$AH$35,Dati[Mese],Processing!C15)+SUMIFS(Dati[Altre Uscite],Dati[Anno],Processing!$AH$35,Dati[Mese],Processing!C15)+SUMIFS(Dati[Uscite],Dati[Anno],Processing!$AH$36,Dati[Mese],Processing!C15)+SUMIFS(Dati[Uscite Fisse],Dati[Anno],Processing!$AH$36,Dati[Mese],Processing!C15)+SUMIFS(Dati[Altre Uscite],Dati[Anno],Processing!$AH$36,Dati[Mese],Processing!C15)+SUMIFS(Dati[Uscite],Dati[Anno],Processing!$AH$37,Dati[Mese],Processing!C15)+SUMIFS(Dati[Uscite Fisse],Dati[Anno],Processing!$AH$37,Dati[Mese],Processing!C15)+SUMIFS(Dati[Altre Uscite],Dati[Anno],Processing!$AH$37,Dati[Mese],Processing!C15)+SUMIFS(Dati[Uscite],Dati[Anno],Processing!$AH$38,Dati[Mese],Processing!C15)+SUMIFS(Dati[Uscite Fisse],Dati[Anno],Processing!$AH$38,Dati[Mese],Processing!C15)+SUMIFS(Dati[Altre Uscite],Dati[Anno],Processing!$AH$38,Dati[Mese],Processing!C15)</f>
        <v>0</v>
      </c>
      <c r="F15" s="9">
        <f t="shared" si="7"/>
        <v>0</v>
      </c>
      <c r="G15" s="9">
        <f t="shared" si="8"/>
        <v>0</v>
      </c>
      <c r="J15" s="2"/>
      <c r="L15" s="28"/>
      <c r="R15" s="52">
        <f>AA30</f>
        <v>1800</v>
      </c>
      <c r="S15" s="10">
        <v>0.44250000000000006</v>
      </c>
      <c r="U15" s="57">
        <f>R15*S16</f>
        <v>0</v>
      </c>
      <c r="V15" s="1" t="str">
        <f>IFERROR(TEXT(Z28,"€0")&amp;""&amp;"/"&amp;TEXT(SUMIF(FinancialGoals[Mese],$F$3,FinancialGoals[Goal4]),"€0"),SUM(FinancialGoals[Goal4]))</f>
        <v>€0/€1800</v>
      </c>
      <c r="AA15" s="25"/>
      <c r="BI15" s="2"/>
    </row>
    <row r="16" spans="1:61" x14ac:dyDescent="0.35">
      <c r="A16" s="1">
        <v>2034</v>
      </c>
      <c r="B16" s="1">
        <v>12</v>
      </c>
      <c r="C16" s="8" t="s">
        <v>73</v>
      </c>
      <c r="D16" s="1">
        <f>SUMIFS(Dati[Entrate],Dati[Anno],Processing!$AH$27,Dati[Mese],Processing!C16)+SUMIFS(Dati[Entrate Fisse],Dati[Anno],Processing!$AH$27,Dati[Mese],Processing!C16)+SUMIFS(Dati[Altre Entrate],Dati[Anno],Processing!$AH$27,Dati[Mese],Processing!C16)+SUMIFS(Dati[Entrate],Dati[Anno],Processing!$AH$28,Dati[Mese],Processing!C16)+SUMIFS(Dati[Entrate Fisse],Dati[Anno],Processing!$AH$28,Dati[Mese],Processing!C16)+SUMIFS(Dati[Altre Entrate],Dati[Anno],Processing!$AH$28,Dati[Mese],Processing!C16)+SUMIFS(Dati[Entrate],Dati[Anno],Processing!$AH$29,Dati[Mese],Processing!C16)+SUMIFS(Dati[Entrate Fisse],Dati[Anno],Processing!$AH$29,Dati[Mese],Processing!C16)+SUMIFS(Dati[Altre Entrate],Dati[Anno],Processing!$AH$29,Dati[Mese],Processing!C16)+SUMIFS(Dati[Entrate],Dati[Anno],Processing!$AH$30,Dati[Mese],Processing!C16)+SUMIFS(Dati[Entrate Fisse],Dati[Anno],Processing!$AH$30,Dati[Mese],Processing!C16)+SUMIFS(Dati[Altre Entrate],Dati[Anno],Processing!$AH$30,Dati[Mese],Processing!C16)+SUMIFS(Dati[Entrate],Dati[Anno],Processing!$AH$31,Dati[Mese],Processing!C16)+SUMIFS(Dati[Entrate Fisse],Dati[Anno],Processing!$AH$31,Dati[Mese],Processing!C16)+SUMIFS(Dati[Altre Entrate],Dati[Anno],Processing!$AH$31,Dati[Mese],Processing!C16)+SUMIFS(Dati[Entrate],Dati[Anno],Processing!$AH$32,Dati[Mese],Processing!C16)+SUMIFS(Dati[Entrate Fisse],Dati[Anno],Processing!$AH$32,Dati[Mese],Processing!C16)+SUMIFS(Dati[Altre Entrate],Dati[Anno],Processing!$AH$32,Dati[Mese],Processing!C16)+SUMIFS(Dati[Entrate],Dati[Anno],Processing!$AH$33,Dati[Mese],Processing!C16)+SUMIFS(Dati[Entrate Fisse],Dati[Anno],Processing!$AH$33,Dati[Mese],Processing!C16)+SUMIFS(Dati[Altre Entrate],Dati[Anno],Processing!$AH$33,Dati[Mese],Processing!C16)+SUMIFS(Dati[Entrate],Dati[Anno],Processing!$AH$34,Dati[Mese],Processing!C16)+SUMIFS(Dati[Entrate Fisse],Dati[Anno],Processing!$AH$34,Dati[Mese],Processing!C16)+SUMIFS(Dati[Altre Entrate],Dati[Anno],Processing!$AH$34,Dati[Mese],Processing!C16)+SUMIFS(Dati[Entrate],Dati[Anno],Processing!$AH$35,Dati[Mese],Processing!C16)+SUMIFS(Dati[Entrate Fisse],Dati[Anno],Processing!$AH$35,Dati[Mese],Processing!C16)+SUMIFS(Dati[Altre Entrate],Dati[Anno],Processing!$AH$35,Dati[Mese],Processing!C16)+SUMIFS(Dati[Entrate],Dati[Anno],Processing!$AH$36,Dati[Mese],Processing!C16)+SUMIFS(Dati[Entrate Fisse],Dati[Anno],Processing!$AH$36,Dati[Mese],Processing!C16)+SUMIFS(Dati[Altre Entrate],Dati[Anno],Processing!$AH$36,Dati[Mese],Processing!C16)+SUMIFS(Dati[Entrate],Dati[Anno],Processing!$AH$37,Dati[Mese],Processing!C16)+SUMIFS(Dati[Entrate Fisse],Dati[Anno],Processing!$AH$37,Dati[Mese],Processing!C16)+SUMIFS(Dati[Altre Entrate],Dati[Anno],Processing!$AH$37,Dati[Mese],Processing!C16)+SUMIFS(Dati[Entrate],Dati[Anno],Processing!$AH$38,Dati[Mese],Processing!C16)+SUMIFS(Dati[Entrate Fisse],Dati[Anno],Processing!$AH$38,Dati[Mese],Processing!C16)+SUMIFS(Dati[Altre Entrate],Dati[Anno],Processing!$AH$38,Dati[Mese],Processing!C16)</f>
        <v>0</v>
      </c>
      <c r="E16" s="1">
        <f>SUMIFS(Dati[Uscite],Dati[Anno],Processing!$AH$27,Dati[Mese],Processing!C16)+SUMIFS(Dati[Uscite Fisse],Dati[Anno],Processing!$AH$27,Dati[Mese],Processing!C16)+SUMIFS(Dati[Altre Uscite],Dati[Anno],Processing!$AH$27,Dati[Mese],Processing!C16)+SUMIFS(Dati[Uscite],Dati[Anno],Processing!$AH$28,Dati[Mese],Processing!C16)+SUMIFS(Dati[Uscite Fisse],Dati[Anno],Processing!$AH$28,Dati[Mese],Processing!C16)+SUMIFS(Dati[Altre Uscite],Dati[Anno],Processing!$AH$28,Dati[Mese],Processing!C16)+SUMIFS(Dati[Uscite],Dati[Anno],Processing!$AH$29,Dati[Mese],Processing!C16)+SUMIFS(Dati[Uscite Fisse],Dati[Anno],Processing!$AH$29,Dati[Mese],Processing!C16)+SUMIFS(Dati[Altre Uscite],Dati[Anno],Processing!$AH$29,Dati[Mese],Processing!C16)+SUMIFS(Dati[Uscite],Dati[Anno],Processing!$AH$30,Dati[Mese],Processing!C16)+SUMIFS(Dati[Uscite Fisse],Dati[Anno],Processing!$AH$30,Dati[Mese],Processing!C16)+SUMIFS(Dati[Altre Uscite],Dati[Anno],Processing!$AH$30,Dati[Mese],Processing!C16)+SUMIFS(Dati[Uscite],Dati[Anno],Processing!$AH$31,Dati[Mese],Processing!C16)+SUMIFS(Dati[Uscite Fisse],Dati[Anno],Processing!$AH$31,Dati[Mese],Processing!C16)+SUMIFS(Dati[Altre Uscite],Dati[Anno],Processing!$AH$31,Dati[Mese],Processing!C16)+SUMIFS(Dati[Uscite],Dati[Anno],Processing!$AH$32,Dati[Mese],Processing!C16)+SUMIFS(Dati[Uscite Fisse],Dati[Anno],Processing!$AH$32,Dati[Mese],Processing!C16)+SUMIFS(Dati[Altre Uscite],Dati[Anno],Processing!$AH$32,Dati[Mese],Processing!C16)+SUMIFS(Dati[Uscite],Dati[Anno],Processing!$AH$33,Dati[Mese],Processing!C16)+SUMIFS(Dati[Uscite Fisse],Dati[Anno],Processing!$AH$33,Dati[Mese],Processing!C16)+SUMIFS(Dati[Altre Uscite],Dati[Anno],Processing!$AH$33,Dati[Mese],Processing!C16)+SUMIFS(Dati[Uscite],Dati[Anno],Processing!$AH$34,Dati[Mese],Processing!C16)+SUMIFS(Dati[Uscite Fisse],Dati[Anno],Processing!$AH$34,Dati[Mese],Processing!C16)+SUMIFS(Dati[Altre Uscite],Dati[Anno],Processing!$AH$34,Dati[Mese],Processing!C16)+SUMIFS(Dati[Uscite],Dati[Anno],Processing!$AH$35,Dati[Mese],Processing!C16)+SUMIFS(Dati[Uscite Fisse],Dati[Anno],Processing!$AH$35,Dati[Mese],Processing!C16)+SUMIFS(Dati[Altre Uscite],Dati[Anno],Processing!$AH$35,Dati[Mese],Processing!C16)+SUMIFS(Dati[Uscite],Dati[Anno],Processing!$AH$36,Dati[Mese],Processing!C16)+SUMIFS(Dati[Uscite Fisse],Dati[Anno],Processing!$AH$36,Dati[Mese],Processing!C16)+SUMIFS(Dati[Altre Uscite],Dati[Anno],Processing!$AH$36,Dati[Mese],Processing!C16)+SUMIFS(Dati[Uscite],Dati[Anno],Processing!$AH$37,Dati[Mese],Processing!C16)+SUMIFS(Dati[Uscite Fisse],Dati[Anno],Processing!$AH$37,Dati[Mese],Processing!C16)+SUMIFS(Dati[Altre Uscite],Dati[Anno],Processing!$AH$37,Dati[Mese],Processing!C16)+SUMIFS(Dati[Uscite],Dati[Anno],Processing!$AH$38,Dati[Mese],Processing!C16)+SUMIFS(Dati[Uscite Fisse],Dati[Anno],Processing!$AH$38,Dati[Mese],Processing!C16)+SUMIFS(Dati[Altre Uscite],Dati[Anno],Processing!$AH$38,Dati[Mese],Processing!C16)</f>
        <v>0</v>
      </c>
      <c r="F16" s="9">
        <f t="shared" si="7"/>
        <v>0</v>
      </c>
      <c r="G16" s="9">
        <f t="shared" si="8"/>
        <v>0</v>
      </c>
      <c r="R16" s="15">
        <v>8</v>
      </c>
      <c r="S16" s="16">
        <f>AVERAGE(S19,U19,W19,Y19)</f>
        <v>0</v>
      </c>
      <c r="U16" s="56" t="str">
        <f>Y23&amp;CHAR(10)&amp;W23&amp;CHAR(10)&amp;U23&amp;CHAR(10)&amp;S23</f>
        <v>Goal  1
Goal  2
Goal  3
Goal  4</v>
      </c>
      <c r="X16" s="10"/>
    </row>
    <row r="17" spans="2:58" x14ac:dyDescent="0.35">
      <c r="B17" s="8"/>
      <c r="C17" s="8"/>
      <c r="F17" s="9"/>
      <c r="G17" s="9"/>
      <c r="I17" s="1" t="s">
        <v>74</v>
      </c>
      <c r="J17" s="162">
        <f>SUM(I18:I22)</f>
        <v>0</v>
      </c>
      <c r="P17" s="2"/>
      <c r="R17" s="10">
        <f>AVERAGE(AB22:AE22)</f>
        <v>0.77083333333333326</v>
      </c>
      <c r="S17" s="10"/>
      <c r="T17" s="10"/>
      <c r="U17" s="10" t="str">
        <f>TEXT(W30,"€0")&amp;CHAR(10)&amp;TEXT(X30,"€0")&amp;CHAR(10)&amp;TEXT(Y30,"€0")&amp;CHAR(10)&amp;TEXT(Z30,"€0")</f>
        <v>€1000
€1250
€1500
€1800</v>
      </c>
      <c r="V17" s="10"/>
      <c r="W17" s="10"/>
      <c r="X17" s="10" t="str">
        <f>TEXT(W34,"0%")&amp;CHAR(10)&amp;TEXT(X34,"0%")&amp;CHAR(10)&amp;TEXT(Y34,"0%")&amp;CHAR(10)&amp;TEXT(Z34,"0%")</f>
        <v>0%
0%
0%
0%</v>
      </c>
      <c r="Y17" s="10"/>
      <c r="Z17" s="10"/>
      <c r="AB17" s="13"/>
      <c r="AC17" s="13"/>
      <c r="AD17" s="13"/>
      <c r="AE17" s="13"/>
    </row>
    <row r="18" spans="2:58" x14ac:dyDescent="0.35">
      <c r="B18" s="99" t="s">
        <v>75</v>
      </c>
      <c r="C18" s="100" t="s">
        <v>76</v>
      </c>
      <c r="D18" s="101" t="s">
        <v>77</v>
      </c>
      <c r="E18" s="102"/>
      <c r="F18" s="103" t="s">
        <v>78</v>
      </c>
      <c r="H18" s="1" t="s">
        <v>22</v>
      </c>
      <c r="I18" s="52">
        <f>IFERROR(GETPIVOTDATA("Sum of Inv. Business",Pivot!$AT$12),)</f>
        <v>0</v>
      </c>
      <c r="J18" s="10">
        <f>IFERROR(I18/$J$17,)</f>
        <v>0</v>
      </c>
      <c r="K18" s="10">
        <f>$J18</f>
        <v>0</v>
      </c>
      <c r="L18" s="10">
        <f t="shared" ref="L18:N22" si="9">$J18</f>
        <v>0</v>
      </c>
      <c r="M18" s="10">
        <f t="shared" si="9"/>
        <v>0</v>
      </c>
      <c r="N18" s="10">
        <f t="shared" si="9"/>
        <v>0</v>
      </c>
      <c r="R18" s="7" t="s">
        <v>79</v>
      </c>
      <c r="S18" s="1" t="b">
        <v>1</v>
      </c>
      <c r="AB18" s="1" t="s">
        <v>80</v>
      </c>
      <c r="AC18" s="13"/>
      <c r="AD18" s="13"/>
      <c r="AE18" s="13"/>
    </row>
    <row r="19" spans="2:58" x14ac:dyDescent="0.35">
      <c r="B19" s="104">
        <f t="array" ref="B19">INDEX($B$24:$C$27,MATCH($D19,$D$24:$D$27,0),COLUMN())</f>
        <v>0</v>
      </c>
      <c r="C19" s="10">
        <f>IFERROR(INDEX($B$24:$C$27,MATCH($D19,$D$24:$D$27,0),COLUMN()),0)</f>
        <v>0</v>
      </c>
      <c r="D19" s="52">
        <f>LARGE($D$24:$D$27,E19)</f>
        <v>0</v>
      </c>
      <c r="E19" s="1">
        <v>1</v>
      </c>
      <c r="F19" s="105">
        <f>IFERROR(D19/SUM($D$28:$D$29),)</f>
        <v>0</v>
      </c>
      <c r="H19" s="1" t="s">
        <v>23</v>
      </c>
      <c r="I19" s="52">
        <f>IFERROR(GETPIVOTDATA("Sum of Inv. Securities",Pivot!$AT$12),)</f>
        <v>0</v>
      </c>
      <c r="J19" s="10">
        <f t="shared" ref="J19:J22" si="10">IFERROR(I19/$J$17,)</f>
        <v>0</v>
      </c>
      <c r="K19" s="10">
        <f t="shared" ref="K19:K22" si="11">$J19</f>
        <v>0</v>
      </c>
      <c r="L19" s="10">
        <f t="shared" si="9"/>
        <v>0</v>
      </c>
      <c r="M19" s="10">
        <f t="shared" si="9"/>
        <v>0</v>
      </c>
      <c r="N19" s="10">
        <f t="shared" si="9"/>
        <v>0</v>
      </c>
      <c r="R19" s="10">
        <f>IF(S18,R17,NA())</f>
        <v>0.77083333333333326</v>
      </c>
      <c r="S19" s="26">
        <f>IF(Z28&lt;0,0/(Z28*Z28)*100,(1-S21)*Z28/Z30)</f>
        <v>0</v>
      </c>
      <c r="T19" s="26">
        <f>S19</f>
        <v>0</v>
      </c>
      <c r="U19" s="26">
        <f>IF(Y28&lt;0,0/(Y28*Y28)*100,(1-U21)*Y28/Y30)</f>
        <v>0</v>
      </c>
      <c r="V19" s="26">
        <f>U19</f>
        <v>0</v>
      </c>
      <c r="W19" s="9">
        <f>IF(X28&lt;0,0/(X28*X28)*100,(1-W21)*X28/X30)</f>
        <v>0</v>
      </c>
      <c r="X19" s="9">
        <f>W19</f>
        <v>0</v>
      </c>
      <c r="Y19" s="9">
        <f>(1-Y21)*W28/W30</f>
        <v>0</v>
      </c>
      <c r="Z19" s="10" t="s">
        <v>81</v>
      </c>
      <c r="AA19" s="19" t="s">
        <v>82</v>
      </c>
      <c r="AB19" s="52">
        <f>W30</f>
        <v>1000</v>
      </c>
      <c r="AC19" s="52">
        <f>X30</f>
        <v>1250</v>
      </c>
      <c r="AD19" s="52">
        <f>Y30</f>
        <v>1500</v>
      </c>
      <c r="AE19" s="52">
        <f>Z30</f>
        <v>1800</v>
      </c>
    </row>
    <row r="20" spans="2:58" x14ac:dyDescent="0.35">
      <c r="B20" s="104">
        <f t="array" ref="B20">INDEX($B$24:$C$27,MATCH($D20,$D$24:$D$27,0),COLUMN())</f>
        <v>0</v>
      </c>
      <c r="C20" s="10">
        <f>IFERROR(INDEX($B$24:$C$27,MATCH($D20,$D$24:$D$27,0),COLUMN()),0)</f>
        <v>0</v>
      </c>
      <c r="D20" s="52">
        <f>LARGE($D$24:$D$27,E20)</f>
        <v>0</v>
      </c>
      <c r="E20" s="1">
        <v>2</v>
      </c>
      <c r="F20" s="106"/>
      <c r="H20" s="1" t="s">
        <v>24</v>
      </c>
      <c r="I20" s="52">
        <f>IFERROR(GETPIVOTDATA("Sum of Inv. Gold",Pivot!$AT$12),)</f>
        <v>0</v>
      </c>
      <c r="J20" s="10">
        <f t="shared" si="10"/>
        <v>0</v>
      </c>
      <c r="K20" s="10">
        <f t="shared" si="11"/>
        <v>0</v>
      </c>
      <c r="L20" s="10">
        <f t="shared" si="9"/>
        <v>0</v>
      </c>
      <c r="M20" s="10">
        <f t="shared" si="9"/>
        <v>0</v>
      </c>
      <c r="N20" s="10">
        <f t="shared" si="9"/>
        <v>0</v>
      </c>
      <c r="R20" s="20">
        <f>IF(S18,1%,NA())</f>
        <v>0.01</v>
      </c>
      <c r="S20" s="9">
        <f>(1-S21)-S19</f>
        <v>1</v>
      </c>
      <c r="T20" s="9">
        <f t="shared" ref="T20:V22" si="12">S20</f>
        <v>1</v>
      </c>
      <c r="U20" s="9">
        <f>(1-U21)-U19</f>
        <v>0.83333333333333337</v>
      </c>
      <c r="V20" s="9">
        <f>U20</f>
        <v>0.83333333333333337</v>
      </c>
      <c r="W20" s="9">
        <f>(1-W21)-W19</f>
        <v>0.69444444444444442</v>
      </c>
      <c r="X20" s="9">
        <f t="shared" ref="X20:X22" si="13">W20</f>
        <v>0.69444444444444442</v>
      </c>
      <c r="Y20" s="9">
        <f>(1-Y21)-Y19</f>
        <v>0.55555555555555558</v>
      </c>
      <c r="Z20" s="10" t="s">
        <v>83</v>
      </c>
      <c r="AA20" s="21" t="s">
        <v>84</v>
      </c>
      <c r="AB20" s="52">
        <f>W28</f>
        <v>0</v>
      </c>
      <c r="AC20" s="52">
        <f>X28</f>
        <v>0</v>
      </c>
      <c r="AD20" s="52">
        <f>Y28</f>
        <v>0</v>
      </c>
      <c r="AE20" s="52">
        <f>Z28</f>
        <v>0</v>
      </c>
    </row>
    <row r="21" spans="2:58" x14ac:dyDescent="0.35">
      <c r="B21" s="104">
        <f t="array" ref="B21">INDEX($B$24:$C$27,MATCH($D21,$D$24:$D$27,0),COLUMN())</f>
        <v>0</v>
      </c>
      <c r="C21" s="10">
        <f t="array" ref="C21">IFERROR(INDEX($B$24:$C$27,MATCH($D21,$D$24:$D$27,0),COLUMN()),0)</f>
        <v>0</v>
      </c>
      <c r="D21" s="52">
        <f t="shared" ref="D21:D22" si="14">LARGE($D$24:$D$27,E21)</f>
        <v>0</v>
      </c>
      <c r="E21" s="1">
        <v>3</v>
      </c>
      <c r="F21" s="106"/>
      <c r="H21" s="1" t="s">
        <v>85</v>
      </c>
      <c r="I21" s="52">
        <f>IFERROR(GETPIVOTDATA("Sum of Inv. Real Estate",Pivot!$AT$12),)</f>
        <v>0</v>
      </c>
      <c r="J21" s="10">
        <f t="shared" si="10"/>
        <v>0</v>
      </c>
      <c r="K21" s="10">
        <f t="shared" si="11"/>
        <v>0</v>
      </c>
      <c r="L21" s="10">
        <f t="shared" si="9"/>
        <v>0</v>
      </c>
      <c r="M21" s="10">
        <f t="shared" si="9"/>
        <v>0</v>
      </c>
      <c r="N21" s="10">
        <f t="shared" si="9"/>
        <v>0</v>
      </c>
      <c r="R21" s="10">
        <f>1-SUM(R19:R20)</f>
        <v>0.21916666666666673</v>
      </c>
      <c r="S21" s="9">
        <f>1-Z30/W31</f>
        <v>0</v>
      </c>
      <c r="T21" s="9">
        <f t="shared" si="12"/>
        <v>0</v>
      </c>
      <c r="U21" s="9">
        <f>1-Y30/W31</f>
        <v>0.16666666666666663</v>
      </c>
      <c r="V21" s="9">
        <f t="shared" si="12"/>
        <v>0.16666666666666663</v>
      </c>
      <c r="W21" s="9">
        <f>1-X30/W31</f>
        <v>0.30555555555555558</v>
      </c>
      <c r="X21" s="9">
        <f t="shared" si="13"/>
        <v>0.30555555555555558</v>
      </c>
      <c r="Y21" s="9">
        <f>1-W30/W31</f>
        <v>0.44444444444444442</v>
      </c>
      <c r="Z21" s="10" t="s">
        <v>86</v>
      </c>
      <c r="AB21" s="22" t="s">
        <v>87</v>
      </c>
      <c r="AC21" s="22" t="s">
        <v>88</v>
      </c>
      <c r="AD21" s="22" t="s">
        <v>89</v>
      </c>
      <c r="AE21" s="22" t="s">
        <v>90</v>
      </c>
    </row>
    <row r="22" spans="2:58" x14ac:dyDescent="0.35">
      <c r="B22" s="104">
        <f t="array" ref="B22">INDEX($B$24:$C$27,MATCH($D22,$D$24:$D$27,0),COLUMN())</f>
        <v>0</v>
      </c>
      <c r="C22" s="10">
        <f t="array" ref="C22">IFERROR(INDEX($B$24:$C$27,MATCH($D22,$D$24:$D$27,0),COLUMN()),0)</f>
        <v>0</v>
      </c>
      <c r="D22" s="52">
        <f t="shared" si="14"/>
        <v>0</v>
      </c>
      <c r="E22" s="1">
        <v>4</v>
      </c>
      <c r="F22" s="106"/>
      <c r="H22" s="1" t="s">
        <v>26</v>
      </c>
      <c r="I22" s="52">
        <f>IFERROR(GETPIVOTDATA("Sum of Inv. Cryptocurrency",Pivot!$AT$12),)</f>
        <v>0</v>
      </c>
      <c r="J22" s="10">
        <f t="shared" si="10"/>
        <v>0</v>
      </c>
      <c r="K22" s="10">
        <f t="shared" si="11"/>
        <v>0</v>
      </c>
      <c r="L22" s="10">
        <f t="shared" si="9"/>
        <v>0</v>
      </c>
      <c r="M22" s="10">
        <f t="shared" si="9"/>
        <v>0</v>
      </c>
      <c r="N22" s="10">
        <f t="shared" si="9"/>
        <v>0</v>
      </c>
      <c r="R22" s="10">
        <f>IF(S18,S22,NA())</f>
        <v>0.34</v>
      </c>
      <c r="S22" s="9">
        <v>0.34</v>
      </c>
      <c r="T22" s="9">
        <f t="shared" si="12"/>
        <v>0.34</v>
      </c>
      <c r="U22" s="9">
        <v>0.34</v>
      </c>
      <c r="V22" s="9">
        <f t="shared" si="12"/>
        <v>0.34</v>
      </c>
      <c r="W22" s="9">
        <v>0.34</v>
      </c>
      <c r="X22" s="9">
        <f t="shared" si="13"/>
        <v>0.34</v>
      </c>
      <c r="Y22" s="9">
        <v>0.34</v>
      </c>
      <c r="Z22" s="10"/>
      <c r="AB22" s="10">
        <f>S19+S20</f>
        <v>1</v>
      </c>
      <c r="AC22" s="10">
        <f>U19+U20</f>
        <v>0.83333333333333337</v>
      </c>
      <c r="AD22" s="10">
        <f>W19+W20</f>
        <v>0.69444444444444442</v>
      </c>
      <c r="AE22" s="10">
        <f>Y19+Y20</f>
        <v>0.55555555555555558</v>
      </c>
      <c r="AG22" s="25"/>
      <c r="AI22" s="25"/>
      <c r="AJ22" s="25"/>
    </row>
    <row r="23" spans="2:58" ht="15.5" x14ac:dyDescent="0.35">
      <c r="B23" s="107" t="s">
        <v>91</v>
      </c>
      <c r="D23" s="13"/>
      <c r="F23" s="106"/>
      <c r="J23" s="10">
        <f t="shared" ref="J23:N23" si="15">SUM(J18:J22)</f>
        <v>0</v>
      </c>
      <c r="K23" s="10">
        <f t="shared" si="15"/>
        <v>0</v>
      </c>
      <c r="L23" s="10">
        <f t="shared" si="15"/>
        <v>0</v>
      </c>
      <c r="M23" s="10">
        <f t="shared" si="15"/>
        <v>0</v>
      </c>
      <c r="N23" s="10">
        <f t="shared" si="15"/>
        <v>0</v>
      </c>
      <c r="S23" s="22" t="s">
        <v>92</v>
      </c>
      <c r="U23" s="22" t="s">
        <v>93</v>
      </c>
      <c r="W23" s="22" t="s">
        <v>94</v>
      </c>
      <c r="Y23" s="22" t="s">
        <v>95</v>
      </c>
      <c r="AB23" s="10"/>
      <c r="AC23" s="10"/>
      <c r="AD23" s="10"/>
      <c r="AG23" s="25"/>
      <c r="AI23" s="25"/>
      <c r="AJ23" s="25"/>
      <c r="AT23"/>
      <c r="AU23"/>
      <c r="AV23"/>
      <c r="AW23"/>
      <c r="AX23"/>
      <c r="AY23"/>
      <c r="AZ23"/>
      <c r="BA23"/>
      <c r="BB23"/>
      <c r="BC23"/>
      <c r="BD23"/>
      <c r="BE23"/>
      <c r="BF23"/>
    </row>
    <row r="24" spans="2:58" ht="15.5" x14ac:dyDescent="0.35">
      <c r="B24" s="104" t="s">
        <v>233</v>
      </c>
      <c r="C24" s="10">
        <v>0</v>
      </c>
      <c r="D24" s="52">
        <f>GETPIVOTDATA(""&amp;B24,Pivot!$AD$12)</f>
        <v>0</v>
      </c>
      <c r="E24" s="9">
        <f>IFERROR(D24/SUM($D$28:$D$29),)</f>
        <v>0</v>
      </c>
      <c r="F24" s="106"/>
      <c r="Q24" s="2"/>
      <c r="T24" s="1">
        <f>Z29/Z30</f>
        <v>1</v>
      </c>
      <c r="AT24"/>
      <c r="AU24"/>
      <c r="AV24"/>
      <c r="AW24"/>
      <c r="AX24"/>
      <c r="AY24"/>
      <c r="AZ24"/>
      <c r="BA24"/>
      <c r="BB24"/>
      <c r="BC24"/>
      <c r="BD24"/>
      <c r="BE24"/>
      <c r="BF24"/>
    </row>
    <row r="25" spans="2:58" ht="15.5" x14ac:dyDescent="0.35">
      <c r="B25" s="104" t="s">
        <v>234</v>
      </c>
      <c r="C25" s="10">
        <v>0</v>
      </c>
      <c r="D25" s="52">
        <f>GETPIVOTDATA(""&amp;B25,Pivot!$AD$12)</f>
        <v>0</v>
      </c>
      <c r="E25" s="9">
        <f>IFERROR(D25/SUM($D$28:$D$29),)</f>
        <v>0</v>
      </c>
      <c r="F25" s="106"/>
      <c r="I25" s="111"/>
      <c r="J25" s="297" t="s">
        <v>96</v>
      </c>
      <c r="K25" s="297" t="s">
        <v>97</v>
      </c>
      <c r="L25" s="115"/>
      <c r="M25" s="117" t="s">
        <v>98</v>
      </c>
      <c r="N25" s="118"/>
      <c r="O25" s="118"/>
      <c r="P25" s="119">
        <f t="array" ref="P25">IFERROR(INDEX(Dati[Leasing Macchina], MATCH(1, --(ROW(Dati[Leasing Macchina])&gt;=MATCH(TEXT($AH$27, "0"),Data!$F:$F, 0)) * --ISNUMBER(Dati[Leasing Macchina]), 0)), 0)</f>
        <v>0</v>
      </c>
      <c r="Q25" s="118"/>
      <c r="R25" s="99"/>
      <c r="S25" s="102"/>
      <c r="T25" s="102">
        <f>Z30/W30</f>
        <v>1.8</v>
      </c>
      <c r="U25" s="103"/>
      <c r="AF25" s="10"/>
      <c r="AG25" s="10"/>
      <c r="AH25" s="195"/>
      <c r="AI25" s="196"/>
      <c r="AJ25" s="196"/>
      <c r="AK25" s="196"/>
      <c r="AL25" s="196" t="s">
        <v>99</v>
      </c>
      <c r="AM25" s="196"/>
      <c r="AN25" s="197"/>
      <c r="AO25" s="197"/>
      <c r="AP25" s="197"/>
      <c r="AQ25" s="197"/>
      <c r="AR25" s="197"/>
      <c r="AS25" s="198"/>
      <c r="AT25"/>
      <c r="AU25"/>
      <c r="AV25"/>
      <c r="AW25"/>
      <c r="AX25"/>
      <c r="AY25"/>
      <c r="AZ25"/>
      <c r="BA25"/>
      <c r="BB25"/>
      <c r="BC25"/>
      <c r="BD25"/>
      <c r="BE25"/>
      <c r="BF25"/>
    </row>
    <row r="26" spans="2:58" ht="15.5" x14ac:dyDescent="0.35">
      <c r="B26" s="104" t="s">
        <v>100</v>
      </c>
      <c r="C26" s="10">
        <v>0</v>
      </c>
      <c r="D26" s="52">
        <f>GETPIVOTDATA(""&amp;B26,Pivot!$AD$12)</f>
        <v>0</v>
      </c>
      <c r="E26" s="9">
        <f>IFERROR(D26/SUM($D$28:$D$29),)</f>
        <v>0</v>
      </c>
      <c r="F26" s="106"/>
      <c r="G26" s="61"/>
      <c r="I26" s="112" t="s">
        <v>8</v>
      </c>
      <c r="J26" s="298"/>
      <c r="K26" s="298"/>
      <c r="L26" s="1" t="s">
        <v>101</v>
      </c>
      <c r="M26" s="120" t="s">
        <v>102</v>
      </c>
      <c r="N26" s="6" t="s">
        <v>8</v>
      </c>
      <c r="O26" s="6" t="s">
        <v>103</v>
      </c>
      <c r="P26" s="6" t="s">
        <v>104</v>
      </c>
      <c r="Q26" s="6" t="s">
        <v>105</v>
      </c>
      <c r="R26" s="124" t="s">
        <v>8</v>
      </c>
      <c r="S26" s="6" t="s">
        <v>106</v>
      </c>
      <c r="U26" s="125" t="s">
        <v>101</v>
      </c>
      <c r="W26" s="1" t="s">
        <v>107</v>
      </c>
      <c r="AA26" s="1" t="s">
        <v>108</v>
      </c>
      <c r="AB26" s="1" t="s">
        <v>109</v>
      </c>
      <c r="AC26" s="9"/>
      <c r="AD26" s="9"/>
      <c r="AE26" s="9"/>
      <c r="AH26" s="199" t="s">
        <v>39</v>
      </c>
      <c r="AI26" s="7" t="s">
        <v>40</v>
      </c>
      <c r="AJ26" s="7" t="s">
        <v>201</v>
      </c>
      <c r="AK26" s="7" t="s">
        <v>8</v>
      </c>
      <c r="AL26" s="21" t="s">
        <v>110</v>
      </c>
      <c r="AM26" s="21" t="s">
        <v>111</v>
      </c>
      <c r="AN26" s="1" t="s">
        <v>101</v>
      </c>
      <c r="AP26" s="7" t="s">
        <v>8</v>
      </c>
      <c r="AQ26" s="21" t="s">
        <v>112</v>
      </c>
      <c r="AR26" s="21" t="s">
        <v>113</v>
      </c>
      <c r="AS26" s="200" t="s">
        <v>101</v>
      </c>
      <c r="AT26"/>
      <c r="AU26"/>
      <c r="AV26"/>
      <c r="AW26"/>
      <c r="AX26"/>
      <c r="AY26"/>
      <c r="AZ26"/>
      <c r="BA26"/>
      <c r="BB26"/>
      <c r="BC26"/>
      <c r="BD26"/>
      <c r="BE26"/>
      <c r="BF26"/>
    </row>
    <row r="27" spans="2:58" ht="15.5" x14ac:dyDescent="0.35">
      <c r="B27" s="104" t="s">
        <v>114</v>
      </c>
      <c r="C27" s="10">
        <v>0</v>
      </c>
      <c r="D27" s="52">
        <f>GETPIVOTDATA(""&amp;B27,Pivot!$AD$12)</f>
        <v>0</v>
      </c>
      <c r="E27" s="9">
        <f>IFERROR(D27/SUM($D$28:$D$29),)</f>
        <v>0</v>
      </c>
      <c r="G27" s="164" t="s">
        <v>53</v>
      </c>
      <c r="H27" s="165">
        <v>31</v>
      </c>
      <c r="I27" s="113">
        <v>1</v>
      </c>
      <c r="J27" s="1">
        <f t="array" ref="J27">IFERROR(GETPIVOTDATA(""&amp;$O$3,Pivot!$B$12,""&amp;$I$26,I27)+GETPIVOTDATA(""&amp;$O$4,Pivot!$B$12,""&amp;$I$26,I27)+GETPIVOTDATA(""&amp;$O$5,Pivot!$B$12,""&amp;$I$26,I27),NA())</f>
        <v>0</v>
      </c>
      <c r="K27" s="1">
        <f t="array" ref="K27">IFERROR(GETPIVOTDATA(""&amp;$O$6,Pivot!$B$12,""&amp;$I$26,I27)+GETPIVOTDATA(""&amp;$O$7,Pivot!$B$12,""&amp;$I$26,I27)+GETPIVOTDATA(""&amp;$O$8,Pivot!$B$12,""&amp;$I$26,I27),NA())</f>
        <v>0</v>
      </c>
      <c r="L27">
        <f>IFERROR(GETPIVOTDATA(""&amp;$O$6,Pivot!$B$12,""&amp;$I$26,I27)+GETPIVOTDATA(""&amp;$O$7,Pivot!$B$12,""&amp;$I$26,I27)+GETPIVOTDATA(""&amp;$O$8,Pivot!$B$12,""&amp;$I$26,I27),NA())</f>
        <v>0</v>
      </c>
      <c r="M27" s="120">
        <f>IF(ISNA(J27),0,I27)</f>
        <v>1</v>
      </c>
      <c r="N27" s="1">
        <f t="shared" ref="N27:N57" si="16">I27</f>
        <v>1</v>
      </c>
      <c r="O27" s="52">
        <f>IFERROR(GETPIVOTDATA("Totale Portfolio",Pivot!$BA$12,"Giorno",N27),NA())</f>
        <v>0</v>
      </c>
      <c r="P27" s="52">
        <f t="array" ref="P27">IFERROR(INDEX(Dati[Leasing Macchina], MATCH(1, --(ROW(Dati[Leasing Macchina])&gt;=MATCH(TEXT($AH$27, "0"),Data!$F:$F, 0)) * --ISNUMBER(Dati[Leasing Macchina]), 0)), 0)</f>
        <v>0</v>
      </c>
      <c r="Q27" s="97" t="e">
        <f>IF(NOT(ISNA(J27)),NA(),GETPIVOTDATA(""&amp;Dati[[#Headers],[Leasing Macchina]],Pivot!AD12,""&amp;$N$26,Processing!N27))</f>
        <v>#N/A</v>
      </c>
      <c r="R27" s="107">
        <f t="shared" ref="R27:R57" si="17">I27</f>
        <v>1</v>
      </c>
      <c r="S27" s="52" t="e">
        <f>IFERROR(GETPIVOTDATA(""&amp;Dati[[#Headers],[Consumer Credit]],Pivot!AD12,""&amp;$R$26,R27)+GETPIVOTDATA(""&amp;Dati[[#Headers],[Credit Card]],Pivot!AD12,""&amp;$R$26,R27)+GETPIVOTDATA(""&amp;#REF!,Pivot!AD12,""&amp;$R$26,R27)+GETPIVOTDATA(""&amp;#REF!,Pivot!AD12,""&amp;$R$26,R27),NA())</f>
        <v>#N/A</v>
      </c>
      <c r="T27" s="52" t="e">
        <f>(S27&gt;0)*$D$29</f>
        <v>#N/A</v>
      </c>
      <c r="U27" s="106" t="e">
        <f>ISNUMBER(R27)*GETPIVOTDATA(""&amp;Dati[[#Headers],[Consumer Credit]],Pivot!AD12,""&amp;$R$26,R27)+GETPIVOTDATA(""&amp;Dati[[#Headers],[Credit Card]],Pivot!AD12,""&amp;$R$26,R27)+GETPIVOTDATA(""&amp;#REF!,Pivot!AD12,""&amp;$R$26,R27)+GETPIVOTDATA(""&amp;#REF!,Pivot!AD12,""&amp;$R$26,R27)</f>
        <v>#REF!</v>
      </c>
      <c r="V27" s="6" t="s">
        <v>115</v>
      </c>
      <c r="W27" s="6">
        <v>1</v>
      </c>
      <c r="X27" s="6">
        <v>2</v>
      </c>
      <c r="Y27" s="6">
        <v>3</v>
      </c>
      <c r="Z27" s="6">
        <v>4</v>
      </c>
      <c r="AA27" s="22" t="s">
        <v>116</v>
      </c>
      <c r="AB27" s="22" t="s">
        <v>87</v>
      </c>
      <c r="AC27" s="22" t="s">
        <v>88</v>
      </c>
      <c r="AD27" s="22" t="s">
        <v>89</v>
      </c>
      <c r="AE27" s="22" t="s">
        <v>90</v>
      </c>
      <c r="AH27" s="201">
        <v>2025</v>
      </c>
      <c r="AI27" s="84" t="s">
        <v>61</v>
      </c>
      <c r="AJ27" s="85">
        <f>IF(AI27&lt;&gt;"",MATCH(AI27,$C$5:$C$16,0),"")</f>
        <v>5</v>
      </c>
      <c r="AK27" s="1">
        <f t="shared" ref="AK27:AK57" si="18">I27</f>
        <v>1</v>
      </c>
      <c r="AL27">
        <f>IFERROR(GETPIVOTDATA(""&amp;$O$3,Pivot!$B$12,""&amp;$AK$26,AK27)+GETPIVOTDATA(""&amp;$O$4,Pivot!$B$12,""&amp;$AK$26,AK27)+GETPIVOTDATA(""&amp;$O$5,Pivot!$B$12,""&amp;$AK$26,AK27),NA())</f>
        <v>0</v>
      </c>
      <c r="AM27">
        <f>IFERROR(GETPIVOTDATA(""&amp;$O$3,Pivot!$B$12,""&amp;$AK$26,AK27)+GETPIVOTDATA(""&amp;$O$5,Pivot!$B$12,""&amp;$AK$26,AK27),NA())</f>
        <v>0</v>
      </c>
      <c r="AN27">
        <f>IFERROR(GETPIVOTDATA(""&amp;$O$3,Pivot!$B$12,""&amp;$AK$26,AK27)+GETPIVOTDATA(""&amp;$O$4,Pivot!$B$12,""&amp;$AK$26,AK27)+GETPIVOTDATA(""&amp;$O$5,Pivot!$B$12,""&amp;$AK$26,AK27),NA())</f>
        <v>0</v>
      </c>
      <c r="AP27" s="1">
        <f t="shared" ref="AP27:AP57" si="19">I27</f>
        <v>1</v>
      </c>
      <c r="AQ27">
        <f>IFERROR(GETPIVOTDATA(""&amp;$O$6,Pivot!$B$12,""&amp;$AP$26,AP27)+GETPIVOTDATA(""&amp;$O$7,Pivot!$B$12,""&amp;$AP$26,AP27)+GETPIVOTDATA(""&amp;$O$8,Pivot!$B$12,""&amp;$AP$26,AP27),NA())</f>
        <v>0</v>
      </c>
      <c r="AR27">
        <f>IFERROR(GETPIVOTDATA(""&amp;$O$6,Pivot!$B$12,""&amp;$AP$26,AP27)+GETPIVOTDATA(""&amp;$O$8,Pivot!$B$12,""&amp;$AP$26,AP27),NA())</f>
        <v>0</v>
      </c>
      <c r="AS27" s="202">
        <f>IFERROR(GETPIVOTDATA(""&amp;$O$6,Pivot!$B$12,""&amp;$AP$26,AP27)+GETPIVOTDATA(""&amp;$O$7,Pivot!$B$12,""&amp;$AP$26,AP27)+GETPIVOTDATA(""&amp;$O$8,Pivot!$B$12,""&amp;$AP$26,AP27),NA())</f>
        <v>0</v>
      </c>
      <c r="AT27"/>
      <c r="AU27"/>
      <c r="AV27"/>
      <c r="AW27"/>
      <c r="AX27"/>
      <c r="AY27"/>
      <c r="AZ27"/>
      <c r="BA27"/>
      <c r="BB27"/>
      <c r="BC27"/>
      <c r="BD27"/>
      <c r="BE27"/>
      <c r="BF27"/>
    </row>
    <row r="28" spans="2:58" ht="15.5" x14ac:dyDescent="0.35">
      <c r="B28" s="104" t="s">
        <v>117</v>
      </c>
      <c r="C28" s="1" t="s">
        <v>118</v>
      </c>
      <c r="D28" s="52">
        <f>SUM(D24:D27)</f>
        <v>0</v>
      </c>
      <c r="G28" s="166" t="s">
        <v>54</v>
      </c>
      <c r="H28" s="167">
        <v>29</v>
      </c>
      <c r="I28" s="113">
        <v>2</v>
      </c>
      <c r="J28" s="1">
        <f t="array" ref="J28">IFERROR(GETPIVOTDATA(""&amp;$O$3,Pivot!$B$12,""&amp;$I$26,I28)+GETPIVOTDATA(""&amp;$O$4,Pivot!$B$12,""&amp;$I$26,I28)+GETPIVOTDATA(""&amp;$O$5,Pivot!$B$12,""&amp;$I$26,I28),NA())</f>
        <v>0</v>
      </c>
      <c r="K28" s="1">
        <f t="array" ref="K28">IFERROR(GETPIVOTDATA(""&amp;$O$6,Pivot!$B$12,""&amp;$I$26,I28)+GETPIVOTDATA(""&amp;$O$7,Pivot!$B$12,""&amp;$I$26,I28)+GETPIVOTDATA(""&amp;$O$8,Pivot!$B$12,""&amp;$I$26,I28),NA())</f>
        <v>3.73</v>
      </c>
      <c r="L28">
        <f>IFERROR(GETPIVOTDATA(""&amp;$O$6,Pivot!$B$12,""&amp;$I$26,I28)+GETPIVOTDATA(""&amp;$O$7,Pivot!$B$12,""&amp;$I$26,I28)+GETPIVOTDATA(""&amp;$O$8,Pivot!$B$12,""&amp;$I$26,I28),NA())</f>
        <v>3.73</v>
      </c>
      <c r="M28" s="120">
        <f t="shared" ref="M28:M57" si="20">IF(ISNA(J28),0,I28)</f>
        <v>2</v>
      </c>
      <c r="N28" s="1">
        <f t="shared" si="16"/>
        <v>2</v>
      </c>
      <c r="O28" s="52">
        <f>IFERROR(GETPIVOTDATA("Totale Portfolio",Pivot!$BA$12,"Giorno",N28),NA())</f>
        <v>0</v>
      </c>
      <c r="P28" s="52">
        <f t="array" ref="P28">IFERROR(INDEX(Dati[Leasing Macchina], MATCH(1, --(ROW(Dati[Leasing Macchina])&gt;=MATCH(TEXT($AH$27, "0"),Data!$F:$F, 0)) * --ISNUMBER(Dati[Leasing Macchina]), 0)), 0)</f>
        <v>0</v>
      </c>
      <c r="Q28" s="97" t="e">
        <f>IF(NOT(ISNA(J28)),NA(),GETPIVOTDATA(""&amp;Dati[[#Headers],[Leasing Macchina]],Pivot!AD13,""&amp;$N$26,Processing!N28))</f>
        <v>#N/A</v>
      </c>
      <c r="R28" s="107">
        <f t="shared" si="17"/>
        <v>2</v>
      </c>
      <c r="S28" s="52" t="e">
        <f>IFERROR(GETPIVOTDATA(""&amp;Dati[[#Headers],[Consumer Credit]],Pivot!AD13,""&amp;$R$26,R28)+GETPIVOTDATA(""&amp;Dati[[#Headers],[Credit Card]],Pivot!AD13,""&amp;$R$26,R28)+GETPIVOTDATA(""&amp;#REF!,Pivot!AD13,""&amp;$R$26,R28)+GETPIVOTDATA(""&amp;#REF!,Pivot!AD13,""&amp;$R$26,R28),NA())</f>
        <v>#N/A</v>
      </c>
      <c r="T28" s="52" t="e">
        <f t="shared" ref="T28:T57" si="21">(S28&gt;0)*$D$29</f>
        <v>#N/A</v>
      </c>
      <c r="U28" s="106" t="e">
        <f>ISNUMBER(R28)*GETPIVOTDATA(""&amp;Dati[[#Headers],[Consumer Credit]],Pivot!AD13,""&amp;$R$26,R28)+GETPIVOTDATA(""&amp;Dati[[#Headers],[Credit Card]],Pivot!AD13,""&amp;$R$26,R28)+GETPIVOTDATA(""&amp;#REF!,Pivot!AD13,""&amp;$R$26,R28)+GETPIVOTDATA(""&amp;#REF!,Pivot!AD13,""&amp;$R$26,R28)</f>
        <v>#REF!</v>
      </c>
      <c r="V28" s="6" t="s">
        <v>81</v>
      </c>
      <c r="W28" s="52">
        <f>SUM(IFERROR(INDEX($AB$34:$AE$45,AJ27,$W$27),0),IFERROR(INDEX($AB$34:$AE$45,AJ28,$W$27),0),IFERROR(INDEX($AB$34:$AE$45,AJ29,$W$27),0),IFERROR(INDEX($AB$34:$AE$45,AJ30,$W$27),0),IFERROR(INDEX($AB$34:$AE$45,AJ31,$W$27),0),IFERROR(INDEX($AB$34:$AE$45,AJ32,$W$27),0),IFERROR(INDEX($AB$34:$AE$45,AJ33,$W$27),0),IFERROR(INDEX($AB$34:$AE$45,AJ34,$W$27),0),IFERROR(INDEX($AB$34:$AE$45,AJ35,$W$27),0),IFERROR(INDEX($AB$34:$AE$45,AJ36,$W$27),0),IFERROR(INDEX($AB$34:$AE$45,AJ37,$W$27),0),IFERROR(INDEX($AB$34:$AE$45,AJ38,$W$27),0))</f>
        <v>0</v>
      </c>
      <c r="X28" s="52">
        <f>IF(SUM(IFERROR(INDEX($AB$34:$AE$45,AJ27,$X$27),0),IFERROR(INDEX($AB$34:$AE$45,AJ28,$X$27),0),IFERROR(INDEX($AB$34:$AE$45,AJ29,$X$27),0),IFERROR(INDEX($AB$34:$AE$45,AJ30,$X$27),0),IFERROR(INDEX($AB$34:$AE$45,AJ31,$X$27),0),IFERROR(INDEX($AB$34:$AE$45,AJ32,$X$27),0),IFERROR(INDEX($AB$34:$AE$45,AJ33,$X$27),0),IFERROR(INDEX($AB$34:$AE$45,AJ34,$X$27),0),IFERROR(INDEX($AB$34:$AE$45,AJ35,$X$27),0),IFERROR(INDEX($AB$34:$AE$45,AJ36,$X$27),0),IFERROR(INDEX($AB$34:$AE$45,AJ37,$X$27),0),IFERROR(INDEX($AB$34:$AE$45,AJ38,$X$27),0))&lt;=0,0,SUM(IFERROR(INDEX($AB$34:$AE$45,AJ27,$X$27),0),IFERROR(INDEX($AB$34:$AE$45,AJ28,$X$27),0),IFERROR(INDEX($AB$34:$AE$45,AJ29,$X$27),0),IFERROR(INDEX($AB$34:$AE$45,AJ30,$X$27),0),IFERROR(INDEX($AB$34:$AE$45,AJ31,$X$27),0),IFERROR(INDEX($AB$34:$AE$45,AJ32,$X$27),0),IFERROR(INDEX($AB$34:$AE$45,AJ33,$X$27),0),IFERROR(INDEX($AB$34:$AE$45,AJ34,$X$27),0),IFERROR(INDEX($AB$34:$AE$45,AJ35,$X$27),0),IFERROR(INDEX($AB$34:$AE$45,AJ36,$X$27),0),IFERROR(INDEX($AB$34:$AE$45,AJ37,$X$27),0),IFERROR(INDEX($AB$34:$AE$45,AJ38,$X$27),0)))</f>
        <v>0</v>
      </c>
      <c r="Y28" s="52">
        <f>IF(SUM(IFERROR(INDEX($AB$34:$AE$45,AJ27,$Y$27),0),IFERROR(INDEX($AB$34:$AE$45,AJ28,$Y$27),0),IFERROR(INDEX($AB$34:$AE$45,AJ29,$Y$27),0),IFERROR(INDEX($AB$34:$AE$45,AJ30,$Y$27),0),IFERROR(INDEX($AB$34:$AE$45,AJ31,$Y$27),0),IFERROR(INDEX($AB$34:$AE$45,AJ32,$Y$27),0),IFERROR(INDEX($AB$34:$AE$45,AJ33,$Y$27),0),IFERROR(INDEX($AB$34:$AE$45,AJ34,$Y$27),0),IFERROR(INDEX($AB$34:$AE$45,AJ35,$Y$27),0),IFERROR(INDEX($AB$34:$AE$45,AJ36,$Y$27),0),IFERROR(INDEX($AB$34:$AE$45,AJ37,$Y$27),0),IFERROR(INDEX($AB$34:$AE$45,AJ38,$Y$27),0))&lt;=0,0,SUM(IFERROR(INDEX($AB$34:$AE$45,AJ27,$Y$27),0),IFERROR(INDEX($AB$34:$AE$45,AJ28,$Y$27),0),IFERROR(INDEX($AB$34:$AE$45,AJ29,$Y$27),0),IFERROR(INDEX($AB$34:$AE$45,AJ30,$Y$27),0),IFERROR(INDEX($AB$34:$AE$45,AJ31,$Y$27),0),IFERROR(INDEX($AB$34:$AE$45,AJ32,$Y$27),0),IFERROR(INDEX($AB$34:$AE$45,AJ33,$Y$27),0),IFERROR(INDEX($AB$34:$AE$45,AJ34,$Y$27),0),IFERROR(INDEX($AB$34:$AE$45,AJ35,$Y$27),0),IFERROR(INDEX($AB$34:$AE$45,AJ36,$Y$27),0),IFERROR(INDEX($AB$34:$AE$45,AJ37,$Y$27),0),IFERROR(INDEX($AB$34:$AE$45,AJ38,$Y$27),0)))</f>
        <v>0</v>
      </c>
      <c r="Z28" s="52">
        <f>IF(SUM(IFERROR(INDEX($AB$34:$AE$45,AJ27,$Z$27),0),IFERROR(INDEX($AB$34:$AE$45,AJ28,$Z$27),0),IFERROR(INDEX($AB$34:$AE$45,AJ29,$Z$27),0),IFERROR(INDEX($AB$34:$AE$45,AJ30,$Z$27),0),IFERROR(INDEX($AB$34:$AE$45,AJ31,$Z$27),0),IFERROR(INDEX($AB$34:$AE$45,AJ32,$Z$27),0),IFERROR(INDEX($AB$34:$AE$45,AJ33,$Z$27),0),IFERROR(INDEX($AB$34:$AE$45,AJ34,$Z$27),0),IFERROR(INDEX($AB$34:$AE$45,AJ35,$Z$27),0),IFERROR(INDEX($AB$34:$AE$45,AJ36,$Z$27),0),IFERROR(INDEX($AB$34:$AE$45,AJ37,$Z$27),0),IFERROR(INDEX($AB$34:$AE$45,AJ38,$Z$27),0))&lt;=0,0,SUM(IFERROR(INDEX($AB$34:$AE$45,AJ27,$Z$27),0),IFERROR(INDEX($AB$34:$AE$45,AJ28,$Z$27),0),IFERROR(INDEX($AB$34:$AE$45,AJ29,$Z$27),0),IFERROR(INDEX($AB$34:$AE$45,AJ30,$Z$27),0),IFERROR(INDEX($AB$34:$AE$45,AJ31,$Z$27),0),IFERROR(INDEX($AB$34:$AE$45,AJ32,$Z$27),0),IFERROR(INDEX($AB$34:$AE$45,AJ33,$Z$27),0),IFERROR(INDEX($AB$34:$AE$45,AJ34,$Z$27),0),IFERROR(INDEX($AB$34:$AE$45,AJ35,$Z$27),0),IFERROR(INDEX($AB$34:$AE$45,AJ36,$Z$27),0),IFERROR(INDEX($AB$34:$AE$45,AJ37,$Z$27),0),IFERROR(INDEX($AB$34:$AE$45,AJ38,$Z$27),0)))</f>
        <v>0</v>
      </c>
      <c r="AA28" s="52">
        <f>MAX(W28:Z28)</f>
        <v>0</v>
      </c>
      <c r="AB28" s="52">
        <f>W28</f>
        <v>0</v>
      </c>
      <c r="AC28" s="52">
        <f>IF(X28&lt;0,0,X28)</f>
        <v>0</v>
      </c>
      <c r="AD28" s="52">
        <f>IF(Y28&lt;0,0,Y28)</f>
        <v>0</v>
      </c>
      <c r="AE28" s="52">
        <f>IF(Z28&lt;0,0,Z28)</f>
        <v>0</v>
      </c>
      <c r="AH28" s="203"/>
      <c r="AI28" s="86"/>
      <c r="AJ28" s="87" t="str">
        <f t="shared" ref="AJ28:AJ38" si="22">IF(AI28&lt;&gt;"",MATCH(AI28,$C$5:$C$16,0),"")</f>
        <v/>
      </c>
      <c r="AK28" s="1">
        <f t="shared" si="18"/>
        <v>2</v>
      </c>
      <c r="AL28">
        <f>IFERROR(GETPIVOTDATA(""&amp;$O$3,Pivot!$B$12,""&amp;$AK$26,AK28)+GETPIVOTDATA(""&amp;$O$4,Pivot!$B$12,""&amp;$AK$26,AK28)+GETPIVOTDATA(""&amp;$O$5,Pivot!$B$12,""&amp;$AK$26,AK28),NA())</f>
        <v>0</v>
      </c>
      <c r="AM28">
        <f>IFERROR(GETPIVOTDATA(""&amp;$O$3,Pivot!$B$12,""&amp;$AK$26,AK28)+GETPIVOTDATA(""&amp;$O$5,Pivot!$B$12,""&amp;$AK$26,AK28),NA())</f>
        <v>0</v>
      </c>
      <c r="AN28">
        <f>IFERROR(GETPIVOTDATA(""&amp;$O$3,Pivot!$B$12,""&amp;$AK$26,AK28)+GETPIVOTDATA(""&amp;$O$4,Pivot!$B$12,""&amp;$AK$26,AK28)+GETPIVOTDATA(""&amp;$O$5,Pivot!$B$12,""&amp;$AK$26,AK28),NA())</f>
        <v>0</v>
      </c>
      <c r="AP28" s="1">
        <f t="shared" si="19"/>
        <v>2</v>
      </c>
      <c r="AQ28">
        <f>IFERROR(GETPIVOTDATA(""&amp;$O$6,Pivot!$B$12,""&amp;$AP$26,AP28)+GETPIVOTDATA(""&amp;$O$7,Pivot!$B$12,""&amp;$AP$26,AP28)+GETPIVOTDATA(""&amp;$O$8,Pivot!$B$12,""&amp;$AP$26,AP28),NA())</f>
        <v>3.73</v>
      </c>
      <c r="AR28">
        <f>IFERROR(GETPIVOTDATA(""&amp;$O$6,Pivot!$B$12,""&amp;$AP$26,AP28)+GETPIVOTDATA(""&amp;$O$8,Pivot!$B$12,""&amp;$AP$26,AP28),NA())</f>
        <v>0</v>
      </c>
      <c r="AS28" s="202">
        <f>IFERROR(GETPIVOTDATA(""&amp;$O$6,Pivot!$B$12,""&amp;$AP$26,AP28)+GETPIVOTDATA(""&amp;$O$7,Pivot!$B$12,""&amp;$AP$26,AP28)+GETPIVOTDATA(""&amp;$O$8,Pivot!$B$12,""&amp;$AP$26,AP28),NA())</f>
        <v>3.73</v>
      </c>
      <c r="AT28"/>
      <c r="AU28"/>
      <c r="AV28"/>
      <c r="AW28"/>
      <c r="AX28"/>
      <c r="AY28"/>
      <c r="AZ28"/>
      <c r="BA28"/>
      <c r="BB28"/>
      <c r="BC28"/>
      <c r="BD28"/>
      <c r="BE28"/>
      <c r="BF28"/>
    </row>
    <row r="29" spans="2:58" ht="16" thickBot="1" x14ac:dyDescent="0.4">
      <c r="B29" s="104" t="s">
        <v>119</v>
      </c>
      <c r="C29" s="1" t="s">
        <v>120</v>
      </c>
      <c r="D29" s="52">
        <f>D30-D28</f>
        <v>0</v>
      </c>
      <c r="E29" s="9">
        <f>IFERROR(D29/SUM($D$28:$D$29),)</f>
        <v>0</v>
      </c>
      <c r="G29" s="166" t="s">
        <v>55</v>
      </c>
      <c r="H29" s="167">
        <v>31</v>
      </c>
      <c r="I29" s="113">
        <v>3</v>
      </c>
      <c r="J29" s="1">
        <f t="array" ref="J29">IFERROR(GETPIVOTDATA(""&amp;$O$3,Pivot!$B$12,""&amp;$I$26,I29)+GETPIVOTDATA(""&amp;$O$4,Pivot!$B$12,""&amp;$I$26,I29)+GETPIVOTDATA(""&amp;$O$5,Pivot!$B$12,""&amp;$I$26,I29),NA())</f>
        <v>0</v>
      </c>
      <c r="K29" s="1">
        <f t="array" ref="K29">IFERROR(GETPIVOTDATA(""&amp;$O$6,Pivot!$B$12,""&amp;$I$26,I29)+GETPIVOTDATA(""&amp;$O$7,Pivot!$B$12,""&amp;$I$26,I29)+GETPIVOTDATA(""&amp;$O$8,Pivot!$B$12,""&amp;$I$26,I29),NA())</f>
        <v>0</v>
      </c>
      <c r="L29">
        <f>IFERROR(GETPIVOTDATA(""&amp;$O$6,Pivot!$B$12,""&amp;$I$26,I29)+GETPIVOTDATA(""&amp;$O$7,Pivot!$B$12,""&amp;$I$26,I29)+GETPIVOTDATA(""&amp;$O$8,Pivot!$B$12,""&amp;$I$26,I29),NA())</f>
        <v>0</v>
      </c>
      <c r="M29" s="120">
        <f t="shared" si="20"/>
        <v>3</v>
      </c>
      <c r="N29" s="1">
        <f t="shared" si="16"/>
        <v>3</v>
      </c>
      <c r="O29" s="52">
        <f>IFERROR(GETPIVOTDATA("Totale Portfolio",Pivot!$BA$12,"Giorno",N29),NA())</f>
        <v>0</v>
      </c>
      <c r="P29" s="52">
        <f t="array" ref="P29">IFERROR(INDEX(Dati[Leasing Macchina], MATCH(1, --(ROW(Dati[Leasing Macchina])&gt;=MATCH(TEXT($AH$27, "0"),Data!$F:$F, 0)) * --ISNUMBER(Dati[Leasing Macchina]), 0)), 0)</f>
        <v>0</v>
      </c>
      <c r="Q29" s="97" t="e">
        <f>IF(NOT(ISNA(J29)),NA(),GETPIVOTDATA(""&amp;Dati[[#Headers],[Leasing Macchina]],Pivot!AD14,""&amp;$N$26,Processing!N29))</f>
        <v>#N/A</v>
      </c>
      <c r="R29" s="107">
        <f t="shared" si="17"/>
        <v>3</v>
      </c>
      <c r="S29" s="52" t="e">
        <f>IFERROR(GETPIVOTDATA(""&amp;Dati[[#Headers],[Consumer Credit]],Pivot!AD14,""&amp;$R$26,R29)+GETPIVOTDATA(""&amp;Dati[[#Headers],[Credit Card]],Pivot!AD14,""&amp;$R$26,R29)+GETPIVOTDATA(""&amp;#REF!,Pivot!AD14,""&amp;$R$26,R29)+GETPIVOTDATA(""&amp;#REF!,Pivot!AD14,""&amp;$R$26,R29),NA())</f>
        <v>#N/A</v>
      </c>
      <c r="T29" s="52" t="e">
        <f t="shared" si="21"/>
        <v>#N/A</v>
      </c>
      <c r="U29" s="106" t="e">
        <f>ISNUMBER(R29)*GETPIVOTDATA(""&amp;Dati[[#Headers],[Consumer Credit]],Pivot!AD14,""&amp;$R$26,R29)+GETPIVOTDATA(""&amp;Dati[[#Headers],[Credit Card]],Pivot!AD14,""&amp;$R$26,R29)+GETPIVOTDATA(""&amp;#REF!,Pivot!AD14,""&amp;$R$26,R29)+GETPIVOTDATA(""&amp;#REF!,Pivot!AD14,""&amp;$R$26,R29)</f>
        <v>#REF!</v>
      </c>
      <c r="V29" s="6" t="s">
        <v>121</v>
      </c>
      <c r="W29" s="52">
        <f>IF(W28&gt;W30,W28-W28,W30-W28)</f>
        <v>1000</v>
      </c>
      <c r="X29" s="52">
        <f t="shared" ref="X29:Z29" si="23">IF(X28&gt;X30,X28-X28,X30-X28)</f>
        <v>1250</v>
      </c>
      <c r="Y29" s="52">
        <f t="shared" si="23"/>
        <v>1500</v>
      </c>
      <c r="Z29" s="52">
        <f t="shared" si="23"/>
        <v>1800</v>
      </c>
      <c r="AA29" s="52">
        <f>MAX(W29:Z29)</f>
        <v>1800</v>
      </c>
      <c r="AH29" s="203"/>
      <c r="AI29" s="86"/>
      <c r="AJ29" s="87" t="str">
        <f t="shared" si="22"/>
        <v/>
      </c>
      <c r="AK29" s="1">
        <f t="shared" si="18"/>
        <v>3</v>
      </c>
      <c r="AL29">
        <f>IFERROR(GETPIVOTDATA(""&amp;$O$3,Pivot!$B$12,""&amp;$AK$26,AK29)+GETPIVOTDATA(""&amp;$O$4,Pivot!$B$12,""&amp;$AK$26,AK29)+GETPIVOTDATA(""&amp;$O$5,Pivot!$B$12,""&amp;$AK$26,AK29),NA())</f>
        <v>0</v>
      </c>
      <c r="AM29">
        <f>IFERROR(GETPIVOTDATA(""&amp;$O$3,Pivot!$B$12,""&amp;$AK$26,AK29)+GETPIVOTDATA(""&amp;$O$5,Pivot!$B$12,""&amp;$AK$26,AK29),NA())</f>
        <v>0</v>
      </c>
      <c r="AN29">
        <f>IFERROR(GETPIVOTDATA(""&amp;$O$3,Pivot!$B$12,""&amp;$AK$26,AK29)+GETPIVOTDATA(""&amp;$O$4,Pivot!$B$12,""&amp;$AK$26,AK29)+GETPIVOTDATA(""&amp;$O$5,Pivot!$B$12,""&amp;$AK$26,AK29),NA())</f>
        <v>0</v>
      </c>
      <c r="AP29" s="1">
        <f t="shared" si="19"/>
        <v>3</v>
      </c>
      <c r="AQ29">
        <f>IFERROR(GETPIVOTDATA(""&amp;$O$6,Pivot!$B$12,""&amp;$AP$26,AP29)+GETPIVOTDATA(""&amp;$O$7,Pivot!$B$12,""&amp;$AP$26,AP29)+GETPIVOTDATA(""&amp;$O$8,Pivot!$B$12,""&amp;$AP$26,AP29),NA())</f>
        <v>0</v>
      </c>
      <c r="AR29">
        <f>IFERROR(GETPIVOTDATA(""&amp;$O$6,Pivot!$B$12,""&amp;$AP$26,AP29)+GETPIVOTDATA(""&amp;$O$8,Pivot!$B$12,""&amp;$AP$26,AP29),NA())</f>
        <v>0</v>
      </c>
      <c r="AS29" s="202">
        <f>IFERROR(GETPIVOTDATA(""&amp;$O$6,Pivot!$B$12,""&amp;$AP$26,AP29)+GETPIVOTDATA(""&amp;$O$7,Pivot!$B$12,""&amp;$AP$26,AP29)+GETPIVOTDATA(""&amp;$O$8,Pivot!$B$12,""&amp;$AP$26,AP29),NA())</f>
        <v>0</v>
      </c>
      <c r="AT29"/>
      <c r="AU29"/>
      <c r="AV29"/>
      <c r="AW29"/>
      <c r="AX29"/>
      <c r="AY29"/>
      <c r="AZ29"/>
      <c r="BA29"/>
      <c r="BB29"/>
      <c r="BC29"/>
      <c r="BD29"/>
      <c r="BE29"/>
      <c r="BF29"/>
    </row>
    <row r="30" spans="2:58" ht="16" thickBot="1" x14ac:dyDescent="0.4">
      <c r="B30" s="107"/>
      <c r="C30" s="1" t="s">
        <v>122</v>
      </c>
      <c r="D30" s="52">
        <f t="array" ref="D30">SUM(IFERROR(INDEX(Dati[Consumer Credit],MATCH(1,--ISNUMBER(Dati[Consumer Credit]),)),0),IFERROR(INDEX(Dati[Credit Card],MATCH(1,--ISNUMBER(Dati[Credit Card]),)),0),IFERROR(INDEX(#REF!,MATCH(1,--ISNUMBER(#REF!),)),0),IFERROR(INDEX(#REF!,MATCH(1,--ISNUMBER(#REF!),)),0))</f>
        <v>0</v>
      </c>
      <c r="G30" s="166" t="s">
        <v>57</v>
      </c>
      <c r="H30" s="167">
        <v>30</v>
      </c>
      <c r="I30" s="113">
        <v>4</v>
      </c>
      <c r="J30" s="1">
        <f t="array" ref="J30">IFERROR(GETPIVOTDATA(""&amp;$O$3,Pivot!$B$12,""&amp;$I$26,I30)+GETPIVOTDATA(""&amp;$O$4,Pivot!$B$12,""&amp;$I$26,I30)+GETPIVOTDATA(""&amp;$O$5,Pivot!$B$12,""&amp;$I$26,I30),NA())</f>
        <v>0</v>
      </c>
      <c r="K30" s="1">
        <f t="array" ref="K30">IFERROR(GETPIVOTDATA(""&amp;$O$6,Pivot!$B$12,""&amp;$I$26,I30)+GETPIVOTDATA(""&amp;$O$7,Pivot!$B$12,""&amp;$I$26,I30)+GETPIVOTDATA(""&amp;$O$8,Pivot!$B$12,""&amp;$I$26,I30),NA())</f>
        <v>0</v>
      </c>
      <c r="L30">
        <f>IFERROR(GETPIVOTDATA(""&amp;$O$6,Pivot!$B$12,""&amp;$I$26,I30)+GETPIVOTDATA(""&amp;$O$7,Pivot!$B$12,""&amp;$I$26,I30)+GETPIVOTDATA(""&amp;$O$8,Pivot!$B$12,""&amp;$I$26,I30),NA())</f>
        <v>0</v>
      </c>
      <c r="M30" s="120">
        <f t="shared" si="20"/>
        <v>4</v>
      </c>
      <c r="N30" s="1">
        <f t="shared" si="16"/>
        <v>4</v>
      </c>
      <c r="O30" s="52">
        <f>IFERROR(GETPIVOTDATA("Totale Portfolio",Pivot!$BA$12,"Giorno",N30),NA())</f>
        <v>0</v>
      </c>
      <c r="P30" s="52">
        <f t="array" ref="P30">IFERROR(INDEX(Dati[Leasing Macchina], MATCH(1, --(ROW(Dati[Leasing Macchina])&gt;=MATCH(TEXT($AH$27, "0"),Data!$F:$F, 0)) * --ISNUMBER(Dati[Leasing Macchina]), 0)), 0)</f>
        <v>0</v>
      </c>
      <c r="Q30" s="97" t="e">
        <f>IF(NOT(ISNA(J30)),NA(),GETPIVOTDATA(""&amp;Dati[[#Headers],[Leasing Macchina]],Pivot!AD15,""&amp;$N$26,Processing!N30))</f>
        <v>#N/A</v>
      </c>
      <c r="R30" s="107">
        <f t="shared" si="17"/>
        <v>4</v>
      </c>
      <c r="S30" s="52" t="e">
        <f>IFERROR(GETPIVOTDATA(""&amp;Dati[[#Headers],[Consumer Credit]],Pivot!AD15,""&amp;$R$26,R30)+GETPIVOTDATA(""&amp;Dati[[#Headers],[Credit Card]],Pivot!AD15,""&amp;$R$26,R30)+GETPIVOTDATA(""&amp;#REF!,Pivot!AD15,""&amp;$R$26,R30)+GETPIVOTDATA(""&amp;#REF!,Pivot!AD15,""&amp;$R$26,R30),NA())</f>
        <v>#N/A</v>
      </c>
      <c r="T30" s="52" t="e">
        <f t="shared" si="21"/>
        <v>#N/A</v>
      </c>
      <c r="U30" s="106" t="e">
        <f>ISNUMBER(R30)*GETPIVOTDATA(""&amp;Dati[[#Headers],[Consumer Credit]],Pivot!AD15,""&amp;$R$26,R30)+GETPIVOTDATA(""&amp;Dati[[#Headers],[Credit Card]],Pivot!AD15,""&amp;$R$26,R30)+GETPIVOTDATA(""&amp;#REF!,Pivot!AD15,""&amp;$R$26,R30)+GETPIVOTDATA(""&amp;#REF!,Pivot!AD15,""&amp;$R$26,R30)</f>
        <v>#REF!</v>
      </c>
      <c r="V30" s="22" t="s">
        <v>123</v>
      </c>
      <c r="W30" s="52">
        <f>SUM((SUMIF(FinancialGoals[Mese],AI27,FinancialGoals[Goal1])+SUMIF(FinancialGoals[Mese],AI28,FinancialGoals[Goal1])+SUMIF(FinancialGoals[Mese],AI29,FinancialGoals[Goal1])+SUMIF(FinancialGoals[Mese],AI30,FinancialGoals[Goal1])+SUMIF(FinancialGoals[Mese],AI31,FinancialGoals[Goal1])+SUMIF(FinancialGoals[Mese],AI32,FinancialGoals[Goal1])+SUMIF(FinancialGoals[Mese],AI33,FinancialGoals[Goal1])+SUMIF(FinancialGoals[Mese],AI34,FinancialGoals[Goal1])+SUMIF(FinancialGoals[Mese],AI35,FinancialGoals[Goal1])+SUMIF(FinancialGoals[Mese],AI36,FinancialGoals[Goal1])+SUMIF(FinancialGoals[Mese],AI37,FinancialGoals[Goal1])+SUMIF(FinancialGoals[Mese],AI38,FinancialGoals[Goal1]))*COUNT($AH$27:$AH$38))</f>
        <v>1000</v>
      </c>
      <c r="X30" s="52">
        <f>SUM((SUMIF(FinancialGoals[Mese],AI27,FinancialGoals[Goal2])+SUMIF(FinancialGoals[Mese],AI28,FinancialGoals[Goal2])+SUMIF(FinancialGoals[Mese],AI29,FinancialGoals[Goal2])+SUMIF(FinancialGoals[Mese],AI30,FinancialGoals[Goal2])+SUMIF(FinancialGoals[Mese],AI31,FinancialGoals[Goal2])+SUMIF(FinancialGoals[Mese],AI32,FinancialGoals[Goal2])+SUMIF(FinancialGoals[Mese],AI33,FinancialGoals[Goal2])+SUMIF(FinancialGoals[Mese],AI34,FinancialGoals[Goal2])+SUMIF(FinancialGoals[Mese],AI35,FinancialGoals[Goal2])+SUMIF(FinancialGoals[Mese],AI36,FinancialGoals[Goal2])+SUMIF(FinancialGoals[Mese],AI37,FinancialGoals[Goal2])+SUMIF(FinancialGoals[Mese],AI38,FinancialGoals[Goal2]))*COUNT($AH$27:$AH$38))</f>
        <v>1250</v>
      </c>
      <c r="Y30" s="52">
        <f>SUM((SUMIF(FinancialGoals[Mese],AI27,FinancialGoals[Goal3])+SUMIF(FinancialGoals[Mese],AI28,FinancialGoals[Goal3])+SUMIF(FinancialGoals[Mese],AI29,FinancialGoals[Goal3])+SUMIF(FinancialGoals[Mese],AI30,FinancialGoals[Goal3])+SUMIF(FinancialGoals[Mese],AI31,FinancialGoals[Goal3])+SUMIF(FinancialGoals[Mese],AI32,FinancialGoals[Goal3])+SUMIF(FinancialGoals[Mese],AI33,FinancialGoals[Goal3])+SUMIF(FinancialGoals[Mese],AI34,FinancialGoals[Goal3])+SUMIF(FinancialGoals[Mese],AI35,FinancialGoals[Goal3])+SUMIF(FinancialGoals[Mese],AI36,FinancialGoals[Goal3])+SUMIF(FinancialGoals[Mese],AI37,FinancialGoals[Goal3])+SUMIF(FinancialGoals[Mese],AI38,FinancialGoals[Goal3]))*COUNT($AH$27:$AH$38))</f>
        <v>1500</v>
      </c>
      <c r="Z30" s="52">
        <f>SUM((SUMIF(FinancialGoals[Mese],AI27,FinancialGoals[Goal4])+SUMIF(FinancialGoals[Mese],AI28,FinancialGoals[Goal4])+SUMIF(FinancialGoals[Mese],AI29,FinancialGoals[Goal4])+SUMIF(FinancialGoals[Mese],AI30,FinancialGoals[Goal4])+SUMIF(FinancialGoals[Mese],AI31,FinancialGoals[Goal4])+SUMIF(FinancialGoals[Mese],AI32,FinancialGoals[Goal4])+SUMIF(FinancialGoals[Mese],AI33,FinancialGoals[Goal4])+SUMIF(FinancialGoals[Mese],AI34,FinancialGoals[Goal4])+SUMIF(FinancialGoals[Mese],AI35,FinancialGoals[Goal4])+SUMIF(FinancialGoals[Mese],AI36,FinancialGoals[Goal4])+SUMIF(FinancialGoals[Mese],AI37,FinancialGoals[Goal4])+SUMIF(FinancialGoals[Mese],AI38,FinancialGoals[Goal4]))*COUNT($AH$27:$AH$38))</f>
        <v>1800</v>
      </c>
      <c r="AA30" s="54">
        <f>MAX(W30:Z30)</f>
        <v>1800</v>
      </c>
      <c r="AB30" s="22"/>
      <c r="AC30" s="22"/>
      <c r="AD30" s="22"/>
      <c r="AE30" s="22"/>
      <c r="AG30" s="25"/>
      <c r="AH30" s="203"/>
      <c r="AI30" s="86"/>
      <c r="AJ30" s="87" t="str">
        <f t="shared" si="22"/>
        <v/>
      </c>
      <c r="AK30" s="1">
        <f t="shared" si="18"/>
        <v>4</v>
      </c>
      <c r="AL30">
        <f>IFERROR(GETPIVOTDATA(""&amp;$O$3,Pivot!$B$12,""&amp;$AK$26,AK30)+GETPIVOTDATA(""&amp;$O$4,Pivot!$B$12,""&amp;$AK$26,AK30)+GETPIVOTDATA(""&amp;$O$5,Pivot!$B$12,""&amp;$AK$26,AK30),NA())</f>
        <v>0</v>
      </c>
      <c r="AM30">
        <f>IFERROR(GETPIVOTDATA(""&amp;$O$3,Pivot!$B$12,""&amp;$AK$26,AK30)+GETPIVOTDATA(""&amp;$O$5,Pivot!$B$12,""&amp;$AK$26,AK30),NA())</f>
        <v>0</v>
      </c>
      <c r="AN30">
        <f>IFERROR(GETPIVOTDATA(""&amp;$O$3,Pivot!$B$12,""&amp;$AK$26,AK30)+GETPIVOTDATA(""&amp;$O$4,Pivot!$B$12,""&amp;$AK$26,AK30)+GETPIVOTDATA(""&amp;$O$5,Pivot!$B$12,""&amp;$AK$26,AK30),NA())</f>
        <v>0</v>
      </c>
      <c r="AP30" s="1">
        <f t="shared" si="19"/>
        <v>4</v>
      </c>
      <c r="AQ30">
        <f>IFERROR(GETPIVOTDATA(""&amp;$O$6,Pivot!$B$12,""&amp;$AP$26,AP30)+GETPIVOTDATA(""&amp;$O$7,Pivot!$B$12,""&amp;$AP$26,AP30)+GETPIVOTDATA(""&amp;$O$8,Pivot!$B$12,""&amp;$AP$26,AP30),NA())</f>
        <v>0</v>
      </c>
      <c r="AR30">
        <f>IFERROR(GETPIVOTDATA(""&amp;$O$6,Pivot!$B$12,""&amp;$AP$26,AP30)+GETPIVOTDATA(""&amp;$O$8,Pivot!$B$12,""&amp;$AP$26,AP30),NA())</f>
        <v>0</v>
      </c>
      <c r="AS30" s="202">
        <f>IFERROR(GETPIVOTDATA(""&amp;$O$6,Pivot!$B$12,""&amp;$AP$26,AP30)+GETPIVOTDATA(""&amp;$O$7,Pivot!$B$12,""&amp;$AP$26,AP30)+GETPIVOTDATA(""&amp;$O$8,Pivot!$B$12,""&amp;$AP$26,AP30),NA())</f>
        <v>0</v>
      </c>
      <c r="AT30"/>
      <c r="AU30"/>
      <c r="AV30"/>
      <c r="AW30"/>
      <c r="AX30"/>
      <c r="AY30"/>
      <c r="AZ30"/>
      <c r="BA30"/>
      <c r="BB30"/>
      <c r="BC30"/>
      <c r="BD30"/>
      <c r="BE30"/>
      <c r="BF30"/>
    </row>
    <row r="31" spans="2:58" ht="15.5" x14ac:dyDescent="0.35">
      <c r="B31" s="104" t="s">
        <v>124</v>
      </c>
      <c r="C31" s="1" t="s">
        <v>125</v>
      </c>
      <c r="E31" s="11" t="s">
        <v>58</v>
      </c>
      <c r="F31" s="163" t="s">
        <v>59</v>
      </c>
      <c r="G31" s="166" t="s">
        <v>61</v>
      </c>
      <c r="H31" s="167">
        <v>31</v>
      </c>
      <c r="I31" s="113">
        <v>5</v>
      </c>
      <c r="J31" s="1">
        <f t="array" ref="J31">IFERROR(GETPIVOTDATA(""&amp;$O$3,Pivot!$B$12,""&amp;$I$26,I31)+GETPIVOTDATA(""&amp;$O$4,Pivot!$B$12,""&amp;$I$26,I31)+GETPIVOTDATA(""&amp;$O$5,Pivot!$B$12,""&amp;$I$26,I31),NA())</f>
        <v>0</v>
      </c>
      <c r="K31" s="1">
        <f t="array" ref="K31">IFERROR(GETPIVOTDATA(""&amp;$O$6,Pivot!$B$12,""&amp;$I$26,I31)+GETPIVOTDATA(""&amp;$O$7,Pivot!$B$12,""&amp;$I$26,I31)+GETPIVOTDATA(""&amp;$O$8,Pivot!$B$12,""&amp;$I$26,I31),NA())</f>
        <v>0</v>
      </c>
      <c r="L31">
        <f>IFERROR(GETPIVOTDATA(""&amp;$O$6,Pivot!$B$12,""&amp;$I$26,I31)+GETPIVOTDATA(""&amp;$O$7,Pivot!$B$12,""&amp;$I$26,I31)+GETPIVOTDATA(""&amp;$O$8,Pivot!$B$12,""&amp;$I$26,I31),NA())</f>
        <v>0</v>
      </c>
      <c r="M31" s="120">
        <f t="shared" si="20"/>
        <v>5</v>
      </c>
      <c r="N31" s="1">
        <f t="shared" si="16"/>
        <v>5</v>
      </c>
      <c r="O31" s="52">
        <f>IFERROR(GETPIVOTDATA("Totale Portfolio",Pivot!$BA$12,"Giorno",N31),NA())</f>
        <v>0</v>
      </c>
      <c r="P31" s="52">
        <f t="array" ref="P31">IFERROR(INDEX(Dati[Leasing Macchina], MATCH(1, --(ROW(Dati[Leasing Macchina])&gt;=MATCH(TEXT($AH$27, "0"),Data!$F:$F, 0)) * --ISNUMBER(Dati[Leasing Macchina]), 0)), 0)</f>
        <v>0</v>
      </c>
      <c r="Q31" s="97" t="e">
        <f>IF(NOT(ISNA(J31)),NA(),GETPIVOTDATA(""&amp;Dati[[#Headers],[Leasing Macchina]],Pivot!AD16,""&amp;$N$26,Processing!N31))</f>
        <v>#N/A</v>
      </c>
      <c r="R31" s="107">
        <f t="shared" si="17"/>
        <v>5</v>
      </c>
      <c r="S31" s="52" t="e">
        <f>IFERROR(GETPIVOTDATA(""&amp;Dati[[#Headers],[Consumer Credit]],Pivot!AD16,""&amp;$R$26,R31)+GETPIVOTDATA(""&amp;Dati[[#Headers],[Credit Card]],Pivot!AD16,""&amp;$R$26,R31)+GETPIVOTDATA(""&amp;#REF!,Pivot!AD16,""&amp;$R$26,R31)+GETPIVOTDATA(""&amp;#REF!,Pivot!AD16,""&amp;$R$26,R31),NA())</f>
        <v>#N/A</v>
      </c>
      <c r="T31" s="52" t="e">
        <f t="shared" si="21"/>
        <v>#N/A</v>
      </c>
      <c r="U31" s="106" t="e">
        <f>ISNUMBER(R31)*GETPIVOTDATA(""&amp;Dati[[#Headers],[Consumer Credit]],Pivot!AD16,""&amp;$R$26,R31)+GETPIVOTDATA(""&amp;Dati[[#Headers],[Credit Card]],Pivot!AD16,""&amp;$R$26,R31)+GETPIVOTDATA(""&amp;#REF!,Pivot!AD16,""&amp;$R$26,R31)+GETPIVOTDATA(""&amp;#REF!,Pivot!AD16,""&amp;$R$26,R31)</f>
        <v>#REF!</v>
      </c>
      <c r="V31" s="6" t="s">
        <v>126</v>
      </c>
      <c r="W31" s="52">
        <f>MAX(W30:Z30)</f>
        <v>1800</v>
      </c>
      <c r="AB31" s="13"/>
      <c r="AC31" s="13"/>
      <c r="AD31" s="10"/>
      <c r="AE31" s="25"/>
      <c r="AG31" s="25"/>
      <c r="AH31" s="203"/>
      <c r="AI31" s="86"/>
      <c r="AJ31" s="87" t="str">
        <f t="shared" si="22"/>
        <v/>
      </c>
      <c r="AK31" s="1">
        <f t="shared" si="18"/>
        <v>5</v>
      </c>
      <c r="AL31">
        <f>IFERROR(GETPIVOTDATA(""&amp;$O$3,Pivot!$B$12,""&amp;$AK$26,AK31)+GETPIVOTDATA(""&amp;$O$4,Pivot!$B$12,""&amp;$AK$26,AK31)+GETPIVOTDATA(""&amp;$O$5,Pivot!$B$12,""&amp;$AK$26,AK31),NA())</f>
        <v>0</v>
      </c>
      <c r="AM31">
        <f>IFERROR(GETPIVOTDATA(""&amp;$O$3,Pivot!$B$12,""&amp;$AK$26,AK31)+GETPIVOTDATA(""&amp;$O$5,Pivot!$B$12,""&amp;$AK$26,AK31),NA())</f>
        <v>0</v>
      </c>
      <c r="AN31">
        <f>IFERROR(GETPIVOTDATA(""&amp;$O$3,Pivot!$B$12,""&amp;$AK$26,AK31)+GETPIVOTDATA(""&amp;$O$4,Pivot!$B$12,""&amp;$AK$26,AK31)+GETPIVOTDATA(""&amp;$O$5,Pivot!$B$12,""&amp;$AK$26,AK31),NA())</f>
        <v>0</v>
      </c>
      <c r="AP31" s="1">
        <f t="shared" si="19"/>
        <v>5</v>
      </c>
      <c r="AQ31">
        <f>IFERROR(GETPIVOTDATA(""&amp;$O$6,Pivot!$B$12,""&amp;$AP$26,AP31)+GETPIVOTDATA(""&amp;$O$7,Pivot!$B$12,""&amp;$AP$26,AP31)+GETPIVOTDATA(""&amp;$O$8,Pivot!$B$12,""&amp;$AP$26,AP31),NA())</f>
        <v>0</v>
      </c>
      <c r="AR31">
        <f>IFERROR(GETPIVOTDATA(""&amp;$O$6,Pivot!$B$12,""&amp;$AP$26,AP31)+GETPIVOTDATA(""&amp;$O$8,Pivot!$B$12,""&amp;$AP$26,AP31),NA())</f>
        <v>0</v>
      </c>
      <c r="AS31" s="202">
        <f>IFERROR(GETPIVOTDATA(""&amp;$O$6,Pivot!$B$12,""&amp;$AP$26,AP31)+GETPIVOTDATA(""&amp;$O$7,Pivot!$B$12,""&amp;$AP$26,AP31)+GETPIVOTDATA(""&amp;$O$8,Pivot!$B$12,""&amp;$AP$26,AP31),NA())</f>
        <v>0</v>
      </c>
      <c r="AT31"/>
      <c r="AU31"/>
      <c r="AV31"/>
      <c r="AW31"/>
      <c r="AX31"/>
      <c r="AY31"/>
      <c r="AZ31"/>
      <c r="BA31"/>
      <c r="BB31"/>
      <c r="BC31"/>
      <c r="BD31"/>
      <c r="BE31"/>
      <c r="BF31"/>
    </row>
    <row r="32" spans="2:58" ht="15.5" x14ac:dyDescent="0.35">
      <c r="B32" s="104" t="s">
        <v>21</v>
      </c>
      <c r="C32" s="26" t="str">
        <f>IF(D32=0,"0%",1-D32)</f>
        <v>0%</v>
      </c>
      <c r="D32" s="10">
        <f>IFERROR(D29/SUM(D28:D29),)</f>
        <v>0</v>
      </c>
      <c r="E32" s="11">
        <v>0</v>
      </c>
      <c r="F32" s="163">
        <v>1</v>
      </c>
      <c r="G32" s="166" t="s">
        <v>63</v>
      </c>
      <c r="H32" s="167">
        <v>30</v>
      </c>
      <c r="I32" s="113">
        <v>6</v>
      </c>
      <c r="J32" s="1">
        <f t="array" ref="J32">IFERROR(GETPIVOTDATA(""&amp;$O$3,Pivot!$B$12,""&amp;$I$26,I32)+GETPIVOTDATA(""&amp;$O$4,Pivot!$B$12,""&amp;$I$26,I32)+GETPIVOTDATA(""&amp;$O$5,Pivot!$B$12,""&amp;$I$26,I32),NA())</f>
        <v>0</v>
      </c>
      <c r="K32" s="1">
        <f t="array" ref="K32">IFERROR(GETPIVOTDATA(""&amp;$O$6,Pivot!$B$12,""&amp;$I$26,I32)+GETPIVOTDATA(""&amp;$O$7,Pivot!$B$12,""&amp;$I$26,I32)+GETPIVOTDATA(""&amp;$O$8,Pivot!$B$12,""&amp;$I$26,I32),NA())</f>
        <v>0</v>
      </c>
      <c r="L32">
        <f>IFERROR(GETPIVOTDATA(""&amp;$O$6,Pivot!$B$12,""&amp;$I$26,I32)+GETPIVOTDATA(""&amp;$O$7,Pivot!$B$12,""&amp;$I$26,I32)+GETPIVOTDATA(""&amp;$O$8,Pivot!$B$12,""&amp;$I$26,I32),NA())</f>
        <v>0</v>
      </c>
      <c r="M32" s="120">
        <f t="shared" si="20"/>
        <v>6</v>
      </c>
      <c r="N32" s="1">
        <f t="shared" si="16"/>
        <v>6</v>
      </c>
      <c r="O32" s="52">
        <f>IFERROR(GETPIVOTDATA("Totale Portfolio",Pivot!$BA$12,"Giorno",N32),NA())</f>
        <v>0</v>
      </c>
      <c r="P32" s="52">
        <f t="array" ref="P32">IFERROR(INDEX(Dati[Leasing Macchina], MATCH(1, --(ROW(Dati[Leasing Macchina])&gt;=MATCH(TEXT($AH$27, "0"),Data!$F:$F, 0)) * --ISNUMBER(Dati[Leasing Macchina]), 0)), 0)</f>
        <v>0</v>
      </c>
      <c r="Q32" s="97" t="e">
        <f>IF(NOT(ISNA(J32)),NA(),GETPIVOTDATA(""&amp;Dati[[#Headers],[Leasing Macchina]],Pivot!AD17,""&amp;$N$26,Processing!N32))</f>
        <v>#N/A</v>
      </c>
      <c r="R32" s="107">
        <f t="shared" si="17"/>
        <v>6</v>
      </c>
      <c r="S32" s="52" t="e">
        <f>IFERROR(GETPIVOTDATA(""&amp;Dati[[#Headers],[Consumer Credit]],Pivot!AD17,""&amp;$R$26,R32)+GETPIVOTDATA(""&amp;Dati[[#Headers],[Credit Card]],Pivot!AD17,""&amp;$R$26,R32)+GETPIVOTDATA(""&amp;#REF!,Pivot!AD17,""&amp;$R$26,R32)+GETPIVOTDATA(""&amp;#REF!,Pivot!AD17,""&amp;$R$26,R32),NA())</f>
        <v>#N/A</v>
      </c>
      <c r="T32" s="52" t="e">
        <f t="shared" si="21"/>
        <v>#N/A</v>
      </c>
      <c r="U32" s="106" t="e">
        <f>ISNUMBER(R32)*GETPIVOTDATA(""&amp;Dati[[#Headers],[Consumer Credit]],Pivot!AD17,""&amp;$R$26,R32)+GETPIVOTDATA(""&amp;Dati[[#Headers],[Credit Card]],Pivot!AD17,""&amp;$R$26,R32)+GETPIVOTDATA(""&amp;#REF!,Pivot!AD17,""&amp;$R$26,R32)+GETPIVOTDATA(""&amp;#REF!,Pivot!AD17,""&amp;$R$26,R32)</f>
        <v>#REF!</v>
      </c>
      <c r="W32" s="1" t="s">
        <v>127</v>
      </c>
      <c r="AB32" s="13"/>
      <c r="AC32" s="13"/>
      <c r="AD32" s="13"/>
      <c r="AE32" s="13"/>
      <c r="AH32" s="203"/>
      <c r="AI32" s="86"/>
      <c r="AJ32" s="87" t="str">
        <f t="shared" si="22"/>
        <v/>
      </c>
      <c r="AK32" s="1">
        <f t="shared" si="18"/>
        <v>6</v>
      </c>
      <c r="AL32">
        <f>IFERROR(GETPIVOTDATA(""&amp;$O$3,Pivot!$B$12,""&amp;$AK$26,AK32)+GETPIVOTDATA(""&amp;$O$4,Pivot!$B$12,""&amp;$AK$26,AK32)+GETPIVOTDATA(""&amp;$O$5,Pivot!$B$12,""&amp;$AK$26,AK32),NA())</f>
        <v>0</v>
      </c>
      <c r="AM32">
        <f>IFERROR(GETPIVOTDATA(""&amp;$O$3,Pivot!$B$12,""&amp;$AK$26,AK32)+GETPIVOTDATA(""&amp;$O$5,Pivot!$B$12,""&amp;$AK$26,AK32),NA())</f>
        <v>0</v>
      </c>
      <c r="AN32">
        <f>IFERROR(GETPIVOTDATA(""&amp;$O$3,Pivot!$B$12,""&amp;$AK$26,AK32)+GETPIVOTDATA(""&amp;$O$4,Pivot!$B$12,""&amp;$AK$26,AK32)+GETPIVOTDATA(""&amp;$O$5,Pivot!$B$12,""&amp;$AK$26,AK32),NA())</f>
        <v>0</v>
      </c>
      <c r="AP32" s="1">
        <f t="shared" si="19"/>
        <v>6</v>
      </c>
      <c r="AQ32">
        <f>IFERROR(GETPIVOTDATA(""&amp;$O$6,Pivot!$B$12,""&amp;$AP$26,AP32)+GETPIVOTDATA(""&amp;$O$7,Pivot!$B$12,""&amp;$AP$26,AP32)+GETPIVOTDATA(""&amp;$O$8,Pivot!$B$12,""&amp;$AP$26,AP32),NA())</f>
        <v>0</v>
      </c>
      <c r="AR32">
        <f>IFERROR(GETPIVOTDATA(""&amp;$O$6,Pivot!$B$12,""&amp;$AP$26,AP32)+GETPIVOTDATA(""&amp;$O$8,Pivot!$B$12,""&amp;$AP$26,AP32),NA())</f>
        <v>0</v>
      </c>
      <c r="AS32" s="202">
        <f>IFERROR(GETPIVOTDATA(""&amp;$O$6,Pivot!$B$12,""&amp;$AP$26,AP32)+GETPIVOTDATA(""&amp;$O$7,Pivot!$B$12,""&amp;$AP$26,AP32)+GETPIVOTDATA(""&amp;$O$8,Pivot!$B$12,""&amp;$AP$26,AP32),NA())</f>
        <v>0</v>
      </c>
      <c r="AT32"/>
      <c r="AU32"/>
      <c r="AV32"/>
      <c r="AW32"/>
      <c r="AX32"/>
      <c r="AY32"/>
      <c r="AZ32"/>
      <c r="BA32"/>
      <c r="BB32"/>
      <c r="BC32"/>
      <c r="BD32"/>
      <c r="BE32"/>
      <c r="BF32"/>
    </row>
    <row r="33" spans="2:58" ht="15.5" x14ac:dyDescent="0.35">
      <c r="B33" s="107" t="s">
        <v>128</v>
      </c>
      <c r="E33" s="11">
        <f>IFERROR(SIN(C32*2*PI()),)</f>
        <v>0</v>
      </c>
      <c r="F33" s="163">
        <f>IFERROR(COS(D32*2*PI()),)</f>
        <v>1</v>
      </c>
      <c r="G33" s="166" t="s">
        <v>65</v>
      </c>
      <c r="H33" s="167">
        <v>31</v>
      </c>
      <c r="I33" s="113">
        <v>7</v>
      </c>
      <c r="J33" s="1">
        <f t="array" ref="J33">IFERROR(GETPIVOTDATA(""&amp;$O$3,Pivot!$B$12,""&amp;$I$26,I33)+GETPIVOTDATA(""&amp;$O$4,Pivot!$B$12,""&amp;$I$26,I33)+GETPIVOTDATA(""&amp;$O$5,Pivot!$B$12,""&amp;$I$26,I33),NA())</f>
        <v>0</v>
      </c>
      <c r="K33" s="1">
        <f t="array" ref="K33">IFERROR(GETPIVOTDATA(""&amp;$O$6,Pivot!$B$12,""&amp;$I$26,I33)+GETPIVOTDATA(""&amp;$O$7,Pivot!$B$12,""&amp;$I$26,I33)+GETPIVOTDATA(""&amp;$O$8,Pivot!$B$12,""&amp;$I$26,I33),NA())</f>
        <v>0</v>
      </c>
      <c r="L33">
        <f>IFERROR(GETPIVOTDATA(""&amp;$O$6,Pivot!$B$12,""&amp;$I$26,I33)+GETPIVOTDATA(""&amp;$O$7,Pivot!$B$12,""&amp;$I$26,I33)+GETPIVOTDATA(""&amp;$O$8,Pivot!$B$12,""&amp;$I$26,I33),NA())</f>
        <v>0</v>
      </c>
      <c r="M33" s="120">
        <f t="shared" si="20"/>
        <v>7</v>
      </c>
      <c r="N33" s="1">
        <f t="shared" si="16"/>
        <v>7</v>
      </c>
      <c r="O33" s="52">
        <f>IFERROR(GETPIVOTDATA("Totale Portfolio",Pivot!$BA$12,"Giorno",N33),NA())</f>
        <v>0</v>
      </c>
      <c r="P33" s="52">
        <f t="array" ref="P33">IFERROR(INDEX(Dati[Leasing Macchina], MATCH(1, --(ROW(Dati[Leasing Macchina])&gt;=MATCH(TEXT($AH$27, "0"),Data!$F:$F, 0)) * --ISNUMBER(Dati[Leasing Macchina]), 0)), 0)</f>
        <v>0</v>
      </c>
      <c r="Q33" s="97" t="e">
        <f>IF(NOT(ISNA(J33)),NA(),GETPIVOTDATA(""&amp;Dati[[#Headers],[Leasing Macchina]],Pivot!AD18,""&amp;$N$26,Processing!N33))</f>
        <v>#N/A</v>
      </c>
      <c r="R33" s="107">
        <f t="shared" si="17"/>
        <v>7</v>
      </c>
      <c r="S33" s="52" t="e">
        <f>IFERROR(GETPIVOTDATA(""&amp;Dati[[#Headers],[Consumer Credit]],Pivot!AD18,""&amp;$R$26,R33)+GETPIVOTDATA(""&amp;Dati[[#Headers],[Credit Card]],Pivot!AD18,""&amp;$R$26,R33)+GETPIVOTDATA(""&amp;#REF!,Pivot!AD18,""&amp;$R$26,R33)+GETPIVOTDATA(""&amp;#REF!,Pivot!AD18,""&amp;$R$26,R33),NA())</f>
        <v>#N/A</v>
      </c>
      <c r="T33" s="52" t="e">
        <f t="shared" si="21"/>
        <v>#N/A</v>
      </c>
      <c r="U33" s="106" t="e">
        <f>ISNUMBER(R33)*GETPIVOTDATA(""&amp;Dati[[#Headers],[Consumer Credit]],Pivot!AD18,""&amp;$R$26,R33)+GETPIVOTDATA(""&amp;Dati[[#Headers],[Credit Card]],Pivot!AD18,""&amp;$R$26,R33)+GETPIVOTDATA(""&amp;#REF!,Pivot!AD18,""&amp;$R$26,R33)+GETPIVOTDATA(""&amp;#REF!,Pivot!AD18,""&amp;$R$26,R33)</f>
        <v>#REF!</v>
      </c>
      <c r="V33" s="22" t="s">
        <v>129</v>
      </c>
      <c r="W33" s="22" t="s">
        <v>87</v>
      </c>
      <c r="X33" s="22" t="s">
        <v>88</v>
      </c>
      <c r="Y33" s="22" t="s">
        <v>89</v>
      </c>
      <c r="Z33" s="22" t="s">
        <v>90</v>
      </c>
      <c r="AA33" s="22" t="s">
        <v>31</v>
      </c>
      <c r="AB33" s="22" t="s">
        <v>87</v>
      </c>
      <c r="AC33" s="22" t="s">
        <v>88</v>
      </c>
      <c r="AD33" s="22" t="s">
        <v>89</v>
      </c>
      <c r="AE33" s="22" t="s">
        <v>90</v>
      </c>
      <c r="AF33" s="22" t="s">
        <v>129</v>
      </c>
      <c r="AG33" s="22" t="s">
        <v>130</v>
      </c>
      <c r="AH33" s="203"/>
      <c r="AI33" s="88"/>
      <c r="AJ33" s="87" t="str">
        <f t="shared" si="22"/>
        <v/>
      </c>
      <c r="AK33" s="1">
        <f t="shared" si="18"/>
        <v>7</v>
      </c>
      <c r="AL33">
        <f>IFERROR(GETPIVOTDATA(""&amp;$O$3,Pivot!$B$12,""&amp;$AK$26,AK33)+GETPIVOTDATA(""&amp;$O$4,Pivot!$B$12,""&amp;$AK$26,AK33)+GETPIVOTDATA(""&amp;$O$5,Pivot!$B$12,""&amp;$AK$26,AK33),NA())</f>
        <v>0</v>
      </c>
      <c r="AM33">
        <f>IFERROR(GETPIVOTDATA(""&amp;$O$3,Pivot!$B$12,""&amp;$AK$26,AK33)+GETPIVOTDATA(""&amp;$O$5,Pivot!$B$12,""&amp;$AK$26,AK33),NA())</f>
        <v>0</v>
      </c>
      <c r="AN33">
        <f>IFERROR(GETPIVOTDATA(""&amp;$O$3,Pivot!$B$12,""&amp;$AK$26,AK33)+GETPIVOTDATA(""&amp;$O$4,Pivot!$B$12,""&amp;$AK$26,AK33)+GETPIVOTDATA(""&amp;$O$5,Pivot!$B$12,""&amp;$AK$26,AK33),NA())</f>
        <v>0</v>
      </c>
      <c r="AP33" s="1">
        <f t="shared" si="19"/>
        <v>7</v>
      </c>
      <c r="AQ33">
        <f>IFERROR(GETPIVOTDATA(""&amp;$O$6,Pivot!$B$12,""&amp;$AP$26,AP33)+GETPIVOTDATA(""&amp;$O$7,Pivot!$B$12,""&amp;$AP$26,AP33)+GETPIVOTDATA(""&amp;$O$8,Pivot!$B$12,""&amp;$AP$26,AP33),NA())</f>
        <v>0</v>
      </c>
      <c r="AR33">
        <f>IFERROR(GETPIVOTDATA(""&amp;$O$6,Pivot!$B$12,""&amp;$AP$26,AP33)+GETPIVOTDATA(""&amp;$O$8,Pivot!$B$12,""&amp;$AP$26,AP33),NA())</f>
        <v>0</v>
      </c>
      <c r="AS33" s="202">
        <f>IFERROR(GETPIVOTDATA(""&amp;$O$6,Pivot!$B$12,""&amp;$AP$26,AP33)+GETPIVOTDATA(""&amp;$O$7,Pivot!$B$12,""&amp;$AP$26,AP33)+GETPIVOTDATA(""&amp;$O$8,Pivot!$B$12,""&amp;$AP$26,AP33),NA())</f>
        <v>0</v>
      </c>
      <c r="AT33"/>
      <c r="AU33"/>
      <c r="AV33"/>
      <c r="AW33"/>
      <c r="AX33"/>
      <c r="AY33"/>
      <c r="AZ33"/>
      <c r="BA33"/>
      <c r="BB33"/>
      <c r="BC33"/>
      <c r="BD33"/>
      <c r="BE33"/>
      <c r="BF33"/>
    </row>
    <row r="34" spans="2:58" ht="15.5" x14ac:dyDescent="0.35">
      <c r="B34" s="108">
        <f>$E$25</f>
        <v>0</v>
      </c>
      <c r="C34" s="9">
        <f>$E$24</f>
        <v>0</v>
      </c>
      <c r="D34" s="9">
        <f>$E$26</f>
        <v>0</v>
      </c>
      <c r="E34" s="9">
        <f>$E$27</f>
        <v>0</v>
      </c>
      <c r="F34" s="9">
        <f>$E$29</f>
        <v>0</v>
      </c>
      <c r="G34" s="166" t="s">
        <v>66</v>
      </c>
      <c r="H34" s="167">
        <v>31</v>
      </c>
      <c r="I34" s="113">
        <v>8</v>
      </c>
      <c r="J34" s="1">
        <f t="array" ref="J34">IFERROR(GETPIVOTDATA(""&amp;$O$3,Pivot!$B$12,""&amp;$I$26,I34)+GETPIVOTDATA(""&amp;$O$4,Pivot!$B$12,""&amp;$I$26,I34)+GETPIVOTDATA(""&amp;$O$5,Pivot!$B$12,""&amp;$I$26,I34),NA())</f>
        <v>0</v>
      </c>
      <c r="K34" s="1">
        <f t="array" ref="K34">IFERROR(GETPIVOTDATA(""&amp;$O$6,Pivot!$B$12,""&amp;$I$26,I34)+GETPIVOTDATA(""&amp;$O$7,Pivot!$B$12,""&amp;$I$26,I34)+GETPIVOTDATA(""&amp;$O$8,Pivot!$B$12,""&amp;$I$26,I34),NA())</f>
        <v>0</v>
      </c>
      <c r="L34">
        <f>IFERROR(GETPIVOTDATA(""&amp;$O$6,Pivot!$B$12,""&amp;$I$26,I34)+GETPIVOTDATA(""&amp;$O$7,Pivot!$B$12,""&amp;$I$26,I34)+GETPIVOTDATA(""&amp;$O$8,Pivot!$B$12,""&amp;$I$26,I34),NA())</f>
        <v>0</v>
      </c>
      <c r="M34" s="120">
        <f t="shared" si="20"/>
        <v>8</v>
      </c>
      <c r="N34" s="1">
        <f t="shared" si="16"/>
        <v>8</v>
      </c>
      <c r="O34" s="52">
        <f>IFERROR(GETPIVOTDATA("Totale Portfolio",Pivot!$BA$12,"Giorno",N34),NA())</f>
        <v>0</v>
      </c>
      <c r="P34" s="52">
        <f t="array" ref="P34">IFERROR(INDEX(Dati[Leasing Macchina], MATCH(1, --(ROW(Dati[Leasing Macchina])&gt;=MATCH(TEXT($AH$27, "0"),Data!$F:$F, 0)) * --ISNUMBER(Dati[Leasing Macchina]), 0)), 0)</f>
        <v>0</v>
      </c>
      <c r="Q34" s="97" t="e">
        <f>IF(NOT(ISNA(J34)),NA(),GETPIVOTDATA(""&amp;Dati[[#Headers],[Leasing Macchina]],Pivot!AD19,""&amp;$N$26,Processing!N34))</f>
        <v>#N/A</v>
      </c>
      <c r="R34" s="107">
        <f t="shared" si="17"/>
        <v>8</v>
      </c>
      <c r="S34" s="52" t="e">
        <f>IFERROR(GETPIVOTDATA(""&amp;Dati[[#Headers],[Consumer Credit]],Pivot!AD19,""&amp;$R$26,R34)+GETPIVOTDATA(""&amp;Dati[[#Headers],[Credit Card]],Pivot!AD19,""&amp;$R$26,R34)+GETPIVOTDATA(""&amp;#REF!,Pivot!AD19,""&amp;$R$26,R34)+GETPIVOTDATA(""&amp;#REF!,Pivot!AD19,""&amp;$R$26,R34),NA())</f>
        <v>#N/A</v>
      </c>
      <c r="T34" s="52" t="e">
        <f t="shared" si="21"/>
        <v>#N/A</v>
      </c>
      <c r="U34" s="106" t="e">
        <f>ISNUMBER(R34)*GETPIVOTDATA(""&amp;Dati[[#Headers],[Consumer Credit]],Pivot!AD19,""&amp;$R$26,R34)+GETPIVOTDATA(""&amp;Dati[[#Headers],[Credit Card]],Pivot!AD19,""&amp;$R$26,R34)+GETPIVOTDATA(""&amp;#REF!,Pivot!AD19,""&amp;$R$26,R34)+GETPIVOTDATA(""&amp;#REF!,Pivot!AD19,""&amp;$R$26,R34)</f>
        <v>#REF!</v>
      </c>
      <c r="V34" s="8" t="s">
        <v>156</v>
      </c>
      <c r="W34" s="14">
        <f>IF(AB34&lt;=Data!V4*COUNT($AH$27:$AH$38),AB34/$AA34,IF(AB34&gt;=Data!V4*COUNT($AH$27:$AH$38),(AB34/AB34),))</f>
        <v>0</v>
      </c>
      <c r="X34" s="14">
        <f>IF(AC34&lt;0,1-AC34/AC34,IF(AC34&lt;Data!W4*COUNT($AH$27:$AH$38),AC34/$AA34,IF(AC34&gt;=Data!W4*COUNT($AH$27:$AH$38),(AC34/AC34),)))</f>
        <v>0</v>
      </c>
      <c r="Y34" s="14">
        <f>IF(AD34&lt;0,1-AD34/AD34,IF(AD34&lt;Data!X4*COUNT($AH$27:$AH$38),AD34/$AA34,IF(AD34&gt;=Data!X4*COUNT($AH$27:$AH$38),(AD34/AD34),)))</f>
        <v>0</v>
      </c>
      <c r="Z34" s="14">
        <f>IF(AE34&lt;0,1-AE34/AE34,IF(AE34&lt;Data!Y4*COUNT($AH$27:$AH$38),AE34/$AA34,IF(AE34&gt;=Data!Y4*COUNT($AH$27:$AH$38),(AE34/AE34),)))</f>
        <v>0</v>
      </c>
      <c r="AA34" s="1">
        <f>Data!Y4*COUNT($AH$27:$AH$38)</f>
        <v>1500</v>
      </c>
      <c r="AB34" s="1">
        <f>SUMIFS(Dati[Entrate Fisse Securities],Dati[Mese],V34,Dati[Anno],$AH$27)+SUMIFS(Dati[Entrate Fisse Securities],Dati[Mese],V34,Dati[Anno],$AH$28)+SUMIFS(Dati[Entrate Fisse Securities],Dati[Mese],V34,Dati[Anno],$AH$29)+SUMIFS(Dati[Entrate Fisse Securities],Dati[Mese],V34,Dati[Anno],$AH$30)+SUMIFS(Dati[Entrate Fisse Securities],Dati[Mese],V34,Dati[Anno],$AH$31)+SUMIFS(Dati[Entrate Fisse Securities],Dati[Mese],V34,Dati[Anno],$AH$32)+SUMIFS(Dati[Entrate Fisse Securities],Dati[Mese],V34,Dati[Anno],$AH$33)+SUMIFS(Dati[Entrate Fisse Securities],Dati[Mese],V34,Dati[Anno],$AH$34)+SUMIFS(Dati[Entrate Fisse Securities],Dati[Mese],V34,Dati[Anno],$AH$35)+SUMIFS(Dati[Entrate Fisse Securities],Dati[Mese],V34,Dati[Anno],$AH$36)+SUMIFS(Dati[Entrate Fisse Securities],Dati[Mese],V34,Dati[Anno],AH$37)+SUMIFS(Dati[Entrate Fisse Securities],Dati[Mese],V34,Dati[Anno],$AH$38)</f>
        <v>0</v>
      </c>
      <c r="AC34" s="1">
        <f>SUM(SUMIFS(Dati[Entrate Fisse Securities],Dati[Mese],V34,Dati[Anno],$AH$27)+SUMIFS(Dati[Entrate Fisse Securities],Dati[Mese],V34,Dati[Anno],$AH$28)+SUMIFS(Dati[Entrate Fisse Securities],Dati[Mese],V34,Dati[Anno],$AH$29)+SUMIFS(Dati[Entrate Fisse Securities],Dati[Mese],V34,Dati[Anno],$AH$30)+SUMIFS(Dati[Entrate Fisse Securities],Dati[Mese],V34,Dati[Anno],$AH$31)+SUMIFS(Dati[Entrate Fisse Securities],Dati[Mese],V34,Dati[Anno],$AH$32)+SUMIFS(Dati[Entrate Fisse Securities],Dati[Mese],V34,Dati[Anno],$AH$33)+SUMIFS(Dati[Entrate Fisse Securities],Dati[Mese],V34,Dati[Anno],$AH$34)+SUMIFS(Dati[Entrate Fisse Securities],Dati[Mese],V34,Dati[Anno],$AH$35)+SUMIFS(Dati[Entrate Fisse Securities],Dati[Mese],V34,Dati[Anno],$AH$36)+SUMIFS(Dati[Entrate Fisse Securities],Dati[Mese],V34,Dati[Anno],AH$37)+SUMIFS(Dati[Entrate Fisse Securities],Dati[Mese],V34,Dati[Anno],$AH$38))-(Data!V4*COUNT($AH$27:$AH$38))</f>
        <v>-800</v>
      </c>
      <c r="AD34" s="1">
        <f>SUM(SUMIFS(Dati[Entrate Fisse Securities],Dati[Mese],V34,Dati[Anno],$AH$27)+SUMIFS(Dati[Entrate Fisse Securities],Dati[Mese],V34,Dati[Anno],$AH$28)+SUMIFS(Dati[Entrate Fisse Securities],Dati[Mese],V34,Dati[Anno],$AH$29)+SUMIFS(Dati[Entrate Fisse Securities],Dati[Mese],V34,Dati[Anno],$AH$30)+SUMIFS(Dati[Entrate Fisse Securities],Dati[Mese],V34,Dati[Anno],$AH$31)+SUMIFS(Dati[Entrate Fisse Securities],Dati[Mese],V34,Dati[Anno],$AH$32)+SUMIFS(Dati[Entrate Fisse Securities],Dati[Mese],V34,Dati[Anno],$AH$33)+SUMIFS(Dati[Entrate Fisse Securities],Dati[Mese],V34,Dati[Anno],$AH$34)+SUMIFS(Dati[Entrate Fisse Securities],Dati[Mese],V34,Dati[Anno],$AH$35)+SUMIFS(Dati[Entrate Fisse Securities],Dati[Mese],V34,Dati[Anno],$AH$36)+SUMIFS(Dati[Entrate Fisse Securities],Dati[Mese],V34,Dati[Anno],AH$37)+SUMIFS(Dati[Entrate Fisse Securities],Dati[Mese],V34,Dati[Anno],$AH$38))-(Data!W4*COUNT($AH$27:$AH$38))</f>
        <v>-1000</v>
      </c>
      <c r="AE34" s="1">
        <f>SUM(SUMIFS(Dati[Entrate Fisse Securities],Dati[Mese],V34,Dati[Anno],$AH$27)+SUMIFS(Dati[Entrate Fisse Securities],Dati[Mese],V34,Dati[Anno],$AH$28)+SUMIFS(Dati[Entrate Fisse Securities],Dati[Mese],V34,Dati[Anno],$AH$29)+SUMIFS(Dati[Entrate Fisse Securities],Dati[Mese],V34,Dati[Anno],$AH$30)+SUMIFS(Dati[Entrate Fisse Securities],Dati[Mese],V34,Dati[Anno],$AH$31)+SUMIFS(Dati[Entrate Fisse Securities],Dati[Mese],V34,Dati[Anno],$AH$32)+SUMIFS(Dati[Entrate Fisse Securities],Dati[Mese],V34,Dati[Anno],$AH$33)+SUMIFS(Dati[Entrate Fisse Securities],Dati[Mese],V34,Dati[Anno],$AH$34)+SUMIFS(Dati[Entrate Fisse Securities],Dati[Mese],V34,Dati[Anno],$AH$35)+SUMIFS(Dati[Entrate Fisse Securities],Dati[Mese],V34,Dati[Anno],$AH$36)+SUMIFS(Dati[Entrate Fisse Securities],Dati[Mese],V34,Dati[Anno],AH$37)+SUMIFS(Dati[Entrate Fisse Securities],Dati[Mese],V34,Dati[Anno],$AH$38))-(Data!X4*COUNT($AH$27:$AH$38))</f>
        <v>-1200</v>
      </c>
      <c r="AF34" s="1">
        <v>1</v>
      </c>
      <c r="AG34" s="93" t="str">
        <f t="array" ref="AG34">IFERROR(IF(MATCH(AF34,$AJ$27:$AJ$38,0),SUM(SUMIF(Dati[Mese],Processing!V34,Dati[Entrate Fisse Securities])/Processing!AA34),NA()),"         -   %")</f>
        <v xml:space="preserve">         -   %</v>
      </c>
      <c r="AH34" s="203"/>
      <c r="AI34" s="86"/>
      <c r="AJ34" s="87" t="str">
        <f t="shared" si="22"/>
        <v/>
      </c>
      <c r="AK34" s="1">
        <f t="shared" si="18"/>
        <v>8</v>
      </c>
      <c r="AL34">
        <f>IFERROR(GETPIVOTDATA(""&amp;$O$3,Pivot!$B$12,""&amp;$AK$26,AK34)+GETPIVOTDATA(""&amp;$O$4,Pivot!$B$12,""&amp;$AK$26,AK34)+GETPIVOTDATA(""&amp;$O$5,Pivot!$B$12,""&amp;$AK$26,AK34),NA())</f>
        <v>0</v>
      </c>
      <c r="AM34">
        <f>IFERROR(GETPIVOTDATA(""&amp;$O$3,Pivot!$B$12,""&amp;$AK$26,AK34)+GETPIVOTDATA(""&amp;$O$5,Pivot!$B$12,""&amp;$AK$26,AK34),NA())</f>
        <v>0</v>
      </c>
      <c r="AN34">
        <f>IFERROR(GETPIVOTDATA(""&amp;$O$3,Pivot!$B$12,""&amp;$AK$26,AK34)+GETPIVOTDATA(""&amp;$O$4,Pivot!$B$12,""&amp;$AK$26,AK34)+GETPIVOTDATA(""&amp;$O$5,Pivot!$B$12,""&amp;$AK$26,AK34),NA())</f>
        <v>0</v>
      </c>
      <c r="AP34" s="1">
        <f t="shared" si="19"/>
        <v>8</v>
      </c>
      <c r="AQ34">
        <f>IFERROR(GETPIVOTDATA(""&amp;$O$6,Pivot!$B$12,""&amp;$AP$26,AP34)+GETPIVOTDATA(""&amp;$O$7,Pivot!$B$12,""&amp;$AP$26,AP34)+GETPIVOTDATA(""&amp;$O$8,Pivot!$B$12,""&amp;$AP$26,AP34),NA())</f>
        <v>0</v>
      </c>
      <c r="AR34">
        <f>IFERROR(GETPIVOTDATA(""&amp;$O$6,Pivot!$B$12,""&amp;$AP$26,AP34)+GETPIVOTDATA(""&amp;$O$8,Pivot!$B$12,""&amp;$AP$26,AP34),NA())</f>
        <v>0</v>
      </c>
      <c r="AS34" s="202">
        <f>IFERROR(GETPIVOTDATA(""&amp;$O$6,Pivot!$B$12,""&amp;$AP$26,AP34)+GETPIVOTDATA(""&amp;$O$7,Pivot!$B$12,""&amp;$AP$26,AP34)+GETPIVOTDATA(""&amp;$O$8,Pivot!$B$12,""&amp;$AP$26,AP34),NA())</f>
        <v>0</v>
      </c>
      <c r="AT34"/>
      <c r="AU34"/>
      <c r="AV34"/>
      <c r="AW34"/>
      <c r="AX34"/>
      <c r="AY34"/>
      <c r="AZ34"/>
      <c r="BA34"/>
      <c r="BB34"/>
      <c r="BC34"/>
      <c r="BD34"/>
      <c r="BE34"/>
      <c r="BF34"/>
    </row>
    <row r="35" spans="2:58" ht="15.5" x14ac:dyDescent="0.35">
      <c r="B35" s="108">
        <f t="shared" ref="B35:B36" si="24">$E$25</f>
        <v>0</v>
      </c>
      <c r="C35" s="9">
        <f t="shared" ref="C35:C36" si="25">$E$24</f>
        <v>0</v>
      </c>
      <c r="D35" s="9">
        <f t="shared" ref="D35:D36" si="26">$E$26</f>
        <v>0</v>
      </c>
      <c r="E35" s="9">
        <f t="shared" ref="E35:E36" si="27">$E$27</f>
        <v>0</v>
      </c>
      <c r="F35" s="9">
        <f t="shared" ref="F35:F36" si="28">$E$29</f>
        <v>0</v>
      </c>
      <c r="G35" s="166" t="s">
        <v>67</v>
      </c>
      <c r="H35" s="167">
        <v>30</v>
      </c>
      <c r="I35" s="113">
        <v>9</v>
      </c>
      <c r="J35" s="1">
        <f t="array" ref="J35">IFERROR(GETPIVOTDATA(""&amp;$O$3,Pivot!$B$12,""&amp;$I$26,I35)+GETPIVOTDATA(""&amp;$O$4,Pivot!$B$12,""&amp;$I$26,I35)+GETPIVOTDATA(""&amp;$O$5,Pivot!$B$12,""&amp;$I$26,I35),NA())</f>
        <v>0</v>
      </c>
      <c r="K35" s="1">
        <f t="array" ref="K35">IFERROR(GETPIVOTDATA(""&amp;$O$6,Pivot!$B$12,""&amp;$I$26,I35)+GETPIVOTDATA(""&amp;$O$7,Pivot!$B$12,""&amp;$I$26,I35)+GETPIVOTDATA(""&amp;$O$8,Pivot!$B$12,""&amp;$I$26,I35),NA())</f>
        <v>0</v>
      </c>
      <c r="L35">
        <f>IFERROR(GETPIVOTDATA(""&amp;$O$6,Pivot!$B$12,""&amp;$I$26,I35)+GETPIVOTDATA(""&amp;$O$7,Pivot!$B$12,""&amp;$I$26,I35)+GETPIVOTDATA(""&amp;$O$8,Pivot!$B$12,""&amp;$I$26,I35),NA())</f>
        <v>0</v>
      </c>
      <c r="M35" s="120">
        <f t="shared" si="20"/>
        <v>9</v>
      </c>
      <c r="N35" s="1">
        <f t="shared" si="16"/>
        <v>9</v>
      </c>
      <c r="O35" s="52">
        <f>IFERROR(GETPIVOTDATA("Totale Portfolio",Pivot!$BA$12,"Giorno",N35),NA())</f>
        <v>0</v>
      </c>
      <c r="P35" s="52">
        <f t="array" ref="P35">IFERROR(INDEX(Dati[Leasing Macchina], MATCH(1, --(ROW(Dati[Leasing Macchina])&gt;=MATCH(TEXT($AH$27, "0"),Data!$F:$F, 0)) * --ISNUMBER(Dati[Leasing Macchina]), 0)), 0)</f>
        <v>0</v>
      </c>
      <c r="Q35" s="97" t="e">
        <f>IF(NOT(ISNA(J35)),NA(),GETPIVOTDATA(""&amp;Dati[[#Headers],[Leasing Macchina]],Pivot!AD20,""&amp;$N$26,Processing!N35))</f>
        <v>#N/A</v>
      </c>
      <c r="R35" s="107">
        <f t="shared" si="17"/>
        <v>9</v>
      </c>
      <c r="S35" s="52" t="e">
        <f>IFERROR(GETPIVOTDATA(""&amp;Dati[[#Headers],[Consumer Credit]],Pivot!AD20,""&amp;$R$26,R35)+GETPIVOTDATA(""&amp;Dati[[#Headers],[Credit Card]],Pivot!AD20,""&amp;$R$26,R35)+GETPIVOTDATA(""&amp;#REF!,Pivot!AD20,""&amp;$R$26,R35)+GETPIVOTDATA(""&amp;#REF!,Pivot!AD20,""&amp;$R$26,R35),NA())</f>
        <v>#N/A</v>
      </c>
      <c r="T35" s="52" t="e">
        <f t="shared" si="21"/>
        <v>#N/A</v>
      </c>
      <c r="U35" s="106" t="e">
        <f>ISNUMBER(R35)*GETPIVOTDATA(""&amp;Dati[[#Headers],[Consumer Credit]],Pivot!AD20,""&amp;$R$26,R35)+GETPIVOTDATA(""&amp;Dati[[#Headers],[Credit Card]],Pivot!AD20,""&amp;$R$26,R35)+GETPIVOTDATA(""&amp;#REF!,Pivot!AD20,""&amp;$R$26,R35)+GETPIVOTDATA(""&amp;#REF!,Pivot!AD20,""&amp;$R$26,R35)</f>
        <v>#REF!</v>
      </c>
      <c r="V35" s="8" t="s">
        <v>157</v>
      </c>
      <c r="W35" s="14">
        <f>IF(AB35&lt;=Data!V5*COUNT($AH$27:$AH$38),AB35/$AA35,IF(AB35&gt;=Data!V5*COUNT($AH$27:$AH$38),(AB35/AB35),))</f>
        <v>0</v>
      </c>
      <c r="X35" s="14">
        <f>IF(AC35&lt;0,1-AC35/AC35,IF(AC35&lt;Data!W5*COUNT($AH$27:$AH$38),AC35/$AA35,IF(AC35&gt;=Data!W5*COUNT($AH$27:$AH$38),(AC35/AC35),)))</f>
        <v>0</v>
      </c>
      <c r="Y35" s="14">
        <f>IF(AD35&lt;0,1-AD35/AD35,IF(AD35&lt;Data!X5*COUNT($AH$27:$AH$38),AD35/$AA35,IF(AD35&gt;=Data!X5*COUNT($AH$27:$AH$38),(AD35/AD35),)))</f>
        <v>0</v>
      </c>
      <c r="Z35" s="14">
        <f>IF(AE35&lt;0,1-AE35/AE35,IF(AE35&lt;Data!Y5*COUNT($AH$27:$AH$38),AE35/$AA35,IF(AE35&gt;=Data!Y5*COUNT($AH$27:$AH$38),(AE35/AE35),)))</f>
        <v>0</v>
      </c>
      <c r="AA35" s="1">
        <f>Data!Y5*COUNT($AH$27:$AH$38)</f>
        <v>1500</v>
      </c>
      <c r="AB35" s="1">
        <f>SUMIFS(Dati[Entrate Fisse Securities],Dati[Mese],V35,Dati[Anno],$AH$27)+SUMIFS(Dati[Entrate Fisse Securities],Dati[Mese],V35,Dati[Anno],$AH$28)+SUMIFS(Dati[Entrate Fisse Securities],Dati[Mese],V35,Dati[Anno],$AH$29)+SUMIFS(Dati[Entrate Fisse Securities],Dati[Mese],V35,Dati[Anno],$AH$30)+SUMIFS(Dati[Entrate Fisse Securities],Dati[Mese],V35,Dati[Anno],$AH$31)+SUMIFS(Dati[Entrate Fisse Securities],Dati[Mese],V35,Dati[Anno],$AH$32)+SUMIFS(Dati[Entrate Fisse Securities],Dati[Mese],V35,Dati[Anno],$AH$33)+SUMIFS(Dati[Entrate Fisse Securities],Dati[Mese],V35,Dati[Anno],$AH$34)+SUMIFS(Dati[Entrate Fisse Securities],Dati[Mese],V35,Dati[Anno],$AH$35)+SUMIFS(Dati[Entrate Fisse Securities],Dati[Mese],V35,Dati[Anno],$AH$36)+SUMIFS(Dati[Entrate Fisse Securities],Dati[Mese],V35,Dati[Anno],AH$37)+SUMIFS(Dati[Entrate Fisse Securities],Dati[Mese],V35,Dati[Anno],$AH$38)</f>
        <v>0</v>
      </c>
      <c r="AC35" s="1">
        <f>SUM(SUMIFS(Dati[Entrate Fisse Securities],Dati[Mese],V35,Dati[Anno],$AH$27)+SUMIFS(Dati[Entrate Fisse Securities],Dati[Mese],V35,Dati[Anno],$AH$28)+SUMIFS(Dati[Entrate Fisse Securities],Dati[Mese],V35,Dati[Anno],$AH$29)+SUMIFS(Dati[Entrate Fisse Securities],Dati[Mese],V35,Dati[Anno],$AH$30)+SUMIFS(Dati[Entrate Fisse Securities],Dati[Mese],V35,Dati[Anno],$AH$31)+SUMIFS(Dati[Entrate Fisse Securities],Dati[Mese],V35,Dati[Anno],$AH$32)+SUMIFS(Dati[Entrate Fisse Securities],Dati[Mese],V35,Dati[Anno],$AH$33)+SUMIFS(Dati[Entrate Fisse Securities],Dati[Mese],V35,Dati[Anno],$AH$34)+SUMIFS(Dati[Entrate Fisse Securities],Dati[Mese],V35,Dati[Anno],$AH$35)+SUMIFS(Dati[Entrate Fisse Securities],Dati[Mese],V35,Dati[Anno],$AH$36)+SUMIFS(Dati[Entrate Fisse Securities],Dati[Mese],V35,Dati[Anno],AH$37)+SUMIFS(Dati[Entrate Fisse Securities],Dati[Mese],V35,Dati[Anno],$AH$38))-(Data!V5*COUNT($AH$27:$AH$38))</f>
        <v>-800</v>
      </c>
      <c r="AD35" s="1">
        <f>SUM(SUMIFS(Dati[Entrate Fisse Securities],Dati[Mese],V35,Dati[Anno],$AH$27)+SUMIFS(Dati[Entrate Fisse Securities],Dati[Mese],V35,Dati[Anno],$AH$28)+SUMIFS(Dati[Entrate Fisse Securities],Dati[Mese],V35,Dati[Anno],$AH$29)+SUMIFS(Dati[Entrate Fisse Securities],Dati[Mese],V35,Dati[Anno],$AH$30)+SUMIFS(Dati[Entrate Fisse Securities],Dati[Mese],V35,Dati[Anno],$AH$31)+SUMIFS(Dati[Entrate Fisse Securities],Dati[Mese],V35,Dati[Anno],$AH$32)+SUMIFS(Dati[Entrate Fisse Securities],Dati[Mese],V35,Dati[Anno],$AH$33)+SUMIFS(Dati[Entrate Fisse Securities],Dati[Mese],V35,Dati[Anno],$AH$34)+SUMIFS(Dati[Entrate Fisse Securities],Dati[Mese],V35,Dati[Anno],$AH$35)+SUMIFS(Dati[Entrate Fisse Securities],Dati[Mese],V35,Dati[Anno],$AH$36)+SUMIFS(Dati[Entrate Fisse Securities],Dati[Mese],V35,Dati[Anno],AH$37)+SUMIFS(Dati[Entrate Fisse Securities],Dati[Mese],V35,Dati[Anno],$AH$38))-(Data!W5*COUNT($AH$27:$AH$38))</f>
        <v>-1000</v>
      </c>
      <c r="AE35" s="1">
        <f>SUM(SUMIFS(Dati[Entrate Fisse Securities],Dati[Mese],V35,Dati[Anno],$AH$27)+SUMIFS(Dati[Entrate Fisse Securities],Dati[Mese],V35,Dati[Anno],$AH$28)+SUMIFS(Dati[Entrate Fisse Securities],Dati[Mese],V35,Dati[Anno],$AH$29)+SUMIFS(Dati[Entrate Fisse Securities],Dati[Mese],V35,Dati[Anno],$AH$30)+SUMIFS(Dati[Entrate Fisse Securities],Dati[Mese],V35,Dati[Anno],$AH$31)+SUMIFS(Dati[Entrate Fisse Securities],Dati[Mese],V35,Dati[Anno],$AH$32)+SUMIFS(Dati[Entrate Fisse Securities],Dati[Mese],V35,Dati[Anno],$AH$33)+SUMIFS(Dati[Entrate Fisse Securities],Dati[Mese],V35,Dati[Anno],$AH$34)+SUMIFS(Dati[Entrate Fisse Securities],Dati[Mese],V35,Dati[Anno],$AH$35)+SUMIFS(Dati[Entrate Fisse Securities],Dati[Mese],V35,Dati[Anno],$AH$36)+SUMIFS(Dati[Entrate Fisse Securities],Dati[Mese],V35,Dati[Anno],AH$37)+SUMIFS(Dati[Entrate Fisse Securities],Dati[Mese],V35,Dati[Anno],$AH$38))-(Data!X5*COUNT($AH$27:$AH$38))</f>
        <v>-1200</v>
      </c>
      <c r="AF35" s="1">
        <v>2</v>
      </c>
      <c r="AG35" s="93" t="str">
        <f t="array" ref="AG35">IFERROR(IF(MATCH(AF35,$AJ$27:$AJ$38,0),SUM(SUMIF(Dati[Mese],Processing!V35,Dati[Entrate Fisse Securities])/Processing!AA35),NA()),"         -   %")</f>
        <v xml:space="preserve">         -   %</v>
      </c>
      <c r="AH35" s="203"/>
      <c r="AI35" s="89"/>
      <c r="AJ35" s="87" t="str">
        <f t="shared" si="22"/>
        <v/>
      </c>
      <c r="AK35" s="1">
        <f t="shared" si="18"/>
        <v>9</v>
      </c>
      <c r="AL35">
        <f>IFERROR(GETPIVOTDATA(""&amp;$O$3,Pivot!$B$12,""&amp;$AK$26,AK35)+GETPIVOTDATA(""&amp;$O$4,Pivot!$B$12,""&amp;$AK$26,AK35)+GETPIVOTDATA(""&amp;$O$5,Pivot!$B$12,""&amp;$AK$26,AK35),NA())</f>
        <v>0</v>
      </c>
      <c r="AM35">
        <f>IFERROR(GETPIVOTDATA(""&amp;$O$3,Pivot!$B$12,""&amp;$AK$26,AK35)+GETPIVOTDATA(""&amp;$O$5,Pivot!$B$12,""&amp;$AK$26,AK35),NA())</f>
        <v>0</v>
      </c>
      <c r="AN35">
        <f>IFERROR(GETPIVOTDATA(""&amp;$O$3,Pivot!$B$12,""&amp;$AK$26,AK35)+GETPIVOTDATA(""&amp;$O$4,Pivot!$B$12,""&amp;$AK$26,AK35)+GETPIVOTDATA(""&amp;$O$5,Pivot!$B$12,""&amp;$AK$26,AK35),NA())</f>
        <v>0</v>
      </c>
      <c r="AP35" s="1">
        <f t="shared" si="19"/>
        <v>9</v>
      </c>
      <c r="AQ35">
        <f>IFERROR(GETPIVOTDATA(""&amp;$O$6,Pivot!$B$12,""&amp;$AP$26,AP35)+GETPIVOTDATA(""&amp;$O$7,Pivot!$B$12,""&amp;$AP$26,AP35)+GETPIVOTDATA(""&amp;$O$8,Pivot!$B$12,""&amp;$AP$26,AP35),NA())</f>
        <v>0</v>
      </c>
      <c r="AR35">
        <f>IFERROR(GETPIVOTDATA(""&amp;$O$6,Pivot!$B$12,""&amp;$AP$26,AP35)+GETPIVOTDATA(""&amp;$O$8,Pivot!$B$12,""&amp;$AP$26,AP35),NA())</f>
        <v>0</v>
      </c>
      <c r="AS35" s="202">
        <f>IFERROR(GETPIVOTDATA(""&amp;$O$6,Pivot!$B$12,""&amp;$AP$26,AP35)+GETPIVOTDATA(""&amp;$O$7,Pivot!$B$12,""&amp;$AP$26,AP35)+GETPIVOTDATA(""&amp;$O$8,Pivot!$B$12,""&amp;$AP$26,AP35),NA())</f>
        <v>0</v>
      </c>
      <c r="AT35"/>
      <c r="AU35"/>
      <c r="AV35"/>
      <c r="AW35"/>
      <c r="AX35"/>
      <c r="AY35"/>
      <c r="AZ35"/>
      <c r="BA35"/>
      <c r="BB35"/>
      <c r="BC35"/>
      <c r="BD35"/>
      <c r="BE35"/>
      <c r="BF35"/>
    </row>
    <row r="36" spans="2:58" ht="15.5" x14ac:dyDescent="0.35">
      <c r="B36" s="109">
        <f t="shared" si="24"/>
        <v>0</v>
      </c>
      <c r="C36" s="110">
        <f t="shared" si="25"/>
        <v>0</v>
      </c>
      <c r="D36" s="110">
        <f t="shared" si="26"/>
        <v>0</v>
      </c>
      <c r="E36" s="110">
        <f t="shared" si="27"/>
        <v>0</v>
      </c>
      <c r="F36" s="110">
        <f t="shared" si="28"/>
        <v>0</v>
      </c>
      <c r="G36" s="166" t="s">
        <v>69</v>
      </c>
      <c r="H36" s="167">
        <v>31</v>
      </c>
      <c r="I36" s="113">
        <v>10</v>
      </c>
      <c r="J36" s="1">
        <f t="array" ref="J36">IFERROR(GETPIVOTDATA(""&amp;$O$3,Pivot!$B$12,""&amp;$I$26,I36)+GETPIVOTDATA(""&amp;$O$4,Pivot!$B$12,""&amp;$I$26,I36)+GETPIVOTDATA(""&amp;$O$5,Pivot!$B$12,""&amp;$I$26,I36),NA())</f>
        <v>0</v>
      </c>
      <c r="K36" s="1">
        <f t="array" ref="K36">IFERROR(GETPIVOTDATA(""&amp;$O$6,Pivot!$B$12,""&amp;$I$26,I36)+GETPIVOTDATA(""&amp;$O$7,Pivot!$B$12,""&amp;$I$26,I36)+GETPIVOTDATA(""&amp;$O$8,Pivot!$B$12,""&amp;$I$26,I36),NA())</f>
        <v>0</v>
      </c>
      <c r="L36">
        <f>IFERROR(GETPIVOTDATA(""&amp;$O$6,Pivot!$B$12,""&amp;$I$26,I36)+GETPIVOTDATA(""&amp;$O$7,Pivot!$B$12,""&amp;$I$26,I36)+GETPIVOTDATA(""&amp;$O$8,Pivot!$B$12,""&amp;$I$26,I36),NA())</f>
        <v>0</v>
      </c>
      <c r="M36" s="120">
        <f t="shared" si="20"/>
        <v>10</v>
      </c>
      <c r="N36" s="1">
        <f t="shared" si="16"/>
        <v>10</v>
      </c>
      <c r="O36" s="52">
        <f>IFERROR(GETPIVOTDATA("Totale Portfolio",Pivot!$BA$12,"Giorno",N36),NA())</f>
        <v>0</v>
      </c>
      <c r="P36" s="52">
        <f t="array" ref="P36">IFERROR(INDEX(Dati[Leasing Macchina], MATCH(1, --(ROW(Dati[Leasing Macchina])&gt;=MATCH(TEXT($AH$27, "0"),Data!$F:$F, 0)) * --ISNUMBER(Dati[Leasing Macchina]), 0)), 0)</f>
        <v>0</v>
      </c>
      <c r="Q36" s="97" t="e">
        <f>IF(NOT(ISNA(J36)),NA(),GETPIVOTDATA(""&amp;Dati[[#Headers],[Leasing Macchina]],Pivot!AD21,""&amp;$N$26,Processing!N36))</f>
        <v>#N/A</v>
      </c>
      <c r="R36" s="107">
        <f t="shared" si="17"/>
        <v>10</v>
      </c>
      <c r="S36" s="52" t="e">
        <f>IFERROR(GETPIVOTDATA(""&amp;Dati[[#Headers],[Consumer Credit]],Pivot!AD21,""&amp;$R$26,R36)+GETPIVOTDATA(""&amp;Dati[[#Headers],[Credit Card]],Pivot!AD21,""&amp;$R$26,R36)+GETPIVOTDATA(""&amp;#REF!,Pivot!AD21,""&amp;$R$26,R36)+GETPIVOTDATA(""&amp;#REF!,Pivot!AD21,""&amp;$R$26,R36),NA())</f>
        <v>#N/A</v>
      </c>
      <c r="T36" s="52" t="e">
        <f t="shared" si="21"/>
        <v>#N/A</v>
      </c>
      <c r="U36" s="106" t="e">
        <f>ISNUMBER(R36)*GETPIVOTDATA(""&amp;Dati[[#Headers],[Consumer Credit]],Pivot!AD21,""&amp;$R$26,R36)+GETPIVOTDATA(""&amp;Dati[[#Headers],[Credit Card]],Pivot!AD21,""&amp;$R$26,R36)+GETPIVOTDATA(""&amp;#REF!,Pivot!AD21,""&amp;$R$26,R36)+GETPIVOTDATA(""&amp;#REF!,Pivot!AD21,""&amp;$R$26,R36)</f>
        <v>#REF!</v>
      </c>
      <c r="V36" s="8" t="s">
        <v>158</v>
      </c>
      <c r="W36" s="14">
        <f>IF(AB36&lt;=Data!V6*COUNT($AH$27:$AH$38),AB36/$AA36,IF(AB36&gt;=Data!V6*COUNT($AH$27:$AH$38),(AB36/AB36),))</f>
        <v>0</v>
      </c>
      <c r="X36" s="14">
        <f>IF(AC36&lt;0,1-AC36/AC36,IF(AC36&lt;Data!W6*COUNT($AH$27:$AH$38),AC36/$AA36,IF(AC36&gt;=Data!W6*COUNT($AH$27:$AH$38),(AC36/AC36),)))</f>
        <v>0</v>
      </c>
      <c r="Y36" s="14">
        <f>IF(AD36&lt;0,1-AD36/AD36,IF(AD36&lt;Data!X6*COUNT($AH$27:$AH$38),AD36/$AA36,IF(AD36&gt;=Data!X6*COUNT($AH$27:$AH$38),(AD36/AD36),)))</f>
        <v>0</v>
      </c>
      <c r="Z36" s="14">
        <f>IF(AE36&lt;0,1-AE36/AE36,IF(AE36&lt;Data!Y6*COUNT($AH$27:$AH$38),AE36/$AA36,IF(AE36&gt;=Data!Y6*COUNT($AH$27:$AH$38),(AE36/AE36),)))</f>
        <v>0</v>
      </c>
      <c r="AA36" s="1">
        <f>Data!Y6*COUNT($AH$27:$AH$38)</f>
        <v>1500</v>
      </c>
      <c r="AB36" s="1">
        <f>SUMIFS(Dati[Entrate Fisse Securities],Dati[Mese],V36,Dati[Anno],$AH$27)+SUMIFS(Dati[Entrate Fisse Securities],Dati[Mese],V36,Dati[Anno],$AH$28)+SUMIFS(Dati[Entrate Fisse Securities],Dati[Mese],V36,Dati[Anno],$AH$29)+SUMIFS(Dati[Entrate Fisse Securities],Dati[Mese],V36,Dati[Anno],$AH$30)+SUMIFS(Dati[Entrate Fisse Securities],Dati[Mese],V36,Dati[Anno],$AH$31)+SUMIFS(Dati[Entrate Fisse Securities],Dati[Mese],V36,Dati[Anno],$AH$32)+SUMIFS(Dati[Entrate Fisse Securities],Dati[Mese],V36,Dati[Anno],$AH$33)+SUMIFS(Dati[Entrate Fisse Securities],Dati[Mese],V36,Dati[Anno],$AH$34)+SUMIFS(Dati[Entrate Fisse Securities],Dati[Mese],V36,Dati[Anno],$AH$35)+SUMIFS(Dati[Entrate Fisse Securities],Dati[Mese],V36,Dati[Anno],$AH$36)+SUMIFS(Dati[Entrate Fisse Securities],Dati[Mese],V36,Dati[Anno],AH$37)+SUMIFS(Dati[Entrate Fisse Securities],Dati[Mese],V36,Dati[Anno],$AH$38)</f>
        <v>0</v>
      </c>
      <c r="AC36" s="1">
        <f>SUM(SUMIFS(Dati[Entrate Fisse Securities],Dati[Mese],V36,Dati[Anno],$AH$27)+SUMIFS(Dati[Entrate Fisse Securities],Dati[Mese],V36,Dati[Anno],$AH$28)+SUMIFS(Dati[Entrate Fisse Securities],Dati[Mese],V36,Dati[Anno],$AH$29)+SUMIFS(Dati[Entrate Fisse Securities],Dati[Mese],V36,Dati[Anno],$AH$30)+SUMIFS(Dati[Entrate Fisse Securities],Dati[Mese],V36,Dati[Anno],$AH$31)+SUMIFS(Dati[Entrate Fisse Securities],Dati[Mese],V36,Dati[Anno],$AH$32)+SUMIFS(Dati[Entrate Fisse Securities],Dati[Mese],V36,Dati[Anno],$AH$33)+SUMIFS(Dati[Entrate Fisse Securities],Dati[Mese],V36,Dati[Anno],$AH$34)+SUMIFS(Dati[Entrate Fisse Securities],Dati[Mese],V36,Dati[Anno],$AH$35)+SUMIFS(Dati[Entrate Fisse Securities],Dati[Mese],V36,Dati[Anno],$AH$36)+SUMIFS(Dati[Entrate Fisse Securities],Dati[Mese],V36,Dati[Anno],AH$37)+SUMIFS(Dati[Entrate Fisse Securities],Dati[Mese],V36,Dati[Anno],$AH$38))-(Data!V6*COUNT($AH$27:$AH$38))</f>
        <v>-800</v>
      </c>
      <c r="AD36" s="1">
        <f>SUM(SUMIFS(Dati[Entrate Fisse Securities],Dati[Mese],V36,Dati[Anno],$AH$27)+SUMIFS(Dati[Entrate Fisse Securities],Dati[Mese],V36,Dati[Anno],$AH$28)+SUMIFS(Dati[Entrate Fisse Securities],Dati[Mese],V36,Dati[Anno],$AH$29)+SUMIFS(Dati[Entrate Fisse Securities],Dati[Mese],V36,Dati[Anno],$AH$30)+SUMIFS(Dati[Entrate Fisse Securities],Dati[Mese],V36,Dati[Anno],$AH$31)+SUMIFS(Dati[Entrate Fisse Securities],Dati[Mese],V36,Dati[Anno],$AH$32)+SUMIFS(Dati[Entrate Fisse Securities],Dati[Mese],V36,Dati[Anno],$AH$33)+SUMIFS(Dati[Entrate Fisse Securities],Dati[Mese],V36,Dati[Anno],$AH$34)+SUMIFS(Dati[Entrate Fisse Securities],Dati[Mese],V36,Dati[Anno],$AH$35)+SUMIFS(Dati[Entrate Fisse Securities],Dati[Mese],V36,Dati[Anno],$AH$36)+SUMIFS(Dati[Entrate Fisse Securities],Dati[Mese],V36,Dati[Anno],AH$37)+SUMIFS(Dati[Entrate Fisse Securities],Dati[Mese],V36,Dati[Anno],$AH$38))-(Data!W6*COUNT($AH$27:$AH$38))</f>
        <v>-1000</v>
      </c>
      <c r="AE36" s="1">
        <f>SUM(SUMIFS(Dati[Entrate Fisse Securities],Dati[Mese],V36,Dati[Anno],$AH$27)+SUMIFS(Dati[Entrate Fisse Securities],Dati[Mese],V36,Dati[Anno],$AH$28)+SUMIFS(Dati[Entrate Fisse Securities],Dati[Mese],V36,Dati[Anno],$AH$29)+SUMIFS(Dati[Entrate Fisse Securities],Dati[Mese],V36,Dati[Anno],$AH$30)+SUMIFS(Dati[Entrate Fisse Securities],Dati[Mese],V36,Dati[Anno],$AH$31)+SUMIFS(Dati[Entrate Fisse Securities],Dati[Mese],V36,Dati[Anno],$AH$32)+SUMIFS(Dati[Entrate Fisse Securities],Dati[Mese],V36,Dati[Anno],$AH$33)+SUMIFS(Dati[Entrate Fisse Securities],Dati[Mese],V36,Dati[Anno],$AH$34)+SUMIFS(Dati[Entrate Fisse Securities],Dati[Mese],V36,Dati[Anno],$AH$35)+SUMIFS(Dati[Entrate Fisse Securities],Dati[Mese],V36,Dati[Anno],$AH$36)+SUMIFS(Dati[Entrate Fisse Securities],Dati[Mese],V36,Dati[Anno],AH$37)+SUMIFS(Dati[Entrate Fisse Securities],Dati[Mese],V36,Dati[Anno],$AH$38))-(Data!X6*COUNT($AH$27:$AH$38))</f>
        <v>-1200</v>
      </c>
      <c r="AF36" s="1">
        <v>3</v>
      </c>
      <c r="AG36" s="93" t="str">
        <f t="array" ref="AG36">IFERROR(IF(MATCH(AF36,$AJ$27:$AJ$38,0),SUM(SUMIF(Dati[Mese],Processing!V36,Dati[Entrate Fisse Securities])/Processing!AA36),NA()),"         -   %")</f>
        <v xml:space="preserve">         -   %</v>
      </c>
      <c r="AH36" s="203"/>
      <c r="AI36" s="89"/>
      <c r="AJ36" s="87" t="str">
        <f t="shared" si="22"/>
        <v/>
      </c>
      <c r="AK36" s="1">
        <f t="shared" si="18"/>
        <v>10</v>
      </c>
      <c r="AL36">
        <f>IFERROR(GETPIVOTDATA(""&amp;$O$3,Pivot!$B$12,""&amp;$AK$26,AK36)+GETPIVOTDATA(""&amp;$O$4,Pivot!$B$12,""&amp;$AK$26,AK36)+GETPIVOTDATA(""&amp;$O$5,Pivot!$B$12,""&amp;$AK$26,AK36),NA())</f>
        <v>0</v>
      </c>
      <c r="AM36">
        <f>IFERROR(GETPIVOTDATA(""&amp;$O$3,Pivot!$B$12,""&amp;$AK$26,AK36)+GETPIVOTDATA(""&amp;$O$5,Pivot!$B$12,""&amp;$AK$26,AK36),NA())</f>
        <v>0</v>
      </c>
      <c r="AN36">
        <f>IFERROR(GETPIVOTDATA(""&amp;$O$3,Pivot!$B$12,""&amp;$AK$26,AK36)+GETPIVOTDATA(""&amp;$O$4,Pivot!$B$12,""&amp;$AK$26,AK36)+GETPIVOTDATA(""&amp;$O$5,Pivot!$B$12,""&amp;$AK$26,AK36),NA())</f>
        <v>0</v>
      </c>
      <c r="AP36" s="1">
        <f t="shared" si="19"/>
        <v>10</v>
      </c>
      <c r="AQ36">
        <f>IFERROR(GETPIVOTDATA(""&amp;$O$6,Pivot!$B$12,""&amp;$AP$26,AP36)+GETPIVOTDATA(""&amp;$O$7,Pivot!$B$12,""&amp;$AP$26,AP36)+GETPIVOTDATA(""&amp;$O$8,Pivot!$B$12,""&amp;$AP$26,AP36),NA())</f>
        <v>0</v>
      </c>
      <c r="AR36">
        <f>IFERROR(GETPIVOTDATA(""&amp;$O$6,Pivot!$B$12,""&amp;$AP$26,AP36)+GETPIVOTDATA(""&amp;$O$8,Pivot!$B$12,""&amp;$AP$26,AP36),NA())</f>
        <v>0</v>
      </c>
      <c r="AS36" s="202">
        <f>IFERROR(GETPIVOTDATA(""&amp;$O$6,Pivot!$B$12,""&amp;$AP$26,AP36)+GETPIVOTDATA(""&amp;$O$7,Pivot!$B$12,""&amp;$AP$26,AP36)+GETPIVOTDATA(""&amp;$O$8,Pivot!$B$12,""&amp;$AP$26,AP36),NA())</f>
        <v>0</v>
      </c>
      <c r="AT36"/>
      <c r="AU36"/>
      <c r="AV36"/>
      <c r="AW36"/>
      <c r="AX36"/>
      <c r="AY36"/>
      <c r="AZ36"/>
      <c r="BA36"/>
      <c r="BB36"/>
      <c r="BC36"/>
      <c r="BD36"/>
      <c r="BE36"/>
      <c r="BF36"/>
    </row>
    <row r="37" spans="2:58" ht="15.5" x14ac:dyDescent="0.35">
      <c r="G37" s="166" t="s">
        <v>72</v>
      </c>
      <c r="H37" s="167">
        <v>30</v>
      </c>
      <c r="I37" s="113">
        <v>11</v>
      </c>
      <c r="J37" s="1">
        <f t="array" ref="J37">IFERROR(GETPIVOTDATA(""&amp;$O$3,Pivot!$B$12,""&amp;$I$26,I37)+GETPIVOTDATA(""&amp;$O$4,Pivot!$B$12,""&amp;$I$26,I37)+GETPIVOTDATA(""&amp;$O$5,Pivot!$B$12,""&amp;$I$26,I37),NA())</f>
        <v>0</v>
      </c>
      <c r="K37" s="1">
        <f t="array" ref="K37">IFERROR(GETPIVOTDATA(""&amp;$O$6,Pivot!$B$12,""&amp;$I$26,I37)+GETPIVOTDATA(""&amp;$O$7,Pivot!$B$12,""&amp;$I$26,I37)+GETPIVOTDATA(""&amp;$O$8,Pivot!$B$12,""&amp;$I$26,I37),NA())</f>
        <v>0</v>
      </c>
      <c r="L37">
        <f>IFERROR(GETPIVOTDATA(""&amp;$O$6,Pivot!$B$12,""&amp;$I$26,I37)+GETPIVOTDATA(""&amp;$O$7,Pivot!$B$12,""&amp;$I$26,I37)+GETPIVOTDATA(""&amp;$O$8,Pivot!$B$12,""&amp;$I$26,I37),NA())</f>
        <v>0</v>
      </c>
      <c r="M37" s="120">
        <f t="shared" si="20"/>
        <v>11</v>
      </c>
      <c r="N37" s="1">
        <f t="shared" si="16"/>
        <v>11</v>
      </c>
      <c r="O37" s="52">
        <f>IFERROR(GETPIVOTDATA("Totale Portfolio",Pivot!$BA$12,"Giorno",N37),NA())</f>
        <v>0</v>
      </c>
      <c r="P37" s="52">
        <f t="array" ref="P37">IFERROR(INDEX(Dati[Leasing Macchina], MATCH(1, --(ROW(Dati[Leasing Macchina])&gt;=MATCH(TEXT($AH$27, "0"),Data!$F:$F, 0)) * --ISNUMBER(Dati[Leasing Macchina]), 0)), 0)</f>
        <v>0</v>
      </c>
      <c r="Q37" s="97" t="e">
        <f>IF(NOT(ISNA(J37)),NA(),GETPIVOTDATA(""&amp;Dati[[#Headers],[Leasing Macchina]],Pivot!AD22,""&amp;$N$26,Processing!N37))</f>
        <v>#N/A</v>
      </c>
      <c r="R37" s="107">
        <f t="shared" si="17"/>
        <v>11</v>
      </c>
      <c r="S37" s="52" t="e">
        <f>IFERROR(GETPIVOTDATA(""&amp;Dati[[#Headers],[Consumer Credit]],Pivot!AD22,""&amp;$R$26,R37)+GETPIVOTDATA(""&amp;Dati[[#Headers],[Credit Card]],Pivot!AD22,""&amp;$R$26,R37)+GETPIVOTDATA(""&amp;#REF!,Pivot!AD22,""&amp;$R$26,R37)+GETPIVOTDATA(""&amp;#REF!,Pivot!AD22,""&amp;$R$26,R37),NA())</f>
        <v>#N/A</v>
      </c>
      <c r="T37" s="52" t="e">
        <f t="shared" si="21"/>
        <v>#N/A</v>
      </c>
      <c r="U37" s="106" t="e">
        <f>ISNUMBER(R37)*GETPIVOTDATA(""&amp;Dati[[#Headers],[Consumer Credit]],Pivot!AD22,""&amp;$R$26,R37)+GETPIVOTDATA(""&amp;Dati[[#Headers],[Credit Card]],Pivot!AD22,""&amp;$R$26,R37)+GETPIVOTDATA(""&amp;#REF!,Pivot!AD22,""&amp;$R$26,R37)+GETPIVOTDATA(""&amp;#REF!,Pivot!AD22,""&amp;$R$26,R37)</f>
        <v>#REF!</v>
      </c>
      <c r="V37" s="8" t="s">
        <v>159</v>
      </c>
      <c r="W37" s="14">
        <f>IF(AB37&lt;=Data!V7*COUNT($AH$27:$AH$38),AB37/$AA37,IF(AB37&gt;=Data!V7*COUNT($AH$27:$AH$38),(AB37/AB37),))</f>
        <v>0</v>
      </c>
      <c r="X37" s="14">
        <f>IF(AC37&lt;0,1-AC37/AC37,IF(AC37&lt;Data!W7*COUNT($AH$27:$AH$38),AC37/$AA37,IF(AC37&gt;=Data!W7*COUNT($AH$27:$AH$38),(AC37/AC37),)))</f>
        <v>0</v>
      </c>
      <c r="Y37" s="14">
        <f>IF(AD37&lt;0,1-AD37/AD37,IF(AD37&lt;Data!X7*COUNT($AH$27:$AH$38),AD37/$AA37,IF(AD37&gt;=Data!X7*COUNT($AH$27:$AH$38),(AD37/AD37),)))</f>
        <v>0</v>
      </c>
      <c r="Z37" s="14">
        <f>IF(AE37&lt;0,1-AE37/AE37,IF(AE37&lt;Data!Y7*COUNT($AH$27:$AH$38),AE37/$AA37,IF(AE37&gt;=Data!Y7*COUNT($AH$27:$AH$38),(AE37/AE37),)))</f>
        <v>0</v>
      </c>
      <c r="AA37" s="1">
        <f>Data!Y7*COUNT($AH$27:$AH$38)</f>
        <v>1800</v>
      </c>
      <c r="AB37" s="1">
        <f>SUMIFS(Dati[Entrate Fisse Securities],Dati[Mese],V37,Dati[Anno],$AH$27)+SUMIFS(Dati[Entrate Fisse Securities],Dati[Mese],V37,Dati[Anno],$AH$28)+SUMIFS(Dati[Entrate Fisse Securities],Dati[Mese],V37,Dati[Anno],$AH$29)+SUMIFS(Dati[Entrate Fisse Securities],Dati[Mese],V37,Dati[Anno],$AH$30)+SUMIFS(Dati[Entrate Fisse Securities],Dati[Mese],V37,Dati[Anno],$AH$31)+SUMIFS(Dati[Entrate Fisse Securities],Dati[Mese],V37,Dati[Anno],$AH$32)+SUMIFS(Dati[Entrate Fisse Securities],Dati[Mese],V37,Dati[Anno],$AH$33)+SUMIFS(Dati[Entrate Fisse Securities],Dati[Mese],V37,Dati[Anno],$AH$34)+SUMIFS(Dati[Entrate Fisse Securities],Dati[Mese],V37,Dati[Anno],$AH$35)+SUMIFS(Dati[Entrate Fisse Securities],Dati[Mese],V37,Dati[Anno],$AH$36)+SUMIFS(Dati[Entrate Fisse Securities],Dati[Mese],V37,Dati[Anno],AH$37)+SUMIFS(Dati[Entrate Fisse Securities],Dati[Mese],V37,Dati[Anno],$AH$38)</f>
        <v>0</v>
      </c>
      <c r="AC37" s="1">
        <f>SUM(SUMIFS(Dati[Entrate Fisse Securities],Dati[Mese],V37,Dati[Anno],$AH$27)+SUMIFS(Dati[Entrate Fisse Securities],Dati[Mese],V37,Dati[Anno],$AH$28)+SUMIFS(Dati[Entrate Fisse Securities],Dati[Mese],V37,Dati[Anno],$AH$29)+SUMIFS(Dati[Entrate Fisse Securities],Dati[Mese],V37,Dati[Anno],$AH$30)+SUMIFS(Dati[Entrate Fisse Securities],Dati[Mese],V37,Dati[Anno],$AH$31)+SUMIFS(Dati[Entrate Fisse Securities],Dati[Mese],V37,Dati[Anno],$AH$32)+SUMIFS(Dati[Entrate Fisse Securities],Dati[Mese],V37,Dati[Anno],$AH$33)+SUMIFS(Dati[Entrate Fisse Securities],Dati[Mese],V37,Dati[Anno],$AH$34)+SUMIFS(Dati[Entrate Fisse Securities],Dati[Mese],V37,Dati[Anno],$AH$35)+SUMIFS(Dati[Entrate Fisse Securities],Dati[Mese],V37,Dati[Anno],$AH$36)+SUMIFS(Dati[Entrate Fisse Securities],Dati[Mese],V37,Dati[Anno],AH$37)+SUMIFS(Dati[Entrate Fisse Securities],Dati[Mese],V37,Dati[Anno],$AH$38))-(Data!V7*COUNT($AH$27:$AH$38))</f>
        <v>-1000</v>
      </c>
      <c r="AD37" s="1">
        <f>SUM(SUMIFS(Dati[Entrate Fisse Securities],Dati[Mese],V37,Dati[Anno],$AH$27)+SUMIFS(Dati[Entrate Fisse Securities],Dati[Mese],V37,Dati[Anno],$AH$28)+SUMIFS(Dati[Entrate Fisse Securities],Dati[Mese],V37,Dati[Anno],$AH$29)+SUMIFS(Dati[Entrate Fisse Securities],Dati[Mese],V37,Dati[Anno],$AH$30)+SUMIFS(Dati[Entrate Fisse Securities],Dati[Mese],V37,Dati[Anno],$AH$31)+SUMIFS(Dati[Entrate Fisse Securities],Dati[Mese],V37,Dati[Anno],$AH$32)+SUMIFS(Dati[Entrate Fisse Securities],Dati[Mese],V37,Dati[Anno],$AH$33)+SUMIFS(Dati[Entrate Fisse Securities],Dati[Mese],V37,Dati[Anno],$AH$34)+SUMIFS(Dati[Entrate Fisse Securities],Dati[Mese],V37,Dati[Anno],$AH$35)+SUMIFS(Dati[Entrate Fisse Securities],Dati[Mese],V37,Dati[Anno],$AH$36)+SUMIFS(Dati[Entrate Fisse Securities],Dati[Mese],V37,Dati[Anno],AH$37)+SUMIFS(Dati[Entrate Fisse Securities],Dati[Mese],V37,Dati[Anno],$AH$38))-(Data!W7*COUNT($AH$27:$AH$38))</f>
        <v>-1250</v>
      </c>
      <c r="AE37" s="1">
        <f>SUM(SUMIFS(Dati[Entrate Fisse Securities],Dati[Mese],V37,Dati[Anno],$AH$27)+SUMIFS(Dati[Entrate Fisse Securities],Dati[Mese],V37,Dati[Anno],$AH$28)+SUMIFS(Dati[Entrate Fisse Securities],Dati[Mese],V37,Dati[Anno],$AH$29)+SUMIFS(Dati[Entrate Fisse Securities],Dati[Mese],V37,Dati[Anno],$AH$30)+SUMIFS(Dati[Entrate Fisse Securities],Dati[Mese],V37,Dati[Anno],$AH$31)+SUMIFS(Dati[Entrate Fisse Securities],Dati[Mese],V37,Dati[Anno],$AH$32)+SUMIFS(Dati[Entrate Fisse Securities],Dati[Mese],V37,Dati[Anno],$AH$33)+SUMIFS(Dati[Entrate Fisse Securities],Dati[Mese],V37,Dati[Anno],$AH$34)+SUMIFS(Dati[Entrate Fisse Securities],Dati[Mese],V37,Dati[Anno],$AH$35)+SUMIFS(Dati[Entrate Fisse Securities],Dati[Mese],V37,Dati[Anno],$AH$36)+SUMIFS(Dati[Entrate Fisse Securities],Dati[Mese],V37,Dati[Anno],AH$37)+SUMIFS(Dati[Entrate Fisse Securities],Dati[Mese],V37,Dati[Anno],$AH$38))-(Data!X7*COUNT($AH$27:$AH$38))</f>
        <v>-1500</v>
      </c>
      <c r="AF37" s="1">
        <v>4</v>
      </c>
      <c r="AG37" s="93" t="str">
        <f t="array" ref="AG37">IFERROR(IF(MATCH(AF37,$AJ$27:$AJ$38,0),SUM(SUMIF(Dati[Mese],Processing!V37,Dati[Entrate Fisse Securities])/Processing!AA37),NA()),"         -   %")</f>
        <v xml:space="preserve">         -   %</v>
      </c>
      <c r="AH37" s="203"/>
      <c r="AI37" s="89"/>
      <c r="AJ37" s="87" t="str">
        <f t="shared" si="22"/>
        <v/>
      </c>
      <c r="AK37" s="1">
        <f t="shared" si="18"/>
        <v>11</v>
      </c>
      <c r="AL37">
        <f>IFERROR(GETPIVOTDATA(""&amp;$O$3,Pivot!$B$12,""&amp;$AK$26,AK37)+GETPIVOTDATA(""&amp;$O$4,Pivot!$B$12,""&amp;$AK$26,AK37)+GETPIVOTDATA(""&amp;$O$5,Pivot!$B$12,""&amp;$AK$26,AK37),NA())</f>
        <v>0</v>
      </c>
      <c r="AM37">
        <f>IFERROR(GETPIVOTDATA(""&amp;$O$3,Pivot!$B$12,""&amp;$AK$26,AK37)+GETPIVOTDATA(""&amp;$O$5,Pivot!$B$12,""&amp;$AK$26,AK37),NA())</f>
        <v>0</v>
      </c>
      <c r="AN37">
        <f>IFERROR(GETPIVOTDATA(""&amp;$O$3,Pivot!$B$12,""&amp;$AK$26,AK37)+GETPIVOTDATA(""&amp;$O$4,Pivot!$B$12,""&amp;$AK$26,AK37)+GETPIVOTDATA(""&amp;$O$5,Pivot!$B$12,""&amp;$AK$26,AK37),NA())</f>
        <v>0</v>
      </c>
      <c r="AP37" s="1">
        <f t="shared" si="19"/>
        <v>11</v>
      </c>
      <c r="AQ37">
        <f>IFERROR(GETPIVOTDATA(""&amp;$O$6,Pivot!$B$12,""&amp;$AP$26,AP37)+GETPIVOTDATA(""&amp;$O$7,Pivot!$B$12,""&amp;$AP$26,AP37)+GETPIVOTDATA(""&amp;$O$8,Pivot!$B$12,""&amp;$AP$26,AP37),NA())</f>
        <v>0</v>
      </c>
      <c r="AR37">
        <f>IFERROR(GETPIVOTDATA(""&amp;$O$6,Pivot!$B$12,""&amp;$AP$26,AP37)+GETPIVOTDATA(""&amp;$O$8,Pivot!$B$12,""&amp;$AP$26,AP37),NA())</f>
        <v>0</v>
      </c>
      <c r="AS37" s="202">
        <f>IFERROR(GETPIVOTDATA(""&amp;$O$6,Pivot!$B$12,""&amp;$AP$26,AP37)+GETPIVOTDATA(""&amp;$O$7,Pivot!$B$12,""&amp;$AP$26,AP37)+GETPIVOTDATA(""&amp;$O$8,Pivot!$B$12,""&amp;$AP$26,AP37),NA())</f>
        <v>0</v>
      </c>
      <c r="AT37"/>
      <c r="AU37"/>
      <c r="AV37"/>
      <c r="AW37"/>
      <c r="AX37"/>
      <c r="AY37"/>
      <c r="AZ37"/>
      <c r="BA37"/>
      <c r="BB37"/>
      <c r="BC37"/>
      <c r="BD37"/>
      <c r="BE37"/>
      <c r="BF37"/>
    </row>
    <row r="38" spans="2:58" ht="15.5" x14ac:dyDescent="0.35">
      <c r="G38" s="168" t="s">
        <v>73</v>
      </c>
      <c r="H38" s="169">
        <v>31</v>
      </c>
      <c r="I38" s="113">
        <v>12</v>
      </c>
      <c r="J38" s="1">
        <f t="array" ref="J38">IFERROR(GETPIVOTDATA(""&amp;$O$3,Pivot!$B$12,""&amp;$I$26,I38)+GETPIVOTDATA(""&amp;$O$4,Pivot!$B$12,""&amp;$I$26,I38)+GETPIVOTDATA(""&amp;$O$5,Pivot!$B$12,""&amp;$I$26,I38),NA())</f>
        <v>0</v>
      </c>
      <c r="K38" s="1">
        <f t="array" ref="K38">IFERROR(GETPIVOTDATA(""&amp;$O$6,Pivot!$B$12,""&amp;$I$26,I38)+GETPIVOTDATA(""&amp;$O$7,Pivot!$B$12,""&amp;$I$26,I38)+GETPIVOTDATA(""&amp;$O$8,Pivot!$B$12,""&amp;$I$26,I38),NA())</f>
        <v>0</v>
      </c>
      <c r="L38">
        <f>IFERROR(GETPIVOTDATA(""&amp;$O$6,Pivot!$B$12,""&amp;$I$26,I38)+GETPIVOTDATA(""&amp;$O$7,Pivot!$B$12,""&amp;$I$26,I38)+GETPIVOTDATA(""&amp;$O$8,Pivot!$B$12,""&amp;$I$26,I38),NA())</f>
        <v>0</v>
      </c>
      <c r="M38" s="120">
        <f t="shared" si="20"/>
        <v>12</v>
      </c>
      <c r="N38" s="1">
        <f t="shared" si="16"/>
        <v>12</v>
      </c>
      <c r="O38" s="52">
        <f>IFERROR(GETPIVOTDATA("Totale Portfolio",Pivot!$BA$12,"Giorno",N38),NA())</f>
        <v>0</v>
      </c>
      <c r="P38" s="52">
        <f t="array" ref="P38">IFERROR(INDEX(Dati[Leasing Macchina], MATCH(1, --(ROW(Dati[Leasing Macchina])&gt;=MATCH(TEXT($AH$27, "0"),Data!$F:$F, 0)) * --ISNUMBER(Dati[Leasing Macchina]), 0)), 0)</f>
        <v>0</v>
      </c>
      <c r="Q38" s="97" t="e">
        <f>IF(NOT(ISNA(J38)),NA(),GETPIVOTDATA(""&amp;Dati[[#Headers],[Leasing Macchina]],Pivot!AD23,""&amp;$N$26,Processing!N38))</f>
        <v>#N/A</v>
      </c>
      <c r="R38" s="107">
        <f t="shared" si="17"/>
        <v>12</v>
      </c>
      <c r="S38" s="52" t="e">
        <f>IFERROR(GETPIVOTDATA(""&amp;Dati[[#Headers],[Consumer Credit]],Pivot!AD23,""&amp;$R$26,R38)+GETPIVOTDATA(""&amp;Dati[[#Headers],[Credit Card]],Pivot!AD23,""&amp;$R$26,R38)+GETPIVOTDATA(""&amp;#REF!,Pivot!AD23,""&amp;$R$26,R38)+GETPIVOTDATA(""&amp;#REF!,Pivot!AD23,""&amp;$R$26,R38),NA())</f>
        <v>#N/A</v>
      </c>
      <c r="T38" s="52" t="e">
        <f t="shared" si="21"/>
        <v>#N/A</v>
      </c>
      <c r="U38" s="106" t="e">
        <f>ISNUMBER(R38)*GETPIVOTDATA(""&amp;Dati[[#Headers],[Consumer Credit]],Pivot!AD23,""&amp;$R$26,R38)+GETPIVOTDATA(""&amp;Dati[[#Headers],[Credit Card]],Pivot!AD23,""&amp;$R$26,R38)+GETPIVOTDATA(""&amp;#REF!,Pivot!AD23,""&amp;$R$26,R38)+GETPIVOTDATA(""&amp;#REF!,Pivot!AD23,""&amp;$R$26,R38)</f>
        <v>#REF!</v>
      </c>
      <c r="V38" s="8" t="s">
        <v>160</v>
      </c>
      <c r="W38" s="14">
        <f>IF(AB38&lt;=Data!V8*COUNT($AH$27:$AH$38),AB38/$AA38,IF(AB38&gt;=Data!V8*COUNT($AH$27:$AH$38),(AB38/AB38),))</f>
        <v>0</v>
      </c>
      <c r="X38" s="14">
        <f>IF(AC38&lt;0,1-AC38/AC38,IF(AC38&lt;Data!W8*COUNT($AH$27:$AH$38),AC38/$AA38,IF(AC38&gt;=Data!W8*COUNT($AH$27:$AH$38),(AC38/AC38),)))</f>
        <v>0</v>
      </c>
      <c r="Y38" s="14">
        <f>IF(AD38&lt;0,1-AD38/AD38,IF(AD38&lt;Data!X8*COUNT($AH$27:$AH$38),AD38/$AA38,IF(AD38&gt;=Data!X8*COUNT($AH$27:$AH$38),(AD38/AD38),)))</f>
        <v>0</v>
      </c>
      <c r="Z38" s="14">
        <f>IF(AE38&lt;0,1-AE38/AE38,IF(AE38&lt;Data!Y8*COUNT($AH$27:$AH$38),AE38/$AA38,IF(AE38&gt;=Data!Y8*COUNT($AH$27:$AH$38),(AE38/AE38),)))</f>
        <v>0</v>
      </c>
      <c r="AA38" s="1">
        <f>Data!Y8*COUNT($AH$27:$AH$38)</f>
        <v>1800</v>
      </c>
      <c r="AB38" s="1">
        <f>SUMIFS(Dati[Entrate Fisse Securities],Dati[Mese],V38,Dati[Anno],$AH$27)+SUMIFS(Dati[Entrate Fisse Securities],Dati[Mese],V38,Dati[Anno],$AH$28)+SUMIFS(Dati[Entrate Fisse Securities],Dati[Mese],V38,Dati[Anno],$AH$29)+SUMIFS(Dati[Entrate Fisse Securities],Dati[Mese],V38,Dati[Anno],$AH$30)+SUMIFS(Dati[Entrate Fisse Securities],Dati[Mese],V38,Dati[Anno],$AH$31)+SUMIFS(Dati[Entrate Fisse Securities],Dati[Mese],V38,Dati[Anno],$AH$32)+SUMIFS(Dati[Entrate Fisse Securities],Dati[Mese],V38,Dati[Anno],$AH$33)+SUMIFS(Dati[Entrate Fisse Securities],Dati[Mese],V38,Dati[Anno],$AH$34)+SUMIFS(Dati[Entrate Fisse Securities],Dati[Mese],V38,Dati[Anno],$AH$35)+SUMIFS(Dati[Entrate Fisse Securities],Dati[Mese],V38,Dati[Anno],$AH$36)+SUMIFS(Dati[Entrate Fisse Securities],Dati[Mese],V38,Dati[Anno],AH$37)+SUMIFS(Dati[Entrate Fisse Securities],Dati[Mese],V38,Dati[Anno],$AH$38)</f>
        <v>0</v>
      </c>
      <c r="AC38" s="1">
        <f>SUM(SUMIFS(Dati[Entrate Fisse Securities],Dati[Mese],V38,Dati[Anno],$AH$27)+SUMIFS(Dati[Entrate Fisse Securities],Dati[Mese],V38,Dati[Anno],$AH$28)+SUMIFS(Dati[Entrate Fisse Securities],Dati[Mese],V38,Dati[Anno],$AH$29)+SUMIFS(Dati[Entrate Fisse Securities],Dati[Mese],V38,Dati[Anno],$AH$30)+SUMIFS(Dati[Entrate Fisse Securities],Dati[Mese],V38,Dati[Anno],$AH$31)+SUMIFS(Dati[Entrate Fisse Securities],Dati[Mese],V38,Dati[Anno],$AH$32)+SUMIFS(Dati[Entrate Fisse Securities],Dati[Mese],V38,Dati[Anno],$AH$33)+SUMIFS(Dati[Entrate Fisse Securities],Dati[Mese],V38,Dati[Anno],$AH$34)+SUMIFS(Dati[Entrate Fisse Securities],Dati[Mese],V38,Dati[Anno],$AH$35)+SUMIFS(Dati[Entrate Fisse Securities],Dati[Mese],V38,Dati[Anno],$AH$36)+SUMIFS(Dati[Entrate Fisse Securities],Dati[Mese],V38,Dati[Anno],AH$37)+SUMIFS(Dati[Entrate Fisse Securities],Dati[Mese],V38,Dati[Anno],$AH$38))-(Data!V8*COUNT($AH$27:$AH$38))</f>
        <v>-1000</v>
      </c>
      <c r="AD38" s="1">
        <f>SUM(SUMIFS(Dati[Entrate Fisse Securities],Dati[Mese],V38,Dati[Anno],$AH$27)+SUMIFS(Dati[Entrate Fisse Securities],Dati[Mese],V38,Dati[Anno],$AH$28)+SUMIFS(Dati[Entrate Fisse Securities],Dati[Mese],V38,Dati[Anno],$AH$29)+SUMIFS(Dati[Entrate Fisse Securities],Dati[Mese],V38,Dati[Anno],$AH$30)+SUMIFS(Dati[Entrate Fisse Securities],Dati[Mese],V38,Dati[Anno],$AH$31)+SUMIFS(Dati[Entrate Fisse Securities],Dati[Mese],V38,Dati[Anno],$AH$32)+SUMIFS(Dati[Entrate Fisse Securities],Dati[Mese],V38,Dati[Anno],$AH$33)+SUMIFS(Dati[Entrate Fisse Securities],Dati[Mese],V38,Dati[Anno],$AH$34)+SUMIFS(Dati[Entrate Fisse Securities],Dati[Mese],V38,Dati[Anno],$AH$35)+SUMIFS(Dati[Entrate Fisse Securities],Dati[Mese],V38,Dati[Anno],$AH$36)+SUMIFS(Dati[Entrate Fisse Securities],Dati[Mese],V38,Dati[Anno],AH$37)+SUMIFS(Dati[Entrate Fisse Securities],Dati[Mese],V38,Dati[Anno],$AH$38))-(Data!W8*COUNT($AH$27:$AH$38))</f>
        <v>-1250</v>
      </c>
      <c r="AE38" s="1">
        <f>SUM(SUMIFS(Dati[Entrate Fisse Securities],Dati[Mese],V38,Dati[Anno],$AH$27)+SUMIFS(Dati[Entrate Fisse Securities],Dati[Mese],V38,Dati[Anno],$AH$28)+SUMIFS(Dati[Entrate Fisse Securities],Dati[Mese],V38,Dati[Anno],$AH$29)+SUMIFS(Dati[Entrate Fisse Securities],Dati[Mese],V38,Dati[Anno],$AH$30)+SUMIFS(Dati[Entrate Fisse Securities],Dati[Mese],V38,Dati[Anno],$AH$31)+SUMIFS(Dati[Entrate Fisse Securities],Dati[Mese],V38,Dati[Anno],$AH$32)+SUMIFS(Dati[Entrate Fisse Securities],Dati[Mese],V38,Dati[Anno],$AH$33)+SUMIFS(Dati[Entrate Fisse Securities],Dati[Mese],V38,Dati[Anno],$AH$34)+SUMIFS(Dati[Entrate Fisse Securities],Dati[Mese],V38,Dati[Anno],$AH$35)+SUMIFS(Dati[Entrate Fisse Securities],Dati[Mese],V38,Dati[Anno],$AH$36)+SUMIFS(Dati[Entrate Fisse Securities],Dati[Mese],V38,Dati[Anno],AH$37)+SUMIFS(Dati[Entrate Fisse Securities],Dati[Mese],V38,Dati[Anno],$AH$38))-(Data!X8*COUNT($AH$27:$AH$38))</f>
        <v>-1500</v>
      </c>
      <c r="AF38" s="1">
        <v>5</v>
      </c>
      <c r="AG38" s="93">
        <f t="array" ref="AG38">IFERROR(IF(MATCH(AF38,$AJ$27:$AJ$38,0),SUM(SUMIF(Dati[Mese],Processing!V38,Dati[Entrate Fisse Securities])/Processing!AA38),NA()),"         -   %")</f>
        <v>0</v>
      </c>
      <c r="AH38" s="204"/>
      <c r="AI38" s="90"/>
      <c r="AJ38" s="91" t="str">
        <f t="shared" si="22"/>
        <v/>
      </c>
      <c r="AK38" s="1">
        <f t="shared" si="18"/>
        <v>12</v>
      </c>
      <c r="AL38">
        <f>IFERROR(GETPIVOTDATA(""&amp;$O$3,Pivot!$B$12,""&amp;$AK$26,AK38)+GETPIVOTDATA(""&amp;$O$4,Pivot!$B$12,""&amp;$AK$26,AK38)+GETPIVOTDATA(""&amp;$O$5,Pivot!$B$12,""&amp;$AK$26,AK38),NA())</f>
        <v>0</v>
      </c>
      <c r="AM38">
        <f>IFERROR(GETPIVOTDATA(""&amp;$O$3,Pivot!$B$12,""&amp;$AK$26,AK38)+GETPIVOTDATA(""&amp;$O$5,Pivot!$B$12,""&amp;$AK$26,AK38),NA())</f>
        <v>0</v>
      </c>
      <c r="AN38">
        <f>IFERROR(GETPIVOTDATA(""&amp;$O$3,Pivot!$B$12,""&amp;$AK$26,AK38)+GETPIVOTDATA(""&amp;$O$4,Pivot!$B$12,""&amp;$AK$26,AK38)+GETPIVOTDATA(""&amp;$O$5,Pivot!$B$12,""&amp;$AK$26,AK38),NA())</f>
        <v>0</v>
      </c>
      <c r="AP38" s="1">
        <f t="shared" si="19"/>
        <v>12</v>
      </c>
      <c r="AQ38">
        <f>IFERROR(GETPIVOTDATA(""&amp;$O$6,Pivot!$B$12,""&amp;$AP$26,AP38)+GETPIVOTDATA(""&amp;$O$7,Pivot!$B$12,""&amp;$AP$26,AP38)+GETPIVOTDATA(""&amp;$O$8,Pivot!$B$12,""&amp;$AP$26,AP38),NA())</f>
        <v>0</v>
      </c>
      <c r="AR38">
        <f>IFERROR(GETPIVOTDATA(""&amp;$O$6,Pivot!$B$12,""&amp;$AP$26,AP38)+GETPIVOTDATA(""&amp;$O$8,Pivot!$B$12,""&amp;$AP$26,AP38),NA())</f>
        <v>0</v>
      </c>
      <c r="AS38" s="202">
        <f>IFERROR(GETPIVOTDATA(""&amp;$O$6,Pivot!$B$12,""&amp;$AP$26,AP38)+GETPIVOTDATA(""&amp;$O$7,Pivot!$B$12,""&amp;$AP$26,AP38)+GETPIVOTDATA(""&amp;$O$8,Pivot!$B$12,""&amp;$AP$26,AP38),NA())</f>
        <v>0</v>
      </c>
      <c r="AT38"/>
      <c r="AU38"/>
      <c r="AV38"/>
      <c r="AW38"/>
      <c r="AX38"/>
      <c r="AY38"/>
      <c r="AZ38"/>
      <c r="BA38"/>
      <c r="BB38"/>
      <c r="BC38"/>
      <c r="BD38"/>
      <c r="BE38"/>
      <c r="BF38"/>
    </row>
    <row r="39" spans="2:58" ht="15.5" x14ac:dyDescent="0.35">
      <c r="B39" s="1" t="s">
        <v>51</v>
      </c>
      <c r="C39" s="1" t="s">
        <v>131</v>
      </c>
      <c r="I39" s="113">
        <v>13</v>
      </c>
      <c r="J39" s="1">
        <f t="array" ref="J39">IFERROR(GETPIVOTDATA(""&amp;$O$3,Pivot!$B$12,""&amp;$I$26,I39)+GETPIVOTDATA(""&amp;$O$4,Pivot!$B$12,""&amp;$I$26,I39)+GETPIVOTDATA(""&amp;$O$5,Pivot!$B$12,""&amp;$I$26,I39),NA())</f>
        <v>0</v>
      </c>
      <c r="K39" s="1">
        <f t="array" ref="K39">IFERROR(GETPIVOTDATA(""&amp;$O$6,Pivot!$B$12,""&amp;$I$26,I39)+GETPIVOTDATA(""&amp;$O$7,Pivot!$B$12,""&amp;$I$26,I39)+GETPIVOTDATA(""&amp;$O$8,Pivot!$B$12,""&amp;$I$26,I39),NA())</f>
        <v>0</v>
      </c>
      <c r="L39">
        <f>IFERROR(GETPIVOTDATA(""&amp;$O$6,Pivot!$B$12,""&amp;$I$26,I39)+GETPIVOTDATA(""&amp;$O$7,Pivot!$B$12,""&amp;$I$26,I39)+GETPIVOTDATA(""&amp;$O$8,Pivot!$B$12,""&amp;$I$26,I39),NA())</f>
        <v>0</v>
      </c>
      <c r="M39" s="120">
        <f t="shared" si="20"/>
        <v>13</v>
      </c>
      <c r="N39" s="1">
        <f t="shared" si="16"/>
        <v>13</v>
      </c>
      <c r="O39" s="52">
        <f>IFERROR(GETPIVOTDATA("Totale Portfolio",Pivot!$BA$12,"Giorno",N39),NA())</f>
        <v>0</v>
      </c>
      <c r="P39" s="52">
        <f t="array" ref="P39">IFERROR(INDEX(Dati[Leasing Macchina], MATCH(1, --(ROW(Dati[Leasing Macchina])&gt;=MATCH(TEXT($AH$27, "0"),Data!$F:$F, 0)) * --ISNUMBER(Dati[Leasing Macchina]), 0)), 0)</f>
        <v>0</v>
      </c>
      <c r="Q39" s="97" t="e">
        <f>IF(NOT(ISNA(J39)),NA(),GETPIVOTDATA(""&amp;Dati[[#Headers],[Leasing Macchina]],Pivot!AD24,""&amp;$N$26,Processing!N39))</f>
        <v>#N/A</v>
      </c>
      <c r="R39" s="107">
        <f t="shared" si="17"/>
        <v>13</v>
      </c>
      <c r="S39" s="52" t="e">
        <f>IFERROR(GETPIVOTDATA(""&amp;Dati[[#Headers],[Consumer Credit]],Pivot!AD24,""&amp;$R$26,R39)+GETPIVOTDATA(""&amp;Dati[[#Headers],[Credit Card]],Pivot!AD24,""&amp;$R$26,R39)+GETPIVOTDATA(""&amp;#REF!,Pivot!AD24,""&amp;$R$26,R39)+GETPIVOTDATA(""&amp;#REF!,Pivot!AD24,""&amp;$R$26,R39),NA())</f>
        <v>#N/A</v>
      </c>
      <c r="T39" s="52" t="e">
        <f t="shared" si="21"/>
        <v>#N/A</v>
      </c>
      <c r="U39" s="106" t="e">
        <f>ISNUMBER(R39)*GETPIVOTDATA(""&amp;Dati[[#Headers],[Consumer Credit]],Pivot!AD24,""&amp;$R$26,R39)+GETPIVOTDATA(""&amp;Dati[[#Headers],[Credit Card]],Pivot!AD24,""&amp;$R$26,R39)+GETPIVOTDATA(""&amp;#REF!,Pivot!AD24,""&amp;$R$26,R39)+GETPIVOTDATA(""&amp;#REF!,Pivot!AD24,""&amp;$R$26,R39)</f>
        <v>#REF!</v>
      </c>
      <c r="V39" s="8" t="s">
        <v>161</v>
      </c>
      <c r="W39" s="14">
        <f>IF(AB39&lt;=Data!V9*COUNT($AH$27:$AH$38),AB39/$AA39,IF(AB39&gt;=Data!V9*COUNT($AH$27:$AH$38),(AB39/AB39),))</f>
        <v>0</v>
      </c>
      <c r="X39" s="14">
        <f>IF(AC39&lt;0,1-AC39/AC39,IF(AC39&lt;Data!W9*COUNT($AH$27:$AH$38),AC39/$AA39,IF(AC39&gt;=Data!W9*COUNT($AH$27:$AH$38),(AC39/AC39),)))</f>
        <v>0</v>
      </c>
      <c r="Y39" s="14">
        <f>IF(AD39&lt;0,1-AD39/AD39,IF(AD39&lt;Data!X9*COUNT($AH$27:$AH$38),AD39/$AA39,IF(AD39&gt;=Data!X9*COUNT($AH$27:$AH$38),(AD39/AD39),)))</f>
        <v>0</v>
      </c>
      <c r="Z39" s="14">
        <f>IF(AE39&lt;0,1-AE39/AE39,IF(AE39&lt;Data!Y9*COUNT($AH$27:$AH$38),AE39/$AA39,IF(AE39&gt;=Data!Y9*COUNT($AH$27:$AH$38),(AE39/AE39),)))</f>
        <v>0</v>
      </c>
      <c r="AA39" s="1">
        <f>Data!Y9*COUNT($AH$27:$AH$38)</f>
        <v>1800</v>
      </c>
      <c r="AB39" s="1">
        <f>SUMIFS(Dati[Entrate Fisse Securities],Dati[Mese],V39,Dati[Anno],$AH$27)+SUMIFS(Dati[Entrate Fisse Securities],Dati[Mese],V39,Dati[Anno],$AH$28)+SUMIFS(Dati[Entrate Fisse Securities],Dati[Mese],V39,Dati[Anno],$AH$29)+SUMIFS(Dati[Entrate Fisse Securities],Dati[Mese],V39,Dati[Anno],$AH$30)+SUMIFS(Dati[Entrate Fisse Securities],Dati[Mese],V39,Dati[Anno],$AH$31)+SUMIFS(Dati[Entrate Fisse Securities],Dati[Mese],V39,Dati[Anno],$AH$32)+SUMIFS(Dati[Entrate Fisse Securities],Dati[Mese],V39,Dati[Anno],$AH$33)+SUMIFS(Dati[Entrate Fisse Securities],Dati[Mese],V39,Dati[Anno],$AH$34)+SUMIFS(Dati[Entrate Fisse Securities],Dati[Mese],V39,Dati[Anno],$AH$35)+SUMIFS(Dati[Entrate Fisse Securities],Dati[Mese],V39,Dati[Anno],$AH$36)+SUMIFS(Dati[Entrate Fisse Securities],Dati[Mese],V39,Dati[Anno],AH$37)+SUMIFS(Dati[Entrate Fisse Securities],Dati[Mese],V39,Dati[Anno],$AH$38)</f>
        <v>0</v>
      </c>
      <c r="AC39" s="1">
        <f>SUM(SUMIFS(Dati[Entrate Fisse Securities],Dati[Mese],V39,Dati[Anno],$AH$27)+SUMIFS(Dati[Entrate Fisse Securities],Dati[Mese],V39,Dati[Anno],$AH$28)+SUMIFS(Dati[Entrate Fisse Securities],Dati[Mese],V39,Dati[Anno],$AH$29)+SUMIFS(Dati[Entrate Fisse Securities],Dati[Mese],V39,Dati[Anno],$AH$30)+SUMIFS(Dati[Entrate Fisse Securities],Dati[Mese],V39,Dati[Anno],$AH$31)+SUMIFS(Dati[Entrate Fisse Securities],Dati[Mese],V39,Dati[Anno],$AH$32)+SUMIFS(Dati[Entrate Fisse Securities],Dati[Mese],V39,Dati[Anno],$AH$33)+SUMIFS(Dati[Entrate Fisse Securities],Dati[Mese],V39,Dati[Anno],$AH$34)+SUMIFS(Dati[Entrate Fisse Securities],Dati[Mese],V39,Dati[Anno],$AH$35)+SUMIFS(Dati[Entrate Fisse Securities],Dati[Mese],V39,Dati[Anno],$AH$36)+SUMIFS(Dati[Entrate Fisse Securities],Dati[Mese],V39,Dati[Anno],AH$37)+SUMIFS(Dati[Entrate Fisse Securities],Dati[Mese],V39,Dati[Anno],$AH$38))-(Data!V9*COUNT($AH$27:$AH$38))</f>
        <v>-1000</v>
      </c>
      <c r="AD39" s="1">
        <f>SUM(SUMIFS(Dati[Entrate Fisse Securities],Dati[Mese],V39,Dati[Anno],$AH$27)+SUMIFS(Dati[Entrate Fisse Securities],Dati[Mese],V39,Dati[Anno],$AH$28)+SUMIFS(Dati[Entrate Fisse Securities],Dati[Mese],V39,Dati[Anno],$AH$29)+SUMIFS(Dati[Entrate Fisse Securities],Dati[Mese],V39,Dati[Anno],$AH$30)+SUMIFS(Dati[Entrate Fisse Securities],Dati[Mese],V39,Dati[Anno],$AH$31)+SUMIFS(Dati[Entrate Fisse Securities],Dati[Mese],V39,Dati[Anno],$AH$32)+SUMIFS(Dati[Entrate Fisse Securities],Dati[Mese],V39,Dati[Anno],$AH$33)+SUMIFS(Dati[Entrate Fisse Securities],Dati[Mese],V39,Dati[Anno],$AH$34)+SUMIFS(Dati[Entrate Fisse Securities],Dati[Mese],V39,Dati[Anno],$AH$35)+SUMIFS(Dati[Entrate Fisse Securities],Dati[Mese],V39,Dati[Anno],$AH$36)+SUMIFS(Dati[Entrate Fisse Securities],Dati[Mese],V39,Dati[Anno],AH$37)+SUMIFS(Dati[Entrate Fisse Securities],Dati[Mese],V39,Dati[Anno],$AH$38))-(Data!W9*COUNT($AH$27:$AH$38))</f>
        <v>-1250</v>
      </c>
      <c r="AE39" s="1">
        <f>SUM(SUMIFS(Dati[Entrate Fisse Securities],Dati[Mese],V39,Dati[Anno],$AH$27)+SUMIFS(Dati[Entrate Fisse Securities],Dati[Mese],V39,Dati[Anno],$AH$28)+SUMIFS(Dati[Entrate Fisse Securities],Dati[Mese],V39,Dati[Anno],$AH$29)+SUMIFS(Dati[Entrate Fisse Securities],Dati[Mese],V39,Dati[Anno],$AH$30)+SUMIFS(Dati[Entrate Fisse Securities],Dati[Mese],V39,Dati[Anno],$AH$31)+SUMIFS(Dati[Entrate Fisse Securities],Dati[Mese],V39,Dati[Anno],$AH$32)+SUMIFS(Dati[Entrate Fisse Securities],Dati[Mese],V39,Dati[Anno],$AH$33)+SUMIFS(Dati[Entrate Fisse Securities],Dati[Mese],V39,Dati[Anno],$AH$34)+SUMIFS(Dati[Entrate Fisse Securities],Dati[Mese],V39,Dati[Anno],$AH$35)+SUMIFS(Dati[Entrate Fisse Securities],Dati[Mese],V39,Dati[Anno],$AH$36)+SUMIFS(Dati[Entrate Fisse Securities],Dati[Mese],V39,Dati[Anno],AH$37)+SUMIFS(Dati[Entrate Fisse Securities],Dati[Mese],V39,Dati[Anno],$AH$38))-(Data!X9*COUNT($AH$27:$AH$38))</f>
        <v>-1500</v>
      </c>
      <c r="AF39" s="1">
        <v>6</v>
      </c>
      <c r="AG39" s="93" t="str">
        <f t="array" ref="AG39">IFERROR(IF(MATCH(AF39,$AJ$27:$AJ$38,0),SUM(SUMIF(Dati[Mese],Processing!V39,Dati[Entrate Fisse Securities])/Processing!AA39),NA()),"         -   %")</f>
        <v xml:space="preserve">         -   %</v>
      </c>
      <c r="AH39" s="205"/>
      <c r="AI39" s="64"/>
      <c r="AJ39" s="64"/>
      <c r="AK39" s="1">
        <f t="shared" si="18"/>
        <v>13</v>
      </c>
      <c r="AL39">
        <f>IFERROR(GETPIVOTDATA(""&amp;$O$3,Pivot!$B$12,""&amp;$AK$26,AK39)+GETPIVOTDATA(""&amp;$O$4,Pivot!$B$12,""&amp;$AK$26,AK39)+GETPIVOTDATA(""&amp;$O$5,Pivot!$B$12,""&amp;$AK$26,AK39),NA())</f>
        <v>0</v>
      </c>
      <c r="AM39">
        <f>IFERROR(GETPIVOTDATA(""&amp;$O$3,Pivot!$B$12,""&amp;$AK$26,AK39)+GETPIVOTDATA(""&amp;$O$5,Pivot!$B$12,""&amp;$AK$26,AK39),NA())</f>
        <v>0</v>
      </c>
      <c r="AN39">
        <f>IFERROR(GETPIVOTDATA(""&amp;$O$3,Pivot!$B$12,""&amp;$AK$26,AK39)+GETPIVOTDATA(""&amp;$O$4,Pivot!$B$12,""&amp;$AK$26,AK39)+GETPIVOTDATA(""&amp;$O$5,Pivot!$B$12,""&amp;$AK$26,AK39),NA())</f>
        <v>0</v>
      </c>
      <c r="AP39" s="1">
        <f t="shared" si="19"/>
        <v>13</v>
      </c>
      <c r="AQ39">
        <f>IFERROR(GETPIVOTDATA(""&amp;$O$6,Pivot!$B$12,""&amp;$AP$26,AP39)+GETPIVOTDATA(""&amp;$O$7,Pivot!$B$12,""&amp;$AP$26,AP39)+GETPIVOTDATA(""&amp;$O$8,Pivot!$B$12,""&amp;$AP$26,AP39),NA())</f>
        <v>0</v>
      </c>
      <c r="AR39">
        <f>IFERROR(GETPIVOTDATA(""&amp;$O$6,Pivot!$B$12,""&amp;$AP$26,AP39)+GETPIVOTDATA(""&amp;$O$8,Pivot!$B$12,""&amp;$AP$26,AP39),NA())</f>
        <v>0</v>
      </c>
      <c r="AS39" s="202">
        <f>IFERROR(GETPIVOTDATA(""&amp;$O$6,Pivot!$B$12,""&amp;$AP$26,AP39)+GETPIVOTDATA(""&amp;$O$7,Pivot!$B$12,""&amp;$AP$26,AP39)+GETPIVOTDATA(""&amp;$O$8,Pivot!$B$12,""&amp;$AP$26,AP39),NA())</f>
        <v>0</v>
      </c>
      <c r="AT39"/>
      <c r="AU39"/>
      <c r="AV39"/>
      <c r="AW39"/>
      <c r="AX39"/>
      <c r="AY39"/>
      <c r="AZ39"/>
      <c r="BA39"/>
      <c r="BB39"/>
      <c r="BC39"/>
      <c r="BD39"/>
      <c r="BE39"/>
      <c r="BF39"/>
    </row>
    <row r="40" spans="2:58" ht="15.5" x14ac:dyDescent="0.35">
      <c r="C40" s="1" t="s">
        <v>22</v>
      </c>
      <c r="D40" s="1" t="s">
        <v>23</v>
      </c>
      <c r="E40" s="1" t="s">
        <v>24</v>
      </c>
      <c r="F40" s="1" t="s">
        <v>25</v>
      </c>
      <c r="G40" s="1" t="s">
        <v>26</v>
      </c>
      <c r="H40" s="21" t="s">
        <v>116</v>
      </c>
      <c r="I40" s="113">
        <v>14</v>
      </c>
      <c r="J40" s="1">
        <f t="array" ref="J40">IFERROR(GETPIVOTDATA(""&amp;$O$3,Pivot!$B$12,""&amp;$I$26,I40)+GETPIVOTDATA(""&amp;$O$4,Pivot!$B$12,""&amp;$I$26,I40)+GETPIVOTDATA(""&amp;$O$5,Pivot!$B$12,""&amp;$I$26,I40),NA())</f>
        <v>1000</v>
      </c>
      <c r="K40" s="1">
        <f t="array" ref="K40">IFERROR(GETPIVOTDATA(""&amp;$O$6,Pivot!$B$12,""&amp;$I$26,I40)+GETPIVOTDATA(""&amp;$O$7,Pivot!$B$12,""&amp;$I$26,I40)+GETPIVOTDATA(""&amp;$O$8,Pivot!$B$12,""&amp;$I$26,I40),NA())</f>
        <v>132</v>
      </c>
      <c r="L40">
        <f>IFERROR(GETPIVOTDATA(""&amp;$O$6,Pivot!$B$12,""&amp;$I$26,I40)+GETPIVOTDATA(""&amp;$O$7,Pivot!$B$12,""&amp;$I$26,I40)+GETPIVOTDATA(""&amp;$O$8,Pivot!$B$12,""&amp;$I$26,I40),NA())</f>
        <v>132</v>
      </c>
      <c r="M40" s="120">
        <f t="shared" si="20"/>
        <v>14</v>
      </c>
      <c r="N40" s="1">
        <f t="shared" si="16"/>
        <v>14</v>
      </c>
      <c r="O40" s="52">
        <f>IFERROR(GETPIVOTDATA("Totale Portfolio",Pivot!$BA$12,"Giorno",N40),NA())</f>
        <v>0</v>
      </c>
      <c r="P40" s="52">
        <f t="array" ref="P40">IFERROR(INDEX(Dati[Leasing Macchina], MATCH(1, --(ROW(Dati[Leasing Macchina])&gt;=MATCH(TEXT($AH$27, "0"),Data!$F:$F, 0)) * --ISNUMBER(Dati[Leasing Macchina]), 0)), 0)</f>
        <v>0</v>
      </c>
      <c r="Q40" s="97" t="e">
        <f>IF(NOT(ISNA(J40)),NA(),GETPIVOTDATA(""&amp;Dati[[#Headers],[Leasing Macchina]],Pivot!AD25,""&amp;$N$26,Processing!N40))</f>
        <v>#N/A</v>
      </c>
      <c r="R40" s="107">
        <f t="shared" si="17"/>
        <v>14</v>
      </c>
      <c r="S40" s="52" t="e">
        <f>IFERROR(GETPIVOTDATA(""&amp;Dati[[#Headers],[Consumer Credit]],Pivot!AD25,""&amp;$R$26,R40)+GETPIVOTDATA(""&amp;Dati[[#Headers],[Credit Card]],Pivot!AD25,""&amp;$R$26,R40)+GETPIVOTDATA(""&amp;#REF!,Pivot!AD25,""&amp;$R$26,R40)+GETPIVOTDATA(""&amp;#REF!,Pivot!AD25,""&amp;$R$26,R40),NA())</f>
        <v>#N/A</v>
      </c>
      <c r="T40" s="52" t="e">
        <f t="shared" si="21"/>
        <v>#N/A</v>
      </c>
      <c r="U40" s="106" t="e">
        <f>ISNUMBER(R40)*GETPIVOTDATA(""&amp;Dati[[#Headers],[Consumer Credit]],Pivot!AD25,""&amp;$R$26,R40)+GETPIVOTDATA(""&amp;Dati[[#Headers],[Credit Card]],Pivot!AD25,""&amp;$R$26,R40)+GETPIVOTDATA(""&amp;#REF!,Pivot!AD25,""&amp;$R$26,R40)+GETPIVOTDATA(""&amp;#REF!,Pivot!AD25,""&amp;$R$26,R40)</f>
        <v>#REF!</v>
      </c>
      <c r="V40" s="8" t="s">
        <v>162</v>
      </c>
      <c r="W40" s="14">
        <f>IF(AB40&lt;=Data!V10*COUNT($AH$27:$AH$38),AB40/$AA40,IF(AB40&gt;=Data!V10*COUNT($AH$27:$AH$38),(AB40/AB40),))</f>
        <v>0</v>
      </c>
      <c r="X40" s="14">
        <f>IF(AC40&lt;0,1-AC40/AC40,IF(AC40&lt;Data!W10*COUNT($AH$27:$AH$38),AC40/$AA40,IF(AC40&gt;=Data!W10*COUNT($AH$27:$AH$38),(AC40/AC40),)))</f>
        <v>0</v>
      </c>
      <c r="Y40" s="14">
        <f>IF(AD40&lt;0,1-AD40/AD40,IF(AD40&lt;Data!X10*COUNT($AH$27:$AH$38),AD40/$AA40,IF(AD40&gt;=Data!X10*COUNT($AH$27:$AH$38),(AD40/AD40),)))</f>
        <v>0</v>
      </c>
      <c r="Z40" s="14">
        <f>IF(AE40&lt;0,1-AE40/AE40,IF(AE40&lt;Data!Y10*COUNT($AH$27:$AH$38),AE40/$AA40,IF(AE40&gt;=Data!Y10*COUNT($AH$27:$AH$38),(AE40/AE40),)))</f>
        <v>0</v>
      </c>
      <c r="AA40" s="1">
        <f>Data!Y10*COUNT($AH$27:$AH$38)</f>
        <v>1800</v>
      </c>
      <c r="AB40" s="1">
        <f>SUMIFS(Dati[Entrate Fisse Securities],Dati[Mese],V40,Dati[Anno],$AH$27)+SUMIFS(Dati[Entrate Fisse Securities],Dati[Mese],V40,Dati[Anno],$AH$28)+SUMIFS(Dati[Entrate Fisse Securities],Dati[Mese],V40,Dati[Anno],$AH$29)+SUMIFS(Dati[Entrate Fisse Securities],Dati[Mese],V40,Dati[Anno],$AH$30)+SUMIFS(Dati[Entrate Fisse Securities],Dati[Mese],V40,Dati[Anno],$AH$31)+SUMIFS(Dati[Entrate Fisse Securities],Dati[Mese],V40,Dati[Anno],$AH$32)+SUMIFS(Dati[Entrate Fisse Securities],Dati[Mese],V40,Dati[Anno],$AH$33)+SUMIFS(Dati[Entrate Fisse Securities],Dati[Mese],V40,Dati[Anno],$AH$34)+SUMIFS(Dati[Entrate Fisse Securities],Dati[Mese],V40,Dati[Anno],$AH$35)+SUMIFS(Dati[Entrate Fisse Securities],Dati[Mese],V40,Dati[Anno],$AH$36)+SUMIFS(Dati[Entrate Fisse Securities],Dati[Mese],V40,Dati[Anno],AH$37)+SUMIFS(Dati[Entrate Fisse Securities],Dati[Mese],V40,Dati[Anno],$AH$38)</f>
        <v>0</v>
      </c>
      <c r="AC40" s="1">
        <f>SUM(SUMIFS(Dati[Entrate Fisse Securities],Dati[Mese],V40,Dati[Anno],$AH$27)+SUMIFS(Dati[Entrate Fisse Securities],Dati[Mese],V40,Dati[Anno],$AH$28)+SUMIFS(Dati[Entrate Fisse Securities],Dati[Mese],V40,Dati[Anno],$AH$29)+SUMIFS(Dati[Entrate Fisse Securities],Dati[Mese],V40,Dati[Anno],$AH$30)+SUMIFS(Dati[Entrate Fisse Securities],Dati[Mese],V40,Dati[Anno],$AH$31)+SUMIFS(Dati[Entrate Fisse Securities],Dati[Mese],V40,Dati[Anno],$AH$32)+SUMIFS(Dati[Entrate Fisse Securities],Dati[Mese],V40,Dati[Anno],$AH$33)+SUMIFS(Dati[Entrate Fisse Securities],Dati[Mese],V40,Dati[Anno],$AH$34)+SUMIFS(Dati[Entrate Fisse Securities],Dati[Mese],V40,Dati[Anno],$AH$35)+SUMIFS(Dati[Entrate Fisse Securities],Dati[Mese],V40,Dati[Anno],$AH$36)+SUMIFS(Dati[Entrate Fisse Securities],Dati[Mese],V40,Dati[Anno],AH$37)+SUMIFS(Dati[Entrate Fisse Securities],Dati[Mese],V40,Dati[Anno],$AH$38))-(Data!V10*COUNT($AH$27:$AH$38))</f>
        <v>-1000</v>
      </c>
      <c r="AD40" s="1">
        <f>SUM(SUMIFS(Dati[Entrate Fisse Securities],Dati[Mese],V40,Dati[Anno],$AH$27)+SUMIFS(Dati[Entrate Fisse Securities],Dati[Mese],V40,Dati[Anno],$AH$28)+SUMIFS(Dati[Entrate Fisse Securities],Dati[Mese],V40,Dati[Anno],$AH$29)+SUMIFS(Dati[Entrate Fisse Securities],Dati[Mese],V40,Dati[Anno],$AH$30)+SUMIFS(Dati[Entrate Fisse Securities],Dati[Mese],V40,Dati[Anno],$AH$31)+SUMIFS(Dati[Entrate Fisse Securities],Dati[Mese],V40,Dati[Anno],$AH$32)+SUMIFS(Dati[Entrate Fisse Securities],Dati[Mese],V40,Dati[Anno],$AH$33)+SUMIFS(Dati[Entrate Fisse Securities],Dati[Mese],V40,Dati[Anno],$AH$34)+SUMIFS(Dati[Entrate Fisse Securities],Dati[Mese],V40,Dati[Anno],$AH$35)+SUMIFS(Dati[Entrate Fisse Securities],Dati[Mese],V40,Dati[Anno],$AH$36)+SUMIFS(Dati[Entrate Fisse Securities],Dati[Mese],V40,Dati[Anno],AH$37)+SUMIFS(Dati[Entrate Fisse Securities],Dati[Mese],V40,Dati[Anno],$AH$38))-(Data!W10*COUNT($AH$27:$AH$38))</f>
        <v>-1250</v>
      </c>
      <c r="AE40" s="1">
        <f>SUM(SUMIFS(Dati[Entrate Fisse Securities],Dati[Mese],V40,Dati[Anno],$AH$27)+SUMIFS(Dati[Entrate Fisse Securities],Dati[Mese],V40,Dati[Anno],$AH$28)+SUMIFS(Dati[Entrate Fisse Securities],Dati[Mese],V40,Dati[Anno],$AH$29)+SUMIFS(Dati[Entrate Fisse Securities],Dati[Mese],V40,Dati[Anno],$AH$30)+SUMIFS(Dati[Entrate Fisse Securities],Dati[Mese],V40,Dati[Anno],$AH$31)+SUMIFS(Dati[Entrate Fisse Securities],Dati[Mese],V40,Dati[Anno],$AH$32)+SUMIFS(Dati[Entrate Fisse Securities],Dati[Mese],V40,Dati[Anno],$AH$33)+SUMIFS(Dati[Entrate Fisse Securities],Dati[Mese],V40,Dati[Anno],$AH$34)+SUMIFS(Dati[Entrate Fisse Securities],Dati[Mese],V40,Dati[Anno],$AH$35)+SUMIFS(Dati[Entrate Fisse Securities],Dati[Mese],V40,Dati[Anno],$AH$36)+SUMIFS(Dati[Entrate Fisse Securities],Dati[Mese],V40,Dati[Anno],AH$37)+SUMIFS(Dati[Entrate Fisse Securities],Dati[Mese],V40,Dati[Anno],$AH$38))-(Data!X10*COUNT($AH$27:$AH$38))</f>
        <v>-1500</v>
      </c>
      <c r="AF40" s="1">
        <v>7</v>
      </c>
      <c r="AG40" s="93" t="str">
        <f t="array" ref="AG40">IFERROR(IF(MATCH(AF40,$AJ$27:$AJ$38,0),SUM(SUMIF(Dati[Mese],Processing!V40,Dati[Entrate Fisse Securities])/Processing!AA40),NA()),"         -   %")</f>
        <v xml:space="preserve">         -   %</v>
      </c>
      <c r="AH40" s="205"/>
      <c r="AI40" s="64"/>
      <c r="AJ40" s="64"/>
      <c r="AK40" s="1">
        <f t="shared" si="18"/>
        <v>14</v>
      </c>
      <c r="AL40">
        <f>IFERROR(GETPIVOTDATA(""&amp;$O$3,Pivot!$B$12,""&amp;$AK$26,AK40)+GETPIVOTDATA(""&amp;$O$4,Pivot!$B$12,""&amp;$AK$26,AK40)+GETPIVOTDATA(""&amp;$O$5,Pivot!$B$12,""&amp;$AK$26,AK40),NA())</f>
        <v>1000</v>
      </c>
      <c r="AM40">
        <f>IFERROR(GETPIVOTDATA(""&amp;$O$3,Pivot!$B$12,""&amp;$AK$26,AK40)+GETPIVOTDATA(""&amp;$O$5,Pivot!$B$12,""&amp;$AK$26,AK40),NA())</f>
        <v>0</v>
      </c>
      <c r="AN40">
        <f>IFERROR(GETPIVOTDATA(""&amp;$O$3,Pivot!$B$12,""&amp;$AK$26,AK40)+GETPIVOTDATA(""&amp;$O$4,Pivot!$B$12,""&amp;$AK$26,AK40)+GETPIVOTDATA(""&amp;$O$5,Pivot!$B$12,""&amp;$AK$26,AK40),NA())</f>
        <v>1000</v>
      </c>
      <c r="AP40" s="1">
        <f t="shared" si="19"/>
        <v>14</v>
      </c>
      <c r="AQ40">
        <f>IFERROR(GETPIVOTDATA(""&amp;$O$6,Pivot!$B$12,""&amp;$AP$26,AP40)+GETPIVOTDATA(""&amp;$O$7,Pivot!$B$12,""&amp;$AP$26,AP40)+GETPIVOTDATA(""&amp;$O$8,Pivot!$B$12,""&amp;$AP$26,AP40),NA())</f>
        <v>132</v>
      </c>
      <c r="AR40">
        <f>IFERROR(GETPIVOTDATA(""&amp;$O$6,Pivot!$B$12,""&amp;$AP$26,AP40)+GETPIVOTDATA(""&amp;$O$8,Pivot!$B$12,""&amp;$AP$26,AP40),NA())</f>
        <v>117</v>
      </c>
      <c r="AS40" s="202">
        <f>IFERROR(GETPIVOTDATA(""&amp;$O$6,Pivot!$B$12,""&amp;$AP$26,AP40)+GETPIVOTDATA(""&amp;$O$7,Pivot!$B$12,""&amp;$AP$26,AP40)+GETPIVOTDATA(""&amp;$O$8,Pivot!$B$12,""&amp;$AP$26,AP40),NA())</f>
        <v>132</v>
      </c>
      <c r="AT40"/>
      <c r="AU40"/>
      <c r="AV40"/>
      <c r="AW40"/>
      <c r="AX40"/>
      <c r="AY40"/>
      <c r="AZ40"/>
      <c r="BA40"/>
      <c r="BB40"/>
      <c r="BC40"/>
      <c r="BD40"/>
      <c r="BE40"/>
      <c r="BF40"/>
    </row>
    <row r="41" spans="2:58" ht="15.5" x14ac:dyDescent="0.35">
      <c r="B41" s="21" t="s">
        <v>17</v>
      </c>
      <c r="C41" s="52">
        <f>IFERROR(GETPIVOTDATA(""&amp;$B$41&amp;" "&amp;C40,Pivot!R12),)</f>
        <v>0</v>
      </c>
      <c r="D41" s="52">
        <f>IFERROR(GETPIVOTDATA(""&amp;B41&amp;" "&amp;$D$40,Pivot!$R$12),)</f>
        <v>0</v>
      </c>
      <c r="E41" s="52">
        <f>IFERROR(GETPIVOTDATA(""&amp;B41&amp;" "&amp;$E$40,Pivot!$R$12),)</f>
        <v>0</v>
      </c>
      <c r="F41" s="52">
        <f>IFERROR(GETPIVOTDATA(""&amp;B41&amp;" "&amp;$F$40,Pivot!$R$12),)</f>
        <v>0</v>
      </c>
      <c r="G41" s="52">
        <f>IFERROR(GETPIVOTDATA(""&amp;B41&amp;" "&amp;$G$40,Pivot!$R$12),)</f>
        <v>0</v>
      </c>
      <c r="H41" s="52">
        <f>SUM(C41:G41)</f>
        <v>0</v>
      </c>
      <c r="I41" s="113">
        <v>15</v>
      </c>
      <c r="J41" s="1">
        <f t="array" ref="J41">IFERROR(GETPIVOTDATA(""&amp;$O$3,Pivot!$B$12,""&amp;$I$26,I41)+GETPIVOTDATA(""&amp;$O$4,Pivot!$B$12,""&amp;$I$26,I41)+GETPIVOTDATA(""&amp;$O$5,Pivot!$B$12,""&amp;$I$26,I41),NA())</f>
        <v>0</v>
      </c>
      <c r="K41" s="1">
        <f t="array" ref="K41">IFERROR(GETPIVOTDATA(""&amp;$O$6,Pivot!$B$12,""&amp;$I$26,I41)+GETPIVOTDATA(""&amp;$O$7,Pivot!$B$12,""&amp;$I$26,I41)+GETPIVOTDATA(""&amp;$O$8,Pivot!$B$12,""&amp;$I$26,I41),NA())</f>
        <v>23.75</v>
      </c>
      <c r="L41">
        <f>IFERROR(GETPIVOTDATA(""&amp;$O$6,Pivot!$B$12,""&amp;$I$26,I41)+GETPIVOTDATA(""&amp;$O$7,Pivot!$B$12,""&amp;$I$26,I41)+GETPIVOTDATA(""&amp;$O$8,Pivot!$B$12,""&amp;$I$26,I41),NA())</f>
        <v>23.75</v>
      </c>
      <c r="M41" s="120">
        <f t="shared" si="20"/>
        <v>15</v>
      </c>
      <c r="N41" s="1">
        <f t="shared" si="16"/>
        <v>15</v>
      </c>
      <c r="O41" s="52">
        <f>IFERROR(GETPIVOTDATA("Totale Portfolio",Pivot!$BA$12,"Giorno",N41),NA())</f>
        <v>0</v>
      </c>
      <c r="P41" s="52">
        <f t="array" ref="P41">IFERROR(INDEX(Dati[Leasing Macchina], MATCH(1, --(ROW(Dati[Leasing Macchina])&gt;=MATCH(TEXT($AH$27, "0"),Data!$F:$F, 0)) * --ISNUMBER(Dati[Leasing Macchina]), 0)), 0)</f>
        <v>0</v>
      </c>
      <c r="Q41" s="97" t="e">
        <f>IF(NOT(ISNA(J41)),NA(),GETPIVOTDATA(""&amp;Dati[[#Headers],[Leasing Macchina]],Pivot!AD26,""&amp;$N$26,Processing!N41))</f>
        <v>#N/A</v>
      </c>
      <c r="R41" s="107">
        <f t="shared" si="17"/>
        <v>15</v>
      </c>
      <c r="S41" s="52" t="e">
        <f>IFERROR(GETPIVOTDATA(""&amp;Dati[[#Headers],[Consumer Credit]],Pivot!AD26,""&amp;$R$26,R41)+GETPIVOTDATA(""&amp;Dati[[#Headers],[Credit Card]],Pivot!AD26,""&amp;$R$26,R41)+GETPIVOTDATA(""&amp;#REF!,Pivot!AD26,""&amp;$R$26,R41)+GETPIVOTDATA(""&amp;#REF!,Pivot!AD26,""&amp;$R$26,R41),NA())</f>
        <v>#N/A</v>
      </c>
      <c r="T41" s="52" t="e">
        <f t="shared" si="21"/>
        <v>#N/A</v>
      </c>
      <c r="U41" s="106" t="e">
        <f>ISNUMBER(R41)*GETPIVOTDATA(""&amp;Dati[[#Headers],[Consumer Credit]],Pivot!AD26,""&amp;$R$26,R41)+GETPIVOTDATA(""&amp;Dati[[#Headers],[Credit Card]],Pivot!AD26,""&amp;$R$26,R41)+GETPIVOTDATA(""&amp;#REF!,Pivot!AD26,""&amp;$R$26,R41)+GETPIVOTDATA(""&amp;#REF!,Pivot!AD26,""&amp;$R$26,R41)</f>
        <v>#REF!</v>
      </c>
      <c r="V41" s="8" t="s">
        <v>163</v>
      </c>
      <c r="W41" s="14">
        <f>IF(AB41&lt;=Data!V11*COUNT($AH$27:$AH$38),AB41/$AA41,IF(AB41&gt;=Data!V11*COUNT($AH$27:$AH$38),(AB41/AB41),))</f>
        <v>0</v>
      </c>
      <c r="X41" s="14">
        <f>IF(AC41&lt;0,1-AC41/AC41,IF(AC41&lt;Data!W11*COUNT($AH$27:$AH$38),AC41/$AA41,IF(AC41&gt;=Data!W11*COUNT($AH$27:$AH$38),(AC41/AC41),)))</f>
        <v>0</v>
      </c>
      <c r="Y41" s="14">
        <f>IF(AD41&lt;0,1-AD41/AD41,IF(AD41&lt;Data!X11*COUNT($AH$27:$AH$38),AD41/$AA41,IF(AD41&gt;=Data!X11*COUNT($AH$27:$AH$38),(AD41/AD41),)))</f>
        <v>0</v>
      </c>
      <c r="Z41" s="14">
        <f>IF(AE41&lt;0,1-AE41/AE41,IF(AE41&lt;Data!Y11*COUNT($AH$27:$AH$38),AE41/$AA41,IF(AE41&gt;=Data!Y11*COUNT($AH$27:$AH$38),(AE41/AE41),)))</f>
        <v>0</v>
      </c>
      <c r="AA41" s="1">
        <f>Data!Y11*COUNT($AH$27:$AH$38)</f>
        <v>2000</v>
      </c>
      <c r="AB41" s="1">
        <f>SUMIFS(Dati[Entrate Fisse Securities],Dati[Mese],V41,Dati[Anno],$AH$27)+SUMIFS(Dati[Entrate Fisse Securities],Dati[Mese],V41,Dati[Anno],$AH$28)+SUMIFS(Dati[Entrate Fisse Securities],Dati[Mese],V41,Dati[Anno],$AH$29)+SUMIFS(Dati[Entrate Fisse Securities],Dati[Mese],V41,Dati[Anno],$AH$30)+SUMIFS(Dati[Entrate Fisse Securities],Dati[Mese],V41,Dati[Anno],$AH$31)+SUMIFS(Dati[Entrate Fisse Securities],Dati[Mese],V41,Dati[Anno],$AH$32)+SUMIFS(Dati[Entrate Fisse Securities],Dati[Mese],V41,Dati[Anno],$AH$33)+SUMIFS(Dati[Entrate Fisse Securities],Dati[Mese],V41,Dati[Anno],$AH$34)+SUMIFS(Dati[Entrate Fisse Securities],Dati[Mese],V41,Dati[Anno],$AH$35)+SUMIFS(Dati[Entrate Fisse Securities],Dati[Mese],V41,Dati[Anno],$AH$36)+SUMIFS(Dati[Entrate Fisse Securities],Dati[Mese],V41,Dati[Anno],AH$37)+SUMIFS(Dati[Entrate Fisse Securities],Dati[Mese],V41,Dati[Anno],$AH$38)</f>
        <v>0</v>
      </c>
      <c r="AC41" s="1">
        <f>SUM(SUMIFS(Dati[Entrate Fisse Securities],Dati[Mese],V41,Dati[Anno],$AH$27)+SUMIFS(Dati[Entrate Fisse Securities],Dati[Mese],V41,Dati[Anno],$AH$28)+SUMIFS(Dati[Entrate Fisse Securities],Dati[Mese],V41,Dati[Anno],$AH$29)+SUMIFS(Dati[Entrate Fisse Securities],Dati[Mese],V41,Dati[Anno],$AH$30)+SUMIFS(Dati[Entrate Fisse Securities],Dati[Mese],V41,Dati[Anno],$AH$31)+SUMIFS(Dati[Entrate Fisse Securities],Dati[Mese],V41,Dati[Anno],$AH$32)+SUMIFS(Dati[Entrate Fisse Securities],Dati[Mese],V41,Dati[Anno],$AH$33)+SUMIFS(Dati[Entrate Fisse Securities],Dati[Mese],V41,Dati[Anno],$AH$34)+SUMIFS(Dati[Entrate Fisse Securities],Dati[Mese],V41,Dati[Anno],$AH$35)+SUMIFS(Dati[Entrate Fisse Securities],Dati[Mese],V41,Dati[Anno],$AH$36)+SUMIFS(Dati[Entrate Fisse Securities],Dati[Mese],V41,Dati[Anno],AH$37)+SUMIFS(Dati[Entrate Fisse Securities],Dati[Mese],V41,Dati[Anno],$AH$38))-(Data!V11*COUNT($AH$27:$AH$38))</f>
        <v>-1200</v>
      </c>
      <c r="AD41" s="1">
        <f>SUM(SUMIFS(Dati[Entrate Fisse Securities],Dati[Mese],V41,Dati[Anno],$AH$27)+SUMIFS(Dati[Entrate Fisse Securities],Dati[Mese],V41,Dati[Anno],$AH$28)+SUMIFS(Dati[Entrate Fisse Securities],Dati[Mese],V41,Dati[Anno],$AH$29)+SUMIFS(Dati[Entrate Fisse Securities],Dati[Mese],V41,Dati[Anno],$AH$30)+SUMIFS(Dati[Entrate Fisse Securities],Dati[Mese],V41,Dati[Anno],$AH$31)+SUMIFS(Dati[Entrate Fisse Securities],Dati[Mese],V41,Dati[Anno],$AH$32)+SUMIFS(Dati[Entrate Fisse Securities],Dati[Mese],V41,Dati[Anno],$AH$33)+SUMIFS(Dati[Entrate Fisse Securities],Dati[Mese],V41,Dati[Anno],$AH$34)+SUMIFS(Dati[Entrate Fisse Securities],Dati[Mese],V41,Dati[Anno],$AH$35)+SUMIFS(Dati[Entrate Fisse Securities],Dati[Mese],V41,Dati[Anno],$AH$36)+SUMIFS(Dati[Entrate Fisse Securities],Dati[Mese],V41,Dati[Anno],AH$37)+SUMIFS(Dati[Entrate Fisse Securities],Dati[Mese],V41,Dati[Anno],$AH$38))-(Data!W11*COUNT($AH$27:$AH$38))</f>
        <v>-1400</v>
      </c>
      <c r="AE41" s="1">
        <f>SUM(SUMIFS(Dati[Entrate Fisse Securities],Dati[Mese],V41,Dati[Anno],$AH$27)+SUMIFS(Dati[Entrate Fisse Securities],Dati[Mese],V41,Dati[Anno],$AH$28)+SUMIFS(Dati[Entrate Fisse Securities],Dati[Mese],V41,Dati[Anno],$AH$29)+SUMIFS(Dati[Entrate Fisse Securities],Dati[Mese],V41,Dati[Anno],$AH$30)+SUMIFS(Dati[Entrate Fisse Securities],Dati[Mese],V41,Dati[Anno],$AH$31)+SUMIFS(Dati[Entrate Fisse Securities],Dati[Mese],V41,Dati[Anno],$AH$32)+SUMIFS(Dati[Entrate Fisse Securities],Dati[Mese],V41,Dati[Anno],$AH$33)+SUMIFS(Dati[Entrate Fisse Securities],Dati[Mese],V41,Dati[Anno],$AH$34)+SUMIFS(Dati[Entrate Fisse Securities],Dati[Mese],V41,Dati[Anno],$AH$35)+SUMIFS(Dati[Entrate Fisse Securities],Dati[Mese],V41,Dati[Anno],$AH$36)+SUMIFS(Dati[Entrate Fisse Securities],Dati[Mese],V41,Dati[Anno],AH$37)+SUMIFS(Dati[Entrate Fisse Securities],Dati[Mese],V41,Dati[Anno],$AH$38))-(Data!X11*COUNT($AH$27:$AH$38))</f>
        <v>-1600</v>
      </c>
      <c r="AF41" s="1">
        <v>8</v>
      </c>
      <c r="AG41" s="93" t="str">
        <f t="array" ref="AG41">IFERROR(IF(MATCH(AF41,$AJ$27:$AJ$38,0),SUM(SUMIF(Dati[Mese],Processing!V41,Dati[Entrate Fisse Securities])/Processing!AA41),NA()),"         -   %")</f>
        <v xml:space="preserve">         -   %</v>
      </c>
      <c r="AH41" s="205"/>
      <c r="AI41" s="64"/>
      <c r="AJ41" s="64"/>
      <c r="AK41" s="1">
        <f t="shared" si="18"/>
        <v>15</v>
      </c>
      <c r="AL41">
        <f>IFERROR(GETPIVOTDATA(""&amp;$O$3,Pivot!$B$12,""&amp;$AK$26,AK41)+GETPIVOTDATA(""&amp;$O$4,Pivot!$B$12,""&amp;$AK$26,AK41)+GETPIVOTDATA(""&amp;$O$5,Pivot!$B$12,""&amp;$AK$26,AK41),NA())</f>
        <v>0</v>
      </c>
      <c r="AM41">
        <f>IFERROR(GETPIVOTDATA(""&amp;$O$3,Pivot!$B$12,""&amp;$AK$26,AK41)+GETPIVOTDATA(""&amp;$O$5,Pivot!$B$12,""&amp;$AK$26,AK41),NA())</f>
        <v>0</v>
      </c>
      <c r="AN41">
        <f>IFERROR(GETPIVOTDATA(""&amp;$O$3,Pivot!$B$12,""&amp;$AK$26,AK41)+GETPIVOTDATA(""&amp;$O$4,Pivot!$B$12,""&amp;$AK$26,AK41)+GETPIVOTDATA(""&amp;$O$5,Pivot!$B$12,""&amp;$AK$26,AK41),NA())</f>
        <v>0</v>
      </c>
      <c r="AP41" s="1">
        <f t="shared" si="19"/>
        <v>15</v>
      </c>
      <c r="AQ41">
        <f>IFERROR(GETPIVOTDATA(""&amp;$O$6,Pivot!$B$12,""&amp;$AP$26,AP41)+GETPIVOTDATA(""&amp;$O$7,Pivot!$B$12,""&amp;$AP$26,AP41)+GETPIVOTDATA(""&amp;$O$8,Pivot!$B$12,""&amp;$AP$26,AP41),NA())</f>
        <v>23.75</v>
      </c>
      <c r="AR41">
        <f>IFERROR(GETPIVOTDATA(""&amp;$O$6,Pivot!$B$12,""&amp;$AP$26,AP41)+GETPIVOTDATA(""&amp;$O$8,Pivot!$B$12,""&amp;$AP$26,AP41),NA())</f>
        <v>4.4000000000000004</v>
      </c>
      <c r="AS41" s="202">
        <f>IFERROR(GETPIVOTDATA(""&amp;$O$6,Pivot!$B$12,""&amp;$AP$26,AP41)+GETPIVOTDATA(""&amp;$O$7,Pivot!$B$12,""&amp;$AP$26,AP41)+GETPIVOTDATA(""&amp;$O$8,Pivot!$B$12,""&amp;$AP$26,AP41),NA())</f>
        <v>23.75</v>
      </c>
      <c r="AT41"/>
      <c r="AU41"/>
      <c r="AV41"/>
      <c r="AW41"/>
      <c r="AX41"/>
      <c r="AY41"/>
      <c r="AZ41"/>
      <c r="BA41"/>
      <c r="BB41"/>
      <c r="BC41"/>
      <c r="BD41"/>
      <c r="BE41"/>
      <c r="BF41"/>
    </row>
    <row r="42" spans="2:58" ht="15.5" x14ac:dyDescent="0.35">
      <c r="B42" s="21" t="s">
        <v>16</v>
      </c>
      <c r="C42" s="52">
        <f>IFERROR(GETPIVOTDATA(""&amp;$B$42&amp;" "&amp;C40,Pivot!B12),)</f>
        <v>0</v>
      </c>
      <c r="D42" s="52">
        <f>IFERROR(GETPIVOTDATA(""&amp;B42&amp;" "&amp;$D$40,Pivot!$R$12),)</f>
        <v>0</v>
      </c>
      <c r="E42" s="52">
        <f>IFERROR(GETPIVOTDATA(""&amp;B42&amp;" "&amp;$E$40,Pivot!$R$12),)</f>
        <v>0</v>
      </c>
      <c r="F42" s="52">
        <f>IFERROR(GETPIVOTDATA(""&amp;B42&amp;" "&amp;$F$40,Pivot!$R$12),)</f>
        <v>0</v>
      </c>
      <c r="G42" s="52">
        <f>IFERROR(GETPIVOTDATA(""&amp;B42&amp;" "&amp;$G$40,Pivot!$R$12),)</f>
        <v>0</v>
      </c>
      <c r="H42" s="52">
        <f>SUM(C42:G42)</f>
        <v>0</v>
      </c>
      <c r="I42" s="113">
        <v>16</v>
      </c>
      <c r="J42" s="1">
        <f t="array" ref="J42">IFERROR(GETPIVOTDATA(""&amp;$O$3,Pivot!$B$12,""&amp;$I$26,I42)+GETPIVOTDATA(""&amp;$O$4,Pivot!$B$12,""&amp;$I$26,I42)+GETPIVOTDATA(""&amp;$O$5,Pivot!$B$12,""&amp;$I$26,I42),NA())</f>
        <v>0</v>
      </c>
      <c r="K42" s="1">
        <f t="array" ref="K42">IFERROR(GETPIVOTDATA(""&amp;$O$6,Pivot!$B$12,""&amp;$I$26,I42)+GETPIVOTDATA(""&amp;$O$7,Pivot!$B$12,""&amp;$I$26,I42)+GETPIVOTDATA(""&amp;$O$8,Pivot!$B$12,""&amp;$I$26,I42),NA())</f>
        <v>74.95</v>
      </c>
      <c r="L42">
        <f>IFERROR(GETPIVOTDATA(""&amp;$O$6,Pivot!$B$12,""&amp;$I$26,I42)+GETPIVOTDATA(""&amp;$O$7,Pivot!$B$12,""&amp;$I$26,I42)+GETPIVOTDATA(""&amp;$O$8,Pivot!$B$12,""&amp;$I$26,I42),NA())</f>
        <v>74.95</v>
      </c>
      <c r="M42" s="120">
        <f t="shared" si="20"/>
        <v>16</v>
      </c>
      <c r="N42" s="1">
        <f t="shared" si="16"/>
        <v>16</v>
      </c>
      <c r="O42" s="52">
        <f>IFERROR(GETPIVOTDATA("Totale Portfolio",Pivot!$BA$12,"Giorno",N42),NA())</f>
        <v>0</v>
      </c>
      <c r="P42" s="52">
        <f t="array" ref="P42">IFERROR(INDEX(Dati[Leasing Macchina], MATCH(1, --(ROW(Dati[Leasing Macchina])&gt;=MATCH(TEXT($AH$27, "0"),Data!$F:$F, 0)) * --ISNUMBER(Dati[Leasing Macchina]), 0)), 0)</f>
        <v>0</v>
      </c>
      <c r="Q42" s="97" t="e">
        <f>IF(NOT(ISNA(J42)),NA(),GETPIVOTDATA(""&amp;Dati[[#Headers],[Leasing Macchina]],Pivot!AD27,""&amp;$N$26,Processing!N42))</f>
        <v>#N/A</v>
      </c>
      <c r="R42" s="107">
        <f t="shared" si="17"/>
        <v>16</v>
      </c>
      <c r="S42" s="52" t="e">
        <f>IFERROR(GETPIVOTDATA(""&amp;Dati[[#Headers],[Consumer Credit]],Pivot!AD27,""&amp;$R$26,R42)+GETPIVOTDATA(""&amp;Dati[[#Headers],[Credit Card]],Pivot!AD27,""&amp;$R$26,R42)+GETPIVOTDATA(""&amp;#REF!,Pivot!AD27,""&amp;$R$26,R42)+GETPIVOTDATA(""&amp;#REF!,Pivot!AD27,""&amp;$R$26,R42),NA())</f>
        <v>#N/A</v>
      </c>
      <c r="T42" s="52" t="e">
        <f t="shared" si="21"/>
        <v>#N/A</v>
      </c>
      <c r="U42" s="106" t="e">
        <f>ISNUMBER(R42)*GETPIVOTDATA(""&amp;Dati[[#Headers],[Consumer Credit]],Pivot!AD27,""&amp;$R$26,R42)+GETPIVOTDATA(""&amp;Dati[[#Headers],[Credit Card]],Pivot!AD27,""&amp;$R$26,R42)+GETPIVOTDATA(""&amp;#REF!,Pivot!AD27,""&amp;$R$26,R42)+GETPIVOTDATA(""&amp;#REF!,Pivot!AD27,""&amp;$R$26,R42)</f>
        <v>#REF!</v>
      </c>
      <c r="V42" s="8" t="s">
        <v>164</v>
      </c>
      <c r="W42" s="14">
        <f>IF(AB42&lt;=Data!V12*COUNT($AH$27:$AH$38),AB42/$AA42,IF(AB42&gt;=Data!V12*COUNT($AH$27:$AH$38),(AB42/AB42),))</f>
        <v>0</v>
      </c>
      <c r="X42" s="14">
        <f>IF(AC42&lt;0,1-AC42/AC42,IF(AC42&lt;Data!W12*COUNT($AH$27:$AH$38),AC42/$AA42,IF(AC42&gt;=Data!W12*COUNT($AH$27:$AH$38),(AC42/AC42),)))</f>
        <v>0</v>
      </c>
      <c r="Y42" s="14">
        <f>IF(AD42&lt;0,1-AD42/AD42,IF(AD42&lt;Data!X12*COUNT($AH$27:$AH$38),AD42/$AA42,IF(AD42&gt;=Data!X12*COUNT($AH$27:$AH$38),(AD42/AD42),)))</f>
        <v>0</v>
      </c>
      <c r="Z42" s="14">
        <f>IF(AE42&lt;0,1-AE42/AE42,IF(AE42&lt;Data!Y12*COUNT($AH$27:$AH$38),AE42/$AA42,IF(AE42&gt;=Data!Y12*COUNT($AH$27:$AH$38),(AE42/AE42),)))</f>
        <v>0</v>
      </c>
      <c r="AA42" s="1">
        <f>Data!Y12*COUNT($AH$27:$AH$38)</f>
        <v>2000</v>
      </c>
      <c r="AB42" s="1">
        <f>SUMIFS(Dati[Entrate Fisse Securities],Dati[Mese],V42,Dati[Anno],$AH$27)+SUMIFS(Dati[Entrate Fisse Securities],Dati[Mese],V42,Dati[Anno],$AH$28)+SUMIFS(Dati[Entrate Fisse Securities],Dati[Mese],V42,Dati[Anno],$AH$29)+SUMIFS(Dati[Entrate Fisse Securities],Dati[Mese],V42,Dati[Anno],$AH$30)+SUMIFS(Dati[Entrate Fisse Securities],Dati[Mese],V42,Dati[Anno],$AH$31)+SUMIFS(Dati[Entrate Fisse Securities],Dati[Mese],V42,Dati[Anno],$AH$32)+SUMIFS(Dati[Entrate Fisse Securities],Dati[Mese],V42,Dati[Anno],$AH$33)+SUMIFS(Dati[Entrate Fisse Securities],Dati[Mese],V42,Dati[Anno],$AH$34)+SUMIFS(Dati[Entrate Fisse Securities],Dati[Mese],V42,Dati[Anno],$AH$35)+SUMIFS(Dati[Entrate Fisse Securities],Dati[Mese],V42,Dati[Anno],$AH$36)+SUMIFS(Dati[Entrate Fisse Securities],Dati[Mese],V42,Dati[Anno],AH$37)+SUMIFS(Dati[Entrate Fisse Securities],Dati[Mese],V42,Dati[Anno],$AH$38)</f>
        <v>0</v>
      </c>
      <c r="AC42" s="1">
        <f>SUM(SUMIFS(Dati[Entrate Fisse Securities],Dati[Mese],V42,Dati[Anno],$AH$27)+SUMIFS(Dati[Entrate Fisse Securities],Dati[Mese],V42,Dati[Anno],$AH$28)+SUMIFS(Dati[Entrate Fisse Securities],Dati[Mese],V42,Dati[Anno],$AH$29)+SUMIFS(Dati[Entrate Fisse Securities],Dati[Mese],V42,Dati[Anno],$AH$30)+SUMIFS(Dati[Entrate Fisse Securities],Dati[Mese],V42,Dati[Anno],$AH$31)+SUMIFS(Dati[Entrate Fisse Securities],Dati[Mese],V42,Dati[Anno],$AH$32)+SUMIFS(Dati[Entrate Fisse Securities],Dati[Mese],V42,Dati[Anno],$AH$33)+SUMIFS(Dati[Entrate Fisse Securities],Dati[Mese],V42,Dati[Anno],$AH$34)+SUMIFS(Dati[Entrate Fisse Securities],Dati[Mese],V42,Dati[Anno],$AH$35)+SUMIFS(Dati[Entrate Fisse Securities],Dati[Mese],V42,Dati[Anno],$AH$36)+SUMIFS(Dati[Entrate Fisse Securities],Dati[Mese],V42,Dati[Anno],AH$37)+SUMIFS(Dati[Entrate Fisse Securities],Dati[Mese],V42,Dati[Anno],$AH$38))-(Data!V12*COUNT($AH$27:$AH$38))</f>
        <v>-1200</v>
      </c>
      <c r="AD42" s="1">
        <f>SUM(SUMIFS(Dati[Entrate Fisse Securities],Dati[Mese],V42,Dati[Anno],$AH$27)+SUMIFS(Dati[Entrate Fisse Securities],Dati[Mese],V42,Dati[Anno],$AH$28)+SUMIFS(Dati[Entrate Fisse Securities],Dati[Mese],V42,Dati[Anno],$AH$29)+SUMIFS(Dati[Entrate Fisse Securities],Dati[Mese],V42,Dati[Anno],$AH$30)+SUMIFS(Dati[Entrate Fisse Securities],Dati[Mese],V42,Dati[Anno],$AH$31)+SUMIFS(Dati[Entrate Fisse Securities],Dati[Mese],V42,Dati[Anno],$AH$32)+SUMIFS(Dati[Entrate Fisse Securities],Dati[Mese],V42,Dati[Anno],$AH$33)+SUMIFS(Dati[Entrate Fisse Securities],Dati[Mese],V42,Dati[Anno],$AH$34)+SUMIFS(Dati[Entrate Fisse Securities],Dati[Mese],V42,Dati[Anno],$AH$35)+SUMIFS(Dati[Entrate Fisse Securities],Dati[Mese],V42,Dati[Anno],$AH$36)+SUMIFS(Dati[Entrate Fisse Securities],Dati[Mese],V42,Dati[Anno],AH$37)+SUMIFS(Dati[Entrate Fisse Securities],Dati[Mese],V42,Dati[Anno],$AH$38))-(Data!W12*COUNT($AH$27:$AH$38))</f>
        <v>-1400</v>
      </c>
      <c r="AE42" s="1">
        <f>SUM(SUMIFS(Dati[Entrate Fisse Securities],Dati[Mese],V42,Dati[Anno],$AH$27)+SUMIFS(Dati[Entrate Fisse Securities],Dati[Mese],V42,Dati[Anno],$AH$28)+SUMIFS(Dati[Entrate Fisse Securities],Dati[Mese],V42,Dati[Anno],$AH$29)+SUMIFS(Dati[Entrate Fisse Securities],Dati[Mese],V42,Dati[Anno],$AH$30)+SUMIFS(Dati[Entrate Fisse Securities],Dati[Mese],V42,Dati[Anno],$AH$31)+SUMIFS(Dati[Entrate Fisse Securities],Dati[Mese],V42,Dati[Anno],$AH$32)+SUMIFS(Dati[Entrate Fisse Securities],Dati[Mese],V42,Dati[Anno],$AH$33)+SUMIFS(Dati[Entrate Fisse Securities],Dati[Mese],V42,Dati[Anno],$AH$34)+SUMIFS(Dati[Entrate Fisse Securities],Dati[Mese],V42,Dati[Anno],$AH$35)+SUMIFS(Dati[Entrate Fisse Securities],Dati[Mese],V42,Dati[Anno],$AH$36)+SUMIFS(Dati[Entrate Fisse Securities],Dati[Mese],V42,Dati[Anno],AH$37)+SUMIFS(Dati[Entrate Fisse Securities],Dati[Mese],V42,Dati[Anno],$AH$38))-(Data!X12*COUNT($AH$27:$AH$38))</f>
        <v>-1600</v>
      </c>
      <c r="AF42" s="1">
        <v>9</v>
      </c>
      <c r="AG42" s="93" t="str">
        <f t="array" ref="AG42">IFERROR(IF(MATCH(AF42,$AJ$27:$AJ$38,0),SUM(SUMIF(Dati[Mese],Processing!V42,Dati[Entrate Fisse Securities])/Processing!AA42),NA()),"         -   %")</f>
        <v xml:space="preserve">         -   %</v>
      </c>
      <c r="AH42" s="205"/>
      <c r="AI42" s="64"/>
      <c r="AJ42" s="64"/>
      <c r="AK42" s="1">
        <f t="shared" si="18"/>
        <v>16</v>
      </c>
      <c r="AL42">
        <f>IFERROR(GETPIVOTDATA(""&amp;$O$3,Pivot!$B$12,""&amp;$AK$26,AK42)+GETPIVOTDATA(""&amp;$O$4,Pivot!$B$12,""&amp;$AK$26,AK42)+GETPIVOTDATA(""&amp;$O$5,Pivot!$B$12,""&amp;$AK$26,AK42),NA())</f>
        <v>0</v>
      </c>
      <c r="AM42">
        <f>IFERROR(GETPIVOTDATA(""&amp;$O$3,Pivot!$B$12,""&amp;$AK$26,AK42)+GETPIVOTDATA(""&amp;$O$5,Pivot!$B$12,""&amp;$AK$26,AK42),NA())</f>
        <v>0</v>
      </c>
      <c r="AN42">
        <f>IFERROR(GETPIVOTDATA(""&amp;$O$3,Pivot!$B$12,""&amp;$AK$26,AK42)+GETPIVOTDATA(""&amp;$O$4,Pivot!$B$12,""&amp;$AK$26,AK42)+GETPIVOTDATA(""&amp;$O$5,Pivot!$B$12,""&amp;$AK$26,AK42),NA())</f>
        <v>0</v>
      </c>
      <c r="AP42" s="1">
        <f t="shared" si="19"/>
        <v>16</v>
      </c>
      <c r="AQ42">
        <f>IFERROR(GETPIVOTDATA(""&amp;$O$6,Pivot!$B$12,""&amp;$AP$26,AP42)+GETPIVOTDATA(""&amp;$O$7,Pivot!$B$12,""&amp;$AP$26,AP42)+GETPIVOTDATA(""&amp;$O$8,Pivot!$B$12,""&amp;$AP$26,AP42),NA())</f>
        <v>74.95</v>
      </c>
      <c r="AR42">
        <f>IFERROR(GETPIVOTDATA(""&amp;$O$6,Pivot!$B$12,""&amp;$AP$26,AP42)+GETPIVOTDATA(""&amp;$O$8,Pivot!$B$12,""&amp;$AP$26,AP42),NA())</f>
        <v>9</v>
      </c>
      <c r="AS42" s="202">
        <f>IFERROR(GETPIVOTDATA(""&amp;$O$6,Pivot!$B$12,""&amp;$AP$26,AP42)+GETPIVOTDATA(""&amp;$O$7,Pivot!$B$12,""&amp;$AP$26,AP42)+GETPIVOTDATA(""&amp;$O$8,Pivot!$B$12,""&amp;$AP$26,AP42),NA())</f>
        <v>74.95</v>
      </c>
      <c r="AT42"/>
      <c r="AU42"/>
      <c r="AV42"/>
      <c r="AW42"/>
      <c r="AX42"/>
      <c r="AY42"/>
      <c r="AZ42"/>
      <c r="BA42"/>
      <c r="BB42"/>
      <c r="BC42"/>
      <c r="BD42"/>
      <c r="BE42"/>
      <c r="BF42"/>
    </row>
    <row r="43" spans="2:58" ht="15.5" x14ac:dyDescent="0.35">
      <c r="C43" s="1" t="s">
        <v>22</v>
      </c>
      <c r="D43" s="1" t="s">
        <v>23</v>
      </c>
      <c r="E43" s="1" t="s">
        <v>24</v>
      </c>
      <c r="F43" s="1" t="s">
        <v>85</v>
      </c>
      <c r="G43" s="1" t="s">
        <v>26</v>
      </c>
      <c r="H43" s="52">
        <f>SUM(H41:H42)</f>
        <v>0</v>
      </c>
      <c r="I43" s="113">
        <v>17</v>
      </c>
      <c r="J43" s="1">
        <f t="array" ref="J43">IFERROR(GETPIVOTDATA(""&amp;$O$3,Pivot!$B$12,""&amp;$I$26,I43)+GETPIVOTDATA(""&amp;$O$4,Pivot!$B$12,""&amp;$I$26,I43)+GETPIVOTDATA(""&amp;$O$5,Pivot!$B$12,""&amp;$I$26,I43),NA())</f>
        <v>0</v>
      </c>
      <c r="K43" s="1">
        <f t="array" ref="K43">IFERROR(GETPIVOTDATA(""&amp;$O$6,Pivot!$B$12,""&amp;$I$26,I43)+GETPIVOTDATA(""&amp;$O$7,Pivot!$B$12,""&amp;$I$26,I43)+GETPIVOTDATA(""&amp;$O$8,Pivot!$B$12,""&amp;$I$26,I43),NA())</f>
        <v>8.3800000000000008</v>
      </c>
      <c r="L43">
        <f>IFERROR(GETPIVOTDATA(""&amp;$O$6,Pivot!$B$12,""&amp;$I$26,I43)+GETPIVOTDATA(""&amp;$O$7,Pivot!$B$12,""&amp;$I$26,I43)+GETPIVOTDATA(""&amp;$O$8,Pivot!$B$12,""&amp;$I$26,I43),NA())</f>
        <v>8.3800000000000008</v>
      </c>
      <c r="M43" s="120">
        <f t="shared" si="20"/>
        <v>17</v>
      </c>
      <c r="N43" s="1">
        <f t="shared" si="16"/>
        <v>17</v>
      </c>
      <c r="O43" s="52">
        <f>IFERROR(GETPIVOTDATA("Totale Portfolio",Pivot!$BA$12,"Giorno",N43),NA())</f>
        <v>0</v>
      </c>
      <c r="P43" s="52">
        <f t="array" ref="P43">IFERROR(INDEX(Dati[Leasing Macchina], MATCH(1, --(ROW(Dati[Leasing Macchina])&gt;=MATCH(TEXT($AH$27, "0"),Data!$F:$F, 0)) * --ISNUMBER(Dati[Leasing Macchina]), 0)), 0)</f>
        <v>0</v>
      </c>
      <c r="Q43" s="97" t="e">
        <f>IF(NOT(ISNA(J43)),NA(),GETPIVOTDATA(""&amp;Dati[[#Headers],[Leasing Macchina]],Pivot!AD28,""&amp;$N$26,Processing!N43))</f>
        <v>#N/A</v>
      </c>
      <c r="R43" s="107">
        <f t="shared" si="17"/>
        <v>17</v>
      </c>
      <c r="S43" s="52" t="e">
        <f>IFERROR(GETPIVOTDATA(""&amp;Dati[[#Headers],[Consumer Credit]],Pivot!AD28,""&amp;$R$26,R43)+GETPIVOTDATA(""&amp;Dati[[#Headers],[Credit Card]],Pivot!AD28,""&amp;$R$26,R43)+GETPIVOTDATA(""&amp;#REF!,Pivot!AD28,""&amp;$R$26,R43)+GETPIVOTDATA(""&amp;#REF!,Pivot!AD28,""&amp;$R$26,R43),NA())</f>
        <v>#N/A</v>
      </c>
      <c r="T43" s="52" t="e">
        <f t="shared" si="21"/>
        <v>#N/A</v>
      </c>
      <c r="U43" s="106" t="e">
        <f>ISNUMBER(R43)*GETPIVOTDATA(""&amp;Dati[[#Headers],[Consumer Credit]],Pivot!AD28,""&amp;$R$26,R43)+GETPIVOTDATA(""&amp;Dati[[#Headers],[Credit Card]],Pivot!AD28,""&amp;$R$26,R43)+GETPIVOTDATA(""&amp;#REF!,Pivot!AD28,""&amp;$R$26,R43)+GETPIVOTDATA(""&amp;#REF!,Pivot!AD28,""&amp;$R$26,R43)</f>
        <v>#REF!</v>
      </c>
      <c r="V43" s="8" t="s">
        <v>155</v>
      </c>
      <c r="W43" s="14">
        <f>IF(AB43&lt;=Data!V12*COUNT($AH$27:$AH$38),AB43/$AA43,IF(AB43&gt;=Data!V12*COUNT($AH$27:$AH$38),(AB43/AB43),))</f>
        <v>0</v>
      </c>
      <c r="X43" s="14">
        <f>IF(AC43&lt;0,1-AC43/AC43,IF(AC43&lt;Data!W12*COUNT($AH$27:$AH$38),AC43/$AA43,IF(AC43&gt;=Data!W12*COUNT($AH$27:$AH$38),(AC43/AC43),)))</f>
        <v>0</v>
      </c>
      <c r="Y43" s="14">
        <f>IF(AD43&lt;0,1-AD43/AD43,IF(AD43&lt;Data!X12*COUNT($AH$27:$AH$38),AD43/$AA43,IF(AD43&gt;=Data!X12*COUNT($AH$27:$AH$38),(AD43/AD43),)))</f>
        <v>0</v>
      </c>
      <c r="Z43" s="14">
        <f>IF(AE43&lt;0,1-AE43/AE43,IF(AE43&lt;Data!Y12*COUNT($AH$27:$AH$38),AE43/$AA43,IF(AE43&gt;=Data!Y12*COUNT($AH$27:$AH$38),(AE43/AE43),)))</f>
        <v>0</v>
      </c>
      <c r="AA43" s="1">
        <f>Data!Y12*COUNT($AH$27:$AH$38)</f>
        <v>2000</v>
      </c>
      <c r="AB43" s="1">
        <f>SUMIFS(Dati[Entrate Fisse Securities],Dati[Mese],V43,Dati[Anno],$AH$27)+SUMIFS(Dati[Entrate Fisse Securities],Dati[Mese],V43,Dati[Anno],$AH$28)+SUMIFS(Dati[Entrate Fisse Securities],Dati[Mese],V43,Dati[Anno],$AH$29)+SUMIFS(Dati[Entrate Fisse Securities],Dati[Mese],V43,Dati[Anno],$AH$30)+SUMIFS(Dati[Entrate Fisse Securities],Dati[Mese],V43,Dati[Anno],$AH$31)+SUMIFS(Dati[Entrate Fisse Securities],Dati[Mese],V43,Dati[Anno],$AH$32)+SUMIFS(Dati[Entrate Fisse Securities],Dati[Mese],V43,Dati[Anno],$AH$33)+SUMIFS(Dati[Entrate Fisse Securities],Dati[Mese],V43,Dati[Anno],$AH$34)+SUMIFS(Dati[Entrate Fisse Securities],Dati[Mese],V43,Dati[Anno],$AH$35)+SUMIFS(Dati[Entrate Fisse Securities],Dati[Mese],V43,Dati[Anno],$AH$36)+SUMIFS(Dati[Entrate Fisse Securities],Dati[Mese],V43,Dati[Anno],AH$37)+SUMIFS(Dati[Entrate Fisse Securities],Dati[Mese],V43,Dati[Anno],$AH$38)</f>
        <v>0</v>
      </c>
      <c r="AC43" s="1">
        <f>SUM(SUMIFS(Dati[Entrate Fisse Securities],Dati[Mese],V43,Dati[Anno],$AH$27)+SUMIFS(Dati[Entrate Fisse Securities],Dati[Mese],V43,Dati[Anno],$AH$28)+SUMIFS(Dati[Entrate Fisse Securities],Dati[Mese],V43,Dati[Anno],$AH$29)+SUMIFS(Dati[Entrate Fisse Securities],Dati[Mese],V43,Dati[Anno],$AH$30)+SUMIFS(Dati[Entrate Fisse Securities],Dati[Mese],V43,Dati[Anno],$AH$31)+SUMIFS(Dati[Entrate Fisse Securities],Dati[Mese],V43,Dati[Anno],$AH$32)+SUMIFS(Dati[Entrate Fisse Securities],Dati[Mese],V43,Dati[Anno],$AH$33)+SUMIFS(Dati[Entrate Fisse Securities],Dati[Mese],V43,Dati[Anno],$AH$34)+SUMIFS(Dati[Entrate Fisse Securities],Dati[Mese],V43,Dati[Anno],$AH$35)+SUMIFS(Dati[Entrate Fisse Securities],Dati[Mese],V43,Dati[Anno],$AH$36)+SUMIFS(Dati[Entrate Fisse Securities],Dati[Mese],V43,Dati[Anno],AH$37)+SUMIFS(Dati[Entrate Fisse Securities],Dati[Mese],V43,Dati[Anno],$AH$38))-(Data!V12*COUNT($AH$27:$AH$38))</f>
        <v>-1200</v>
      </c>
      <c r="AD43" s="1">
        <f>SUM(SUMIFS(Dati[Entrate Fisse Securities],Dati[Mese],V43,Dati[Anno],$AH$27)+SUMIFS(Dati[Entrate Fisse Securities],Dati[Mese],V43,Dati[Anno],$AH$28)+SUMIFS(Dati[Entrate Fisse Securities],Dati[Mese],V43,Dati[Anno],$AH$29)+SUMIFS(Dati[Entrate Fisse Securities],Dati[Mese],V43,Dati[Anno],$AH$30)+SUMIFS(Dati[Entrate Fisse Securities],Dati[Mese],V43,Dati[Anno],$AH$31)+SUMIFS(Dati[Entrate Fisse Securities],Dati[Mese],V43,Dati[Anno],$AH$32)+SUMIFS(Dati[Entrate Fisse Securities],Dati[Mese],V43,Dati[Anno],$AH$33)+SUMIFS(Dati[Entrate Fisse Securities],Dati[Mese],V43,Dati[Anno],$AH$34)+SUMIFS(Dati[Entrate Fisse Securities],Dati[Mese],V43,Dati[Anno],$AH$35)+SUMIFS(Dati[Entrate Fisse Securities],Dati[Mese],V43,Dati[Anno],$AH$36)+SUMIFS(Dati[Entrate Fisse Securities],Dati[Mese],V43,Dati[Anno],AH$37)+SUMIFS(Dati[Entrate Fisse Securities],Dati[Mese],V43,Dati[Anno],$AH$38))-(Data!W12*COUNT($AH$27:$AH$38))</f>
        <v>-1400</v>
      </c>
      <c r="AE43" s="1">
        <f>SUM(SUMIFS(Dati[Entrate Fisse Securities],Dati[Mese],V43,Dati[Anno],$AH$27)+SUMIFS(Dati[Entrate Fisse Securities],Dati[Mese],V43,Dati[Anno],$AH$28)+SUMIFS(Dati[Entrate Fisse Securities],Dati[Mese],V43,Dati[Anno],$AH$29)+SUMIFS(Dati[Entrate Fisse Securities],Dati[Mese],V43,Dati[Anno],$AH$30)+SUMIFS(Dati[Entrate Fisse Securities],Dati[Mese],V43,Dati[Anno],$AH$31)+SUMIFS(Dati[Entrate Fisse Securities],Dati[Mese],V43,Dati[Anno],$AH$32)+SUMIFS(Dati[Entrate Fisse Securities],Dati[Mese],V43,Dati[Anno],$AH$33)+SUMIFS(Dati[Entrate Fisse Securities],Dati[Mese],V43,Dati[Anno],$AH$34)+SUMIFS(Dati[Entrate Fisse Securities],Dati[Mese],V43,Dati[Anno],$AH$35)+SUMIFS(Dati[Entrate Fisse Securities],Dati[Mese],V43,Dati[Anno],$AH$36)+SUMIFS(Dati[Entrate Fisse Securities],Dati[Mese],V43,Dati[Anno],AH$37)+SUMIFS(Dati[Entrate Fisse Securities],Dati[Mese],V43,Dati[Anno],$AH$38))-(Data!X12*COUNT($AH$27:$AH$38))</f>
        <v>-1600</v>
      </c>
      <c r="AF43" s="1">
        <v>10</v>
      </c>
      <c r="AG43" s="93" t="str">
        <f t="array" ref="AG43">IFERROR(IF(MATCH(AF43,$AJ$27:$AJ$38,0),SUM(SUMIF(Dati[Mese],Processing!V43,Dati[Entrate Fisse Securities])/Processing!AA43),NA()),"         -   %")</f>
        <v xml:space="preserve">         -   %</v>
      </c>
      <c r="AH43" s="205"/>
      <c r="AI43" s="64"/>
      <c r="AJ43" s="64"/>
      <c r="AK43" s="1">
        <f t="shared" si="18"/>
        <v>17</v>
      </c>
      <c r="AL43">
        <f>IFERROR(GETPIVOTDATA(""&amp;$O$3,Pivot!$B$12,""&amp;$AK$26,AK43)+GETPIVOTDATA(""&amp;$O$4,Pivot!$B$12,""&amp;$AK$26,AK43)+GETPIVOTDATA(""&amp;$O$5,Pivot!$B$12,""&amp;$AK$26,AK43),NA())</f>
        <v>0</v>
      </c>
      <c r="AM43">
        <f>IFERROR(GETPIVOTDATA(""&amp;$O$3,Pivot!$B$12,""&amp;$AK$26,AK43)+GETPIVOTDATA(""&amp;$O$5,Pivot!$B$12,""&amp;$AK$26,AK43),NA())</f>
        <v>0</v>
      </c>
      <c r="AN43">
        <f>IFERROR(GETPIVOTDATA(""&amp;$O$3,Pivot!$B$12,""&amp;$AK$26,AK43)+GETPIVOTDATA(""&amp;$O$4,Pivot!$B$12,""&amp;$AK$26,AK43)+GETPIVOTDATA(""&amp;$O$5,Pivot!$B$12,""&amp;$AK$26,AK43),NA())</f>
        <v>0</v>
      </c>
      <c r="AP43" s="1">
        <f t="shared" si="19"/>
        <v>17</v>
      </c>
      <c r="AQ43">
        <f>IFERROR(GETPIVOTDATA(""&amp;$O$6,Pivot!$B$12,""&amp;$AP$26,AP43)+GETPIVOTDATA(""&amp;$O$7,Pivot!$B$12,""&amp;$AP$26,AP43)+GETPIVOTDATA(""&amp;$O$8,Pivot!$B$12,""&amp;$AP$26,AP43),NA())</f>
        <v>8.3800000000000008</v>
      </c>
      <c r="AR43">
        <f>IFERROR(GETPIVOTDATA(""&amp;$O$6,Pivot!$B$12,""&amp;$AP$26,AP43)+GETPIVOTDATA(""&amp;$O$8,Pivot!$B$12,""&amp;$AP$26,AP43),NA())</f>
        <v>4.4000000000000004</v>
      </c>
      <c r="AS43" s="202">
        <f>IFERROR(GETPIVOTDATA(""&amp;$O$6,Pivot!$B$12,""&amp;$AP$26,AP43)+GETPIVOTDATA(""&amp;$O$7,Pivot!$B$12,""&amp;$AP$26,AP43)+GETPIVOTDATA(""&amp;$O$8,Pivot!$B$12,""&amp;$AP$26,AP43),NA())</f>
        <v>8.3800000000000008</v>
      </c>
      <c r="AT43"/>
      <c r="AU43"/>
      <c r="AV43"/>
      <c r="AW43"/>
      <c r="AX43"/>
      <c r="AY43"/>
      <c r="AZ43"/>
      <c r="BA43"/>
      <c r="BB43"/>
      <c r="BC43"/>
      <c r="BD43"/>
      <c r="BE43"/>
      <c r="BF43"/>
    </row>
    <row r="44" spans="2:58" ht="15.5" x14ac:dyDescent="0.35">
      <c r="B44" s="7" t="s">
        <v>132</v>
      </c>
      <c r="C44" s="21" t="s">
        <v>116</v>
      </c>
      <c r="E44" s="7" t="s">
        <v>49</v>
      </c>
      <c r="I44" s="113">
        <v>18</v>
      </c>
      <c r="J44" s="1">
        <f t="array" ref="J44">IFERROR(GETPIVOTDATA(""&amp;$O$3,Pivot!$B$12,""&amp;$I$26,I44)+GETPIVOTDATA(""&amp;$O$4,Pivot!$B$12,""&amp;$I$26,I44)+GETPIVOTDATA(""&amp;$O$5,Pivot!$B$12,""&amp;$I$26,I44),NA())</f>
        <v>0</v>
      </c>
      <c r="K44" s="1">
        <f t="array" ref="K44">IFERROR(GETPIVOTDATA(""&amp;$O$6,Pivot!$B$12,""&amp;$I$26,I44)+GETPIVOTDATA(""&amp;$O$7,Pivot!$B$12,""&amp;$I$26,I44)+GETPIVOTDATA(""&amp;$O$8,Pivot!$B$12,""&amp;$I$26,I44),NA())</f>
        <v>16.100000000000001</v>
      </c>
      <c r="L44">
        <f>IFERROR(GETPIVOTDATA(""&amp;$O$6,Pivot!$B$12,""&amp;$I$26,I44)+GETPIVOTDATA(""&amp;$O$7,Pivot!$B$12,""&amp;$I$26,I44)+GETPIVOTDATA(""&amp;$O$8,Pivot!$B$12,""&amp;$I$26,I44),NA())</f>
        <v>16.100000000000001</v>
      </c>
      <c r="M44" s="120">
        <f t="shared" si="20"/>
        <v>18</v>
      </c>
      <c r="N44" s="1">
        <f t="shared" si="16"/>
        <v>18</v>
      </c>
      <c r="O44" s="52">
        <f>IFERROR(GETPIVOTDATA("Totale Portfolio",Pivot!$BA$12,"Giorno",N44),NA())</f>
        <v>0</v>
      </c>
      <c r="P44" s="52">
        <f t="array" ref="P44">IFERROR(INDEX(Dati[Leasing Macchina], MATCH(1, --(ROW(Dati[Leasing Macchina])&gt;=MATCH(TEXT($AH$27, "0"),Data!$F:$F, 0)) * --ISNUMBER(Dati[Leasing Macchina]), 0)), 0)</f>
        <v>0</v>
      </c>
      <c r="Q44" s="97" t="e">
        <f>IF(NOT(ISNA(J44)),NA(),GETPIVOTDATA(""&amp;Dati[[#Headers],[Leasing Macchina]],Pivot!AD29,""&amp;$N$26,Processing!N44))</f>
        <v>#N/A</v>
      </c>
      <c r="R44" s="107">
        <f t="shared" si="17"/>
        <v>18</v>
      </c>
      <c r="S44" s="52" t="e">
        <f>IFERROR(GETPIVOTDATA(""&amp;Dati[[#Headers],[Consumer Credit]],Pivot!AD29,""&amp;$R$26,R44)+GETPIVOTDATA(""&amp;Dati[[#Headers],[Credit Card]],Pivot!AD29,""&amp;$R$26,R44)+GETPIVOTDATA(""&amp;#REF!,Pivot!AD29,""&amp;$R$26,R44)+GETPIVOTDATA(""&amp;#REF!,Pivot!AD29,""&amp;$R$26,R44),NA())</f>
        <v>#N/A</v>
      </c>
      <c r="T44" s="52" t="e">
        <f t="shared" si="21"/>
        <v>#N/A</v>
      </c>
      <c r="U44" s="106" t="e">
        <f>ISNUMBER(R44)*GETPIVOTDATA(""&amp;Dati[[#Headers],[Consumer Credit]],Pivot!AD29,""&amp;$R$26,R44)+GETPIVOTDATA(""&amp;Dati[[#Headers],[Credit Card]],Pivot!AD29,""&amp;$R$26,R44)+GETPIVOTDATA(""&amp;#REF!,Pivot!AD29,""&amp;$R$26,R44)+GETPIVOTDATA(""&amp;#REF!,Pivot!AD29,""&amp;$R$26,R44)</f>
        <v>#REF!</v>
      </c>
      <c r="V44" s="8" t="s">
        <v>165</v>
      </c>
      <c r="W44" s="14">
        <f>IF(AB44&lt;=Data!V13*COUNT($AH$27:$AH$38),AB44/$AA44,IF(AB44&gt;=Data!V13*COUNT($AH$27:$AH$38),(AB44/AB44),))</f>
        <v>0</v>
      </c>
      <c r="X44" s="14">
        <f>IF(AC44&lt;0,1-AC44/AC44,IF(AC44&lt;Data!W13*COUNT($AH$27:$AH$38),AC44/$AA44,IF(AC44&gt;=Data!W13*COUNT($AH$27:$AH$38),(AC44/AC44),)))</f>
        <v>0</v>
      </c>
      <c r="Y44" s="14">
        <f>IF(AD44&lt;0,1-AD44/AD44,IF(AD44&lt;Data!X13*COUNT($AH$27:$AH$38),AD44/$AA44,IF(AD44&gt;=Data!X13*COUNT($AH$27:$AH$38),(AD44/AD44),)))</f>
        <v>0</v>
      </c>
      <c r="Z44" s="14">
        <f>IF(AE44&lt;0,1-AE44/AE44,IF(AE44&lt;Data!Y13*COUNT($AH$27:$AH$38),AE44/$AA44,IF(AE44&gt;=Data!Y13*COUNT($AH$27:$AH$38),(AE44/AE44),)))</f>
        <v>0</v>
      </c>
      <c r="AA44" s="1">
        <f>Data!Y13*COUNT($AH$27:$AH$38)</f>
        <v>2000</v>
      </c>
      <c r="AB44" s="1">
        <f>SUMIFS(Dati[Entrate Fisse Securities],Dati[Mese],V44,Dati[Anno],$AH$27)+SUMIFS(Dati[Entrate Fisse Securities],Dati[Mese],V44,Dati[Anno],$AH$28)+SUMIFS(Dati[Entrate Fisse Securities],Dati[Mese],V44,Dati[Anno],$AH$29)+SUMIFS(Dati[Entrate Fisse Securities],Dati[Mese],V44,Dati[Anno],$AH$30)+SUMIFS(Dati[Entrate Fisse Securities],Dati[Mese],V44,Dati[Anno],$AH$31)+SUMIFS(Dati[Entrate Fisse Securities],Dati[Mese],V44,Dati[Anno],$AH$32)+SUMIFS(Dati[Entrate Fisse Securities],Dati[Mese],V44,Dati[Anno],$AH$33)+SUMIFS(Dati[Entrate Fisse Securities],Dati[Mese],V44,Dati[Anno],$AH$34)+SUMIFS(Dati[Entrate Fisse Securities],Dati[Mese],V44,Dati[Anno],$AH$35)+SUMIFS(Dati[Entrate Fisse Securities],Dati[Mese],V44,Dati[Anno],$AH$36)+SUMIFS(Dati[Entrate Fisse Securities],Dati[Mese],V44,Dati[Anno],AH$37)+SUMIFS(Dati[Entrate Fisse Securities],Dati[Mese],V44,Dati[Anno],$AH$38)</f>
        <v>0</v>
      </c>
      <c r="AC44" s="1">
        <f>SUM(SUMIFS(Dati[Entrate Fisse Securities],Dati[Mese],V44,Dati[Anno],$AH$27)+SUMIFS(Dati[Entrate Fisse Securities],Dati[Mese],V44,Dati[Anno],$AH$28)+SUMIFS(Dati[Entrate Fisse Securities],Dati[Mese],V44,Dati[Anno],$AH$29)+SUMIFS(Dati[Entrate Fisse Securities],Dati[Mese],V44,Dati[Anno],$AH$30)+SUMIFS(Dati[Entrate Fisse Securities],Dati[Mese],V44,Dati[Anno],$AH$31)+SUMIFS(Dati[Entrate Fisse Securities],Dati[Mese],V44,Dati[Anno],$AH$32)+SUMIFS(Dati[Entrate Fisse Securities],Dati[Mese],V44,Dati[Anno],$AH$33)+SUMIFS(Dati[Entrate Fisse Securities],Dati[Mese],V44,Dati[Anno],$AH$34)+SUMIFS(Dati[Entrate Fisse Securities],Dati[Mese],V44,Dati[Anno],$AH$35)+SUMIFS(Dati[Entrate Fisse Securities],Dati[Mese],V44,Dati[Anno],$AH$36)+SUMIFS(Dati[Entrate Fisse Securities],Dati[Mese],V44,Dati[Anno],AH$37)+SUMIFS(Dati[Entrate Fisse Securities],Dati[Mese],V44,Dati[Anno],$AH$38))-(Data!V13*COUNT($AH$27:$AH$38))</f>
        <v>-1200</v>
      </c>
      <c r="AD44" s="1">
        <f>SUM(SUMIFS(Dati[Entrate Fisse Securities],Dati[Mese],V44,Dati[Anno],$AH$27)+SUMIFS(Dati[Entrate Fisse Securities],Dati[Mese],V44,Dati[Anno],$AH$28)+SUMIFS(Dati[Entrate Fisse Securities],Dati[Mese],V44,Dati[Anno],$AH$29)+SUMIFS(Dati[Entrate Fisse Securities],Dati[Mese],V44,Dati[Anno],$AH$30)+SUMIFS(Dati[Entrate Fisse Securities],Dati[Mese],V44,Dati[Anno],$AH$31)+SUMIFS(Dati[Entrate Fisse Securities],Dati[Mese],V44,Dati[Anno],$AH$32)+SUMIFS(Dati[Entrate Fisse Securities],Dati[Mese],V44,Dati[Anno],$AH$33)+SUMIFS(Dati[Entrate Fisse Securities],Dati[Mese],V44,Dati[Anno],$AH$34)+SUMIFS(Dati[Entrate Fisse Securities],Dati[Mese],V44,Dati[Anno],$AH$35)+SUMIFS(Dati[Entrate Fisse Securities],Dati[Mese],V44,Dati[Anno],$AH$36)+SUMIFS(Dati[Entrate Fisse Securities],Dati[Mese],V44,Dati[Anno],AH$37)+SUMIFS(Dati[Entrate Fisse Securities],Dati[Mese],V44,Dati[Anno],$AH$38))-(Data!W13*COUNT($AH$27:$AH$38))</f>
        <v>-1400</v>
      </c>
      <c r="AE44" s="1">
        <f>SUM(SUMIFS(Dati[Entrate Fisse Securities],Dati[Mese],V44,Dati[Anno],$AH$27)+SUMIFS(Dati[Entrate Fisse Securities],Dati[Mese],V44,Dati[Anno],$AH$28)+SUMIFS(Dati[Entrate Fisse Securities],Dati[Mese],V44,Dati[Anno],$AH$29)+SUMIFS(Dati[Entrate Fisse Securities],Dati[Mese],V44,Dati[Anno],$AH$30)+SUMIFS(Dati[Entrate Fisse Securities],Dati[Mese],V44,Dati[Anno],$AH$31)+SUMIFS(Dati[Entrate Fisse Securities],Dati[Mese],V44,Dati[Anno],$AH$32)+SUMIFS(Dati[Entrate Fisse Securities],Dati[Mese],V44,Dati[Anno],$AH$33)+SUMIFS(Dati[Entrate Fisse Securities],Dati[Mese],V44,Dati[Anno],$AH$34)+SUMIFS(Dati[Entrate Fisse Securities],Dati[Mese],V44,Dati[Anno],$AH$35)+SUMIFS(Dati[Entrate Fisse Securities],Dati[Mese],V44,Dati[Anno],$AH$36)+SUMIFS(Dati[Entrate Fisse Securities],Dati[Mese],V44,Dati[Anno],AH$37)+SUMIFS(Dati[Entrate Fisse Securities],Dati[Mese],V44,Dati[Anno],$AH$38))-(Data!X13*COUNT($AH$27:$AH$38))</f>
        <v>-1600</v>
      </c>
      <c r="AF44" s="1">
        <v>11</v>
      </c>
      <c r="AG44" s="93" t="str">
        <f t="array" ref="AG44">IFERROR(IF(MATCH(AF44,$AJ$27:$AJ$38,0),SUM(SUMIF(Dati[Mese],Processing!V44,Dati[Entrate Fisse Securities])/Processing!AA44),NA()),"         -   %")</f>
        <v xml:space="preserve">         -   %</v>
      </c>
      <c r="AH44" s="205"/>
      <c r="AI44" s="64"/>
      <c r="AJ44" s="64"/>
      <c r="AK44" s="1">
        <f t="shared" si="18"/>
        <v>18</v>
      </c>
      <c r="AL44">
        <f>IFERROR(GETPIVOTDATA(""&amp;$O$3,Pivot!$B$12,""&amp;$AK$26,AK44)+GETPIVOTDATA(""&amp;$O$4,Pivot!$B$12,""&amp;$AK$26,AK44)+GETPIVOTDATA(""&amp;$O$5,Pivot!$B$12,""&amp;$AK$26,AK44),NA())</f>
        <v>0</v>
      </c>
      <c r="AM44">
        <f>IFERROR(GETPIVOTDATA(""&amp;$O$3,Pivot!$B$12,""&amp;$AK$26,AK44)+GETPIVOTDATA(""&amp;$O$5,Pivot!$B$12,""&amp;$AK$26,AK44),NA())</f>
        <v>0</v>
      </c>
      <c r="AN44">
        <f>IFERROR(GETPIVOTDATA(""&amp;$O$3,Pivot!$B$12,""&amp;$AK$26,AK44)+GETPIVOTDATA(""&amp;$O$4,Pivot!$B$12,""&amp;$AK$26,AK44)+GETPIVOTDATA(""&amp;$O$5,Pivot!$B$12,""&amp;$AK$26,AK44),NA())</f>
        <v>0</v>
      </c>
      <c r="AP44" s="1">
        <f t="shared" si="19"/>
        <v>18</v>
      </c>
      <c r="AQ44">
        <f>IFERROR(GETPIVOTDATA(""&amp;$O$6,Pivot!$B$12,""&amp;$AP$26,AP44)+GETPIVOTDATA(""&amp;$O$7,Pivot!$B$12,""&amp;$AP$26,AP44)+GETPIVOTDATA(""&amp;$O$8,Pivot!$B$12,""&amp;$AP$26,AP44),NA())</f>
        <v>16.100000000000001</v>
      </c>
      <c r="AR44">
        <f>IFERROR(GETPIVOTDATA(""&amp;$O$6,Pivot!$B$12,""&amp;$AP$26,AP44)+GETPIVOTDATA(""&amp;$O$8,Pivot!$B$12,""&amp;$AP$26,AP44),NA())</f>
        <v>4.4000000000000004</v>
      </c>
      <c r="AS44" s="202">
        <f>IFERROR(GETPIVOTDATA(""&amp;$O$6,Pivot!$B$12,""&amp;$AP$26,AP44)+GETPIVOTDATA(""&amp;$O$7,Pivot!$B$12,""&amp;$AP$26,AP44)+GETPIVOTDATA(""&amp;$O$8,Pivot!$B$12,""&amp;$AP$26,AP44),NA())</f>
        <v>16.100000000000001</v>
      </c>
      <c r="AT44"/>
      <c r="AU44"/>
      <c r="AV44"/>
      <c r="AW44"/>
      <c r="AX44"/>
      <c r="AY44"/>
      <c r="AZ44"/>
      <c r="BA44"/>
      <c r="BB44"/>
      <c r="BC44"/>
      <c r="BD44"/>
      <c r="BE44"/>
      <c r="BF44"/>
    </row>
    <row r="45" spans="2:58" ht="15.5" x14ac:dyDescent="0.35">
      <c r="B45" s="1" t="str">
        <f>C40</f>
        <v>Business</v>
      </c>
      <c r="C45" s="52">
        <f>C41+C42</f>
        <v>0</v>
      </c>
      <c r="E45" s="18" t="s">
        <v>110</v>
      </c>
      <c r="F45" s="18" t="s">
        <v>111</v>
      </c>
      <c r="I45" s="113">
        <v>19</v>
      </c>
      <c r="J45" s="1">
        <f t="array" ref="J45">IFERROR(GETPIVOTDATA(""&amp;$O$3,Pivot!$B$12,""&amp;$I$26,I45)+GETPIVOTDATA(""&amp;$O$4,Pivot!$B$12,""&amp;$I$26,I45)+GETPIVOTDATA(""&amp;$O$5,Pivot!$B$12,""&amp;$I$26,I45),NA())</f>
        <v>0</v>
      </c>
      <c r="K45" s="1">
        <f t="array" ref="K45">IFERROR(GETPIVOTDATA(""&amp;$O$6,Pivot!$B$12,""&amp;$I$26,I45)+GETPIVOTDATA(""&amp;$O$7,Pivot!$B$12,""&amp;$I$26,I45)+GETPIVOTDATA(""&amp;$O$8,Pivot!$B$12,""&amp;$I$26,I45),NA())</f>
        <v>0</v>
      </c>
      <c r="L45">
        <f>IFERROR(GETPIVOTDATA(""&amp;$O$6,Pivot!$B$12,""&amp;$I$26,I45)+GETPIVOTDATA(""&amp;$O$7,Pivot!$B$12,""&amp;$I$26,I45)+GETPIVOTDATA(""&amp;$O$8,Pivot!$B$12,""&amp;$I$26,I45),NA())</f>
        <v>0</v>
      </c>
      <c r="M45" s="120">
        <f t="shared" si="20"/>
        <v>19</v>
      </c>
      <c r="N45" s="1">
        <f t="shared" si="16"/>
        <v>19</v>
      </c>
      <c r="O45" s="52">
        <f>IFERROR(GETPIVOTDATA("Totale Portfolio",Pivot!$BA$12,"Giorno",N45),NA())</f>
        <v>0</v>
      </c>
      <c r="P45" s="52">
        <f t="array" ref="P45">IFERROR(INDEX(Dati[Leasing Macchina], MATCH(1, --(ROW(Dati[Leasing Macchina])&gt;=MATCH(TEXT($AH$27, "0"),Data!$F:$F, 0)) * --ISNUMBER(Dati[Leasing Macchina]), 0)), 0)</f>
        <v>0</v>
      </c>
      <c r="Q45" s="97" t="e">
        <f>IF(NOT(ISNA(J45)),NA(),GETPIVOTDATA(""&amp;Dati[[#Headers],[Leasing Macchina]],Pivot!AD30,""&amp;$N$26,Processing!N45))</f>
        <v>#N/A</v>
      </c>
      <c r="R45" s="107">
        <f t="shared" si="17"/>
        <v>19</v>
      </c>
      <c r="S45" s="52" t="e">
        <f>IFERROR(GETPIVOTDATA(""&amp;Dati[[#Headers],[Consumer Credit]],Pivot!AD30,""&amp;$R$26,R45)+GETPIVOTDATA(""&amp;Dati[[#Headers],[Credit Card]],Pivot!AD30,""&amp;$R$26,R45)+GETPIVOTDATA(""&amp;#REF!,Pivot!AD30,""&amp;$R$26,R45)+GETPIVOTDATA(""&amp;#REF!,Pivot!AD30,""&amp;$R$26,R45),NA())</f>
        <v>#N/A</v>
      </c>
      <c r="T45" s="52" t="e">
        <f t="shared" si="21"/>
        <v>#N/A</v>
      </c>
      <c r="U45" s="106" t="e">
        <f>ISNUMBER(R45)*GETPIVOTDATA(""&amp;Dati[[#Headers],[Consumer Credit]],Pivot!AD30,""&amp;$R$26,R45)+GETPIVOTDATA(""&amp;Dati[[#Headers],[Credit Card]],Pivot!AD30,""&amp;$R$26,R45)+GETPIVOTDATA(""&amp;#REF!,Pivot!AD30,""&amp;$R$26,R45)+GETPIVOTDATA(""&amp;#REF!,Pivot!AD30,""&amp;$R$26,R45)</f>
        <v>#REF!</v>
      </c>
      <c r="V45" s="8" t="s">
        <v>166</v>
      </c>
      <c r="W45" s="14">
        <f>IF(AB45&lt;=Data!V14*COUNT($AH$27:$AH$38),AB45/$AA45,IF(AB45&gt;=Data!V14*COUNT($AH$27:$AH$38),(AB45/AB45),))</f>
        <v>0</v>
      </c>
      <c r="X45" s="14">
        <f>IF(AC45&lt;0,1-AC45/AC45,IF(AC45&lt;Data!W14*COUNT($AH$27:$AH$38),AC45/$AA45,IF(AC45&gt;=Data!W14*COUNT($AH$27:$AH$38),(AC45/AC45),)))</f>
        <v>0</v>
      </c>
      <c r="Y45" s="14">
        <f>IF(AD45&lt;0,1-AD45/AD45,IF(AD45&lt;Data!X14*COUNT($AH$27:$AH$38),AD45/$AA45,IF(AD45&gt;=Data!X14*COUNT($AH$27:$AH$38),(AD45/AD45),)))</f>
        <v>0</v>
      </c>
      <c r="Z45" s="14">
        <f>IF(AE45&lt;0,1-AE45/AE45,IF(AE45&lt;Data!Y14*COUNT($AH$27:$AH$38),AE45/$AA45,IF(AE45&gt;=Data!Y14*COUNT($AH$27:$AH$38),(AE45/AE45),)))</f>
        <v>0</v>
      </c>
      <c r="AA45" s="1">
        <f>Data!Y14*COUNT($AH$27:$AH$38)</f>
        <v>2500</v>
      </c>
      <c r="AB45" s="1">
        <f>SUMIFS(Dati[Entrate Fisse Securities],Dati[Mese],V45,Dati[Anno],$AH$27)+SUMIFS(Dati[Entrate Fisse Securities],Dati[Mese],V45,Dati[Anno],$AH$28)+SUMIFS(Dati[Entrate Fisse Securities],Dati[Mese],V45,Dati[Anno],$AH$29)+SUMIFS(Dati[Entrate Fisse Securities],Dati[Mese],V45,Dati[Anno],$AH$30)+SUMIFS(Dati[Entrate Fisse Securities],Dati[Mese],V45,Dati[Anno],$AH$31)+SUMIFS(Dati[Entrate Fisse Securities],Dati[Mese],V45,Dati[Anno],$AH$32)+SUMIFS(Dati[Entrate Fisse Securities],Dati[Mese],V45,Dati[Anno],$AH$33)+SUMIFS(Dati[Entrate Fisse Securities],Dati[Mese],V45,Dati[Anno],$AH$34)+SUMIFS(Dati[Entrate Fisse Securities],Dati[Mese],V45,Dati[Anno],$AH$35)+SUMIFS(Dati[Entrate Fisse Securities],Dati[Mese],V45,Dati[Anno],$AH$36)+SUMIFS(Dati[Entrate Fisse Securities],Dati[Mese],V45,Dati[Anno],AH$37)+SUMIFS(Dati[Entrate Fisse Securities],Dati[Mese],V45,Dati[Anno],$AH$38)</f>
        <v>0</v>
      </c>
      <c r="AC45" s="1">
        <f>SUM(SUMIFS(Dati[Entrate Fisse Securities],Dati[Mese],V45,Dati[Anno],$AH$27)+SUMIFS(Dati[Entrate Fisse Securities],Dati[Mese],V45,Dati[Anno],$AH$28)+SUMIFS(Dati[Entrate Fisse Securities],Dati[Mese],V45,Dati[Anno],$AH$29)+SUMIFS(Dati[Entrate Fisse Securities],Dati[Mese],V45,Dati[Anno],$AH$30)+SUMIFS(Dati[Entrate Fisse Securities],Dati[Mese],V45,Dati[Anno],$AH$31)+SUMIFS(Dati[Entrate Fisse Securities],Dati[Mese],V45,Dati[Anno],$AH$32)+SUMIFS(Dati[Entrate Fisse Securities],Dati[Mese],V45,Dati[Anno],$AH$33)+SUMIFS(Dati[Entrate Fisse Securities],Dati[Mese],V45,Dati[Anno],$AH$34)+SUMIFS(Dati[Entrate Fisse Securities],Dati[Mese],V45,Dati[Anno],$AH$35)+SUMIFS(Dati[Entrate Fisse Securities],Dati[Mese],V45,Dati[Anno],$AH$36)+SUMIFS(Dati[Entrate Fisse Securities],Dati[Mese],V45,Dati[Anno],AH$37)+SUMIFS(Dati[Entrate Fisse Securities],Dati[Mese],V45,Dati[Anno],$AH$38))-(Data!V14*COUNT($AH$27:$AH$38))</f>
        <v>-1500</v>
      </c>
      <c r="AD45" s="1">
        <f>SUM(SUMIFS(Dati[Entrate Fisse Securities],Dati[Mese],V45,Dati[Anno],$AH$27)+SUMIFS(Dati[Entrate Fisse Securities],Dati[Mese],V45,Dati[Anno],$AH$28)+SUMIFS(Dati[Entrate Fisse Securities],Dati[Mese],V45,Dati[Anno],$AH$29)+SUMIFS(Dati[Entrate Fisse Securities],Dati[Mese],V45,Dati[Anno],$AH$30)+SUMIFS(Dati[Entrate Fisse Securities],Dati[Mese],V45,Dati[Anno],$AH$31)+SUMIFS(Dati[Entrate Fisse Securities],Dati[Mese],V45,Dati[Anno],$AH$32)+SUMIFS(Dati[Entrate Fisse Securities],Dati[Mese],V45,Dati[Anno],$AH$33)+SUMIFS(Dati[Entrate Fisse Securities],Dati[Mese],V45,Dati[Anno],$AH$34)+SUMIFS(Dati[Entrate Fisse Securities],Dati[Mese],V45,Dati[Anno],$AH$35)+SUMIFS(Dati[Entrate Fisse Securities],Dati[Mese],V45,Dati[Anno],$AH$36)+SUMIFS(Dati[Entrate Fisse Securities],Dati[Mese],V45,Dati[Anno],AH$37)+SUMIFS(Dati[Entrate Fisse Securities],Dati[Mese],V45,Dati[Anno],$AH$38))-(Data!W14*COUNT($AH$27:$AH$38))</f>
        <v>-1700</v>
      </c>
      <c r="AE45" s="1">
        <f>SUM(SUMIFS(Dati[Entrate Fisse Securities],Dati[Mese],V45,Dati[Anno],$AH$27)+SUMIFS(Dati[Entrate Fisse Securities],Dati[Mese],V45,Dati[Anno],$AH$28)+SUMIFS(Dati[Entrate Fisse Securities],Dati[Mese],V45,Dati[Anno],$AH$29)+SUMIFS(Dati[Entrate Fisse Securities],Dati[Mese],V45,Dati[Anno],$AH$30)+SUMIFS(Dati[Entrate Fisse Securities],Dati[Mese],V45,Dati[Anno],$AH$31)+SUMIFS(Dati[Entrate Fisse Securities],Dati[Mese],V45,Dati[Anno],$AH$32)+SUMIFS(Dati[Entrate Fisse Securities],Dati[Mese],V45,Dati[Anno],$AH$33)+SUMIFS(Dati[Entrate Fisse Securities],Dati[Mese],V45,Dati[Anno],$AH$34)+SUMIFS(Dati[Entrate Fisse Securities],Dati[Mese],V45,Dati[Anno],$AH$35)+SUMIFS(Dati[Entrate Fisse Securities],Dati[Mese],V45,Dati[Anno],$AH$36)+SUMIFS(Dati[Entrate Fisse Securities],Dati[Mese],V45,Dati[Anno],AH$37)+SUMIFS(Dati[Entrate Fisse Securities],Dati[Mese],V45,Dati[Anno],$AH$38))-(Data!X14*COUNT($AH$27:$AH$38))</f>
        <v>-1900</v>
      </c>
      <c r="AF45" s="1">
        <v>12</v>
      </c>
      <c r="AG45" s="93" t="str">
        <f t="array" ref="AG45">IFERROR(IF(MATCH(AF45,$AJ$27:$AJ$38,0),SUM(SUMIF(Dati[Mese],Processing!V45,Dati[Entrate Fisse Securities])/Processing!AA45),NA()),"         -   %")</f>
        <v xml:space="preserve">         -   %</v>
      </c>
      <c r="AH45" s="205"/>
      <c r="AI45" s="64"/>
      <c r="AJ45" s="64"/>
      <c r="AK45" s="1">
        <f t="shared" si="18"/>
        <v>19</v>
      </c>
      <c r="AL45">
        <f>IFERROR(GETPIVOTDATA(""&amp;$O$3,Pivot!$B$12,""&amp;$AK$26,AK45)+GETPIVOTDATA(""&amp;$O$4,Pivot!$B$12,""&amp;$AK$26,AK45)+GETPIVOTDATA(""&amp;$O$5,Pivot!$B$12,""&amp;$AK$26,AK45),NA())</f>
        <v>0</v>
      </c>
      <c r="AM45">
        <f>IFERROR(GETPIVOTDATA(""&amp;$O$3,Pivot!$B$12,""&amp;$AK$26,AK45)+GETPIVOTDATA(""&amp;$O$5,Pivot!$B$12,""&amp;$AK$26,AK45),NA())</f>
        <v>0</v>
      </c>
      <c r="AN45">
        <f>IFERROR(GETPIVOTDATA(""&amp;$O$3,Pivot!$B$12,""&amp;$AK$26,AK45)+GETPIVOTDATA(""&amp;$O$4,Pivot!$B$12,""&amp;$AK$26,AK45)+GETPIVOTDATA(""&amp;$O$5,Pivot!$B$12,""&amp;$AK$26,AK45),NA())</f>
        <v>0</v>
      </c>
      <c r="AP45" s="1">
        <f t="shared" si="19"/>
        <v>19</v>
      </c>
      <c r="AQ45">
        <f>IFERROR(GETPIVOTDATA(""&amp;$O$6,Pivot!$B$12,""&amp;$AP$26,AP45)+GETPIVOTDATA(""&amp;$O$7,Pivot!$B$12,""&amp;$AP$26,AP45)+GETPIVOTDATA(""&amp;$O$8,Pivot!$B$12,""&amp;$AP$26,AP45),NA())</f>
        <v>0</v>
      </c>
      <c r="AR45">
        <f>IFERROR(GETPIVOTDATA(""&amp;$O$6,Pivot!$B$12,""&amp;$AP$26,AP45)+GETPIVOTDATA(""&amp;$O$8,Pivot!$B$12,""&amp;$AP$26,AP45),NA())</f>
        <v>0</v>
      </c>
      <c r="AS45" s="202">
        <f>IFERROR(GETPIVOTDATA(""&amp;$O$6,Pivot!$B$12,""&amp;$AP$26,AP45)+GETPIVOTDATA(""&amp;$O$7,Pivot!$B$12,""&amp;$AP$26,AP45)+GETPIVOTDATA(""&amp;$O$8,Pivot!$B$12,""&amp;$AP$26,AP45),NA())</f>
        <v>0</v>
      </c>
      <c r="AT45"/>
      <c r="AU45"/>
      <c r="AV45"/>
      <c r="AW45"/>
      <c r="AX45"/>
      <c r="AY45"/>
      <c r="AZ45"/>
      <c r="BA45"/>
      <c r="BB45"/>
      <c r="BC45"/>
      <c r="BD45"/>
      <c r="BE45"/>
      <c r="BF45"/>
    </row>
    <row r="46" spans="2:58" ht="16" thickBot="1" x14ac:dyDescent="0.4">
      <c r="B46" s="1" t="str">
        <f>D40</f>
        <v>Securities</v>
      </c>
      <c r="C46" s="52">
        <f>D41+D42</f>
        <v>0</v>
      </c>
      <c r="E46" s="9" t="str">
        <f>IFERROR(H41/(H41+H42),"0%")</f>
        <v>0%</v>
      </c>
      <c r="F46" s="9">
        <f>1-E46</f>
        <v>1</v>
      </c>
      <c r="I46" s="113">
        <v>20</v>
      </c>
      <c r="J46" s="1">
        <f t="array" ref="J46">IFERROR(GETPIVOTDATA(""&amp;$O$3,Pivot!$B$12,""&amp;$I$26,I46)+GETPIVOTDATA(""&amp;$O$4,Pivot!$B$12,""&amp;$I$26,I46)+GETPIVOTDATA(""&amp;$O$5,Pivot!$B$12,""&amp;$I$26,I46),NA())</f>
        <v>0</v>
      </c>
      <c r="K46" s="1">
        <f t="array" ref="K46">IFERROR(GETPIVOTDATA(""&amp;$O$6,Pivot!$B$12,""&amp;$I$26,I46)+GETPIVOTDATA(""&amp;$O$7,Pivot!$B$12,""&amp;$I$26,I46)+GETPIVOTDATA(""&amp;$O$8,Pivot!$B$12,""&amp;$I$26,I46),NA())</f>
        <v>0</v>
      </c>
      <c r="L46">
        <f>IFERROR(GETPIVOTDATA(""&amp;$O$6,Pivot!$B$12,""&amp;$I$26,I46)+GETPIVOTDATA(""&amp;$O$7,Pivot!$B$12,""&amp;$I$26,I46)+GETPIVOTDATA(""&amp;$O$8,Pivot!$B$12,""&amp;$I$26,I46),NA())</f>
        <v>0</v>
      </c>
      <c r="M46" s="120">
        <f t="shared" si="20"/>
        <v>20</v>
      </c>
      <c r="N46" s="1">
        <f t="shared" si="16"/>
        <v>20</v>
      </c>
      <c r="O46" s="52">
        <f>IFERROR(GETPIVOTDATA("Totale Portfolio",Pivot!$BA$12,"Giorno",N46),NA())</f>
        <v>0</v>
      </c>
      <c r="P46" s="52">
        <f t="array" ref="P46">IFERROR(INDEX(Dati[Leasing Macchina], MATCH(1, --(ROW(Dati[Leasing Macchina])&gt;=MATCH(TEXT($AH$27, "0"),Data!$F:$F, 0)) * --ISNUMBER(Dati[Leasing Macchina]), 0)), 0)</f>
        <v>0</v>
      </c>
      <c r="Q46" s="97" t="e">
        <f>IF(NOT(ISNA(J46)),NA(),GETPIVOTDATA(""&amp;Dati[[#Headers],[Leasing Macchina]],Pivot!AD31,""&amp;$N$26,Processing!N46))</f>
        <v>#N/A</v>
      </c>
      <c r="R46" s="107">
        <f t="shared" si="17"/>
        <v>20</v>
      </c>
      <c r="S46" s="52" t="e">
        <f>IFERROR(GETPIVOTDATA(""&amp;Dati[[#Headers],[Consumer Credit]],Pivot!AD31,""&amp;$R$26,R46)+GETPIVOTDATA(""&amp;Dati[[#Headers],[Credit Card]],Pivot!AD31,""&amp;$R$26,R46)+GETPIVOTDATA(""&amp;#REF!,Pivot!AD31,""&amp;$R$26,R46)+GETPIVOTDATA(""&amp;#REF!,Pivot!AD31,""&amp;$R$26,R46),NA())</f>
        <v>#N/A</v>
      </c>
      <c r="T46" s="52" t="e">
        <f t="shared" si="21"/>
        <v>#N/A</v>
      </c>
      <c r="U46" s="106" t="e">
        <f>ISNUMBER(R46)*GETPIVOTDATA(""&amp;Dati[[#Headers],[Consumer Credit]],Pivot!AD31,""&amp;$R$26,R46)+GETPIVOTDATA(""&amp;Dati[[#Headers],[Credit Card]],Pivot!AD31,""&amp;$R$26,R46)+GETPIVOTDATA(""&amp;#REF!,Pivot!AD31,""&amp;$R$26,R46)+GETPIVOTDATA(""&amp;#REF!,Pivot!AD31,""&amp;$R$26,R46)</f>
        <v>#REF!</v>
      </c>
      <c r="AH46" s="203"/>
      <c r="AK46" s="1">
        <f t="shared" si="18"/>
        <v>20</v>
      </c>
      <c r="AL46">
        <f>IFERROR(GETPIVOTDATA(""&amp;$O$3,Pivot!$B$12,""&amp;$AK$26,AK46)+GETPIVOTDATA(""&amp;$O$4,Pivot!$B$12,""&amp;$AK$26,AK46)+GETPIVOTDATA(""&amp;$O$5,Pivot!$B$12,""&amp;$AK$26,AK46),NA())</f>
        <v>0</v>
      </c>
      <c r="AM46">
        <f>IFERROR(GETPIVOTDATA(""&amp;$O$3,Pivot!$B$12,""&amp;$AK$26,AK46)+GETPIVOTDATA(""&amp;$O$5,Pivot!$B$12,""&amp;$AK$26,AK46),NA())</f>
        <v>0</v>
      </c>
      <c r="AN46">
        <f>IFERROR(GETPIVOTDATA(""&amp;$O$3,Pivot!$B$12,""&amp;$AK$26,AK46)+GETPIVOTDATA(""&amp;$O$4,Pivot!$B$12,""&amp;$AK$26,AK46)+GETPIVOTDATA(""&amp;$O$5,Pivot!$B$12,""&amp;$AK$26,AK46),NA())</f>
        <v>0</v>
      </c>
      <c r="AP46" s="1">
        <f t="shared" si="19"/>
        <v>20</v>
      </c>
      <c r="AQ46">
        <f>IFERROR(GETPIVOTDATA(""&amp;$O$6,Pivot!$B$12,""&amp;$AP$26,AP46)+GETPIVOTDATA(""&amp;$O$7,Pivot!$B$12,""&amp;$AP$26,AP46)+GETPIVOTDATA(""&amp;$O$8,Pivot!$B$12,""&amp;$AP$26,AP46),NA())</f>
        <v>0</v>
      </c>
      <c r="AR46">
        <f>IFERROR(GETPIVOTDATA(""&amp;$O$6,Pivot!$B$12,""&amp;$AP$26,AP46)+GETPIVOTDATA(""&amp;$O$8,Pivot!$B$12,""&amp;$AP$26,AP46),NA())</f>
        <v>0</v>
      </c>
      <c r="AS46" s="202">
        <f>IFERROR(GETPIVOTDATA(""&amp;$O$6,Pivot!$B$12,""&amp;$AP$26,AP46)+GETPIVOTDATA(""&amp;$O$7,Pivot!$B$12,""&amp;$AP$26,AP46)+GETPIVOTDATA(""&amp;$O$8,Pivot!$B$12,""&amp;$AP$26,AP46),NA())</f>
        <v>0</v>
      </c>
      <c r="AT46"/>
      <c r="AU46"/>
      <c r="AV46"/>
      <c r="AW46"/>
      <c r="AX46"/>
      <c r="AY46"/>
      <c r="AZ46"/>
      <c r="BA46"/>
      <c r="BB46"/>
      <c r="BC46"/>
      <c r="BD46"/>
      <c r="BE46"/>
      <c r="BF46"/>
    </row>
    <row r="47" spans="2:58" ht="15.5" x14ac:dyDescent="0.35">
      <c r="B47" s="1" t="str">
        <f>E40</f>
        <v>Gold</v>
      </c>
      <c r="C47" s="52">
        <f>E41+E42</f>
        <v>0</v>
      </c>
      <c r="I47" s="113">
        <v>21</v>
      </c>
      <c r="J47" s="1">
        <f t="array" ref="J47">IFERROR(GETPIVOTDATA(""&amp;$O$3,Pivot!$B$12,""&amp;$I$26,I47)+GETPIVOTDATA(""&amp;$O$4,Pivot!$B$12,""&amp;$I$26,I47)+GETPIVOTDATA(""&amp;$O$5,Pivot!$B$12,""&amp;$I$26,I47),NA())</f>
        <v>0</v>
      </c>
      <c r="K47" s="1">
        <f t="array" ref="K47">IFERROR(GETPIVOTDATA(""&amp;$O$6,Pivot!$B$12,""&amp;$I$26,I47)+GETPIVOTDATA(""&amp;$O$7,Pivot!$B$12,""&amp;$I$26,I47)+GETPIVOTDATA(""&amp;$O$8,Pivot!$B$12,""&amp;$I$26,I47),NA())</f>
        <v>49.040000000000006</v>
      </c>
      <c r="L47">
        <f>IFERROR(GETPIVOTDATA(""&amp;$O$6,Pivot!$B$12,""&amp;$I$26,I47)+GETPIVOTDATA(""&amp;$O$7,Pivot!$B$12,""&amp;$I$26,I47)+GETPIVOTDATA(""&amp;$O$8,Pivot!$B$12,""&amp;$I$26,I47),NA())</f>
        <v>49.040000000000006</v>
      </c>
      <c r="M47" s="120">
        <f t="shared" si="20"/>
        <v>21</v>
      </c>
      <c r="N47" s="1">
        <f t="shared" si="16"/>
        <v>21</v>
      </c>
      <c r="O47" s="52">
        <f>IFERROR(GETPIVOTDATA("Totale Portfolio",Pivot!$BA$12,"Giorno",N47),NA())</f>
        <v>0</v>
      </c>
      <c r="P47" s="52">
        <f t="array" ref="P47">IFERROR(INDEX(Dati[Leasing Macchina], MATCH(1, --(ROW(Dati[Leasing Macchina])&gt;=MATCH(TEXT($AH$27, "0"),Data!$F:$F, 0)) * --ISNUMBER(Dati[Leasing Macchina]), 0)), 0)</f>
        <v>0</v>
      </c>
      <c r="Q47" s="97" t="e">
        <f>IF(NOT(ISNA(J47)),NA(),GETPIVOTDATA(""&amp;Dati[[#Headers],[Leasing Macchina]],Pivot!AD32,""&amp;$N$26,Processing!N47))</f>
        <v>#N/A</v>
      </c>
      <c r="R47" s="107">
        <f t="shared" si="17"/>
        <v>21</v>
      </c>
      <c r="S47" s="52" t="e">
        <f>IFERROR(GETPIVOTDATA(""&amp;Dati[[#Headers],[Consumer Credit]],Pivot!AD32,""&amp;$R$26,R47)+GETPIVOTDATA(""&amp;Dati[[#Headers],[Credit Card]],Pivot!AD32,""&amp;$R$26,R47)+GETPIVOTDATA(""&amp;#REF!,Pivot!AD32,""&amp;$R$26,R47)+GETPIVOTDATA(""&amp;#REF!,Pivot!AD32,""&amp;$R$26,R47),NA())</f>
        <v>#N/A</v>
      </c>
      <c r="T47" s="52" t="e">
        <f t="shared" si="21"/>
        <v>#N/A</v>
      </c>
      <c r="U47" s="106" t="e">
        <f>ISNUMBER(R47)*GETPIVOTDATA(""&amp;Dati[[#Headers],[Consumer Credit]],Pivot!AD32,""&amp;$R$26,R47)+GETPIVOTDATA(""&amp;Dati[[#Headers],[Credit Card]],Pivot!AD32,""&amp;$R$26,R47)+GETPIVOTDATA(""&amp;#REF!,Pivot!AD32,""&amp;$R$26,R47)+GETPIVOTDATA(""&amp;#REF!,Pivot!AD32,""&amp;$R$26,R47)</f>
        <v>#REF!</v>
      </c>
      <c r="W47" s="36">
        <v>13409</v>
      </c>
      <c r="X47" s="37">
        <v>4153</v>
      </c>
      <c r="Y47" s="37">
        <v>3743</v>
      </c>
      <c r="Z47" s="37">
        <v>487</v>
      </c>
      <c r="AA47" s="37">
        <f>SUM(W47:Z47)</f>
        <v>21792</v>
      </c>
      <c r="AB47" s="37">
        <f t="shared" ref="AB47:AB58" si="29">AA47/AA34</f>
        <v>14.528</v>
      </c>
      <c r="AC47" s="38">
        <f>AA47/AB47</f>
        <v>1500</v>
      </c>
      <c r="AD47" s="38"/>
      <c r="AE47" s="39"/>
      <c r="AH47" s="203"/>
      <c r="AK47" s="1">
        <f t="shared" si="18"/>
        <v>21</v>
      </c>
      <c r="AL47">
        <f>IFERROR(GETPIVOTDATA(""&amp;$O$3,Pivot!$B$12,""&amp;$AK$26,AK47)+GETPIVOTDATA(""&amp;$O$4,Pivot!$B$12,""&amp;$AK$26,AK47)+GETPIVOTDATA(""&amp;$O$5,Pivot!$B$12,""&amp;$AK$26,AK47),NA())</f>
        <v>0</v>
      </c>
      <c r="AM47">
        <f>IFERROR(GETPIVOTDATA(""&amp;$O$3,Pivot!$B$12,""&amp;$AK$26,AK47)+GETPIVOTDATA(""&amp;$O$5,Pivot!$B$12,""&amp;$AK$26,AK47),NA())</f>
        <v>0</v>
      </c>
      <c r="AN47">
        <f>IFERROR(GETPIVOTDATA(""&amp;$O$3,Pivot!$B$12,""&amp;$AK$26,AK47)+GETPIVOTDATA(""&amp;$O$4,Pivot!$B$12,""&amp;$AK$26,AK47)+GETPIVOTDATA(""&amp;$O$5,Pivot!$B$12,""&amp;$AK$26,AK47),NA())</f>
        <v>0</v>
      </c>
      <c r="AP47" s="1">
        <f t="shared" si="19"/>
        <v>21</v>
      </c>
      <c r="AQ47">
        <f>IFERROR(GETPIVOTDATA(""&amp;$O$6,Pivot!$B$12,""&amp;$AP$26,AP47)+GETPIVOTDATA(""&amp;$O$7,Pivot!$B$12,""&amp;$AP$26,AP47)+GETPIVOTDATA(""&amp;$O$8,Pivot!$B$12,""&amp;$AP$26,AP47),NA())</f>
        <v>49.040000000000006</v>
      </c>
      <c r="AR47">
        <f>IFERROR(GETPIVOTDATA(""&amp;$O$6,Pivot!$B$12,""&amp;$AP$26,AP47)+GETPIVOTDATA(""&amp;$O$8,Pivot!$B$12,""&amp;$AP$26,AP47),NA())</f>
        <v>2.2000000000000002</v>
      </c>
      <c r="AS47" s="202">
        <f>IFERROR(GETPIVOTDATA(""&amp;$O$6,Pivot!$B$12,""&amp;$AP$26,AP47)+GETPIVOTDATA(""&amp;$O$7,Pivot!$B$12,""&amp;$AP$26,AP47)+GETPIVOTDATA(""&amp;$O$8,Pivot!$B$12,""&amp;$AP$26,AP47),NA())</f>
        <v>49.040000000000006</v>
      </c>
      <c r="AT47"/>
      <c r="AU47"/>
      <c r="AV47"/>
      <c r="AW47"/>
      <c r="AX47"/>
      <c r="AY47"/>
      <c r="AZ47"/>
      <c r="BA47"/>
      <c r="BB47"/>
      <c r="BC47"/>
      <c r="BD47"/>
      <c r="BE47"/>
      <c r="BF47"/>
    </row>
    <row r="48" spans="2:58" ht="15.5" x14ac:dyDescent="0.35">
      <c r="B48" s="1" t="str">
        <f>F40</f>
        <v>Real Estate</v>
      </c>
      <c r="C48" s="52">
        <f>F41+F42</f>
        <v>0</v>
      </c>
      <c r="I48" s="113">
        <v>22</v>
      </c>
      <c r="J48" s="1">
        <f t="array" ref="J48">IFERROR(GETPIVOTDATA(""&amp;$O$3,Pivot!$B$12,""&amp;$I$26,I48)+GETPIVOTDATA(""&amp;$O$4,Pivot!$B$12,""&amp;$I$26,I48)+GETPIVOTDATA(""&amp;$O$5,Pivot!$B$12,""&amp;$I$26,I48),NA())</f>
        <v>0</v>
      </c>
      <c r="K48" s="1">
        <f t="array" ref="K48">IFERROR(GETPIVOTDATA(""&amp;$O$6,Pivot!$B$12,""&amp;$I$26,I48)+GETPIVOTDATA(""&amp;$O$7,Pivot!$B$12,""&amp;$I$26,I48)+GETPIVOTDATA(""&amp;$O$8,Pivot!$B$12,""&amp;$I$26,I48),NA())</f>
        <v>0</v>
      </c>
      <c r="L48">
        <f>IFERROR(GETPIVOTDATA(""&amp;$O$6,Pivot!$B$12,""&amp;$I$26,I48)+GETPIVOTDATA(""&amp;$O$7,Pivot!$B$12,""&amp;$I$26,I48)+GETPIVOTDATA(""&amp;$O$8,Pivot!$B$12,""&amp;$I$26,I48),NA())</f>
        <v>0</v>
      </c>
      <c r="M48" s="120">
        <f t="shared" si="20"/>
        <v>22</v>
      </c>
      <c r="N48" s="1">
        <f t="shared" si="16"/>
        <v>22</v>
      </c>
      <c r="O48" s="52">
        <f>IFERROR(GETPIVOTDATA("Totale Portfolio",Pivot!$BA$12,"Giorno",N48),NA())</f>
        <v>0</v>
      </c>
      <c r="P48" s="52">
        <f t="array" ref="P48">IFERROR(INDEX(Dati[Leasing Macchina], MATCH(1, --(ROW(Dati[Leasing Macchina])&gt;=MATCH(TEXT($AH$27, "0"),Data!$F:$F, 0)) * --ISNUMBER(Dati[Leasing Macchina]), 0)), 0)</f>
        <v>0</v>
      </c>
      <c r="Q48" s="97" t="e">
        <f>IF(NOT(ISNA(J48)),NA(),GETPIVOTDATA(""&amp;Dati[[#Headers],[Leasing Macchina]],Pivot!AD33,""&amp;$N$26,Processing!N48))</f>
        <v>#N/A</v>
      </c>
      <c r="R48" s="107">
        <f t="shared" si="17"/>
        <v>22</v>
      </c>
      <c r="S48" s="52" t="e">
        <f>IFERROR(GETPIVOTDATA(""&amp;Dati[[#Headers],[Consumer Credit]],Pivot!AD33,""&amp;$R$26,R48)+GETPIVOTDATA(""&amp;Dati[[#Headers],[Credit Card]],Pivot!AD33,""&amp;$R$26,R48)+GETPIVOTDATA(""&amp;#REF!,Pivot!AD33,""&amp;$R$26,R48)+GETPIVOTDATA(""&amp;#REF!,Pivot!AD33,""&amp;$R$26,R48),NA())</f>
        <v>#N/A</v>
      </c>
      <c r="T48" s="52" t="e">
        <f t="shared" si="21"/>
        <v>#N/A</v>
      </c>
      <c r="U48" s="106" t="e">
        <f>ISNUMBER(R48)*GETPIVOTDATA(""&amp;Dati[[#Headers],[Consumer Credit]],Pivot!AD33,""&amp;$R$26,R48)+GETPIVOTDATA(""&amp;Dati[[#Headers],[Credit Card]],Pivot!AD33,""&amp;$R$26,R48)+GETPIVOTDATA(""&amp;#REF!,Pivot!AD33,""&amp;$R$26,R48)+GETPIVOTDATA(""&amp;#REF!,Pivot!AD33,""&amp;$R$26,R48)</f>
        <v>#REF!</v>
      </c>
      <c r="W48" s="40">
        <v>15546</v>
      </c>
      <c r="X48" s="13">
        <v>6648</v>
      </c>
      <c r="Y48" s="13">
        <v>5071</v>
      </c>
      <c r="Z48" s="13">
        <v>1132</v>
      </c>
      <c r="AA48" s="13">
        <f t="shared" ref="AA48:AA51" si="30">SUM(W48:Z48)</f>
        <v>28397</v>
      </c>
      <c r="AB48" s="13">
        <f t="shared" si="29"/>
        <v>18.931333333333335</v>
      </c>
      <c r="AC48" s="1">
        <f t="shared" ref="AC48:AC51" si="31">AA48/AB48</f>
        <v>1500</v>
      </c>
      <c r="AE48" s="41"/>
      <c r="AH48" s="203"/>
      <c r="AK48" s="1">
        <f t="shared" si="18"/>
        <v>22</v>
      </c>
      <c r="AL48">
        <f>IFERROR(GETPIVOTDATA(""&amp;$O$3,Pivot!$B$12,""&amp;$AK$26,AK48)+GETPIVOTDATA(""&amp;$O$4,Pivot!$B$12,""&amp;$AK$26,AK48)+GETPIVOTDATA(""&amp;$O$5,Pivot!$B$12,""&amp;$AK$26,AK48),NA())</f>
        <v>0</v>
      </c>
      <c r="AM48">
        <f>IFERROR(GETPIVOTDATA(""&amp;$O$3,Pivot!$B$12,""&amp;$AK$26,AK48)+GETPIVOTDATA(""&amp;$O$5,Pivot!$B$12,""&amp;$AK$26,AK48),NA())</f>
        <v>0</v>
      </c>
      <c r="AN48">
        <f>IFERROR(GETPIVOTDATA(""&amp;$O$3,Pivot!$B$12,""&amp;$AK$26,AK48)+GETPIVOTDATA(""&amp;$O$4,Pivot!$B$12,""&amp;$AK$26,AK48)+GETPIVOTDATA(""&amp;$O$5,Pivot!$B$12,""&amp;$AK$26,AK48),NA())</f>
        <v>0</v>
      </c>
      <c r="AP48" s="1">
        <f t="shared" si="19"/>
        <v>22</v>
      </c>
      <c r="AQ48">
        <f>IFERROR(GETPIVOTDATA(""&amp;$O$6,Pivot!$B$12,""&amp;$AP$26,AP48)+GETPIVOTDATA(""&amp;$O$7,Pivot!$B$12,""&amp;$AP$26,AP48)+GETPIVOTDATA(""&amp;$O$8,Pivot!$B$12,""&amp;$AP$26,AP48),NA())</f>
        <v>0</v>
      </c>
      <c r="AR48">
        <f>IFERROR(GETPIVOTDATA(""&amp;$O$6,Pivot!$B$12,""&amp;$AP$26,AP48)+GETPIVOTDATA(""&amp;$O$8,Pivot!$B$12,""&amp;$AP$26,AP48),NA())</f>
        <v>0</v>
      </c>
      <c r="AS48" s="202">
        <f>IFERROR(GETPIVOTDATA(""&amp;$O$6,Pivot!$B$12,""&amp;$AP$26,AP48)+GETPIVOTDATA(""&amp;$O$7,Pivot!$B$12,""&amp;$AP$26,AP48)+GETPIVOTDATA(""&amp;$O$8,Pivot!$B$12,""&amp;$AP$26,AP48),NA())</f>
        <v>0</v>
      </c>
      <c r="AT48"/>
      <c r="AU48"/>
      <c r="AV48"/>
      <c r="AW48"/>
      <c r="AX48"/>
      <c r="AY48"/>
      <c r="AZ48"/>
      <c r="BA48"/>
      <c r="BB48"/>
      <c r="BC48"/>
      <c r="BD48"/>
      <c r="BE48"/>
      <c r="BF48"/>
    </row>
    <row r="49" spans="1:58" ht="15.5" x14ac:dyDescent="0.35">
      <c r="B49" s="1" t="str">
        <f>G40</f>
        <v>Cryptocurrency</v>
      </c>
      <c r="C49" s="52">
        <f>G41+G42</f>
        <v>0</v>
      </c>
      <c r="I49" s="113">
        <v>23</v>
      </c>
      <c r="J49" s="1">
        <f t="array" ref="J49">IFERROR(GETPIVOTDATA(""&amp;$O$3,Pivot!$B$12,""&amp;$I$26,I49)+GETPIVOTDATA(""&amp;$O$4,Pivot!$B$12,""&amp;$I$26,I49)+GETPIVOTDATA(""&amp;$O$5,Pivot!$B$12,""&amp;$I$26,I49),NA())</f>
        <v>3000</v>
      </c>
      <c r="K49" s="1">
        <f t="array" ref="K49">IFERROR(GETPIVOTDATA(""&amp;$O$6,Pivot!$B$12,""&amp;$I$26,I49)+GETPIVOTDATA(""&amp;$O$7,Pivot!$B$12,""&amp;$I$26,I49)+GETPIVOTDATA(""&amp;$O$8,Pivot!$B$12,""&amp;$I$26,I49),NA())</f>
        <v>0</v>
      </c>
      <c r="L49">
        <f>IFERROR(GETPIVOTDATA(""&amp;$O$6,Pivot!$B$12,""&amp;$I$26,I49)+GETPIVOTDATA(""&amp;$O$7,Pivot!$B$12,""&amp;$I$26,I49)+GETPIVOTDATA(""&amp;$O$8,Pivot!$B$12,""&amp;$I$26,I49),NA())</f>
        <v>0</v>
      </c>
      <c r="M49" s="120">
        <f t="shared" si="20"/>
        <v>23</v>
      </c>
      <c r="N49" s="1">
        <f t="shared" si="16"/>
        <v>23</v>
      </c>
      <c r="O49" s="52">
        <f>IFERROR(GETPIVOTDATA("Totale Portfolio",Pivot!$BA$12,"Giorno",N49),NA())</f>
        <v>0</v>
      </c>
      <c r="P49" s="52">
        <f t="array" ref="P49">IFERROR(INDEX(Dati[Leasing Macchina], MATCH(1, --(ROW(Dati[Leasing Macchina])&gt;=MATCH(TEXT($AH$27, "0"),Data!$F:$F, 0)) * --ISNUMBER(Dati[Leasing Macchina]), 0)), 0)</f>
        <v>0</v>
      </c>
      <c r="Q49" s="97" t="e">
        <f>IF(NOT(ISNA(J49)),NA(),GETPIVOTDATA(""&amp;Dati[[#Headers],[Leasing Macchina]],Pivot!AD34,""&amp;$N$26,Processing!N49))</f>
        <v>#N/A</v>
      </c>
      <c r="R49" s="107">
        <f t="shared" si="17"/>
        <v>23</v>
      </c>
      <c r="S49" s="52" t="e">
        <f>IFERROR(GETPIVOTDATA(""&amp;Dati[[#Headers],[Consumer Credit]],Pivot!AD34,""&amp;$R$26,R49)+GETPIVOTDATA(""&amp;Dati[[#Headers],[Credit Card]],Pivot!AD34,""&amp;$R$26,R49)+GETPIVOTDATA(""&amp;#REF!,Pivot!AD34,""&amp;$R$26,R49)+GETPIVOTDATA(""&amp;#REF!,Pivot!AD34,""&amp;$R$26,R49),NA())</f>
        <v>#N/A</v>
      </c>
      <c r="T49" s="52" t="e">
        <f t="shared" si="21"/>
        <v>#N/A</v>
      </c>
      <c r="U49" s="106" t="e">
        <f>ISNUMBER(R49)*GETPIVOTDATA(""&amp;Dati[[#Headers],[Consumer Credit]],Pivot!AD34,""&amp;$R$26,R49)+GETPIVOTDATA(""&amp;Dati[[#Headers],[Credit Card]],Pivot!AD34,""&amp;$R$26,R49)+GETPIVOTDATA(""&amp;#REF!,Pivot!AD34,""&amp;$R$26,R49)+GETPIVOTDATA(""&amp;#REF!,Pivot!AD34,""&amp;$R$26,R49)</f>
        <v>#REF!</v>
      </c>
      <c r="W49" s="40">
        <v>25279</v>
      </c>
      <c r="X49" s="13">
        <v>8272</v>
      </c>
      <c r="Y49" s="13">
        <v>6286.2</v>
      </c>
      <c r="Z49" s="13">
        <v>1857</v>
      </c>
      <c r="AA49" s="13">
        <f t="shared" si="30"/>
        <v>41694.199999999997</v>
      </c>
      <c r="AB49" s="13">
        <f t="shared" si="29"/>
        <v>27.79613333333333</v>
      </c>
      <c r="AC49" s="1">
        <f t="shared" si="31"/>
        <v>1500</v>
      </c>
      <c r="AE49" s="41">
        <v>25168</v>
      </c>
      <c r="AH49" s="203"/>
      <c r="AK49" s="1">
        <f t="shared" si="18"/>
        <v>23</v>
      </c>
      <c r="AL49">
        <f>IFERROR(GETPIVOTDATA(""&amp;$O$3,Pivot!$B$12,""&amp;$AK$26,AK49)+GETPIVOTDATA(""&amp;$O$4,Pivot!$B$12,""&amp;$AK$26,AK49)+GETPIVOTDATA(""&amp;$O$5,Pivot!$B$12,""&amp;$AK$26,AK49),NA())</f>
        <v>3000</v>
      </c>
      <c r="AM49">
        <f>IFERROR(GETPIVOTDATA(""&amp;$O$3,Pivot!$B$12,""&amp;$AK$26,AK49)+GETPIVOTDATA(""&amp;$O$5,Pivot!$B$12,""&amp;$AK$26,AK49),NA())</f>
        <v>0</v>
      </c>
      <c r="AN49">
        <f>IFERROR(GETPIVOTDATA(""&amp;$O$3,Pivot!$B$12,""&amp;$AK$26,AK49)+GETPIVOTDATA(""&amp;$O$4,Pivot!$B$12,""&amp;$AK$26,AK49)+GETPIVOTDATA(""&amp;$O$5,Pivot!$B$12,""&amp;$AK$26,AK49),NA())</f>
        <v>3000</v>
      </c>
      <c r="AP49" s="1">
        <f t="shared" si="19"/>
        <v>23</v>
      </c>
      <c r="AQ49">
        <f>IFERROR(GETPIVOTDATA(""&amp;$O$6,Pivot!$B$12,""&amp;$AP$26,AP49)+GETPIVOTDATA(""&amp;$O$7,Pivot!$B$12,""&amp;$AP$26,AP49)+GETPIVOTDATA(""&amp;$O$8,Pivot!$B$12,""&amp;$AP$26,AP49),NA())</f>
        <v>0</v>
      </c>
      <c r="AR49">
        <f>IFERROR(GETPIVOTDATA(""&amp;$O$6,Pivot!$B$12,""&amp;$AP$26,AP49)+GETPIVOTDATA(""&amp;$O$8,Pivot!$B$12,""&amp;$AP$26,AP49),NA())</f>
        <v>0</v>
      </c>
      <c r="AS49" s="202">
        <f>IFERROR(GETPIVOTDATA(""&amp;$O$6,Pivot!$B$12,""&amp;$AP$26,AP49)+GETPIVOTDATA(""&amp;$O$7,Pivot!$B$12,""&amp;$AP$26,AP49)+GETPIVOTDATA(""&amp;$O$8,Pivot!$B$12,""&amp;$AP$26,AP49),NA())</f>
        <v>0</v>
      </c>
      <c r="AT49"/>
      <c r="AU49"/>
      <c r="AV49"/>
      <c r="AW49"/>
      <c r="AX49"/>
      <c r="AY49"/>
      <c r="AZ49"/>
      <c r="BA49"/>
      <c r="BB49"/>
      <c r="BC49"/>
      <c r="BD49"/>
      <c r="BE49"/>
      <c r="BF49"/>
    </row>
    <row r="50" spans="1:58" ht="15.5" x14ac:dyDescent="0.35">
      <c r="I50" s="113">
        <v>24</v>
      </c>
      <c r="J50" s="1">
        <f t="array" ref="J50">IFERROR(GETPIVOTDATA(""&amp;$O$3,Pivot!$B$12,""&amp;$I$26,I50)+GETPIVOTDATA(""&amp;$O$4,Pivot!$B$12,""&amp;$I$26,I50)+GETPIVOTDATA(""&amp;$O$5,Pivot!$B$12,""&amp;$I$26,I50),NA())</f>
        <v>0</v>
      </c>
      <c r="K50" s="1">
        <f t="array" ref="K50">IFERROR(GETPIVOTDATA(""&amp;$O$6,Pivot!$B$12,""&amp;$I$26,I50)+GETPIVOTDATA(""&amp;$O$7,Pivot!$B$12,""&amp;$I$26,I50)+GETPIVOTDATA(""&amp;$O$8,Pivot!$B$12,""&amp;$I$26,I50),NA())</f>
        <v>0</v>
      </c>
      <c r="L50">
        <f>IFERROR(GETPIVOTDATA(""&amp;$O$6,Pivot!$B$12,""&amp;$I$26,I50)+GETPIVOTDATA(""&amp;$O$7,Pivot!$B$12,""&amp;$I$26,I50)+GETPIVOTDATA(""&amp;$O$8,Pivot!$B$12,""&amp;$I$26,I50),NA())</f>
        <v>0</v>
      </c>
      <c r="M50" s="120">
        <f t="shared" si="20"/>
        <v>24</v>
      </c>
      <c r="N50" s="1">
        <f t="shared" si="16"/>
        <v>24</v>
      </c>
      <c r="O50" s="52">
        <f>IFERROR(GETPIVOTDATA("Totale Portfolio",Pivot!$BA$12,"Giorno",N50),NA())</f>
        <v>0</v>
      </c>
      <c r="P50" s="52">
        <f t="array" ref="P50">IFERROR(INDEX(Dati[Leasing Macchina], MATCH(1, --(ROW(Dati[Leasing Macchina])&gt;=MATCH(TEXT($AH$27, "0"),Data!$F:$F, 0)) * --ISNUMBER(Dati[Leasing Macchina]), 0)), 0)</f>
        <v>0</v>
      </c>
      <c r="Q50" s="97" t="e">
        <f>IF(NOT(ISNA(J50)),NA(),GETPIVOTDATA(""&amp;Dati[[#Headers],[Leasing Macchina]],Pivot!AD35,""&amp;$N$26,Processing!N50))</f>
        <v>#N/A</v>
      </c>
      <c r="R50" s="107">
        <f t="shared" si="17"/>
        <v>24</v>
      </c>
      <c r="S50" s="52" t="e">
        <f>IFERROR(GETPIVOTDATA(""&amp;Dati[[#Headers],[Consumer Credit]],Pivot!AD35,""&amp;$R$26,R50)+GETPIVOTDATA(""&amp;Dati[[#Headers],[Credit Card]],Pivot!AD35,""&amp;$R$26,R50)+GETPIVOTDATA(""&amp;#REF!,Pivot!AD35,""&amp;$R$26,R50)+GETPIVOTDATA(""&amp;#REF!,Pivot!AD35,""&amp;$R$26,R50),NA())</f>
        <v>#N/A</v>
      </c>
      <c r="T50" s="52" t="e">
        <f t="shared" si="21"/>
        <v>#N/A</v>
      </c>
      <c r="U50" s="106" t="e">
        <f>ISNUMBER(R50)*GETPIVOTDATA(""&amp;Dati[[#Headers],[Consumer Credit]],Pivot!AD35,""&amp;$R$26,R50)+GETPIVOTDATA(""&amp;Dati[[#Headers],[Credit Card]],Pivot!AD35,""&amp;$R$26,R50)+GETPIVOTDATA(""&amp;#REF!,Pivot!AD35,""&amp;$R$26,R50)+GETPIVOTDATA(""&amp;#REF!,Pivot!AD35,""&amp;$R$26,R50)</f>
        <v>#REF!</v>
      </c>
      <c r="W50" s="40">
        <v>35398</v>
      </c>
      <c r="X50" s="13">
        <v>12892</v>
      </c>
      <c r="Y50" s="13">
        <v>7144</v>
      </c>
      <c r="Z50" s="13">
        <v>1345</v>
      </c>
      <c r="AA50" s="13">
        <f t="shared" si="30"/>
        <v>56779</v>
      </c>
      <c r="AB50" s="13">
        <f t="shared" si="29"/>
        <v>31.54388888888889</v>
      </c>
      <c r="AC50" s="1">
        <f t="shared" si="31"/>
        <v>1800</v>
      </c>
      <c r="AE50" s="41"/>
      <c r="AH50" s="203"/>
      <c r="AK50" s="1">
        <f t="shared" si="18"/>
        <v>24</v>
      </c>
      <c r="AL50">
        <f>IFERROR(GETPIVOTDATA(""&amp;$O$3,Pivot!$B$12,""&amp;$AK$26,AK50)+GETPIVOTDATA(""&amp;$O$4,Pivot!$B$12,""&amp;$AK$26,AK50)+GETPIVOTDATA(""&amp;$O$5,Pivot!$B$12,""&amp;$AK$26,AK50),NA())</f>
        <v>0</v>
      </c>
      <c r="AM50">
        <f>IFERROR(GETPIVOTDATA(""&amp;$O$3,Pivot!$B$12,""&amp;$AK$26,AK50)+GETPIVOTDATA(""&amp;$O$5,Pivot!$B$12,""&amp;$AK$26,AK50),NA())</f>
        <v>0</v>
      </c>
      <c r="AN50">
        <f>IFERROR(GETPIVOTDATA(""&amp;$O$3,Pivot!$B$12,""&amp;$AK$26,AK50)+GETPIVOTDATA(""&amp;$O$4,Pivot!$B$12,""&amp;$AK$26,AK50)+GETPIVOTDATA(""&amp;$O$5,Pivot!$B$12,""&amp;$AK$26,AK50),NA())</f>
        <v>0</v>
      </c>
      <c r="AP50" s="1">
        <f t="shared" si="19"/>
        <v>24</v>
      </c>
      <c r="AQ50">
        <f>IFERROR(GETPIVOTDATA(""&amp;$O$6,Pivot!$B$12,""&amp;$AP$26,AP50)+GETPIVOTDATA(""&amp;$O$7,Pivot!$B$12,""&amp;$AP$26,AP50)+GETPIVOTDATA(""&amp;$O$8,Pivot!$B$12,""&amp;$AP$26,AP50),NA())</f>
        <v>0</v>
      </c>
      <c r="AR50">
        <f>IFERROR(GETPIVOTDATA(""&amp;$O$6,Pivot!$B$12,""&amp;$AP$26,AP50)+GETPIVOTDATA(""&amp;$O$8,Pivot!$B$12,""&amp;$AP$26,AP50),NA())</f>
        <v>0</v>
      </c>
      <c r="AS50" s="202">
        <f>IFERROR(GETPIVOTDATA(""&amp;$O$6,Pivot!$B$12,""&amp;$AP$26,AP50)+GETPIVOTDATA(""&amp;$O$7,Pivot!$B$12,""&amp;$AP$26,AP50)+GETPIVOTDATA(""&amp;$O$8,Pivot!$B$12,""&amp;$AP$26,AP50),NA())</f>
        <v>0</v>
      </c>
      <c r="AT50"/>
      <c r="AU50"/>
      <c r="AV50"/>
      <c r="AW50"/>
      <c r="AX50"/>
      <c r="AY50"/>
      <c r="AZ50"/>
      <c r="BA50"/>
      <c r="BB50"/>
      <c r="BC50"/>
      <c r="BD50"/>
      <c r="BE50"/>
      <c r="BF50"/>
    </row>
    <row r="51" spans="1:58" ht="15.5" x14ac:dyDescent="0.35">
      <c r="I51" s="113">
        <v>25</v>
      </c>
      <c r="J51" s="1">
        <f t="array" ref="J51">IFERROR(GETPIVOTDATA(""&amp;$O$3,Pivot!$B$12,""&amp;$I$26,I51)+GETPIVOTDATA(""&amp;$O$4,Pivot!$B$12,""&amp;$I$26,I51)+GETPIVOTDATA(""&amp;$O$5,Pivot!$B$12,""&amp;$I$26,I51),NA())</f>
        <v>0</v>
      </c>
      <c r="K51" s="1">
        <f t="array" ref="K51">IFERROR(GETPIVOTDATA(""&amp;$O$6,Pivot!$B$12,""&amp;$I$26,I51)+GETPIVOTDATA(""&amp;$O$7,Pivot!$B$12,""&amp;$I$26,I51)+GETPIVOTDATA(""&amp;$O$8,Pivot!$B$12,""&amp;$I$26,I51),NA())</f>
        <v>0</v>
      </c>
      <c r="L51">
        <f>IFERROR(GETPIVOTDATA(""&amp;$O$6,Pivot!$B$12,""&amp;$I$26,I51)+GETPIVOTDATA(""&amp;$O$7,Pivot!$B$12,""&amp;$I$26,I51)+GETPIVOTDATA(""&amp;$O$8,Pivot!$B$12,""&amp;$I$26,I51),NA())</f>
        <v>0</v>
      </c>
      <c r="M51" s="120">
        <f t="shared" si="20"/>
        <v>25</v>
      </c>
      <c r="N51" s="1">
        <f t="shared" si="16"/>
        <v>25</v>
      </c>
      <c r="O51" s="52">
        <f>IFERROR(GETPIVOTDATA("Totale Portfolio",Pivot!$BA$12,"Giorno",N51),NA())</f>
        <v>0</v>
      </c>
      <c r="P51" s="52">
        <f t="array" ref="P51">IFERROR(INDEX(Dati[Leasing Macchina], MATCH(1, --(ROW(Dati[Leasing Macchina])&gt;=MATCH(TEXT($AH$27, "0"),Data!$F:$F, 0)) * --ISNUMBER(Dati[Leasing Macchina]), 0)), 0)</f>
        <v>0</v>
      </c>
      <c r="Q51" s="97" t="e">
        <f>IF(NOT(ISNA(J51)),NA(),GETPIVOTDATA(""&amp;Dati[[#Headers],[Leasing Macchina]],Pivot!AD36,""&amp;$N$26,Processing!N51))</f>
        <v>#N/A</v>
      </c>
      <c r="R51" s="107">
        <f t="shared" si="17"/>
        <v>25</v>
      </c>
      <c r="S51" s="52" t="e">
        <f>IFERROR(GETPIVOTDATA(""&amp;Dati[[#Headers],[Consumer Credit]],Pivot!AD36,""&amp;$R$26,R51)+GETPIVOTDATA(""&amp;Dati[[#Headers],[Credit Card]],Pivot!AD36,""&amp;$R$26,R51)+GETPIVOTDATA(""&amp;#REF!,Pivot!AD36,""&amp;$R$26,R51)+GETPIVOTDATA(""&amp;#REF!,Pivot!AD36,""&amp;$R$26,R51),NA())</f>
        <v>#N/A</v>
      </c>
      <c r="T51" s="52" t="e">
        <f t="shared" si="21"/>
        <v>#N/A</v>
      </c>
      <c r="U51" s="106" t="e">
        <f>ISNUMBER(R51)*GETPIVOTDATA(""&amp;Dati[[#Headers],[Consumer Credit]],Pivot!AD36,""&amp;$R$26,R51)+GETPIVOTDATA(""&amp;Dati[[#Headers],[Credit Card]],Pivot!AD36,""&amp;$R$26,R51)+GETPIVOTDATA(""&amp;#REF!,Pivot!AD36,""&amp;$R$26,R51)+GETPIVOTDATA(""&amp;#REF!,Pivot!AD36,""&amp;$R$26,R51)</f>
        <v>#REF!</v>
      </c>
      <c r="W51" s="40">
        <v>42350.000000000022</v>
      </c>
      <c r="X51" s="13">
        <v>24624.6</v>
      </c>
      <c r="Y51" s="13">
        <v>9286.2000000000007</v>
      </c>
      <c r="Z51" s="13">
        <v>2340.8000000000011</v>
      </c>
      <c r="AA51" s="13">
        <f t="shared" si="30"/>
        <v>78601.60000000002</v>
      </c>
      <c r="AB51" s="13">
        <f t="shared" si="29"/>
        <v>43.667555555555566</v>
      </c>
      <c r="AC51" s="1">
        <f t="shared" si="31"/>
        <v>1800</v>
      </c>
      <c r="AE51" s="41">
        <v>11977</v>
      </c>
      <c r="AH51" s="203"/>
      <c r="AK51" s="1">
        <f t="shared" si="18"/>
        <v>25</v>
      </c>
      <c r="AL51">
        <f>IFERROR(GETPIVOTDATA(""&amp;$O$3,Pivot!$B$12,""&amp;$AK$26,AK51)+GETPIVOTDATA(""&amp;$O$4,Pivot!$B$12,""&amp;$AK$26,AK51)+GETPIVOTDATA(""&amp;$O$5,Pivot!$B$12,""&amp;$AK$26,AK51),NA())</f>
        <v>0</v>
      </c>
      <c r="AM51">
        <f>IFERROR(GETPIVOTDATA(""&amp;$O$3,Pivot!$B$12,""&amp;$AK$26,AK51)+GETPIVOTDATA(""&amp;$O$5,Pivot!$B$12,""&amp;$AK$26,AK51),NA())</f>
        <v>0</v>
      </c>
      <c r="AN51">
        <f>IFERROR(GETPIVOTDATA(""&amp;$O$3,Pivot!$B$12,""&amp;$AK$26,AK51)+GETPIVOTDATA(""&amp;$O$4,Pivot!$B$12,""&amp;$AK$26,AK51)+GETPIVOTDATA(""&amp;$O$5,Pivot!$B$12,""&amp;$AK$26,AK51),NA())</f>
        <v>0</v>
      </c>
      <c r="AP51" s="1">
        <f t="shared" si="19"/>
        <v>25</v>
      </c>
      <c r="AQ51">
        <f>IFERROR(GETPIVOTDATA(""&amp;$O$6,Pivot!$B$12,""&amp;$AP$26,AP51)+GETPIVOTDATA(""&amp;$O$7,Pivot!$B$12,""&amp;$AP$26,AP51)+GETPIVOTDATA(""&amp;$O$8,Pivot!$B$12,""&amp;$AP$26,AP51),NA())</f>
        <v>0</v>
      </c>
      <c r="AR51">
        <f>IFERROR(GETPIVOTDATA(""&amp;$O$6,Pivot!$B$12,""&amp;$AP$26,AP51)+GETPIVOTDATA(""&amp;$O$8,Pivot!$B$12,""&amp;$AP$26,AP51),NA())</f>
        <v>0</v>
      </c>
      <c r="AS51" s="202">
        <f>IFERROR(GETPIVOTDATA(""&amp;$O$6,Pivot!$B$12,""&amp;$AP$26,AP51)+GETPIVOTDATA(""&amp;$O$7,Pivot!$B$12,""&amp;$AP$26,AP51)+GETPIVOTDATA(""&amp;$O$8,Pivot!$B$12,""&amp;$AP$26,AP51),NA())</f>
        <v>0</v>
      </c>
      <c r="AT51"/>
      <c r="AU51"/>
      <c r="AV51"/>
      <c r="AW51"/>
      <c r="AX51"/>
      <c r="AY51"/>
      <c r="AZ51"/>
      <c r="BA51"/>
      <c r="BB51"/>
      <c r="BC51"/>
      <c r="BD51"/>
      <c r="BE51"/>
      <c r="BF51"/>
    </row>
    <row r="52" spans="1:58" ht="15.5" x14ac:dyDescent="0.35">
      <c r="B52" s="6" t="s">
        <v>133</v>
      </c>
      <c r="C52" s="6" t="s">
        <v>134</v>
      </c>
      <c r="D52" s="6" t="s">
        <v>135</v>
      </c>
      <c r="E52" s="18" t="s">
        <v>136</v>
      </c>
      <c r="F52" s="6" t="str">
        <f>B39</f>
        <v>Income</v>
      </c>
      <c r="I52" s="113">
        <v>26</v>
      </c>
      <c r="J52" s="1">
        <f t="array" ref="J52">IFERROR(GETPIVOTDATA(""&amp;$O$3,Pivot!$B$12,""&amp;$I$26,I52)+GETPIVOTDATA(""&amp;$O$4,Pivot!$B$12,""&amp;$I$26,I52)+GETPIVOTDATA(""&amp;$O$5,Pivot!$B$12,""&amp;$I$26,I52),NA())</f>
        <v>0</v>
      </c>
      <c r="K52" s="1">
        <f t="array" ref="K52">IFERROR(GETPIVOTDATA(""&amp;$O$6,Pivot!$B$12,""&amp;$I$26,I52)+GETPIVOTDATA(""&amp;$O$7,Pivot!$B$12,""&amp;$I$26,I52)+GETPIVOTDATA(""&amp;$O$8,Pivot!$B$12,""&amp;$I$26,I52),NA())</f>
        <v>0</v>
      </c>
      <c r="L52">
        <f>IFERROR(GETPIVOTDATA(""&amp;$O$6,Pivot!$B$12,""&amp;$I$26,I52)+GETPIVOTDATA(""&amp;$O$7,Pivot!$B$12,""&amp;$I$26,I52)+GETPIVOTDATA(""&amp;$O$8,Pivot!$B$12,""&amp;$I$26,I52),NA())</f>
        <v>0</v>
      </c>
      <c r="M52" s="120">
        <f t="shared" si="20"/>
        <v>26</v>
      </c>
      <c r="N52" s="1">
        <f t="shared" si="16"/>
        <v>26</v>
      </c>
      <c r="O52" s="52">
        <f>IFERROR(GETPIVOTDATA("Totale Portfolio",Pivot!$BA$12,"Giorno",N52),NA())</f>
        <v>0</v>
      </c>
      <c r="P52" s="52">
        <f t="array" ref="P52">IFERROR(INDEX(Dati[Leasing Macchina], MATCH(1, --(ROW(Dati[Leasing Macchina])&gt;=MATCH(TEXT($AH$27, "0"),Data!$F:$F, 0)) * --ISNUMBER(Dati[Leasing Macchina]), 0)), 0)</f>
        <v>0</v>
      </c>
      <c r="Q52" s="97" t="e">
        <f>IF(NOT(ISNA(J52)),NA(),GETPIVOTDATA(""&amp;Dati[[#Headers],[Leasing Macchina]],Pivot!AD37,""&amp;$N$26,Processing!N52))</f>
        <v>#N/A</v>
      </c>
      <c r="R52" s="107">
        <f t="shared" si="17"/>
        <v>26</v>
      </c>
      <c r="S52" s="52" t="e">
        <f>IFERROR(GETPIVOTDATA(""&amp;Dati[[#Headers],[Consumer Credit]],Pivot!AD37,""&amp;$R$26,R52)+GETPIVOTDATA(""&amp;Dati[[#Headers],[Credit Card]],Pivot!AD37,""&amp;$R$26,R52)+GETPIVOTDATA(""&amp;#REF!,Pivot!AD37,""&amp;$R$26,R52)+GETPIVOTDATA(""&amp;#REF!,Pivot!AD37,""&amp;$R$26,R52),NA())</f>
        <v>#N/A</v>
      </c>
      <c r="T52" s="52" t="e">
        <f t="shared" si="21"/>
        <v>#N/A</v>
      </c>
      <c r="U52" s="106" t="e">
        <f>ISNUMBER(R52)*GETPIVOTDATA(""&amp;Dati[[#Headers],[Consumer Credit]],Pivot!AD37,""&amp;$R$26,R52)+GETPIVOTDATA(""&amp;Dati[[#Headers],[Credit Card]],Pivot!AD37,""&amp;$R$26,R52)+GETPIVOTDATA(""&amp;#REF!,Pivot!AD37,""&amp;$R$26,R52)+GETPIVOTDATA(""&amp;#REF!,Pivot!AD37,""&amp;$R$26,R52)</f>
        <v>#REF!</v>
      </c>
      <c r="W52" s="40">
        <v>44252</v>
      </c>
      <c r="X52" s="13">
        <v>29143</v>
      </c>
      <c r="Y52" s="13">
        <v>24054</v>
      </c>
      <c r="Z52" s="13">
        <v>5985</v>
      </c>
      <c r="AA52" s="13">
        <f>SUM(W52:Z52)</f>
        <v>103434</v>
      </c>
      <c r="AB52" s="13">
        <f t="shared" si="29"/>
        <v>57.463333333333331</v>
      </c>
      <c r="AC52" s="1">
        <f>AA52/AB52</f>
        <v>1800</v>
      </c>
      <c r="AE52" s="41"/>
      <c r="AH52" s="203"/>
      <c r="AK52" s="1">
        <f t="shared" si="18"/>
        <v>26</v>
      </c>
      <c r="AL52">
        <f>IFERROR(GETPIVOTDATA(""&amp;$O$3,Pivot!$B$12,""&amp;$AK$26,AK52)+GETPIVOTDATA(""&amp;$O$4,Pivot!$B$12,""&amp;$AK$26,AK52)+GETPIVOTDATA(""&amp;$O$5,Pivot!$B$12,""&amp;$AK$26,AK52),NA())</f>
        <v>0</v>
      </c>
      <c r="AM52">
        <f>IFERROR(GETPIVOTDATA(""&amp;$O$3,Pivot!$B$12,""&amp;$AK$26,AK52)+GETPIVOTDATA(""&amp;$O$5,Pivot!$B$12,""&amp;$AK$26,AK52),NA())</f>
        <v>0</v>
      </c>
      <c r="AN52">
        <f>IFERROR(GETPIVOTDATA(""&amp;$O$3,Pivot!$B$12,""&amp;$AK$26,AK52)+GETPIVOTDATA(""&amp;$O$4,Pivot!$B$12,""&amp;$AK$26,AK52)+GETPIVOTDATA(""&amp;$O$5,Pivot!$B$12,""&amp;$AK$26,AK52),NA())</f>
        <v>0</v>
      </c>
      <c r="AP52" s="1">
        <f t="shared" si="19"/>
        <v>26</v>
      </c>
      <c r="AQ52">
        <f>IFERROR(GETPIVOTDATA(""&amp;$O$6,Pivot!$B$12,""&amp;$AP$26,AP52)+GETPIVOTDATA(""&amp;$O$7,Pivot!$B$12,""&amp;$AP$26,AP52)+GETPIVOTDATA(""&amp;$O$8,Pivot!$B$12,""&amp;$AP$26,AP52),NA())</f>
        <v>0</v>
      </c>
      <c r="AR52">
        <f>IFERROR(GETPIVOTDATA(""&amp;$O$6,Pivot!$B$12,""&amp;$AP$26,AP52)+GETPIVOTDATA(""&amp;$O$8,Pivot!$B$12,""&amp;$AP$26,AP52),NA())</f>
        <v>0</v>
      </c>
      <c r="AS52" s="202">
        <f>IFERROR(GETPIVOTDATA(""&amp;$O$6,Pivot!$B$12,""&amp;$AP$26,AP52)+GETPIVOTDATA(""&amp;$O$7,Pivot!$B$12,""&amp;$AP$26,AP52)+GETPIVOTDATA(""&amp;$O$8,Pivot!$B$12,""&amp;$AP$26,AP52),NA())</f>
        <v>0</v>
      </c>
      <c r="AT52"/>
      <c r="AU52"/>
      <c r="AV52"/>
      <c r="AW52"/>
      <c r="AX52"/>
      <c r="AY52"/>
      <c r="AZ52"/>
      <c r="BA52"/>
      <c r="BB52"/>
      <c r="BC52"/>
      <c r="BD52"/>
      <c r="BE52"/>
      <c r="BF52"/>
    </row>
    <row r="53" spans="1:58" ht="15.5" x14ac:dyDescent="0.35">
      <c r="B53" s="1" t="str">
        <f>C45&amp;"-"&amp;C53</f>
        <v>0-1</v>
      </c>
      <c r="C53" s="1">
        <f>COUNTIF($C$45:C45,C45)</f>
        <v>1</v>
      </c>
      <c r="D53" s="1">
        <v>1</v>
      </c>
      <c r="E53" s="1" t="str">
        <f>INDEX($B$45:$B$49,MATCH(IF(F53=F52,F53&amp;"-"&amp;COUNTIF($F$53:F53,F53),F53&amp;"-1"),$B$53:$B$57,0))</f>
        <v>Business</v>
      </c>
      <c r="F53" s="1">
        <f>LARGE($C$45:$C$49,D53)</f>
        <v>0</v>
      </c>
      <c r="H53" s="1" t="str">
        <f>"Investments "&amp;E53</f>
        <v>Investments Business</v>
      </c>
      <c r="I53" s="113">
        <v>27</v>
      </c>
      <c r="J53" s="1">
        <f t="array" ref="J53">IFERROR(GETPIVOTDATA(""&amp;$O$3,Pivot!$B$12,""&amp;$I$26,I53)+GETPIVOTDATA(""&amp;$O$4,Pivot!$B$12,""&amp;$I$26,I53)+GETPIVOTDATA(""&amp;$O$5,Pivot!$B$12,""&amp;$I$26,I53),NA())</f>
        <v>0</v>
      </c>
      <c r="K53" s="1">
        <f t="array" ref="K53">IFERROR(GETPIVOTDATA(""&amp;$O$6,Pivot!$B$12,""&amp;$I$26,I53)+GETPIVOTDATA(""&amp;$O$7,Pivot!$B$12,""&amp;$I$26,I53)+GETPIVOTDATA(""&amp;$O$8,Pivot!$B$12,""&amp;$I$26,I53),NA())</f>
        <v>50.68</v>
      </c>
      <c r="L53">
        <f>IFERROR(GETPIVOTDATA(""&amp;$O$6,Pivot!$B$12,""&amp;$I$26,I53)+GETPIVOTDATA(""&amp;$O$7,Pivot!$B$12,""&amp;$I$26,I53)+GETPIVOTDATA(""&amp;$O$8,Pivot!$B$12,""&amp;$I$26,I53),NA())</f>
        <v>50.68</v>
      </c>
      <c r="M53" s="120">
        <f t="shared" si="20"/>
        <v>27</v>
      </c>
      <c r="N53" s="1">
        <f t="shared" si="16"/>
        <v>27</v>
      </c>
      <c r="O53" s="52">
        <f>IFERROR(GETPIVOTDATA("Totale Portfolio",Pivot!$BA$12,"Giorno",N53),NA())</f>
        <v>0</v>
      </c>
      <c r="P53" s="52">
        <f t="array" ref="P53">IFERROR(INDEX(Dati[Leasing Macchina], MATCH(1, --(ROW(Dati[Leasing Macchina])&gt;=MATCH(TEXT($AH$27, "0"),Data!$F:$F, 0)) * --ISNUMBER(Dati[Leasing Macchina]), 0)), 0)</f>
        <v>0</v>
      </c>
      <c r="Q53" s="97" t="e">
        <f>IF(NOT(ISNA(J53)),NA(),GETPIVOTDATA(""&amp;Dati[[#Headers],[Leasing Macchina]],Pivot!AD38,""&amp;$N$26,Processing!N53))</f>
        <v>#N/A</v>
      </c>
      <c r="R53" s="107">
        <f t="shared" si="17"/>
        <v>27</v>
      </c>
      <c r="S53" s="52" t="e">
        <f>IFERROR(GETPIVOTDATA(""&amp;Dati[[#Headers],[Consumer Credit]],Pivot!AD38,""&amp;$R$26,R53)+GETPIVOTDATA(""&amp;Dati[[#Headers],[Credit Card]],Pivot!AD38,""&amp;$R$26,R53)+GETPIVOTDATA(""&amp;#REF!,Pivot!AD38,""&amp;$R$26,R53)+GETPIVOTDATA(""&amp;#REF!,Pivot!AD38,""&amp;$R$26,R53),NA())</f>
        <v>#N/A</v>
      </c>
      <c r="T53" s="52" t="e">
        <f t="shared" si="21"/>
        <v>#N/A</v>
      </c>
      <c r="U53" s="106" t="e">
        <f>ISNUMBER(R53)*GETPIVOTDATA(""&amp;Dati[[#Headers],[Consumer Credit]],Pivot!AD38,""&amp;$R$26,R53)+GETPIVOTDATA(""&amp;Dati[[#Headers],[Credit Card]],Pivot!AD38,""&amp;$R$26,R53)+GETPIVOTDATA(""&amp;#REF!,Pivot!AD38,""&amp;$R$26,R53)+GETPIVOTDATA(""&amp;#REF!,Pivot!AD38,""&amp;$R$26,R53)</f>
        <v>#REF!</v>
      </c>
      <c r="W53" s="40">
        <v>47108</v>
      </c>
      <c r="X53" s="13">
        <v>32976</v>
      </c>
      <c r="Y53" s="13">
        <v>28051</v>
      </c>
      <c r="Z53" s="13">
        <v>7852</v>
      </c>
      <c r="AA53" s="13">
        <f t="shared" ref="AA53:AA58" si="32">SUM(W53:Z53)</f>
        <v>115987</v>
      </c>
      <c r="AB53" s="13">
        <f t="shared" si="29"/>
        <v>64.437222222222218</v>
      </c>
      <c r="AC53" s="1">
        <f t="shared" ref="AC53:AC58" si="33">AA53/AB53</f>
        <v>1800.0000000000002</v>
      </c>
      <c r="AE53" s="41"/>
      <c r="AH53" s="203"/>
      <c r="AK53" s="1">
        <f t="shared" si="18"/>
        <v>27</v>
      </c>
      <c r="AL53">
        <f>IFERROR(GETPIVOTDATA(""&amp;$O$3,Pivot!$B$12,""&amp;$AK$26,AK53)+GETPIVOTDATA(""&amp;$O$4,Pivot!$B$12,""&amp;$AK$26,AK53)+GETPIVOTDATA(""&amp;$O$5,Pivot!$B$12,""&amp;$AK$26,AK53),NA())</f>
        <v>0</v>
      </c>
      <c r="AM53">
        <f>IFERROR(GETPIVOTDATA(""&amp;$O$3,Pivot!$B$12,""&amp;$AK$26,AK53)+GETPIVOTDATA(""&amp;$O$5,Pivot!$B$12,""&amp;$AK$26,AK53),NA())</f>
        <v>0</v>
      </c>
      <c r="AN53">
        <f>IFERROR(GETPIVOTDATA(""&amp;$O$3,Pivot!$B$12,""&amp;$AK$26,AK53)+GETPIVOTDATA(""&amp;$O$4,Pivot!$B$12,""&amp;$AK$26,AK53)+GETPIVOTDATA(""&amp;$O$5,Pivot!$B$12,""&amp;$AK$26,AK53),NA())</f>
        <v>0</v>
      </c>
      <c r="AP53" s="1">
        <f t="shared" si="19"/>
        <v>27</v>
      </c>
      <c r="AQ53">
        <f>IFERROR(GETPIVOTDATA(""&amp;$O$6,Pivot!$B$12,""&amp;$AP$26,AP53)+GETPIVOTDATA(""&amp;$O$7,Pivot!$B$12,""&amp;$AP$26,AP53)+GETPIVOTDATA(""&amp;$O$8,Pivot!$B$12,""&amp;$AP$26,AP53),NA())</f>
        <v>50.68</v>
      </c>
      <c r="AR53">
        <f>IFERROR(GETPIVOTDATA(""&amp;$O$6,Pivot!$B$12,""&amp;$AP$26,AP53)+GETPIVOTDATA(""&amp;$O$8,Pivot!$B$12,""&amp;$AP$26,AP53),NA())</f>
        <v>0</v>
      </c>
      <c r="AS53" s="202">
        <f>IFERROR(GETPIVOTDATA(""&amp;$O$6,Pivot!$B$12,""&amp;$AP$26,AP53)+GETPIVOTDATA(""&amp;$O$7,Pivot!$B$12,""&amp;$AP$26,AP53)+GETPIVOTDATA(""&amp;$O$8,Pivot!$B$12,""&amp;$AP$26,AP53),NA())</f>
        <v>50.68</v>
      </c>
      <c r="AT53"/>
      <c r="AU53"/>
      <c r="AV53"/>
      <c r="AW53"/>
      <c r="AX53"/>
      <c r="AY53"/>
      <c r="AZ53"/>
      <c r="BA53"/>
      <c r="BB53"/>
      <c r="BC53"/>
      <c r="BD53"/>
      <c r="BE53"/>
      <c r="BF53"/>
    </row>
    <row r="54" spans="1:58" ht="15.5" x14ac:dyDescent="0.35">
      <c r="B54" s="1" t="str">
        <f t="shared" ref="B54:B57" si="34">C46&amp;"-"&amp;C54</f>
        <v>0-2</v>
      </c>
      <c r="C54" s="1">
        <f>COUNTIF($C$45:C46,C46)</f>
        <v>2</v>
      </c>
      <c r="D54" s="1">
        <v>2</v>
      </c>
      <c r="E54" s="1" t="str">
        <f>INDEX($B$45:$B$49,MATCH(IF(F54=F53,F54&amp;"-"&amp;COUNTIF($F$53:F54,F54),F54&amp;"-1"),$B$53:$B$57,0))</f>
        <v>Securities</v>
      </c>
      <c r="F54" s="1">
        <f t="shared" ref="F54:F57" si="35">LARGE($C$45:$C$49,D54)</f>
        <v>0</v>
      </c>
      <c r="H54" s="1" t="str">
        <f t="shared" ref="H54:H57" si="36">"Investments "&amp;E54</f>
        <v>Investments Securities</v>
      </c>
      <c r="I54" s="113">
        <v>28</v>
      </c>
      <c r="J54" s="1">
        <f t="array" ref="J54">IFERROR(GETPIVOTDATA(""&amp;$O$3,Pivot!$B$12,""&amp;$I$26,I54)+GETPIVOTDATA(""&amp;$O$4,Pivot!$B$12,""&amp;$I$26,I54)+GETPIVOTDATA(""&amp;$O$5,Pivot!$B$12,""&amp;$I$26,I54),NA())</f>
        <v>0</v>
      </c>
      <c r="K54" s="1">
        <f t="array" ref="K54">IFERROR(GETPIVOTDATA(""&amp;$O$6,Pivot!$B$12,""&amp;$I$26,I54)+GETPIVOTDATA(""&amp;$O$7,Pivot!$B$12,""&amp;$I$26,I54)+GETPIVOTDATA(""&amp;$O$8,Pivot!$B$12,""&amp;$I$26,I54),NA())</f>
        <v>0</v>
      </c>
      <c r="L54">
        <f>IFERROR(GETPIVOTDATA(""&amp;$O$6,Pivot!$B$12,""&amp;$I$26,I54)+GETPIVOTDATA(""&amp;$O$7,Pivot!$B$12,""&amp;$I$26,I54)+GETPIVOTDATA(""&amp;$O$8,Pivot!$B$12,""&amp;$I$26,I54),NA())</f>
        <v>0</v>
      </c>
      <c r="M54" s="120">
        <f t="shared" si="20"/>
        <v>28</v>
      </c>
      <c r="N54" s="1">
        <f t="shared" si="16"/>
        <v>28</v>
      </c>
      <c r="O54" s="52">
        <f>IFERROR(GETPIVOTDATA("Totale Portfolio",Pivot!$BA$12,"Giorno",N54),NA())</f>
        <v>0</v>
      </c>
      <c r="P54" s="52">
        <f t="array" ref="P54">IFERROR(INDEX(Dati[Leasing Macchina], MATCH(1, --(ROW(Dati[Leasing Macchina])&gt;=MATCH(TEXT($AH$27, "0"),Data!$F:$F, 0)) * --ISNUMBER(Dati[Leasing Macchina]), 0)), 0)</f>
        <v>0</v>
      </c>
      <c r="Q54" s="97" t="e">
        <f>IF(NOT(ISNA(J54)),NA(),GETPIVOTDATA(""&amp;Dati[[#Headers],[Leasing Macchina]],Pivot!AD39,""&amp;$N$26,Processing!N54))</f>
        <v>#N/A</v>
      </c>
      <c r="R54" s="107">
        <f t="shared" si="17"/>
        <v>28</v>
      </c>
      <c r="S54" s="52" t="e">
        <f>IFERROR(GETPIVOTDATA(""&amp;Dati[[#Headers],[Consumer Credit]],Pivot!AD39,""&amp;$R$26,R54)+GETPIVOTDATA(""&amp;Dati[[#Headers],[Credit Card]],Pivot!AD39,""&amp;$R$26,R54)+GETPIVOTDATA(""&amp;#REF!,Pivot!AD39,""&amp;$R$26,R54)+GETPIVOTDATA(""&amp;#REF!,Pivot!AD39,""&amp;$R$26,R54),NA())</f>
        <v>#N/A</v>
      </c>
      <c r="T54" s="52" t="e">
        <f t="shared" si="21"/>
        <v>#N/A</v>
      </c>
      <c r="U54" s="106" t="e">
        <f>ISNUMBER(R54)*GETPIVOTDATA(""&amp;Dati[[#Headers],[Consumer Credit]],Pivot!AD39,""&amp;$R$26,R54)+GETPIVOTDATA(""&amp;Dati[[#Headers],[Credit Card]],Pivot!AD39,""&amp;$R$26,R54)+GETPIVOTDATA(""&amp;#REF!,Pivot!AD39,""&amp;$R$26,R54)+GETPIVOTDATA(""&amp;#REF!,Pivot!AD39,""&amp;$R$26,R54)</f>
        <v>#REF!</v>
      </c>
      <c r="W54" s="40">
        <v>51993</v>
      </c>
      <c r="X54" s="13">
        <v>33859</v>
      </c>
      <c r="Y54" s="13">
        <v>34311</v>
      </c>
      <c r="Z54" s="13">
        <v>9942</v>
      </c>
      <c r="AA54" s="13">
        <f t="shared" si="32"/>
        <v>130105</v>
      </c>
      <c r="AB54" s="13">
        <f t="shared" si="29"/>
        <v>65.052499999999995</v>
      </c>
      <c r="AC54" s="1">
        <f t="shared" si="33"/>
        <v>2000.0000000000002</v>
      </c>
      <c r="AE54" s="41"/>
      <c r="AH54" s="203"/>
      <c r="AK54" s="1">
        <f t="shared" si="18"/>
        <v>28</v>
      </c>
      <c r="AL54">
        <f>IFERROR(GETPIVOTDATA(""&amp;$O$3,Pivot!$B$12,""&amp;$AK$26,AK54)+GETPIVOTDATA(""&amp;$O$4,Pivot!$B$12,""&amp;$AK$26,AK54)+GETPIVOTDATA(""&amp;$O$5,Pivot!$B$12,""&amp;$AK$26,AK54),NA())</f>
        <v>0</v>
      </c>
      <c r="AM54">
        <f>IFERROR(GETPIVOTDATA(""&amp;$O$3,Pivot!$B$12,""&amp;$AK$26,AK54)+GETPIVOTDATA(""&amp;$O$5,Pivot!$B$12,""&amp;$AK$26,AK54),NA())</f>
        <v>0</v>
      </c>
      <c r="AN54">
        <f>IFERROR(GETPIVOTDATA(""&amp;$O$3,Pivot!$B$12,""&amp;$AK$26,AK54)+GETPIVOTDATA(""&amp;$O$4,Pivot!$B$12,""&amp;$AK$26,AK54)+GETPIVOTDATA(""&amp;$O$5,Pivot!$B$12,""&amp;$AK$26,AK54),NA())</f>
        <v>0</v>
      </c>
      <c r="AP54" s="1">
        <f t="shared" si="19"/>
        <v>28</v>
      </c>
      <c r="AQ54">
        <f>IFERROR(GETPIVOTDATA(""&amp;$O$6,Pivot!$B$12,""&amp;$AP$26,AP54)+GETPIVOTDATA(""&amp;$O$7,Pivot!$B$12,""&amp;$AP$26,AP54)+GETPIVOTDATA(""&amp;$O$8,Pivot!$B$12,""&amp;$AP$26,AP54),NA())</f>
        <v>0</v>
      </c>
      <c r="AR54">
        <f>IFERROR(GETPIVOTDATA(""&amp;$O$6,Pivot!$B$12,""&amp;$AP$26,AP54)+GETPIVOTDATA(""&amp;$O$8,Pivot!$B$12,""&amp;$AP$26,AP54),NA())</f>
        <v>0</v>
      </c>
      <c r="AS54" s="202">
        <f>IFERROR(GETPIVOTDATA(""&amp;$O$6,Pivot!$B$12,""&amp;$AP$26,AP54)+GETPIVOTDATA(""&amp;$O$7,Pivot!$B$12,""&amp;$AP$26,AP54)+GETPIVOTDATA(""&amp;$O$8,Pivot!$B$12,""&amp;$AP$26,AP54),NA())</f>
        <v>0</v>
      </c>
      <c r="AT54"/>
      <c r="AU54"/>
      <c r="AV54"/>
      <c r="AW54"/>
      <c r="AX54"/>
      <c r="AY54"/>
      <c r="AZ54"/>
      <c r="BA54"/>
      <c r="BB54"/>
      <c r="BC54"/>
      <c r="BD54"/>
      <c r="BE54"/>
      <c r="BF54"/>
    </row>
    <row r="55" spans="1:58" ht="15.5" x14ac:dyDescent="0.35">
      <c r="B55" s="1" t="str">
        <f t="shared" si="34"/>
        <v>0-3</v>
      </c>
      <c r="C55" s="1">
        <f>COUNTIF($C$45:C47,C47)</f>
        <v>3</v>
      </c>
      <c r="D55" s="1">
        <v>3</v>
      </c>
      <c r="E55" s="1" t="str">
        <f>INDEX($B$45:$B$49,MATCH(IF(F55=F54,F55&amp;"-"&amp;COUNTIF($F$53:F55,F55),F55&amp;"-1"),$B$53:$B$57,0))</f>
        <v>Gold</v>
      </c>
      <c r="F55" s="1">
        <f t="shared" si="35"/>
        <v>0</v>
      </c>
      <c r="H55" s="1" t="str">
        <f t="shared" si="36"/>
        <v>Investments Gold</v>
      </c>
      <c r="I55" s="113">
        <f t="array" ref="I55">IFERROR(IF(INDEX($H$27:$H$38,$AJ$27:$AJ$38)&gt;=29,29,""),29)</f>
        <v>29</v>
      </c>
      <c r="J55" s="1">
        <f t="array" ref="J55">IFERROR(GETPIVOTDATA(""&amp;$O$3,Pivot!$B$12,""&amp;$I$26,I55)+GETPIVOTDATA(""&amp;$O$4,Pivot!$B$12,""&amp;$I$26,I55)+GETPIVOTDATA(""&amp;$O$5,Pivot!$B$12,""&amp;$I$26,I55),NA())</f>
        <v>0</v>
      </c>
      <c r="K55" s="1">
        <f t="array" ref="K55">IFERROR(GETPIVOTDATA(""&amp;$O$6,Pivot!$B$12,""&amp;$I$26,I55)+GETPIVOTDATA(""&amp;$O$7,Pivot!$B$12,""&amp;$I$26,I55)+GETPIVOTDATA(""&amp;$O$8,Pivot!$B$12,""&amp;$I$26,I55),NA())</f>
        <v>0</v>
      </c>
      <c r="L55">
        <f>IFERROR(GETPIVOTDATA(""&amp;$O$6,Pivot!$B$12,""&amp;$I$26,I55)+GETPIVOTDATA(""&amp;$O$7,Pivot!$B$12,""&amp;$I$26,I55)+GETPIVOTDATA(""&amp;$O$8,Pivot!$B$12,""&amp;$I$26,I55),NA())</f>
        <v>0</v>
      </c>
      <c r="M55" s="120">
        <f t="shared" si="20"/>
        <v>29</v>
      </c>
      <c r="N55" s="1">
        <f t="shared" si="16"/>
        <v>29</v>
      </c>
      <c r="O55" s="52">
        <f>IFERROR(GETPIVOTDATA("Totale Portfolio",Pivot!$BA$12,"Giorno",N55),NA())</f>
        <v>0</v>
      </c>
      <c r="P55" s="52">
        <f t="array" ref="P55">IFERROR(INDEX(Dati[Leasing Macchina], MATCH(1, --(ROW(Dati[Leasing Macchina])&gt;=MATCH(TEXT($AH$27, "0"),Data!$F:$F, 0)) * --ISNUMBER(Dati[Leasing Macchina]), 0)), 0)</f>
        <v>0</v>
      </c>
      <c r="Q55" s="97" t="e">
        <f>IF(NOT(ISNA(J55)),NA(),GETPIVOTDATA(""&amp;Dati[[#Headers],[Leasing Macchina]],Pivot!AD40,""&amp;$N$26,Processing!N55))</f>
        <v>#N/A</v>
      </c>
      <c r="R55" s="107">
        <f t="shared" si="17"/>
        <v>29</v>
      </c>
      <c r="S55" s="52" t="e">
        <f>IFERROR(GETPIVOTDATA(""&amp;Dati[[#Headers],[Consumer Credit]],Pivot!AD40,""&amp;$R$26,R55)+GETPIVOTDATA(""&amp;Dati[[#Headers],[Credit Card]],Pivot!AD40,""&amp;$R$26,R55)+GETPIVOTDATA(""&amp;#REF!,Pivot!AD40,""&amp;$R$26,R55)+GETPIVOTDATA(""&amp;#REF!,Pivot!AD40,""&amp;$R$26,R55),NA())</f>
        <v>#N/A</v>
      </c>
      <c r="T55" s="52" t="e">
        <f t="shared" si="21"/>
        <v>#N/A</v>
      </c>
      <c r="U55" s="106" t="e">
        <f>ISNUMBER(R55)*GETPIVOTDATA(""&amp;Dati[[#Headers],[Consumer Credit]],Pivot!AD40,""&amp;$R$26,R55)+GETPIVOTDATA(""&amp;Dati[[#Headers],[Credit Card]],Pivot!AD40,""&amp;$R$26,R55)+GETPIVOTDATA(""&amp;#REF!,Pivot!AD40,""&amp;$R$26,R55)+GETPIVOTDATA(""&amp;#REF!,Pivot!AD40,""&amp;$R$26,R55)</f>
        <v>#REF!</v>
      </c>
      <c r="W55" s="40">
        <v>62350</v>
      </c>
      <c r="X55" s="13">
        <v>36275</v>
      </c>
      <c r="Y55" s="13">
        <v>36337</v>
      </c>
      <c r="Z55" s="13">
        <v>14333</v>
      </c>
      <c r="AA55" s="13">
        <f t="shared" si="32"/>
        <v>149295</v>
      </c>
      <c r="AB55" s="13">
        <f t="shared" si="29"/>
        <v>74.647499999999994</v>
      </c>
      <c r="AC55" s="1">
        <f t="shared" si="33"/>
        <v>2000.0000000000002</v>
      </c>
      <c r="AE55" s="41"/>
      <c r="AF55" s="2"/>
      <c r="AH55" s="203"/>
      <c r="AK55" s="1">
        <f t="shared" si="18"/>
        <v>29</v>
      </c>
      <c r="AL55">
        <f>IFERROR(GETPIVOTDATA(""&amp;$O$3,Pivot!$B$12,""&amp;$AK$26,AK55)+GETPIVOTDATA(""&amp;$O$4,Pivot!$B$12,""&amp;$AK$26,AK55)+GETPIVOTDATA(""&amp;$O$5,Pivot!$B$12,""&amp;$AK$26,AK55),NA())</f>
        <v>0</v>
      </c>
      <c r="AM55">
        <f>IFERROR(GETPIVOTDATA(""&amp;$O$3,Pivot!$B$12,""&amp;$AK$26,AK55)+GETPIVOTDATA(""&amp;$O$5,Pivot!$B$12,""&amp;$AK$26,AK55),NA())</f>
        <v>0</v>
      </c>
      <c r="AN55">
        <f>IFERROR(GETPIVOTDATA(""&amp;$O$3,Pivot!$B$12,""&amp;$AK$26,AK55)+GETPIVOTDATA(""&amp;$O$4,Pivot!$B$12,""&amp;$AK$26,AK55)+GETPIVOTDATA(""&amp;$O$5,Pivot!$B$12,""&amp;$AK$26,AK55),NA())</f>
        <v>0</v>
      </c>
      <c r="AP55" s="1">
        <f t="shared" si="19"/>
        <v>29</v>
      </c>
      <c r="AQ55">
        <f>IFERROR(GETPIVOTDATA(""&amp;$O$6,Pivot!$B$12,""&amp;$AP$26,AP55)+GETPIVOTDATA(""&amp;$O$7,Pivot!$B$12,""&amp;$AP$26,AP55)+GETPIVOTDATA(""&amp;$O$8,Pivot!$B$12,""&amp;$AP$26,AP55),NA())</f>
        <v>0</v>
      </c>
      <c r="AR55">
        <f>IFERROR(GETPIVOTDATA(""&amp;$O$6,Pivot!$B$12,""&amp;$AP$26,AP55)+GETPIVOTDATA(""&amp;$O$8,Pivot!$B$12,""&amp;$AP$26,AP55),NA())</f>
        <v>0</v>
      </c>
      <c r="AS55" s="202">
        <f>IFERROR(GETPIVOTDATA(""&amp;$O$6,Pivot!$B$12,""&amp;$AP$26,AP55)+GETPIVOTDATA(""&amp;$O$7,Pivot!$B$12,""&amp;$AP$26,AP55)+GETPIVOTDATA(""&amp;$O$8,Pivot!$B$12,""&amp;$AP$26,AP55),NA())</f>
        <v>0</v>
      </c>
      <c r="AT55"/>
      <c r="AU55"/>
      <c r="AV55"/>
      <c r="AW55"/>
      <c r="AX55"/>
      <c r="AY55"/>
      <c r="AZ55"/>
      <c r="BA55"/>
      <c r="BB55"/>
      <c r="BC55"/>
      <c r="BD55"/>
      <c r="BE55"/>
      <c r="BF55"/>
    </row>
    <row r="56" spans="1:58" ht="15.5" x14ac:dyDescent="0.35">
      <c r="B56" s="1" t="str">
        <f t="shared" si="34"/>
        <v>0-4</v>
      </c>
      <c r="C56" s="1">
        <f>COUNTIF($C$45:C48,C48)</f>
        <v>4</v>
      </c>
      <c r="D56" s="1">
        <v>4</v>
      </c>
      <c r="E56" s="1" t="str">
        <f>INDEX($B$45:$B$49,MATCH(IF(F56=F55,F56&amp;"-"&amp;COUNTIF($F$53:F56,F56),F56&amp;"-1"),$B$53:$B$57,0))</f>
        <v>Real Estate</v>
      </c>
      <c r="F56" s="1">
        <f t="shared" si="35"/>
        <v>0</v>
      </c>
      <c r="H56" s="1" t="str">
        <f t="shared" si="36"/>
        <v>Investments Real Estate</v>
      </c>
      <c r="I56" s="113">
        <f t="array" ref="I56">IFERROR(IF(INDEX($H$27:$H$38,$AJ$27:$AJ$38)&gt;=30,30,""),30)</f>
        <v>30</v>
      </c>
      <c r="J56" s="1">
        <f t="array" ref="J56">IFERROR(GETPIVOTDATA(""&amp;$O$3,Pivot!$B$12,""&amp;$I$26,I56)+GETPIVOTDATA(""&amp;$O$4,Pivot!$B$12,""&amp;$I$26,I56)+GETPIVOTDATA(""&amp;$O$5,Pivot!$B$12,""&amp;$I$26,I56),NA())</f>
        <v>0</v>
      </c>
      <c r="K56" s="1">
        <f t="array" ref="K56">IFERROR(GETPIVOTDATA(""&amp;$O$6,Pivot!$B$12,""&amp;$I$26,I56)+GETPIVOTDATA(""&amp;$O$7,Pivot!$B$12,""&amp;$I$26,I56)+GETPIVOTDATA(""&amp;$O$8,Pivot!$B$12,""&amp;$I$26,I56),NA())</f>
        <v>0</v>
      </c>
      <c r="L56">
        <f>IFERROR(GETPIVOTDATA(""&amp;$O$6,Pivot!$B$12,""&amp;$I$26,I56)+GETPIVOTDATA(""&amp;$O$7,Pivot!$B$12,""&amp;$I$26,I56)+GETPIVOTDATA(""&amp;$O$8,Pivot!$B$12,""&amp;$I$26,I56),NA())</f>
        <v>0</v>
      </c>
      <c r="M56" s="120">
        <f t="shared" si="20"/>
        <v>30</v>
      </c>
      <c r="N56" s="1">
        <f t="shared" si="16"/>
        <v>30</v>
      </c>
      <c r="O56" s="52">
        <f>IFERROR(GETPIVOTDATA("Totale Portfolio",Pivot!$BA$12,"Giorno",N56),NA())</f>
        <v>0</v>
      </c>
      <c r="P56" s="52">
        <f t="array" ref="P56">IFERROR(INDEX(Dati[Leasing Macchina], MATCH(1, --(ROW(Dati[Leasing Macchina])&gt;=MATCH(TEXT($AH$27, "0"),Data!$F:$F, 0)) * --ISNUMBER(Dati[Leasing Macchina]), 0)), 0)</f>
        <v>0</v>
      </c>
      <c r="Q56" s="97" t="e">
        <f>IF(NOT(ISNA(J56)),NA(),GETPIVOTDATA(""&amp;Dati[[#Headers],[Leasing Macchina]],Pivot!AD41,""&amp;$N$26,Processing!N56))</f>
        <v>#N/A</v>
      </c>
      <c r="R56" s="107">
        <f t="shared" si="17"/>
        <v>30</v>
      </c>
      <c r="S56" s="52" t="e">
        <f>IFERROR(GETPIVOTDATA(""&amp;Dati[[#Headers],[Consumer Credit]],Pivot!AD41,""&amp;$R$26,R56)+GETPIVOTDATA(""&amp;Dati[[#Headers],[Credit Card]],Pivot!AD41,""&amp;$R$26,R56)+GETPIVOTDATA(""&amp;#REF!,Pivot!AD41,""&amp;$R$26,R56)+GETPIVOTDATA(""&amp;#REF!,Pivot!AD41,""&amp;$R$26,R56),NA())</f>
        <v>#N/A</v>
      </c>
      <c r="T56" s="52" t="e">
        <f t="shared" si="21"/>
        <v>#N/A</v>
      </c>
      <c r="U56" s="106" t="e">
        <f>ISNUMBER(R56)*GETPIVOTDATA(""&amp;Dati[[#Headers],[Consumer Credit]],Pivot!AD41,""&amp;$R$26,R56)+GETPIVOTDATA(""&amp;Dati[[#Headers],[Credit Card]],Pivot!AD41,""&amp;$R$26,R56)+GETPIVOTDATA(""&amp;#REF!,Pivot!AD41,""&amp;$R$26,R56)+GETPIVOTDATA(""&amp;#REF!,Pivot!AD41,""&amp;$R$26,R56)</f>
        <v>#REF!</v>
      </c>
      <c r="W56" s="40">
        <v>65416</v>
      </c>
      <c r="X56" s="13">
        <v>39140</v>
      </c>
      <c r="Y56" s="13">
        <v>38021</v>
      </c>
      <c r="Z56" s="13">
        <v>15056</v>
      </c>
      <c r="AA56" s="13">
        <f t="shared" si="32"/>
        <v>157633</v>
      </c>
      <c r="AB56" s="13">
        <f t="shared" si="29"/>
        <v>78.816500000000005</v>
      </c>
      <c r="AC56" s="1">
        <f t="shared" si="33"/>
        <v>1999.9999999999998</v>
      </c>
      <c r="AE56" s="41"/>
      <c r="AH56" s="203"/>
      <c r="AK56" s="1">
        <f t="shared" si="18"/>
        <v>30</v>
      </c>
      <c r="AL56">
        <f>IFERROR(GETPIVOTDATA(""&amp;$O$3,Pivot!$B$12,""&amp;$AK$26,AK56)+GETPIVOTDATA(""&amp;$O$4,Pivot!$B$12,""&amp;$AK$26,AK56)+GETPIVOTDATA(""&amp;$O$5,Pivot!$B$12,""&amp;$AK$26,AK56),NA())</f>
        <v>0</v>
      </c>
      <c r="AM56">
        <f>IFERROR(GETPIVOTDATA(""&amp;$O$3,Pivot!$B$12,""&amp;$AK$26,AK56)+GETPIVOTDATA(""&amp;$O$5,Pivot!$B$12,""&amp;$AK$26,AK56),NA())</f>
        <v>0</v>
      </c>
      <c r="AN56">
        <f>IFERROR(GETPIVOTDATA(""&amp;$O$3,Pivot!$B$12,""&amp;$AK$26,AK56)+GETPIVOTDATA(""&amp;$O$4,Pivot!$B$12,""&amp;$AK$26,AK56)+GETPIVOTDATA(""&amp;$O$5,Pivot!$B$12,""&amp;$AK$26,AK56),NA())</f>
        <v>0</v>
      </c>
      <c r="AP56" s="1">
        <f t="shared" si="19"/>
        <v>30</v>
      </c>
      <c r="AQ56">
        <f>IFERROR(GETPIVOTDATA(""&amp;$O$6,Pivot!$B$12,""&amp;$AP$26,AP56)+GETPIVOTDATA(""&amp;$O$7,Pivot!$B$12,""&amp;$AP$26,AP56)+GETPIVOTDATA(""&amp;$O$8,Pivot!$B$12,""&amp;$AP$26,AP56),NA())</f>
        <v>0</v>
      </c>
      <c r="AR56">
        <f>IFERROR(GETPIVOTDATA(""&amp;$O$6,Pivot!$B$12,""&amp;$AP$26,AP56)+GETPIVOTDATA(""&amp;$O$8,Pivot!$B$12,""&amp;$AP$26,AP56),NA())</f>
        <v>0</v>
      </c>
      <c r="AS56" s="202">
        <f>IFERROR(GETPIVOTDATA(""&amp;$O$6,Pivot!$B$12,""&amp;$AP$26,AP56)+GETPIVOTDATA(""&amp;$O$7,Pivot!$B$12,""&amp;$AP$26,AP56)+GETPIVOTDATA(""&amp;$O$8,Pivot!$B$12,""&amp;$AP$26,AP56),NA())</f>
        <v>0</v>
      </c>
      <c r="AT56"/>
      <c r="AU56"/>
      <c r="AV56"/>
      <c r="AW56"/>
      <c r="AX56"/>
      <c r="AY56"/>
      <c r="AZ56"/>
      <c r="BA56"/>
      <c r="BB56"/>
      <c r="BC56"/>
      <c r="BD56"/>
      <c r="BE56"/>
      <c r="BF56"/>
    </row>
    <row r="57" spans="1:58" ht="15.5" x14ac:dyDescent="0.35">
      <c r="B57" s="1" t="str">
        <f t="shared" si="34"/>
        <v>0-5</v>
      </c>
      <c r="C57" s="1">
        <f>COUNTIF($C$45:C49,C49)</f>
        <v>5</v>
      </c>
      <c r="D57" s="1">
        <v>5</v>
      </c>
      <c r="E57" s="1" t="str">
        <f>INDEX($B$45:$B$49,MATCH(IF(F57=F56,F57&amp;"-"&amp;COUNTIF($F$53:F57,F57),F57&amp;"-1"),$B$53:$B$57,0))</f>
        <v>Cryptocurrency</v>
      </c>
      <c r="F57" s="1">
        <f t="shared" si="35"/>
        <v>0</v>
      </c>
      <c r="H57" s="1" t="str">
        <f t="shared" si="36"/>
        <v>Investments Cryptocurrency</v>
      </c>
      <c r="I57" s="177">
        <f t="array" ref="I57">IFERROR(IF(INDEX($H$27:$H$38,$AJ$27:$AJ$38)&gt;=31,31,""),31)</f>
        <v>31</v>
      </c>
      <c r="J57" s="114">
        <f t="array" ref="J57">IFERROR(GETPIVOTDATA(""&amp;$O$3,Pivot!$B$12,""&amp;$I$26,I57)+GETPIVOTDATA(""&amp;$O$4,Pivot!$B$12,""&amp;$I$26,I57)+GETPIVOTDATA(""&amp;$O$5,Pivot!$B$12,""&amp;$I$26,I57),NA())</f>
        <v>0</v>
      </c>
      <c r="K57" s="114">
        <f t="array" ref="K57">IFERROR(GETPIVOTDATA(""&amp;$O$6,Pivot!$B$12,""&amp;$I$26,I57)+GETPIVOTDATA(""&amp;$O$7,Pivot!$B$12,""&amp;$I$26,I57)+GETPIVOTDATA(""&amp;$O$8,Pivot!$B$12,""&amp;$I$26,I57),NA())</f>
        <v>0</v>
      </c>
      <c r="L57" s="116">
        <f>IFERROR(GETPIVOTDATA(""&amp;$O$6,Pivot!$B$12,""&amp;$I$26,I57)+GETPIVOTDATA(""&amp;$O$7,Pivot!$B$12,""&amp;$I$26,I57)+GETPIVOTDATA(""&amp;$O$8,Pivot!$B$12,""&amp;$I$26,I57),NA())</f>
        <v>0</v>
      </c>
      <c r="M57" s="121">
        <f t="shared" si="20"/>
        <v>31</v>
      </c>
      <c r="N57" s="122">
        <f t="shared" si="16"/>
        <v>31</v>
      </c>
      <c r="O57" s="175">
        <f>IFERROR(GETPIVOTDATA("Totale Portfolio",Pivot!$BA$12,"Giorno",N57),NA())</f>
        <v>0</v>
      </c>
      <c r="P57" s="175">
        <f t="array" ref="P57">IFERROR(INDEX(Dati[Leasing Macchina], MATCH(1, --(ROW(Dati[Leasing Macchina])&gt;=MATCH(TEXT($AH$27, "0"),Data!$F:$F, 0)) * --ISNUMBER(Dati[Leasing Macchina]), 0)), 0)</f>
        <v>0</v>
      </c>
      <c r="Q57" s="123" t="e">
        <f>IF(NOT(ISNA(J57)),NA(),GETPIVOTDATA(""&amp;Dati[[#Headers],[Leasing Macchina]],Pivot!AD42,""&amp;$N$26,Processing!N57))</f>
        <v>#N/A</v>
      </c>
      <c r="R57" s="126">
        <f t="shared" si="17"/>
        <v>31</v>
      </c>
      <c r="S57" s="127" t="e">
        <f>IFERROR(GETPIVOTDATA(""&amp;Dati[[#Headers],[Consumer Credit]],Pivot!AD42,""&amp;$R$26,R57)+GETPIVOTDATA(""&amp;Dati[[#Headers],[Credit Card]],Pivot!AD42,""&amp;$R$26,R57)+GETPIVOTDATA(""&amp;#REF!,Pivot!AD42,""&amp;$R$26,R57)+GETPIVOTDATA(""&amp;#REF!,Pivot!AD42,""&amp;$R$26,R57),NA())</f>
        <v>#N/A</v>
      </c>
      <c r="T57" s="127" t="e">
        <f t="shared" si="21"/>
        <v>#N/A</v>
      </c>
      <c r="U57" s="128" t="e">
        <f>ISNUMBER(R57)*GETPIVOTDATA(""&amp;Dati[[#Headers],[Consumer Credit]],Pivot!AD42,""&amp;$R$26,R57)+GETPIVOTDATA(""&amp;Dati[[#Headers],[Credit Card]],Pivot!AD42,""&amp;$R$26,R57)+GETPIVOTDATA(""&amp;#REF!,Pivot!AD42,""&amp;$R$26,R57)+GETPIVOTDATA(""&amp;#REF!,Pivot!AD42,""&amp;$R$26,R57)</f>
        <v>#REF!</v>
      </c>
      <c r="W57" s="40">
        <v>71506</v>
      </c>
      <c r="X57" s="13">
        <v>41680</v>
      </c>
      <c r="Y57" s="13">
        <v>44466</v>
      </c>
      <c r="Z57" s="13">
        <v>20037</v>
      </c>
      <c r="AA57" s="13">
        <f t="shared" si="32"/>
        <v>177689</v>
      </c>
      <c r="AB57" s="13">
        <f t="shared" si="29"/>
        <v>88.844499999999996</v>
      </c>
      <c r="AC57" s="1">
        <f t="shared" si="33"/>
        <v>2000</v>
      </c>
      <c r="AE57" s="41"/>
      <c r="AH57" s="203"/>
      <c r="AK57" s="1">
        <f t="shared" si="18"/>
        <v>31</v>
      </c>
      <c r="AL57">
        <f>IFERROR(GETPIVOTDATA(""&amp;$O$3,Pivot!$B$12,""&amp;$AK$26,AK57)+GETPIVOTDATA(""&amp;$O$4,Pivot!$B$12,""&amp;$AK$26,AK57)+GETPIVOTDATA(""&amp;$O$5,Pivot!$B$12,""&amp;$AK$26,AK57),NA())</f>
        <v>0</v>
      </c>
      <c r="AM57">
        <f>IFERROR(GETPIVOTDATA(""&amp;$O$3,Pivot!$B$12,""&amp;$AK$26,AK57)+GETPIVOTDATA(""&amp;$O$5,Pivot!$B$12,""&amp;$AK$26,AK57),NA())</f>
        <v>0</v>
      </c>
      <c r="AN57">
        <f>IFERROR(GETPIVOTDATA(""&amp;$O$3,Pivot!$B$12,""&amp;$AK$26,AK57)+GETPIVOTDATA(""&amp;$O$4,Pivot!$B$12,""&amp;$AK$26,AK57)+GETPIVOTDATA(""&amp;$O$5,Pivot!$B$12,""&amp;$AK$26,AK57),NA())</f>
        <v>0</v>
      </c>
      <c r="AP57" s="1">
        <f t="shared" si="19"/>
        <v>31</v>
      </c>
      <c r="AQ57">
        <f>IFERROR(GETPIVOTDATA(""&amp;$O$6,Pivot!$B$12,""&amp;$AP$26,AP57)+GETPIVOTDATA(""&amp;$O$7,Pivot!$B$12,""&amp;$AP$26,AP57)+GETPIVOTDATA(""&amp;$O$8,Pivot!$B$12,""&amp;$AP$26,AP57),NA())</f>
        <v>0</v>
      </c>
      <c r="AR57">
        <f>IFERROR(GETPIVOTDATA(""&amp;$O$6,Pivot!$B$12,""&amp;$AP$26,AP57)+GETPIVOTDATA(""&amp;$O$8,Pivot!$B$12,""&amp;$AP$26,AP57),NA())</f>
        <v>0</v>
      </c>
      <c r="AS57" s="202">
        <f>IFERROR(GETPIVOTDATA(""&amp;$O$6,Pivot!$B$12,""&amp;$AP$26,AP57)+GETPIVOTDATA(""&amp;$O$7,Pivot!$B$12,""&amp;$AP$26,AP57)+GETPIVOTDATA(""&amp;$O$8,Pivot!$B$12,""&amp;$AP$26,AP57),NA())</f>
        <v>0</v>
      </c>
      <c r="AT57"/>
      <c r="AU57"/>
      <c r="AV57"/>
      <c r="AW57"/>
      <c r="AX57"/>
      <c r="AY57"/>
      <c r="AZ57"/>
      <c r="BA57"/>
      <c r="BB57"/>
      <c r="BC57"/>
      <c r="BD57"/>
      <c r="BE57"/>
      <c r="BF57"/>
    </row>
    <row r="58" spans="1:58" ht="16" thickBot="1" x14ac:dyDescent="0.4">
      <c r="I58" s="1" t="s">
        <v>116</v>
      </c>
      <c r="J58" s="52">
        <f>_xlfn.AGGREGATE(9,2,J27:J57)</f>
        <v>4000</v>
      </c>
      <c r="K58" s="52">
        <f>_xlfn.AGGREGATE(9,2,K27:K57)</f>
        <v>358.63000000000005</v>
      </c>
      <c r="W58" s="40">
        <v>75121</v>
      </c>
      <c r="X58" s="13">
        <v>53018</v>
      </c>
      <c r="Y58" s="13">
        <v>57002</v>
      </c>
      <c r="Z58" s="13">
        <v>31955</v>
      </c>
      <c r="AA58" s="13">
        <f t="shared" si="32"/>
        <v>217096</v>
      </c>
      <c r="AB58" s="13">
        <f t="shared" si="29"/>
        <v>86.838399999999993</v>
      </c>
      <c r="AC58" s="1">
        <f t="shared" si="33"/>
        <v>2500</v>
      </c>
      <c r="AE58" s="41"/>
      <c r="AH58" s="206"/>
      <c r="AI58" s="207"/>
      <c r="AJ58" s="207"/>
      <c r="AK58" s="207" t="s">
        <v>203</v>
      </c>
      <c r="AL58" s="207">
        <f>_xlfn.AGGREGATE(9,2,AL27:AL57)</f>
        <v>4000</v>
      </c>
      <c r="AM58" s="207"/>
      <c r="AN58" s="207"/>
      <c r="AO58" s="207"/>
      <c r="AP58" s="207" t="s">
        <v>202</v>
      </c>
      <c r="AQ58" s="208">
        <f>_xlfn.AGGREGATE(9,2,AQ27:AQ57)</f>
        <v>358.63000000000005</v>
      </c>
      <c r="AR58" s="207"/>
      <c r="AS58" s="209"/>
      <c r="AT58"/>
      <c r="AU58"/>
      <c r="AV58"/>
      <c r="AW58"/>
      <c r="AX58"/>
      <c r="AY58"/>
      <c r="AZ58"/>
      <c r="BA58"/>
      <c r="BB58"/>
      <c r="BC58"/>
      <c r="BD58"/>
      <c r="BE58"/>
      <c r="BF58"/>
    </row>
    <row r="59" spans="1:58" ht="15.5" thickTop="1" thickBot="1" x14ac:dyDescent="0.4">
      <c r="I59" s="1" t="s">
        <v>137</v>
      </c>
      <c r="J59" s="9">
        <f>IF(ISERROR(1-K58/J58),"Nessuna Entrata",(1-K58/J58))</f>
        <v>0.91034249999999994</v>
      </c>
      <c r="K59" s="172" t="str">
        <f>IF(ISERROR(TEXT((1-J59),"0%")&amp;CHAR(10)&amp;"Delle Entrate Del Mese"),TEXT(K58/Data!S7,"0%")&amp;CHAR(10)&amp;"Del Saldo Totale",TEXT((1-J59),"0%")&amp;CHAR(10)&amp;"Delle Entrate Del Mese")</f>
        <v>9%
Delle Entrate Del Mese</v>
      </c>
      <c r="L59" s="1" t="s">
        <v>138</v>
      </c>
      <c r="M59" s="174">
        <f>IF(ISERROR(1-J59),"100%",(1-J59))</f>
        <v>8.9657500000000057E-2</v>
      </c>
      <c r="P59" s="176">
        <f t="array" ref="P59">IFERROR(INDEX(Dati[Leasing Macchina], MATCH(1, --ISNUMBER(Dati[Leasing Macchina]), 0)),0)</f>
        <v>0</v>
      </c>
      <c r="W59" s="42"/>
      <c r="AE59" s="41"/>
    </row>
    <row r="60" spans="1:58" ht="15.5" thickTop="1" thickBot="1" x14ac:dyDescent="0.4">
      <c r="J60" s="17">
        <f>IF(AND(J59&gt;0,J59&lt;&gt;"Nessuna Entrata"),J59,0)</f>
        <v>0.91034249999999994</v>
      </c>
      <c r="K60" s="9">
        <f>IF(ISERROR(1-J60),"Nessuna Entrata",(1-J60))</f>
        <v>8.9657500000000057E-2</v>
      </c>
      <c r="P60" s="1" t="s">
        <v>249</v>
      </c>
      <c r="W60" s="43"/>
      <c r="X60" s="44"/>
      <c r="Y60" s="44"/>
      <c r="Z60" s="44"/>
      <c r="AA60" s="44"/>
      <c r="AB60" s="45">
        <v>42350.000000000022</v>
      </c>
      <c r="AC60" s="45">
        <v>24624.6</v>
      </c>
      <c r="AD60" s="45">
        <v>9286.2000000000007</v>
      </c>
      <c r="AE60" s="46">
        <v>2340.8000000000011</v>
      </c>
    </row>
    <row r="61" spans="1:58" x14ac:dyDescent="0.35">
      <c r="J61" s="17">
        <f>IF(J59="Nessuna Entrata",0,IF(J59&gt;1,J59-1,))</f>
        <v>0</v>
      </c>
      <c r="K61" s="9">
        <f>IF(ISERROR(1-J61),"Nessuna Entrata",(1-J61))</f>
        <v>1</v>
      </c>
      <c r="M61" s="1" t="s">
        <v>247</v>
      </c>
      <c r="P61" s="1" t="s">
        <v>250</v>
      </c>
    </row>
    <row r="62" spans="1:58" x14ac:dyDescent="0.35">
      <c r="M62" s="50" t="s">
        <v>248</v>
      </c>
      <c r="AA62" s="1" t="s">
        <v>251</v>
      </c>
    </row>
    <row r="63" spans="1:58" ht="15" thickBot="1" x14ac:dyDescent="0.4">
      <c r="B63" s="1" t="s">
        <v>52</v>
      </c>
      <c r="G63" s="7" t="s">
        <v>133</v>
      </c>
      <c r="H63" s="7" t="s">
        <v>134</v>
      </c>
      <c r="I63" s="7" t="s">
        <v>135</v>
      </c>
      <c r="J63" s="7" t="s">
        <v>139</v>
      </c>
      <c r="K63" s="6" t="s">
        <v>140</v>
      </c>
      <c r="P63" s="51"/>
      <c r="Q63" s="58"/>
      <c r="AA63" s="1" t="s">
        <v>252</v>
      </c>
    </row>
    <row r="64" spans="1:58" ht="15" customHeight="1" x14ac:dyDescent="0.35">
      <c r="A64" s="163" t="str">
        <f>Data!B3</f>
        <v>Uscite Varie</v>
      </c>
      <c r="B64" s="311" t="str">
        <f>Data!B4</f>
        <v>Fuori Casa</v>
      </c>
      <c r="C64" s="38" t="str">
        <f>Data!B5</f>
        <v>Ristorante</v>
      </c>
      <c r="D64" s="53">
        <f>SUM(SUMIF(Pivot!B:B,C64,Pivot!C:C),SUMIF(Pivot!B:B,C64,Pivot!D:D),SUMIF(Pivot!B:B,C64,Pivot!E:E))</f>
        <v>0</v>
      </c>
      <c r="E64" s="65"/>
      <c r="F64" s="38"/>
      <c r="G64" s="38" t="str">
        <f>D64&amp;"-"&amp;H64</f>
        <v>0-1</v>
      </c>
      <c r="H64" s="39">
        <f>COUNTIF($D$64:D64,D64)</f>
        <v>1</v>
      </c>
      <c r="I64" s="1">
        <v>1</v>
      </c>
      <c r="J64" s="1" t="str">
        <f>INDEX($C$64:$C$143,MATCH(IF(K64=K63,K64&amp;"-"&amp;COUNTIF($K$64:K64,K64),K64&amp;"-1"),$G$64:$G$143,0))</f>
        <v>Food</v>
      </c>
      <c r="K64" s="1">
        <f>LARGE($D$64:$D$143,I64)</f>
        <v>191.50000000000003</v>
      </c>
      <c r="M64" s="8"/>
      <c r="Q64" s="50"/>
    </row>
    <row r="65" spans="2:22" ht="15" customHeight="1" x14ac:dyDescent="0.35">
      <c r="B65" s="312"/>
      <c r="C65" s="1" t="str">
        <f>Data!B6</f>
        <v>Snacks On The Way</v>
      </c>
      <c r="D65" s="52">
        <f>SUM(SUMIF(Pivot!B:B,C65,Pivot!C:C),SUMIF(Pivot!B:B,C65,Pivot!D:D),SUMIF(Pivot!B:B,C65,Pivot!E:E))</f>
        <v>0</v>
      </c>
      <c r="E65" s="9"/>
      <c r="G65" s="1" t="str">
        <f t="shared" ref="G65:G80" si="37">D65&amp;"-"&amp;H65</f>
        <v>0-2</v>
      </c>
      <c r="H65" s="41">
        <f>COUNTIF($D$64:D65,D65)</f>
        <v>2</v>
      </c>
      <c r="I65" s="1">
        <v>2</v>
      </c>
      <c r="J65" s="1" t="str">
        <f>INDEX($C$64:$C$143,MATCH(IF(K65=K64,K65&amp;"-"&amp;COUNTIF($K$64:K65,K65),K65&amp;"-1"),$G$64:$G$143,0))</f>
        <v>Trasporti</v>
      </c>
      <c r="K65" s="1">
        <f t="shared" ref="K65:K128" si="38">LARGE($D$64:$D$143,I65)</f>
        <v>132.4</v>
      </c>
      <c r="M65" s="8"/>
      <c r="Q65" s="50"/>
    </row>
    <row r="66" spans="2:22" ht="15" customHeight="1" x14ac:dyDescent="0.35">
      <c r="B66" s="312"/>
      <c r="C66" s="1" t="str">
        <f>Data!B7</f>
        <v>Alcohol</v>
      </c>
      <c r="D66" s="52">
        <f>SUM(SUMIF(Pivot!B:B,C66,Pivot!C:C),SUMIF(Pivot!B:B,C66,Pivot!D:D),SUMIF(Pivot!B:B,C66,Pivot!E:E))</f>
        <v>0</v>
      </c>
      <c r="E66" s="9"/>
      <c r="G66" s="1" t="str">
        <f t="shared" si="37"/>
        <v>0-3</v>
      </c>
      <c r="H66" s="41">
        <f>COUNTIF($D$64:D66,D66)</f>
        <v>3</v>
      </c>
      <c r="I66" s="1">
        <v>3</v>
      </c>
      <c r="J66" s="1" t="str">
        <f>INDEX($C$64:$C$143,MATCH(IF(K66=K65,K66&amp;"-"&amp;COUNTIF($K$64:K66,K66),K66&amp;"-1"),$G$64:$G$143,0))</f>
        <v>Internet</v>
      </c>
      <c r="K66" s="1">
        <f t="shared" si="38"/>
        <v>15</v>
      </c>
      <c r="M66" s="8"/>
      <c r="Q66" s="50"/>
    </row>
    <row r="67" spans="2:22" ht="15" customHeight="1" x14ac:dyDescent="0.35">
      <c r="B67" s="312"/>
      <c r="C67" s="1" t="str">
        <f>Data!B8</f>
        <v>-</v>
      </c>
      <c r="D67" s="52">
        <f>SUM(SUMIF(Pivot!B:B,C67,Pivot!C:C),SUMIF(Pivot!B:B,C67,Pivot!D:D),SUMIF(Pivot!B:B,C67,Pivot!E:E))</f>
        <v>0</v>
      </c>
      <c r="E67" s="9"/>
      <c r="G67" s="1" t="str">
        <f t="shared" si="37"/>
        <v>0-4</v>
      </c>
      <c r="H67" s="41">
        <f>COUNTIF($D$64:D67,D67)</f>
        <v>4</v>
      </c>
      <c r="I67" s="1">
        <v>4</v>
      </c>
      <c r="J67" s="1" t="str">
        <f>INDEX($C$64:$C$143,MATCH(IF(K67=K66,K67&amp;"-"&amp;COUNTIF($K$64:K67,K67),K67&amp;"-1"),$G$64:$G$143,0))</f>
        <v>Attrezzature Lavoro</v>
      </c>
      <c r="K67" s="1">
        <f t="shared" si="38"/>
        <v>9</v>
      </c>
      <c r="M67" s="8"/>
      <c r="Q67" s="50"/>
    </row>
    <row r="68" spans="2:22" ht="15" customHeight="1" x14ac:dyDescent="0.35">
      <c r="B68" s="312"/>
      <c r="C68" s="1" t="str">
        <f>Data!B9</f>
        <v>-</v>
      </c>
      <c r="D68" s="52">
        <f>SUM(SUMIF(Pivot!B:B,C68,Pivot!C:C),SUMIF(Pivot!B:B,C68,Pivot!D:D),SUMIF(Pivot!B:B,C68,Pivot!E:E))</f>
        <v>0</v>
      </c>
      <c r="E68" s="9"/>
      <c r="G68" s="1" t="str">
        <f t="shared" si="37"/>
        <v>0-5</v>
      </c>
      <c r="H68" s="41">
        <f>COUNTIF($D$64:D68,D68)</f>
        <v>5</v>
      </c>
      <c r="I68" s="1">
        <v>5</v>
      </c>
      <c r="J68" s="1" t="str">
        <f>INDEX($C$64:$C$143,MATCH(IF(K68=K67,K68&amp;"-"&amp;COUNTIF($K$64:K68,K68),K68&amp;"-1"),$G$64:$G$143,0))</f>
        <v>Conto &amp; Carte BNL</v>
      </c>
      <c r="K68" s="1">
        <f t="shared" si="38"/>
        <v>5.73</v>
      </c>
      <c r="M68" s="8"/>
      <c r="Q68" s="50"/>
      <c r="R68"/>
      <c r="S68"/>
      <c r="T68"/>
      <c r="U68"/>
      <c r="V68"/>
    </row>
    <row r="69" spans="2:22" ht="15" customHeight="1" x14ac:dyDescent="0.35">
      <c r="B69" s="312"/>
      <c r="C69" s="1" t="str">
        <f>Data!B10</f>
        <v>-</v>
      </c>
      <c r="D69" s="52">
        <f>SUM(SUMIF(Pivot!B:B,C69,Pivot!C:C),SUMIF(Pivot!B:B,C69,Pivot!D:D),SUMIF(Pivot!B:B,C69,Pivot!E:E))</f>
        <v>0</v>
      </c>
      <c r="E69" s="9"/>
      <c r="G69" s="1" t="str">
        <f t="shared" si="37"/>
        <v>0-6</v>
      </c>
      <c r="H69" s="41">
        <f>COUNTIF($D$64:D69,D69)</f>
        <v>6</v>
      </c>
      <c r="I69" s="1">
        <v>6</v>
      </c>
      <c r="J69" s="1" t="str">
        <f>INDEX($C$64:$C$143,MATCH(IF(K69=K68,K69&amp;"-"&amp;COUNTIF($K$64:K69,K69),K69&amp;"-1"),$G$64:$G$143,0))</f>
        <v>Telefono</v>
      </c>
      <c r="K69" s="1">
        <f t="shared" si="38"/>
        <v>5</v>
      </c>
      <c r="M69" s="8"/>
      <c r="Q69" s="50"/>
      <c r="R69"/>
      <c r="S69"/>
      <c r="T69"/>
      <c r="U69"/>
      <c r="V69"/>
    </row>
    <row r="70" spans="2:22" ht="15" customHeight="1" x14ac:dyDescent="0.35">
      <c r="B70" s="312"/>
      <c r="C70" s="1" t="str">
        <f>Data!B11</f>
        <v>-</v>
      </c>
      <c r="D70" s="52">
        <f>SUM(SUMIF(Pivot!B:B,C70,Pivot!C:C),SUMIF(Pivot!B:B,C70,Pivot!D:D),SUMIF(Pivot!B:B,C70,Pivot!E:E))</f>
        <v>0</v>
      </c>
      <c r="E70" s="9"/>
      <c r="G70" s="1" t="str">
        <f t="shared" si="37"/>
        <v>0-7</v>
      </c>
      <c r="H70" s="41">
        <f>COUNTIF($D$64:D70,D70)</f>
        <v>7</v>
      </c>
      <c r="I70" s="1">
        <v>7</v>
      </c>
      <c r="J70" s="1" t="str">
        <f>INDEX($C$64:$C$143,MATCH(IF(K70=K69,K70&amp;"-"&amp;COUNTIF($K$64:K70,K70),K70&amp;"-1"),$G$64:$G$143,0))</f>
        <v>Ristorante</v>
      </c>
      <c r="K70" s="1">
        <f t="shared" si="38"/>
        <v>0</v>
      </c>
      <c r="M70" s="8"/>
      <c r="Q70" s="50"/>
      <c r="R70"/>
      <c r="S70"/>
      <c r="T70"/>
      <c r="U70"/>
      <c r="V70"/>
    </row>
    <row r="71" spans="2:22" ht="15" customHeight="1" x14ac:dyDescent="0.35">
      <c r="B71" s="312"/>
      <c r="C71" s="1" t="str">
        <f>Data!B12</f>
        <v>-</v>
      </c>
      <c r="D71" s="52">
        <f>SUM(SUMIF(Pivot!B:B,C71,Pivot!C:C),SUMIF(Pivot!B:B,C71,Pivot!D:D),SUMIF(Pivot!B:B,C71,Pivot!E:E))</f>
        <v>0</v>
      </c>
      <c r="E71" s="9"/>
      <c r="G71" s="1" t="str">
        <f t="shared" ref="G71:G73" si="39">D71&amp;"-"&amp;H71</f>
        <v>0-8</v>
      </c>
      <c r="H71" s="41">
        <f>COUNTIF($D$64:D71,D71)</f>
        <v>8</v>
      </c>
      <c r="I71" s="1">
        <v>8</v>
      </c>
      <c r="J71" s="1" t="str">
        <f>INDEX($C$64:$C$143,MATCH(IF(K71=K70,K71&amp;"-"&amp;COUNTIF($K$64:K71,K71),K71&amp;"-1"),$G$64:$G$143,0))</f>
        <v>Snacks On The Way</v>
      </c>
      <c r="K71" s="1">
        <f t="shared" si="38"/>
        <v>0</v>
      </c>
      <c r="M71" s="8"/>
      <c r="Q71" s="50"/>
      <c r="R71"/>
      <c r="S71"/>
      <c r="T71"/>
      <c r="U71"/>
      <c r="V71"/>
    </row>
    <row r="72" spans="2:22" ht="15" customHeight="1" x14ac:dyDescent="0.35">
      <c r="B72" s="312"/>
      <c r="C72" s="1" t="str">
        <f>Data!B13</f>
        <v>-</v>
      </c>
      <c r="D72" s="52">
        <f>SUM(SUMIF(Pivot!B:B,C72,Pivot!C:C),SUMIF(Pivot!B:B,C72,Pivot!D:D),SUMIF(Pivot!B:B,C72,Pivot!E:E))</f>
        <v>0</v>
      </c>
      <c r="E72" s="9"/>
      <c r="G72" s="1" t="str">
        <f t="shared" si="39"/>
        <v>0-9</v>
      </c>
      <c r="H72" s="41">
        <f>COUNTIF($D$64:D72,D72)</f>
        <v>9</v>
      </c>
      <c r="I72" s="1">
        <v>9</v>
      </c>
      <c r="J72" s="1" t="str">
        <f>INDEX($C$64:$C$143,MATCH(IF(K72=K71,K72&amp;"-"&amp;COUNTIF($K$64:K72,K72),K72&amp;"-1"),$G$64:$G$143,0))</f>
        <v>Alcohol</v>
      </c>
      <c r="K72" s="1">
        <f t="shared" si="38"/>
        <v>0</v>
      </c>
      <c r="M72" s="8"/>
      <c r="Q72" s="50"/>
      <c r="R72"/>
      <c r="S72"/>
      <c r="T72"/>
      <c r="U72"/>
      <c r="V72"/>
    </row>
    <row r="73" spans="2:22" ht="15" customHeight="1" thickBot="1" x14ac:dyDescent="0.4">
      <c r="B73" s="313"/>
      <c r="C73" s="1" t="str">
        <f>Data!B14</f>
        <v>.</v>
      </c>
      <c r="D73" s="52">
        <f>SUM(SUMIF(Pivot!B:B,C73,Pivot!C:C),SUMIF(Pivot!B:B,C73,Pivot!D:D),SUMIF(Pivot!B:B,C73,Pivot!E:E))</f>
        <v>0</v>
      </c>
      <c r="E73" s="9"/>
      <c r="G73" s="1" t="str">
        <f t="shared" si="39"/>
        <v>0-10</v>
      </c>
      <c r="H73" s="41">
        <f>COUNTIF($D$64:D73,D73)</f>
        <v>10</v>
      </c>
      <c r="I73" s="1">
        <v>10</v>
      </c>
      <c r="J73" s="1" t="str">
        <f>INDEX($C$64:$C$143,MATCH(IF(K73=K72,K73&amp;"-"&amp;COUNTIF($K$64:K73,K73),K73&amp;"-1"),$G$64:$G$143,0))</f>
        <v>-</v>
      </c>
      <c r="K73" s="1">
        <f t="shared" si="38"/>
        <v>0</v>
      </c>
      <c r="M73" s="8"/>
      <c r="Q73" s="50"/>
      <c r="R73"/>
      <c r="S73"/>
      <c r="T73"/>
      <c r="U73"/>
      <c r="V73"/>
    </row>
    <row r="74" spans="2:22" ht="15" customHeight="1" x14ac:dyDescent="0.35">
      <c r="B74" s="314" t="str">
        <f>Data!C4</f>
        <v>Varie Uscite</v>
      </c>
      <c r="C74" s="38" t="str">
        <f>Data!C5</f>
        <v>Trasporti</v>
      </c>
      <c r="D74" s="53">
        <f>SUM(SUMIF(Pivot!B:B,C74,Pivot!C:C),SUMIF(Pivot!B:B,C74,Pivot!D:D),SUMIF(Pivot!B:B,C74,Pivot!E:E))</f>
        <v>132.4</v>
      </c>
      <c r="E74" s="65"/>
      <c r="F74" s="38"/>
      <c r="G74" s="38" t="str">
        <f t="shared" si="37"/>
        <v>132,4-1</v>
      </c>
      <c r="H74" s="66">
        <f>COUNTIF($D$64:D74,D74)</f>
        <v>1</v>
      </c>
      <c r="I74" s="1">
        <v>11</v>
      </c>
      <c r="J74" s="1" t="str">
        <f>INDEX($C$64:$C$143,MATCH(IF(K74=K73,K74&amp;"-"&amp;COUNTIF($K$64:K74,K74),K74&amp;"-1"),$G$64:$G$143,0))</f>
        <v>-</v>
      </c>
      <c r="K74" s="1">
        <f t="shared" si="38"/>
        <v>0</v>
      </c>
      <c r="M74" s="8"/>
      <c r="Q74" s="50"/>
      <c r="R74"/>
      <c r="S74"/>
      <c r="T74"/>
      <c r="U74"/>
      <c r="V74"/>
    </row>
    <row r="75" spans="2:22" ht="15" customHeight="1" x14ac:dyDescent="0.35">
      <c r="B75" s="315"/>
      <c r="C75" s="1" t="str">
        <f>Data!C6</f>
        <v>Spese Impreviste</v>
      </c>
      <c r="D75" s="52">
        <f>SUM(SUMIF(Pivot!B:B,C75,Pivot!C:C),SUMIF(Pivot!B:B,C75,Pivot!D:D),SUMIF(Pivot!B:B,C75,Pivot!E:E))</f>
        <v>0</v>
      </c>
      <c r="E75" s="9"/>
      <c r="G75" s="1" t="str">
        <f t="shared" si="37"/>
        <v>0-11</v>
      </c>
      <c r="H75" s="67">
        <f>COUNTIF($D$64:D75,D75)</f>
        <v>11</v>
      </c>
      <c r="I75" s="1">
        <v>12</v>
      </c>
      <c r="J75" s="1" t="str">
        <f>INDEX($C$64:$C$143,MATCH(IF(K75=K74,K75&amp;"-"&amp;COUNTIF($K$64:K75,K75),K75&amp;"-1"),$G$64:$G$143,0))</f>
        <v>-</v>
      </c>
      <c r="K75" s="1">
        <f t="shared" si="38"/>
        <v>0</v>
      </c>
      <c r="M75" s="8"/>
      <c r="Q75" s="50"/>
      <c r="R75"/>
      <c r="S75"/>
      <c r="T75"/>
      <c r="U75"/>
      <c r="V75"/>
    </row>
    <row r="76" spans="2:22" ht="15" customHeight="1" x14ac:dyDescent="0.35">
      <c r="B76" s="315"/>
      <c r="C76" s="1" t="str">
        <f>Data!C7</f>
        <v>Varie Casa</v>
      </c>
      <c r="D76" s="52">
        <f>SUM(SUMIF(Pivot!B:B,C76,Pivot!C:C),SUMIF(Pivot!B:B,C76,Pivot!D:D),SUMIF(Pivot!B:B,C76,Pivot!E:E))</f>
        <v>0</v>
      </c>
      <c r="E76" s="9"/>
      <c r="G76" s="1" t="str">
        <f t="shared" si="37"/>
        <v>0-12</v>
      </c>
      <c r="H76" s="67">
        <f>COUNTIF($D$64:D76,D76)</f>
        <v>12</v>
      </c>
      <c r="I76" s="1">
        <v>13</v>
      </c>
      <c r="J76" s="1" t="str">
        <f>INDEX($C$64:$C$143,MATCH(IF(K76=K75,K76&amp;"-"&amp;COUNTIF($K$64:K76,K76),K76&amp;"-1"),$G$64:$G$143,0))</f>
        <v>-</v>
      </c>
      <c r="K76" s="1">
        <f t="shared" si="38"/>
        <v>0</v>
      </c>
      <c r="M76" s="8"/>
      <c r="Q76" s="50"/>
      <c r="R76"/>
      <c r="S76"/>
      <c r="T76"/>
      <c r="U76"/>
      <c r="V76"/>
    </row>
    <row r="77" spans="2:22" ht="15" customHeight="1" x14ac:dyDescent="0.35">
      <c r="B77" s="315"/>
      <c r="C77" s="1" t="str">
        <f>Data!C8</f>
        <v>Varie</v>
      </c>
      <c r="D77" s="52">
        <f>SUM(SUMIF(Pivot!B:B,C77,Pivot!C:C),SUMIF(Pivot!B:B,C77,Pivot!D:D),SUMIF(Pivot!B:B,C77,Pivot!E:E))</f>
        <v>0</v>
      </c>
      <c r="E77" s="9"/>
      <c r="G77" s="1" t="str">
        <f t="shared" si="37"/>
        <v>0-13</v>
      </c>
      <c r="H77" s="67">
        <f>COUNTIF($D$64:D77,D77)</f>
        <v>13</v>
      </c>
      <c r="I77" s="1">
        <v>14</v>
      </c>
      <c r="J77" s="1" t="str">
        <f>INDEX($C$64:$C$143,MATCH(IF(K77=K76,K77&amp;"-"&amp;COUNTIF($K$64:K77,K77),K77&amp;"-1"),$G$64:$G$143,0))</f>
        <v>-</v>
      </c>
      <c r="K77" s="1">
        <f t="shared" si="38"/>
        <v>0</v>
      </c>
      <c r="M77" s="8"/>
      <c r="Q77" s="50"/>
      <c r="R77"/>
      <c r="S77"/>
      <c r="T77"/>
      <c r="U77"/>
      <c r="V77"/>
    </row>
    <row r="78" spans="2:22" ht="15" customHeight="1" x14ac:dyDescent="0.35">
      <c r="B78" s="315"/>
      <c r="C78" s="1" t="str">
        <f>Data!C9</f>
        <v>Regali</v>
      </c>
      <c r="D78" s="52">
        <f>SUM(SUMIF(Pivot!B:B,C78,Pivot!C:C),SUMIF(Pivot!B:B,C78,Pivot!D:D),SUMIF(Pivot!B:B,C78,Pivot!E:E))</f>
        <v>0</v>
      </c>
      <c r="G78" s="1" t="str">
        <f t="shared" si="37"/>
        <v>0-14</v>
      </c>
      <c r="H78" s="67">
        <f>COUNTIF($D$64:D78,D78)</f>
        <v>14</v>
      </c>
      <c r="I78" s="1">
        <v>15</v>
      </c>
      <c r="J78" s="1" t="str">
        <f>INDEX($C$64:$C$143,MATCH(IF(K78=K77,K78&amp;"-"&amp;COUNTIF($K$64:K78,K78),K78&amp;"-1"),$G$64:$G$143,0))</f>
        <v>-</v>
      </c>
      <c r="K78" s="1">
        <f t="shared" si="38"/>
        <v>0</v>
      </c>
      <c r="M78" s="8"/>
      <c r="Q78" s="50"/>
      <c r="R78"/>
      <c r="S78"/>
      <c r="T78"/>
      <c r="U78"/>
      <c r="V78"/>
    </row>
    <row r="79" spans="2:22" ht="15" customHeight="1" x14ac:dyDescent="0.35">
      <c r="B79" s="315"/>
      <c r="C79" s="1" t="str">
        <f>Data!C10</f>
        <v>-</v>
      </c>
      <c r="D79" s="52">
        <f>SUM(SUMIF(Pivot!B:B,C79,Pivot!C:C),SUMIF(Pivot!B:B,C79,Pivot!D:D),SUMIF(Pivot!B:B,C79,Pivot!E:E))</f>
        <v>0</v>
      </c>
      <c r="G79" s="1" t="str">
        <f t="shared" si="37"/>
        <v>0-15</v>
      </c>
      <c r="H79" s="67">
        <f>COUNTIF($D$64:D79,D79)</f>
        <v>15</v>
      </c>
      <c r="I79" s="1">
        <v>16</v>
      </c>
      <c r="J79" s="1" t="str">
        <f>INDEX($C$64:$C$143,MATCH(IF(K79=K78,K79&amp;"-"&amp;COUNTIF($K$64:K79,K79),K79&amp;"-1"),$G$64:$G$143,0))</f>
        <v>.</v>
      </c>
      <c r="K79" s="1">
        <f t="shared" si="38"/>
        <v>0</v>
      </c>
      <c r="Q79" s="50"/>
      <c r="R79"/>
      <c r="S79"/>
      <c r="T79"/>
      <c r="U79"/>
      <c r="V79"/>
    </row>
    <row r="80" spans="2:22" ht="15" customHeight="1" x14ac:dyDescent="0.35">
      <c r="B80" s="315"/>
      <c r="C80" s="1" t="str">
        <f>Data!C11</f>
        <v>-</v>
      </c>
      <c r="D80" s="52">
        <f>SUM(SUMIF(Pivot!B:B,C80,Pivot!C:C),SUMIF(Pivot!B:B,C80,Pivot!D:D),SUMIF(Pivot!B:B,C80,Pivot!E:E))</f>
        <v>0</v>
      </c>
      <c r="G80" s="1" t="str">
        <f t="shared" si="37"/>
        <v>0-16</v>
      </c>
      <c r="H80" s="67">
        <f>COUNTIF($D$64:D80,D80)</f>
        <v>16</v>
      </c>
      <c r="I80" s="1">
        <v>17</v>
      </c>
      <c r="J80" s="1" t="str">
        <f>INDEX($C$64:$C$143,MATCH(IF(K80=K79,K80&amp;"-"&amp;COUNTIF($K$64:K80,K80),K80&amp;"-1"),$G$64:$G$143,0))</f>
        <v>Spese Impreviste</v>
      </c>
      <c r="K80" s="1">
        <f t="shared" si="38"/>
        <v>0</v>
      </c>
      <c r="Q80" s="50"/>
      <c r="R80"/>
      <c r="S80"/>
      <c r="T80"/>
      <c r="U80"/>
      <c r="V80"/>
    </row>
    <row r="81" spans="2:22" ht="15" customHeight="1" x14ac:dyDescent="0.35">
      <c r="B81" s="315"/>
      <c r="C81" s="1" t="str">
        <f>Data!C12</f>
        <v>-</v>
      </c>
      <c r="D81" s="52">
        <f>SUM(SUMIF(Pivot!B:B,C81,Pivot!C:C),SUMIF(Pivot!B:B,C81,Pivot!D:D),SUMIF(Pivot!B:B,C81,Pivot!E:E))</f>
        <v>0</v>
      </c>
      <c r="G81" s="1" t="str">
        <f t="shared" ref="G81:G83" si="40">D81&amp;"-"&amp;H81</f>
        <v>0-17</v>
      </c>
      <c r="H81" s="67">
        <f>COUNTIF($D$64:D81,D81)</f>
        <v>17</v>
      </c>
      <c r="I81" s="1">
        <v>18</v>
      </c>
      <c r="J81" s="1" t="str">
        <f>INDEX($C$64:$C$143,MATCH(IF(K81=K80,K81&amp;"-"&amp;COUNTIF($K$64:K81,K81),K81&amp;"-1"),$G$64:$G$143,0))</f>
        <v>Varie Casa</v>
      </c>
      <c r="K81" s="1">
        <f t="shared" si="38"/>
        <v>0</v>
      </c>
      <c r="M81" s="173"/>
      <c r="Q81" s="50"/>
      <c r="R81"/>
      <c r="S81"/>
      <c r="T81"/>
      <c r="U81"/>
      <c r="V81"/>
    </row>
    <row r="82" spans="2:22" ht="15" customHeight="1" x14ac:dyDescent="0.35">
      <c r="B82" s="315"/>
      <c r="C82" s="1" t="str">
        <f>Data!C13</f>
        <v>-</v>
      </c>
      <c r="D82" s="52">
        <f>SUM(SUMIF(Pivot!B:B,C82,Pivot!C:C),SUMIF(Pivot!B:B,C82,Pivot!D:D),SUMIF(Pivot!B:B,C82,Pivot!E:E))</f>
        <v>0</v>
      </c>
      <c r="G82" s="1" t="str">
        <f t="shared" si="40"/>
        <v>0-18</v>
      </c>
      <c r="H82" s="67">
        <f>COUNTIF($D$64:D82,D82)</f>
        <v>18</v>
      </c>
      <c r="I82" s="1">
        <v>19</v>
      </c>
      <c r="J82" s="1" t="str">
        <f>INDEX($C$64:$C$143,MATCH(IF(K82=K81,K82&amp;"-"&amp;COUNTIF($K$64:K82,K82),K82&amp;"-1"),$G$64:$G$143,0))</f>
        <v>Varie</v>
      </c>
      <c r="K82" s="1">
        <f t="shared" si="38"/>
        <v>0</v>
      </c>
      <c r="M82" s="173"/>
      <c r="Q82" s="50"/>
      <c r="R82"/>
      <c r="S82"/>
      <c r="T82"/>
      <c r="U82"/>
      <c r="V82"/>
    </row>
    <row r="83" spans="2:22" ht="15" customHeight="1" thickBot="1" x14ac:dyDescent="0.4">
      <c r="B83" s="316"/>
      <c r="C83" s="1" t="str">
        <f>Data!C14</f>
        <v>-</v>
      </c>
      <c r="D83" s="52">
        <f>SUM(SUMIF(Pivot!B:B,C83,Pivot!C:C),SUMIF(Pivot!B:B,C83,Pivot!D:D),SUMIF(Pivot!B:B,C83,Pivot!E:E))</f>
        <v>0</v>
      </c>
      <c r="G83" s="1" t="str">
        <f t="shared" si="40"/>
        <v>0-19</v>
      </c>
      <c r="H83" s="67">
        <f>COUNTIF($D$64:D83,D83)</f>
        <v>19</v>
      </c>
      <c r="I83" s="1">
        <v>20</v>
      </c>
      <c r="J83" s="1" t="str">
        <f>INDEX($C$64:$C$143,MATCH(IF(K83=K82,K83&amp;"-"&amp;COUNTIF($K$64:K83,K83),K83&amp;"-1"),$G$64:$G$143,0))</f>
        <v>Regali</v>
      </c>
      <c r="K83" s="1">
        <f t="shared" si="38"/>
        <v>0</v>
      </c>
      <c r="M83" s="173"/>
      <c r="Q83" s="50"/>
      <c r="R83"/>
      <c r="S83"/>
      <c r="T83"/>
      <c r="U83"/>
      <c r="V83"/>
    </row>
    <row r="84" spans="2:22" ht="15" customHeight="1" x14ac:dyDescent="0.35">
      <c r="B84" s="317" t="str">
        <f>Data!D4</f>
        <v>Personali</v>
      </c>
      <c r="C84" s="179" t="str">
        <f>Data!D5</f>
        <v>Abbigliamento</v>
      </c>
      <c r="D84" s="180">
        <f>SUM(SUMIF(Pivot!B:B,C84,Pivot!C:C),SUMIF(Pivot!B:B,C84,Pivot!D:D),SUMIF(Pivot!B:B,C84,Pivot!E:E))</f>
        <v>0</v>
      </c>
      <c r="E84" s="179"/>
      <c r="F84" s="179"/>
      <c r="G84" s="179" t="str">
        <f t="shared" ref="G84:G103" si="41">D84&amp;"-"&amp;H84</f>
        <v>0-20</v>
      </c>
      <c r="H84" s="181">
        <f>COUNTIF($D$64:D84,D84)</f>
        <v>20</v>
      </c>
      <c r="I84" s="1">
        <v>21</v>
      </c>
      <c r="J84" s="1" t="str">
        <f>INDEX($C$64:$C$143,MATCH(IF(K84=K83,K84&amp;"-"&amp;COUNTIF($K$64:K84,K84),K84&amp;"-1"),$G$64:$G$143,0))</f>
        <v>-</v>
      </c>
      <c r="K84" s="1">
        <f t="shared" si="38"/>
        <v>0</v>
      </c>
      <c r="Q84" s="50"/>
      <c r="R84"/>
      <c r="S84"/>
      <c r="T84"/>
      <c r="U84"/>
      <c r="V84"/>
    </row>
    <row r="85" spans="2:22" ht="15" customHeight="1" x14ac:dyDescent="0.35">
      <c r="B85" s="318"/>
      <c r="C85" s="1" t="str">
        <f>Data!D6</f>
        <v>Medications</v>
      </c>
      <c r="D85" s="52">
        <f>SUM(SUMIF(Pivot!B:B,C85,Pivot!C:C),SUMIF(Pivot!B:B,C85,Pivot!D:D),SUMIF(Pivot!B:B,C85,Pivot!E:E))</f>
        <v>0</v>
      </c>
      <c r="G85" s="1" t="str">
        <f t="shared" si="41"/>
        <v>0-21</v>
      </c>
      <c r="H85" s="182">
        <f>COUNTIF($D$64:D85,D85)</f>
        <v>21</v>
      </c>
      <c r="I85" s="1">
        <v>22</v>
      </c>
      <c r="J85" s="1" t="str">
        <f>INDEX($C$64:$C$143,MATCH(IF(K85=K84,K85&amp;"-"&amp;COUNTIF($K$64:K85,K85),K85&amp;"-1"),$G$64:$G$143,0))</f>
        <v>-</v>
      </c>
      <c r="K85" s="1">
        <f t="shared" si="38"/>
        <v>0</v>
      </c>
      <c r="Q85" s="50"/>
      <c r="R85"/>
      <c r="S85"/>
      <c r="T85"/>
      <c r="U85"/>
      <c r="V85"/>
    </row>
    <row r="86" spans="2:22" ht="15" customHeight="1" x14ac:dyDescent="0.35">
      <c r="B86" s="318"/>
      <c r="C86" s="1" t="str">
        <f>Data!D7</f>
        <v>Barba &amp; Capelli</v>
      </c>
      <c r="D86" s="52">
        <f>SUM(SUMIF(Pivot!B:B,C86,Pivot!C:C),SUMIF(Pivot!B:B,C86,Pivot!D:D),SUMIF(Pivot!B:B,C86,Pivot!E:E))</f>
        <v>0</v>
      </c>
      <c r="G86" s="1" t="str">
        <f t="shared" si="41"/>
        <v>0-22</v>
      </c>
      <c r="H86" s="182">
        <f>COUNTIF($D$64:D86,D86)</f>
        <v>22</v>
      </c>
      <c r="I86" s="1">
        <v>23</v>
      </c>
      <c r="J86" s="1" t="str">
        <f>INDEX($C$64:$C$143,MATCH(IF(K86=K85,K86&amp;"-"&amp;COUNTIF($K$64:K86,K86),K86&amp;"-1"),$G$64:$G$143,0))</f>
        <v>-</v>
      </c>
      <c r="K86" s="1">
        <f t="shared" si="38"/>
        <v>0</v>
      </c>
      <c r="Q86" s="50"/>
      <c r="R86"/>
      <c r="S86"/>
      <c r="T86"/>
      <c r="U86"/>
      <c r="V86"/>
    </row>
    <row r="87" spans="2:22" ht="15" customHeight="1" x14ac:dyDescent="0.35">
      <c r="B87" s="318"/>
      <c r="C87" s="1" t="str">
        <f>Data!D8</f>
        <v>Cosmetici</v>
      </c>
      <c r="D87" s="52">
        <f>SUM(SUMIF(Pivot!B:B,C87,Pivot!C:C),SUMIF(Pivot!B:B,C87,Pivot!D:D),SUMIF(Pivot!B:B,C87,Pivot!E:E))</f>
        <v>0</v>
      </c>
      <c r="G87" s="1" t="str">
        <f t="shared" si="41"/>
        <v>0-23</v>
      </c>
      <c r="H87" s="182">
        <f>COUNTIF($D$64:D87,D87)</f>
        <v>23</v>
      </c>
      <c r="I87" s="1">
        <v>24</v>
      </c>
      <c r="J87" s="1" t="str">
        <f>INDEX($C$64:$C$143,MATCH(IF(K87=K86,K87&amp;"-"&amp;COUNTIF($K$64:K87,K87),K87&amp;"-1"),$G$64:$G$143,0))</f>
        <v>-</v>
      </c>
      <c r="K87" s="1">
        <f t="shared" si="38"/>
        <v>0</v>
      </c>
      <c r="Q87" s="50"/>
      <c r="R87"/>
      <c r="S87"/>
      <c r="T87"/>
      <c r="U87"/>
      <c r="V87"/>
    </row>
    <row r="88" spans="2:22" ht="15" customHeight="1" x14ac:dyDescent="0.35">
      <c r="B88" s="318"/>
      <c r="C88" s="1" t="str">
        <f>Data!D9</f>
        <v>Healt</v>
      </c>
      <c r="D88" s="52">
        <f>SUM(SUMIF(Pivot!B:B,C88,Pivot!C:C),SUMIF(Pivot!B:B,C88,Pivot!D:D),SUMIF(Pivot!B:B,C88,Pivot!E:E))</f>
        <v>0</v>
      </c>
      <c r="G88" s="1" t="str">
        <f t="shared" si="41"/>
        <v>0-24</v>
      </c>
      <c r="H88" s="182">
        <f>COUNTIF($D$64:D88,D88)</f>
        <v>24</v>
      </c>
      <c r="I88" s="1">
        <v>25</v>
      </c>
      <c r="J88" s="1" t="str">
        <f>INDEX($C$64:$C$143,MATCH(IF(K88=K87,K88&amp;"-"&amp;COUNTIF($K$64:K88,K88),K88&amp;"-1"),$G$64:$G$143,0))</f>
        <v>-</v>
      </c>
      <c r="K88" s="1">
        <f t="shared" si="38"/>
        <v>0</v>
      </c>
      <c r="Q88" s="50"/>
      <c r="R88"/>
      <c r="S88"/>
      <c r="T88"/>
      <c r="U88"/>
      <c r="V88"/>
    </row>
    <row r="89" spans="2:22" ht="15" customHeight="1" x14ac:dyDescent="0.35">
      <c r="B89" s="318"/>
      <c r="C89" s="1" t="str">
        <f>Data!D10</f>
        <v>-</v>
      </c>
      <c r="D89" s="52">
        <f>SUM(SUMIF(Pivot!B:B,C89,Pivot!C:C),SUMIF(Pivot!B:B,C89,Pivot!D:D),SUMIF(Pivot!B:B,C89,Pivot!E:E))</f>
        <v>0</v>
      </c>
      <c r="G89" s="1" t="str">
        <f t="shared" si="41"/>
        <v>0-25</v>
      </c>
      <c r="H89" s="182">
        <f>COUNTIF($D$64:D89,D89)</f>
        <v>25</v>
      </c>
      <c r="I89" s="1">
        <v>26</v>
      </c>
      <c r="J89" s="1" t="str">
        <f>INDEX($C$64:$C$143,MATCH(IF(K89=K88,K89&amp;"-"&amp;COUNTIF($K$64:K89,K89),K89&amp;"-1"),$G$64:$G$143,0))</f>
        <v>Abbigliamento</v>
      </c>
      <c r="K89" s="1">
        <f t="shared" si="38"/>
        <v>0</v>
      </c>
      <c r="Q89" s="50"/>
      <c r="R89"/>
      <c r="S89"/>
      <c r="T89"/>
      <c r="U89"/>
      <c r="V89"/>
    </row>
    <row r="90" spans="2:22" ht="15" customHeight="1" x14ac:dyDescent="0.35">
      <c r="B90" s="318"/>
      <c r="C90" s="1" t="str">
        <f>Data!D11</f>
        <v>-</v>
      </c>
      <c r="D90" s="52">
        <f>SUM(SUMIF(Pivot!B:B,C90,Pivot!C:C),SUMIF(Pivot!B:B,C90,Pivot!D:D),SUMIF(Pivot!B:B,C90,Pivot!E:E))</f>
        <v>0</v>
      </c>
      <c r="G90" s="1" t="str">
        <f t="shared" si="41"/>
        <v>0-26</v>
      </c>
      <c r="H90" s="182">
        <f>COUNTIF($D$64:D90,D90)</f>
        <v>26</v>
      </c>
      <c r="I90" s="1">
        <v>27</v>
      </c>
      <c r="J90" s="1" t="str">
        <f>INDEX($C$64:$C$143,MATCH(IF(K90=K89,K90&amp;"-"&amp;COUNTIF($K$64:K90,K90),K90&amp;"-1"),$G$64:$G$143,0))</f>
        <v>Medications</v>
      </c>
      <c r="K90" s="1">
        <f t="shared" si="38"/>
        <v>0</v>
      </c>
      <c r="Q90" s="50"/>
      <c r="R90"/>
      <c r="S90"/>
      <c r="T90"/>
      <c r="U90"/>
      <c r="V90"/>
    </row>
    <row r="91" spans="2:22" ht="15" customHeight="1" x14ac:dyDescent="0.35">
      <c r="B91" s="318"/>
      <c r="C91" s="1" t="str">
        <f>Data!D12</f>
        <v>-</v>
      </c>
      <c r="D91" s="52">
        <f>SUM(SUMIF(Pivot!B:B,C91,Pivot!C:C),SUMIF(Pivot!B:B,C91,Pivot!D:D),SUMIF(Pivot!B:B,C91,Pivot!E:E))</f>
        <v>0</v>
      </c>
      <c r="G91" s="1" t="str">
        <f t="shared" si="41"/>
        <v>0-27</v>
      </c>
      <c r="H91" s="182">
        <f>COUNTIF($D$64:D91,D91)</f>
        <v>27</v>
      </c>
      <c r="I91" s="1">
        <v>28</v>
      </c>
      <c r="J91" s="1" t="str">
        <f>INDEX($C$64:$C$143,MATCH(IF(K91=K90,K91&amp;"-"&amp;COUNTIF($K$64:K91,K91),K91&amp;"-1"),$G$64:$G$143,0))</f>
        <v>Barba &amp; Capelli</v>
      </c>
      <c r="K91" s="1">
        <f t="shared" si="38"/>
        <v>0</v>
      </c>
      <c r="Q91" s="50"/>
      <c r="R91"/>
      <c r="S91"/>
      <c r="T91"/>
      <c r="U91"/>
      <c r="V91"/>
    </row>
    <row r="92" spans="2:22" ht="15" customHeight="1" x14ac:dyDescent="0.35">
      <c r="B92" s="318"/>
      <c r="C92" s="1" t="str">
        <f>Data!D13</f>
        <v>-</v>
      </c>
      <c r="D92" s="52">
        <f>SUM(SUMIF(Pivot!B:B,C92,Pivot!C:C),SUMIF(Pivot!B:B,C92,Pivot!D:D),SUMIF(Pivot!B:B,C92,Pivot!E:E))</f>
        <v>0</v>
      </c>
      <c r="G92" s="1" t="str">
        <f t="shared" si="41"/>
        <v>0-28</v>
      </c>
      <c r="H92" s="182">
        <f>COUNTIF($D$64:D92,D92)</f>
        <v>28</v>
      </c>
      <c r="I92" s="1">
        <v>29</v>
      </c>
      <c r="J92" s="1" t="str">
        <f>INDEX($C$64:$C$143,MATCH(IF(K92=K91,K92&amp;"-"&amp;COUNTIF($K$64:K92,K92),K92&amp;"-1"),$G$64:$G$143,0))</f>
        <v>Cosmetici</v>
      </c>
      <c r="K92" s="1">
        <f t="shared" si="38"/>
        <v>0</v>
      </c>
      <c r="Q92" s="50"/>
      <c r="R92"/>
      <c r="S92"/>
      <c r="T92"/>
      <c r="U92"/>
      <c r="V92"/>
    </row>
    <row r="93" spans="2:22" ht="15" customHeight="1" thickBot="1" x14ac:dyDescent="0.4">
      <c r="B93" s="319"/>
      <c r="C93" s="1" t="str">
        <f>Data!D14</f>
        <v>-</v>
      </c>
      <c r="D93" s="52">
        <f>SUM(SUMIF(Pivot!B:B,C93,Pivot!C:C),SUMIF(Pivot!B:B,C93,Pivot!D:D),SUMIF(Pivot!B:B,C93,Pivot!E:E))</f>
        <v>0</v>
      </c>
      <c r="G93" s="1" t="str">
        <f t="shared" si="41"/>
        <v>0-29</v>
      </c>
      <c r="H93" s="182">
        <f>COUNTIF($D$64:D93,D93)</f>
        <v>29</v>
      </c>
      <c r="I93" s="1">
        <v>30</v>
      </c>
      <c r="J93" s="1" t="str">
        <f>INDEX($C$64:$C$143,MATCH(IF(K93=K92,K93&amp;"-"&amp;COUNTIF($K$64:K93,K93),K93&amp;"-1"),$G$64:$G$143,0))</f>
        <v>Healt</v>
      </c>
      <c r="K93" s="1">
        <f t="shared" si="38"/>
        <v>0</v>
      </c>
      <c r="Q93" s="50"/>
      <c r="R93"/>
      <c r="S93"/>
      <c r="T93"/>
      <c r="U93"/>
      <c r="V93"/>
    </row>
    <row r="94" spans="2:22" ht="15" customHeight="1" x14ac:dyDescent="0.35">
      <c r="B94" s="320" t="str">
        <f>Data!E4</f>
        <v>Lavoro</v>
      </c>
      <c r="C94" s="183" t="str">
        <f>Data!E5</f>
        <v>Attrezzature Lavoro</v>
      </c>
      <c r="D94" s="184">
        <f>SUM(SUMIF(Pivot!B:B,C94,Pivot!C:C),SUMIF(Pivot!B:B,C94,Pivot!D:D),SUMIF(Pivot!B:B,C94,Pivot!E:E))</f>
        <v>9</v>
      </c>
      <c r="E94" s="183"/>
      <c r="F94" s="183"/>
      <c r="G94" s="183" t="str">
        <f t="shared" si="41"/>
        <v>9-1</v>
      </c>
      <c r="H94" s="185">
        <f>COUNTIF($D$64:D94,D94)</f>
        <v>1</v>
      </c>
      <c r="I94" s="1">
        <v>31</v>
      </c>
      <c r="J94" s="1" t="str">
        <f>INDEX($C$64:$C$143,MATCH(IF(K94=K93,K94&amp;"-"&amp;COUNTIF($K$64:K94,K94),K94&amp;"-1"),$G$64:$G$143,0))</f>
        <v>-</v>
      </c>
      <c r="K94" s="1">
        <f t="shared" si="38"/>
        <v>0</v>
      </c>
      <c r="Q94" s="50"/>
      <c r="R94"/>
      <c r="S94"/>
      <c r="T94"/>
      <c r="U94"/>
      <c r="V94"/>
    </row>
    <row r="95" spans="2:22" ht="15" customHeight="1" x14ac:dyDescent="0.35">
      <c r="B95" s="321"/>
      <c r="C95" s="1" t="str">
        <f>Data!E6</f>
        <v>-</v>
      </c>
      <c r="D95" s="52">
        <f>SUM(SUMIF(Pivot!B:B,C95,Pivot!C:C),SUMIF(Pivot!B:B,C95,Pivot!D:D),SUMIF(Pivot!B:B,C95,Pivot!E:E))</f>
        <v>0</v>
      </c>
      <c r="G95" s="1" t="str">
        <f t="shared" si="41"/>
        <v>0-30</v>
      </c>
      <c r="H95" s="186">
        <f>COUNTIF($D$64:D95,D95)</f>
        <v>30</v>
      </c>
      <c r="I95" s="1">
        <v>32</v>
      </c>
      <c r="J95" s="1" t="str">
        <f>INDEX($C$64:$C$143,MATCH(IF(K95=K94,K95&amp;"-"&amp;COUNTIF($K$64:K95,K95),K95&amp;"-1"),$G$64:$G$143,0))</f>
        <v>-</v>
      </c>
      <c r="K95" s="1">
        <f t="shared" si="38"/>
        <v>0</v>
      </c>
      <c r="Q95" s="50"/>
      <c r="R95"/>
      <c r="S95"/>
      <c r="T95"/>
      <c r="U95"/>
      <c r="V95"/>
    </row>
    <row r="96" spans="2:22" ht="15" customHeight="1" x14ac:dyDescent="0.35">
      <c r="B96" s="321"/>
      <c r="C96" s="1" t="str">
        <f>Data!E7</f>
        <v>-</v>
      </c>
      <c r="D96" s="52">
        <f>SUM(SUMIF(Pivot!B:B,C96,Pivot!C:C),SUMIF(Pivot!B:B,C96,Pivot!D:D),SUMIF(Pivot!B:B,C96,Pivot!E:E))</f>
        <v>0</v>
      </c>
      <c r="G96" s="1" t="str">
        <f t="shared" si="41"/>
        <v>0-31</v>
      </c>
      <c r="H96" s="186">
        <f>COUNTIF($D$64:D96,D96)</f>
        <v>31</v>
      </c>
      <c r="I96" s="1">
        <v>33</v>
      </c>
      <c r="J96" s="1" t="str">
        <f>INDEX($C$64:$C$143,MATCH(IF(K96=K95,K96&amp;"-"&amp;COUNTIF($K$64:K96,K96),K96&amp;"-1"),$G$64:$G$143,0))</f>
        <v>-</v>
      </c>
      <c r="K96" s="1">
        <f t="shared" si="38"/>
        <v>0</v>
      </c>
      <c r="Q96" s="50"/>
      <c r="R96"/>
      <c r="S96"/>
      <c r="T96"/>
      <c r="U96"/>
      <c r="V96"/>
    </row>
    <row r="97" spans="1:22" ht="15" customHeight="1" x14ac:dyDescent="0.35">
      <c r="B97" s="321"/>
      <c r="C97" s="1" t="str">
        <f>Data!E8</f>
        <v>-</v>
      </c>
      <c r="D97" s="52">
        <f>SUM(SUMIF(Pivot!B:B,C97,Pivot!C:C),SUMIF(Pivot!B:B,C97,Pivot!D:D),SUMIF(Pivot!B:B,C97,Pivot!E:E))</f>
        <v>0</v>
      </c>
      <c r="G97" s="1" t="str">
        <f t="shared" si="41"/>
        <v>0-32</v>
      </c>
      <c r="H97" s="186">
        <f>COUNTIF($D$64:D97,D97)</f>
        <v>32</v>
      </c>
      <c r="I97" s="1">
        <v>34</v>
      </c>
      <c r="J97" s="1" t="str">
        <f>INDEX($C$64:$C$143,MATCH(IF(K97=K96,K97&amp;"-"&amp;COUNTIF($K$64:K97,K97),K97&amp;"-1"),$G$64:$G$143,0))</f>
        <v>-</v>
      </c>
      <c r="K97" s="1">
        <f t="shared" si="38"/>
        <v>0</v>
      </c>
      <c r="Q97" s="50"/>
      <c r="R97"/>
      <c r="S97"/>
      <c r="T97"/>
      <c r="U97"/>
      <c r="V97"/>
    </row>
    <row r="98" spans="1:22" ht="15" customHeight="1" x14ac:dyDescent="0.35">
      <c r="B98" s="321"/>
      <c r="C98" s="1" t="str">
        <f>Data!E9</f>
        <v>-</v>
      </c>
      <c r="D98" s="52">
        <f>SUM(SUMIF(Pivot!B:B,C98,Pivot!C:C),SUMIF(Pivot!B:B,C98,Pivot!D:D),SUMIF(Pivot!B:B,C98,Pivot!E:E))</f>
        <v>0</v>
      </c>
      <c r="G98" s="1" t="str">
        <f t="shared" si="41"/>
        <v>0-33</v>
      </c>
      <c r="H98" s="186">
        <f>COUNTIF($D$64:D98,D98)</f>
        <v>33</v>
      </c>
      <c r="I98" s="1">
        <v>35</v>
      </c>
      <c r="J98" s="1" t="str">
        <f>INDEX($C$64:$C$143,MATCH(IF(K98=K97,K98&amp;"-"&amp;COUNTIF($K$64:K98,K98),K98&amp;"-1"),$G$64:$G$143,0))</f>
        <v>-</v>
      </c>
      <c r="K98" s="1">
        <f t="shared" si="38"/>
        <v>0</v>
      </c>
      <c r="Q98" s="50"/>
      <c r="R98"/>
      <c r="S98"/>
      <c r="T98"/>
      <c r="U98"/>
      <c r="V98"/>
    </row>
    <row r="99" spans="1:22" ht="15" customHeight="1" x14ac:dyDescent="0.35">
      <c r="B99" s="321"/>
      <c r="C99" s="1" t="str">
        <f>Data!E10</f>
        <v>-</v>
      </c>
      <c r="D99" s="52">
        <f>SUM(SUMIF(Pivot!B:B,C99,Pivot!C:C),SUMIF(Pivot!B:B,C99,Pivot!D:D),SUMIF(Pivot!B:B,C99,Pivot!E:E))</f>
        <v>0</v>
      </c>
      <c r="G99" s="1" t="str">
        <f t="shared" si="41"/>
        <v>0-34</v>
      </c>
      <c r="H99" s="186">
        <f>COUNTIF($D$64:D99,D99)</f>
        <v>34</v>
      </c>
      <c r="I99" s="1">
        <v>36</v>
      </c>
      <c r="J99" s="1" t="str">
        <f>INDEX($C$64:$C$143,MATCH(IF(K99=K98,K99&amp;"-"&amp;COUNTIF($K$64:K99,K99),K99&amp;"-1"),$G$64:$G$143,0))</f>
        <v>-</v>
      </c>
      <c r="K99" s="1">
        <f t="shared" si="38"/>
        <v>0</v>
      </c>
      <c r="Q99" s="50"/>
      <c r="R99"/>
      <c r="S99"/>
      <c r="T99"/>
      <c r="U99"/>
      <c r="V99"/>
    </row>
    <row r="100" spans="1:22" ht="15" customHeight="1" x14ac:dyDescent="0.35">
      <c r="B100" s="321"/>
      <c r="C100" s="1" t="str">
        <f>Data!E11</f>
        <v>-</v>
      </c>
      <c r="D100" s="52">
        <f>SUM(SUMIF(Pivot!B:B,C100,Pivot!C:C),SUMIF(Pivot!B:B,C100,Pivot!D:D),SUMIF(Pivot!B:B,C100,Pivot!E:E))</f>
        <v>0</v>
      </c>
      <c r="G100" s="1" t="str">
        <f t="shared" si="41"/>
        <v>0-35</v>
      </c>
      <c r="H100" s="186">
        <f>COUNTIF($D$64:D100,D100)</f>
        <v>35</v>
      </c>
      <c r="I100" s="1">
        <v>37</v>
      </c>
      <c r="J100" s="1" t="str">
        <f>INDEX($C$64:$C$143,MATCH(IF(K100=K99,K100&amp;"-"&amp;COUNTIF($K$64:K100,K100),K100&amp;"-1"),$G$64:$G$143,0))</f>
        <v>-</v>
      </c>
      <c r="K100" s="1">
        <f t="shared" si="38"/>
        <v>0</v>
      </c>
      <c r="Q100" s="50"/>
      <c r="R100"/>
      <c r="S100"/>
      <c r="T100"/>
      <c r="U100"/>
      <c r="V100"/>
    </row>
    <row r="101" spans="1:22" ht="15" customHeight="1" x14ac:dyDescent="0.35">
      <c r="B101" s="321"/>
      <c r="C101" s="1" t="str">
        <f>Data!E12</f>
        <v>-</v>
      </c>
      <c r="D101" s="52">
        <f>SUM(SUMIF(Pivot!B:B,C101,Pivot!C:C),SUMIF(Pivot!B:B,C101,Pivot!D:D),SUMIF(Pivot!B:B,C101,Pivot!E:E))</f>
        <v>0</v>
      </c>
      <c r="G101" s="1" t="str">
        <f t="shared" si="41"/>
        <v>0-36</v>
      </c>
      <c r="H101" s="186">
        <f>COUNTIF($D$64:D101,D101)</f>
        <v>36</v>
      </c>
      <c r="I101" s="1">
        <v>38</v>
      </c>
      <c r="J101" s="1" t="str">
        <f>INDEX($C$64:$C$143,MATCH(IF(K101=K100,K101&amp;"-"&amp;COUNTIF($K$64:K101,K101),K101&amp;"-1"),$G$64:$G$143,0))</f>
        <v>-</v>
      </c>
      <c r="K101" s="1">
        <f t="shared" si="38"/>
        <v>0</v>
      </c>
      <c r="Q101" s="50"/>
      <c r="R101"/>
      <c r="S101"/>
      <c r="T101"/>
      <c r="U101"/>
      <c r="V101"/>
    </row>
    <row r="102" spans="1:22" ht="15" customHeight="1" x14ac:dyDescent="0.35">
      <c r="B102" s="321"/>
      <c r="C102" s="1" t="str">
        <f>Data!E13</f>
        <v>-</v>
      </c>
      <c r="D102" s="52">
        <f>SUM(SUMIF(Pivot!B:B,C102,Pivot!C:C),SUMIF(Pivot!B:B,C102,Pivot!D:D),SUMIF(Pivot!B:B,C102,Pivot!E:E))</f>
        <v>0</v>
      </c>
      <c r="G102" s="1" t="str">
        <f t="shared" si="41"/>
        <v>0-37</v>
      </c>
      <c r="H102" s="186">
        <f>COUNTIF($D$64:D102,D102)</f>
        <v>37</v>
      </c>
      <c r="I102" s="1">
        <v>39</v>
      </c>
      <c r="J102" s="1" t="str">
        <f>INDEX($C$64:$C$143,MATCH(IF(K102=K101,K102&amp;"-"&amp;COUNTIF($K$64:K102,K102),K102&amp;"-1"),$G$64:$G$143,0))</f>
        <v>-</v>
      </c>
      <c r="K102" s="1">
        <f t="shared" si="38"/>
        <v>0</v>
      </c>
      <c r="Q102" s="50"/>
      <c r="R102"/>
      <c r="S102"/>
      <c r="T102"/>
      <c r="U102"/>
      <c r="V102"/>
    </row>
    <row r="103" spans="1:22" ht="15" customHeight="1" thickBot="1" x14ac:dyDescent="0.4">
      <c r="B103" s="322"/>
      <c r="C103" s="187" t="str">
        <f>Data!E14</f>
        <v>-</v>
      </c>
      <c r="D103" s="188">
        <f>SUM(SUMIF(Pivot!B:B,C103,Pivot!C:C),SUMIF(Pivot!B:B,C103,Pivot!D:D),SUMIF(Pivot!B:B,C103,Pivot!E:E))</f>
        <v>0</v>
      </c>
      <c r="E103" s="187"/>
      <c r="F103" s="187"/>
      <c r="G103" s="187" t="str">
        <f t="shared" si="41"/>
        <v>0-38</v>
      </c>
      <c r="H103" s="189">
        <f>COUNTIF($D$64:D103,D103)</f>
        <v>38</v>
      </c>
      <c r="I103" s="1">
        <v>40</v>
      </c>
      <c r="J103" s="1" t="str">
        <f>INDEX($C$64:$C$143,MATCH(IF(K103=K102,K103&amp;"-"&amp;COUNTIF($K$64:K103,K103),K103&amp;"-1"),$G$64:$G$143,0))</f>
        <v>-</v>
      </c>
      <c r="K103" s="1">
        <f t="shared" si="38"/>
        <v>0</v>
      </c>
      <c r="Q103" s="50"/>
      <c r="R103"/>
      <c r="S103"/>
      <c r="T103"/>
      <c r="U103"/>
      <c r="V103"/>
    </row>
    <row r="104" spans="1:22" ht="16" customHeight="1" x14ac:dyDescent="0.35">
      <c r="A104" s="163" t="str">
        <f>Data!F3</f>
        <v>Uscite Fisse</v>
      </c>
      <c r="B104" s="299" t="str">
        <f>Data!F4</f>
        <v>Casa</v>
      </c>
      <c r="C104" s="1" t="str">
        <f>Data!F5</f>
        <v>Food</v>
      </c>
      <c r="D104" s="52">
        <f>SUM(SUMIF(Pivot!B:B,C104,Pivot!C:C),SUMIF(Pivot!B:B,C104,Pivot!D:D),SUMIF(Pivot!B:B,C104,Pivot!E:E))</f>
        <v>191.50000000000003</v>
      </c>
      <c r="E104" s="9"/>
      <c r="G104" s="1" t="str">
        <f t="shared" ref="G104:G110" si="42">D104&amp;"-"&amp;H104</f>
        <v>191,5-1</v>
      </c>
      <c r="H104" s="71">
        <f>COUNTIF($D$64:D104,D104)</f>
        <v>1</v>
      </c>
      <c r="I104" s="1">
        <v>41</v>
      </c>
      <c r="J104" s="1" t="str">
        <f>INDEX($C$64:$C$143,MATCH(IF(K104=K103,K104&amp;"-"&amp;COUNTIF($K$64:K104,K104),K104&amp;"-1"),$G$64:$G$143,0))</f>
        <v>-</v>
      </c>
      <c r="K104" s="1">
        <f t="shared" si="38"/>
        <v>0</v>
      </c>
      <c r="Q104" s="50"/>
      <c r="R104"/>
      <c r="S104"/>
      <c r="T104"/>
      <c r="U104"/>
      <c r="V104"/>
    </row>
    <row r="105" spans="1:22" ht="15" customHeight="1" x14ac:dyDescent="0.35">
      <c r="B105" s="300"/>
      <c r="C105" s="1" t="str">
        <f>Data!F6</f>
        <v>No Food</v>
      </c>
      <c r="D105" s="52">
        <f>SUM(SUMIF(Pivot!B:B,C105,Pivot!C:C),SUMIF(Pivot!B:B,C105,Pivot!D:D),SUMIF(Pivot!B:B,C105,Pivot!E:E))</f>
        <v>0</v>
      </c>
      <c r="E105" s="9"/>
      <c r="G105" s="1" t="str">
        <f t="shared" si="42"/>
        <v>0-39</v>
      </c>
      <c r="H105" s="71">
        <f>COUNTIF($D$64:D105,D105)</f>
        <v>39</v>
      </c>
      <c r="I105" s="1">
        <v>42</v>
      </c>
      <c r="J105" s="1" t="str">
        <f>INDEX($C$64:$C$143,MATCH(IF(K105=K104,K105&amp;"-"&amp;COUNTIF($K$64:K105,K105),K105&amp;"-1"),$G$64:$G$143,0))</f>
        <v>-</v>
      </c>
      <c r="K105" s="1">
        <f t="shared" si="38"/>
        <v>0</v>
      </c>
      <c r="Q105" s="50"/>
      <c r="R105"/>
      <c r="S105"/>
      <c r="T105"/>
      <c r="U105"/>
      <c r="V105"/>
    </row>
    <row r="106" spans="1:22" ht="15" customHeight="1" x14ac:dyDescent="0.35">
      <c r="B106" s="300"/>
      <c r="C106" s="1" t="str">
        <f>Data!F7</f>
        <v>-</v>
      </c>
      <c r="D106" s="52">
        <f>SUM(SUMIF(Pivot!B:B,C106,Pivot!C:C),SUMIF(Pivot!B:B,C106,Pivot!D:D),SUMIF(Pivot!B:B,C106,Pivot!E:E))</f>
        <v>0</v>
      </c>
      <c r="E106" s="9"/>
      <c r="G106" s="1" t="str">
        <f t="shared" si="42"/>
        <v>0-40</v>
      </c>
      <c r="H106" s="71">
        <f>COUNTIF($D$64:D106,D106)</f>
        <v>40</v>
      </c>
      <c r="I106" s="1">
        <v>43</v>
      </c>
      <c r="J106" s="1" t="str">
        <f>INDEX($C$64:$C$143,MATCH(IF(K106=K105,K106&amp;"-"&amp;COUNTIF($K$64:K106,K106),K106&amp;"-1"),$G$64:$G$143,0))</f>
        <v>-</v>
      </c>
      <c r="K106" s="1">
        <f t="shared" si="38"/>
        <v>0</v>
      </c>
      <c r="Q106" s="50"/>
      <c r="R106"/>
      <c r="S106"/>
      <c r="T106"/>
      <c r="U106"/>
      <c r="V106"/>
    </row>
    <row r="107" spans="1:22" ht="15" customHeight="1" x14ac:dyDescent="0.35">
      <c r="B107" s="300"/>
      <c r="C107" s="1" t="str">
        <f>Data!F8</f>
        <v>-</v>
      </c>
      <c r="D107" s="52">
        <f>SUM(SUMIF(Pivot!B:B,C107,Pivot!C:C),SUMIF(Pivot!B:B,C107,Pivot!D:D),SUMIF(Pivot!B:B,C107,Pivot!E:E))</f>
        <v>0</v>
      </c>
      <c r="E107" s="9"/>
      <c r="G107" s="1" t="str">
        <f t="shared" si="42"/>
        <v>0-41</v>
      </c>
      <c r="H107" s="71">
        <f>COUNTIF($D$64:D107,D107)</f>
        <v>41</v>
      </c>
      <c r="I107" s="1">
        <v>44</v>
      </c>
      <c r="J107" s="1" t="str">
        <f>INDEX($C$64:$C$143,MATCH(IF(K107=K106,K107&amp;"-"&amp;COUNTIF($K$64:K107,K107),K107&amp;"-1"),$G$64:$G$143,0))</f>
        <v>-</v>
      </c>
      <c r="K107" s="1">
        <f t="shared" si="38"/>
        <v>0</v>
      </c>
      <c r="Q107" s="50"/>
      <c r="R107"/>
      <c r="S107"/>
      <c r="T107"/>
      <c r="U107"/>
      <c r="V107"/>
    </row>
    <row r="108" spans="1:22" ht="15" customHeight="1" x14ac:dyDescent="0.35">
      <c r="B108" s="300"/>
      <c r="C108" s="1" t="str">
        <f>Data!F9</f>
        <v>-</v>
      </c>
      <c r="D108" s="52">
        <f>SUM(SUMIF(Pivot!B:B,C108,Pivot!C:C),SUMIF(Pivot!B:B,C108,Pivot!D:D),SUMIF(Pivot!B:B,C108,Pivot!E:E))</f>
        <v>0</v>
      </c>
      <c r="E108" s="9"/>
      <c r="G108" s="1" t="str">
        <f t="shared" si="42"/>
        <v>0-42</v>
      </c>
      <c r="H108" s="71">
        <f>COUNTIF($D$64:D108,D108)</f>
        <v>42</v>
      </c>
      <c r="I108" s="1">
        <v>45</v>
      </c>
      <c r="J108" s="1" t="str">
        <f>INDEX($C$64:$C$143,MATCH(IF(K108=K107,K108&amp;"-"&amp;COUNTIF($K$64:K108,K108),K108&amp;"-1"),$G$64:$G$143,0))</f>
        <v>No Food</v>
      </c>
      <c r="K108" s="1">
        <f t="shared" si="38"/>
        <v>0</v>
      </c>
      <c r="Q108" s="50"/>
      <c r="R108"/>
      <c r="S108"/>
      <c r="T108"/>
      <c r="U108"/>
      <c r="V108"/>
    </row>
    <row r="109" spans="1:22" ht="15" customHeight="1" x14ac:dyDescent="0.35">
      <c r="B109" s="300"/>
      <c r="C109" s="1" t="str">
        <f>Data!F10</f>
        <v>-</v>
      </c>
      <c r="D109" s="52">
        <f>SUM(SUMIF(Pivot!B:B,C109,Pivot!C:C),SUMIF(Pivot!B:B,C109,Pivot!D:D),SUMIF(Pivot!B:B,C109,Pivot!E:E))</f>
        <v>0</v>
      </c>
      <c r="E109" s="9"/>
      <c r="G109" s="1" t="str">
        <f t="shared" si="42"/>
        <v>0-43</v>
      </c>
      <c r="H109" s="71">
        <f>COUNTIF($D$64:D109,D109)</f>
        <v>43</v>
      </c>
      <c r="I109" s="1">
        <v>46</v>
      </c>
      <c r="J109" s="1" t="str">
        <f>INDEX($C$64:$C$143,MATCH(IF(K109=K108,K109&amp;"-"&amp;COUNTIF($K$64:K109,K109),K109&amp;"-1"),$G$64:$G$143,0))</f>
        <v>-</v>
      </c>
      <c r="K109" s="1">
        <f t="shared" si="38"/>
        <v>0</v>
      </c>
      <c r="Q109" s="50"/>
      <c r="R109"/>
      <c r="S109"/>
      <c r="T109"/>
      <c r="U109"/>
      <c r="V109"/>
    </row>
    <row r="110" spans="1:22" ht="15" customHeight="1" x14ac:dyDescent="0.35">
      <c r="B110" s="300"/>
      <c r="C110" s="1" t="str">
        <f>Data!F11</f>
        <v>-</v>
      </c>
      <c r="D110" s="52">
        <f>SUM(SUMIF(Pivot!B:B,C110,Pivot!C:C),SUMIF(Pivot!B:B,C110,Pivot!D:D),SUMIF(Pivot!B:B,C110,Pivot!E:E))</f>
        <v>0</v>
      </c>
      <c r="E110" s="9"/>
      <c r="G110" s="1" t="str">
        <f t="shared" si="42"/>
        <v>0-44</v>
      </c>
      <c r="H110" s="71">
        <f>COUNTIF($D$64:D110,D110)</f>
        <v>44</v>
      </c>
      <c r="I110" s="1">
        <v>47</v>
      </c>
      <c r="J110" s="1" t="str">
        <f>INDEX($C$64:$C$143,MATCH(IF(K110=K109,K110&amp;"-"&amp;COUNTIF($K$64:K110,K110),K110&amp;"-1"),$G$64:$G$143,0))</f>
        <v>-</v>
      </c>
      <c r="K110" s="1">
        <f t="shared" si="38"/>
        <v>0</v>
      </c>
      <c r="Q110" s="50"/>
    </row>
    <row r="111" spans="1:22" ht="15" customHeight="1" x14ac:dyDescent="0.35">
      <c r="B111" s="300"/>
      <c r="C111" s="1" t="str">
        <f>Data!F12</f>
        <v>-</v>
      </c>
      <c r="D111" s="52">
        <f>SUM(SUMIF(Pivot!B:B,C111,Pivot!C:C),SUMIF(Pivot!B:B,C111,Pivot!D:D),SUMIF(Pivot!B:B,C111,Pivot!E:E))</f>
        <v>0</v>
      </c>
      <c r="E111" s="9"/>
      <c r="G111" s="1" t="str">
        <f t="shared" ref="G111:G113" si="43">D111&amp;"-"&amp;H111</f>
        <v>0-45</v>
      </c>
      <c r="H111" s="71">
        <f>COUNTIF($D$64:D111,D111)</f>
        <v>45</v>
      </c>
      <c r="I111" s="1">
        <v>48</v>
      </c>
      <c r="J111" s="1" t="str">
        <f>INDEX($C$64:$C$143,MATCH(IF(K111=K110,K111&amp;"-"&amp;COUNTIF($K$64:K111,K111),K111&amp;"-1"),$G$64:$G$143,0))</f>
        <v>-</v>
      </c>
      <c r="K111" s="1">
        <f t="shared" si="38"/>
        <v>0</v>
      </c>
      <c r="Q111" s="50"/>
      <c r="R111"/>
      <c r="S111"/>
      <c r="T111"/>
      <c r="U111"/>
      <c r="V111"/>
    </row>
    <row r="112" spans="1:22" ht="15" customHeight="1" x14ac:dyDescent="0.35">
      <c r="B112" s="300"/>
      <c r="C112" s="1" t="str">
        <f>Data!F13</f>
        <v>-</v>
      </c>
      <c r="D112" s="52">
        <f>SUM(SUMIF(Pivot!B:B,C112,Pivot!C:C),SUMIF(Pivot!B:B,C112,Pivot!D:D),SUMIF(Pivot!B:B,C112,Pivot!E:E))</f>
        <v>0</v>
      </c>
      <c r="E112" s="9"/>
      <c r="G112" s="1" t="str">
        <f t="shared" si="43"/>
        <v>0-46</v>
      </c>
      <c r="H112" s="71">
        <f>COUNTIF($D$64:D112,D112)</f>
        <v>46</v>
      </c>
      <c r="I112" s="1">
        <v>49</v>
      </c>
      <c r="J112" s="1" t="str">
        <f>INDEX($C$64:$C$143,MATCH(IF(K112=K111,K112&amp;"-"&amp;COUNTIF($K$64:K112,K112),K112&amp;"-1"),$G$64:$G$143,0))</f>
        <v>-</v>
      </c>
      <c r="K112" s="1">
        <f t="shared" si="38"/>
        <v>0</v>
      </c>
      <c r="Q112" s="50"/>
      <c r="R112"/>
      <c r="S112"/>
      <c r="T112"/>
      <c r="U112"/>
      <c r="V112"/>
    </row>
    <row r="113" spans="2:22" ht="15" customHeight="1" thickBot="1" x14ac:dyDescent="0.4">
      <c r="B113" s="301"/>
      <c r="C113" s="1" t="str">
        <f>Data!F14</f>
        <v>-</v>
      </c>
      <c r="D113" s="52">
        <f>SUM(SUMIF(Pivot!B:B,C113,Pivot!C:C),SUMIF(Pivot!B:B,C113,Pivot!D:D),SUMIF(Pivot!B:B,C113,Pivot!E:E))</f>
        <v>0</v>
      </c>
      <c r="E113" s="9"/>
      <c r="G113" s="1" t="str">
        <f t="shared" si="43"/>
        <v>0-47</v>
      </c>
      <c r="H113" s="71">
        <f>COUNTIF($D$64:D113,D113)</f>
        <v>47</v>
      </c>
      <c r="I113" s="1">
        <v>50</v>
      </c>
      <c r="J113" s="1" t="str">
        <f>INDEX($C$64:$C$143,MATCH(IF(K113=K112,K113&amp;"-"&amp;COUNTIF($K$64:K113,K113),K113&amp;"-1"),$G$64:$G$143,0))</f>
        <v>-</v>
      </c>
      <c r="K113" s="1">
        <f t="shared" si="38"/>
        <v>0</v>
      </c>
      <c r="Q113" s="50"/>
      <c r="R113"/>
      <c r="S113"/>
      <c r="T113"/>
      <c r="U113"/>
      <c r="V113"/>
    </row>
    <row r="114" spans="2:22" ht="15" customHeight="1" x14ac:dyDescent="0.35">
      <c r="B114" s="302" t="str">
        <f>Data!G4</f>
        <v>Utenze</v>
      </c>
      <c r="C114" s="68" t="str">
        <f>Data!G5</f>
        <v>Bollette</v>
      </c>
      <c r="D114" s="69">
        <f>SUM(SUMIF(Pivot!B:B,C114,Pivot!C:C),SUMIF(Pivot!B:B,C114,Pivot!D:D),SUMIF(Pivot!B:B,C114,Pivot!E:E))</f>
        <v>0</v>
      </c>
      <c r="E114" s="70"/>
      <c r="F114" s="68"/>
      <c r="G114" s="68" t="str">
        <f t="shared" ref="G114:G120" si="44">D114&amp;"-"&amp;H114</f>
        <v>0-48</v>
      </c>
      <c r="H114" s="72">
        <f>COUNTIF($D$64:D114,D114)</f>
        <v>48</v>
      </c>
      <c r="I114" s="1">
        <v>51</v>
      </c>
      <c r="J114" s="1" t="str">
        <f>INDEX($C$64:$C$143,MATCH(IF(K114=K113,K114&amp;"-"&amp;COUNTIF($K$64:K114,K114),K114&amp;"-1"),$G$64:$G$143,0))</f>
        <v>-</v>
      </c>
      <c r="K114" s="1">
        <f t="shared" si="38"/>
        <v>0</v>
      </c>
      <c r="Q114" s="50"/>
    </row>
    <row r="115" spans="2:22" ht="15" customHeight="1" x14ac:dyDescent="0.35">
      <c r="B115" s="303"/>
      <c r="C115" s="1" t="str">
        <f>Data!G6</f>
        <v>Telefono</v>
      </c>
      <c r="D115" s="52">
        <f>SUM(SUMIF(Pivot!B:B,C115,Pivot!C:C),SUMIF(Pivot!B:B,C115,Pivot!D:D),SUMIF(Pivot!B:B,C115,Pivot!E:E))</f>
        <v>5</v>
      </c>
      <c r="E115" s="9"/>
      <c r="G115" s="1" t="str">
        <f t="shared" si="44"/>
        <v>5-1</v>
      </c>
      <c r="H115" s="73">
        <f>COUNTIF($D$64:D115,D115)</f>
        <v>1</v>
      </c>
      <c r="I115" s="1">
        <v>52</v>
      </c>
      <c r="J115" s="1" t="str">
        <f>INDEX($C$64:$C$143,MATCH(IF(K115=K114,K115&amp;"-"&amp;COUNTIF($K$64:K115,K115),K115&amp;"-1"),$G$64:$G$143,0))</f>
        <v>-</v>
      </c>
      <c r="K115" s="1">
        <f t="shared" si="38"/>
        <v>0</v>
      </c>
      <c r="Q115" s="50"/>
    </row>
    <row r="116" spans="2:22" ht="15" customHeight="1" x14ac:dyDescent="0.35">
      <c r="B116" s="303"/>
      <c r="C116" s="1" t="str">
        <f>Data!G7</f>
        <v>Tasse</v>
      </c>
      <c r="D116" s="52">
        <f>SUM(SUMIF(Pivot!B:B,C116,Pivot!C:C),SUMIF(Pivot!B:B,C116,Pivot!D:D),SUMIF(Pivot!B:B,C116,Pivot!E:E))</f>
        <v>0</v>
      </c>
      <c r="E116" s="9"/>
      <c r="G116" s="1" t="str">
        <f t="shared" si="44"/>
        <v>0-49</v>
      </c>
      <c r="H116" s="73">
        <f>COUNTIF($D$64:D116,D116)</f>
        <v>49</v>
      </c>
      <c r="I116" s="1">
        <v>53</v>
      </c>
      <c r="J116" s="1" t="str">
        <f>INDEX($C$64:$C$143,MATCH(IF(K116=K115,K116&amp;"-"&amp;COUNTIF($K$64:K116,K116),K116&amp;"-1"),$G$64:$G$143,0))</f>
        <v>-</v>
      </c>
      <c r="K116" s="1">
        <f t="shared" si="38"/>
        <v>0</v>
      </c>
      <c r="Q116" s="50"/>
    </row>
    <row r="117" spans="2:22" ht="15" customHeight="1" x14ac:dyDescent="0.35">
      <c r="B117" s="303"/>
      <c r="C117" s="1" t="str">
        <f>Data!G8</f>
        <v>-</v>
      </c>
      <c r="D117" s="52">
        <f>SUM(SUMIF(Pivot!B:B,C117,Pivot!C:C),SUMIF(Pivot!B:B,C117,Pivot!D:D),SUMIF(Pivot!B:B,C117,Pivot!E:E))</f>
        <v>0</v>
      </c>
      <c r="E117" s="9"/>
      <c r="G117" s="1" t="str">
        <f t="shared" si="44"/>
        <v>0-50</v>
      </c>
      <c r="H117" s="73">
        <f>COUNTIF($D$64:D117,D117)</f>
        <v>50</v>
      </c>
      <c r="I117" s="1">
        <v>54</v>
      </c>
      <c r="J117" s="1" t="str">
        <f>INDEX($C$64:$C$143,MATCH(IF(K117=K116,K117&amp;"-"&amp;COUNTIF($K$64:K117,K117),K117&amp;"-1"),$G$64:$G$143,0))</f>
        <v>Bollette</v>
      </c>
      <c r="K117" s="1">
        <f t="shared" si="38"/>
        <v>0</v>
      </c>
      <c r="Q117" s="50"/>
    </row>
    <row r="118" spans="2:22" ht="15" customHeight="1" x14ac:dyDescent="0.35">
      <c r="B118" s="303"/>
      <c r="C118" s="1" t="str">
        <f>Data!G9</f>
        <v>-</v>
      </c>
      <c r="D118" s="52">
        <f>SUM(SUMIF(Pivot!B:B,C118,Pivot!C:C),SUMIF(Pivot!B:B,C118,Pivot!D:D),SUMIF(Pivot!B:B,C118,Pivot!E:E))</f>
        <v>0</v>
      </c>
      <c r="E118" s="9"/>
      <c r="G118" s="1" t="str">
        <f t="shared" si="44"/>
        <v>0-51</v>
      </c>
      <c r="H118" s="73">
        <f>COUNTIF($D$64:D118,D118)</f>
        <v>51</v>
      </c>
      <c r="I118" s="1">
        <v>55</v>
      </c>
      <c r="J118" s="1" t="str">
        <f>INDEX($C$64:$C$143,MATCH(IF(K118=K117,K118&amp;"-"&amp;COUNTIF($K$64:K118,K118),K118&amp;"-1"),$G$64:$G$143,0))</f>
        <v>Tasse</v>
      </c>
      <c r="K118" s="1">
        <f t="shared" si="38"/>
        <v>0</v>
      </c>
      <c r="Q118" s="50"/>
    </row>
    <row r="119" spans="2:22" ht="15" customHeight="1" x14ac:dyDescent="0.35">
      <c r="B119" s="303"/>
      <c r="C119" s="1" t="str">
        <f>Data!G10</f>
        <v>-</v>
      </c>
      <c r="D119" s="52">
        <f>SUM(SUMIF(Pivot!B:B,C119,Pivot!C:C),SUMIF(Pivot!B:B,C119,Pivot!D:D),SUMIF(Pivot!B:B,C119,Pivot!E:E))</f>
        <v>0</v>
      </c>
      <c r="E119" s="9"/>
      <c r="G119" s="1" t="str">
        <f t="shared" si="44"/>
        <v>0-52</v>
      </c>
      <c r="H119" s="73">
        <f>COUNTIF($D$64:D119,D119)</f>
        <v>52</v>
      </c>
      <c r="I119" s="1">
        <v>56</v>
      </c>
      <c r="J119" s="1" t="str">
        <f>INDEX($C$64:$C$143,MATCH(IF(K119=K118,K119&amp;"-"&amp;COUNTIF($K$64:K119,K119),K119&amp;"-1"),$G$64:$G$143,0))</f>
        <v>-</v>
      </c>
      <c r="K119" s="1">
        <f t="shared" si="38"/>
        <v>0</v>
      </c>
      <c r="Q119" s="50"/>
    </row>
    <row r="120" spans="2:22" ht="15" customHeight="1" x14ac:dyDescent="0.35">
      <c r="B120" s="303"/>
      <c r="C120" s="1" t="str">
        <f>Data!G11</f>
        <v>-</v>
      </c>
      <c r="D120" s="52">
        <f>SUM(SUMIF(Pivot!B:B,C120,Pivot!C:C),SUMIF(Pivot!B:B,C120,Pivot!D:D),SUMIF(Pivot!B:B,C120,Pivot!E:E))</f>
        <v>0</v>
      </c>
      <c r="E120" s="9"/>
      <c r="G120" s="1" t="str">
        <f t="shared" si="44"/>
        <v>0-53</v>
      </c>
      <c r="H120" s="73">
        <f>COUNTIF($D$64:D120,D120)</f>
        <v>53</v>
      </c>
      <c r="I120" s="1">
        <v>57</v>
      </c>
      <c r="J120" s="1" t="str">
        <f>INDEX($C$64:$C$143,MATCH(IF(K120=K119,K120&amp;"-"&amp;COUNTIF($K$64:K120,K120),K120&amp;"-1"),$G$64:$G$143,0))</f>
        <v>-</v>
      </c>
      <c r="K120" s="1">
        <f t="shared" si="38"/>
        <v>0</v>
      </c>
      <c r="Q120" s="50"/>
    </row>
    <row r="121" spans="2:22" ht="15" customHeight="1" x14ac:dyDescent="0.35">
      <c r="B121" s="303"/>
      <c r="C121" s="1" t="str">
        <f>Data!G12</f>
        <v>-</v>
      </c>
      <c r="D121" s="52">
        <f>SUM(SUMIF(Pivot!B:B,C121,Pivot!C:C),SUMIF(Pivot!B:B,C121,Pivot!D:D),SUMIF(Pivot!B:B,C121,Pivot!E:E))</f>
        <v>0</v>
      </c>
      <c r="E121" s="9"/>
      <c r="G121" s="1" t="str">
        <f t="shared" ref="G121:G123" si="45">D121&amp;"-"&amp;H121</f>
        <v>0-54</v>
      </c>
      <c r="H121" s="73">
        <f>COUNTIF($D$64:D121,D121)</f>
        <v>54</v>
      </c>
      <c r="I121" s="1">
        <v>58</v>
      </c>
      <c r="J121" s="1" t="str">
        <f>INDEX($C$64:$C$143,MATCH(IF(K121=K120,K121&amp;"-"&amp;COUNTIF($K$64:K121,K121),K121&amp;"-1"),$G$64:$G$143,0))</f>
        <v>-</v>
      </c>
      <c r="K121" s="1">
        <f t="shared" si="38"/>
        <v>0</v>
      </c>
      <c r="Q121" s="50"/>
      <c r="R121"/>
      <c r="S121"/>
      <c r="T121"/>
      <c r="U121"/>
      <c r="V121"/>
    </row>
    <row r="122" spans="2:22" ht="15" customHeight="1" x14ac:dyDescent="0.35">
      <c r="B122" s="303"/>
      <c r="C122" s="1" t="str">
        <f>Data!G13</f>
        <v>-</v>
      </c>
      <c r="D122" s="52">
        <f>SUM(SUMIF(Pivot!B:B,C122,Pivot!C:C),SUMIF(Pivot!B:B,C122,Pivot!D:D),SUMIF(Pivot!B:B,C122,Pivot!E:E))</f>
        <v>0</v>
      </c>
      <c r="E122" s="9"/>
      <c r="G122" s="1" t="str">
        <f t="shared" si="45"/>
        <v>0-55</v>
      </c>
      <c r="H122" s="73">
        <f>COUNTIF($D$64:D122,D122)</f>
        <v>55</v>
      </c>
      <c r="I122" s="1">
        <v>59</v>
      </c>
      <c r="J122" s="1" t="str">
        <f>INDEX($C$64:$C$143,MATCH(IF(K122=K121,K122&amp;"-"&amp;COUNTIF($K$64:K122,K122),K122&amp;"-1"),$G$64:$G$143,0))</f>
        <v>-</v>
      </c>
      <c r="K122" s="1">
        <f t="shared" si="38"/>
        <v>0</v>
      </c>
      <c r="Q122" s="50"/>
      <c r="R122"/>
      <c r="S122"/>
      <c r="T122"/>
      <c r="U122"/>
      <c r="V122"/>
    </row>
    <row r="123" spans="2:22" ht="15" customHeight="1" thickBot="1" x14ac:dyDescent="0.4">
      <c r="B123" s="304"/>
      <c r="C123" s="1" t="str">
        <f>Data!G14</f>
        <v>-</v>
      </c>
      <c r="D123" s="52">
        <f>SUM(SUMIF(Pivot!B:B,C123,Pivot!C:C),SUMIF(Pivot!B:B,C123,Pivot!D:D),SUMIF(Pivot!B:B,C123,Pivot!E:E))</f>
        <v>0</v>
      </c>
      <c r="E123" s="9"/>
      <c r="G123" s="1" t="str">
        <f t="shared" si="45"/>
        <v>0-56</v>
      </c>
      <c r="H123" s="73">
        <f>COUNTIF($D$64:D123,D123)</f>
        <v>56</v>
      </c>
      <c r="I123" s="1">
        <v>60</v>
      </c>
      <c r="J123" s="1" t="str">
        <f>INDEX($C$64:$C$143,MATCH(IF(K123=K122,K123&amp;"-"&amp;COUNTIF($K$64:K123,K123),K123&amp;"-1"),$G$64:$G$143,0))</f>
        <v>-</v>
      </c>
      <c r="K123" s="1">
        <f t="shared" si="38"/>
        <v>0</v>
      </c>
      <c r="Q123" s="50"/>
      <c r="R123"/>
      <c r="S123"/>
      <c r="T123"/>
      <c r="U123"/>
      <c r="V123"/>
    </row>
    <row r="124" spans="2:22" ht="15" customHeight="1" x14ac:dyDescent="0.35">
      <c r="B124" s="305" t="str">
        <f>Data!H4</f>
        <v>Business Uscite</v>
      </c>
      <c r="C124" s="74" t="str">
        <f>Data!H5</f>
        <v>I.B.(Marketing Data)</v>
      </c>
      <c r="D124" s="75">
        <f>SUM(SUMIF(Pivot!B:B,C124,Pivot!C:C),SUMIF(Pivot!B:B,C124,Pivot!D:D),SUMIF(Pivot!B:B,C124,Pivot!E:E))</f>
        <v>0</v>
      </c>
      <c r="E124" s="76"/>
      <c r="F124" s="74"/>
      <c r="G124" s="74" t="str">
        <f t="shared" ref="G124:G130" si="46">D124&amp;"-"&amp;H124</f>
        <v>0-57</v>
      </c>
      <c r="H124" s="77">
        <f>COUNTIF($D$64:D124,D124)</f>
        <v>57</v>
      </c>
      <c r="I124" s="1">
        <v>61</v>
      </c>
      <c r="J124" s="1" t="str">
        <f>INDEX($C$64:$C$143,MATCH(IF(K124=K123,K124&amp;"-"&amp;COUNTIF($K$64:K124,K124),K124&amp;"-1"),$G$64:$G$143,0))</f>
        <v>-</v>
      </c>
      <c r="K124" s="1">
        <f t="shared" si="38"/>
        <v>0</v>
      </c>
      <c r="Q124" s="50"/>
    </row>
    <row r="125" spans="2:22" ht="15" customHeight="1" x14ac:dyDescent="0.35">
      <c r="B125" s="306"/>
      <c r="C125" s="1" t="str">
        <f>Data!H6</f>
        <v>Internet</v>
      </c>
      <c r="D125" s="52">
        <f>SUM(SUMIF(Pivot!B:B,C125,Pivot!C:C),SUMIF(Pivot!B:B,C125,Pivot!D:D),SUMIF(Pivot!B:B,C125,Pivot!E:E))</f>
        <v>15</v>
      </c>
      <c r="E125" s="9"/>
      <c r="G125" s="1" t="str">
        <f t="shared" si="46"/>
        <v>15-1</v>
      </c>
      <c r="H125" s="78">
        <f>COUNTIF($D$64:D125,D125)</f>
        <v>1</v>
      </c>
      <c r="I125" s="1">
        <v>62</v>
      </c>
      <c r="J125" s="1" t="str">
        <f>INDEX($C$64:$C$143,MATCH(IF(K125=K124,K125&amp;"-"&amp;COUNTIF($K$64:K125,K125),K125&amp;"-1"),$G$64:$G$143,0))</f>
        <v>-</v>
      </c>
      <c r="K125" s="1">
        <f t="shared" si="38"/>
        <v>0</v>
      </c>
      <c r="Q125" s="50"/>
    </row>
    <row r="126" spans="2:22" ht="15" customHeight="1" x14ac:dyDescent="0.35">
      <c r="B126" s="306"/>
      <c r="C126" s="1" t="str">
        <f>Data!H7</f>
        <v>-</v>
      </c>
      <c r="D126" s="52">
        <f>SUM(SUMIF(Pivot!B:B,C126,Pivot!C:C),SUMIF(Pivot!B:B,C126,Pivot!D:D),SUMIF(Pivot!B:B,C126,Pivot!E:E))</f>
        <v>0</v>
      </c>
      <c r="E126" s="9"/>
      <c r="G126" s="1" t="str">
        <f t="shared" si="46"/>
        <v>0-58</v>
      </c>
      <c r="H126" s="78">
        <f>COUNTIF($D$64:D126,D126)</f>
        <v>58</v>
      </c>
      <c r="I126" s="1">
        <v>63</v>
      </c>
      <c r="J126" s="1" t="str">
        <f>INDEX($C$64:$C$143,MATCH(IF(K126=K125,K126&amp;"-"&amp;COUNTIF($K$64:K126,K126),K126&amp;"-1"),$G$64:$G$143,0))</f>
        <v>I.B.(Marketing Data)</v>
      </c>
      <c r="K126" s="1">
        <f t="shared" si="38"/>
        <v>0</v>
      </c>
      <c r="Q126" s="50"/>
    </row>
    <row r="127" spans="2:22" ht="15" customHeight="1" x14ac:dyDescent="0.35">
      <c r="B127" s="306"/>
      <c r="C127" s="1" t="str">
        <f>Data!H8</f>
        <v>-</v>
      </c>
      <c r="D127" s="52">
        <f>SUM(SUMIF(Pivot!B:B,C127,Pivot!C:C),SUMIF(Pivot!B:B,C127,Pivot!D:D),SUMIF(Pivot!B:B,C127,Pivot!E:E))</f>
        <v>0</v>
      </c>
      <c r="E127" s="9"/>
      <c r="G127" s="1" t="str">
        <f t="shared" si="46"/>
        <v>0-59</v>
      </c>
      <c r="H127" s="78">
        <f>COUNTIF($D$64:D127,D127)</f>
        <v>59</v>
      </c>
      <c r="I127" s="1">
        <v>64</v>
      </c>
      <c r="J127" s="1" t="str">
        <f>INDEX($C$64:$C$143,MATCH(IF(K127=K126,K127&amp;"-"&amp;COUNTIF($K$64:K127,K127),K127&amp;"-1"),$G$64:$G$143,0))</f>
        <v>-</v>
      </c>
      <c r="K127" s="1">
        <f t="shared" si="38"/>
        <v>0</v>
      </c>
      <c r="Q127" s="60"/>
    </row>
    <row r="128" spans="2:22" ht="15" customHeight="1" x14ac:dyDescent="0.35">
      <c r="B128" s="306"/>
      <c r="C128" s="1" t="str">
        <f>Data!H9</f>
        <v>-</v>
      </c>
      <c r="D128" s="52">
        <f>SUM(SUMIF(Pivot!B:B,C128,Pivot!C:C),SUMIF(Pivot!B:B,C128,Pivot!D:D),SUMIF(Pivot!B:B,C128,Pivot!E:E))</f>
        <v>0</v>
      </c>
      <c r="E128" s="9"/>
      <c r="G128" s="1" t="str">
        <f t="shared" si="46"/>
        <v>0-60</v>
      </c>
      <c r="H128" s="78">
        <f>COUNTIF($D$64:D128,D128)</f>
        <v>60</v>
      </c>
      <c r="I128" s="1">
        <v>65</v>
      </c>
      <c r="J128" s="1" t="str">
        <f>INDEX($C$64:$C$143,MATCH(IF(K128=K127,K128&amp;"-"&amp;COUNTIF($K$64:K128,K128),K128&amp;"-1"),$G$64:$G$143,0))</f>
        <v>-</v>
      </c>
      <c r="K128" s="1">
        <f t="shared" si="38"/>
        <v>0</v>
      </c>
    </row>
    <row r="129" spans="2:22" ht="15" customHeight="1" x14ac:dyDescent="0.35">
      <c r="B129" s="306"/>
      <c r="C129" s="1" t="str">
        <f>Data!H10</f>
        <v>-</v>
      </c>
      <c r="D129" s="52">
        <f>SUM(SUMIF(Pivot!B:B,C129,Pivot!C:C),SUMIF(Pivot!B:B,C129,Pivot!D:D),SUMIF(Pivot!B:B,C129,Pivot!E:E))</f>
        <v>0</v>
      </c>
      <c r="E129" s="9"/>
      <c r="G129" s="1" t="str">
        <f t="shared" si="46"/>
        <v>0-61</v>
      </c>
      <c r="H129" s="78">
        <f>COUNTIF($D$64:D129,D129)</f>
        <v>61</v>
      </c>
      <c r="I129" s="1">
        <v>66</v>
      </c>
      <c r="J129" s="1" t="str">
        <f>INDEX($C$64:$C$143,MATCH(IF(K129=K128,K129&amp;"-"&amp;COUNTIF($K$64:K129,K129),K129&amp;"-1"),$G$64:$G$143,0))</f>
        <v>-</v>
      </c>
      <c r="K129" s="1">
        <f t="shared" ref="K129:K143" si="47">LARGE($D$64:$D$143,I129)</f>
        <v>0</v>
      </c>
    </row>
    <row r="130" spans="2:22" ht="15" customHeight="1" x14ac:dyDescent="0.35">
      <c r="B130" s="306"/>
      <c r="C130" s="1" t="str">
        <f>Data!H11</f>
        <v>-</v>
      </c>
      <c r="D130" s="52">
        <f>SUM(SUMIF(Pivot!B:B,C130,Pivot!C:C),SUMIF(Pivot!B:B,C130,Pivot!D:D),SUMIF(Pivot!B:B,C130,Pivot!E:E))</f>
        <v>0</v>
      </c>
      <c r="E130" s="9"/>
      <c r="G130" s="1" t="str">
        <f t="shared" si="46"/>
        <v>0-62</v>
      </c>
      <c r="H130" s="78">
        <f>COUNTIF($D$64:D130,D130)</f>
        <v>62</v>
      </c>
      <c r="I130" s="1">
        <v>67</v>
      </c>
      <c r="J130" s="1" t="str">
        <f>INDEX($C$64:$C$143,MATCH(IF(K130=K129,K130&amp;"-"&amp;COUNTIF($K$64:K130,K130),K130&amp;"-1"),$G$64:$G$143,0))</f>
        <v>-</v>
      </c>
      <c r="K130" s="1">
        <f t="shared" si="47"/>
        <v>0</v>
      </c>
    </row>
    <row r="131" spans="2:22" ht="15" customHeight="1" x14ac:dyDescent="0.35">
      <c r="B131" s="306"/>
      <c r="C131" s="1" t="str">
        <f>Data!H12</f>
        <v>-</v>
      </c>
      <c r="D131" s="52">
        <f>SUM(SUMIF(Pivot!B:B,C131,Pivot!C:C),SUMIF(Pivot!B:B,C131,Pivot!D:D),SUMIF(Pivot!B:B,C131,Pivot!E:E))</f>
        <v>0</v>
      </c>
      <c r="E131" s="9"/>
      <c r="G131" s="1" t="str">
        <f t="shared" ref="G131:G133" si="48">D131&amp;"-"&amp;H131</f>
        <v>0-63</v>
      </c>
      <c r="H131" s="78">
        <f>COUNTIF($D$64:D131,D131)</f>
        <v>63</v>
      </c>
      <c r="I131" s="1">
        <v>68</v>
      </c>
      <c r="J131" s="1" t="str">
        <f>INDEX($C$64:$C$143,MATCH(IF(K131=K130,K131&amp;"-"&amp;COUNTIF($K$64:K131,K131),K131&amp;"-1"),$G$64:$G$143,0))</f>
        <v>-</v>
      </c>
      <c r="K131" s="1">
        <f t="shared" si="47"/>
        <v>0</v>
      </c>
      <c r="Q131" s="50"/>
      <c r="R131"/>
      <c r="S131"/>
      <c r="T131"/>
      <c r="U131"/>
      <c r="V131"/>
    </row>
    <row r="132" spans="2:22" ht="15" customHeight="1" x14ac:dyDescent="0.35">
      <c r="B132" s="306"/>
      <c r="C132" s="1" t="str">
        <f>Data!H13</f>
        <v>-</v>
      </c>
      <c r="D132" s="52">
        <f>SUM(SUMIF(Pivot!B:B,C132,Pivot!C:C),SUMIF(Pivot!B:B,C132,Pivot!D:D),SUMIF(Pivot!B:B,C132,Pivot!E:E))</f>
        <v>0</v>
      </c>
      <c r="E132" s="9"/>
      <c r="G132" s="1" t="str">
        <f t="shared" si="48"/>
        <v>0-64</v>
      </c>
      <c r="H132" s="78">
        <f>COUNTIF($D$64:D132,D132)</f>
        <v>64</v>
      </c>
      <c r="I132" s="1">
        <v>69</v>
      </c>
      <c r="J132" s="1" t="str">
        <f>INDEX($C$64:$C$143,MATCH(IF(K132=K131,K132&amp;"-"&amp;COUNTIF($K$64:K132,K132),K132&amp;"-1"),$G$64:$G$143,0))</f>
        <v>-</v>
      </c>
      <c r="K132" s="1">
        <f t="shared" si="47"/>
        <v>0</v>
      </c>
      <c r="Q132" s="50"/>
      <c r="R132"/>
      <c r="S132"/>
      <c r="T132"/>
      <c r="U132"/>
      <c r="V132"/>
    </row>
    <row r="133" spans="2:22" ht="15" customHeight="1" thickBot="1" x14ac:dyDescent="0.4">
      <c r="B133" s="307"/>
      <c r="C133" s="1" t="str">
        <f>Data!H14</f>
        <v>-</v>
      </c>
      <c r="D133" s="52">
        <f>SUM(SUMIF(Pivot!B:B,C133,Pivot!C:C),SUMIF(Pivot!B:B,C133,Pivot!D:D),SUMIF(Pivot!B:B,C133,Pivot!E:E))</f>
        <v>0</v>
      </c>
      <c r="E133" s="9"/>
      <c r="G133" s="1" t="str">
        <f t="shared" si="48"/>
        <v>0-65</v>
      </c>
      <c r="H133" s="78">
        <f>COUNTIF($D$64:D133,D133)</f>
        <v>65</v>
      </c>
      <c r="I133" s="1">
        <v>70</v>
      </c>
      <c r="J133" s="1" t="str">
        <f>INDEX($C$64:$C$143,MATCH(IF(K133=K132,K133&amp;"-"&amp;COUNTIF($K$64:K133,K133),K133&amp;"-1"),$G$64:$G$143,0))</f>
        <v>-</v>
      </c>
      <c r="K133" s="1">
        <f t="shared" si="47"/>
        <v>0</v>
      </c>
      <c r="Q133" s="50"/>
      <c r="R133"/>
      <c r="S133"/>
      <c r="T133"/>
      <c r="U133"/>
      <c r="V133"/>
    </row>
    <row r="134" spans="2:22" ht="15" customHeight="1" x14ac:dyDescent="0.35">
      <c r="B134" s="308" t="str">
        <f>Data!I4</f>
        <v>Banca</v>
      </c>
      <c r="C134" s="79" t="str">
        <f>Data!I5</f>
        <v>Conto &amp; Carte BNL</v>
      </c>
      <c r="D134" s="80">
        <f>SUM(SUMIF(Pivot!B:B,C134,Pivot!C:C),SUMIF(Pivot!B:B,C134,Pivot!D:D),SUMIF(Pivot!B:B,C134,Pivot!E:E))</f>
        <v>5.73</v>
      </c>
      <c r="E134" s="81"/>
      <c r="F134" s="79"/>
      <c r="G134" s="79" t="str">
        <f t="shared" ref="G134:G140" si="49">D134&amp;"-"&amp;H134</f>
        <v>5,73-1</v>
      </c>
      <c r="H134" s="82">
        <f>COUNTIF($D$64:D134,D134)</f>
        <v>1</v>
      </c>
      <c r="I134" s="1">
        <v>71</v>
      </c>
      <c r="J134" s="1" t="str">
        <f>INDEX($C$64:$C$143,MATCH(IF(K134=K133,K134&amp;"-"&amp;COUNTIF($K$64:K134,K134),K134&amp;"-1"),$G$64:$G$143,0))</f>
        <v>-</v>
      </c>
      <c r="K134" s="1">
        <f t="shared" si="47"/>
        <v>0</v>
      </c>
      <c r="Q134" s="50"/>
    </row>
    <row r="135" spans="2:22" ht="15" customHeight="1" x14ac:dyDescent="0.35">
      <c r="B135" s="309"/>
      <c r="C135" s="1" t="str">
        <f>Data!I6</f>
        <v>-</v>
      </c>
      <c r="D135" s="52">
        <f>SUM(SUMIF(Pivot!B:B,C135,Pivot!C:C),SUMIF(Pivot!B:B,C135,Pivot!D:D),SUMIF(Pivot!B:B,C135,Pivot!E:E))</f>
        <v>0</v>
      </c>
      <c r="E135" s="9"/>
      <c r="G135" s="1" t="str">
        <f t="shared" si="49"/>
        <v>0-66</v>
      </c>
      <c r="H135" s="83">
        <f>COUNTIF($D$64:D135,D135)</f>
        <v>66</v>
      </c>
      <c r="I135" s="1">
        <v>72</v>
      </c>
      <c r="J135" s="1" t="str">
        <f>INDEX($C$64:$C$143,MATCH(IF(K135=K134,K135&amp;"-"&amp;COUNTIF($K$64:K135,K135),K135&amp;"-1"),$G$64:$G$143,0))</f>
        <v>-</v>
      </c>
      <c r="K135" s="1">
        <f t="shared" si="47"/>
        <v>0</v>
      </c>
    </row>
    <row r="136" spans="2:22" ht="15" customHeight="1" x14ac:dyDescent="0.35">
      <c r="B136" s="309"/>
      <c r="C136" s="1" t="str">
        <f>Data!I7</f>
        <v>-</v>
      </c>
      <c r="D136" s="52">
        <f>SUM(SUMIF(Pivot!B:B,C136,Pivot!C:C),SUMIF(Pivot!B:B,C136,Pivot!D:D),SUMIF(Pivot!B:B,C136,Pivot!E:E))</f>
        <v>0</v>
      </c>
      <c r="E136" s="9"/>
      <c r="G136" s="1" t="str">
        <f t="shared" si="49"/>
        <v>0-67</v>
      </c>
      <c r="H136" s="83">
        <f>COUNTIF($D$64:D136,D136)</f>
        <v>67</v>
      </c>
      <c r="I136" s="1">
        <v>73</v>
      </c>
      <c r="J136" s="1" t="str">
        <f>INDEX($C$64:$C$143,MATCH(IF(K136=K135,K136&amp;"-"&amp;COUNTIF($K$64:K136,K136),K136&amp;"-1"),$G$64:$G$143,0))</f>
        <v>-</v>
      </c>
      <c r="K136" s="1">
        <f t="shared" si="47"/>
        <v>0</v>
      </c>
    </row>
    <row r="137" spans="2:22" ht="15" customHeight="1" x14ac:dyDescent="0.35">
      <c r="B137" s="309"/>
      <c r="C137" s="1" t="str">
        <f>Data!I8</f>
        <v>-</v>
      </c>
      <c r="D137" s="52">
        <f>SUM(SUMIF(Pivot!B:B,C137,Pivot!C:C),SUMIF(Pivot!B:B,C137,Pivot!D:D),SUMIF(Pivot!B:B,C137,Pivot!E:E))</f>
        <v>0</v>
      </c>
      <c r="E137" s="9"/>
      <c r="G137" s="1" t="str">
        <f t="shared" si="49"/>
        <v>0-68</v>
      </c>
      <c r="H137" s="83">
        <f>COUNTIF($D$64:D137,D137)</f>
        <v>68</v>
      </c>
      <c r="I137" s="1">
        <v>74</v>
      </c>
      <c r="J137" s="1" t="str">
        <f>INDEX($C$64:$C$143,MATCH(IF(K137=K136,K137&amp;"-"&amp;COUNTIF($K$64:K137,K137),K137&amp;"-1"),$G$64:$G$143,0))</f>
        <v>-</v>
      </c>
      <c r="K137" s="1">
        <f t="shared" si="47"/>
        <v>0</v>
      </c>
    </row>
    <row r="138" spans="2:22" ht="15" customHeight="1" x14ac:dyDescent="0.35">
      <c r="B138" s="309"/>
      <c r="C138" s="1" t="str">
        <f>Data!I9</f>
        <v>-</v>
      </c>
      <c r="D138" s="52">
        <f>SUM(SUMIF(Pivot!B:B,C138,Pivot!C:C),SUMIF(Pivot!B:B,C138,Pivot!D:D),SUMIF(Pivot!B:B,C138,Pivot!E:E))</f>
        <v>0</v>
      </c>
      <c r="E138" s="9"/>
      <c r="G138" s="1" t="str">
        <f t="shared" si="49"/>
        <v>0-69</v>
      </c>
      <c r="H138" s="83">
        <f>COUNTIF($D$64:D138,D138)</f>
        <v>69</v>
      </c>
      <c r="I138" s="1">
        <v>75</v>
      </c>
      <c r="J138" s="1" t="str">
        <f>INDEX($C$64:$C$143,MATCH(IF(K138=K137,K138&amp;"-"&amp;COUNTIF($K$64:K138,K138),K138&amp;"-1"),$G$64:$G$143,0))</f>
        <v>-</v>
      </c>
      <c r="K138" s="1">
        <f t="shared" si="47"/>
        <v>0</v>
      </c>
    </row>
    <row r="139" spans="2:22" ht="15" customHeight="1" x14ac:dyDescent="0.35">
      <c r="B139" s="309"/>
      <c r="C139" s="1" t="str">
        <f>Data!I10</f>
        <v>-</v>
      </c>
      <c r="D139" s="52">
        <f>SUM(SUMIF(Pivot!B:B,C139,Pivot!C:C),SUMIF(Pivot!B:B,C139,Pivot!D:D),SUMIF(Pivot!B:B,C139,Pivot!E:E))</f>
        <v>0</v>
      </c>
      <c r="E139" s="9"/>
      <c r="G139" s="1" t="str">
        <f t="shared" si="49"/>
        <v>0-70</v>
      </c>
      <c r="H139" s="83">
        <f>COUNTIF($D$64:D139,D139)</f>
        <v>70</v>
      </c>
      <c r="I139" s="1">
        <v>76</v>
      </c>
      <c r="J139" s="1" t="str">
        <f>INDEX($C$64:$C$143,MATCH(IF(K139=K138,K139&amp;"-"&amp;COUNTIF($K$64:K139,K139),K139&amp;"-1"),$G$64:$G$143,0))</f>
        <v>-</v>
      </c>
      <c r="K139" s="1">
        <f t="shared" si="47"/>
        <v>0</v>
      </c>
    </row>
    <row r="140" spans="2:22" ht="15" customHeight="1" x14ac:dyDescent="0.35">
      <c r="B140" s="309"/>
      <c r="C140" s="1" t="str">
        <f>Data!I11</f>
        <v>-</v>
      </c>
      <c r="D140" s="52">
        <f>SUM(SUMIF(Pivot!B:B,C140,Pivot!C:C),SUMIF(Pivot!B:B,C140,Pivot!D:D),SUMIF(Pivot!B:B,C140,Pivot!E:E))</f>
        <v>0</v>
      </c>
      <c r="E140" s="9"/>
      <c r="G140" s="1" t="str">
        <f t="shared" si="49"/>
        <v>0-71</v>
      </c>
      <c r="H140" s="83">
        <f>COUNTIF($D$64:D140,D140)</f>
        <v>71</v>
      </c>
      <c r="I140" s="1">
        <v>77</v>
      </c>
      <c r="J140" s="1" t="str">
        <f>INDEX($C$64:$C$143,MATCH(IF(K140=K139,K140&amp;"-"&amp;COUNTIF($K$64:K140,K140),K140&amp;"-1"),$G$64:$G$143,0))</f>
        <v>-</v>
      </c>
      <c r="K140" s="1">
        <f t="shared" si="47"/>
        <v>0</v>
      </c>
    </row>
    <row r="141" spans="2:22" ht="15" customHeight="1" x14ac:dyDescent="0.35">
      <c r="B141" s="309"/>
      <c r="C141" s="1" t="str">
        <f>Data!I12</f>
        <v>-</v>
      </c>
      <c r="D141" s="52">
        <f>SUM(SUMIF(Pivot!B:B,C141,Pivot!C:C),SUMIF(Pivot!B:B,C141,Pivot!D:D),SUMIF(Pivot!B:B,C141,Pivot!E:E))</f>
        <v>0</v>
      </c>
      <c r="E141" s="9"/>
      <c r="G141" s="1" t="str">
        <f t="shared" ref="G141:G143" si="50">D141&amp;"-"&amp;H141</f>
        <v>0-72</v>
      </c>
      <c r="H141" s="83">
        <f>COUNTIF($D$64:D141,D141)</f>
        <v>72</v>
      </c>
      <c r="I141" s="1">
        <v>78</v>
      </c>
      <c r="J141" s="1" t="str">
        <f>INDEX($C$64:$C$143,MATCH(IF(K141=K140,K141&amp;"-"&amp;COUNTIF($K$64:K141,K141),K141&amp;"-1"),$G$64:$G$143,0))</f>
        <v>-</v>
      </c>
      <c r="K141" s="1">
        <f t="shared" si="47"/>
        <v>0</v>
      </c>
      <c r="Q141" s="50"/>
      <c r="R141"/>
      <c r="S141"/>
      <c r="T141"/>
      <c r="U141"/>
      <c r="V141"/>
    </row>
    <row r="142" spans="2:22" ht="15" customHeight="1" x14ac:dyDescent="0.35">
      <c r="B142" s="309"/>
      <c r="C142" s="1" t="str">
        <f>Data!I13</f>
        <v>-</v>
      </c>
      <c r="D142" s="52">
        <f>SUM(SUMIF(Pivot!B:B,C142,Pivot!C:C),SUMIF(Pivot!B:B,C142,Pivot!D:D),SUMIF(Pivot!B:B,C142,Pivot!E:E))</f>
        <v>0</v>
      </c>
      <c r="E142" s="9"/>
      <c r="G142" s="1" t="str">
        <f t="shared" si="50"/>
        <v>0-73</v>
      </c>
      <c r="H142" s="83">
        <f>COUNTIF($D$64:D142,D142)</f>
        <v>73</v>
      </c>
      <c r="I142" s="1">
        <v>79</v>
      </c>
      <c r="J142" s="1" t="str">
        <f>INDEX($C$64:$C$143,MATCH(IF(K142=K141,K142&amp;"-"&amp;COUNTIF($K$64:K142,K142),K142&amp;"-1"),$G$64:$G$143,0))</f>
        <v>-</v>
      </c>
      <c r="K142" s="1">
        <f t="shared" si="47"/>
        <v>0</v>
      </c>
      <c r="Q142" s="50"/>
      <c r="R142"/>
      <c r="S142"/>
      <c r="T142"/>
      <c r="U142"/>
      <c r="V142"/>
    </row>
    <row r="143" spans="2:22" ht="15" customHeight="1" thickBot="1" x14ac:dyDescent="0.4">
      <c r="B143" s="310"/>
      <c r="C143" s="191" t="str">
        <f>Data!I14</f>
        <v>-</v>
      </c>
      <c r="D143" s="192">
        <f>SUM(SUMIF(Pivot!B:B,C143,Pivot!C:C),SUMIF(Pivot!B:B,C143,Pivot!D:D),SUMIF(Pivot!B:B,C143,Pivot!E:E))</f>
        <v>0</v>
      </c>
      <c r="E143" s="193"/>
      <c r="F143" s="191"/>
      <c r="G143" s="191" t="str">
        <f t="shared" si="50"/>
        <v>0-74</v>
      </c>
      <c r="H143" s="194">
        <f>COUNTIF($D$64:D143,D143)</f>
        <v>74</v>
      </c>
      <c r="I143" s="1">
        <v>80</v>
      </c>
      <c r="J143" s="1" t="str">
        <f>INDEX($C$64:$C$143,MATCH(IF(K143=K142,K143&amp;"-"&amp;COUNTIF($K$64:K143,K143),K143&amp;"-1"),$G$64:$G$143,0))</f>
        <v>-</v>
      </c>
      <c r="K143" s="1">
        <f t="shared" si="47"/>
        <v>0</v>
      </c>
      <c r="Q143" s="50"/>
      <c r="R143"/>
      <c r="S143"/>
      <c r="T143"/>
      <c r="U143"/>
      <c r="V143"/>
    </row>
    <row r="144" spans="2:22" ht="15" customHeight="1" x14ac:dyDescent="0.35">
      <c r="B144" s="7" t="s">
        <v>145</v>
      </c>
      <c r="D144" s="52">
        <f>SUM(D64:D143)</f>
        <v>358.63000000000005</v>
      </c>
    </row>
    <row r="146" spans="2:13" ht="15.5" x14ac:dyDescent="0.35">
      <c r="B146" s="23" t="s">
        <v>142</v>
      </c>
      <c r="C146" s="23" t="s">
        <v>15</v>
      </c>
    </row>
    <row r="147" spans="2:13" x14ac:dyDescent="0.35">
      <c r="B147" s="52">
        <f>SUM(D104:D143)</f>
        <v>217.23000000000002</v>
      </c>
      <c r="C147" s="52">
        <f>SUM(D64:D103)</f>
        <v>141.4</v>
      </c>
    </row>
    <row r="148" spans="2:13" ht="15" thickBot="1" x14ac:dyDescent="0.4">
      <c r="B148" s="9">
        <f>IFERROR(B147/(B147+C147),)</f>
        <v>0.60572177453085363</v>
      </c>
      <c r="C148" s="14">
        <f>IF(B148=0,"0%",1-B148)</f>
        <v>0.39427822546914637</v>
      </c>
    </row>
    <row r="149" spans="2:13" ht="16.5" thickTop="1" thickBot="1" x14ac:dyDescent="0.4">
      <c r="B149" s="158" t="s">
        <v>230</v>
      </c>
      <c r="C149" s="159">
        <f>SUM(IFERROR(INDEX(C152:C163,AJ27),),IFERROR(INDEX(C152:C163,AJ28),),IFERROR(INDEX(C152:C163,AJ29),),IFERROR(INDEX(C152:C163,AJ30),),IFERROR(INDEX(C152:C163,AJ31),),IFERROR(INDEX(C152:C163,AJ32),),IFERROR(INDEX(C152:C163,AJ33),),IFERROR(INDEX(C152:C163,AJ34),),IFERROR(INDEX(C152:C163,AJ35),),IFERROR(INDEX(C152:C163,AJ36),),IFERROR(INDEX(C152:C163,AJ37),),IFERROR(INDEX(C152:C163,AJ38),))</f>
        <v>0</v>
      </c>
      <c r="E149"/>
    </row>
    <row r="150" spans="2:13" ht="15" thickTop="1" x14ac:dyDescent="0.35">
      <c r="B150" s="155" t="s">
        <v>9</v>
      </c>
      <c r="C150" s="52"/>
      <c r="D150" s="161">
        <f>SUM(IFERROR(INDEX(D152:D163,$AJ$27),),IFERROR(INDEX(D152:D163,$AJ$28),),IFERROR(INDEX(D152:D163,$AJ$29),),IFERROR(INDEX(D152:D163,$AJ$30),),IFERROR(INDEX(D152:D163,$AJ$31),),IFERROR(INDEX(D152:D163,$AJ$32),),IFERROR(INDEX(D152:D163,$AJ$33),),IFERROR(INDEX(D152:D163,$AJ$34),),IFERROR(INDEX(D152:D163,$AJ$35),),IFERROR(INDEX(D152:D163,$AJ$36),),IFERROR(INDEX(D152:D163,$AJ$37),),IFERROR(INDEX(D152:D163,$AJ$38),))</f>
        <v>0</v>
      </c>
      <c r="E150" s="161">
        <f>SUM(IFERROR(INDEX(E152:E163,$AJ$27),),IFERROR(INDEX(E152:E163,$AJ$28),),IFERROR(INDEX(E152:E163,$AJ$29),),IFERROR(INDEX(E152:E163,$AJ$30),),IFERROR(INDEX(E152:E163,$AJ$31),),IFERROR(INDEX(E152:E163,$AJ$32),),IFERROR(INDEX(E152:E163,$AJ$33),),IFERROR(INDEX(E152:E163,$AJ$34),),IFERROR(INDEX(E152:E163,$AJ$35),),IFERROR(INDEX(E152:E163,$AJ$36),),IFERROR(INDEX(E152:E163,$AJ$37),),IFERROR(INDEX(E152:E163,$AJ$38),))</f>
        <v>0</v>
      </c>
      <c r="F150" s="170">
        <f>SUM(IFERROR(INDEX(F152:F163,$AJ$27),),IFERROR(INDEX(F152:F163,$AJ$28),),IFERROR(INDEX(F152:F163,$AJ$29),),IFERROR(INDEX(F152:F163,$AJ$30),),IFERROR(INDEX(F152:F163,$AJ$31),),IFERROR(INDEX(F152:F163,$AJ$32),),IFERROR(INDEX(F152:F163,$AJ$33),),IFERROR(INDEX(F152:F163,$AJ$34),),IFERROR(INDEX(F152:F163,$AJ$35),),IFERROR(INDEX(F152:F163,$AJ$36),),IFERROR(INDEX(F152:F163,$AJ$37),),IFERROR(INDEX(F152:F163,$AJ$38),))</f>
        <v>0</v>
      </c>
      <c r="G150" s="130"/>
      <c r="H150" s="130"/>
      <c r="I150" s="130"/>
      <c r="J150" s="130"/>
      <c r="K150" s="130"/>
      <c r="L150" s="131"/>
    </row>
    <row r="151" spans="2:13" x14ac:dyDescent="0.35">
      <c r="B151" s="132" t="s">
        <v>53</v>
      </c>
      <c r="C151" s="1" t="s">
        <v>146</v>
      </c>
      <c r="D151" s="1" t="s">
        <v>147</v>
      </c>
      <c r="E151" s="1" t="s">
        <v>148</v>
      </c>
      <c r="F151" s="52" t="s">
        <v>149</v>
      </c>
      <c r="H151" s="1" t="s">
        <v>150</v>
      </c>
      <c r="I151" s="1" t="s">
        <v>103</v>
      </c>
      <c r="K151" s="52">
        <f>P27</f>
        <v>0</v>
      </c>
      <c r="L151" s="133">
        <f>J17</f>
        <v>0</v>
      </c>
    </row>
    <row r="152" spans="2:13" x14ac:dyDescent="0.35">
      <c r="B152" s="132" t="s">
        <v>54</v>
      </c>
      <c r="C152" s="156">
        <f>IFERROR(IF(GETPIVOTDATA(""&amp;$B$149,Pivot!$AN$12,""&amp;$B$150,B151)=0,GETPIVOTDATA(""&amp;$B$149,Pivot!$AN$12,""&amp;$B$150,B151),GETPIVOTDATA(""&amp;$B$149,Pivot!$AN$12,""&amp;$B$150,B151)),)</f>
        <v>0</v>
      </c>
      <c r="D152" s="10">
        <v>0</v>
      </c>
      <c r="E152" s="10">
        <v>0</v>
      </c>
      <c r="F152" s="52">
        <f>IF(C152&lt;&gt;0,SUM($C$152:C152),0)</f>
        <v>0</v>
      </c>
      <c r="G152" s="1">
        <v>1</v>
      </c>
      <c r="H152" s="1" t="e">
        <f>IFERROR(GETPIVOTDATA(""&amp;$B$149,Pivot!AK12,""&amp;$B$150,B151),NA())</f>
        <v>#N/A</v>
      </c>
      <c r="I152" s="1" t="s">
        <v>151</v>
      </c>
      <c r="K152" s="9">
        <f>IFERROR(K151/L151,)</f>
        <v>0</v>
      </c>
      <c r="L152" s="134">
        <f>IFERROR(1-K152,)</f>
        <v>1</v>
      </c>
    </row>
    <row r="153" spans="2:13" ht="15.5" x14ac:dyDescent="0.35">
      <c r="B153" s="132" t="s">
        <v>55</v>
      </c>
      <c r="C153" s="156">
        <f>IFERROR(IF(GETPIVOTDATA(""&amp;$B$149,Pivot!$AQ$12,""&amp;$B$150,B152)=0,GETPIVOTDATA(""&amp;$B$149,Pivot!$AQ$12,""&amp;$B$150,B152),GETPIVOTDATA(""&amp;$B$149,Pivot!$AQ$12,""&amp;$B$150,B152)),)</f>
        <v>0</v>
      </c>
      <c r="D153">
        <f>IFERROR(TEXT(C153/SUM($C$152:C152),"+# ##0%;-# ##0%"),)</f>
        <v>0</v>
      </c>
      <c r="E153">
        <f>IFERROR(TEXT((SUM($C$152:C153)-$C$152)/$C$152,"+# ##0,0%;-# ##0,0%"),)</f>
        <v>0</v>
      </c>
      <c r="F153" s="52">
        <f>IF(C153&lt;&gt;0,SUM($C$152:C153),0)</f>
        <v>0</v>
      </c>
      <c r="G153" s="1">
        <v>2</v>
      </c>
      <c r="H153" s="1" t="e">
        <f>IFERROR(GETPIVOTDATA(""&amp;$B$149,Pivot!AK13,""&amp;$B$150,B152),NA())</f>
        <v>#N/A</v>
      </c>
      <c r="I153" s="1" t="s">
        <v>152</v>
      </c>
      <c r="K153" s="17">
        <f>IFERROR(IF(K152&gt;1,0,(L151-K151)/K151),)</f>
        <v>0</v>
      </c>
      <c r="L153" s="134">
        <f>IFERROR(1-K153,)</f>
        <v>1</v>
      </c>
    </row>
    <row r="154" spans="2:13" ht="15.5" x14ac:dyDescent="0.35">
      <c r="B154" s="132" t="s">
        <v>57</v>
      </c>
      <c r="C154" s="156">
        <f>IFERROR(IF(GETPIVOTDATA(""&amp;$B$149,Pivot!$AQ$12,""&amp;$B$150,B153)=0,GETPIVOTDATA(""&amp;$B$149,Pivot!$AQ$12,""&amp;$B$150,B153),GETPIVOTDATA(""&amp;$B$149,Pivot!$AQ$12,""&amp;$B$150,B153)),)</f>
        <v>0</v>
      </c>
      <c r="D154">
        <f>IFERROR(TEXT(C154/SUM($C$152:C153),"+# ##0%;-# ##0%"),)</f>
        <v>0</v>
      </c>
      <c r="E154">
        <f>IFERROR(TEXT((SUM($C$152:C154)-$C$152)/$C$152,"+# ##0,0%;-# ##0,0%"),)</f>
        <v>0</v>
      </c>
      <c r="F154" s="52">
        <f>IF(C154&lt;&gt;0,SUM($C$152:C154),0)</f>
        <v>0</v>
      </c>
      <c r="G154" s="1">
        <v>3</v>
      </c>
      <c r="H154" s="1" t="e">
        <f>IFERROR(GETPIVOTDATA(""&amp;$B$149,Pivot!AK14,""&amp;$B$150,B153),NA())</f>
        <v>#N/A</v>
      </c>
      <c r="K154" s="47" t="str">
        <f>IF(K152=0,"0%",IFERROR(IF(K152&gt;1,L151/K151,1),))</f>
        <v>0%</v>
      </c>
      <c r="L154" s="134">
        <f>IFERROR(1-K154,)</f>
        <v>1</v>
      </c>
      <c r="M154" s="10"/>
    </row>
    <row r="155" spans="2:13" ht="15.5" x14ac:dyDescent="0.35">
      <c r="B155" s="132" t="s">
        <v>61</v>
      </c>
      <c r="C155" s="156">
        <f>IFERROR(IF(GETPIVOTDATA(""&amp;$B$149,Pivot!$AQ$12,""&amp;$B$150,B154)=0,GETPIVOTDATA(""&amp;$B$149,Pivot!$AQ$12,""&amp;$B$150,B154),GETPIVOTDATA(""&amp;$B$149,Pivot!$AQ$12,""&amp;$B$150,B154)),)</f>
        <v>0</v>
      </c>
      <c r="D155">
        <f>IFERROR(TEXT(C155/SUM($C$152:C154),"+# ##0%;-# ##0%"),)</f>
        <v>0</v>
      </c>
      <c r="E155">
        <f>IFERROR(TEXT((SUM($C$152:C155)-$C$152)/$C$152,"+# ##0,0%;-# ##0,0%"),)</f>
        <v>0</v>
      </c>
      <c r="F155" s="52">
        <f>IF(C155&lt;&gt;0,SUM($C$152:C155),0)</f>
        <v>0</v>
      </c>
      <c r="G155" s="1">
        <v>4</v>
      </c>
      <c r="H155" s="1" t="e">
        <f>IFERROR(GETPIVOTDATA(""&amp;$B$149,Pivot!AK15,""&amp;$B$150,B154),NA())</f>
        <v>#N/A</v>
      </c>
      <c r="K155" s="1" t="s">
        <v>153</v>
      </c>
      <c r="L155" s="134">
        <f>IFERROR(IF(K153,K153,0-L154),)</f>
        <v>-1</v>
      </c>
      <c r="M155" s="9"/>
    </row>
    <row r="156" spans="2:13" ht="15.5" x14ac:dyDescent="0.35">
      <c r="B156" s="132" t="s">
        <v>63</v>
      </c>
      <c r="C156" s="156">
        <f>IFERROR(IF(GETPIVOTDATA(""&amp;$B$149,Pivot!$AQ$12,""&amp;$B$150,B155)=0,GETPIVOTDATA(""&amp;$B$149,Pivot!$AQ$12,""&amp;$B$150,B155),GETPIVOTDATA(""&amp;$B$149,Pivot!$AQ$12,""&amp;$B$150,B155)),)</f>
        <v>0</v>
      </c>
      <c r="D156">
        <f>IFERROR(TEXT(C156/SUM($C$152:C155),"+# ##0%;-# ##0%"),)</f>
        <v>0</v>
      </c>
      <c r="E156">
        <f>IFERROR(TEXT((SUM($C$152:C156)-$C$152)/$C$152,"+# ##0,0%;-# ##0,0%"),)</f>
        <v>0</v>
      </c>
      <c r="F156" s="52">
        <f>IF(C156&lt;&gt;0,SUM($C$152:C156),0)</f>
        <v>0</v>
      </c>
      <c r="G156" s="1">
        <v>5</v>
      </c>
      <c r="H156" s="1">
        <f>IFERROR(GETPIVOTDATA(""&amp;$B$149,Pivot!AK16,""&amp;$B$150,B155),NA())</f>
        <v>0</v>
      </c>
      <c r="L156" s="135"/>
    </row>
    <row r="157" spans="2:13" ht="15.5" x14ac:dyDescent="0.35">
      <c r="B157" s="132" t="s">
        <v>65</v>
      </c>
      <c r="C157" s="156">
        <f>IFERROR(IF(GETPIVOTDATA(""&amp;$B$149,Pivot!$AQ$12,""&amp;$B$150,B156)=0,GETPIVOTDATA(""&amp;$B$149,Pivot!$AQ$12,""&amp;$B$150,B156),GETPIVOTDATA(""&amp;$B$149,Pivot!$AQ$12,""&amp;$B$150,B156)),)</f>
        <v>0</v>
      </c>
      <c r="D157">
        <f>IFERROR(TEXT(C157/SUM($C$152:C156),"+# ##0%;-# ##0%"),)</f>
        <v>0</v>
      </c>
      <c r="E157">
        <f>IFERROR(TEXT((SUM($C$152:C157)-$C$152)/$C$152,"+# ##0,0%;-# ##0,0%"),)</f>
        <v>0</v>
      </c>
      <c r="F157" s="52">
        <f>IF(C157&lt;&gt;0,SUM($C$152:C157),0)</f>
        <v>0</v>
      </c>
      <c r="G157" s="1">
        <v>6</v>
      </c>
      <c r="H157" s="1" t="e">
        <f>IFERROR(GETPIVOTDATA(""&amp;$B$149,Pivot!AK17,""&amp;$B$150,B156),NA())</f>
        <v>#N/A</v>
      </c>
      <c r="L157" s="135"/>
    </row>
    <row r="158" spans="2:13" ht="15.5" x14ac:dyDescent="0.35">
      <c r="B158" s="132" t="s">
        <v>66</v>
      </c>
      <c r="C158" s="156">
        <f>IFERROR(IF(GETPIVOTDATA(""&amp;$B$149,Pivot!$AQ$12,""&amp;$B$150,B157)=0,GETPIVOTDATA(""&amp;$B$149,Pivot!$AQ$12,""&amp;$B$150,B157),GETPIVOTDATA(""&amp;$B$149,Pivot!$AQ$12,""&amp;$B$150,B157)),)</f>
        <v>0</v>
      </c>
      <c r="D158">
        <f>IFERROR(TEXT(C158/SUM($C$152:C157),"+# ##0%;-# ##0%"),)</f>
        <v>0</v>
      </c>
      <c r="E158">
        <f>IFERROR(TEXT((SUM($C$152:C158)-$C$152)/$C$152,"+# ##0,0%;-# ##0,0%"),)</f>
        <v>0</v>
      </c>
      <c r="F158" s="52">
        <f>IF(C158&lt;&gt;0,SUM($C$152:C158),0)</f>
        <v>0</v>
      </c>
      <c r="G158" s="1">
        <v>7</v>
      </c>
      <c r="H158" s="1" t="e">
        <f>IFERROR(GETPIVOTDATA(""&amp;$B$149,Pivot!AK18,""&amp;$B$150,B157),NA())</f>
        <v>#N/A</v>
      </c>
      <c r="I158" s="13"/>
      <c r="L158" s="135"/>
    </row>
    <row r="159" spans="2:13" ht="15.5" x14ac:dyDescent="0.35">
      <c r="B159" s="132" t="s">
        <v>67</v>
      </c>
      <c r="C159" s="156">
        <f>IFERROR(IF(GETPIVOTDATA(""&amp;$B$149,Pivot!$AQ$12,""&amp;$B$150,B158)=0,GETPIVOTDATA(""&amp;$B$149,Pivot!$AQ$12,""&amp;$B$150,B158),GETPIVOTDATA(""&amp;$B$149,Pivot!$AQ$12,""&amp;$B$150,B158)),)</f>
        <v>0</v>
      </c>
      <c r="D159">
        <f>IFERROR(TEXT(C159/SUM($C$152:C158),"+# ##0%;-# ##0%"),)</f>
        <v>0</v>
      </c>
      <c r="E159">
        <f>IFERROR(TEXT((SUM($C$152:C159)-$C$152)/$C$152,"+# ##0,0%;-# ##0,0%"),)</f>
        <v>0</v>
      </c>
      <c r="F159" s="52">
        <f>IF(C159&lt;&gt;0,SUM($C$152:C159),0)</f>
        <v>0</v>
      </c>
      <c r="G159" s="1">
        <v>8</v>
      </c>
      <c r="H159" s="1" t="e">
        <f>IFERROR(GETPIVOTDATA(""&amp;$B$149,Pivot!AK19,""&amp;$B$150,B158),NA())</f>
        <v>#N/A</v>
      </c>
      <c r="L159" s="135"/>
    </row>
    <row r="160" spans="2:13" ht="15.5" x14ac:dyDescent="0.35">
      <c r="B160" s="132" t="s">
        <v>69</v>
      </c>
      <c r="C160" s="156">
        <f>IFERROR(IF(GETPIVOTDATA(""&amp;$B$149,Pivot!$AQ$12,""&amp;$B$150,B159)=0,GETPIVOTDATA(""&amp;$B$149,Pivot!$AQ$12,""&amp;$B$150,B159),GETPIVOTDATA(""&amp;$B$149,Pivot!$AQ$12,""&amp;$B$150,B159)),)</f>
        <v>0</v>
      </c>
      <c r="D160">
        <f>IFERROR(TEXT(C160/SUM($C$152:C159),"+# ##0%;-# ##0%"),)</f>
        <v>0</v>
      </c>
      <c r="E160">
        <f>IFERROR(TEXT((SUM($C$152:C160)-$C$152)/$C$152,"+# ##0,0%;-# ##0,0%"),)</f>
        <v>0</v>
      </c>
      <c r="F160" s="52">
        <f>IF(C160&lt;&gt;0,SUM($C$152:C160),0)</f>
        <v>0</v>
      </c>
      <c r="G160" s="1">
        <v>9</v>
      </c>
      <c r="H160" s="1" t="e">
        <f>IFERROR(GETPIVOTDATA(""&amp;$B$149,Pivot!AK20,""&amp;$B$150,B159),NA())</f>
        <v>#N/A</v>
      </c>
      <c r="L160" s="135"/>
    </row>
    <row r="161" spans="2:12" ht="15.5" x14ac:dyDescent="0.35">
      <c r="B161" s="132" t="s">
        <v>72</v>
      </c>
      <c r="C161" s="156">
        <f>IFERROR(IF(GETPIVOTDATA(""&amp;$B$149,Pivot!$AQ$12,""&amp;$B$150,B160)=0,GETPIVOTDATA(""&amp;$B$149,Pivot!$AQ$12,""&amp;$B$150,B160),GETPIVOTDATA(""&amp;$B$149,Pivot!$AQ$12,""&amp;$B$150,B160)),)</f>
        <v>0</v>
      </c>
      <c r="D161">
        <f>IFERROR(TEXT(C161/SUM($C$152:C160),"+# ##0%;-# ##0%"),)</f>
        <v>0</v>
      </c>
      <c r="E161">
        <f>IFERROR(TEXT((SUM($C$152:C161)-$C$152)/$C$152,"+# ##0,0%;-# ##0,0%"),)</f>
        <v>0</v>
      </c>
      <c r="F161" s="52">
        <f>IF(C161&lt;&gt;0,SUM($C$152:C161),0)</f>
        <v>0</v>
      </c>
      <c r="G161" s="1">
        <v>10</v>
      </c>
      <c r="H161" s="1" t="e">
        <f>IFERROR(GETPIVOTDATA(""&amp;$B$149,Pivot!AK21,""&amp;$B$150,B160),NA())</f>
        <v>#N/A</v>
      </c>
      <c r="L161" s="135"/>
    </row>
    <row r="162" spans="2:12" ht="15.5" x14ac:dyDescent="0.35">
      <c r="B162" s="132" t="s">
        <v>73</v>
      </c>
      <c r="C162" s="156">
        <f>IFERROR(IF(GETPIVOTDATA(""&amp;$B$149,Pivot!$AQ$12,""&amp;$B$150,B161)=0,GETPIVOTDATA(""&amp;$B$149,Pivot!$AQ$12,""&amp;$B$150,B161),GETPIVOTDATA(""&amp;$B$149,Pivot!$AQ$12,""&amp;$B$150,B161)),)</f>
        <v>0</v>
      </c>
      <c r="D162">
        <f>IFERROR(TEXT(C162/SUM($C$152:C161),"+# ##0%;-# ##0%"),)</f>
        <v>0</v>
      </c>
      <c r="E162">
        <f>IFERROR(TEXT((SUM($C$152:C162)-$C$152)/$C$152,"+# ##0,0%;-# ##0,0%"),)</f>
        <v>0</v>
      </c>
      <c r="F162" s="52">
        <f>IF(C162&lt;&gt;0,SUM($C$152:C162),0)</f>
        <v>0</v>
      </c>
      <c r="G162" s="1">
        <v>11</v>
      </c>
      <c r="H162" s="1" t="e">
        <f>IFERROR(GETPIVOTDATA(""&amp;$B$149,Pivot!AK22,""&amp;$B$150,B161),NA())</f>
        <v>#N/A</v>
      </c>
      <c r="L162" s="135"/>
    </row>
    <row r="163" spans="2:12" ht="15.5" x14ac:dyDescent="0.35">
      <c r="B163" s="132" t="s">
        <v>116</v>
      </c>
      <c r="C163" s="156">
        <f>IFERROR(IF(GETPIVOTDATA(""&amp;$B$149,Pivot!$AQ$12,""&amp;$B$150,B162)=0,GETPIVOTDATA(""&amp;$B$149,Pivot!$AQ$12,""&amp;$B$150,B162),GETPIVOTDATA(""&amp;$B$149,Pivot!$AQ$12,""&amp;$B$150,B162)),)</f>
        <v>0</v>
      </c>
      <c r="D163">
        <f>IFERROR(TEXT(C163/SUM($C$152:C162),"+# ##0%;-# ##0%"),)</f>
        <v>0</v>
      </c>
      <c r="E163">
        <f>IFERROR(TEXT((SUM($C$152:C163)-$C$152)/$C$152,"+# ##0,0%;-# ##0,0%"),)</f>
        <v>0</v>
      </c>
      <c r="F163" s="52">
        <f>IF(C163&lt;&gt;0,SUM($C$152:C163),0)</f>
        <v>0</v>
      </c>
      <c r="G163" s="1">
        <v>12</v>
      </c>
      <c r="H163" s="1" t="e">
        <f>IFERROR(GETPIVOTDATA(""&amp;$B$149,Pivot!AK23,""&amp;$B$150,B162),NA())</f>
        <v>#N/A</v>
      </c>
      <c r="L163" s="135"/>
    </row>
    <row r="164" spans="2:12" ht="15" thickBot="1" x14ac:dyDescent="0.4">
      <c r="B164" s="136"/>
      <c r="C164" s="157">
        <f>SUM(C152:C163)</f>
        <v>0</v>
      </c>
      <c r="D164" s="137"/>
      <c r="E164" s="137"/>
      <c r="F164" s="171">
        <f>SUM(F152:F163)</f>
        <v>0</v>
      </c>
      <c r="G164" s="138"/>
      <c r="H164" s="138" t="e">
        <f>IFERROR(GETPIVOTDATA(""&amp;$B$149,Pivot!AK24,""&amp;$B$150,B163),NA())</f>
        <v>#N/A</v>
      </c>
      <c r="I164" s="138"/>
      <c r="J164" s="138"/>
      <c r="K164" s="138"/>
      <c r="L164" s="139"/>
    </row>
    <row r="165" spans="2:12" x14ac:dyDescent="0.35">
      <c r="E165" s="24"/>
    </row>
    <row r="168" spans="2:12" x14ac:dyDescent="0.35">
      <c r="G168" s="10"/>
    </row>
    <row r="169" spans="2:12" x14ac:dyDescent="0.35">
      <c r="D169" s="160"/>
    </row>
    <row r="170" spans="2:12" x14ac:dyDescent="0.35">
      <c r="D170" s="9"/>
    </row>
    <row r="174" spans="2:12" x14ac:dyDescent="0.35">
      <c r="D174" s="9"/>
    </row>
  </sheetData>
  <sheetProtection pivotTables="0"/>
  <mergeCells count="10">
    <mergeCell ref="K25:K26"/>
    <mergeCell ref="B104:B113"/>
    <mergeCell ref="B114:B123"/>
    <mergeCell ref="B124:B133"/>
    <mergeCell ref="B134:B143"/>
    <mergeCell ref="B64:B73"/>
    <mergeCell ref="B74:B83"/>
    <mergeCell ref="B84:B93"/>
    <mergeCell ref="B94:B103"/>
    <mergeCell ref="J25:J26"/>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36A73-0849-4B4E-BB11-2C1E8679D669}">
  <sheetPr codeName="Sheet4"/>
  <dimension ref="B6:BB201"/>
  <sheetViews>
    <sheetView topLeftCell="AX1" zoomScale="94" zoomScaleNormal="94" workbookViewId="0">
      <selection activeCell="BC6" sqref="BC6"/>
    </sheetView>
  </sheetViews>
  <sheetFormatPr defaultColWidth="10.6640625" defaultRowHeight="15.5" x14ac:dyDescent="0.35"/>
  <cols>
    <col min="2" max="2" width="22.83203125" bestFit="1" customWidth="1"/>
    <col min="3" max="3" width="12.6640625" bestFit="1" customWidth="1"/>
    <col min="4" max="4" width="17.5" bestFit="1" customWidth="1"/>
    <col min="5" max="5" width="17.33203125" bestFit="1" customWidth="1"/>
    <col min="6" max="6" width="13.5" bestFit="1" customWidth="1"/>
    <col min="7" max="7" width="18.33203125" bestFit="1" customWidth="1"/>
    <col min="8" max="8" width="18.1640625" bestFit="1" customWidth="1"/>
    <col min="9" max="9" width="14.1640625" bestFit="1" customWidth="1"/>
    <col min="10" max="10" width="14" bestFit="1" customWidth="1"/>
    <col min="11" max="11" width="13.83203125" bestFit="1" customWidth="1"/>
    <col min="12" max="12" width="13" bestFit="1" customWidth="1"/>
    <col min="13" max="13" width="32.33203125" bestFit="1" customWidth="1"/>
    <col min="14" max="14" width="14" bestFit="1" customWidth="1"/>
    <col min="15" max="15" width="13.83203125" bestFit="1" customWidth="1"/>
    <col min="16" max="16" width="13" bestFit="1" customWidth="1"/>
    <col min="17" max="17" width="13.83203125" bestFit="1" customWidth="1"/>
    <col min="18" max="18" width="13" bestFit="1" customWidth="1"/>
    <col min="19" max="19" width="26.1640625" bestFit="1" customWidth="1"/>
    <col min="20" max="20" width="27.1640625" bestFit="1" customWidth="1"/>
    <col min="21" max="21" width="31.5" bestFit="1" customWidth="1"/>
    <col min="22" max="22" width="22.83203125" bestFit="1" customWidth="1"/>
    <col min="23" max="23" width="22.33203125" bestFit="1" customWidth="1"/>
    <col min="24" max="24" width="23.6640625" bestFit="1" customWidth="1"/>
    <col min="25" max="25" width="21.5" bestFit="1" customWidth="1"/>
    <col min="26" max="26" width="26.83203125" bestFit="1" customWidth="1"/>
    <col min="27" max="27" width="18" bestFit="1" customWidth="1"/>
    <col min="28" max="28" width="28.5" bestFit="1" customWidth="1"/>
    <col min="29" max="29" width="9.33203125" bestFit="1" customWidth="1"/>
    <col min="30" max="30" width="13" bestFit="1" customWidth="1"/>
    <col min="31" max="31" width="20.33203125" bestFit="1" customWidth="1"/>
    <col min="32" max="32" width="12.83203125" bestFit="1" customWidth="1"/>
    <col min="33" max="33" width="21.1640625" bestFit="1" customWidth="1"/>
    <col min="34" max="34" width="22.33203125" bestFit="1" customWidth="1"/>
    <col min="35" max="35" width="16.6640625" bestFit="1" customWidth="1"/>
    <col min="36" max="36" width="11.6640625" bestFit="1" customWidth="1"/>
    <col min="37" max="37" width="13" bestFit="1" customWidth="1"/>
    <col min="38" max="38" width="20.33203125" bestFit="1" customWidth="1"/>
    <col min="39" max="39" width="25" bestFit="1" customWidth="1"/>
    <col min="40" max="40" width="13" bestFit="1" customWidth="1"/>
    <col min="41" max="41" width="20.33203125" bestFit="1" customWidth="1"/>
    <col min="42" max="43" width="13" bestFit="1" customWidth="1"/>
    <col min="44" max="44" width="20.33203125" bestFit="1" customWidth="1"/>
    <col min="45" max="45" width="9.33203125" bestFit="1" customWidth="1"/>
    <col min="46" max="46" width="13" bestFit="1" customWidth="1"/>
    <col min="47" max="47" width="18.33203125" bestFit="1" customWidth="1"/>
    <col min="48" max="48" width="19.1640625" bestFit="1" customWidth="1"/>
    <col min="49" max="49" width="14.83203125" bestFit="1" customWidth="1"/>
    <col min="50" max="50" width="20.5" bestFit="1" customWidth="1"/>
    <col min="51" max="51" width="23.6640625" bestFit="1" customWidth="1"/>
    <col min="52" max="52" width="20.5" bestFit="1" customWidth="1"/>
    <col min="53" max="53" width="13" bestFit="1" customWidth="1"/>
    <col min="54" max="54" width="20.33203125" bestFit="1" customWidth="1"/>
    <col min="55" max="55" width="28.5" bestFit="1" customWidth="1"/>
    <col min="56" max="56" width="20.5" bestFit="1" customWidth="1"/>
    <col min="57" max="93" width="17.5" bestFit="1" customWidth="1"/>
    <col min="94" max="94" width="22.1640625" bestFit="1" customWidth="1"/>
    <col min="95" max="95" width="22.33203125" bestFit="1" customWidth="1"/>
    <col min="96" max="122" width="20.5" bestFit="1" customWidth="1"/>
    <col min="123" max="123" width="17.5" bestFit="1" customWidth="1"/>
    <col min="124" max="124" width="22.33203125" bestFit="1" customWidth="1"/>
    <col min="125" max="125" width="22.1640625" bestFit="1" customWidth="1"/>
  </cols>
  <sheetData>
    <row r="6" spans="2:54" x14ac:dyDescent="0.35">
      <c r="B6" s="32"/>
    </row>
    <row r="9" spans="2:54" x14ac:dyDescent="0.35">
      <c r="B9" s="32" t="s">
        <v>10</v>
      </c>
      <c r="C9" t="s">
        <v>276</v>
      </c>
      <c r="D9" s="92" t="str">
        <f>IF(Pivot!C9="(All)","All",IF(Pivot!C9="(Multiple Items)","Multiple Years",Pivot!C9))</f>
        <v>2025</v>
      </c>
      <c r="R9" s="32" t="s">
        <v>10</v>
      </c>
      <c r="S9" t="s">
        <v>276</v>
      </c>
      <c r="AT9" s="32" t="s">
        <v>10</v>
      </c>
      <c r="AU9" t="s">
        <v>276</v>
      </c>
      <c r="BA9" s="32" t="s">
        <v>10</v>
      </c>
      <c r="BB9" t="s">
        <v>276</v>
      </c>
    </row>
    <row r="10" spans="2:54" x14ac:dyDescent="0.35">
      <c r="B10" s="32" t="s">
        <v>9</v>
      </c>
      <c r="C10" t="s">
        <v>61</v>
      </c>
      <c r="D10" s="92">
        <f>IF(Pivot!C10="(Multiple Items)","Multiple Months",INDEX(Processing!B5:B16,MATCH(Pivot!C10,Processing!C5:C16,0)))</f>
        <v>5</v>
      </c>
      <c r="R10" s="32" t="s">
        <v>9</v>
      </c>
      <c r="S10" t="s">
        <v>61</v>
      </c>
      <c r="AN10" s="32" t="s">
        <v>10</v>
      </c>
      <c r="AO10" t="s">
        <v>276</v>
      </c>
      <c r="AT10" s="32" t="s">
        <v>9</v>
      </c>
      <c r="AU10" t="s">
        <v>61</v>
      </c>
      <c r="BA10" s="32" t="s">
        <v>9</v>
      </c>
      <c r="BB10" t="s">
        <v>61</v>
      </c>
    </row>
    <row r="12" spans="2:54" x14ac:dyDescent="0.35">
      <c r="B12" s="32" t="s">
        <v>177</v>
      </c>
      <c r="C12" t="s">
        <v>179</v>
      </c>
      <c r="D12" t="s">
        <v>180</v>
      </c>
      <c r="E12" t="s">
        <v>181</v>
      </c>
      <c r="F12" t="s">
        <v>182</v>
      </c>
      <c r="G12" t="s">
        <v>183</v>
      </c>
      <c r="H12" t="s">
        <v>184</v>
      </c>
      <c r="I12" t="s">
        <v>185</v>
      </c>
      <c r="J12" t="s">
        <v>186</v>
      </c>
      <c r="K12" t="s">
        <v>187</v>
      </c>
      <c r="M12" s="32" t="s">
        <v>177</v>
      </c>
      <c r="N12" t="s">
        <v>186</v>
      </c>
      <c r="P12" s="32" t="s">
        <v>177</v>
      </c>
      <c r="R12" s="32" t="s">
        <v>177</v>
      </c>
      <c r="S12" t="s">
        <v>213</v>
      </c>
      <c r="T12" t="s">
        <v>214</v>
      </c>
      <c r="U12" t="s">
        <v>215</v>
      </c>
      <c r="V12" t="s">
        <v>216</v>
      </c>
      <c r="W12" t="s">
        <v>217</v>
      </c>
      <c r="X12" t="s">
        <v>218</v>
      </c>
      <c r="Y12" t="s">
        <v>219</v>
      </c>
      <c r="Z12" t="s">
        <v>220</v>
      </c>
      <c r="AA12" t="s">
        <v>221</v>
      </c>
      <c r="AB12" t="s">
        <v>223</v>
      </c>
      <c r="AD12" s="32" t="s">
        <v>177</v>
      </c>
      <c r="AE12" t="s">
        <v>231</v>
      </c>
      <c r="AF12" t="s">
        <v>237</v>
      </c>
      <c r="AG12" t="s">
        <v>238</v>
      </c>
      <c r="AH12" t="s">
        <v>239</v>
      </c>
      <c r="AI12" t="s">
        <v>240</v>
      </c>
      <c r="AK12" s="32" t="s">
        <v>177</v>
      </c>
      <c r="AL12" t="s">
        <v>231</v>
      </c>
      <c r="AN12" s="32" t="s">
        <v>177</v>
      </c>
      <c r="AO12" t="s">
        <v>231</v>
      </c>
      <c r="AQ12" s="32" t="s">
        <v>177</v>
      </c>
      <c r="AR12" t="s">
        <v>231</v>
      </c>
      <c r="AT12" s="32" t="s">
        <v>177</v>
      </c>
      <c r="AU12" t="s">
        <v>241</v>
      </c>
      <c r="AV12" t="s">
        <v>242</v>
      </c>
      <c r="AW12" t="s">
        <v>243</v>
      </c>
      <c r="AX12" t="s">
        <v>244</v>
      </c>
      <c r="AY12" t="s">
        <v>245</v>
      </c>
      <c r="BA12" s="32" t="s">
        <v>177</v>
      </c>
      <c r="BB12" t="s">
        <v>231</v>
      </c>
    </row>
    <row r="13" spans="2:54" x14ac:dyDescent="0.35">
      <c r="B13" s="31">
        <v>1</v>
      </c>
      <c r="C13" s="62">
        <v>0</v>
      </c>
      <c r="D13" s="62">
        <v>0</v>
      </c>
      <c r="E13" s="62">
        <v>0</v>
      </c>
      <c r="F13" s="62">
        <v>0</v>
      </c>
      <c r="G13" s="62">
        <v>0</v>
      </c>
      <c r="H13" s="62">
        <v>0</v>
      </c>
      <c r="I13">
        <v>0</v>
      </c>
      <c r="K13">
        <v>0</v>
      </c>
      <c r="M13" s="31" t="s">
        <v>276</v>
      </c>
      <c r="P13" s="31">
        <v>1</v>
      </c>
      <c r="R13" s="31">
        <v>1</v>
      </c>
      <c r="AD13" s="31" t="s">
        <v>276</v>
      </c>
      <c r="AH13">
        <v>0</v>
      </c>
      <c r="AK13" s="31" t="s">
        <v>276</v>
      </c>
      <c r="AL13">
        <v>0</v>
      </c>
      <c r="AN13" s="31" t="s">
        <v>53</v>
      </c>
      <c r="AO13">
        <v>0</v>
      </c>
      <c r="AQ13" s="31" t="s">
        <v>53</v>
      </c>
      <c r="AT13" s="31">
        <v>1</v>
      </c>
      <c r="BA13" s="31">
        <v>1</v>
      </c>
      <c r="BB13">
        <v>0</v>
      </c>
    </row>
    <row r="14" spans="2:54" x14ac:dyDescent="0.35">
      <c r="B14" s="33" t="s">
        <v>199</v>
      </c>
      <c r="C14" s="63">
        <v>0</v>
      </c>
      <c r="D14" s="63">
        <v>0</v>
      </c>
      <c r="E14" s="63">
        <v>0</v>
      </c>
      <c r="F14" s="63">
        <v>0</v>
      </c>
      <c r="G14" s="63">
        <v>0</v>
      </c>
      <c r="H14" s="63">
        <v>0</v>
      </c>
      <c r="I14">
        <v>0</v>
      </c>
      <c r="K14">
        <v>0</v>
      </c>
      <c r="M14" s="33" t="s">
        <v>61</v>
      </c>
      <c r="P14" s="31">
        <v>2</v>
      </c>
      <c r="R14" s="31">
        <v>2</v>
      </c>
      <c r="AD14" s="33" t="s">
        <v>61</v>
      </c>
      <c r="AH14">
        <v>0</v>
      </c>
      <c r="AK14" s="33" t="s">
        <v>61</v>
      </c>
      <c r="AL14">
        <v>0</v>
      </c>
      <c r="AN14" s="31" t="s">
        <v>54</v>
      </c>
      <c r="AO14">
        <v>0</v>
      </c>
      <c r="AQ14" s="31" t="s">
        <v>54</v>
      </c>
      <c r="AR14">
        <v>0</v>
      </c>
      <c r="AT14" s="31">
        <v>2</v>
      </c>
      <c r="BA14" s="31">
        <v>2</v>
      </c>
      <c r="BB14">
        <v>0</v>
      </c>
    </row>
    <row r="15" spans="2:54" x14ac:dyDescent="0.35">
      <c r="B15" s="34" t="s">
        <v>199</v>
      </c>
      <c r="C15" s="63">
        <v>0</v>
      </c>
      <c r="D15" s="63">
        <v>0</v>
      </c>
      <c r="E15" s="63">
        <v>0</v>
      </c>
      <c r="F15" s="63">
        <v>0</v>
      </c>
      <c r="G15" s="63">
        <v>0</v>
      </c>
      <c r="H15" s="63">
        <v>0</v>
      </c>
      <c r="I15">
        <v>0</v>
      </c>
      <c r="K15">
        <v>0</v>
      </c>
      <c r="M15" s="34">
        <v>1</v>
      </c>
      <c r="P15" s="31">
        <v>3</v>
      </c>
      <c r="R15" s="31">
        <v>3</v>
      </c>
      <c r="AD15" s="34">
        <v>1</v>
      </c>
      <c r="AH15">
        <v>0</v>
      </c>
      <c r="AK15" s="34">
        <v>1</v>
      </c>
      <c r="AL15">
        <v>0</v>
      </c>
      <c r="AN15" s="31" t="s">
        <v>55</v>
      </c>
      <c r="AO15">
        <v>0</v>
      </c>
      <c r="AQ15" s="31" t="s">
        <v>55</v>
      </c>
      <c r="AR15">
        <v>0</v>
      </c>
      <c r="AT15" s="31">
        <v>3</v>
      </c>
      <c r="BA15" s="31">
        <v>3</v>
      </c>
      <c r="BB15">
        <v>0</v>
      </c>
    </row>
    <row r="16" spans="2:54" x14ac:dyDescent="0.35">
      <c r="B16" s="35"/>
      <c r="C16" s="63">
        <v>0</v>
      </c>
      <c r="D16" s="63">
        <v>0</v>
      </c>
      <c r="E16" s="63">
        <v>0</v>
      </c>
      <c r="F16" s="63">
        <v>0</v>
      </c>
      <c r="G16" s="63">
        <v>0</v>
      </c>
      <c r="H16" s="63">
        <v>0</v>
      </c>
      <c r="I16">
        <v>0</v>
      </c>
      <c r="K16">
        <v>0</v>
      </c>
      <c r="M16" s="35">
        <v>1147</v>
      </c>
      <c r="P16" s="31">
        <v>4</v>
      </c>
      <c r="R16" s="31">
        <v>4</v>
      </c>
      <c r="AD16" s="34">
        <v>2</v>
      </c>
      <c r="AH16">
        <v>0</v>
      </c>
      <c r="AK16" s="34">
        <v>2</v>
      </c>
      <c r="AL16">
        <v>0</v>
      </c>
      <c r="AN16" s="31" t="s">
        <v>57</v>
      </c>
      <c r="AO16">
        <v>0</v>
      </c>
      <c r="AQ16" s="31" t="s">
        <v>57</v>
      </c>
      <c r="AR16">
        <v>0</v>
      </c>
      <c r="AT16" s="31">
        <v>4</v>
      </c>
      <c r="BA16" s="31">
        <v>4</v>
      </c>
      <c r="BB16">
        <v>0</v>
      </c>
    </row>
    <row r="17" spans="2:54" x14ac:dyDescent="0.35">
      <c r="B17" s="31">
        <v>2</v>
      </c>
      <c r="C17" s="63">
        <v>0</v>
      </c>
      <c r="D17" s="63">
        <v>3.73</v>
      </c>
      <c r="E17" s="63">
        <v>0</v>
      </c>
      <c r="F17" s="63">
        <v>0</v>
      </c>
      <c r="G17" s="63">
        <v>0</v>
      </c>
      <c r="H17" s="63">
        <v>0</v>
      </c>
      <c r="I17">
        <v>0</v>
      </c>
      <c r="K17">
        <v>0</v>
      </c>
      <c r="M17" s="95" t="s">
        <v>199</v>
      </c>
      <c r="P17" s="31">
        <v>5</v>
      </c>
      <c r="R17" s="31">
        <v>5</v>
      </c>
      <c r="AD17" s="34">
        <v>3</v>
      </c>
      <c r="AH17">
        <v>0</v>
      </c>
      <c r="AK17" s="34">
        <v>3</v>
      </c>
      <c r="AL17">
        <v>0</v>
      </c>
      <c r="AN17" s="31" t="s">
        <v>61</v>
      </c>
      <c r="AO17">
        <v>0</v>
      </c>
      <c r="AQ17" s="31" t="s">
        <v>61</v>
      </c>
      <c r="AR17">
        <v>0</v>
      </c>
      <c r="AT17" s="31">
        <v>5</v>
      </c>
      <c r="BA17" s="31">
        <v>5</v>
      </c>
      <c r="BB17">
        <v>0</v>
      </c>
    </row>
    <row r="18" spans="2:54" x14ac:dyDescent="0.35">
      <c r="B18" s="33" t="s">
        <v>260</v>
      </c>
      <c r="C18">
        <v>0</v>
      </c>
      <c r="D18">
        <v>3.73</v>
      </c>
      <c r="E18">
        <v>0</v>
      </c>
      <c r="F18">
        <v>0</v>
      </c>
      <c r="G18">
        <v>0</v>
      </c>
      <c r="H18">
        <v>0</v>
      </c>
      <c r="I18">
        <v>0</v>
      </c>
      <c r="K18">
        <v>0</v>
      </c>
      <c r="M18" s="96" t="s">
        <v>199</v>
      </c>
      <c r="P18" s="31">
        <v>6</v>
      </c>
      <c r="R18" s="31">
        <v>6</v>
      </c>
      <c r="AD18" s="34">
        <v>4</v>
      </c>
      <c r="AH18">
        <v>0</v>
      </c>
      <c r="AK18" s="34">
        <v>4</v>
      </c>
      <c r="AL18">
        <v>0</v>
      </c>
      <c r="AN18" s="31" t="s">
        <v>63</v>
      </c>
      <c r="AO18">
        <v>0</v>
      </c>
      <c r="AQ18" s="31" t="s">
        <v>63</v>
      </c>
      <c r="AR18">
        <v>0</v>
      </c>
      <c r="AT18" s="31">
        <v>6</v>
      </c>
      <c r="BA18" s="31">
        <v>6</v>
      </c>
      <c r="BB18">
        <v>0</v>
      </c>
    </row>
    <row r="19" spans="2:54" x14ac:dyDescent="0.35">
      <c r="B19" s="34" t="s">
        <v>196</v>
      </c>
      <c r="C19">
        <v>0</v>
      </c>
      <c r="D19">
        <v>3.73</v>
      </c>
      <c r="E19">
        <v>0</v>
      </c>
      <c r="F19">
        <v>0</v>
      </c>
      <c r="G19">
        <v>0</v>
      </c>
      <c r="H19">
        <v>0</v>
      </c>
      <c r="I19">
        <v>0</v>
      </c>
      <c r="K19">
        <v>0</v>
      </c>
      <c r="M19" s="178"/>
      <c r="P19" s="31">
        <v>7</v>
      </c>
      <c r="R19" s="31">
        <v>7</v>
      </c>
      <c r="AD19" s="34">
        <v>5</v>
      </c>
      <c r="AH19">
        <v>0</v>
      </c>
      <c r="AK19" s="34">
        <v>5</v>
      </c>
      <c r="AL19">
        <v>0</v>
      </c>
      <c r="AN19" s="31" t="s">
        <v>65</v>
      </c>
      <c r="AO19">
        <v>0</v>
      </c>
      <c r="AQ19" s="31" t="s">
        <v>65</v>
      </c>
      <c r="AR19">
        <v>0</v>
      </c>
      <c r="AT19" s="31">
        <v>7</v>
      </c>
      <c r="BA19" s="31">
        <v>7</v>
      </c>
      <c r="BB19">
        <v>0</v>
      </c>
    </row>
    <row r="20" spans="2:54" x14ac:dyDescent="0.35">
      <c r="B20" s="35" t="s">
        <v>195</v>
      </c>
      <c r="C20">
        <v>0</v>
      </c>
      <c r="D20">
        <v>3.73</v>
      </c>
      <c r="E20">
        <v>0</v>
      </c>
      <c r="F20">
        <v>0</v>
      </c>
      <c r="G20">
        <v>0</v>
      </c>
      <c r="H20">
        <v>0</v>
      </c>
      <c r="I20">
        <v>0</v>
      </c>
      <c r="K20">
        <v>0</v>
      </c>
      <c r="M20" s="34">
        <v>2</v>
      </c>
      <c r="P20" s="31">
        <v>8</v>
      </c>
      <c r="R20" s="31">
        <v>8</v>
      </c>
      <c r="AD20" s="34">
        <v>6</v>
      </c>
      <c r="AH20">
        <v>0</v>
      </c>
      <c r="AK20" s="34">
        <v>6</v>
      </c>
      <c r="AL20">
        <v>0</v>
      </c>
      <c r="AN20" s="31" t="s">
        <v>66</v>
      </c>
      <c r="AO20">
        <v>0</v>
      </c>
      <c r="AQ20" s="31" t="s">
        <v>66</v>
      </c>
      <c r="AR20">
        <v>0</v>
      </c>
      <c r="AT20" s="31">
        <v>8</v>
      </c>
      <c r="BA20" s="31">
        <v>8</v>
      </c>
      <c r="BB20">
        <v>0</v>
      </c>
    </row>
    <row r="21" spans="2:54" x14ac:dyDescent="0.35">
      <c r="B21" s="31">
        <v>3</v>
      </c>
      <c r="C21" s="63">
        <v>0</v>
      </c>
      <c r="D21" s="63">
        <v>0</v>
      </c>
      <c r="E21" s="63">
        <v>0</v>
      </c>
      <c r="F21" s="63">
        <v>0</v>
      </c>
      <c r="G21" s="63">
        <v>0</v>
      </c>
      <c r="H21" s="63">
        <v>0</v>
      </c>
      <c r="I21">
        <v>0</v>
      </c>
      <c r="K21">
        <v>0</v>
      </c>
      <c r="M21" s="35">
        <v>1148</v>
      </c>
      <c r="P21" s="31">
        <v>9</v>
      </c>
      <c r="R21" s="31">
        <v>9</v>
      </c>
      <c r="AD21" s="34">
        <v>7</v>
      </c>
      <c r="AH21">
        <v>0</v>
      </c>
      <c r="AK21" s="34">
        <v>7</v>
      </c>
      <c r="AL21">
        <v>0</v>
      </c>
      <c r="AN21" s="31" t="s">
        <v>67</v>
      </c>
      <c r="AO21">
        <v>0</v>
      </c>
      <c r="AQ21" s="31" t="s">
        <v>67</v>
      </c>
      <c r="AR21">
        <v>0</v>
      </c>
      <c r="AT21" s="31">
        <v>9</v>
      </c>
      <c r="BA21" s="31">
        <v>9</v>
      </c>
      <c r="BB21">
        <v>0</v>
      </c>
    </row>
    <row r="22" spans="2:54" x14ac:dyDescent="0.35">
      <c r="B22" s="33" t="s">
        <v>199</v>
      </c>
      <c r="C22" s="63">
        <v>0</v>
      </c>
      <c r="D22" s="63">
        <v>0</v>
      </c>
      <c r="E22" s="63">
        <v>0</v>
      </c>
      <c r="F22" s="63">
        <v>0</v>
      </c>
      <c r="G22" s="63">
        <v>0</v>
      </c>
      <c r="H22" s="63">
        <v>0</v>
      </c>
      <c r="I22">
        <v>0</v>
      </c>
      <c r="K22">
        <v>0</v>
      </c>
      <c r="M22" s="95" t="s">
        <v>260</v>
      </c>
      <c r="P22" s="31">
        <v>10</v>
      </c>
      <c r="R22" s="31">
        <v>10</v>
      </c>
      <c r="AD22" s="34">
        <v>8</v>
      </c>
      <c r="AH22">
        <v>0</v>
      </c>
      <c r="AK22" s="34">
        <v>8</v>
      </c>
      <c r="AL22">
        <v>0</v>
      </c>
      <c r="AN22" s="31" t="s">
        <v>69</v>
      </c>
      <c r="AO22">
        <v>0</v>
      </c>
      <c r="AQ22" s="31" t="s">
        <v>69</v>
      </c>
      <c r="AR22">
        <v>0</v>
      </c>
      <c r="AT22" s="31">
        <v>10</v>
      </c>
      <c r="BA22" s="31">
        <v>10</v>
      </c>
      <c r="BB22">
        <v>0</v>
      </c>
    </row>
    <row r="23" spans="2:54" x14ac:dyDescent="0.35">
      <c r="B23" s="34" t="s">
        <v>199</v>
      </c>
      <c r="C23" s="63">
        <v>0</v>
      </c>
      <c r="D23" s="63">
        <v>0</v>
      </c>
      <c r="E23" s="63">
        <v>0</v>
      </c>
      <c r="F23" s="63">
        <v>0</v>
      </c>
      <c r="G23" s="63">
        <v>0</v>
      </c>
      <c r="H23" s="63">
        <v>0</v>
      </c>
      <c r="I23">
        <v>0</v>
      </c>
      <c r="K23">
        <v>0</v>
      </c>
      <c r="M23" s="96" t="s">
        <v>196</v>
      </c>
      <c r="P23" s="31">
        <v>11</v>
      </c>
      <c r="R23" s="31">
        <v>11</v>
      </c>
      <c r="AD23" s="34">
        <v>9</v>
      </c>
      <c r="AH23">
        <v>0</v>
      </c>
      <c r="AK23" s="34">
        <v>9</v>
      </c>
      <c r="AL23">
        <v>0</v>
      </c>
      <c r="AN23" s="31" t="s">
        <v>72</v>
      </c>
      <c r="AO23">
        <v>0</v>
      </c>
      <c r="AQ23" s="31" t="s">
        <v>72</v>
      </c>
      <c r="AR23">
        <v>0</v>
      </c>
      <c r="AT23" s="31">
        <v>11</v>
      </c>
      <c r="BA23" s="31">
        <v>11</v>
      </c>
      <c r="BB23">
        <v>0</v>
      </c>
    </row>
    <row r="24" spans="2:54" x14ac:dyDescent="0.35">
      <c r="B24" s="35"/>
      <c r="C24" s="63">
        <v>0</v>
      </c>
      <c r="D24" s="63">
        <v>0</v>
      </c>
      <c r="E24" s="63">
        <v>0</v>
      </c>
      <c r="F24" s="63">
        <v>0</v>
      </c>
      <c r="G24" s="63">
        <v>0</v>
      </c>
      <c r="H24" s="63">
        <v>0</v>
      </c>
      <c r="I24">
        <v>0</v>
      </c>
      <c r="K24">
        <v>0</v>
      </c>
      <c r="M24" s="178" t="s">
        <v>195</v>
      </c>
      <c r="P24" s="31">
        <v>12</v>
      </c>
      <c r="R24" s="31">
        <v>12</v>
      </c>
      <c r="AD24" s="34">
        <v>10</v>
      </c>
      <c r="AH24">
        <v>0</v>
      </c>
      <c r="AK24" s="34">
        <v>10</v>
      </c>
      <c r="AL24">
        <v>0</v>
      </c>
      <c r="AN24" s="31" t="s">
        <v>73</v>
      </c>
      <c r="AO24">
        <v>0</v>
      </c>
      <c r="AQ24" s="31" t="s">
        <v>73</v>
      </c>
      <c r="AR24">
        <v>0</v>
      </c>
      <c r="AT24" s="31">
        <v>12</v>
      </c>
      <c r="BA24" s="31">
        <v>12</v>
      </c>
      <c r="BB24">
        <v>0</v>
      </c>
    </row>
    <row r="25" spans="2:54" x14ac:dyDescent="0.35">
      <c r="B25" s="31">
        <v>4</v>
      </c>
      <c r="C25" s="63">
        <v>0</v>
      </c>
      <c r="D25" s="63">
        <v>0</v>
      </c>
      <c r="E25" s="63">
        <v>0</v>
      </c>
      <c r="F25" s="63">
        <v>0</v>
      </c>
      <c r="G25" s="63">
        <v>0</v>
      </c>
      <c r="H25" s="63">
        <v>0</v>
      </c>
      <c r="I25">
        <v>0</v>
      </c>
      <c r="K25">
        <v>0</v>
      </c>
      <c r="M25" s="34">
        <v>3</v>
      </c>
      <c r="P25" s="31">
        <v>13</v>
      </c>
      <c r="R25" s="31">
        <v>13</v>
      </c>
      <c r="AD25" s="34">
        <v>11</v>
      </c>
      <c r="AH25">
        <v>0</v>
      </c>
      <c r="AK25" s="34">
        <v>11</v>
      </c>
      <c r="AL25">
        <v>0</v>
      </c>
      <c r="AQ25" s="31" t="s">
        <v>178</v>
      </c>
      <c r="AT25" s="31">
        <v>13</v>
      </c>
      <c r="BA25" s="31">
        <v>13</v>
      </c>
      <c r="BB25">
        <v>0</v>
      </c>
    </row>
    <row r="26" spans="2:54" x14ac:dyDescent="0.35">
      <c r="B26" s="33" t="s">
        <v>199</v>
      </c>
      <c r="C26" s="63">
        <v>0</v>
      </c>
      <c r="D26" s="63">
        <v>0</v>
      </c>
      <c r="E26" s="63">
        <v>0</v>
      </c>
      <c r="F26" s="63">
        <v>0</v>
      </c>
      <c r="G26" s="63">
        <v>0</v>
      </c>
      <c r="H26" s="63">
        <v>0</v>
      </c>
      <c r="I26">
        <v>0</v>
      </c>
      <c r="K26">
        <v>0</v>
      </c>
      <c r="M26" s="35">
        <v>1149</v>
      </c>
      <c r="P26" s="31">
        <v>14</v>
      </c>
      <c r="R26" s="31">
        <v>14</v>
      </c>
      <c r="AD26" s="34">
        <v>12</v>
      </c>
      <c r="AH26">
        <v>0</v>
      </c>
      <c r="AK26" s="34">
        <v>12</v>
      </c>
      <c r="AL26">
        <v>0</v>
      </c>
      <c r="AT26" s="31">
        <v>14</v>
      </c>
      <c r="BA26" s="31">
        <v>14</v>
      </c>
      <c r="BB26">
        <v>0</v>
      </c>
    </row>
    <row r="27" spans="2:54" x14ac:dyDescent="0.35">
      <c r="B27" s="34" t="s">
        <v>199</v>
      </c>
      <c r="C27" s="63">
        <v>0</v>
      </c>
      <c r="D27" s="63">
        <v>0</v>
      </c>
      <c r="E27" s="63">
        <v>0</v>
      </c>
      <c r="F27" s="63">
        <v>0</v>
      </c>
      <c r="G27" s="63">
        <v>0</v>
      </c>
      <c r="H27" s="63">
        <v>0</v>
      </c>
      <c r="I27">
        <v>0</v>
      </c>
      <c r="K27">
        <v>0</v>
      </c>
      <c r="M27" s="95" t="s">
        <v>199</v>
      </c>
      <c r="P27" s="31">
        <v>15</v>
      </c>
      <c r="R27" s="31">
        <v>15</v>
      </c>
      <c r="AD27" s="34">
        <v>13</v>
      </c>
      <c r="AH27">
        <v>0</v>
      </c>
      <c r="AK27" s="34">
        <v>13</v>
      </c>
      <c r="AL27">
        <v>0</v>
      </c>
      <c r="AT27" s="31">
        <v>15</v>
      </c>
      <c r="BA27" s="31">
        <v>15</v>
      </c>
      <c r="BB27">
        <v>0</v>
      </c>
    </row>
    <row r="28" spans="2:54" x14ac:dyDescent="0.35">
      <c r="B28" s="35"/>
      <c r="C28" s="63">
        <v>0</v>
      </c>
      <c r="D28" s="63">
        <v>0</v>
      </c>
      <c r="E28" s="63">
        <v>0</v>
      </c>
      <c r="F28" s="63">
        <v>0</v>
      </c>
      <c r="G28" s="63">
        <v>0</v>
      </c>
      <c r="H28" s="63">
        <v>0</v>
      </c>
      <c r="I28">
        <v>0</v>
      </c>
      <c r="K28">
        <v>0</v>
      </c>
      <c r="M28" s="96" t="s">
        <v>199</v>
      </c>
      <c r="P28" s="31">
        <v>16</v>
      </c>
      <c r="R28" s="31">
        <v>16</v>
      </c>
      <c r="AD28" s="34">
        <v>14</v>
      </c>
      <c r="AH28">
        <v>0</v>
      </c>
      <c r="AK28" s="34">
        <v>14</v>
      </c>
      <c r="AL28">
        <v>0</v>
      </c>
      <c r="AT28" s="31">
        <v>16</v>
      </c>
      <c r="BA28" s="31">
        <v>16</v>
      </c>
      <c r="BB28">
        <v>0</v>
      </c>
    </row>
    <row r="29" spans="2:54" x14ac:dyDescent="0.35">
      <c r="B29" s="31">
        <v>5</v>
      </c>
      <c r="C29" s="63">
        <v>0</v>
      </c>
      <c r="D29" s="63">
        <v>0</v>
      </c>
      <c r="E29" s="63">
        <v>0</v>
      </c>
      <c r="F29" s="63">
        <v>0</v>
      </c>
      <c r="G29" s="63">
        <v>0</v>
      </c>
      <c r="H29" s="63">
        <v>0</v>
      </c>
      <c r="I29">
        <v>0</v>
      </c>
      <c r="K29">
        <v>0</v>
      </c>
      <c r="M29" s="178"/>
      <c r="P29" s="31">
        <v>17</v>
      </c>
      <c r="R29" s="31">
        <v>17</v>
      </c>
      <c r="AD29" s="34">
        <v>15</v>
      </c>
      <c r="AH29">
        <v>0</v>
      </c>
      <c r="AK29" s="34">
        <v>15</v>
      </c>
      <c r="AL29">
        <v>0</v>
      </c>
      <c r="AT29" s="31">
        <v>17</v>
      </c>
      <c r="BA29" s="31">
        <v>17</v>
      </c>
      <c r="BB29">
        <v>0</v>
      </c>
    </row>
    <row r="30" spans="2:54" x14ac:dyDescent="0.35">
      <c r="B30" s="33" t="s">
        <v>199</v>
      </c>
      <c r="C30" s="63">
        <v>0</v>
      </c>
      <c r="D30" s="63">
        <v>0</v>
      </c>
      <c r="E30" s="63">
        <v>0</v>
      </c>
      <c r="F30" s="63">
        <v>0</v>
      </c>
      <c r="G30" s="63">
        <v>0</v>
      </c>
      <c r="H30" s="63">
        <v>0</v>
      </c>
      <c r="I30">
        <v>0</v>
      </c>
      <c r="K30">
        <v>0</v>
      </c>
      <c r="M30" s="34">
        <v>4</v>
      </c>
      <c r="P30" s="31">
        <v>18</v>
      </c>
      <c r="R30" s="31">
        <v>18</v>
      </c>
      <c r="AD30" s="34">
        <v>16</v>
      </c>
      <c r="AH30">
        <v>0</v>
      </c>
      <c r="AK30" s="34">
        <v>16</v>
      </c>
      <c r="AL30">
        <v>0</v>
      </c>
      <c r="AT30" s="31">
        <v>18</v>
      </c>
      <c r="BA30" s="31">
        <v>18</v>
      </c>
      <c r="BB30">
        <v>0</v>
      </c>
    </row>
    <row r="31" spans="2:54" x14ac:dyDescent="0.35">
      <c r="B31" s="34" t="s">
        <v>199</v>
      </c>
      <c r="C31" s="63">
        <v>0</v>
      </c>
      <c r="D31" s="63">
        <v>0</v>
      </c>
      <c r="E31" s="63">
        <v>0</v>
      </c>
      <c r="F31" s="63">
        <v>0</v>
      </c>
      <c r="G31" s="63">
        <v>0</v>
      </c>
      <c r="H31" s="63">
        <v>0</v>
      </c>
      <c r="I31">
        <v>0</v>
      </c>
      <c r="K31">
        <v>0</v>
      </c>
      <c r="M31" s="35">
        <v>1150</v>
      </c>
      <c r="P31" s="31">
        <v>19</v>
      </c>
      <c r="R31" s="31">
        <v>19</v>
      </c>
      <c r="AD31" s="34">
        <v>17</v>
      </c>
      <c r="AH31">
        <v>0</v>
      </c>
      <c r="AK31" s="34">
        <v>17</v>
      </c>
      <c r="AL31">
        <v>0</v>
      </c>
      <c r="AT31" s="31">
        <v>19</v>
      </c>
      <c r="BA31" s="31">
        <v>19</v>
      </c>
      <c r="BB31">
        <v>0</v>
      </c>
    </row>
    <row r="32" spans="2:54" x14ac:dyDescent="0.35">
      <c r="B32" s="35"/>
      <c r="C32" s="63">
        <v>0</v>
      </c>
      <c r="D32" s="63">
        <v>0</v>
      </c>
      <c r="E32" s="63">
        <v>0</v>
      </c>
      <c r="F32" s="63">
        <v>0</v>
      </c>
      <c r="G32" s="63">
        <v>0</v>
      </c>
      <c r="H32" s="63">
        <v>0</v>
      </c>
      <c r="I32">
        <v>0</v>
      </c>
      <c r="K32">
        <v>0</v>
      </c>
      <c r="M32" s="95" t="s">
        <v>199</v>
      </c>
      <c r="P32" s="31">
        <v>20</v>
      </c>
      <c r="R32" s="31">
        <v>20</v>
      </c>
      <c r="AD32" s="34">
        <v>18</v>
      </c>
      <c r="AH32">
        <v>0</v>
      </c>
      <c r="AK32" s="34">
        <v>18</v>
      </c>
      <c r="AL32">
        <v>0</v>
      </c>
      <c r="AT32" s="31">
        <v>20</v>
      </c>
      <c r="BA32" s="31">
        <v>20</v>
      </c>
      <c r="BB32">
        <v>0</v>
      </c>
    </row>
    <row r="33" spans="2:54" x14ac:dyDescent="0.35">
      <c r="B33" s="31">
        <v>6</v>
      </c>
      <c r="C33" s="63">
        <v>0</v>
      </c>
      <c r="D33" s="63">
        <v>0</v>
      </c>
      <c r="E33" s="63">
        <v>0</v>
      </c>
      <c r="F33" s="63">
        <v>0</v>
      </c>
      <c r="G33" s="63">
        <v>0</v>
      </c>
      <c r="H33" s="63">
        <v>0</v>
      </c>
      <c r="I33">
        <v>0</v>
      </c>
      <c r="K33">
        <v>0</v>
      </c>
      <c r="M33" s="96" t="s">
        <v>199</v>
      </c>
      <c r="P33" s="31">
        <v>21</v>
      </c>
      <c r="R33" s="31">
        <v>21</v>
      </c>
      <c r="AD33" s="34">
        <v>19</v>
      </c>
      <c r="AH33">
        <v>0</v>
      </c>
      <c r="AK33" s="34">
        <v>19</v>
      </c>
      <c r="AL33">
        <v>0</v>
      </c>
      <c r="AT33" s="31">
        <v>21</v>
      </c>
      <c r="BA33" s="31">
        <v>21</v>
      </c>
      <c r="BB33">
        <v>0</v>
      </c>
    </row>
    <row r="34" spans="2:54" x14ac:dyDescent="0.35">
      <c r="B34" s="33" t="s">
        <v>199</v>
      </c>
      <c r="C34" s="63">
        <v>0</v>
      </c>
      <c r="D34" s="63">
        <v>0</v>
      </c>
      <c r="E34" s="63">
        <v>0</v>
      </c>
      <c r="F34" s="63">
        <v>0</v>
      </c>
      <c r="G34" s="63">
        <v>0</v>
      </c>
      <c r="H34" s="63">
        <v>0</v>
      </c>
      <c r="I34">
        <v>0</v>
      </c>
      <c r="K34">
        <v>0</v>
      </c>
      <c r="M34" s="178"/>
      <c r="P34" s="31">
        <v>22</v>
      </c>
      <c r="R34" s="31">
        <v>22</v>
      </c>
      <c r="AD34" s="34">
        <v>20</v>
      </c>
      <c r="AH34">
        <v>0</v>
      </c>
      <c r="AK34" s="34">
        <v>20</v>
      </c>
      <c r="AL34">
        <v>0</v>
      </c>
      <c r="AT34" s="31">
        <v>22</v>
      </c>
      <c r="BA34" s="31">
        <v>22</v>
      </c>
      <c r="BB34">
        <v>0</v>
      </c>
    </row>
    <row r="35" spans="2:54" x14ac:dyDescent="0.35">
      <c r="B35" s="34" t="s">
        <v>199</v>
      </c>
      <c r="C35" s="63">
        <v>0</v>
      </c>
      <c r="D35" s="63">
        <v>0</v>
      </c>
      <c r="E35" s="63">
        <v>0</v>
      </c>
      <c r="F35" s="63">
        <v>0</v>
      </c>
      <c r="G35" s="63">
        <v>0</v>
      </c>
      <c r="H35" s="63">
        <v>0</v>
      </c>
      <c r="I35">
        <v>0</v>
      </c>
      <c r="K35">
        <v>0</v>
      </c>
      <c r="M35" s="34">
        <v>5</v>
      </c>
      <c r="P35" s="31">
        <v>23</v>
      </c>
      <c r="R35" s="31">
        <v>23</v>
      </c>
      <c r="AD35" s="34">
        <v>21</v>
      </c>
      <c r="AH35">
        <v>0</v>
      </c>
      <c r="AK35" s="34">
        <v>21</v>
      </c>
      <c r="AL35">
        <v>0</v>
      </c>
      <c r="AT35" s="31">
        <v>23</v>
      </c>
      <c r="BA35" s="31">
        <v>23</v>
      </c>
      <c r="BB35">
        <v>0</v>
      </c>
    </row>
    <row r="36" spans="2:54" x14ac:dyDescent="0.35">
      <c r="B36" s="35"/>
      <c r="C36" s="63">
        <v>0</v>
      </c>
      <c r="D36" s="63">
        <v>0</v>
      </c>
      <c r="E36" s="63">
        <v>0</v>
      </c>
      <c r="F36" s="63">
        <v>0</v>
      </c>
      <c r="G36" s="63">
        <v>0</v>
      </c>
      <c r="H36" s="63">
        <v>0</v>
      </c>
      <c r="I36">
        <v>0</v>
      </c>
      <c r="K36">
        <v>0</v>
      </c>
      <c r="M36" s="35">
        <v>1151</v>
      </c>
      <c r="P36" s="31">
        <v>24</v>
      </c>
      <c r="R36" s="31">
        <v>24</v>
      </c>
      <c r="AD36" s="34">
        <v>22</v>
      </c>
      <c r="AH36">
        <v>0</v>
      </c>
      <c r="AK36" s="34">
        <v>22</v>
      </c>
      <c r="AL36">
        <v>0</v>
      </c>
      <c r="AT36" s="31">
        <v>24</v>
      </c>
      <c r="BA36" s="31">
        <v>24</v>
      </c>
      <c r="BB36">
        <v>0</v>
      </c>
    </row>
    <row r="37" spans="2:54" x14ac:dyDescent="0.35">
      <c r="B37" s="31">
        <v>7</v>
      </c>
      <c r="C37" s="63">
        <v>0</v>
      </c>
      <c r="D37" s="63">
        <v>0</v>
      </c>
      <c r="E37" s="63">
        <v>0</v>
      </c>
      <c r="F37" s="63">
        <v>0</v>
      </c>
      <c r="G37" s="63">
        <v>0</v>
      </c>
      <c r="H37" s="63">
        <v>0</v>
      </c>
      <c r="I37">
        <v>0</v>
      </c>
      <c r="K37">
        <v>0</v>
      </c>
      <c r="M37" s="95" t="s">
        <v>199</v>
      </c>
      <c r="P37" s="31">
        <v>25</v>
      </c>
      <c r="R37" s="31">
        <v>25</v>
      </c>
      <c r="AD37" s="34">
        <v>23</v>
      </c>
      <c r="AH37">
        <v>0</v>
      </c>
      <c r="AK37" s="34">
        <v>23</v>
      </c>
      <c r="AL37">
        <v>0</v>
      </c>
      <c r="AT37" s="31">
        <v>25</v>
      </c>
      <c r="BA37" s="31">
        <v>25</v>
      </c>
      <c r="BB37">
        <v>0</v>
      </c>
    </row>
    <row r="38" spans="2:54" x14ac:dyDescent="0.35">
      <c r="B38" s="33" t="s">
        <v>199</v>
      </c>
      <c r="C38" s="63">
        <v>0</v>
      </c>
      <c r="D38" s="63">
        <v>0</v>
      </c>
      <c r="E38" s="63">
        <v>0</v>
      </c>
      <c r="F38" s="63">
        <v>0</v>
      </c>
      <c r="G38" s="63">
        <v>0</v>
      </c>
      <c r="H38" s="63">
        <v>0</v>
      </c>
      <c r="I38">
        <v>0</v>
      </c>
      <c r="K38">
        <v>0</v>
      </c>
      <c r="M38" s="96" t="s">
        <v>199</v>
      </c>
      <c r="P38" s="31">
        <v>26</v>
      </c>
      <c r="R38" s="31">
        <v>26</v>
      </c>
      <c r="AD38" s="34">
        <v>24</v>
      </c>
      <c r="AH38">
        <v>0</v>
      </c>
      <c r="AK38" s="34">
        <v>24</v>
      </c>
      <c r="AL38">
        <v>0</v>
      </c>
      <c r="AT38" s="31">
        <v>26</v>
      </c>
      <c r="BA38" s="31">
        <v>26</v>
      </c>
      <c r="BB38">
        <v>0</v>
      </c>
    </row>
    <row r="39" spans="2:54" x14ac:dyDescent="0.35">
      <c r="B39" s="34" t="s">
        <v>199</v>
      </c>
      <c r="C39" s="63">
        <v>0</v>
      </c>
      <c r="D39" s="63">
        <v>0</v>
      </c>
      <c r="E39" s="63">
        <v>0</v>
      </c>
      <c r="F39" s="63">
        <v>0</v>
      </c>
      <c r="G39" s="63">
        <v>0</v>
      </c>
      <c r="H39" s="63">
        <v>0</v>
      </c>
      <c r="I39">
        <v>0</v>
      </c>
      <c r="K39">
        <v>0</v>
      </c>
      <c r="M39" s="178"/>
      <c r="P39" s="31">
        <v>27</v>
      </c>
      <c r="R39" s="31">
        <v>27</v>
      </c>
      <c r="AD39" s="34">
        <v>25</v>
      </c>
      <c r="AH39">
        <v>0</v>
      </c>
      <c r="AK39" s="34">
        <v>25</v>
      </c>
      <c r="AL39">
        <v>0</v>
      </c>
      <c r="AT39" s="31">
        <v>27</v>
      </c>
      <c r="BA39" s="31">
        <v>27</v>
      </c>
      <c r="BB39">
        <v>0</v>
      </c>
    </row>
    <row r="40" spans="2:54" x14ac:dyDescent="0.35">
      <c r="B40" s="35"/>
      <c r="C40" s="63">
        <v>0</v>
      </c>
      <c r="D40" s="63">
        <v>0</v>
      </c>
      <c r="E40" s="63">
        <v>0</v>
      </c>
      <c r="F40" s="63">
        <v>0</v>
      </c>
      <c r="G40" s="63">
        <v>0</v>
      </c>
      <c r="H40" s="63">
        <v>0</v>
      </c>
      <c r="I40">
        <v>0</v>
      </c>
      <c r="K40">
        <v>0</v>
      </c>
      <c r="M40" s="34">
        <v>6</v>
      </c>
      <c r="P40" s="31">
        <v>28</v>
      </c>
      <c r="R40" s="31">
        <v>28</v>
      </c>
      <c r="AD40" s="34">
        <v>26</v>
      </c>
      <c r="AH40">
        <v>0</v>
      </c>
      <c r="AK40" s="34">
        <v>26</v>
      </c>
      <c r="AL40">
        <v>0</v>
      </c>
      <c r="AT40" s="31">
        <v>28</v>
      </c>
      <c r="BA40" s="31">
        <v>28</v>
      </c>
      <c r="BB40">
        <v>0</v>
      </c>
    </row>
    <row r="41" spans="2:54" x14ac:dyDescent="0.35">
      <c r="B41" s="31">
        <v>8</v>
      </c>
      <c r="C41" s="63">
        <v>0</v>
      </c>
      <c r="D41" s="63">
        <v>0</v>
      </c>
      <c r="E41" s="63">
        <v>0</v>
      </c>
      <c r="F41" s="63">
        <v>0</v>
      </c>
      <c r="G41" s="63">
        <v>0</v>
      </c>
      <c r="H41" s="63">
        <v>0</v>
      </c>
      <c r="I41">
        <v>0</v>
      </c>
      <c r="K41">
        <v>0</v>
      </c>
      <c r="M41" s="35">
        <v>1152</v>
      </c>
      <c r="P41" s="31">
        <v>29</v>
      </c>
      <c r="R41" s="31">
        <v>29</v>
      </c>
      <c r="AD41" s="34">
        <v>27</v>
      </c>
      <c r="AH41">
        <v>0</v>
      </c>
      <c r="AK41" s="34">
        <v>27</v>
      </c>
      <c r="AL41">
        <v>0</v>
      </c>
      <c r="AT41" s="31">
        <v>29</v>
      </c>
      <c r="BA41" s="31">
        <v>29</v>
      </c>
      <c r="BB41">
        <v>0</v>
      </c>
    </row>
    <row r="42" spans="2:54" x14ac:dyDescent="0.35">
      <c r="B42" s="33" t="s">
        <v>199</v>
      </c>
      <c r="C42" s="63">
        <v>0</v>
      </c>
      <c r="D42" s="63">
        <v>0</v>
      </c>
      <c r="E42" s="63">
        <v>0</v>
      </c>
      <c r="F42" s="63">
        <v>0</v>
      </c>
      <c r="G42" s="63">
        <v>0</v>
      </c>
      <c r="H42" s="63">
        <v>0</v>
      </c>
      <c r="I42">
        <v>0</v>
      </c>
      <c r="K42">
        <v>0</v>
      </c>
      <c r="M42" s="95" t="s">
        <v>199</v>
      </c>
      <c r="P42" s="31">
        <v>30</v>
      </c>
      <c r="R42" s="31">
        <v>30</v>
      </c>
      <c r="AD42" s="34">
        <v>28</v>
      </c>
      <c r="AH42">
        <v>0</v>
      </c>
      <c r="AK42" s="34">
        <v>28</v>
      </c>
      <c r="AL42">
        <v>0</v>
      </c>
      <c r="AT42" s="31">
        <v>30</v>
      </c>
      <c r="BA42" s="31">
        <v>30</v>
      </c>
      <c r="BB42">
        <v>0</v>
      </c>
    </row>
    <row r="43" spans="2:54" x14ac:dyDescent="0.35">
      <c r="B43" s="34" t="s">
        <v>199</v>
      </c>
      <c r="C43" s="63">
        <v>0</v>
      </c>
      <c r="D43" s="63">
        <v>0</v>
      </c>
      <c r="E43" s="63">
        <v>0</v>
      </c>
      <c r="F43" s="63">
        <v>0</v>
      </c>
      <c r="G43" s="63">
        <v>0</v>
      </c>
      <c r="H43" s="63">
        <v>0</v>
      </c>
      <c r="I43">
        <v>0</v>
      </c>
      <c r="K43">
        <v>0</v>
      </c>
      <c r="M43" s="96" t="s">
        <v>199</v>
      </c>
      <c r="P43" s="31">
        <v>31</v>
      </c>
      <c r="R43" s="31">
        <v>31</v>
      </c>
      <c r="AD43" s="34">
        <v>29</v>
      </c>
      <c r="AH43">
        <v>0</v>
      </c>
      <c r="AK43" s="34">
        <v>29</v>
      </c>
      <c r="AL43">
        <v>0</v>
      </c>
      <c r="AT43" s="31">
        <v>31</v>
      </c>
      <c r="BA43" s="31">
        <v>31</v>
      </c>
      <c r="BB43">
        <v>0</v>
      </c>
    </row>
    <row r="44" spans="2:54" x14ac:dyDescent="0.35">
      <c r="B44" s="35"/>
      <c r="C44" s="63">
        <v>0</v>
      </c>
      <c r="D44" s="63">
        <v>0</v>
      </c>
      <c r="E44" s="63">
        <v>0</v>
      </c>
      <c r="F44" s="63">
        <v>0</v>
      </c>
      <c r="G44" s="63">
        <v>0</v>
      </c>
      <c r="H44" s="63">
        <v>0</v>
      </c>
      <c r="I44">
        <v>0</v>
      </c>
      <c r="K44">
        <v>0</v>
      </c>
      <c r="M44" s="178"/>
      <c r="R44" s="31" t="s">
        <v>178</v>
      </c>
      <c r="AD44" s="34">
        <v>30</v>
      </c>
      <c r="AH44">
        <v>0</v>
      </c>
      <c r="AK44" s="34">
        <v>30</v>
      </c>
      <c r="AL44">
        <v>0</v>
      </c>
      <c r="AT44" s="31" t="s">
        <v>178</v>
      </c>
      <c r="BA44" s="31" t="s">
        <v>178</v>
      </c>
      <c r="BB44">
        <v>0</v>
      </c>
    </row>
    <row r="45" spans="2:54" x14ac:dyDescent="0.35">
      <c r="B45" s="31">
        <v>9</v>
      </c>
      <c r="C45" s="63">
        <v>0</v>
      </c>
      <c r="D45" s="63">
        <v>0</v>
      </c>
      <c r="E45" s="63">
        <v>0</v>
      </c>
      <c r="F45" s="63">
        <v>0</v>
      </c>
      <c r="G45" s="63">
        <v>0</v>
      </c>
      <c r="H45" s="63">
        <v>0</v>
      </c>
      <c r="I45">
        <v>0</v>
      </c>
      <c r="K45">
        <v>0</v>
      </c>
      <c r="M45" s="34">
        <v>7</v>
      </c>
      <c r="AD45" s="34">
        <v>31</v>
      </c>
      <c r="AH45">
        <v>0</v>
      </c>
      <c r="AK45" s="34">
        <v>31</v>
      </c>
      <c r="AL45">
        <v>0</v>
      </c>
    </row>
    <row r="46" spans="2:54" x14ac:dyDescent="0.35">
      <c r="B46" s="33" t="s">
        <v>199</v>
      </c>
      <c r="C46" s="63">
        <v>0</v>
      </c>
      <c r="D46" s="63">
        <v>0</v>
      </c>
      <c r="E46" s="63">
        <v>0</v>
      </c>
      <c r="F46" s="63">
        <v>0</v>
      </c>
      <c r="G46" s="63">
        <v>0</v>
      </c>
      <c r="H46" s="63">
        <v>0</v>
      </c>
      <c r="I46">
        <v>0</v>
      </c>
      <c r="K46">
        <v>0</v>
      </c>
      <c r="M46" s="35">
        <v>1153</v>
      </c>
      <c r="AD46" s="31" t="s">
        <v>178</v>
      </c>
      <c r="AH46">
        <v>0</v>
      </c>
      <c r="AK46" s="31" t="s">
        <v>178</v>
      </c>
      <c r="AL46">
        <v>0</v>
      </c>
    </row>
    <row r="47" spans="2:54" x14ac:dyDescent="0.35">
      <c r="B47" s="34" t="s">
        <v>199</v>
      </c>
      <c r="C47" s="63">
        <v>0</v>
      </c>
      <c r="D47" s="63">
        <v>0</v>
      </c>
      <c r="E47" s="63">
        <v>0</v>
      </c>
      <c r="F47" s="63">
        <v>0</v>
      </c>
      <c r="G47" s="63">
        <v>0</v>
      </c>
      <c r="H47" s="63">
        <v>0</v>
      </c>
      <c r="I47">
        <v>0</v>
      </c>
      <c r="K47">
        <v>0</v>
      </c>
      <c r="M47" s="95" t="s">
        <v>199</v>
      </c>
    </row>
    <row r="48" spans="2:54" x14ac:dyDescent="0.35">
      <c r="B48" s="35"/>
      <c r="C48" s="63">
        <v>0</v>
      </c>
      <c r="D48" s="63">
        <v>0</v>
      </c>
      <c r="E48" s="63">
        <v>0</v>
      </c>
      <c r="F48" s="63">
        <v>0</v>
      </c>
      <c r="G48" s="63">
        <v>0</v>
      </c>
      <c r="H48" s="63">
        <v>0</v>
      </c>
      <c r="I48">
        <v>0</v>
      </c>
      <c r="K48">
        <v>0</v>
      </c>
      <c r="M48" s="96" t="s">
        <v>199</v>
      </c>
    </row>
    <row r="49" spans="2:13" x14ac:dyDescent="0.35">
      <c r="B49" s="31">
        <v>10</v>
      </c>
      <c r="C49" s="63">
        <v>0</v>
      </c>
      <c r="D49" s="63">
        <v>0</v>
      </c>
      <c r="E49" s="63">
        <v>0</v>
      </c>
      <c r="F49" s="63">
        <v>0</v>
      </c>
      <c r="G49" s="63">
        <v>0</v>
      </c>
      <c r="H49" s="63">
        <v>0</v>
      </c>
      <c r="I49">
        <v>0</v>
      </c>
      <c r="K49">
        <v>0</v>
      </c>
      <c r="M49" s="178"/>
    </row>
    <row r="50" spans="2:13" x14ac:dyDescent="0.35">
      <c r="B50" s="33" t="s">
        <v>199</v>
      </c>
      <c r="C50" s="63">
        <v>0</v>
      </c>
      <c r="D50" s="63">
        <v>0</v>
      </c>
      <c r="E50" s="63">
        <v>0</v>
      </c>
      <c r="F50" s="63">
        <v>0</v>
      </c>
      <c r="G50" s="63">
        <v>0</v>
      </c>
      <c r="H50" s="63">
        <v>0</v>
      </c>
      <c r="I50">
        <v>0</v>
      </c>
      <c r="K50">
        <v>0</v>
      </c>
      <c r="M50" s="34">
        <v>8</v>
      </c>
    </row>
    <row r="51" spans="2:13" x14ac:dyDescent="0.35">
      <c r="B51" s="34" t="s">
        <v>199</v>
      </c>
      <c r="C51" s="63">
        <v>0</v>
      </c>
      <c r="D51" s="63">
        <v>0</v>
      </c>
      <c r="E51" s="63">
        <v>0</v>
      </c>
      <c r="F51" s="63">
        <v>0</v>
      </c>
      <c r="G51" s="63">
        <v>0</v>
      </c>
      <c r="H51" s="63">
        <v>0</v>
      </c>
      <c r="I51">
        <v>0</v>
      </c>
      <c r="K51">
        <v>0</v>
      </c>
      <c r="M51" s="35">
        <v>1154</v>
      </c>
    </row>
    <row r="52" spans="2:13" x14ac:dyDescent="0.35">
      <c r="B52" s="35"/>
      <c r="C52" s="63">
        <v>0</v>
      </c>
      <c r="D52" s="63">
        <v>0</v>
      </c>
      <c r="E52" s="63">
        <v>0</v>
      </c>
      <c r="F52" s="63">
        <v>0</v>
      </c>
      <c r="G52" s="63">
        <v>0</v>
      </c>
      <c r="H52" s="63">
        <v>0</v>
      </c>
      <c r="I52">
        <v>0</v>
      </c>
      <c r="K52">
        <v>0</v>
      </c>
      <c r="M52" s="95" t="s">
        <v>199</v>
      </c>
    </row>
    <row r="53" spans="2:13" x14ac:dyDescent="0.35">
      <c r="B53" s="31">
        <v>11</v>
      </c>
      <c r="C53" s="63">
        <v>0</v>
      </c>
      <c r="D53" s="63">
        <v>0</v>
      </c>
      <c r="E53" s="63">
        <v>0</v>
      </c>
      <c r="F53" s="63">
        <v>0</v>
      </c>
      <c r="G53" s="63">
        <v>0</v>
      </c>
      <c r="H53" s="63">
        <v>0</v>
      </c>
      <c r="I53">
        <v>0</v>
      </c>
      <c r="K53">
        <v>0</v>
      </c>
      <c r="M53" s="96" t="s">
        <v>199</v>
      </c>
    </row>
    <row r="54" spans="2:13" x14ac:dyDescent="0.35">
      <c r="B54" s="33" t="s">
        <v>199</v>
      </c>
      <c r="C54" s="63">
        <v>0</v>
      </c>
      <c r="D54" s="63">
        <v>0</v>
      </c>
      <c r="E54" s="63">
        <v>0</v>
      </c>
      <c r="F54" s="63">
        <v>0</v>
      </c>
      <c r="G54" s="63">
        <v>0</v>
      </c>
      <c r="H54" s="63">
        <v>0</v>
      </c>
      <c r="I54">
        <v>0</v>
      </c>
      <c r="K54">
        <v>0</v>
      </c>
      <c r="M54" s="178"/>
    </row>
    <row r="55" spans="2:13" x14ac:dyDescent="0.35">
      <c r="B55" s="34" t="s">
        <v>199</v>
      </c>
      <c r="C55" s="63">
        <v>0</v>
      </c>
      <c r="D55" s="63">
        <v>0</v>
      </c>
      <c r="E55" s="63">
        <v>0</v>
      </c>
      <c r="F55" s="63">
        <v>0</v>
      </c>
      <c r="G55" s="63">
        <v>0</v>
      </c>
      <c r="H55" s="63">
        <v>0</v>
      </c>
      <c r="I55">
        <v>0</v>
      </c>
      <c r="K55">
        <v>0</v>
      </c>
      <c r="M55" s="34">
        <v>9</v>
      </c>
    </row>
    <row r="56" spans="2:13" x14ac:dyDescent="0.35">
      <c r="B56" s="35"/>
      <c r="C56" s="63">
        <v>0</v>
      </c>
      <c r="D56" s="63">
        <v>0</v>
      </c>
      <c r="E56" s="63">
        <v>0</v>
      </c>
      <c r="F56" s="63">
        <v>0</v>
      </c>
      <c r="G56" s="63">
        <v>0</v>
      </c>
      <c r="H56" s="63">
        <v>0</v>
      </c>
      <c r="I56">
        <v>0</v>
      </c>
      <c r="K56">
        <v>0</v>
      </c>
      <c r="M56" s="35">
        <v>1155</v>
      </c>
    </row>
    <row r="57" spans="2:13" x14ac:dyDescent="0.35">
      <c r="B57" s="31">
        <v>12</v>
      </c>
      <c r="C57" s="63">
        <v>0</v>
      </c>
      <c r="D57" s="63">
        <v>0</v>
      </c>
      <c r="E57" s="63">
        <v>0</v>
      </c>
      <c r="F57" s="63">
        <v>0</v>
      </c>
      <c r="G57" s="63">
        <v>0</v>
      </c>
      <c r="H57" s="63">
        <v>0</v>
      </c>
      <c r="I57">
        <v>0</v>
      </c>
      <c r="K57">
        <v>0</v>
      </c>
      <c r="M57" s="95" t="s">
        <v>199</v>
      </c>
    </row>
    <row r="58" spans="2:13" x14ac:dyDescent="0.35">
      <c r="B58" s="33" t="s">
        <v>199</v>
      </c>
      <c r="C58" s="63">
        <v>0</v>
      </c>
      <c r="D58" s="63">
        <v>0</v>
      </c>
      <c r="E58" s="63">
        <v>0</v>
      </c>
      <c r="F58" s="63">
        <v>0</v>
      </c>
      <c r="G58" s="63">
        <v>0</v>
      </c>
      <c r="H58" s="63">
        <v>0</v>
      </c>
      <c r="I58">
        <v>0</v>
      </c>
      <c r="K58">
        <v>0</v>
      </c>
      <c r="M58" s="96" t="s">
        <v>199</v>
      </c>
    </row>
    <row r="59" spans="2:13" x14ac:dyDescent="0.35">
      <c r="B59" s="34" t="s">
        <v>199</v>
      </c>
      <c r="C59" s="63">
        <v>0</v>
      </c>
      <c r="D59" s="63">
        <v>0</v>
      </c>
      <c r="E59" s="63">
        <v>0</v>
      </c>
      <c r="F59" s="63">
        <v>0</v>
      </c>
      <c r="G59" s="63">
        <v>0</v>
      </c>
      <c r="H59" s="63">
        <v>0</v>
      </c>
      <c r="I59">
        <v>0</v>
      </c>
      <c r="K59">
        <v>0</v>
      </c>
      <c r="M59" s="178"/>
    </row>
    <row r="60" spans="2:13" x14ac:dyDescent="0.35">
      <c r="B60" s="35"/>
      <c r="C60" s="63">
        <v>0</v>
      </c>
      <c r="D60" s="63">
        <v>0</v>
      </c>
      <c r="E60" s="63">
        <v>0</v>
      </c>
      <c r="F60" s="63">
        <v>0</v>
      </c>
      <c r="G60" s="63">
        <v>0</v>
      </c>
      <c r="H60" s="63">
        <v>0</v>
      </c>
      <c r="I60">
        <v>0</v>
      </c>
      <c r="K60">
        <v>0</v>
      </c>
      <c r="M60" s="34">
        <v>10</v>
      </c>
    </row>
    <row r="61" spans="2:13" x14ac:dyDescent="0.35">
      <c r="B61" s="31">
        <v>13</v>
      </c>
      <c r="C61" s="63">
        <v>0</v>
      </c>
      <c r="D61" s="63">
        <v>0</v>
      </c>
      <c r="E61" s="63">
        <v>0</v>
      </c>
      <c r="F61" s="63">
        <v>0</v>
      </c>
      <c r="G61" s="63">
        <v>0</v>
      </c>
      <c r="H61" s="63">
        <v>0</v>
      </c>
      <c r="I61">
        <v>0</v>
      </c>
      <c r="K61">
        <v>0</v>
      </c>
      <c r="M61" s="35">
        <v>1156</v>
      </c>
    </row>
    <row r="62" spans="2:13" x14ac:dyDescent="0.35">
      <c r="B62" s="33" t="s">
        <v>199</v>
      </c>
      <c r="C62" s="63">
        <v>0</v>
      </c>
      <c r="D62" s="63">
        <v>0</v>
      </c>
      <c r="E62" s="63">
        <v>0</v>
      </c>
      <c r="F62" s="63">
        <v>0</v>
      </c>
      <c r="G62" s="63">
        <v>0</v>
      </c>
      <c r="H62" s="63">
        <v>0</v>
      </c>
      <c r="I62">
        <v>0</v>
      </c>
      <c r="K62">
        <v>0</v>
      </c>
      <c r="M62" s="95" t="s">
        <v>199</v>
      </c>
    </row>
    <row r="63" spans="2:13" x14ac:dyDescent="0.35">
      <c r="B63" s="34" t="s">
        <v>199</v>
      </c>
      <c r="C63" s="63">
        <v>0</v>
      </c>
      <c r="D63" s="63">
        <v>0</v>
      </c>
      <c r="E63" s="63">
        <v>0</v>
      </c>
      <c r="F63" s="63">
        <v>0</v>
      </c>
      <c r="G63" s="63">
        <v>0</v>
      </c>
      <c r="H63" s="63">
        <v>0</v>
      </c>
      <c r="I63">
        <v>0</v>
      </c>
      <c r="K63">
        <v>0</v>
      </c>
      <c r="M63" s="96" t="s">
        <v>199</v>
      </c>
    </row>
    <row r="64" spans="2:13" x14ac:dyDescent="0.35">
      <c r="B64" s="35"/>
      <c r="C64" s="63">
        <v>0</v>
      </c>
      <c r="D64" s="63">
        <v>0</v>
      </c>
      <c r="E64" s="63">
        <v>0</v>
      </c>
      <c r="F64" s="63">
        <v>0</v>
      </c>
      <c r="G64" s="63">
        <v>0</v>
      </c>
      <c r="H64" s="63">
        <v>0</v>
      </c>
      <c r="I64">
        <v>0</v>
      </c>
      <c r="K64">
        <v>0</v>
      </c>
      <c r="M64" s="178"/>
    </row>
    <row r="65" spans="2:13" x14ac:dyDescent="0.35">
      <c r="B65" s="31">
        <v>14</v>
      </c>
      <c r="C65" s="63">
        <v>117</v>
      </c>
      <c r="D65" s="63">
        <v>15</v>
      </c>
      <c r="E65" s="63">
        <v>0</v>
      </c>
      <c r="F65" s="63">
        <v>0</v>
      </c>
      <c r="G65" s="63">
        <v>1000</v>
      </c>
      <c r="H65" s="63">
        <v>0</v>
      </c>
      <c r="I65">
        <v>0</v>
      </c>
      <c r="K65">
        <v>0</v>
      </c>
      <c r="M65" s="34">
        <v>11</v>
      </c>
    </row>
    <row r="66" spans="2:13" x14ac:dyDescent="0.35">
      <c r="B66" s="33" t="s">
        <v>267</v>
      </c>
      <c r="C66">
        <v>10</v>
      </c>
      <c r="D66">
        <v>0</v>
      </c>
      <c r="E66">
        <v>0</v>
      </c>
      <c r="F66">
        <v>0</v>
      </c>
      <c r="G66">
        <v>0</v>
      </c>
      <c r="H66">
        <v>0</v>
      </c>
      <c r="I66">
        <v>0</v>
      </c>
      <c r="K66">
        <v>0</v>
      </c>
      <c r="M66" s="35">
        <v>1157</v>
      </c>
    </row>
    <row r="67" spans="2:13" x14ac:dyDescent="0.35">
      <c r="B67" s="34" t="s">
        <v>32</v>
      </c>
      <c r="C67">
        <v>10</v>
      </c>
      <c r="D67">
        <v>0</v>
      </c>
      <c r="E67">
        <v>0</v>
      </c>
      <c r="F67">
        <v>0</v>
      </c>
      <c r="G67">
        <v>0</v>
      </c>
      <c r="H67">
        <v>0</v>
      </c>
      <c r="I67">
        <v>0</v>
      </c>
      <c r="K67">
        <v>0</v>
      </c>
      <c r="M67" s="95" t="s">
        <v>199</v>
      </c>
    </row>
    <row r="68" spans="2:13" x14ac:dyDescent="0.35">
      <c r="B68" s="35" t="s">
        <v>193</v>
      </c>
      <c r="C68">
        <v>10</v>
      </c>
      <c r="D68">
        <v>0</v>
      </c>
      <c r="E68">
        <v>0</v>
      </c>
      <c r="F68">
        <v>0</v>
      </c>
      <c r="G68">
        <v>0</v>
      </c>
      <c r="H68">
        <v>0</v>
      </c>
      <c r="I68">
        <v>0</v>
      </c>
      <c r="K68">
        <v>0</v>
      </c>
      <c r="M68" s="96" t="s">
        <v>199</v>
      </c>
    </row>
    <row r="69" spans="2:13" x14ac:dyDescent="0.35">
      <c r="B69" s="33" t="s">
        <v>192</v>
      </c>
      <c r="C69">
        <v>0</v>
      </c>
      <c r="D69">
        <v>15</v>
      </c>
      <c r="E69">
        <v>0</v>
      </c>
      <c r="F69">
        <v>0</v>
      </c>
      <c r="G69">
        <v>0</v>
      </c>
      <c r="H69">
        <v>0</v>
      </c>
      <c r="I69">
        <v>0</v>
      </c>
      <c r="K69">
        <v>0</v>
      </c>
      <c r="M69" s="178"/>
    </row>
    <row r="70" spans="2:13" x14ac:dyDescent="0.35">
      <c r="B70" s="34" t="s">
        <v>143</v>
      </c>
      <c r="C70">
        <v>0</v>
      </c>
      <c r="D70">
        <v>15</v>
      </c>
      <c r="E70">
        <v>0</v>
      </c>
      <c r="F70">
        <v>0</v>
      </c>
      <c r="G70">
        <v>0</v>
      </c>
      <c r="H70">
        <v>0</v>
      </c>
      <c r="I70">
        <v>0</v>
      </c>
      <c r="K70">
        <v>0</v>
      </c>
      <c r="M70" s="34">
        <v>12</v>
      </c>
    </row>
    <row r="71" spans="2:13" x14ac:dyDescent="0.35">
      <c r="B71" s="35" t="s">
        <v>34</v>
      </c>
      <c r="C71">
        <v>0</v>
      </c>
      <c r="D71">
        <v>15</v>
      </c>
      <c r="E71">
        <v>0</v>
      </c>
      <c r="F71">
        <v>0</v>
      </c>
      <c r="G71">
        <v>0</v>
      </c>
      <c r="H71">
        <v>0</v>
      </c>
      <c r="I71">
        <v>0</v>
      </c>
      <c r="K71">
        <v>0</v>
      </c>
      <c r="M71" s="35">
        <v>1158</v>
      </c>
    </row>
    <row r="72" spans="2:13" x14ac:dyDescent="0.35">
      <c r="B72" s="33" t="s">
        <v>274</v>
      </c>
      <c r="C72">
        <v>107</v>
      </c>
      <c r="D72">
        <v>0</v>
      </c>
      <c r="E72">
        <v>0</v>
      </c>
      <c r="F72">
        <v>0</v>
      </c>
      <c r="G72">
        <v>0</v>
      </c>
      <c r="H72">
        <v>0</v>
      </c>
      <c r="I72">
        <v>0</v>
      </c>
      <c r="K72">
        <v>0</v>
      </c>
      <c r="M72" s="95" t="s">
        <v>199</v>
      </c>
    </row>
    <row r="73" spans="2:13" x14ac:dyDescent="0.35">
      <c r="B73" s="34" t="s">
        <v>32</v>
      </c>
      <c r="C73">
        <v>107</v>
      </c>
      <c r="D73">
        <v>0</v>
      </c>
      <c r="E73">
        <v>0</v>
      </c>
      <c r="F73">
        <v>0</v>
      </c>
      <c r="G73">
        <v>0</v>
      </c>
      <c r="H73">
        <v>0</v>
      </c>
      <c r="I73">
        <v>0</v>
      </c>
      <c r="K73">
        <v>0</v>
      </c>
      <c r="M73" s="96" t="s">
        <v>199</v>
      </c>
    </row>
    <row r="74" spans="2:13" x14ac:dyDescent="0.35">
      <c r="B74" s="35" t="s">
        <v>193</v>
      </c>
      <c r="C74">
        <v>107</v>
      </c>
      <c r="D74">
        <v>0</v>
      </c>
      <c r="E74">
        <v>0</v>
      </c>
      <c r="F74">
        <v>0</v>
      </c>
      <c r="G74">
        <v>0</v>
      </c>
      <c r="H74">
        <v>0</v>
      </c>
      <c r="I74">
        <v>0</v>
      </c>
      <c r="K74">
        <v>0</v>
      </c>
      <c r="M74" s="178"/>
    </row>
    <row r="75" spans="2:13" x14ac:dyDescent="0.35">
      <c r="B75" s="33" t="s">
        <v>277</v>
      </c>
      <c r="C75">
        <v>0</v>
      </c>
      <c r="D75">
        <v>0</v>
      </c>
      <c r="E75">
        <v>0</v>
      </c>
      <c r="F75">
        <v>0</v>
      </c>
      <c r="G75">
        <v>1000</v>
      </c>
      <c r="H75">
        <v>0</v>
      </c>
      <c r="I75">
        <v>0</v>
      </c>
      <c r="K75">
        <v>0</v>
      </c>
      <c r="M75" s="34">
        <v>13</v>
      </c>
    </row>
    <row r="76" spans="2:13" x14ac:dyDescent="0.35">
      <c r="B76" s="34" t="s">
        <v>188</v>
      </c>
      <c r="C76">
        <v>0</v>
      </c>
      <c r="D76">
        <v>0</v>
      </c>
      <c r="E76">
        <v>0</v>
      </c>
      <c r="F76">
        <v>0</v>
      </c>
      <c r="G76">
        <v>1000</v>
      </c>
      <c r="H76">
        <v>0</v>
      </c>
      <c r="I76">
        <v>0</v>
      </c>
      <c r="K76">
        <v>0</v>
      </c>
      <c r="M76" s="35">
        <v>1159</v>
      </c>
    </row>
    <row r="77" spans="2:13" x14ac:dyDescent="0.35">
      <c r="B77" s="35" t="s">
        <v>25</v>
      </c>
      <c r="C77">
        <v>0</v>
      </c>
      <c r="D77">
        <v>0</v>
      </c>
      <c r="E77">
        <v>0</v>
      </c>
      <c r="F77">
        <v>0</v>
      </c>
      <c r="G77">
        <v>1000</v>
      </c>
      <c r="H77">
        <v>0</v>
      </c>
      <c r="I77">
        <v>0</v>
      </c>
      <c r="K77">
        <v>0</v>
      </c>
      <c r="M77" s="95" t="s">
        <v>199</v>
      </c>
    </row>
    <row r="78" spans="2:13" x14ac:dyDescent="0.35">
      <c r="B78" s="31">
        <v>15</v>
      </c>
      <c r="C78" s="63">
        <v>4.4000000000000004</v>
      </c>
      <c r="D78" s="63">
        <v>19.350000000000001</v>
      </c>
      <c r="E78" s="63">
        <v>0</v>
      </c>
      <c r="F78" s="63">
        <v>0</v>
      </c>
      <c r="G78" s="63">
        <v>0</v>
      </c>
      <c r="H78" s="63">
        <v>0</v>
      </c>
      <c r="I78">
        <v>0</v>
      </c>
      <c r="K78">
        <v>0</v>
      </c>
      <c r="M78" s="96" t="s">
        <v>199</v>
      </c>
    </row>
    <row r="79" spans="2:13" x14ac:dyDescent="0.35">
      <c r="B79" s="33" t="s">
        <v>192</v>
      </c>
      <c r="C79">
        <v>0</v>
      </c>
      <c r="D79">
        <v>19.350000000000001</v>
      </c>
      <c r="E79">
        <v>0</v>
      </c>
      <c r="F79">
        <v>0</v>
      </c>
      <c r="G79">
        <v>0</v>
      </c>
      <c r="H79">
        <v>0</v>
      </c>
      <c r="I79">
        <v>0</v>
      </c>
      <c r="K79">
        <v>0</v>
      </c>
      <c r="M79" s="178"/>
    </row>
    <row r="80" spans="2:13" x14ac:dyDescent="0.35">
      <c r="B80" s="34" t="s">
        <v>143</v>
      </c>
      <c r="C80">
        <v>0</v>
      </c>
      <c r="D80">
        <v>19.350000000000001</v>
      </c>
      <c r="E80">
        <v>0</v>
      </c>
      <c r="F80">
        <v>0</v>
      </c>
      <c r="G80">
        <v>0</v>
      </c>
      <c r="H80">
        <v>0</v>
      </c>
      <c r="I80">
        <v>0</v>
      </c>
      <c r="K80">
        <v>0</v>
      </c>
      <c r="M80" s="34">
        <v>14</v>
      </c>
    </row>
    <row r="81" spans="2:13" x14ac:dyDescent="0.35">
      <c r="B81" s="35" t="s">
        <v>34</v>
      </c>
      <c r="C81">
        <v>0</v>
      </c>
      <c r="D81">
        <v>19.350000000000001</v>
      </c>
      <c r="E81">
        <v>0</v>
      </c>
      <c r="F81">
        <v>0</v>
      </c>
      <c r="G81">
        <v>0</v>
      </c>
      <c r="H81">
        <v>0</v>
      </c>
      <c r="I81">
        <v>0</v>
      </c>
      <c r="K81">
        <v>0</v>
      </c>
      <c r="M81" s="35">
        <v>1160</v>
      </c>
    </row>
    <row r="82" spans="2:13" x14ac:dyDescent="0.35">
      <c r="B82" s="33" t="s">
        <v>268</v>
      </c>
      <c r="C82">
        <v>4.4000000000000004</v>
      </c>
      <c r="D82">
        <v>0</v>
      </c>
      <c r="E82">
        <v>0</v>
      </c>
      <c r="F82">
        <v>0</v>
      </c>
      <c r="G82">
        <v>0</v>
      </c>
      <c r="H82">
        <v>0</v>
      </c>
      <c r="I82">
        <v>0</v>
      </c>
      <c r="K82">
        <v>0</v>
      </c>
      <c r="M82" s="95" t="s">
        <v>192</v>
      </c>
    </row>
    <row r="83" spans="2:13" x14ac:dyDescent="0.35">
      <c r="B83" s="34" t="s">
        <v>32</v>
      </c>
      <c r="C83">
        <v>4.4000000000000004</v>
      </c>
      <c r="D83">
        <v>0</v>
      </c>
      <c r="E83">
        <v>0</v>
      </c>
      <c r="F83">
        <v>0</v>
      </c>
      <c r="G83">
        <v>0</v>
      </c>
      <c r="H83">
        <v>0</v>
      </c>
      <c r="I83">
        <v>0</v>
      </c>
      <c r="K83">
        <v>0</v>
      </c>
      <c r="M83" s="96" t="s">
        <v>143</v>
      </c>
    </row>
    <row r="84" spans="2:13" x14ac:dyDescent="0.35">
      <c r="B84" s="35" t="s">
        <v>193</v>
      </c>
      <c r="C84">
        <v>4.4000000000000004</v>
      </c>
      <c r="D84">
        <v>0</v>
      </c>
      <c r="E84">
        <v>0</v>
      </c>
      <c r="F84">
        <v>0</v>
      </c>
      <c r="G84">
        <v>0</v>
      </c>
      <c r="H84">
        <v>0</v>
      </c>
      <c r="I84">
        <v>0</v>
      </c>
      <c r="K84">
        <v>0</v>
      </c>
      <c r="M84" s="178" t="s">
        <v>34</v>
      </c>
    </row>
    <row r="85" spans="2:13" x14ac:dyDescent="0.35">
      <c r="B85" s="31">
        <v>16</v>
      </c>
      <c r="C85" s="63">
        <v>9</v>
      </c>
      <c r="D85" s="63">
        <v>65.95</v>
      </c>
      <c r="E85" s="63">
        <v>0</v>
      </c>
      <c r="F85" s="63">
        <v>0</v>
      </c>
      <c r="G85" s="63">
        <v>0</v>
      </c>
      <c r="H85" s="63">
        <v>0</v>
      </c>
      <c r="I85">
        <v>0</v>
      </c>
      <c r="K85">
        <v>0</v>
      </c>
      <c r="M85" s="95" t="s">
        <v>267</v>
      </c>
    </row>
    <row r="86" spans="2:13" x14ac:dyDescent="0.35">
      <c r="B86" s="33" t="s">
        <v>192</v>
      </c>
      <c r="C86" s="63">
        <v>0</v>
      </c>
      <c r="D86" s="63">
        <v>65.95</v>
      </c>
      <c r="E86" s="63">
        <v>0</v>
      </c>
      <c r="F86" s="63">
        <v>0</v>
      </c>
      <c r="G86" s="63">
        <v>0</v>
      </c>
      <c r="H86" s="63">
        <v>0</v>
      </c>
      <c r="I86">
        <v>0</v>
      </c>
      <c r="K86">
        <v>0</v>
      </c>
      <c r="M86" s="96" t="s">
        <v>32</v>
      </c>
    </row>
    <row r="87" spans="2:13" x14ac:dyDescent="0.35">
      <c r="B87" s="34" t="s">
        <v>143</v>
      </c>
      <c r="C87" s="63">
        <v>0</v>
      </c>
      <c r="D87" s="63">
        <v>65.95</v>
      </c>
      <c r="E87" s="63">
        <v>0</v>
      </c>
      <c r="F87" s="63">
        <v>0</v>
      </c>
      <c r="G87" s="63">
        <v>0</v>
      </c>
      <c r="H87" s="63">
        <v>0</v>
      </c>
      <c r="I87">
        <v>0</v>
      </c>
      <c r="K87">
        <v>0</v>
      </c>
      <c r="M87" s="178" t="s">
        <v>193</v>
      </c>
    </row>
    <row r="88" spans="2:13" x14ac:dyDescent="0.35">
      <c r="B88" s="35" t="s">
        <v>34</v>
      </c>
      <c r="C88" s="63">
        <v>0</v>
      </c>
      <c r="D88" s="63">
        <v>65.95</v>
      </c>
      <c r="E88" s="63">
        <v>0</v>
      </c>
      <c r="F88" s="63">
        <v>0</v>
      </c>
      <c r="G88" s="63">
        <v>0</v>
      </c>
      <c r="H88" s="63">
        <v>0</v>
      </c>
      <c r="I88">
        <v>0</v>
      </c>
      <c r="K88">
        <v>0</v>
      </c>
      <c r="M88" s="95" t="s">
        <v>274</v>
      </c>
    </row>
    <row r="89" spans="2:13" x14ac:dyDescent="0.35">
      <c r="B89" s="33" t="s">
        <v>275</v>
      </c>
      <c r="C89">
        <v>9</v>
      </c>
      <c r="D89">
        <v>0</v>
      </c>
      <c r="E89">
        <v>0</v>
      </c>
      <c r="F89">
        <v>0</v>
      </c>
      <c r="G89">
        <v>0</v>
      </c>
      <c r="H89">
        <v>0</v>
      </c>
      <c r="I89">
        <v>0</v>
      </c>
      <c r="K89">
        <v>0</v>
      </c>
      <c r="M89" s="96" t="s">
        <v>32</v>
      </c>
    </row>
    <row r="90" spans="2:13" x14ac:dyDescent="0.35">
      <c r="B90" s="34" t="s">
        <v>200</v>
      </c>
      <c r="C90">
        <v>9</v>
      </c>
      <c r="D90">
        <v>0</v>
      </c>
      <c r="E90">
        <v>0</v>
      </c>
      <c r="F90">
        <v>0</v>
      </c>
      <c r="G90">
        <v>0</v>
      </c>
      <c r="H90">
        <v>0</v>
      </c>
      <c r="I90">
        <v>0</v>
      </c>
      <c r="K90">
        <v>0</v>
      </c>
      <c r="M90" s="178" t="s">
        <v>193</v>
      </c>
    </row>
    <row r="91" spans="2:13" x14ac:dyDescent="0.35">
      <c r="B91" s="35" t="s">
        <v>272</v>
      </c>
      <c r="C91">
        <v>9</v>
      </c>
      <c r="D91">
        <v>0</v>
      </c>
      <c r="E91">
        <v>0</v>
      </c>
      <c r="F91">
        <v>0</v>
      </c>
      <c r="G91">
        <v>0</v>
      </c>
      <c r="H91">
        <v>0</v>
      </c>
      <c r="I91">
        <v>0</v>
      </c>
      <c r="K91">
        <v>0</v>
      </c>
      <c r="M91" s="95" t="s">
        <v>277</v>
      </c>
    </row>
    <row r="92" spans="2:13" x14ac:dyDescent="0.35">
      <c r="B92" s="31">
        <v>17</v>
      </c>
      <c r="C92" s="63">
        <v>4.4000000000000004</v>
      </c>
      <c r="D92" s="63">
        <v>3.98</v>
      </c>
      <c r="E92" s="63">
        <v>0</v>
      </c>
      <c r="F92" s="63">
        <v>0</v>
      </c>
      <c r="G92" s="63">
        <v>0</v>
      </c>
      <c r="H92" s="63">
        <v>0</v>
      </c>
      <c r="I92">
        <v>0</v>
      </c>
      <c r="K92">
        <v>0</v>
      </c>
      <c r="M92" s="96" t="s">
        <v>188</v>
      </c>
    </row>
    <row r="93" spans="2:13" x14ac:dyDescent="0.35">
      <c r="B93" s="33" t="s">
        <v>192</v>
      </c>
      <c r="C93" s="63">
        <v>0</v>
      </c>
      <c r="D93" s="63">
        <v>3.98</v>
      </c>
      <c r="E93" s="63">
        <v>0</v>
      </c>
      <c r="F93" s="63">
        <v>0</v>
      </c>
      <c r="G93" s="63">
        <v>0</v>
      </c>
      <c r="H93" s="63">
        <v>0</v>
      </c>
      <c r="I93">
        <v>0</v>
      </c>
      <c r="K93">
        <v>0</v>
      </c>
      <c r="M93" s="178" t="s">
        <v>25</v>
      </c>
    </row>
    <row r="94" spans="2:13" x14ac:dyDescent="0.35">
      <c r="B94" s="34" t="s">
        <v>143</v>
      </c>
      <c r="C94" s="63">
        <v>0</v>
      </c>
      <c r="D94" s="63">
        <v>3.98</v>
      </c>
      <c r="E94" s="63">
        <v>0</v>
      </c>
      <c r="F94" s="63">
        <v>0</v>
      </c>
      <c r="G94" s="63">
        <v>0</v>
      </c>
      <c r="H94" s="63">
        <v>0</v>
      </c>
      <c r="I94">
        <v>0</v>
      </c>
      <c r="K94">
        <v>0</v>
      </c>
      <c r="M94" s="34">
        <v>15</v>
      </c>
    </row>
    <row r="95" spans="2:13" x14ac:dyDescent="0.35">
      <c r="B95" s="35" t="s">
        <v>34</v>
      </c>
      <c r="C95" s="63">
        <v>0</v>
      </c>
      <c r="D95" s="63">
        <v>3.98</v>
      </c>
      <c r="E95" s="63">
        <v>0</v>
      </c>
      <c r="F95" s="63">
        <v>0</v>
      </c>
      <c r="G95" s="63">
        <v>0</v>
      </c>
      <c r="H95" s="63">
        <v>0</v>
      </c>
      <c r="I95">
        <v>0</v>
      </c>
      <c r="K95">
        <v>0</v>
      </c>
      <c r="M95" s="35">
        <v>1161</v>
      </c>
    </row>
    <row r="96" spans="2:13" x14ac:dyDescent="0.35">
      <c r="B96" s="33" t="s">
        <v>268</v>
      </c>
      <c r="C96" s="63">
        <v>4.4000000000000004</v>
      </c>
      <c r="D96" s="63">
        <v>0</v>
      </c>
      <c r="E96" s="63">
        <v>0</v>
      </c>
      <c r="F96" s="63">
        <v>0</v>
      </c>
      <c r="G96" s="63">
        <v>0</v>
      </c>
      <c r="H96" s="63">
        <v>0</v>
      </c>
      <c r="I96">
        <v>0</v>
      </c>
      <c r="K96">
        <v>0</v>
      </c>
      <c r="M96" s="95" t="s">
        <v>268</v>
      </c>
    </row>
    <row r="97" spans="2:13" x14ac:dyDescent="0.35">
      <c r="B97" s="34" t="s">
        <v>32</v>
      </c>
      <c r="C97" s="63">
        <v>4.4000000000000004</v>
      </c>
      <c r="D97" s="63">
        <v>0</v>
      </c>
      <c r="E97" s="63">
        <v>0</v>
      </c>
      <c r="F97" s="63">
        <v>0</v>
      </c>
      <c r="G97" s="63">
        <v>0</v>
      </c>
      <c r="H97" s="63">
        <v>0</v>
      </c>
      <c r="I97">
        <v>0</v>
      </c>
      <c r="K97">
        <v>0</v>
      </c>
      <c r="M97" s="96" t="s">
        <v>32</v>
      </c>
    </row>
    <row r="98" spans="2:13" x14ac:dyDescent="0.35">
      <c r="B98" s="35" t="s">
        <v>193</v>
      </c>
      <c r="C98" s="63">
        <v>4.4000000000000004</v>
      </c>
      <c r="D98" s="63">
        <v>0</v>
      </c>
      <c r="E98" s="63">
        <v>0</v>
      </c>
      <c r="F98" s="63">
        <v>0</v>
      </c>
      <c r="G98" s="63">
        <v>0</v>
      </c>
      <c r="H98" s="63">
        <v>0</v>
      </c>
      <c r="I98">
        <v>0</v>
      </c>
      <c r="K98">
        <v>0</v>
      </c>
      <c r="M98" s="178" t="s">
        <v>193</v>
      </c>
    </row>
    <row r="99" spans="2:13" x14ac:dyDescent="0.35">
      <c r="B99" s="31">
        <v>18</v>
      </c>
      <c r="C99" s="63">
        <v>4.4000000000000004</v>
      </c>
      <c r="D99" s="63">
        <v>11.7</v>
      </c>
      <c r="E99" s="63">
        <v>0</v>
      </c>
      <c r="F99" s="63">
        <v>0</v>
      </c>
      <c r="G99" s="63">
        <v>0</v>
      </c>
      <c r="H99" s="63">
        <v>0</v>
      </c>
      <c r="I99">
        <v>0</v>
      </c>
      <c r="K99">
        <v>0</v>
      </c>
      <c r="M99" s="95" t="s">
        <v>192</v>
      </c>
    </row>
    <row r="100" spans="2:13" x14ac:dyDescent="0.35">
      <c r="B100" s="33" t="s">
        <v>192</v>
      </c>
      <c r="C100" s="63">
        <v>0</v>
      </c>
      <c r="D100" s="63">
        <v>11.7</v>
      </c>
      <c r="E100" s="63">
        <v>0</v>
      </c>
      <c r="F100" s="63">
        <v>0</v>
      </c>
      <c r="G100" s="63">
        <v>0</v>
      </c>
      <c r="H100" s="63">
        <v>0</v>
      </c>
      <c r="I100">
        <v>0</v>
      </c>
      <c r="K100">
        <v>0</v>
      </c>
      <c r="M100" s="96" t="s">
        <v>143</v>
      </c>
    </row>
    <row r="101" spans="2:13" x14ac:dyDescent="0.35">
      <c r="B101" s="34" t="s">
        <v>143</v>
      </c>
      <c r="C101" s="63">
        <v>0</v>
      </c>
      <c r="D101" s="63">
        <v>11.7</v>
      </c>
      <c r="E101" s="63">
        <v>0</v>
      </c>
      <c r="F101" s="63">
        <v>0</v>
      </c>
      <c r="G101" s="63">
        <v>0</v>
      </c>
      <c r="H101" s="63">
        <v>0</v>
      </c>
      <c r="I101">
        <v>0</v>
      </c>
      <c r="K101">
        <v>0</v>
      </c>
      <c r="M101" s="178" t="s">
        <v>34</v>
      </c>
    </row>
    <row r="102" spans="2:13" x14ac:dyDescent="0.35">
      <c r="B102" s="35" t="s">
        <v>34</v>
      </c>
      <c r="C102" s="63">
        <v>0</v>
      </c>
      <c r="D102" s="63">
        <v>11.7</v>
      </c>
      <c r="E102" s="63">
        <v>0</v>
      </c>
      <c r="F102" s="63">
        <v>0</v>
      </c>
      <c r="G102" s="63">
        <v>0</v>
      </c>
      <c r="H102" s="63">
        <v>0</v>
      </c>
      <c r="I102">
        <v>0</v>
      </c>
      <c r="K102">
        <v>0</v>
      </c>
      <c r="M102" s="34">
        <v>16</v>
      </c>
    </row>
    <row r="103" spans="2:13" x14ac:dyDescent="0.35">
      <c r="B103" s="33" t="s">
        <v>268</v>
      </c>
      <c r="C103">
        <v>4.4000000000000004</v>
      </c>
      <c r="D103">
        <v>0</v>
      </c>
      <c r="E103">
        <v>0</v>
      </c>
      <c r="F103">
        <v>0</v>
      </c>
      <c r="G103">
        <v>0</v>
      </c>
      <c r="H103">
        <v>0</v>
      </c>
      <c r="I103">
        <v>0</v>
      </c>
      <c r="K103">
        <v>0</v>
      </c>
      <c r="M103" s="35">
        <v>1162</v>
      </c>
    </row>
    <row r="104" spans="2:13" x14ac:dyDescent="0.35">
      <c r="B104" s="34" t="s">
        <v>32</v>
      </c>
      <c r="C104">
        <v>4.4000000000000004</v>
      </c>
      <c r="D104">
        <v>0</v>
      </c>
      <c r="E104">
        <v>0</v>
      </c>
      <c r="F104">
        <v>0</v>
      </c>
      <c r="G104">
        <v>0</v>
      </c>
      <c r="H104">
        <v>0</v>
      </c>
      <c r="I104">
        <v>0</v>
      </c>
      <c r="K104">
        <v>0</v>
      </c>
      <c r="M104" s="95" t="s">
        <v>192</v>
      </c>
    </row>
    <row r="105" spans="2:13" x14ac:dyDescent="0.35">
      <c r="B105" s="35" t="s">
        <v>193</v>
      </c>
      <c r="C105">
        <v>4.4000000000000004</v>
      </c>
      <c r="D105">
        <v>0</v>
      </c>
      <c r="E105">
        <v>0</v>
      </c>
      <c r="F105">
        <v>0</v>
      </c>
      <c r="G105">
        <v>0</v>
      </c>
      <c r="H105">
        <v>0</v>
      </c>
      <c r="I105">
        <v>0</v>
      </c>
      <c r="K105">
        <v>0</v>
      </c>
      <c r="M105" s="96" t="s">
        <v>143</v>
      </c>
    </row>
    <row r="106" spans="2:13" x14ac:dyDescent="0.35">
      <c r="B106" s="31">
        <v>19</v>
      </c>
      <c r="C106" s="63">
        <v>0</v>
      </c>
      <c r="D106" s="63">
        <v>0</v>
      </c>
      <c r="E106" s="63">
        <v>0</v>
      </c>
      <c r="F106" s="63">
        <v>0</v>
      </c>
      <c r="G106" s="63">
        <v>0</v>
      </c>
      <c r="H106" s="63">
        <v>0</v>
      </c>
      <c r="I106">
        <v>0</v>
      </c>
      <c r="K106">
        <v>0</v>
      </c>
      <c r="M106" s="178" t="s">
        <v>34</v>
      </c>
    </row>
    <row r="107" spans="2:13" x14ac:dyDescent="0.35">
      <c r="B107" s="33" t="s">
        <v>199</v>
      </c>
      <c r="C107" s="63">
        <v>0</v>
      </c>
      <c r="D107" s="63">
        <v>0</v>
      </c>
      <c r="E107" s="63">
        <v>0</v>
      </c>
      <c r="F107" s="63">
        <v>0</v>
      </c>
      <c r="G107" s="63">
        <v>0</v>
      </c>
      <c r="H107" s="63">
        <v>0</v>
      </c>
      <c r="I107">
        <v>0</v>
      </c>
      <c r="K107">
        <v>0</v>
      </c>
      <c r="M107" s="95" t="s">
        <v>275</v>
      </c>
    </row>
    <row r="108" spans="2:13" x14ac:dyDescent="0.35">
      <c r="B108" s="34" t="s">
        <v>199</v>
      </c>
      <c r="C108" s="63">
        <v>0</v>
      </c>
      <c r="D108" s="63">
        <v>0</v>
      </c>
      <c r="E108" s="63">
        <v>0</v>
      </c>
      <c r="F108" s="63">
        <v>0</v>
      </c>
      <c r="G108" s="63">
        <v>0</v>
      </c>
      <c r="H108" s="63">
        <v>0</v>
      </c>
      <c r="I108">
        <v>0</v>
      </c>
      <c r="K108">
        <v>0</v>
      </c>
      <c r="M108" s="96" t="s">
        <v>200</v>
      </c>
    </row>
    <row r="109" spans="2:13" x14ac:dyDescent="0.35">
      <c r="B109" s="35"/>
      <c r="C109" s="63">
        <v>0</v>
      </c>
      <c r="D109" s="63">
        <v>0</v>
      </c>
      <c r="E109" s="63">
        <v>0</v>
      </c>
      <c r="F109" s="63">
        <v>0</v>
      </c>
      <c r="G109" s="63">
        <v>0</v>
      </c>
      <c r="H109" s="63">
        <v>0</v>
      </c>
      <c r="I109">
        <v>0</v>
      </c>
      <c r="K109">
        <v>0</v>
      </c>
      <c r="M109" s="178" t="s">
        <v>272</v>
      </c>
    </row>
    <row r="110" spans="2:13" x14ac:dyDescent="0.35">
      <c r="B110" s="31">
        <v>20</v>
      </c>
      <c r="C110" s="63">
        <v>0</v>
      </c>
      <c r="D110" s="63">
        <v>0</v>
      </c>
      <c r="E110" s="63">
        <v>0</v>
      </c>
      <c r="F110" s="63">
        <v>0</v>
      </c>
      <c r="G110" s="63">
        <v>0</v>
      </c>
      <c r="H110" s="63">
        <v>0</v>
      </c>
      <c r="I110">
        <v>0</v>
      </c>
      <c r="K110">
        <v>0</v>
      </c>
      <c r="M110" s="34">
        <v>17</v>
      </c>
    </row>
    <row r="111" spans="2:13" x14ac:dyDescent="0.35">
      <c r="B111" s="33" t="s">
        <v>199</v>
      </c>
      <c r="C111" s="63">
        <v>0</v>
      </c>
      <c r="D111" s="63">
        <v>0</v>
      </c>
      <c r="E111" s="63">
        <v>0</v>
      </c>
      <c r="F111" s="63">
        <v>0</v>
      </c>
      <c r="G111" s="63">
        <v>0</v>
      </c>
      <c r="H111" s="63">
        <v>0</v>
      </c>
      <c r="I111">
        <v>0</v>
      </c>
      <c r="K111">
        <v>0</v>
      </c>
      <c r="M111" s="35">
        <v>1163</v>
      </c>
    </row>
    <row r="112" spans="2:13" x14ac:dyDescent="0.35">
      <c r="B112" s="34" t="s">
        <v>199</v>
      </c>
      <c r="C112" s="63">
        <v>0</v>
      </c>
      <c r="D112" s="63">
        <v>0</v>
      </c>
      <c r="E112" s="63">
        <v>0</v>
      </c>
      <c r="F112" s="63">
        <v>0</v>
      </c>
      <c r="G112" s="63">
        <v>0</v>
      </c>
      <c r="H112" s="63">
        <v>0</v>
      </c>
      <c r="I112">
        <v>0</v>
      </c>
      <c r="K112">
        <v>0</v>
      </c>
      <c r="M112" s="95" t="s">
        <v>268</v>
      </c>
    </row>
    <row r="113" spans="2:13" x14ac:dyDescent="0.35">
      <c r="B113" s="35"/>
      <c r="C113" s="63">
        <v>0</v>
      </c>
      <c r="D113" s="63">
        <v>0</v>
      </c>
      <c r="E113" s="63">
        <v>0</v>
      </c>
      <c r="F113" s="63">
        <v>0</v>
      </c>
      <c r="G113" s="63">
        <v>0</v>
      </c>
      <c r="H113" s="63">
        <v>0</v>
      </c>
      <c r="I113">
        <v>0</v>
      </c>
      <c r="K113">
        <v>0</v>
      </c>
      <c r="M113" s="96" t="s">
        <v>32</v>
      </c>
    </row>
    <row r="114" spans="2:13" x14ac:dyDescent="0.35">
      <c r="B114" s="31">
        <v>21</v>
      </c>
      <c r="C114" s="63">
        <v>2.2000000000000002</v>
      </c>
      <c r="D114" s="63">
        <v>46.84</v>
      </c>
      <c r="E114" s="63">
        <v>0</v>
      </c>
      <c r="F114" s="63">
        <v>0</v>
      </c>
      <c r="G114" s="63">
        <v>0</v>
      </c>
      <c r="H114" s="63">
        <v>0</v>
      </c>
      <c r="I114">
        <v>0</v>
      </c>
      <c r="K114">
        <v>0</v>
      </c>
      <c r="M114" s="178" t="s">
        <v>193</v>
      </c>
    </row>
    <row r="115" spans="2:13" x14ac:dyDescent="0.35">
      <c r="B115" s="33" t="s">
        <v>192</v>
      </c>
      <c r="C115">
        <v>0</v>
      </c>
      <c r="D115">
        <v>26.84</v>
      </c>
      <c r="E115">
        <v>0</v>
      </c>
      <c r="F115">
        <v>0</v>
      </c>
      <c r="G115">
        <v>0</v>
      </c>
      <c r="H115">
        <v>0</v>
      </c>
      <c r="I115">
        <v>0</v>
      </c>
      <c r="K115">
        <v>0</v>
      </c>
      <c r="M115" s="95" t="s">
        <v>192</v>
      </c>
    </row>
    <row r="116" spans="2:13" x14ac:dyDescent="0.35">
      <c r="B116" s="34" t="s">
        <v>143</v>
      </c>
      <c r="C116">
        <v>0</v>
      </c>
      <c r="D116">
        <v>26.84</v>
      </c>
      <c r="E116">
        <v>0</v>
      </c>
      <c r="F116">
        <v>0</v>
      </c>
      <c r="G116">
        <v>0</v>
      </c>
      <c r="H116">
        <v>0</v>
      </c>
      <c r="I116">
        <v>0</v>
      </c>
      <c r="K116">
        <v>0</v>
      </c>
      <c r="M116" s="96" t="s">
        <v>143</v>
      </c>
    </row>
    <row r="117" spans="2:13" x14ac:dyDescent="0.35">
      <c r="B117" s="35" t="s">
        <v>34</v>
      </c>
      <c r="C117">
        <v>0</v>
      </c>
      <c r="D117">
        <v>26.84</v>
      </c>
      <c r="E117">
        <v>0</v>
      </c>
      <c r="F117">
        <v>0</v>
      </c>
      <c r="G117">
        <v>0</v>
      </c>
      <c r="H117">
        <v>0</v>
      </c>
      <c r="I117">
        <v>0</v>
      </c>
      <c r="K117">
        <v>0</v>
      </c>
      <c r="M117" s="178" t="s">
        <v>34</v>
      </c>
    </row>
    <row r="118" spans="2:13" x14ac:dyDescent="0.35">
      <c r="B118" s="33" t="s">
        <v>268</v>
      </c>
      <c r="C118">
        <v>2.2000000000000002</v>
      </c>
      <c r="D118">
        <v>0</v>
      </c>
      <c r="E118">
        <v>0</v>
      </c>
      <c r="F118">
        <v>0</v>
      </c>
      <c r="G118">
        <v>0</v>
      </c>
      <c r="H118">
        <v>0</v>
      </c>
      <c r="I118">
        <v>0</v>
      </c>
      <c r="K118">
        <v>0</v>
      </c>
      <c r="M118" s="34">
        <v>18</v>
      </c>
    </row>
    <row r="119" spans="2:13" x14ac:dyDescent="0.35">
      <c r="B119" s="34" t="s">
        <v>32</v>
      </c>
      <c r="C119">
        <v>2.2000000000000002</v>
      </c>
      <c r="D119">
        <v>0</v>
      </c>
      <c r="E119">
        <v>0</v>
      </c>
      <c r="F119">
        <v>0</v>
      </c>
      <c r="G119">
        <v>0</v>
      </c>
      <c r="H119">
        <v>0</v>
      </c>
      <c r="I119">
        <v>0</v>
      </c>
      <c r="K119">
        <v>0</v>
      </c>
      <c r="M119" s="35">
        <v>1164</v>
      </c>
    </row>
    <row r="120" spans="2:13" x14ac:dyDescent="0.35">
      <c r="B120" s="35" t="s">
        <v>193</v>
      </c>
      <c r="C120">
        <v>2.2000000000000002</v>
      </c>
      <c r="D120">
        <v>0</v>
      </c>
      <c r="E120">
        <v>0</v>
      </c>
      <c r="F120">
        <v>0</v>
      </c>
      <c r="G120">
        <v>0</v>
      </c>
      <c r="H120">
        <v>0</v>
      </c>
      <c r="I120">
        <v>0</v>
      </c>
      <c r="K120">
        <v>0</v>
      </c>
      <c r="M120" s="95" t="s">
        <v>268</v>
      </c>
    </row>
    <row r="121" spans="2:13" x14ac:dyDescent="0.35">
      <c r="B121" s="33" t="s">
        <v>270</v>
      </c>
      <c r="C121">
        <v>0</v>
      </c>
      <c r="D121">
        <v>20</v>
      </c>
      <c r="E121">
        <v>0</v>
      </c>
      <c r="F121">
        <v>0</v>
      </c>
      <c r="G121">
        <v>0</v>
      </c>
      <c r="H121">
        <v>0</v>
      </c>
      <c r="I121">
        <v>0</v>
      </c>
      <c r="K121">
        <v>0</v>
      </c>
      <c r="M121" s="96" t="s">
        <v>32</v>
      </c>
    </row>
    <row r="122" spans="2:13" x14ac:dyDescent="0.35">
      <c r="B122" s="34" t="s">
        <v>261</v>
      </c>
      <c r="C122">
        <v>0</v>
      </c>
      <c r="D122">
        <v>5</v>
      </c>
      <c r="E122">
        <v>0</v>
      </c>
      <c r="F122">
        <v>0</v>
      </c>
      <c r="G122">
        <v>0</v>
      </c>
      <c r="H122">
        <v>0</v>
      </c>
      <c r="I122">
        <v>0</v>
      </c>
      <c r="K122">
        <v>0</v>
      </c>
      <c r="M122" s="178" t="s">
        <v>193</v>
      </c>
    </row>
    <row r="123" spans="2:13" x14ac:dyDescent="0.35">
      <c r="B123" s="35" t="s">
        <v>257</v>
      </c>
      <c r="C123">
        <v>0</v>
      </c>
      <c r="D123">
        <v>5</v>
      </c>
      <c r="E123">
        <v>0</v>
      </c>
      <c r="F123">
        <v>0</v>
      </c>
      <c r="G123">
        <v>0</v>
      </c>
      <c r="H123">
        <v>0</v>
      </c>
      <c r="I123">
        <v>0</v>
      </c>
      <c r="K123">
        <v>0</v>
      </c>
      <c r="M123" s="95" t="s">
        <v>192</v>
      </c>
    </row>
    <row r="124" spans="2:13" x14ac:dyDescent="0.35">
      <c r="B124" s="34" t="s">
        <v>262</v>
      </c>
      <c r="C124">
        <v>0</v>
      </c>
      <c r="D124">
        <v>15</v>
      </c>
      <c r="E124">
        <v>0</v>
      </c>
      <c r="F124">
        <v>0</v>
      </c>
      <c r="G124">
        <v>0</v>
      </c>
      <c r="H124">
        <v>0</v>
      </c>
      <c r="I124">
        <v>0</v>
      </c>
      <c r="K124">
        <v>0</v>
      </c>
      <c r="M124" s="96" t="s">
        <v>143</v>
      </c>
    </row>
    <row r="125" spans="2:13" x14ac:dyDescent="0.35">
      <c r="B125" s="35" t="s">
        <v>197</v>
      </c>
      <c r="C125">
        <v>0</v>
      </c>
      <c r="D125">
        <v>15</v>
      </c>
      <c r="E125">
        <v>0</v>
      </c>
      <c r="F125">
        <v>0</v>
      </c>
      <c r="G125">
        <v>0</v>
      </c>
      <c r="H125">
        <v>0</v>
      </c>
      <c r="I125">
        <v>0</v>
      </c>
      <c r="K125">
        <v>0</v>
      </c>
      <c r="M125" s="178" t="s">
        <v>34</v>
      </c>
    </row>
    <row r="126" spans="2:13" x14ac:dyDescent="0.35">
      <c r="B126" s="31">
        <v>22</v>
      </c>
      <c r="C126" s="63">
        <v>0</v>
      </c>
      <c r="D126" s="63">
        <v>0</v>
      </c>
      <c r="E126" s="63">
        <v>0</v>
      </c>
      <c r="F126" s="63">
        <v>0</v>
      </c>
      <c r="G126" s="63">
        <v>0</v>
      </c>
      <c r="H126" s="63">
        <v>0</v>
      </c>
      <c r="I126">
        <v>0</v>
      </c>
      <c r="K126">
        <v>0</v>
      </c>
      <c r="M126" s="34">
        <v>19</v>
      </c>
    </row>
    <row r="127" spans="2:13" x14ac:dyDescent="0.35">
      <c r="B127" s="33" t="s">
        <v>199</v>
      </c>
      <c r="C127" s="63">
        <v>0</v>
      </c>
      <c r="D127" s="63">
        <v>0</v>
      </c>
      <c r="E127" s="63">
        <v>0</v>
      </c>
      <c r="F127" s="63">
        <v>0</v>
      </c>
      <c r="G127" s="63">
        <v>0</v>
      </c>
      <c r="H127" s="63">
        <v>0</v>
      </c>
      <c r="I127">
        <v>0</v>
      </c>
      <c r="K127">
        <v>0</v>
      </c>
      <c r="M127" s="35">
        <v>1165</v>
      </c>
    </row>
    <row r="128" spans="2:13" x14ac:dyDescent="0.35">
      <c r="B128" s="34" t="s">
        <v>199</v>
      </c>
      <c r="C128" s="63">
        <v>0</v>
      </c>
      <c r="D128" s="63">
        <v>0</v>
      </c>
      <c r="E128" s="63">
        <v>0</v>
      </c>
      <c r="F128" s="63">
        <v>0</v>
      </c>
      <c r="G128" s="63">
        <v>0</v>
      </c>
      <c r="H128" s="63">
        <v>0</v>
      </c>
      <c r="I128">
        <v>0</v>
      </c>
      <c r="K128">
        <v>0</v>
      </c>
      <c r="M128" s="95" t="s">
        <v>199</v>
      </c>
    </row>
    <row r="129" spans="2:13" x14ac:dyDescent="0.35">
      <c r="B129" s="35"/>
      <c r="C129" s="63">
        <v>0</v>
      </c>
      <c r="D129" s="63">
        <v>0</v>
      </c>
      <c r="E129" s="63">
        <v>0</v>
      </c>
      <c r="F129" s="63">
        <v>0</v>
      </c>
      <c r="G129" s="63">
        <v>0</v>
      </c>
      <c r="H129" s="63">
        <v>0</v>
      </c>
      <c r="I129">
        <v>0</v>
      </c>
      <c r="K129">
        <v>0</v>
      </c>
      <c r="M129" s="96" t="s">
        <v>199</v>
      </c>
    </row>
    <row r="130" spans="2:13" x14ac:dyDescent="0.35">
      <c r="B130" s="31">
        <v>23</v>
      </c>
      <c r="C130" s="63">
        <v>0</v>
      </c>
      <c r="D130" s="63">
        <v>0</v>
      </c>
      <c r="E130" s="63">
        <v>0</v>
      </c>
      <c r="F130" s="63">
        <v>0</v>
      </c>
      <c r="G130" s="63">
        <v>3000</v>
      </c>
      <c r="H130" s="63">
        <v>0</v>
      </c>
      <c r="I130">
        <v>0</v>
      </c>
      <c r="K130">
        <v>0</v>
      </c>
      <c r="M130" s="178"/>
    </row>
    <row r="131" spans="2:13" x14ac:dyDescent="0.35">
      <c r="B131" s="33" t="s">
        <v>269</v>
      </c>
      <c r="C131">
        <v>0</v>
      </c>
      <c r="D131">
        <v>0</v>
      </c>
      <c r="E131">
        <v>0</v>
      </c>
      <c r="F131">
        <v>0</v>
      </c>
      <c r="G131">
        <v>3000</v>
      </c>
      <c r="H131">
        <v>0</v>
      </c>
      <c r="I131">
        <v>0</v>
      </c>
      <c r="K131">
        <v>0</v>
      </c>
      <c r="M131" s="34">
        <v>20</v>
      </c>
    </row>
    <row r="132" spans="2:13" x14ac:dyDescent="0.35">
      <c r="B132" s="34" t="s">
        <v>188</v>
      </c>
      <c r="C132">
        <v>0</v>
      </c>
      <c r="D132">
        <v>0</v>
      </c>
      <c r="E132">
        <v>0</v>
      </c>
      <c r="F132">
        <v>0</v>
      </c>
      <c r="G132">
        <v>3000</v>
      </c>
      <c r="H132">
        <v>0</v>
      </c>
      <c r="I132">
        <v>0</v>
      </c>
      <c r="K132">
        <v>0</v>
      </c>
      <c r="M132" s="35">
        <v>1166</v>
      </c>
    </row>
    <row r="133" spans="2:13" x14ac:dyDescent="0.35">
      <c r="B133" s="35" t="s">
        <v>25</v>
      </c>
      <c r="C133">
        <v>0</v>
      </c>
      <c r="D133">
        <v>0</v>
      </c>
      <c r="E133">
        <v>0</v>
      </c>
      <c r="F133">
        <v>0</v>
      </c>
      <c r="G133">
        <v>3000</v>
      </c>
      <c r="H133">
        <v>0</v>
      </c>
      <c r="I133">
        <v>0</v>
      </c>
      <c r="K133">
        <v>0</v>
      </c>
      <c r="M133" s="95" t="s">
        <v>199</v>
      </c>
    </row>
    <row r="134" spans="2:13" x14ac:dyDescent="0.35">
      <c r="B134" s="31">
        <v>24</v>
      </c>
      <c r="C134" s="63">
        <v>0</v>
      </c>
      <c r="D134" s="63">
        <v>0</v>
      </c>
      <c r="E134" s="63">
        <v>0</v>
      </c>
      <c r="F134" s="63">
        <v>0</v>
      </c>
      <c r="G134" s="63">
        <v>0</v>
      </c>
      <c r="H134" s="63">
        <v>0</v>
      </c>
      <c r="I134">
        <v>0</v>
      </c>
      <c r="K134">
        <v>0</v>
      </c>
      <c r="M134" s="96" t="s">
        <v>199</v>
      </c>
    </row>
    <row r="135" spans="2:13" x14ac:dyDescent="0.35">
      <c r="B135" s="33" t="s">
        <v>199</v>
      </c>
      <c r="C135" s="63">
        <v>0</v>
      </c>
      <c r="D135" s="63">
        <v>0</v>
      </c>
      <c r="E135" s="63">
        <v>0</v>
      </c>
      <c r="F135" s="63">
        <v>0</v>
      </c>
      <c r="G135" s="63">
        <v>0</v>
      </c>
      <c r="H135" s="63">
        <v>0</v>
      </c>
      <c r="I135">
        <v>0</v>
      </c>
      <c r="K135">
        <v>0</v>
      </c>
      <c r="M135" s="178"/>
    </row>
    <row r="136" spans="2:13" x14ac:dyDescent="0.35">
      <c r="B136" s="34" t="s">
        <v>199</v>
      </c>
      <c r="C136" s="63">
        <v>0</v>
      </c>
      <c r="D136" s="63">
        <v>0</v>
      </c>
      <c r="E136" s="63">
        <v>0</v>
      </c>
      <c r="F136" s="63">
        <v>0</v>
      </c>
      <c r="G136" s="63">
        <v>0</v>
      </c>
      <c r="H136" s="63">
        <v>0</v>
      </c>
      <c r="I136">
        <v>0</v>
      </c>
      <c r="K136">
        <v>0</v>
      </c>
      <c r="M136" s="34">
        <v>21</v>
      </c>
    </row>
    <row r="137" spans="2:13" x14ac:dyDescent="0.35">
      <c r="B137" s="35"/>
      <c r="C137" s="63">
        <v>0</v>
      </c>
      <c r="D137" s="63">
        <v>0</v>
      </c>
      <c r="E137" s="63">
        <v>0</v>
      </c>
      <c r="F137" s="63">
        <v>0</v>
      </c>
      <c r="G137" s="63">
        <v>0</v>
      </c>
      <c r="H137" s="63">
        <v>0</v>
      </c>
      <c r="I137">
        <v>0</v>
      </c>
      <c r="K137">
        <v>0</v>
      </c>
      <c r="M137" s="35">
        <v>1167</v>
      </c>
    </row>
    <row r="138" spans="2:13" x14ac:dyDescent="0.35">
      <c r="B138" s="31">
        <v>25</v>
      </c>
      <c r="C138" s="63">
        <v>0</v>
      </c>
      <c r="D138" s="63">
        <v>0</v>
      </c>
      <c r="E138" s="63">
        <v>0</v>
      </c>
      <c r="F138" s="63">
        <v>0</v>
      </c>
      <c r="G138" s="63">
        <v>0</v>
      </c>
      <c r="H138" s="63">
        <v>0</v>
      </c>
      <c r="I138">
        <v>0</v>
      </c>
      <c r="K138">
        <v>0</v>
      </c>
      <c r="M138" s="95" t="s">
        <v>268</v>
      </c>
    </row>
    <row r="139" spans="2:13" x14ac:dyDescent="0.35">
      <c r="B139" s="33" t="s">
        <v>199</v>
      </c>
      <c r="C139" s="63">
        <v>0</v>
      </c>
      <c r="D139" s="63">
        <v>0</v>
      </c>
      <c r="E139" s="63">
        <v>0</v>
      </c>
      <c r="F139" s="63">
        <v>0</v>
      </c>
      <c r="G139" s="63">
        <v>0</v>
      </c>
      <c r="H139" s="63">
        <v>0</v>
      </c>
      <c r="I139">
        <v>0</v>
      </c>
      <c r="K139">
        <v>0</v>
      </c>
      <c r="M139" s="96" t="s">
        <v>32</v>
      </c>
    </row>
    <row r="140" spans="2:13" x14ac:dyDescent="0.35">
      <c r="B140" s="34" t="s">
        <v>199</v>
      </c>
      <c r="C140" s="63">
        <v>0</v>
      </c>
      <c r="D140" s="63">
        <v>0</v>
      </c>
      <c r="E140" s="63">
        <v>0</v>
      </c>
      <c r="F140" s="63">
        <v>0</v>
      </c>
      <c r="G140" s="63">
        <v>0</v>
      </c>
      <c r="H140" s="63">
        <v>0</v>
      </c>
      <c r="I140">
        <v>0</v>
      </c>
      <c r="K140">
        <v>0</v>
      </c>
      <c r="M140" s="178" t="s">
        <v>193</v>
      </c>
    </row>
    <row r="141" spans="2:13" x14ac:dyDescent="0.35">
      <c r="B141" s="35"/>
      <c r="C141" s="63">
        <v>0</v>
      </c>
      <c r="D141" s="63">
        <v>0</v>
      </c>
      <c r="E141" s="63">
        <v>0</v>
      </c>
      <c r="F141" s="63">
        <v>0</v>
      </c>
      <c r="G141" s="63">
        <v>0</v>
      </c>
      <c r="H141" s="63">
        <v>0</v>
      </c>
      <c r="I141">
        <v>0</v>
      </c>
      <c r="K141">
        <v>0</v>
      </c>
      <c r="M141" s="95" t="s">
        <v>270</v>
      </c>
    </row>
    <row r="142" spans="2:13" x14ac:dyDescent="0.35">
      <c r="B142" s="31">
        <v>26</v>
      </c>
      <c r="C142" s="63">
        <v>0</v>
      </c>
      <c r="D142" s="63">
        <v>0</v>
      </c>
      <c r="E142" s="63">
        <v>0</v>
      </c>
      <c r="F142" s="63">
        <v>0</v>
      </c>
      <c r="G142" s="63">
        <v>0</v>
      </c>
      <c r="H142" s="63">
        <v>0</v>
      </c>
      <c r="I142">
        <v>0</v>
      </c>
      <c r="K142">
        <v>0</v>
      </c>
      <c r="M142" s="96" t="s">
        <v>261</v>
      </c>
    </row>
    <row r="143" spans="2:13" x14ac:dyDescent="0.35">
      <c r="B143" s="33" t="s">
        <v>199</v>
      </c>
      <c r="C143" s="63">
        <v>0</v>
      </c>
      <c r="D143" s="63">
        <v>0</v>
      </c>
      <c r="E143" s="63">
        <v>0</v>
      </c>
      <c r="F143" s="63">
        <v>0</v>
      </c>
      <c r="G143" s="63">
        <v>0</v>
      </c>
      <c r="H143" s="63">
        <v>0</v>
      </c>
      <c r="I143">
        <v>0</v>
      </c>
      <c r="K143">
        <v>0</v>
      </c>
      <c r="M143" s="178" t="s">
        <v>257</v>
      </c>
    </row>
    <row r="144" spans="2:13" x14ac:dyDescent="0.35">
      <c r="B144" s="34" t="s">
        <v>199</v>
      </c>
      <c r="C144" s="63">
        <v>0</v>
      </c>
      <c r="D144" s="63">
        <v>0</v>
      </c>
      <c r="E144" s="63">
        <v>0</v>
      </c>
      <c r="F144" s="63">
        <v>0</v>
      </c>
      <c r="G144" s="63">
        <v>0</v>
      </c>
      <c r="H144" s="63">
        <v>0</v>
      </c>
      <c r="I144">
        <v>0</v>
      </c>
      <c r="K144">
        <v>0</v>
      </c>
      <c r="M144" s="96" t="s">
        <v>262</v>
      </c>
    </row>
    <row r="145" spans="2:13" x14ac:dyDescent="0.35">
      <c r="B145" s="35"/>
      <c r="C145" s="63">
        <v>0</v>
      </c>
      <c r="D145" s="63">
        <v>0</v>
      </c>
      <c r="E145" s="63">
        <v>0</v>
      </c>
      <c r="F145" s="63">
        <v>0</v>
      </c>
      <c r="G145" s="63">
        <v>0</v>
      </c>
      <c r="H145" s="63">
        <v>0</v>
      </c>
      <c r="I145">
        <v>0</v>
      </c>
      <c r="K145">
        <v>0</v>
      </c>
      <c r="M145" s="178" t="s">
        <v>197</v>
      </c>
    </row>
    <row r="146" spans="2:13" x14ac:dyDescent="0.35">
      <c r="B146" s="31">
        <v>27</v>
      </c>
      <c r="C146" s="63">
        <v>0</v>
      </c>
      <c r="D146" s="63">
        <v>50.68</v>
      </c>
      <c r="E146" s="63">
        <v>0</v>
      </c>
      <c r="F146" s="63">
        <v>0</v>
      </c>
      <c r="G146" s="63">
        <v>0</v>
      </c>
      <c r="H146" s="63">
        <v>0</v>
      </c>
      <c r="I146">
        <v>0</v>
      </c>
      <c r="K146">
        <v>0</v>
      </c>
      <c r="M146" s="95" t="s">
        <v>192</v>
      </c>
    </row>
    <row r="147" spans="2:13" x14ac:dyDescent="0.35">
      <c r="B147" s="33" t="s">
        <v>192</v>
      </c>
      <c r="C147">
        <v>0</v>
      </c>
      <c r="D147">
        <v>48.68</v>
      </c>
      <c r="E147">
        <v>0</v>
      </c>
      <c r="F147">
        <v>0</v>
      </c>
      <c r="G147">
        <v>0</v>
      </c>
      <c r="H147">
        <v>0</v>
      </c>
      <c r="I147">
        <v>0</v>
      </c>
      <c r="K147">
        <v>0</v>
      </c>
      <c r="M147" s="96" t="s">
        <v>143</v>
      </c>
    </row>
    <row r="148" spans="2:13" x14ac:dyDescent="0.35">
      <c r="B148" s="34" t="s">
        <v>143</v>
      </c>
      <c r="C148">
        <v>0</v>
      </c>
      <c r="D148">
        <v>48.68</v>
      </c>
      <c r="E148">
        <v>0</v>
      </c>
      <c r="F148">
        <v>0</v>
      </c>
      <c r="G148">
        <v>0</v>
      </c>
      <c r="H148">
        <v>0</v>
      </c>
      <c r="I148">
        <v>0</v>
      </c>
      <c r="K148">
        <v>0</v>
      </c>
      <c r="M148" s="178" t="s">
        <v>34</v>
      </c>
    </row>
    <row r="149" spans="2:13" x14ac:dyDescent="0.35">
      <c r="B149" s="35" t="s">
        <v>34</v>
      </c>
      <c r="C149">
        <v>0</v>
      </c>
      <c r="D149">
        <v>48.68</v>
      </c>
      <c r="E149">
        <v>0</v>
      </c>
      <c r="F149">
        <v>0</v>
      </c>
      <c r="G149">
        <v>0</v>
      </c>
      <c r="H149">
        <v>0</v>
      </c>
      <c r="I149">
        <v>0</v>
      </c>
      <c r="K149">
        <v>0</v>
      </c>
      <c r="M149" s="34">
        <v>22</v>
      </c>
    </row>
    <row r="150" spans="2:13" x14ac:dyDescent="0.35">
      <c r="B150" s="33" t="s">
        <v>266</v>
      </c>
      <c r="C150">
        <v>0</v>
      </c>
      <c r="D150">
        <v>2</v>
      </c>
      <c r="E150">
        <v>0</v>
      </c>
      <c r="F150">
        <v>0</v>
      </c>
      <c r="G150">
        <v>0</v>
      </c>
      <c r="H150">
        <v>0</v>
      </c>
      <c r="I150">
        <v>0</v>
      </c>
      <c r="K150">
        <v>0</v>
      </c>
      <c r="M150" s="35">
        <v>1168</v>
      </c>
    </row>
    <row r="151" spans="2:13" x14ac:dyDescent="0.35">
      <c r="B151" s="34" t="s">
        <v>196</v>
      </c>
      <c r="C151">
        <v>0</v>
      </c>
      <c r="D151">
        <v>2</v>
      </c>
      <c r="E151">
        <v>0</v>
      </c>
      <c r="F151">
        <v>0</v>
      </c>
      <c r="G151">
        <v>0</v>
      </c>
      <c r="H151">
        <v>0</v>
      </c>
      <c r="I151">
        <v>0</v>
      </c>
      <c r="K151">
        <v>0</v>
      </c>
      <c r="M151" s="95" t="s">
        <v>199</v>
      </c>
    </row>
    <row r="152" spans="2:13" x14ac:dyDescent="0.35">
      <c r="B152" s="35" t="s">
        <v>195</v>
      </c>
      <c r="C152">
        <v>0</v>
      </c>
      <c r="D152">
        <v>2</v>
      </c>
      <c r="E152">
        <v>0</v>
      </c>
      <c r="F152">
        <v>0</v>
      </c>
      <c r="G152">
        <v>0</v>
      </c>
      <c r="H152">
        <v>0</v>
      </c>
      <c r="I152">
        <v>0</v>
      </c>
      <c r="K152">
        <v>0</v>
      </c>
      <c r="M152" s="96" t="s">
        <v>199</v>
      </c>
    </row>
    <row r="153" spans="2:13" x14ac:dyDescent="0.35">
      <c r="B153" s="31">
        <v>28</v>
      </c>
      <c r="C153" s="63">
        <v>0</v>
      </c>
      <c r="D153" s="63">
        <v>0</v>
      </c>
      <c r="E153" s="63">
        <v>0</v>
      </c>
      <c r="F153" s="63">
        <v>0</v>
      </c>
      <c r="G153" s="63">
        <v>0</v>
      </c>
      <c r="H153" s="63">
        <v>0</v>
      </c>
      <c r="I153">
        <v>0</v>
      </c>
      <c r="K153">
        <v>0</v>
      </c>
      <c r="M153" s="178"/>
    </row>
    <row r="154" spans="2:13" x14ac:dyDescent="0.35">
      <c r="B154" s="33" t="s">
        <v>199</v>
      </c>
      <c r="C154" s="63">
        <v>0</v>
      </c>
      <c r="D154" s="63">
        <v>0</v>
      </c>
      <c r="E154" s="63">
        <v>0</v>
      </c>
      <c r="F154" s="63">
        <v>0</v>
      </c>
      <c r="G154" s="63">
        <v>0</v>
      </c>
      <c r="H154" s="63">
        <v>0</v>
      </c>
      <c r="I154">
        <v>0</v>
      </c>
      <c r="K154">
        <v>0</v>
      </c>
      <c r="M154" s="34">
        <v>23</v>
      </c>
    </row>
    <row r="155" spans="2:13" x14ac:dyDescent="0.35">
      <c r="B155" s="34" t="s">
        <v>199</v>
      </c>
      <c r="C155" s="63">
        <v>0</v>
      </c>
      <c r="D155" s="63">
        <v>0</v>
      </c>
      <c r="E155" s="63">
        <v>0</v>
      </c>
      <c r="F155" s="63">
        <v>0</v>
      </c>
      <c r="G155" s="63">
        <v>0</v>
      </c>
      <c r="H155" s="63">
        <v>0</v>
      </c>
      <c r="I155">
        <v>0</v>
      </c>
      <c r="K155">
        <v>0</v>
      </c>
      <c r="M155" s="35">
        <v>1169</v>
      </c>
    </row>
    <row r="156" spans="2:13" x14ac:dyDescent="0.35">
      <c r="B156" s="35"/>
      <c r="C156" s="63">
        <v>0</v>
      </c>
      <c r="D156" s="63">
        <v>0</v>
      </c>
      <c r="E156" s="63">
        <v>0</v>
      </c>
      <c r="F156" s="63">
        <v>0</v>
      </c>
      <c r="G156" s="63">
        <v>0</v>
      </c>
      <c r="H156" s="63">
        <v>0</v>
      </c>
      <c r="I156">
        <v>0</v>
      </c>
      <c r="K156">
        <v>0</v>
      </c>
      <c r="M156" s="95" t="s">
        <v>269</v>
      </c>
    </row>
    <row r="157" spans="2:13" x14ac:dyDescent="0.35">
      <c r="B157" s="31">
        <v>29</v>
      </c>
      <c r="C157" s="63">
        <v>0</v>
      </c>
      <c r="D157" s="63">
        <v>0</v>
      </c>
      <c r="E157" s="63">
        <v>0</v>
      </c>
      <c r="F157" s="63">
        <v>0</v>
      </c>
      <c r="G157" s="63">
        <v>0</v>
      </c>
      <c r="H157" s="63">
        <v>0</v>
      </c>
      <c r="I157">
        <v>0</v>
      </c>
      <c r="K157">
        <v>0</v>
      </c>
      <c r="M157" s="96" t="s">
        <v>188</v>
      </c>
    </row>
    <row r="158" spans="2:13" x14ac:dyDescent="0.35">
      <c r="B158" s="33" t="s">
        <v>199</v>
      </c>
      <c r="C158" s="63">
        <v>0</v>
      </c>
      <c r="D158" s="63">
        <v>0</v>
      </c>
      <c r="E158" s="63">
        <v>0</v>
      </c>
      <c r="F158" s="63">
        <v>0</v>
      </c>
      <c r="G158" s="63">
        <v>0</v>
      </c>
      <c r="H158" s="63">
        <v>0</v>
      </c>
      <c r="I158">
        <v>0</v>
      </c>
      <c r="K158">
        <v>0</v>
      </c>
      <c r="M158" s="178" t="s">
        <v>25</v>
      </c>
    </row>
    <row r="159" spans="2:13" x14ac:dyDescent="0.35">
      <c r="B159" s="34" t="s">
        <v>199</v>
      </c>
      <c r="C159" s="63">
        <v>0</v>
      </c>
      <c r="D159" s="63">
        <v>0</v>
      </c>
      <c r="E159" s="63">
        <v>0</v>
      </c>
      <c r="F159" s="63">
        <v>0</v>
      </c>
      <c r="G159" s="63">
        <v>0</v>
      </c>
      <c r="H159" s="63">
        <v>0</v>
      </c>
      <c r="I159">
        <v>0</v>
      </c>
      <c r="K159">
        <v>0</v>
      </c>
      <c r="M159" s="34">
        <v>24</v>
      </c>
    </row>
    <row r="160" spans="2:13" x14ac:dyDescent="0.35">
      <c r="B160" s="35"/>
      <c r="C160" s="63">
        <v>0</v>
      </c>
      <c r="D160" s="63">
        <v>0</v>
      </c>
      <c r="E160" s="63">
        <v>0</v>
      </c>
      <c r="F160" s="63">
        <v>0</v>
      </c>
      <c r="G160" s="63">
        <v>0</v>
      </c>
      <c r="H160" s="63">
        <v>0</v>
      </c>
      <c r="I160">
        <v>0</v>
      </c>
      <c r="K160">
        <v>0</v>
      </c>
      <c r="M160" s="35">
        <v>1170</v>
      </c>
    </row>
    <row r="161" spans="2:13" x14ac:dyDescent="0.35">
      <c r="B161" s="31">
        <v>30</v>
      </c>
      <c r="C161" s="63">
        <v>0</v>
      </c>
      <c r="D161" s="63">
        <v>0</v>
      </c>
      <c r="E161" s="63">
        <v>0</v>
      </c>
      <c r="F161" s="63">
        <v>0</v>
      </c>
      <c r="G161" s="63">
        <v>0</v>
      </c>
      <c r="H161" s="63">
        <v>0</v>
      </c>
      <c r="I161">
        <v>0</v>
      </c>
      <c r="K161">
        <v>0</v>
      </c>
      <c r="M161" s="95" t="s">
        <v>199</v>
      </c>
    </row>
    <row r="162" spans="2:13" x14ac:dyDescent="0.35">
      <c r="B162" s="33" t="s">
        <v>199</v>
      </c>
      <c r="C162" s="63">
        <v>0</v>
      </c>
      <c r="D162" s="63">
        <v>0</v>
      </c>
      <c r="E162" s="63">
        <v>0</v>
      </c>
      <c r="F162" s="63">
        <v>0</v>
      </c>
      <c r="G162" s="63">
        <v>0</v>
      </c>
      <c r="H162" s="63">
        <v>0</v>
      </c>
      <c r="I162">
        <v>0</v>
      </c>
      <c r="K162">
        <v>0</v>
      </c>
      <c r="M162" s="96" t="s">
        <v>199</v>
      </c>
    </row>
    <row r="163" spans="2:13" x14ac:dyDescent="0.35">
      <c r="B163" s="34" t="s">
        <v>199</v>
      </c>
      <c r="C163" s="63">
        <v>0</v>
      </c>
      <c r="D163" s="63">
        <v>0</v>
      </c>
      <c r="E163" s="63">
        <v>0</v>
      </c>
      <c r="F163" s="63">
        <v>0</v>
      </c>
      <c r="G163" s="63">
        <v>0</v>
      </c>
      <c r="H163" s="63">
        <v>0</v>
      </c>
      <c r="I163">
        <v>0</v>
      </c>
      <c r="K163">
        <v>0</v>
      </c>
      <c r="M163" s="178"/>
    </row>
    <row r="164" spans="2:13" x14ac:dyDescent="0.35">
      <c r="B164" s="35"/>
      <c r="C164" s="63">
        <v>0</v>
      </c>
      <c r="D164" s="63">
        <v>0</v>
      </c>
      <c r="E164" s="63">
        <v>0</v>
      </c>
      <c r="F164" s="63">
        <v>0</v>
      </c>
      <c r="G164" s="63">
        <v>0</v>
      </c>
      <c r="H164" s="63">
        <v>0</v>
      </c>
      <c r="I164">
        <v>0</v>
      </c>
      <c r="K164">
        <v>0</v>
      </c>
      <c r="M164" s="34">
        <v>25</v>
      </c>
    </row>
    <row r="165" spans="2:13" x14ac:dyDescent="0.35">
      <c r="B165" s="31">
        <v>31</v>
      </c>
      <c r="C165" s="63">
        <v>0</v>
      </c>
      <c r="D165" s="63">
        <v>0</v>
      </c>
      <c r="E165" s="63">
        <v>0</v>
      </c>
      <c r="F165" s="63">
        <v>0</v>
      </c>
      <c r="G165" s="63">
        <v>0</v>
      </c>
      <c r="H165" s="63">
        <v>0</v>
      </c>
      <c r="I165">
        <v>0</v>
      </c>
      <c r="K165">
        <v>0</v>
      </c>
      <c r="M165" s="35">
        <v>1171</v>
      </c>
    </row>
    <row r="166" spans="2:13" x14ac:dyDescent="0.35">
      <c r="B166" s="33" t="s">
        <v>199</v>
      </c>
      <c r="C166" s="63">
        <v>0</v>
      </c>
      <c r="D166" s="63">
        <v>0</v>
      </c>
      <c r="E166" s="63">
        <v>0</v>
      </c>
      <c r="F166" s="63">
        <v>0</v>
      </c>
      <c r="G166" s="63">
        <v>0</v>
      </c>
      <c r="H166" s="63">
        <v>0</v>
      </c>
      <c r="I166">
        <v>0</v>
      </c>
      <c r="K166">
        <v>0</v>
      </c>
      <c r="M166" s="95" t="s">
        <v>199</v>
      </c>
    </row>
    <row r="167" spans="2:13" x14ac:dyDescent="0.35">
      <c r="B167" s="34" t="s">
        <v>199</v>
      </c>
      <c r="C167" s="63">
        <v>0</v>
      </c>
      <c r="D167" s="63">
        <v>0</v>
      </c>
      <c r="E167" s="63">
        <v>0</v>
      </c>
      <c r="F167" s="63">
        <v>0</v>
      </c>
      <c r="G167" s="63">
        <v>0</v>
      </c>
      <c r="H167" s="63">
        <v>0</v>
      </c>
      <c r="I167">
        <v>0</v>
      </c>
      <c r="K167">
        <v>0</v>
      </c>
      <c r="M167" s="96" t="s">
        <v>199</v>
      </c>
    </row>
    <row r="168" spans="2:13" x14ac:dyDescent="0.35">
      <c r="B168" s="35"/>
      <c r="C168">
        <v>0</v>
      </c>
      <c r="D168">
        <v>0</v>
      </c>
      <c r="E168">
        <v>0</v>
      </c>
      <c r="F168">
        <v>0</v>
      </c>
      <c r="G168">
        <v>0</v>
      </c>
      <c r="H168">
        <v>0</v>
      </c>
      <c r="I168">
        <v>0</v>
      </c>
      <c r="K168">
        <v>0</v>
      </c>
      <c r="M168" s="178"/>
    </row>
    <row r="169" spans="2:13" x14ac:dyDescent="0.35">
      <c r="B169" s="31" t="s">
        <v>178</v>
      </c>
      <c r="C169">
        <v>141.4</v>
      </c>
      <c r="D169">
        <v>217.23000000000002</v>
      </c>
      <c r="E169">
        <v>0</v>
      </c>
      <c r="F169">
        <v>0</v>
      </c>
      <c r="G169">
        <v>4000</v>
      </c>
      <c r="H169">
        <v>0</v>
      </c>
      <c r="I169">
        <v>0</v>
      </c>
      <c r="K169">
        <v>0</v>
      </c>
      <c r="M169" s="34">
        <v>26</v>
      </c>
    </row>
    <row r="170" spans="2:13" x14ac:dyDescent="0.35">
      <c r="M170" s="35">
        <v>1172</v>
      </c>
    </row>
    <row r="171" spans="2:13" x14ac:dyDescent="0.35">
      <c r="M171" s="95" t="s">
        <v>199</v>
      </c>
    </row>
    <row r="172" spans="2:13" x14ac:dyDescent="0.35">
      <c r="M172" s="96" t="s">
        <v>199</v>
      </c>
    </row>
    <row r="173" spans="2:13" x14ac:dyDescent="0.35">
      <c r="M173" s="178"/>
    </row>
    <row r="174" spans="2:13" x14ac:dyDescent="0.35">
      <c r="M174" s="34">
        <v>27</v>
      </c>
    </row>
    <row r="175" spans="2:13" x14ac:dyDescent="0.35">
      <c r="M175" s="35">
        <v>1173</v>
      </c>
    </row>
    <row r="176" spans="2:13" x14ac:dyDescent="0.35">
      <c r="M176" s="95" t="s">
        <v>192</v>
      </c>
    </row>
    <row r="177" spans="13:13" x14ac:dyDescent="0.35">
      <c r="M177" s="96" t="s">
        <v>143</v>
      </c>
    </row>
    <row r="178" spans="13:13" x14ac:dyDescent="0.35">
      <c r="M178" s="178" t="s">
        <v>34</v>
      </c>
    </row>
    <row r="179" spans="13:13" x14ac:dyDescent="0.35">
      <c r="M179" s="95" t="s">
        <v>266</v>
      </c>
    </row>
    <row r="180" spans="13:13" x14ac:dyDescent="0.35">
      <c r="M180" s="96" t="s">
        <v>196</v>
      </c>
    </row>
    <row r="181" spans="13:13" x14ac:dyDescent="0.35">
      <c r="M181" s="178" t="s">
        <v>195</v>
      </c>
    </row>
    <row r="182" spans="13:13" x14ac:dyDescent="0.35">
      <c r="M182" s="34">
        <v>28</v>
      </c>
    </row>
    <row r="183" spans="13:13" x14ac:dyDescent="0.35">
      <c r="M183" s="35">
        <v>1174</v>
      </c>
    </row>
    <row r="184" spans="13:13" x14ac:dyDescent="0.35">
      <c r="M184" s="95" t="s">
        <v>199</v>
      </c>
    </row>
    <row r="185" spans="13:13" x14ac:dyDescent="0.35">
      <c r="M185" s="96" t="s">
        <v>199</v>
      </c>
    </row>
    <row r="186" spans="13:13" x14ac:dyDescent="0.35">
      <c r="M186" s="178"/>
    </row>
    <row r="187" spans="13:13" x14ac:dyDescent="0.35">
      <c r="M187" s="34">
        <v>29</v>
      </c>
    </row>
    <row r="188" spans="13:13" x14ac:dyDescent="0.35">
      <c r="M188" s="35">
        <v>1175</v>
      </c>
    </row>
    <row r="189" spans="13:13" x14ac:dyDescent="0.35">
      <c r="M189" s="95" t="s">
        <v>199</v>
      </c>
    </row>
    <row r="190" spans="13:13" x14ac:dyDescent="0.35">
      <c r="M190" s="96" t="s">
        <v>199</v>
      </c>
    </row>
    <row r="191" spans="13:13" x14ac:dyDescent="0.35">
      <c r="M191" s="178"/>
    </row>
    <row r="192" spans="13:13" x14ac:dyDescent="0.35">
      <c r="M192" s="34">
        <v>30</v>
      </c>
    </row>
    <row r="193" spans="13:13" x14ac:dyDescent="0.35">
      <c r="M193" s="35">
        <v>1176</v>
      </c>
    </row>
    <row r="194" spans="13:13" x14ac:dyDescent="0.35">
      <c r="M194" s="95" t="s">
        <v>199</v>
      </c>
    </row>
    <row r="195" spans="13:13" x14ac:dyDescent="0.35">
      <c r="M195" s="96" t="s">
        <v>199</v>
      </c>
    </row>
    <row r="196" spans="13:13" x14ac:dyDescent="0.35">
      <c r="M196" s="178"/>
    </row>
    <row r="197" spans="13:13" x14ac:dyDescent="0.35">
      <c r="M197" s="34">
        <v>31</v>
      </c>
    </row>
    <row r="198" spans="13:13" x14ac:dyDescent="0.35">
      <c r="M198" s="35">
        <v>1177</v>
      </c>
    </row>
    <row r="199" spans="13:13" x14ac:dyDescent="0.35">
      <c r="M199" s="95" t="s">
        <v>199</v>
      </c>
    </row>
    <row r="200" spans="13:13" x14ac:dyDescent="0.35">
      <c r="M200" s="96" t="s">
        <v>199</v>
      </c>
    </row>
    <row r="201" spans="13:13" x14ac:dyDescent="0.35">
      <c r="M201" s="178"/>
    </row>
  </sheetData>
  <pageMargins left="0.7" right="0.7" top="0.75" bottom="0.75" header="0.3" footer="0.3"/>
  <drawing r:id="rId11"/>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Dashboard</vt:lpstr>
      <vt:lpstr>Budgeting</vt:lpstr>
      <vt:lpstr>Income</vt:lpstr>
      <vt:lpstr>Expenses</vt:lpstr>
      <vt:lpstr>Investments</vt:lpstr>
      <vt:lpstr>Debts</vt:lpstr>
      <vt:lpstr>Financial Goals</vt:lpstr>
      <vt:lpstr>Data</vt:lpstr>
      <vt:lpstr>Processing</vt:lpstr>
      <vt:lpstr>Pivot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creator>
  <cp:keywords/>
  <dc:description/>
  <cp:lastModifiedBy>xxx</cp:lastModifiedBy>
  <dcterms:created xsi:type="dcterms:W3CDTF">2023-11-17T18:32:01Z</dcterms:created>
  <dcterms:modified xsi:type="dcterms:W3CDTF">2025-09-01T13:02:33Z</dcterms:modified>
  <cp:category/>
</cp:coreProperties>
</file>